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20" windowWidth="12795" windowHeight="7965" tabRatio="632" activeTab="1"/>
  </bookViews>
  <sheets>
    <sheet name="Home" sheetId="27" r:id="rId1"/>
    <sheet name="User_sheet" sheetId="8" r:id="rId2"/>
    <sheet name="Calculation_sheet" sheetId="9" r:id="rId3"/>
    <sheet name="Freestanding " sheetId="2" r:id="rId4"/>
    <sheet name="Semi-detached" sheetId="5" r:id="rId5"/>
    <sheet name="Terraced " sheetId="6" r:id="rId6"/>
    <sheet name="Apartment" sheetId="7" r:id="rId7"/>
    <sheet name="101" sheetId="10" r:id="rId8"/>
    <sheet name="102" sheetId="11" r:id="rId9"/>
    <sheet name="103" sheetId="12" r:id="rId10"/>
    <sheet name="104" sheetId="13" r:id="rId11"/>
    <sheet name="201" sheetId="14" r:id="rId12"/>
    <sheet name="202" sheetId="15" r:id="rId13"/>
    <sheet name="203" sheetId="16" r:id="rId14"/>
    <sheet name="204" sheetId="17" r:id="rId15"/>
    <sheet name="301" sheetId="18" r:id="rId16"/>
    <sheet name="302" sheetId="19" r:id="rId17"/>
    <sheet name="303" sheetId="20" r:id="rId18"/>
    <sheet name="304" sheetId="21" r:id="rId19"/>
    <sheet name="401" sheetId="22" r:id="rId20"/>
    <sheet name="402" sheetId="23" r:id="rId21"/>
    <sheet name="403" sheetId="24" r:id="rId22"/>
    <sheet name="404" sheetId="25" r:id="rId23"/>
    <sheet name="Mean T" sheetId="26" r:id="rId24"/>
  </sheets>
  <calcPr calcId="145621"/>
</workbook>
</file>

<file path=xl/calcChain.xml><?xml version="1.0" encoding="utf-8"?>
<calcChain xmlns="http://schemas.openxmlformats.org/spreadsheetml/2006/main">
  <c r="G6" i="25" l="1"/>
  <c r="G5" i="25"/>
  <c r="G4" i="25"/>
  <c r="G3" i="25"/>
  <c r="G2" i="25"/>
  <c r="G6" i="24"/>
  <c r="G5" i="24"/>
  <c r="G4" i="24"/>
  <c r="G3" i="24"/>
  <c r="G2" i="24"/>
  <c r="G2" i="23"/>
  <c r="G3" i="23"/>
  <c r="G4" i="23"/>
  <c r="G5" i="23"/>
  <c r="G6" i="23"/>
  <c r="G4" i="22"/>
  <c r="G2" i="22"/>
  <c r="G6" i="21"/>
  <c r="G5" i="21"/>
  <c r="G4" i="21"/>
  <c r="G3" i="21"/>
  <c r="G2" i="21"/>
  <c r="G6" i="20"/>
  <c r="G5" i="20"/>
  <c r="G4" i="20"/>
  <c r="G3" i="20"/>
  <c r="G2" i="20"/>
  <c r="G6" i="19"/>
  <c r="G5" i="19"/>
  <c r="G4" i="19"/>
  <c r="G3" i="19"/>
  <c r="G2" i="19"/>
  <c r="G6" i="18"/>
  <c r="G5" i="18"/>
  <c r="G4" i="18"/>
  <c r="G3" i="18"/>
  <c r="G2" i="18"/>
  <c r="G6" i="16"/>
  <c r="G5" i="16"/>
  <c r="G4" i="16"/>
  <c r="G3" i="16"/>
  <c r="G2" i="16"/>
  <c r="G6" i="15"/>
  <c r="G5" i="15"/>
  <c r="G4" i="15"/>
  <c r="G3" i="15"/>
  <c r="G2" i="15"/>
  <c r="G6" i="14"/>
  <c r="G5" i="14"/>
  <c r="G4" i="14"/>
  <c r="G3" i="14"/>
  <c r="G2" i="14"/>
  <c r="G6" i="13"/>
  <c r="G5" i="13"/>
  <c r="G4" i="13"/>
  <c r="G3" i="13"/>
  <c r="G2" i="13"/>
  <c r="G6" i="12"/>
  <c r="G5" i="12"/>
  <c r="G4" i="12"/>
  <c r="G3" i="12"/>
  <c r="G2" i="12"/>
  <c r="G6" i="11"/>
  <c r="G5" i="11"/>
  <c r="G4" i="11"/>
  <c r="G3" i="11"/>
  <c r="G2" i="11"/>
  <c r="G6" i="10"/>
  <c r="G5" i="10"/>
  <c r="G4" i="10"/>
  <c r="G3" i="10"/>
  <c r="G2" i="10"/>
  <c r="B18" i="22" l="1"/>
  <c r="B18" i="20"/>
  <c r="B18" i="19"/>
  <c r="B18" i="18"/>
  <c r="B18" i="17"/>
  <c r="B18" i="16"/>
  <c r="B18" i="15"/>
  <c r="B18" i="14"/>
  <c r="B18" i="13"/>
  <c r="B18" i="12"/>
  <c r="B18" i="11"/>
  <c r="B18" i="10"/>
  <c r="B19" i="25"/>
  <c r="B20" i="25"/>
  <c r="B18" i="25"/>
  <c r="B18" i="24"/>
  <c r="B18" i="23"/>
  <c r="B18" i="21"/>
  <c r="B19" i="10"/>
  <c r="AI26" i="7" l="1"/>
  <c r="AI40" i="7"/>
  <c r="AI54" i="7"/>
  <c r="AI68" i="7"/>
  <c r="AI82" i="7"/>
  <c r="AI96" i="7"/>
  <c r="AI110" i="7"/>
  <c r="AI124" i="7"/>
  <c r="AI138" i="7"/>
  <c r="AI152" i="7"/>
  <c r="AI166" i="7"/>
  <c r="AI180" i="7"/>
  <c r="AI194" i="7"/>
  <c r="AI208" i="7"/>
  <c r="AI222" i="7"/>
  <c r="AI236" i="7"/>
  <c r="AI250" i="7"/>
  <c r="AI264" i="7"/>
  <c r="AI274" i="7"/>
  <c r="AI284" i="7"/>
  <c r="AI294" i="7"/>
  <c r="AI304" i="7"/>
  <c r="AI314" i="7"/>
  <c r="AI324" i="7"/>
  <c r="AI327" i="7"/>
  <c r="AK24" i="6"/>
  <c r="AK36" i="6"/>
  <c r="AK48" i="6"/>
  <c r="AK60" i="6"/>
  <c r="AK72" i="6"/>
  <c r="AK84" i="6"/>
  <c r="AK96" i="6"/>
  <c r="AK108" i="6"/>
  <c r="AK120" i="6"/>
  <c r="AK132" i="6"/>
  <c r="AK144" i="6"/>
  <c r="AK156" i="6"/>
  <c r="AK168" i="6"/>
  <c r="AK180" i="6"/>
  <c r="AK192" i="6"/>
  <c r="AK204" i="6"/>
  <c r="AK216" i="6"/>
  <c r="AK228" i="6"/>
  <c r="AK240" i="6"/>
  <c r="AK252" i="6"/>
  <c r="AK264" i="6"/>
  <c r="AK276" i="6"/>
  <c r="AK286" i="6"/>
  <c r="AK296" i="6"/>
  <c r="AK306" i="6"/>
  <c r="AK316" i="6"/>
  <c r="AK326" i="6"/>
  <c r="AK336" i="6"/>
  <c r="AK346" i="6"/>
  <c r="AK356" i="6"/>
  <c r="AK366" i="6"/>
  <c r="AK376" i="6"/>
  <c r="AK386" i="6"/>
  <c r="AK396" i="6"/>
  <c r="AK406" i="6"/>
  <c r="AK416" i="6"/>
  <c r="AK426" i="6"/>
  <c r="AK436" i="6"/>
  <c r="AK446" i="6"/>
  <c r="AK456" i="6"/>
  <c r="AK466" i="6"/>
  <c r="AK476" i="6"/>
  <c r="AK486" i="6"/>
  <c r="AK496" i="6"/>
  <c r="AK499" i="6"/>
  <c r="AK24" i="5"/>
  <c r="AK36" i="5"/>
  <c r="AK48" i="5"/>
  <c r="AK60" i="5"/>
  <c r="AK72" i="5"/>
  <c r="AK84" i="5"/>
  <c r="AK96" i="5"/>
  <c r="AK108" i="5"/>
  <c r="AK120" i="5"/>
  <c r="AK132" i="5"/>
  <c r="AK144" i="5"/>
  <c r="AK156" i="5"/>
  <c r="AK168" i="5"/>
  <c r="AK180" i="5"/>
  <c r="AK192" i="5"/>
  <c r="AK204" i="5"/>
  <c r="AK216" i="5"/>
  <c r="AK228" i="5"/>
  <c r="AK240" i="5"/>
  <c r="AK252" i="5"/>
  <c r="AK264" i="5"/>
  <c r="AK276" i="5"/>
  <c r="AK286" i="5"/>
  <c r="AK296" i="5"/>
  <c r="AK306" i="5"/>
  <c r="AK316" i="5"/>
  <c r="AK326" i="5"/>
  <c r="AK336" i="5"/>
  <c r="AK346" i="5"/>
  <c r="AK356" i="5"/>
  <c r="AK366" i="5"/>
  <c r="AK376" i="5"/>
  <c r="AK386" i="5"/>
  <c r="AK396" i="5"/>
  <c r="AK406" i="5"/>
  <c r="AK416" i="5"/>
  <c r="AK426" i="5"/>
  <c r="AK436" i="5"/>
  <c r="AK446" i="5"/>
  <c r="AK456" i="5"/>
  <c r="AK466" i="5"/>
  <c r="AK476" i="5"/>
  <c r="AK486" i="5"/>
  <c r="AK496" i="5"/>
  <c r="AK499" i="5"/>
  <c r="AK24" i="2"/>
  <c r="AK36" i="2"/>
  <c r="AK48" i="2"/>
  <c r="AK60" i="2"/>
  <c r="AK72" i="2"/>
  <c r="AK84" i="2"/>
  <c r="AK96" i="2"/>
  <c r="AK108" i="2"/>
  <c r="AK120" i="2"/>
  <c r="AK132" i="2"/>
  <c r="AK144" i="2"/>
  <c r="AK156" i="2"/>
  <c r="AK168" i="2"/>
  <c r="AK180" i="2"/>
  <c r="AK192" i="2"/>
  <c r="AK204" i="2"/>
  <c r="AK216" i="2"/>
  <c r="AK228" i="2"/>
  <c r="AK240" i="2"/>
  <c r="AK252" i="2"/>
  <c r="AK264" i="2"/>
  <c r="AK276" i="2"/>
  <c r="AK286" i="2"/>
  <c r="AK296" i="2"/>
  <c r="AK306" i="2"/>
  <c r="AK316" i="2"/>
  <c r="AK326" i="2"/>
  <c r="AK336" i="2"/>
  <c r="AK346" i="2"/>
  <c r="AK356" i="2"/>
  <c r="AK366" i="2"/>
  <c r="AK376" i="2"/>
  <c r="AK386" i="2"/>
  <c r="AK396" i="2"/>
  <c r="AK406" i="2"/>
  <c r="AK416" i="2"/>
  <c r="AK426" i="2"/>
  <c r="AK436" i="2"/>
  <c r="AK446" i="2"/>
  <c r="AK456" i="2"/>
  <c r="AK466" i="2"/>
  <c r="AK476" i="2"/>
  <c r="AK486" i="2"/>
  <c r="AK496" i="2"/>
  <c r="AK499" i="2"/>
  <c r="B2" i="19" l="1"/>
  <c r="B16" i="19"/>
  <c r="B15" i="19"/>
  <c r="B14" i="19"/>
  <c r="B13" i="19"/>
  <c r="B12" i="19"/>
  <c r="B3" i="19"/>
  <c r="B17" i="19" l="1"/>
  <c r="G6" i="22"/>
  <c r="BW10" i="7" l="1"/>
  <c r="CA13" i="7" l="1"/>
  <c r="CA330" i="7"/>
  <c r="CA329" i="7"/>
  <c r="CA328" i="7"/>
  <c r="CA326" i="7"/>
  <c r="CA325" i="7"/>
  <c r="CA323" i="7"/>
  <c r="CA322" i="7"/>
  <c r="CA321" i="7"/>
  <c r="CA320" i="7"/>
  <c r="CA319" i="7"/>
  <c r="CA318" i="7"/>
  <c r="CA317" i="7"/>
  <c r="CA316" i="7"/>
  <c r="CA315" i="7"/>
  <c r="CA313" i="7"/>
  <c r="CA312" i="7"/>
  <c r="CA311" i="7"/>
  <c r="CA310" i="7"/>
  <c r="CA309" i="7"/>
  <c r="CA308" i="7"/>
  <c r="CA307" i="7"/>
  <c r="CA306" i="7"/>
  <c r="CA305" i="7"/>
  <c r="CA303" i="7"/>
  <c r="CA302" i="7"/>
  <c r="CA301" i="7"/>
  <c r="CA300" i="7"/>
  <c r="CA299" i="7"/>
  <c r="CA298" i="7"/>
  <c r="CA297" i="7"/>
  <c r="CA296" i="7"/>
  <c r="CA295" i="7"/>
  <c r="CA293" i="7"/>
  <c r="CA292" i="7"/>
  <c r="CA291" i="7"/>
  <c r="CA290" i="7"/>
  <c r="CA289" i="7"/>
  <c r="CA288" i="7"/>
  <c r="CA287" i="7"/>
  <c r="CA286" i="7"/>
  <c r="CA285" i="7"/>
  <c r="CA283" i="7"/>
  <c r="CA282" i="7"/>
  <c r="CA281" i="7"/>
  <c r="CA280" i="7"/>
  <c r="CA279" i="7"/>
  <c r="CA278" i="7"/>
  <c r="CA277" i="7"/>
  <c r="CA276" i="7"/>
  <c r="CA275" i="7"/>
  <c r="CA273" i="7"/>
  <c r="CA272" i="7"/>
  <c r="CA271" i="7"/>
  <c r="CA270" i="7"/>
  <c r="CA269" i="7"/>
  <c r="CA268" i="7"/>
  <c r="CA267" i="7"/>
  <c r="CA266" i="7"/>
  <c r="CA265" i="7"/>
  <c r="CA263" i="7"/>
  <c r="CA262" i="7"/>
  <c r="CA261" i="7"/>
  <c r="CA260" i="7"/>
  <c r="CA259" i="7"/>
  <c r="CA258" i="7"/>
  <c r="CA257" i="7"/>
  <c r="CA256" i="7"/>
  <c r="CA255" i="7"/>
  <c r="CA254" i="7"/>
  <c r="CA253" i="7"/>
  <c r="CA252" i="7"/>
  <c r="CA251" i="7"/>
  <c r="CA249" i="7"/>
  <c r="CA248" i="7"/>
  <c r="CA247" i="7"/>
  <c r="CA246" i="7"/>
  <c r="CA245" i="7"/>
  <c r="CA244" i="7"/>
  <c r="CA243" i="7"/>
  <c r="CA242" i="7"/>
  <c r="CA241" i="7"/>
  <c r="CA240" i="7"/>
  <c r="CA239" i="7"/>
  <c r="CA238" i="7"/>
  <c r="CA237" i="7"/>
  <c r="CA235" i="7"/>
  <c r="CA234" i="7"/>
  <c r="CA233" i="7"/>
  <c r="CA232" i="7"/>
  <c r="CA231" i="7"/>
  <c r="CA230" i="7"/>
  <c r="CA229" i="7"/>
  <c r="CA228" i="7"/>
  <c r="CA227" i="7"/>
  <c r="CA226" i="7"/>
  <c r="CA225" i="7"/>
  <c r="CA224" i="7"/>
  <c r="CA223" i="7"/>
  <c r="CA221" i="7"/>
  <c r="CA220" i="7"/>
  <c r="CA219" i="7"/>
  <c r="CA218" i="7"/>
  <c r="CA217" i="7"/>
  <c r="CA216" i="7"/>
  <c r="CA215" i="7"/>
  <c r="CA214" i="7"/>
  <c r="CA213" i="7"/>
  <c r="CA212" i="7"/>
  <c r="CA211" i="7"/>
  <c r="CA210" i="7"/>
  <c r="CA209" i="7"/>
  <c r="CA207" i="7"/>
  <c r="CA206" i="7"/>
  <c r="CA205" i="7"/>
  <c r="CA204" i="7"/>
  <c r="CA203" i="7"/>
  <c r="CA202" i="7"/>
  <c r="CA201" i="7"/>
  <c r="CA200" i="7"/>
  <c r="CA199" i="7"/>
  <c r="CA198" i="7"/>
  <c r="CA197" i="7"/>
  <c r="CA196" i="7"/>
  <c r="CA195" i="7"/>
  <c r="CA193" i="7"/>
  <c r="CA192" i="7"/>
  <c r="CA191" i="7"/>
  <c r="CA190" i="7"/>
  <c r="CA189" i="7"/>
  <c r="CA188" i="7"/>
  <c r="CA187" i="7"/>
  <c r="CA186" i="7"/>
  <c r="CA185" i="7"/>
  <c r="CA184" i="7"/>
  <c r="CA183" i="7"/>
  <c r="CA182" i="7"/>
  <c r="CA181" i="7"/>
  <c r="CA179" i="7"/>
  <c r="CA178" i="7"/>
  <c r="CA177" i="7"/>
  <c r="CA176" i="7"/>
  <c r="CA175" i="7"/>
  <c r="CA174" i="7"/>
  <c r="CA173" i="7"/>
  <c r="CA172" i="7"/>
  <c r="CA171" i="7"/>
  <c r="CA170" i="7"/>
  <c r="CA169" i="7"/>
  <c r="CA168" i="7"/>
  <c r="CA167" i="7"/>
  <c r="CA165" i="7"/>
  <c r="CA164" i="7"/>
  <c r="CA163" i="7"/>
  <c r="CA162" i="7"/>
  <c r="CA161" i="7"/>
  <c r="CA160" i="7"/>
  <c r="CA159" i="7"/>
  <c r="CA158" i="7"/>
  <c r="CA157" i="7"/>
  <c r="CA156" i="7"/>
  <c r="CA155" i="7"/>
  <c r="CA154" i="7"/>
  <c r="CA153" i="7"/>
  <c r="CA151" i="7"/>
  <c r="CA150" i="7"/>
  <c r="CA149" i="7"/>
  <c r="CA148" i="7"/>
  <c r="CA147" i="7"/>
  <c r="CA146" i="7"/>
  <c r="CA145" i="7"/>
  <c r="CA144" i="7"/>
  <c r="CA143" i="7"/>
  <c r="CA142" i="7"/>
  <c r="CA141" i="7"/>
  <c r="CA140" i="7"/>
  <c r="CA139" i="7"/>
  <c r="CA137" i="7"/>
  <c r="CA136" i="7"/>
  <c r="CA135" i="7"/>
  <c r="CA134" i="7"/>
  <c r="CA133" i="7"/>
  <c r="CA132" i="7"/>
  <c r="CA131" i="7"/>
  <c r="CA130" i="7"/>
  <c r="CA129" i="7"/>
  <c r="CA128" i="7"/>
  <c r="CA127" i="7"/>
  <c r="CA126" i="7"/>
  <c r="CA125" i="7"/>
  <c r="CA123" i="7"/>
  <c r="CA122" i="7"/>
  <c r="CA121" i="7"/>
  <c r="CA120" i="7"/>
  <c r="CA119" i="7"/>
  <c r="CA118" i="7"/>
  <c r="CA117" i="7"/>
  <c r="CA116" i="7"/>
  <c r="CA115" i="7"/>
  <c r="CA114" i="7"/>
  <c r="CA113" i="7"/>
  <c r="CA112" i="7"/>
  <c r="CA111" i="7"/>
  <c r="CA109" i="7"/>
  <c r="CA108" i="7"/>
  <c r="CA107" i="7"/>
  <c r="CA106" i="7"/>
  <c r="CA105" i="7"/>
  <c r="CA104" i="7"/>
  <c r="CA103" i="7"/>
  <c r="CA102" i="7"/>
  <c r="CA101" i="7"/>
  <c r="CA100" i="7"/>
  <c r="CA99" i="7"/>
  <c r="CA98" i="7"/>
  <c r="CA97" i="7"/>
  <c r="CA95" i="7"/>
  <c r="CA94" i="7"/>
  <c r="CA93" i="7"/>
  <c r="CA92" i="7"/>
  <c r="CA91" i="7"/>
  <c r="CA90" i="7"/>
  <c r="CA89" i="7"/>
  <c r="CA88" i="7"/>
  <c r="CA87" i="7"/>
  <c r="CA86" i="7"/>
  <c r="CA85" i="7"/>
  <c r="CA84" i="7"/>
  <c r="CA83" i="7"/>
  <c r="CA81" i="7"/>
  <c r="CA80" i="7"/>
  <c r="CA79" i="7"/>
  <c r="CA78" i="7"/>
  <c r="CA77" i="7"/>
  <c r="CA76" i="7"/>
  <c r="CA75" i="7"/>
  <c r="CA74" i="7"/>
  <c r="CA73" i="7"/>
  <c r="CA72" i="7"/>
  <c r="CA71" i="7"/>
  <c r="CA70" i="7"/>
  <c r="CA69" i="7"/>
  <c r="CA67" i="7"/>
  <c r="CA66" i="7"/>
  <c r="CA65" i="7"/>
  <c r="CA64" i="7"/>
  <c r="CA63" i="7"/>
  <c r="CA62" i="7"/>
  <c r="CA61" i="7"/>
  <c r="CA60" i="7"/>
  <c r="CA59" i="7"/>
  <c r="CA58" i="7"/>
  <c r="CA57" i="7"/>
  <c r="CA56" i="7"/>
  <c r="CA55" i="7"/>
  <c r="CA53" i="7"/>
  <c r="CA52" i="7"/>
  <c r="CA51" i="7"/>
  <c r="CA50" i="7"/>
  <c r="CA49" i="7"/>
  <c r="CA48" i="7"/>
  <c r="CA47" i="7"/>
  <c r="CA46" i="7"/>
  <c r="CA45" i="7"/>
  <c r="CA44" i="7"/>
  <c r="CA43" i="7"/>
  <c r="CA42" i="7"/>
  <c r="CA41" i="7"/>
  <c r="CA39" i="7"/>
  <c r="CA38" i="7"/>
  <c r="CA37" i="7"/>
  <c r="CA36" i="7"/>
  <c r="CA35" i="7"/>
  <c r="CA34" i="7"/>
  <c r="CA33" i="7"/>
  <c r="CA32" i="7"/>
  <c r="CA31" i="7"/>
  <c r="CA30" i="7"/>
  <c r="CA29" i="7"/>
  <c r="CA28" i="7"/>
  <c r="CA27" i="7"/>
  <c r="CA25" i="7"/>
  <c r="CA24" i="7"/>
  <c r="CA23" i="7"/>
  <c r="CA22" i="7"/>
  <c r="CA21" i="7"/>
  <c r="CA20" i="7"/>
  <c r="CA19" i="7"/>
  <c r="CA18" i="7"/>
  <c r="CA17" i="7"/>
  <c r="CA16" i="7"/>
  <c r="CA15" i="7"/>
  <c r="CA14" i="7"/>
  <c r="CC502" i="6" l="1"/>
  <c r="CC501" i="6" l="1"/>
  <c r="CC500" i="6" l="1"/>
  <c r="CC498" i="6" l="1"/>
  <c r="CC497" i="6" l="1"/>
  <c r="CC495" i="6" l="1"/>
  <c r="CC494" i="6" l="1"/>
  <c r="CC493" i="6" l="1"/>
  <c r="CC492" i="6" l="1"/>
  <c r="CC491" i="6" l="1"/>
  <c r="CC490" i="6" l="1"/>
  <c r="CC489" i="6" l="1"/>
  <c r="CC488" i="6" l="1"/>
  <c r="CC487" i="6" l="1"/>
  <c r="CC485" i="6" l="1"/>
  <c r="CC484" i="6" l="1"/>
  <c r="CC483" i="6" l="1"/>
  <c r="CC482" i="6" l="1"/>
  <c r="CC481" i="6" l="1"/>
  <c r="CC480" i="6" l="1"/>
  <c r="CC479" i="6" l="1"/>
  <c r="CC478" i="6" l="1"/>
  <c r="CC477" i="6" l="1"/>
  <c r="CC475" i="6" l="1"/>
  <c r="CC474" i="6" l="1"/>
  <c r="CC473" i="6" l="1"/>
  <c r="CC472" i="6" l="1"/>
  <c r="CC471" i="6" l="1"/>
  <c r="CC470" i="6" l="1"/>
  <c r="CC469" i="6" l="1"/>
  <c r="BU109" i="5"/>
  <c r="BS93" i="2"/>
  <c r="BS415" i="5"/>
  <c r="BR104" i="6"/>
  <c r="BU412" i="6"/>
  <c r="BT31" i="6"/>
  <c r="BU89" i="2"/>
  <c r="BR165" i="5"/>
  <c r="BV174" i="5"/>
  <c r="BU157" i="2"/>
  <c r="BV89" i="6"/>
  <c r="BR308" i="7"/>
  <c r="BR383" i="5"/>
  <c r="BR259" i="2"/>
  <c r="BV30" i="5"/>
  <c r="BU104" i="5"/>
  <c r="BR216" i="7"/>
  <c r="BR363" i="6"/>
  <c r="BT87" i="6"/>
  <c r="BT367" i="5"/>
  <c r="BU482" i="6"/>
  <c r="BT80" i="2"/>
  <c r="BR134" i="6"/>
  <c r="BV342" i="5"/>
  <c r="BT395" i="6"/>
  <c r="BU64" i="5"/>
  <c r="BS301" i="5"/>
  <c r="BR42" i="7"/>
  <c r="BT405" i="5"/>
  <c r="BU93" i="2"/>
  <c r="BR301" i="7"/>
  <c r="BR165" i="7"/>
  <c r="BR345" i="6"/>
  <c r="BU25" i="5"/>
  <c r="BS435" i="6"/>
  <c r="BR154" i="7"/>
  <c r="BR47" i="6"/>
  <c r="BS382" i="2"/>
  <c r="BR485" i="5"/>
  <c r="BR52" i="5"/>
  <c r="BV245" i="6"/>
  <c r="BU347" i="2"/>
  <c r="BR83" i="6"/>
  <c r="BT151" i="6"/>
  <c r="BU289" i="6"/>
  <c r="BR389" i="6"/>
  <c r="BV421" i="6"/>
  <c r="BT448" i="2"/>
  <c r="BR34" i="5"/>
  <c r="BU373" i="6"/>
  <c r="BV453" i="6"/>
  <c r="BV429" i="5"/>
  <c r="BU183" i="6"/>
  <c r="BS294" i="2"/>
  <c r="BT273" i="6"/>
  <c r="BU374" i="6"/>
  <c r="BU448" i="6"/>
  <c r="BR458" i="5"/>
  <c r="BV189" i="2"/>
  <c r="BR317" i="6"/>
  <c r="BS282" i="5"/>
  <c r="BV244" i="2"/>
  <c r="BV479" i="6"/>
  <c r="BU126" i="6"/>
  <c r="BR334" i="6"/>
  <c r="BR282" i="2"/>
  <c r="BR154" i="5"/>
  <c r="BS412" i="2"/>
  <c r="BU410" i="5"/>
  <c r="BR68" i="2"/>
  <c r="BR350" i="6"/>
  <c r="BU359" i="5"/>
  <c r="BU27" i="2"/>
  <c r="BT177" i="6"/>
  <c r="BU187" i="2"/>
  <c r="BU382" i="5"/>
  <c r="BU100" i="6"/>
  <c r="BT245" i="2"/>
  <c r="BR39" i="6"/>
  <c r="BS166" i="5"/>
  <c r="BS142" i="2"/>
  <c r="BS42" i="5"/>
  <c r="BS441" i="6"/>
  <c r="BS420" i="5"/>
  <c r="BR388" i="6"/>
  <c r="BS206" i="5"/>
  <c r="BR305" i="7"/>
  <c r="BS106" i="5"/>
  <c r="BV83" i="5"/>
  <c r="BS260" i="5"/>
  <c r="BV93" i="2"/>
  <c r="BR142" i="2"/>
  <c r="BV432" i="6"/>
  <c r="BS304" i="2"/>
  <c r="BR131" i="7"/>
  <c r="BT208" i="2"/>
  <c r="BS215" i="5"/>
  <c r="BV364" i="6"/>
  <c r="BR309" i="2"/>
  <c r="BU498" i="6"/>
  <c r="BR136" i="6"/>
  <c r="BR93" i="6"/>
  <c r="BT89" i="6"/>
  <c r="BV308" i="6"/>
  <c r="BT420" i="6"/>
  <c r="BR258" i="5"/>
  <c r="BT16" i="6"/>
  <c r="BU70" i="2"/>
  <c r="BR125" i="6"/>
  <c r="BS299" i="2"/>
  <c r="BS463" i="6"/>
  <c r="BS78" i="6"/>
  <c r="BU280" i="2"/>
  <c r="BR333" i="6"/>
  <c r="BR488" i="2"/>
  <c r="BU433" i="2"/>
  <c r="BS434" i="6"/>
  <c r="BS47" i="2"/>
  <c r="BR249" i="5"/>
  <c r="BS239" i="5"/>
  <c r="BV502" i="5"/>
  <c r="BR430" i="2"/>
  <c r="BV300" i="2"/>
  <c r="BV323" i="5"/>
  <c r="BU284" i="5"/>
  <c r="BT320" i="2"/>
  <c r="BP324" i="2"/>
  <c r="BR352" i="6"/>
  <c r="BS149" i="6"/>
  <c r="BV293" i="6"/>
  <c r="BT377" i="5"/>
  <c r="BS86" i="6"/>
  <c r="BS350" i="6"/>
  <c r="BV206" i="2"/>
  <c r="BS473" i="5"/>
  <c r="BT223" i="5"/>
  <c r="BT181" i="6"/>
  <c r="BS158" i="2"/>
  <c r="BU169" i="2"/>
  <c r="BR167" i="7"/>
  <c r="BT321" i="2"/>
  <c r="BV425" i="5"/>
  <c r="BS349" i="6"/>
  <c r="BT294" i="5"/>
  <c r="BT114" i="2"/>
  <c r="BS308" i="2"/>
  <c r="BR125" i="2"/>
  <c r="BT258" i="5"/>
  <c r="BU234" i="6"/>
  <c r="BR222" i="6"/>
  <c r="BR107" i="7"/>
  <c r="BR53" i="5"/>
  <c r="BR475" i="5"/>
  <c r="BR357" i="6"/>
  <c r="BR469" i="5"/>
  <c r="BU353" i="2"/>
  <c r="BU260" i="5"/>
  <c r="BR196" i="7"/>
  <c r="BS309" i="2"/>
  <c r="BR140" i="7"/>
  <c r="BU377" i="6"/>
  <c r="BS225" i="6"/>
  <c r="BT76" i="5"/>
  <c r="BV134" i="6"/>
  <c r="BS275" i="6"/>
  <c r="BT482" i="5"/>
  <c r="BU57" i="2"/>
  <c r="BT157" i="2"/>
  <c r="BU288" i="5"/>
  <c r="BV133" i="2"/>
  <c r="BS318" i="5"/>
  <c r="BS474" i="2"/>
  <c r="BT409" i="2"/>
  <c r="BU490" i="5"/>
  <c r="BT211" i="6"/>
  <c r="BV127" i="2"/>
  <c r="BT433" i="6"/>
  <c r="BS213" i="2"/>
  <c r="BU277" i="6"/>
  <c r="BS189" i="5"/>
  <c r="BS183" i="6"/>
  <c r="BT250" i="2"/>
  <c r="BT44" i="2"/>
  <c r="BP337" i="2"/>
  <c r="BS158" i="6"/>
  <c r="BU301" i="6"/>
  <c r="BR331" i="2"/>
  <c r="BR285" i="7"/>
  <c r="BT484" i="2"/>
  <c r="BS292" i="6"/>
  <c r="BV94" i="6"/>
  <c r="BS279" i="2"/>
  <c r="BT402" i="6"/>
  <c r="BU143" i="5"/>
  <c r="BR280" i="7"/>
  <c r="BT183" i="5"/>
  <c r="BU388" i="5"/>
  <c r="BT387" i="2"/>
  <c r="BR235" i="6"/>
  <c r="BU465" i="2"/>
  <c r="BR157" i="5"/>
  <c r="BS163" i="6"/>
  <c r="BV149" i="6"/>
  <c r="BT122" i="5"/>
  <c r="BR267" i="6"/>
  <c r="BS265" i="6"/>
  <c r="BV86" i="5"/>
  <c r="BT263" i="6"/>
  <c r="BS188" i="6"/>
  <c r="BT451" i="2"/>
  <c r="BU183" i="5"/>
  <c r="BV137" i="5"/>
  <c r="BT265" i="6"/>
  <c r="BS337" i="2"/>
  <c r="BT19" i="2"/>
  <c r="BU39" i="6"/>
  <c r="BT207" i="5"/>
  <c r="BS34" i="6"/>
  <c r="BR175" i="6"/>
  <c r="BT434" i="6"/>
  <c r="BU443" i="5"/>
  <c r="BV271" i="6"/>
  <c r="BU354" i="5"/>
  <c r="BR345" i="5"/>
  <c r="BV311" i="2"/>
  <c r="BS257" i="6"/>
  <c r="BT188" i="5"/>
  <c r="BS34" i="5"/>
  <c r="BS452" i="6"/>
  <c r="BS226" i="2"/>
  <c r="BP385" i="2"/>
  <c r="BU343" i="6"/>
  <c r="BV29" i="6"/>
  <c r="BS127" i="5"/>
  <c r="BP383" i="2"/>
  <c r="BR160" i="6"/>
  <c r="BT453" i="2"/>
  <c r="BV107" i="6"/>
  <c r="BU450" i="2"/>
  <c r="BV281" i="6"/>
  <c r="BU457" i="2"/>
  <c r="BR319" i="7"/>
  <c r="BS89" i="5"/>
  <c r="BR84" i="7"/>
  <c r="BV87" i="6"/>
  <c r="BT200" i="6"/>
  <c r="BR417" i="5"/>
  <c r="BV55" i="5"/>
  <c r="BV75" i="6"/>
  <c r="BV432" i="2"/>
  <c r="BS44" i="5"/>
  <c r="BT143" i="6"/>
  <c r="BV58" i="2"/>
  <c r="BS21" i="2"/>
  <c r="BU403" i="2"/>
  <c r="BU16" i="6"/>
  <c r="BR53" i="2"/>
  <c r="BT453" i="6"/>
  <c r="BV281" i="2"/>
  <c r="BV80" i="6"/>
  <c r="BV307" i="2"/>
  <c r="BR57" i="7"/>
  <c r="BV360" i="5"/>
  <c r="BR246" i="6"/>
  <c r="BS221" i="5"/>
  <c r="BT197" i="6"/>
  <c r="BS16" i="2"/>
  <c r="BR122" i="2"/>
  <c r="BU393" i="2"/>
  <c r="BU246" i="5"/>
  <c r="BS355" i="2"/>
  <c r="BR310" i="2"/>
  <c r="BR423" i="6"/>
  <c r="BS311" i="5"/>
  <c r="BU318" i="2"/>
  <c r="BU312" i="2"/>
  <c r="BR205" i="6"/>
  <c r="BS291" i="2"/>
  <c r="BR167" i="2"/>
  <c r="BU45" i="5"/>
  <c r="BS428" i="5"/>
  <c r="BT367" i="2"/>
  <c r="BS268" i="5"/>
  <c r="BU136" i="2"/>
  <c r="BR222" i="5"/>
  <c r="BS267" i="5"/>
  <c r="BR81" i="5"/>
  <c r="BR143" i="7"/>
  <c r="BV237" i="2"/>
  <c r="BU405" i="6"/>
  <c r="BT245" i="5"/>
  <c r="BR405" i="5"/>
  <c r="BU173" i="5"/>
  <c r="BR491" i="5"/>
  <c r="BV153" i="5"/>
  <c r="BS407" i="6"/>
  <c r="BR140" i="5"/>
  <c r="BS277" i="5"/>
  <c r="BU105" i="2"/>
  <c r="BR168" i="7"/>
  <c r="BR55" i="7"/>
  <c r="BT100" i="5"/>
  <c r="BU333" i="6"/>
  <c r="BT46" i="2"/>
  <c r="BR273" i="2"/>
  <c r="BR491" i="6"/>
  <c r="BU151" i="6"/>
  <c r="BR139" i="2"/>
  <c r="BS490" i="2"/>
  <c r="BS159" i="5"/>
  <c r="BR355" i="5"/>
  <c r="BS364" i="6"/>
  <c r="BV188" i="6"/>
  <c r="BV278" i="5"/>
  <c r="BR451" i="6"/>
  <c r="BV160" i="2"/>
  <c r="BS325" i="6"/>
  <c r="BR129" i="7"/>
  <c r="BT488" i="5"/>
  <c r="BS305" i="5"/>
  <c r="BS100" i="5"/>
  <c r="BS188" i="5"/>
  <c r="BV50" i="2"/>
  <c r="BS244" i="5"/>
  <c r="BT335" i="2"/>
  <c r="BU282" i="5"/>
  <c r="BV464" i="6"/>
  <c r="BU337" i="2"/>
  <c r="BU222" i="6"/>
  <c r="BS500" i="5"/>
  <c r="BU457" i="6"/>
  <c r="BV92" i="5"/>
  <c r="BV292" i="2"/>
  <c r="BS251" i="6"/>
  <c r="BR353" i="5"/>
  <c r="BU177" i="2"/>
  <c r="BV76" i="6"/>
  <c r="BV410" i="2"/>
  <c r="BR330" i="5"/>
  <c r="BS64" i="5"/>
  <c r="BS89" i="6"/>
  <c r="BT311" i="2"/>
  <c r="BR243" i="6"/>
  <c r="BP378" i="2"/>
  <c r="BR130" i="7"/>
  <c r="BU45" i="2"/>
  <c r="BV435" i="6"/>
  <c r="BU64" i="2"/>
  <c r="BR230" i="2"/>
  <c r="BT495" i="2"/>
  <c r="BU409" i="6"/>
  <c r="BR203" i="6"/>
  <c r="BS382" i="6"/>
  <c r="BS193" i="6"/>
  <c r="BT459" i="5"/>
  <c r="BS92" i="6"/>
  <c r="BP354" i="2"/>
  <c r="BR59" i="6"/>
  <c r="BT66" i="5"/>
  <c r="BR301" i="6"/>
  <c r="BR162" i="7"/>
  <c r="BT355" i="6"/>
  <c r="BS22" i="5"/>
  <c r="BT217" i="6"/>
  <c r="BT437" i="5"/>
  <c r="BT347" i="5"/>
  <c r="BR183" i="7"/>
  <c r="BS15" i="5"/>
  <c r="BR128" i="5"/>
  <c r="BT322" i="6"/>
  <c r="BR80" i="7"/>
  <c r="BR40" i="6"/>
  <c r="BS246" i="2"/>
  <c r="BU322" i="5"/>
  <c r="BV477" i="2"/>
  <c r="BT238" i="5"/>
  <c r="BS383" i="2"/>
  <c r="BT361" i="5"/>
  <c r="BV105" i="2"/>
  <c r="BU49" i="2"/>
  <c r="BV492" i="6"/>
  <c r="BV75" i="2"/>
  <c r="BV61" i="6"/>
  <c r="BT372" i="6"/>
  <c r="BS223" i="5"/>
  <c r="BR407" i="6"/>
  <c r="BT26" i="5"/>
  <c r="BR73" i="7"/>
  <c r="BU432" i="5"/>
  <c r="BV288" i="6"/>
  <c r="BR211" i="2"/>
  <c r="BT465" i="5"/>
  <c r="BR97" i="6"/>
  <c r="BS214" i="5"/>
  <c r="BT185" i="5"/>
  <c r="BU182" i="2"/>
  <c r="BT112" i="5"/>
  <c r="BV35" i="2"/>
  <c r="BS14" i="6"/>
  <c r="BT255" i="2"/>
  <c r="BU401" i="6"/>
  <c r="BT374" i="6"/>
  <c r="BR300" i="7"/>
  <c r="BT129" i="6"/>
  <c r="BT53" i="6"/>
  <c r="BV364" i="5"/>
  <c r="BR14" i="6"/>
  <c r="BR474" i="5"/>
  <c r="BU102" i="6"/>
  <c r="BR218" i="7"/>
  <c r="BR101" i="6"/>
  <c r="BU308" i="6"/>
  <c r="BR134" i="7"/>
  <c r="BV230" i="6"/>
  <c r="BS305" i="6"/>
  <c r="BR66" i="7"/>
  <c r="BV253" i="6"/>
  <c r="BR280" i="5"/>
  <c r="BS105" i="5"/>
  <c r="BU470" i="2"/>
  <c r="BR304" i="6"/>
  <c r="BS321" i="2"/>
  <c r="BU227" i="5"/>
  <c r="BT20" i="5"/>
  <c r="BV214" i="5"/>
  <c r="BV402" i="2"/>
  <c r="BV191" i="6"/>
  <c r="BR41" i="7"/>
  <c r="BV59" i="2"/>
  <c r="BR241" i="7"/>
  <c r="BR172" i="5"/>
  <c r="BS210" i="5"/>
  <c r="BV233" i="6"/>
  <c r="BS472" i="5"/>
  <c r="BV165" i="5"/>
  <c r="BU310" i="2"/>
  <c r="BU447" i="5"/>
  <c r="BS266" i="5"/>
  <c r="BT56" i="6"/>
  <c r="BR275" i="6"/>
  <c r="BV345" i="6"/>
  <c r="BU357" i="2"/>
  <c r="BV123" i="6"/>
  <c r="BP279" i="2"/>
  <c r="BR116" i="7"/>
  <c r="BT78" i="6"/>
  <c r="BS218" i="5"/>
  <c r="BS68" i="2"/>
  <c r="BV282" i="6"/>
  <c r="BS410" i="2"/>
  <c r="BS458" i="6"/>
  <c r="BR384" i="2"/>
  <c r="BV304" i="2"/>
  <c r="BV294" i="5"/>
  <c r="BR214" i="7"/>
  <c r="BR244" i="7"/>
  <c r="BT460" i="2"/>
  <c r="BU20" i="6"/>
  <c r="BS381" i="2"/>
  <c r="BU124" i="6"/>
  <c r="BU151" i="2"/>
  <c r="BU194" i="5"/>
  <c r="BU493" i="2"/>
  <c r="BT229" i="2"/>
  <c r="BT444" i="5"/>
  <c r="BT369" i="5"/>
  <c r="BV312" i="6"/>
  <c r="BR380" i="6"/>
  <c r="BS398" i="6"/>
  <c r="BS325" i="5"/>
  <c r="BR187" i="7"/>
  <c r="BU255" i="5"/>
  <c r="BR310" i="7"/>
  <c r="BR35" i="2"/>
  <c r="BS93" i="6"/>
  <c r="BT355" i="2"/>
  <c r="BU86" i="6"/>
  <c r="BT403" i="5"/>
  <c r="BV292" i="6"/>
  <c r="BS410" i="6"/>
  <c r="BS42" i="2"/>
  <c r="BT27" i="2"/>
  <c r="BV162" i="5"/>
  <c r="BU323" i="5"/>
  <c r="BT269" i="5"/>
  <c r="BU233" i="2"/>
  <c r="BR151" i="2"/>
  <c r="BU393" i="6"/>
  <c r="BU489" i="5"/>
  <c r="BT147" i="6"/>
  <c r="BT425" i="5"/>
  <c r="BV152" i="5"/>
  <c r="BR266" i="6"/>
  <c r="BR64" i="2"/>
  <c r="BS101" i="2"/>
  <c r="BS81" i="5"/>
  <c r="BS129" i="2"/>
  <c r="BR131" i="5"/>
  <c r="BV327" i="2"/>
  <c r="BV301" i="6"/>
  <c r="BU247" i="6"/>
  <c r="BS462" i="5"/>
  <c r="BU199" i="6"/>
  <c r="BU443" i="6"/>
  <c r="BU444" i="2"/>
  <c r="BS297" i="6"/>
  <c r="BV38" i="2"/>
  <c r="BS136" i="6"/>
  <c r="BR71" i="2"/>
  <c r="BU431" i="6"/>
  <c r="BS411" i="6"/>
  <c r="BR20" i="5"/>
  <c r="BV325" i="2"/>
  <c r="BS474" i="6"/>
  <c r="BV230" i="2"/>
  <c r="BV179" i="2"/>
  <c r="BR163" i="2"/>
  <c r="BR315" i="6"/>
  <c r="BR501" i="6"/>
  <c r="BT258" i="2"/>
  <c r="BT267" i="2"/>
  <c r="BU394" i="5"/>
  <c r="BV126" i="6"/>
  <c r="BR395" i="6"/>
  <c r="BR360" i="6"/>
  <c r="BR253" i="7"/>
  <c r="BS428" i="2"/>
  <c r="BU65" i="5"/>
  <c r="BV445" i="5"/>
  <c r="BU422" i="5"/>
  <c r="BT413" i="6"/>
  <c r="BR338" i="2"/>
  <c r="BP318" i="2"/>
  <c r="BS372" i="5"/>
  <c r="BT71" i="6"/>
  <c r="BR498" i="5"/>
  <c r="BT195" i="2"/>
  <c r="BS256" i="5"/>
  <c r="BV172" i="5"/>
  <c r="BR489" i="6"/>
  <c r="BS230" i="2"/>
  <c r="BS154" i="2"/>
  <c r="BR67" i="7"/>
  <c r="BS280" i="5"/>
  <c r="BU237" i="2"/>
  <c r="BV155" i="2"/>
  <c r="BU175" i="6"/>
  <c r="BT61" i="6"/>
  <c r="BV136" i="2"/>
  <c r="BU470" i="6"/>
  <c r="BR281" i="6"/>
  <c r="BR248" i="6"/>
  <c r="BP370" i="2"/>
  <c r="BT370" i="2"/>
  <c r="BS491" i="5"/>
  <c r="BR162" i="6"/>
  <c r="BV454" i="5"/>
  <c r="BT445" i="6"/>
  <c r="BR43" i="6"/>
  <c r="BU387" i="5"/>
  <c r="BU251" i="5"/>
  <c r="BV229" i="5"/>
  <c r="BU354" i="6"/>
  <c r="BR25" i="2"/>
  <c r="BV142" i="5"/>
  <c r="BU318" i="5"/>
  <c r="BR389" i="2"/>
  <c r="BT318" i="5"/>
  <c r="BS405" i="6"/>
  <c r="BU246" i="2"/>
  <c r="BR77" i="2"/>
  <c r="BU205" i="2"/>
  <c r="BR485" i="2"/>
  <c r="BT230" i="5"/>
  <c r="BR447" i="5"/>
  <c r="BV27" i="6"/>
  <c r="BU413" i="6"/>
  <c r="BS335" i="6"/>
  <c r="BT128" i="5"/>
  <c r="BR239" i="6"/>
  <c r="BV303" i="6"/>
  <c r="BR387" i="5"/>
  <c r="BV115" i="5"/>
  <c r="BR45" i="6"/>
  <c r="BS159" i="6"/>
  <c r="BT324" i="6"/>
  <c r="BT202" i="2"/>
  <c r="BU272" i="6"/>
  <c r="BV313" i="5"/>
  <c r="BR318" i="6"/>
  <c r="BS165" i="6"/>
  <c r="BV31" i="6"/>
  <c r="BR89" i="5"/>
  <c r="BU141" i="6"/>
  <c r="BV197" i="6"/>
  <c r="BU14" i="6"/>
  <c r="BU41" i="5"/>
  <c r="BV175" i="6"/>
  <c r="BV272" i="5"/>
  <c r="BV472" i="6"/>
  <c r="BS76" i="2"/>
  <c r="BR339" i="5"/>
  <c r="BV291" i="5"/>
  <c r="BS440" i="6"/>
  <c r="BT290" i="5"/>
  <c r="BR46" i="2"/>
  <c r="BV187" i="6"/>
  <c r="BT247" i="2"/>
  <c r="BV109" i="6"/>
  <c r="BV289" i="6"/>
  <c r="BU155" i="6"/>
  <c r="BR342" i="6"/>
  <c r="BS151" i="5"/>
  <c r="BV391" i="6"/>
  <c r="BR378" i="5"/>
  <c r="BU458" i="5"/>
  <c r="BR20" i="2"/>
  <c r="BR434" i="5"/>
  <c r="BT319" i="6"/>
  <c r="BV170" i="6"/>
  <c r="BT58" i="2"/>
  <c r="BS394" i="6"/>
  <c r="BT427" i="6"/>
  <c r="BS431" i="6"/>
  <c r="BS494" i="5"/>
  <c r="BS500" i="2"/>
  <c r="BR185" i="6"/>
  <c r="BV133" i="6"/>
  <c r="BT28" i="2"/>
  <c r="BS399" i="5"/>
  <c r="BU101" i="5"/>
  <c r="BV462" i="6"/>
  <c r="BU29" i="5"/>
  <c r="BR159" i="5"/>
  <c r="BU80" i="5"/>
  <c r="BR233" i="6"/>
  <c r="BS459" i="2"/>
  <c r="BS447" i="2"/>
  <c r="BR181" i="7"/>
  <c r="BR33" i="7"/>
  <c r="BR438" i="2"/>
  <c r="BT289" i="6"/>
  <c r="BR385" i="6"/>
  <c r="BV220" i="6"/>
  <c r="BT447" i="2"/>
  <c r="BS82" i="6"/>
  <c r="BR32" i="5"/>
  <c r="BV200" i="6"/>
  <c r="BS333" i="6"/>
  <c r="BT502" i="5"/>
  <c r="BT233" i="2"/>
  <c r="BV121" i="2"/>
  <c r="BS135" i="2"/>
  <c r="BR43" i="7"/>
  <c r="BT305" i="6"/>
  <c r="BR303" i="5"/>
  <c r="BT439" i="6"/>
  <c r="BS40" i="2"/>
  <c r="BU275" i="6"/>
  <c r="BS455" i="6"/>
  <c r="BV502" i="2"/>
  <c r="BR401" i="6"/>
  <c r="BU99" i="5"/>
  <c r="BR147" i="2"/>
  <c r="BV288" i="5"/>
  <c r="BU205" i="6"/>
  <c r="BT212" i="6"/>
  <c r="BV236" i="2"/>
  <c r="BU166" i="2"/>
  <c r="BU431" i="2"/>
  <c r="BS487" i="6"/>
  <c r="BR393" i="6"/>
  <c r="BS262" i="6"/>
  <c r="BV470" i="6"/>
  <c r="BV58" i="5"/>
  <c r="BR176" i="5"/>
  <c r="BS55" i="2"/>
  <c r="BS16" i="6"/>
  <c r="BT363" i="2"/>
  <c r="BR478" i="5"/>
  <c r="BR290" i="7"/>
  <c r="BU81" i="5"/>
  <c r="BR245" i="7"/>
  <c r="BR458" i="6"/>
  <c r="BR252" i="7"/>
  <c r="BV159" i="2"/>
  <c r="BR78" i="5"/>
  <c r="BU481" i="6"/>
  <c r="BT152" i="6"/>
  <c r="BV49" i="6"/>
  <c r="BV434" i="6"/>
  <c r="BU473" i="5"/>
  <c r="BS239" i="2"/>
  <c r="BT344" i="2"/>
  <c r="BR211" i="7"/>
  <c r="BR487" i="2"/>
  <c r="BS197" i="6"/>
  <c r="BR74" i="5"/>
  <c r="BV104" i="2"/>
  <c r="BR219" i="7"/>
  <c r="BV290" i="5"/>
  <c r="BR209" i="6"/>
  <c r="BU227" i="6"/>
  <c r="BT420" i="2"/>
  <c r="BV452" i="6"/>
  <c r="BR71" i="6"/>
  <c r="BT374" i="5"/>
  <c r="BS110" i="6"/>
  <c r="BV121" i="5"/>
  <c r="BV124" i="6"/>
  <c r="BV23" i="2"/>
  <c r="BT285" i="5"/>
  <c r="BR27" i="2"/>
  <c r="BS46" i="2"/>
  <c r="BV445" i="2"/>
  <c r="BS389" i="5"/>
  <c r="BU159" i="5"/>
  <c r="BR267" i="5"/>
  <c r="BS412" i="5"/>
  <c r="BU255" i="6"/>
  <c r="BR443" i="2"/>
  <c r="BU179" i="2"/>
  <c r="BV141" i="2"/>
  <c r="BR277" i="6"/>
  <c r="BV450" i="2"/>
  <c r="BS305" i="2"/>
  <c r="BV137" i="2"/>
  <c r="BV277" i="6"/>
  <c r="BT199" i="5"/>
  <c r="BT309" i="5"/>
  <c r="BS79" i="5"/>
  <c r="BP308" i="2"/>
  <c r="BR405" i="6"/>
  <c r="BS167" i="5"/>
  <c r="BU284" i="2"/>
  <c r="BS245" i="6"/>
  <c r="BR88" i="7"/>
  <c r="BU188" i="5"/>
  <c r="BU62" i="6"/>
  <c r="BT154" i="2"/>
  <c r="BR237" i="5"/>
  <c r="BT254" i="5"/>
  <c r="BS384" i="5"/>
  <c r="BS219" i="5"/>
  <c r="BT119" i="2"/>
  <c r="BS86" i="5"/>
  <c r="BV369" i="5"/>
  <c r="BR278" i="6"/>
  <c r="BT344" i="6"/>
  <c r="BT140" i="6"/>
  <c r="BU394" i="6"/>
  <c r="BV199" i="6"/>
  <c r="BR339" i="6"/>
  <c r="BU82" i="6"/>
  <c r="BV433" i="5"/>
  <c r="BU444" i="5"/>
  <c r="BU319" i="5"/>
  <c r="BS231" i="6"/>
  <c r="BU47" i="5"/>
  <c r="BR17" i="7"/>
  <c r="BR193" i="6"/>
  <c r="BU362" i="5"/>
  <c r="BV392" i="6"/>
  <c r="BS289" i="5"/>
  <c r="BT107" i="6"/>
  <c r="BU137" i="6"/>
  <c r="BT338" i="2"/>
  <c r="BR392" i="6"/>
  <c r="BT183" i="2"/>
  <c r="BR290" i="5"/>
  <c r="BS399" i="6"/>
  <c r="BT410" i="2"/>
  <c r="BT243" i="2"/>
  <c r="BU43" i="2"/>
  <c r="BS367" i="5"/>
  <c r="BR48" i="7"/>
  <c r="BV65" i="5"/>
  <c r="BS112" i="5"/>
  <c r="BR435" i="5"/>
  <c r="BU307" i="2"/>
  <c r="BR77" i="7"/>
  <c r="BV362" i="2"/>
  <c r="BR253" i="6"/>
  <c r="BT235" i="6"/>
  <c r="BV22" i="6"/>
  <c r="BR282" i="5"/>
  <c r="BT164" i="6"/>
  <c r="BU50" i="2"/>
  <c r="BU308" i="5"/>
  <c r="BU359" i="6"/>
  <c r="BV148" i="5"/>
  <c r="BS196" i="5"/>
  <c r="BR165" i="2"/>
  <c r="BV163" i="6"/>
  <c r="BR461" i="2"/>
  <c r="BR323" i="5"/>
  <c r="BV313" i="6"/>
  <c r="BV100" i="2"/>
  <c r="BS329" i="6"/>
  <c r="BS23" i="5"/>
  <c r="BS337" i="5"/>
  <c r="BS287" i="6"/>
  <c r="BS281" i="6"/>
  <c r="BS224" i="2"/>
  <c r="BU419" i="2"/>
  <c r="BV284" i="5"/>
  <c r="BT403" i="6"/>
  <c r="BR365" i="6"/>
  <c r="BU51" i="6"/>
  <c r="BR123" i="6"/>
  <c r="BT263" i="2"/>
  <c r="BT161" i="5"/>
  <c r="BS454" i="6"/>
  <c r="BT56" i="5"/>
  <c r="BU473" i="2"/>
  <c r="BT332" i="2"/>
  <c r="BS101" i="6"/>
  <c r="BR237" i="7"/>
  <c r="BV300" i="6"/>
  <c r="BR281" i="5"/>
  <c r="BT68" i="6"/>
  <c r="BV400" i="5"/>
  <c r="BV223" i="2"/>
  <c r="BV74" i="2"/>
  <c r="BS45" i="6"/>
  <c r="BV136" i="6"/>
  <c r="BT206" i="6"/>
  <c r="BU437" i="5"/>
  <c r="BU99" i="2"/>
  <c r="BV263" i="2"/>
  <c r="BT388" i="2"/>
  <c r="BV207" i="6"/>
  <c r="BT19" i="5"/>
  <c r="BR225" i="2"/>
  <c r="BV452" i="2"/>
  <c r="BV485" i="5"/>
  <c r="BT448" i="6"/>
  <c r="BT118" i="2"/>
  <c r="BU197" i="6"/>
  <c r="BS338" i="6"/>
  <c r="BU28" i="5"/>
  <c r="BS347" i="6"/>
  <c r="BS187" i="6"/>
  <c r="BS331" i="2"/>
  <c r="BS482" i="5"/>
  <c r="BV227" i="5"/>
  <c r="BU68" i="6"/>
  <c r="BV403" i="2"/>
  <c r="BR156" i="7"/>
  <c r="BU78" i="6"/>
  <c r="BS279" i="6"/>
  <c r="BV337" i="6"/>
  <c r="BT319" i="2"/>
  <c r="BT397" i="5"/>
  <c r="BT281" i="6"/>
  <c r="BT34" i="5"/>
  <c r="BT282" i="6"/>
  <c r="BR247" i="2"/>
  <c r="BU143" i="2"/>
  <c r="BV255" i="2"/>
  <c r="BR341" i="6"/>
  <c r="BV483" i="5"/>
  <c r="BU173" i="2"/>
  <c r="BS278" i="2"/>
  <c r="BR179" i="6"/>
  <c r="BS467" i="6"/>
  <c r="BU49" i="5"/>
  <c r="BS155" i="6"/>
  <c r="BU342" i="5"/>
  <c r="BS200" i="5"/>
  <c r="BS328" i="5"/>
  <c r="BR279" i="5"/>
  <c r="BR155" i="5"/>
  <c r="BV325" i="5"/>
  <c r="BS423" i="5"/>
  <c r="BS234" i="5"/>
  <c r="BS29" i="5"/>
  <c r="BR249" i="2"/>
  <c r="BR13" i="5"/>
  <c r="BR187" i="6"/>
  <c r="BR62" i="6"/>
  <c r="BS339" i="2"/>
  <c r="BV239" i="5"/>
  <c r="BR145" i="2"/>
  <c r="BT349" i="5"/>
  <c r="BT338" i="6"/>
  <c r="BS375" i="6"/>
  <c r="BR226" i="2"/>
  <c r="BU148" i="2"/>
  <c r="BS404" i="2"/>
  <c r="BR87" i="7"/>
  <c r="BR186" i="6"/>
  <c r="BS487" i="5"/>
  <c r="BR250" i="2"/>
  <c r="BV430" i="5"/>
  <c r="BR469" i="6"/>
  <c r="BU423" i="6"/>
  <c r="BU128" i="5"/>
  <c r="BT19" i="6"/>
  <c r="BR65" i="5"/>
  <c r="BS138" i="2"/>
  <c r="BS160" i="5"/>
  <c r="BR227" i="7"/>
  <c r="BV28" i="5"/>
  <c r="BV347" i="6"/>
  <c r="BR383" i="2"/>
  <c r="BU422" i="6"/>
  <c r="BU213" i="5"/>
  <c r="BV335" i="6"/>
  <c r="BV343" i="6"/>
  <c r="BT226" i="6"/>
  <c r="BR120" i="7"/>
  <c r="BR99" i="6"/>
  <c r="BR249" i="7"/>
  <c r="BV39" i="5"/>
  <c r="BV461" i="6"/>
  <c r="BT29" i="5"/>
  <c r="BV458" i="2"/>
  <c r="BS310" i="5"/>
  <c r="BT148" i="2"/>
  <c r="BS423" i="6"/>
  <c r="BS345" i="6"/>
  <c r="BT85" i="2"/>
  <c r="BP313" i="2"/>
  <c r="BU445" i="5"/>
  <c r="BP291" i="2"/>
  <c r="BV328" i="6"/>
  <c r="BU450" i="5"/>
  <c r="BR440" i="5"/>
  <c r="BU15" i="2"/>
  <c r="BU42" i="2"/>
  <c r="BS116" i="6"/>
  <c r="BS88" i="5"/>
  <c r="BU17" i="5"/>
  <c r="BT399" i="2"/>
  <c r="BP379" i="2"/>
  <c r="BT443" i="5"/>
  <c r="BR494" i="2"/>
  <c r="BT397" i="2"/>
  <c r="BS348" i="2"/>
  <c r="BU395" i="2"/>
  <c r="BR56" i="2"/>
  <c r="BV358" i="6"/>
  <c r="BT492" i="2"/>
  <c r="BS226" i="6"/>
  <c r="BV130" i="2"/>
  <c r="BV116" i="5"/>
  <c r="BS102" i="6"/>
  <c r="BT32" i="5"/>
  <c r="BR449" i="2"/>
  <c r="BU434" i="2"/>
  <c r="BR481" i="6"/>
  <c r="BS85" i="5"/>
  <c r="BS495" i="5"/>
  <c r="BS20" i="2"/>
  <c r="BV431" i="5"/>
  <c r="BT125" i="2"/>
  <c r="BS115" i="6"/>
  <c r="BS88" i="6"/>
  <c r="BR319" i="6"/>
  <c r="BU94" i="5"/>
  <c r="BR367" i="5"/>
  <c r="BR379" i="6"/>
  <c r="BV21" i="6"/>
  <c r="BU209" i="6"/>
  <c r="BR402" i="6"/>
  <c r="BU425" i="5"/>
  <c r="BS140" i="2"/>
  <c r="BR51" i="5"/>
  <c r="BR55" i="5"/>
  <c r="BU249" i="6"/>
  <c r="BT185" i="2"/>
  <c r="BS83" i="5"/>
  <c r="BT345" i="2"/>
  <c r="BU398" i="5"/>
  <c r="BR36" i="7"/>
  <c r="BP327" i="2"/>
  <c r="BV480" i="2"/>
  <c r="BV380" i="6"/>
  <c r="BV248" i="2"/>
  <c r="BU220" i="6"/>
  <c r="BV46" i="6"/>
  <c r="BR274" i="2"/>
  <c r="BS313" i="2"/>
  <c r="BS438" i="5"/>
  <c r="BR262" i="6"/>
  <c r="BS246" i="5"/>
  <c r="BP297" i="2"/>
  <c r="BT62" i="2"/>
  <c r="BS485" i="2"/>
  <c r="BR210" i="2"/>
  <c r="BS201" i="2"/>
  <c r="BV398" i="2"/>
  <c r="BU335" i="5"/>
  <c r="BR260" i="5"/>
  <c r="BR425" i="5"/>
  <c r="BS118" i="6"/>
  <c r="BR49" i="5"/>
  <c r="BV493" i="2"/>
  <c r="BR438" i="5"/>
  <c r="BV341" i="2"/>
  <c r="BS245" i="5"/>
  <c r="BV178" i="2"/>
  <c r="BR133" i="5"/>
  <c r="BV403" i="6"/>
  <c r="BS54" i="2"/>
  <c r="BR281" i="2"/>
  <c r="BU170" i="2"/>
  <c r="BU440" i="6"/>
  <c r="BU491" i="6"/>
  <c r="BS437" i="2"/>
  <c r="BV474" i="2"/>
  <c r="BV25" i="5"/>
  <c r="BR489" i="5"/>
  <c r="BT483" i="6"/>
  <c r="BU28" i="6"/>
  <c r="BS380" i="2"/>
  <c r="BU281" i="2"/>
  <c r="BP323" i="2"/>
  <c r="BR63" i="5"/>
  <c r="BS147" i="2"/>
  <c r="BT253" i="6"/>
  <c r="BV194" i="6"/>
  <c r="BS449" i="2"/>
  <c r="BV35" i="6"/>
  <c r="BT224" i="5"/>
  <c r="BV190" i="2"/>
  <c r="BS52" i="2"/>
  <c r="BV73" i="2"/>
  <c r="BS218" i="2"/>
  <c r="BV184" i="5"/>
  <c r="BV389" i="5"/>
  <c r="BV404" i="2"/>
  <c r="BU319" i="6"/>
  <c r="BS254" i="5"/>
  <c r="BS160" i="6"/>
  <c r="BR109" i="2"/>
  <c r="BV68" i="2"/>
  <c r="BT489" i="6"/>
  <c r="BR472" i="6"/>
  <c r="BR129" i="5"/>
  <c r="BT194" i="5"/>
  <c r="BT80" i="5"/>
  <c r="BU266" i="2"/>
  <c r="BR244" i="2"/>
  <c r="BU227" i="2"/>
  <c r="BS195" i="5"/>
  <c r="BR31" i="6"/>
  <c r="BT472" i="2"/>
  <c r="BT478" i="2"/>
  <c r="BS200" i="6"/>
  <c r="BU214" i="5"/>
  <c r="BS95" i="6"/>
  <c r="BV372" i="6"/>
  <c r="BT75" i="6"/>
  <c r="BU138" i="6"/>
  <c r="BV434" i="2"/>
  <c r="BR268" i="6"/>
  <c r="BT166" i="2"/>
  <c r="BR479" i="6"/>
  <c r="BR278" i="7"/>
  <c r="BR183" i="6"/>
  <c r="BT27" i="5"/>
  <c r="BT142" i="5"/>
  <c r="BV370" i="5"/>
  <c r="BU164" i="2"/>
  <c r="BR92" i="5"/>
  <c r="BP365" i="2"/>
  <c r="BV279" i="5"/>
  <c r="BR409" i="5"/>
  <c r="BS164" i="6"/>
  <c r="BU58" i="5"/>
  <c r="BS283" i="5"/>
  <c r="BR199" i="7"/>
  <c r="BT113" i="5"/>
  <c r="BU23" i="2"/>
  <c r="BS455" i="5"/>
  <c r="BS41" i="6"/>
  <c r="BU355" i="2"/>
  <c r="BS423" i="2"/>
  <c r="BV94" i="2"/>
  <c r="BV229" i="2"/>
  <c r="BR98" i="5"/>
  <c r="BR115" i="2"/>
  <c r="BS363" i="6"/>
  <c r="BR109" i="7"/>
  <c r="BV343" i="2"/>
  <c r="BS342" i="5"/>
  <c r="BU313" i="5"/>
  <c r="BU270" i="2"/>
  <c r="BS500" i="6"/>
  <c r="BU468" i="6"/>
  <c r="BV249" i="5"/>
  <c r="BT209" i="6"/>
  <c r="BV487" i="6"/>
  <c r="BS13" i="5"/>
  <c r="BP314" i="2"/>
  <c r="BT390" i="2"/>
  <c r="BT441" i="6"/>
  <c r="BV438" i="6"/>
  <c r="BR450" i="5"/>
  <c r="BT259" i="5"/>
  <c r="BU300" i="2"/>
  <c r="BT93" i="6"/>
  <c r="BR196" i="5"/>
  <c r="BT138" i="5"/>
  <c r="BR411" i="2"/>
  <c r="BT226" i="2"/>
  <c r="BS30" i="6"/>
  <c r="BV130" i="6"/>
  <c r="BU63" i="6"/>
  <c r="BR173" i="7"/>
  <c r="BT49" i="5"/>
  <c r="BU360" i="2"/>
  <c r="BR210" i="6"/>
  <c r="BU237" i="5"/>
  <c r="BS443" i="2"/>
  <c r="BR402" i="5"/>
  <c r="BT210" i="5"/>
  <c r="BS343" i="5"/>
  <c r="BV268" i="6"/>
  <c r="BV67" i="6"/>
  <c r="BR149" i="2"/>
  <c r="BU480" i="2"/>
  <c r="BV364" i="2"/>
  <c r="BR397" i="5"/>
  <c r="BV194" i="5"/>
  <c r="BR382" i="2"/>
  <c r="BU185" i="6"/>
  <c r="BU377" i="2"/>
  <c r="BR311" i="2"/>
  <c r="BT250" i="5"/>
  <c r="BT186" i="6"/>
  <c r="BS135" i="5"/>
  <c r="BV50" i="5"/>
  <c r="BV378" i="2"/>
  <c r="BS250" i="2"/>
  <c r="BT160" i="5"/>
  <c r="BS274" i="2"/>
  <c r="BU92" i="6"/>
  <c r="BR427" i="5"/>
  <c r="BU77" i="6"/>
  <c r="BR400" i="5"/>
  <c r="BU429" i="6"/>
  <c r="BV310" i="2"/>
  <c r="BT186" i="2"/>
  <c r="BS157" i="2"/>
  <c r="BS408" i="6"/>
  <c r="BU365" i="6"/>
  <c r="BR92" i="6"/>
  <c r="BR220" i="2"/>
  <c r="BT423" i="6"/>
  <c r="BR86" i="7"/>
  <c r="BU407" i="6"/>
  <c r="BU311" i="2"/>
  <c r="BR202" i="2"/>
  <c r="BR202" i="7"/>
  <c r="BS142" i="5"/>
  <c r="BU297" i="6"/>
  <c r="BU259" i="2"/>
  <c r="BR480" i="5"/>
  <c r="BR319" i="5"/>
  <c r="BT25" i="5"/>
  <c r="BS451" i="5"/>
  <c r="BS434" i="5"/>
  <c r="BU163" i="2"/>
  <c r="BR349" i="2"/>
  <c r="BT26" i="2"/>
  <c r="BR285" i="6"/>
  <c r="BR160" i="7"/>
  <c r="BT400" i="6"/>
  <c r="BR479" i="5"/>
  <c r="BU131" i="6"/>
  <c r="BR90" i="7"/>
  <c r="BU67" i="5"/>
  <c r="BV15" i="5"/>
  <c r="BU257" i="6"/>
  <c r="BU342" i="6"/>
  <c r="BU52" i="5"/>
  <c r="BV100" i="6"/>
  <c r="BU153" i="2"/>
  <c r="BR29" i="6"/>
  <c r="BU329" i="2"/>
  <c r="BU105" i="6"/>
  <c r="BT45" i="6"/>
  <c r="BT58" i="6"/>
  <c r="BU425" i="6"/>
  <c r="BR52" i="2"/>
  <c r="BR222" i="2"/>
  <c r="BR419" i="6"/>
  <c r="BS302" i="2"/>
  <c r="BU307" i="5"/>
  <c r="BR351" i="6"/>
  <c r="BR369" i="2"/>
  <c r="BR203" i="7"/>
  <c r="BV226" i="2"/>
  <c r="BV91" i="2"/>
  <c r="BU379" i="6"/>
  <c r="BT278" i="6"/>
  <c r="BU241" i="5"/>
  <c r="BS154" i="5"/>
  <c r="BR449" i="6"/>
  <c r="BR50" i="2"/>
  <c r="BS445" i="2"/>
  <c r="BV443" i="5"/>
  <c r="BS412" i="6"/>
  <c r="BP374" i="2"/>
  <c r="BV260" i="5"/>
  <c r="BS175" i="6"/>
  <c r="BS57" i="5"/>
  <c r="BP289" i="2"/>
  <c r="BS349" i="2"/>
  <c r="BT224" i="2"/>
  <c r="BV85" i="5"/>
  <c r="BV333" i="2"/>
  <c r="BS424" i="5"/>
  <c r="BT334" i="5"/>
  <c r="BT150" i="2"/>
  <c r="BV484" i="5"/>
  <c r="BR340" i="2"/>
  <c r="BS251" i="2"/>
  <c r="BT121" i="6"/>
  <c r="BS323" i="6"/>
  <c r="BV423" i="2"/>
  <c r="BR63" i="6"/>
  <c r="BT251" i="5"/>
  <c r="BR272" i="5"/>
  <c r="BS233" i="2"/>
  <c r="BP331" i="2"/>
  <c r="BU314" i="5"/>
  <c r="BS341" i="5"/>
  <c r="BU57" i="5"/>
  <c r="BT313" i="5"/>
  <c r="BV371" i="5"/>
  <c r="BS170" i="6"/>
  <c r="BR365" i="5"/>
  <c r="BV213" i="2"/>
  <c r="BU130" i="2"/>
  <c r="BV150" i="5"/>
  <c r="BV62" i="6"/>
  <c r="BT452" i="2"/>
  <c r="BR298" i="5"/>
  <c r="BV17" i="2"/>
  <c r="BV239" i="6"/>
  <c r="BU35" i="2"/>
  <c r="BT370" i="6"/>
  <c r="BT37" i="5"/>
  <c r="BU459" i="5"/>
  <c r="BS166" i="6"/>
  <c r="BS155" i="5"/>
  <c r="BP349" i="2"/>
  <c r="BR463" i="5"/>
  <c r="BS227" i="6"/>
  <c r="BS140" i="6"/>
  <c r="BS484" i="6"/>
  <c r="BR142" i="6"/>
  <c r="BV267" i="6"/>
  <c r="BT149" i="5"/>
  <c r="BR121" i="2"/>
  <c r="BU402" i="6"/>
  <c r="BU121" i="6"/>
  <c r="BV374" i="6"/>
  <c r="BR422" i="2"/>
  <c r="BV398" i="5"/>
  <c r="BS479" i="5"/>
  <c r="BV282" i="2"/>
  <c r="BR480" i="2"/>
  <c r="BS197" i="2"/>
  <c r="BU207" i="5"/>
  <c r="BV110" i="6"/>
  <c r="BS222" i="6"/>
  <c r="BU345" i="5"/>
  <c r="BS384" i="2"/>
  <c r="BS334" i="6"/>
  <c r="BS292" i="2"/>
  <c r="BR164" i="7"/>
  <c r="BS114" i="2"/>
  <c r="BS29" i="6"/>
  <c r="BT418" i="6"/>
  <c r="BU395" i="6"/>
  <c r="BU134" i="5"/>
  <c r="BT117" i="2"/>
  <c r="BR22" i="2"/>
  <c r="BU352" i="6"/>
  <c r="BS369" i="2"/>
  <c r="BV109" i="5"/>
  <c r="BP352" i="2"/>
  <c r="BU348" i="6"/>
  <c r="BR108" i="7"/>
  <c r="BS179" i="5"/>
  <c r="BT169" i="5"/>
  <c r="BV263" i="5"/>
  <c r="BS350" i="2"/>
  <c r="BV255" i="6"/>
  <c r="BT285" i="2"/>
  <c r="BS288" i="5"/>
  <c r="BS321" i="5"/>
  <c r="BT208" i="6"/>
  <c r="BS174" i="6"/>
  <c r="BU369" i="5"/>
  <c r="BV345" i="2"/>
  <c r="BS71" i="2"/>
  <c r="BT33" i="6"/>
  <c r="BR20" i="7"/>
  <c r="BR424" i="5"/>
  <c r="BV448" i="2"/>
  <c r="BR171" i="7"/>
  <c r="BU295" i="2"/>
  <c r="BT322" i="5"/>
  <c r="BS190" i="6"/>
  <c r="BR34" i="7"/>
  <c r="BU25" i="6"/>
  <c r="BR361" i="2"/>
  <c r="BS194" i="6"/>
  <c r="BT77" i="2"/>
  <c r="BS47" i="5"/>
  <c r="BT210" i="6"/>
  <c r="BS208" i="5"/>
  <c r="BU383" i="5"/>
  <c r="BT475" i="6"/>
  <c r="BR143" i="5"/>
  <c r="BT75" i="5"/>
  <c r="BS236" i="6"/>
  <c r="BU380" i="5"/>
  <c r="BR452" i="5"/>
  <c r="BT196" i="5"/>
  <c r="BR304" i="2"/>
  <c r="BR284" i="5"/>
  <c r="BS191" i="2"/>
  <c r="BV482" i="2"/>
  <c r="BS111" i="2"/>
  <c r="BS278" i="5"/>
  <c r="BV231" i="6"/>
  <c r="BV201" i="5"/>
  <c r="BR282" i="7"/>
  <c r="BS391" i="6"/>
  <c r="BU223" i="6"/>
  <c r="BU80" i="2"/>
  <c r="BV224" i="5"/>
  <c r="BR24" i="7"/>
  <c r="BR74" i="2"/>
  <c r="BV421" i="5"/>
  <c r="BR484" i="2"/>
  <c r="BV19" i="5"/>
  <c r="BS52" i="6"/>
  <c r="BT464" i="6"/>
  <c r="BV384" i="2"/>
  <c r="BR232" i="2"/>
  <c r="BU275" i="5"/>
  <c r="BR477" i="6"/>
  <c r="BV469" i="6"/>
  <c r="BT213" i="6"/>
  <c r="BS140" i="5"/>
  <c r="BT419" i="5"/>
  <c r="BS447" i="6"/>
  <c r="BV258" i="2"/>
  <c r="BU434" i="6"/>
  <c r="BS310" i="6"/>
  <c r="BR184" i="5"/>
  <c r="BR162" i="5"/>
  <c r="BU260" i="6"/>
  <c r="BR118" i="5"/>
  <c r="BS71" i="6"/>
  <c r="BT193" i="6"/>
  <c r="BT99" i="2"/>
  <c r="BR61" i="2"/>
  <c r="BT266" i="5"/>
  <c r="BU460" i="6"/>
  <c r="BR159" i="2"/>
  <c r="BR471" i="2"/>
  <c r="BT488" i="2"/>
  <c r="BU410" i="2"/>
  <c r="BS374" i="6"/>
  <c r="BR360" i="5"/>
  <c r="BV215" i="6"/>
  <c r="BT236" i="6"/>
  <c r="BR329" i="5"/>
  <c r="BS129" i="5"/>
  <c r="BR454" i="6"/>
  <c r="BR457" i="5"/>
  <c r="BU123" i="6"/>
  <c r="BU71" i="2"/>
  <c r="BU19" i="6"/>
  <c r="BS81" i="6"/>
  <c r="BT325" i="6"/>
  <c r="BS402" i="2"/>
  <c r="BT309" i="2"/>
  <c r="BV243" i="5"/>
  <c r="BU127" i="5"/>
  <c r="BV399" i="6"/>
  <c r="BR80" i="6"/>
  <c r="BU207" i="6"/>
  <c r="BU112" i="2"/>
  <c r="BS136" i="5"/>
  <c r="BS88" i="2"/>
  <c r="BS65" i="2"/>
  <c r="BR240" i="7"/>
  <c r="BR182" i="2"/>
  <c r="BR195" i="7"/>
  <c r="BR441" i="2"/>
  <c r="BU196" i="2"/>
  <c r="BS298" i="5"/>
  <c r="BR19" i="5"/>
  <c r="BV412" i="5"/>
  <c r="BV393" i="2"/>
  <c r="BS265" i="5"/>
  <c r="BS230" i="5"/>
  <c r="BV498" i="2"/>
  <c r="BS349" i="5"/>
  <c r="BR76" i="6"/>
  <c r="BR332" i="5"/>
  <c r="BU143" i="6"/>
  <c r="BR18" i="7"/>
  <c r="BS159" i="2"/>
  <c r="BS52" i="5"/>
  <c r="BV407" i="6"/>
  <c r="BV63" i="6"/>
  <c r="BR189" i="7"/>
  <c r="BT270" i="6"/>
  <c r="BR287" i="7"/>
  <c r="BV462" i="5"/>
  <c r="BU469" i="5"/>
  <c r="BS372" i="6"/>
  <c r="BU244" i="6"/>
  <c r="BS133" i="6"/>
  <c r="BU55" i="5"/>
  <c r="BS50" i="5"/>
  <c r="BS469" i="6"/>
  <c r="BT461" i="2"/>
  <c r="BS165" i="2"/>
  <c r="BU364" i="6"/>
  <c r="BR306" i="7"/>
  <c r="BT313" i="6"/>
  <c r="BU385" i="6"/>
  <c r="BT480" i="2"/>
  <c r="BS355" i="5"/>
  <c r="BU102" i="2"/>
  <c r="BS135" i="6"/>
  <c r="BU279" i="5"/>
  <c r="BS236" i="5"/>
  <c r="BV45" i="5"/>
  <c r="BT433" i="5"/>
  <c r="BV210" i="5"/>
  <c r="BT23" i="2"/>
  <c r="BT146" i="5"/>
  <c r="BS328" i="6"/>
  <c r="BR87" i="5"/>
  <c r="BS341" i="6"/>
  <c r="BR140" i="6"/>
  <c r="BS428" i="6"/>
  <c r="BU268" i="2"/>
  <c r="BT342" i="5"/>
  <c r="BU128" i="6"/>
  <c r="BT351" i="5"/>
  <c r="BU388" i="6"/>
  <c r="BV77" i="5"/>
  <c r="BR188" i="7"/>
  <c r="BV422" i="5"/>
  <c r="BS143" i="5"/>
  <c r="BU257" i="5"/>
  <c r="BS433" i="5"/>
  <c r="BV439" i="6"/>
  <c r="BR149" i="5"/>
  <c r="BT384" i="6"/>
  <c r="BV468" i="5"/>
  <c r="BS40" i="5"/>
  <c r="BR102" i="5"/>
  <c r="BR219" i="6"/>
  <c r="BT474" i="6"/>
  <c r="BU141" i="2"/>
  <c r="BR330" i="7"/>
  <c r="BT431" i="6"/>
  <c r="BR483" i="6"/>
  <c r="BS148" i="5"/>
  <c r="BR210" i="7"/>
  <c r="BT59" i="6"/>
  <c r="BU106" i="2"/>
  <c r="BS427" i="2"/>
  <c r="BR98" i="2"/>
  <c r="BS301" i="6"/>
  <c r="BU309" i="2"/>
  <c r="BR85" i="6"/>
  <c r="BR419" i="2"/>
  <c r="BR473" i="6"/>
  <c r="BR209" i="7"/>
  <c r="BS334" i="5"/>
  <c r="BR159" i="6"/>
  <c r="BV387" i="2"/>
  <c r="BT116" i="6"/>
  <c r="BR325" i="5"/>
  <c r="BT394" i="6"/>
  <c r="BS178" i="6"/>
  <c r="BR76" i="7"/>
  <c r="BR94" i="7"/>
  <c r="BR164" i="2"/>
  <c r="BU107" i="5"/>
  <c r="BU414" i="2"/>
  <c r="BS151" i="6"/>
  <c r="BT325" i="2"/>
  <c r="BU62" i="5"/>
  <c r="BU124" i="2"/>
  <c r="BR82" i="5"/>
  <c r="BS253" i="6"/>
  <c r="BU262" i="5"/>
  <c r="BT400" i="5"/>
  <c r="BV147" i="2"/>
  <c r="BU483" i="2"/>
  <c r="BR181" i="6"/>
  <c r="BV166" i="2"/>
  <c r="BU160" i="5"/>
  <c r="BS165" i="5"/>
  <c r="BT312" i="6"/>
  <c r="BV140" i="6"/>
  <c r="BR187" i="5"/>
  <c r="BT398" i="2"/>
  <c r="BS237" i="2"/>
  <c r="BU248" i="5"/>
  <c r="BT317" i="6"/>
  <c r="BS214" i="2"/>
  <c r="BT169" i="6"/>
  <c r="BR325" i="7"/>
  <c r="BV480" i="6"/>
  <c r="BR110" i="5"/>
  <c r="BP343" i="2"/>
  <c r="BV21" i="5"/>
  <c r="BU13" i="6"/>
  <c r="BS390" i="2"/>
  <c r="BR347" i="2"/>
  <c r="BS189" i="6"/>
  <c r="BT279" i="2"/>
  <c r="BT165" i="2"/>
  <c r="BT242" i="2"/>
  <c r="BV423" i="6"/>
  <c r="BU445" i="2"/>
  <c r="BT327" i="5"/>
  <c r="BR228" i="7"/>
  <c r="BV397" i="6"/>
  <c r="BT459" i="6"/>
  <c r="BS49" i="5"/>
  <c r="BU408" i="5"/>
  <c r="BT328" i="6"/>
  <c r="BT280" i="2"/>
  <c r="BV409" i="5"/>
  <c r="BV51" i="6"/>
  <c r="BV35" i="5"/>
  <c r="BV473" i="6"/>
  <c r="BR408" i="5"/>
  <c r="BT304" i="6"/>
  <c r="BT257" i="2"/>
  <c r="BS299" i="6"/>
  <c r="BV340" i="2"/>
  <c r="BV147" i="5"/>
  <c r="BV460" i="5"/>
  <c r="BV405" i="6"/>
  <c r="BT435" i="5"/>
  <c r="BT101" i="2"/>
  <c r="BR113" i="7"/>
  <c r="BT146" i="2"/>
  <c r="BT163" i="6"/>
  <c r="BU302" i="6"/>
  <c r="BS93" i="5"/>
  <c r="BR174" i="7"/>
  <c r="BV124" i="2"/>
  <c r="BT123" i="2"/>
  <c r="BT53" i="5"/>
  <c r="BV298" i="6"/>
  <c r="BT47" i="2"/>
  <c r="BS79" i="2"/>
  <c r="BV138" i="2"/>
  <c r="BR229" i="2"/>
  <c r="BR424" i="6"/>
  <c r="BV309" i="5"/>
  <c r="BV389" i="2"/>
  <c r="BV417" i="2"/>
  <c r="BT305" i="5"/>
  <c r="BP382" i="2"/>
  <c r="BU31" i="2"/>
  <c r="BR197" i="2"/>
  <c r="BU202" i="5"/>
  <c r="BT429" i="6"/>
  <c r="BS370" i="6"/>
  <c r="BT218" i="6"/>
  <c r="BU41" i="6"/>
  <c r="BT331" i="6"/>
  <c r="BU355" i="6"/>
  <c r="BS56" i="2"/>
  <c r="BR283" i="6"/>
  <c r="BR127" i="7"/>
  <c r="BT50" i="2"/>
  <c r="BT315" i="5"/>
  <c r="BT133" i="5"/>
  <c r="BS141" i="5"/>
  <c r="BU250" i="6"/>
  <c r="BV102" i="6"/>
  <c r="BS419" i="5"/>
  <c r="BT97" i="6"/>
  <c r="BT394" i="5"/>
  <c r="BT302" i="2"/>
  <c r="BU111" i="2"/>
  <c r="BS26" i="5"/>
  <c r="BT404" i="6"/>
  <c r="BS83" i="2"/>
  <c r="BU435" i="5"/>
  <c r="BV332" i="6"/>
  <c r="BV481" i="2"/>
  <c r="BS30" i="2"/>
  <c r="BR335" i="2"/>
  <c r="BS399" i="2"/>
  <c r="BT148" i="6"/>
  <c r="BR384" i="6"/>
  <c r="BT254" i="2"/>
  <c r="BU116" i="6"/>
  <c r="BR174" i="5"/>
  <c r="BR112" i="6"/>
  <c r="BU401" i="2"/>
  <c r="BT415" i="2"/>
  <c r="BV308" i="5"/>
  <c r="BT54" i="2"/>
  <c r="BR391" i="2"/>
  <c r="BT170" i="6"/>
  <c r="BR368" i="5"/>
  <c r="BR385" i="5"/>
  <c r="BS19" i="5"/>
  <c r="BR290" i="6"/>
  <c r="BR338" i="5"/>
  <c r="BT384" i="2"/>
  <c r="BU385" i="5"/>
  <c r="BU23" i="6"/>
  <c r="BS85" i="6"/>
  <c r="BR146" i="5"/>
  <c r="BS380" i="6"/>
  <c r="BR175" i="2"/>
  <c r="BT450" i="5"/>
  <c r="BU502" i="6"/>
  <c r="BT231" i="2"/>
  <c r="BT340" i="5"/>
  <c r="BV348" i="6"/>
  <c r="BT415" i="6"/>
  <c r="BR25" i="6"/>
  <c r="BV345" i="5"/>
  <c r="BU272" i="5"/>
  <c r="BS82" i="2"/>
  <c r="BT119" i="6"/>
  <c r="BS362" i="6"/>
  <c r="BU118" i="2"/>
  <c r="BT112" i="6"/>
  <c r="BS459" i="6"/>
  <c r="BU381" i="5"/>
  <c r="BT437" i="6"/>
  <c r="BR174" i="6"/>
  <c r="BU353" i="6"/>
  <c r="BV54" i="5"/>
  <c r="BS464" i="6"/>
  <c r="BS263" i="5"/>
  <c r="BU402" i="5"/>
  <c r="BU478" i="6"/>
  <c r="BU167" i="6"/>
  <c r="BU190" i="2"/>
  <c r="BR289" i="7"/>
  <c r="BT246" i="6"/>
  <c r="BV262" i="2"/>
  <c r="BU148" i="6"/>
  <c r="BS261" i="5"/>
  <c r="BR21" i="2"/>
  <c r="BU441" i="2"/>
  <c r="BT179" i="2"/>
  <c r="BS255" i="6"/>
  <c r="BU147" i="6"/>
  <c r="BR410" i="5"/>
  <c r="BU493" i="6"/>
  <c r="BU223" i="2"/>
  <c r="BS404" i="6"/>
  <c r="BU454" i="2"/>
  <c r="BT495" i="5"/>
  <c r="BU334" i="6"/>
  <c r="BR207" i="7"/>
  <c r="BS492" i="6"/>
  <c r="BU372" i="6"/>
  <c r="BR367" i="2"/>
  <c r="BT301" i="2"/>
  <c r="BV478" i="6"/>
  <c r="BS127" i="2"/>
  <c r="BT291" i="6"/>
  <c r="BU361" i="5"/>
  <c r="BT393" i="6"/>
  <c r="BS194" i="5"/>
  <c r="BU244" i="5"/>
  <c r="BV250" i="6"/>
  <c r="BS253" i="2"/>
  <c r="BR312" i="7"/>
  <c r="BU73" i="6"/>
  <c r="BS367" i="2"/>
  <c r="BU393" i="5"/>
  <c r="BS146" i="2"/>
  <c r="BT382" i="2"/>
  <c r="BU231" i="6"/>
  <c r="BV155" i="5"/>
  <c r="BR311" i="6"/>
  <c r="BU130" i="5"/>
  <c r="BV340" i="5"/>
  <c r="BU259" i="5"/>
  <c r="BV101" i="2"/>
  <c r="BT409" i="5"/>
  <c r="BS339" i="6"/>
  <c r="BR490" i="6"/>
  <c r="BU243" i="5"/>
  <c r="BT217" i="2"/>
  <c r="BT284" i="2"/>
  <c r="BR319" i="2"/>
  <c r="BR285" i="5"/>
  <c r="BS465" i="5"/>
  <c r="BV412" i="2"/>
  <c r="BS320" i="2"/>
  <c r="BR462" i="5"/>
  <c r="BT99" i="6"/>
  <c r="BR43" i="2"/>
  <c r="BV478" i="2"/>
  <c r="BV422" i="6"/>
  <c r="BS57" i="6"/>
  <c r="BU74" i="6"/>
  <c r="BV403" i="5"/>
  <c r="BR46" i="7"/>
  <c r="BU242" i="5"/>
  <c r="BV449" i="6"/>
  <c r="BU70" i="5"/>
  <c r="BV56" i="2"/>
  <c r="BU88" i="5"/>
  <c r="BV40" i="2"/>
  <c r="BS244" i="6"/>
  <c r="BU339" i="6"/>
  <c r="BS41" i="2"/>
  <c r="BS439" i="5"/>
  <c r="BR186" i="5"/>
  <c r="BS368" i="2"/>
  <c r="BT333" i="2"/>
  <c r="BT52" i="6"/>
  <c r="BR324" i="5"/>
  <c r="BV234" i="6"/>
  <c r="BR78" i="7"/>
  <c r="BS485" i="6"/>
  <c r="BS273" i="2"/>
  <c r="BV15" i="6"/>
  <c r="BR434" i="2"/>
  <c r="BV158" i="6"/>
  <c r="BR211" i="6"/>
  <c r="BR127" i="6"/>
  <c r="BU352" i="2"/>
  <c r="BS442" i="5"/>
  <c r="BT478" i="6"/>
  <c r="BT362" i="6"/>
  <c r="BU181" i="5"/>
  <c r="BU187" i="6"/>
  <c r="BS370" i="2"/>
  <c r="BR354" i="2"/>
  <c r="BR70" i="5"/>
  <c r="BV195" i="2"/>
  <c r="BT123" i="6"/>
  <c r="BS405" i="2"/>
  <c r="BR251" i="7"/>
  <c r="BR23" i="5"/>
  <c r="BT15" i="5"/>
  <c r="BT158" i="6"/>
  <c r="BR138" i="2"/>
  <c r="BT205" i="5"/>
  <c r="BR317" i="7"/>
  <c r="BU383" i="2"/>
  <c r="BV275" i="6"/>
  <c r="BR97" i="5"/>
  <c r="BR297" i="7"/>
  <c r="BS131" i="2"/>
  <c r="BT90" i="5"/>
  <c r="BR430" i="5"/>
  <c r="BU57" i="6"/>
  <c r="BS51" i="5"/>
  <c r="BU34" i="6"/>
  <c r="BU451" i="6"/>
  <c r="BT41" i="5"/>
  <c r="BS444" i="6"/>
  <c r="BS90" i="5"/>
  <c r="BS347" i="5"/>
  <c r="BS35" i="6"/>
  <c r="BV107" i="2"/>
  <c r="BR483" i="5"/>
  <c r="BU403" i="6"/>
  <c r="BV417" i="6"/>
  <c r="BV420" i="6"/>
  <c r="BV251" i="5"/>
  <c r="BS444" i="2"/>
  <c r="BR235" i="7"/>
  <c r="BU295" i="5"/>
  <c r="BU224" i="5"/>
  <c r="BT40" i="5"/>
  <c r="BS454" i="2"/>
  <c r="BV160" i="5"/>
  <c r="BU495" i="2"/>
  <c r="BS215" i="6"/>
  <c r="BV359" i="6"/>
  <c r="BT229" i="6"/>
  <c r="BU197" i="2"/>
  <c r="BS414" i="2"/>
  <c r="BV495" i="2"/>
  <c r="BR330" i="6"/>
  <c r="BV347" i="2"/>
  <c r="BR342" i="5"/>
  <c r="BU133" i="2"/>
  <c r="BR274" i="5"/>
  <c r="BS373" i="5"/>
  <c r="BT359" i="2"/>
  <c r="BS21" i="5"/>
  <c r="BS353" i="5"/>
  <c r="BV227" i="2"/>
  <c r="BU361" i="2"/>
  <c r="BU176" i="2"/>
  <c r="BS319" i="6"/>
  <c r="BU99" i="6"/>
  <c r="BV117" i="5"/>
  <c r="BU308" i="2"/>
  <c r="BT407" i="5"/>
  <c r="BV157" i="5"/>
  <c r="BU69" i="6"/>
  <c r="BT369" i="2"/>
  <c r="BT206" i="5"/>
  <c r="BV209" i="5"/>
  <c r="BU54" i="5"/>
  <c r="BV459" i="6"/>
  <c r="BT413" i="2"/>
  <c r="BV41" i="6"/>
  <c r="BU21" i="6"/>
  <c r="BV267" i="5"/>
  <c r="BS324" i="5"/>
  <c r="BV167" i="2"/>
  <c r="BR271" i="5"/>
  <c r="BU442" i="5"/>
  <c r="BP312" i="2"/>
  <c r="BV379" i="5"/>
  <c r="BR69" i="7"/>
  <c r="BV56" i="5"/>
  <c r="BT283" i="6"/>
  <c r="BR75" i="7"/>
  <c r="BS153" i="6"/>
  <c r="BU474" i="5"/>
  <c r="BR232" i="7"/>
  <c r="BT134" i="5"/>
  <c r="BV302" i="5"/>
  <c r="BR157" i="7"/>
  <c r="BV331" i="6"/>
  <c r="BU153" i="6"/>
  <c r="BR292" i="5"/>
  <c r="BS171" i="5"/>
  <c r="BR321" i="7"/>
  <c r="BV256" i="5"/>
  <c r="BU187" i="5"/>
  <c r="BU32" i="2"/>
  <c r="BV354" i="6"/>
  <c r="BU202" i="6"/>
  <c r="BR280" i="2"/>
  <c r="BU152" i="6"/>
  <c r="BR106" i="7"/>
  <c r="BT270" i="5"/>
  <c r="BT460" i="6"/>
  <c r="BR172" i="6"/>
  <c r="BR277" i="2"/>
  <c r="BR448" i="6"/>
  <c r="BS415" i="6"/>
  <c r="BT390" i="5"/>
  <c r="BR18" i="2"/>
  <c r="BT129" i="2"/>
  <c r="BT164" i="2"/>
  <c r="BR71" i="5"/>
  <c r="BU463" i="6"/>
  <c r="BT332" i="6"/>
  <c r="BU80" i="6"/>
  <c r="BV31" i="5"/>
  <c r="BR68" i="5"/>
  <c r="BT179" i="5"/>
  <c r="BS392" i="2"/>
  <c r="BS303" i="2"/>
  <c r="BS70" i="6"/>
  <c r="BU218" i="6"/>
  <c r="BT76" i="6"/>
  <c r="BS207" i="2"/>
  <c r="BR40" i="2"/>
  <c r="BV41" i="5"/>
  <c r="BR247" i="6"/>
  <c r="BS307" i="6"/>
  <c r="BR403" i="6"/>
  <c r="BV42" i="6"/>
  <c r="BT79" i="2"/>
  <c r="BS172" i="5"/>
  <c r="BV438" i="5"/>
  <c r="BU448" i="2"/>
  <c r="BU129" i="6"/>
  <c r="BR359" i="6"/>
  <c r="BS25" i="6"/>
  <c r="BR300" i="2"/>
  <c r="BV455" i="6"/>
  <c r="BS400" i="2"/>
  <c r="BR470" i="5"/>
  <c r="BT398" i="6"/>
  <c r="BT329" i="5"/>
  <c r="BU121" i="5"/>
  <c r="BR268" i="7"/>
  <c r="BT236" i="5"/>
  <c r="BU343" i="5"/>
  <c r="BV73" i="6"/>
  <c r="BV451" i="2"/>
  <c r="BU379" i="5"/>
  <c r="BR399" i="6"/>
  <c r="BR208" i="5"/>
  <c r="BT353" i="2"/>
  <c r="BU125" i="5"/>
  <c r="BU467" i="6"/>
  <c r="BR30" i="2"/>
  <c r="BS56" i="6"/>
  <c r="BV246" i="6"/>
  <c r="BU373" i="2"/>
  <c r="BV331" i="5"/>
  <c r="BV218" i="6"/>
  <c r="BT202" i="6"/>
  <c r="BP305" i="2"/>
  <c r="BV69" i="6"/>
  <c r="BT75" i="2"/>
  <c r="BU43" i="6"/>
  <c r="BS331" i="5"/>
  <c r="BV175" i="5"/>
  <c r="BT307" i="5"/>
  <c r="BR239" i="7"/>
  <c r="BV119" i="6"/>
  <c r="BR273" i="7"/>
  <c r="BV198" i="5"/>
  <c r="BV259" i="6"/>
  <c r="BS420" i="6"/>
  <c r="BV219" i="6"/>
  <c r="BS335" i="5"/>
  <c r="BR478" i="6"/>
  <c r="BT188" i="6"/>
  <c r="BU92" i="5"/>
  <c r="BV328" i="2"/>
  <c r="BU135" i="5"/>
  <c r="BR158" i="6"/>
  <c r="BT55" i="2"/>
  <c r="BV335" i="5"/>
  <c r="BR302" i="5"/>
  <c r="BR163" i="7"/>
  <c r="BT381" i="5"/>
  <c r="BU289" i="2"/>
  <c r="BR158" i="7"/>
  <c r="BS40" i="6"/>
  <c r="BV107" i="5"/>
  <c r="BR112" i="5"/>
  <c r="BT417" i="6"/>
  <c r="BT124" i="5"/>
  <c r="BR126" i="6"/>
  <c r="BU367" i="6"/>
  <c r="BT59" i="2"/>
  <c r="BS418" i="5"/>
  <c r="BS259" i="6"/>
  <c r="BT197" i="5"/>
  <c r="BU491" i="5"/>
  <c r="BR51" i="2"/>
  <c r="BT291" i="2"/>
  <c r="BT183" i="6"/>
  <c r="BT50" i="6"/>
  <c r="BT92" i="6"/>
  <c r="BV352" i="5"/>
  <c r="BT153" i="5"/>
  <c r="BS501" i="2"/>
  <c r="BS256" i="6"/>
  <c r="BU43" i="5"/>
  <c r="BT234" i="2"/>
  <c r="BR221" i="5"/>
  <c r="BV280" i="2"/>
  <c r="BU54" i="2"/>
  <c r="BR176" i="2"/>
  <c r="BU174" i="2"/>
  <c r="BS243" i="6"/>
  <c r="BR484" i="5"/>
  <c r="BU347" i="5"/>
  <c r="BR57" i="5"/>
  <c r="BU454" i="5"/>
  <c r="BS134" i="2"/>
  <c r="BV186" i="2"/>
  <c r="BV125" i="6"/>
  <c r="BV491" i="6"/>
  <c r="BU67" i="6"/>
  <c r="BR148" i="2"/>
  <c r="BU226" i="2"/>
  <c r="BR47" i="2"/>
  <c r="BV360" i="2"/>
  <c r="BS440" i="5"/>
  <c r="BV184" i="6"/>
  <c r="BV245" i="5"/>
  <c r="BS359" i="2"/>
  <c r="BV242" i="2"/>
  <c r="BR65" i="2"/>
  <c r="BV40" i="5"/>
  <c r="BV86" i="6"/>
  <c r="BT323" i="6"/>
  <c r="BU424" i="6"/>
  <c r="BS472" i="2"/>
  <c r="BT293" i="2"/>
  <c r="BS102" i="5"/>
  <c r="BU453" i="5"/>
  <c r="BS395" i="2"/>
  <c r="BR389" i="5"/>
  <c r="BT178" i="2"/>
  <c r="BR489" i="2"/>
  <c r="BV475" i="6"/>
  <c r="BV23" i="6"/>
  <c r="BT473" i="5"/>
  <c r="BR310" i="6"/>
  <c r="BT203" i="6"/>
  <c r="BR257" i="2"/>
  <c r="BU478" i="2"/>
  <c r="BS351" i="6"/>
  <c r="BS337" i="6"/>
  <c r="BS54" i="6"/>
  <c r="BR126" i="7"/>
  <c r="BV173" i="5"/>
  <c r="BT214" i="5"/>
  <c r="BR110" i="2"/>
  <c r="BR238" i="5"/>
  <c r="BV215" i="2"/>
  <c r="BT423" i="5"/>
  <c r="BU428" i="6"/>
  <c r="BS394" i="2"/>
  <c r="BU39" i="5"/>
  <c r="BR99" i="5"/>
  <c r="BT423" i="2"/>
  <c r="BU283" i="6"/>
  <c r="BR98" i="6"/>
  <c r="BR193" i="2"/>
  <c r="BT385" i="2"/>
  <c r="BR413" i="6"/>
  <c r="BT54" i="6"/>
  <c r="BU470" i="5"/>
  <c r="BT353" i="6"/>
  <c r="BR39" i="7"/>
  <c r="BR404" i="2"/>
  <c r="BS381" i="5"/>
  <c r="BV225" i="2"/>
  <c r="BR146" i="2"/>
  <c r="BT141" i="5"/>
  <c r="BR233" i="7"/>
  <c r="BT229" i="5"/>
  <c r="BV471" i="6"/>
  <c r="BS75" i="6"/>
  <c r="BR304" i="5"/>
  <c r="BV195" i="5"/>
  <c r="BT190" i="5"/>
  <c r="BV18" i="6"/>
  <c r="BU33" i="5"/>
  <c r="BR107" i="5"/>
  <c r="BT103" i="2"/>
  <c r="BP301" i="2"/>
  <c r="BV143" i="6"/>
  <c r="BU100" i="2"/>
  <c r="BS31" i="5"/>
  <c r="BU229" i="2"/>
  <c r="BR191" i="6"/>
  <c r="BV128" i="2"/>
  <c r="BU100" i="5"/>
  <c r="BU370" i="5"/>
  <c r="BT358" i="5"/>
  <c r="BV289" i="2"/>
  <c r="BT195" i="5"/>
  <c r="BU294" i="2"/>
  <c r="BS368" i="5"/>
  <c r="BS371" i="2"/>
  <c r="BU17" i="2"/>
  <c r="BR41" i="5"/>
  <c r="BS320" i="6"/>
  <c r="BR136" i="7"/>
  <c r="BR435" i="2"/>
  <c r="BR249" i="6"/>
  <c r="BR299" i="2"/>
  <c r="BT449" i="6"/>
  <c r="BS458" i="5"/>
  <c r="BT95" i="2"/>
  <c r="BR247" i="5"/>
  <c r="BV362" i="5"/>
  <c r="BU434" i="5"/>
  <c r="BR427" i="2"/>
  <c r="BS65" i="6"/>
  <c r="BU309" i="5"/>
  <c r="BV112" i="2"/>
  <c r="BV421" i="2"/>
  <c r="BS186" i="5"/>
  <c r="BR271" i="2"/>
  <c r="BR352" i="2"/>
  <c r="BT387" i="5"/>
  <c r="BU472" i="5"/>
  <c r="BU378" i="5"/>
  <c r="BV408" i="2"/>
  <c r="BT312" i="5"/>
  <c r="BU400" i="6"/>
  <c r="BV465" i="5"/>
  <c r="BT318" i="2"/>
  <c r="BT429" i="2"/>
  <c r="BT155" i="6"/>
  <c r="BV270" i="6"/>
  <c r="BU51" i="2"/>
  <c r="BU278" i="6"/>
  <c r="BV142" i="6"/>
  <c r="BU455" i="5"/>
  <c r="BS449" i="5"/>
  <c r="BU501" i="6"/>
  <c r="BS448" i="5"/>
  <c r="BR501" i="5"/>
  <c r="BV64" i="2"/>
  <c r="BV88" i="6"/>
  <c r="BR340" i="6"/>
  <c r="BR477" i="5"/>
  <c r="BS199" i="2"/>
  <c r="BT273" i="5"/>
  <c r="BU371" i="6"/>
  <c r="BU332" i="2"/>
  <c r="BU59" i="6"/>
  <c r="BR422" i="6"/>
  <c r="BU174" i="6"/>
  <c r="BS139" i="2"/>
  <c r="BS494" i="2"/>
  <c r="BT448" i="5"/>
  <c r="BT159" i="2"/>
  <c r="BU460" i="2"/>
  <c r="BR459" i="2"/>
  <c r="BV485" i="2"/>
  <c r="BT15" i="2"/>
  <c r="BS362" i="5"/>
  <c r="BR421" i="6"/>
  <c r="BR118" i="2"/>
  <c r="BU502" i="2"/>
  <c r="BR195" i="6"/>
  <c r="BT22" i="5"/>
  <c r="BS354" i="2"/>
  <c r="BS297" i="2"/>
  <c r="BS447" i="5"/>
  <c r="BU494" i="2"/>
  <c r="BS121" i="2"/>
  <c r="BP334" i="2"/>
  <c r="BP321" i="2"/>
  <c r="BV329" i="5"/>
  <c r="BS44" i="2"/>
  <c r="BR45" i="5"/>
  <c r="BU362" i="2"/>
  <c r="BR235" i="5"/>
  <c r="BT101" i="5"/>
  <c r="BR115" i="6"/>
  <c r="BU344" i="2"/>
  <c r="BS312" i="6"/>
  <c r="BU89" i="6"/>
  <c r="BS124" i="2"/>
  <c r="BR412" i="6"/>
  <c r="BT280" i="6"/>
  <c r="BU147" i="5"/>
  <c r="BR453" i="5"/>
  <c r="BS198" i="2"/>
  <c r="BU222" i="5"/>
  <c r="BT461" i="6"/>
  <c r="BU171" i="6"/>
  <c r="BT464" i="5"/>
  <c r="BR42" i="5"/>
  <c r="BV333" i="6"/>
  <c r="BU115" i="6"/>
  <c r="BT302" i="5"/>
  <c r="BR101" i="2"/>
  <c r="BV157" i="2"/>
  <c r="BR439" i="5"/>
  <c r="BR50" i="7"/>
  <c r="BU234" i="5"/>
  <c r="BU395" i="5"/>
  <c r="BS471" i="6"/>
  <c r="BS307" i="2"/>
  <c r="BT373" i="5"/>
  <c r="BR500" i="5"/>
  <c r="BT61" i="2"/>
  <c r="BV320" i="6"/>
  <c r="BV431" i="6"/>
  <c r="BU277" i="2"/>
  <c r="BR34" i="2"/>
  <c r="BS150" i="5"/>
  <c r="BU239" i="6"/>
  <c r="BS162" i="6"/>
  <c r="BT236" i="2"/>
  <c r="BR177" i="7"/>
  <c r="BT89" i="5"/>
  <c r="BS35" i="2"/>
  <c r="BT17" i="2"/>
  <c r="BU98" i="2"/>
  <c r="BT357" i="6"/>
  <c r="BV199" i="5"/>
  <c r="BV370" i="2"/>
  <c r="BT315" i="2"/>
  <c r="BS152" i="2"/>
  <c r="BU331" i="6"/>
  <c r="BU479" i="5"/>
  <c r="BV143" i="5"/>
  <c r="BP307" i="2"/>
  <c r="BR485" i="6"/>
  <c r="BT215" i="5"/>
  <c r="BR16" i="7"/>
  <c r="BT271" i="2"/>
  <c r="BT301" i="6"/>
  <c r="BT269" i="6"/>
  <c r="BS133" i="2"/>
  <c r="BR130" i="6"/>
  <c r="BU424" i="5"/>
  <c r="BU75" i="5"/>
  <c r="BR373" i="2"/>
  <c r="BS477" i="2"/>
  <c r="BR351" i="2"/>
  <c r="BR177" i="2"/>
  <c r="BU444" i="6"/>
  <c r="BV174" i="2"/>
  <c r="BT145" i="6"/>
  <c r="BV26" i="2"/>
  <c r="BS160" i="2"/>
  <c r="BT500" i="2"/>
  <c r="BU480" i="5"/>
  <c r="BT115" i="5"/>
  <c r="BU362" i="6"/>
  <c r="BT314" i="2"/>
  <c r="BR234" i="6"/>
  <c r="BU38" i="6"/>
  <c r="BV365" i="2"/>
  <c r="BS164" i="2"/>
  <c r="BR420" i="6"/>
  <c r="BT458" i="2"/>
  <c r="BS213" i="6"/>
  <c r="BR116" i="5"/>
  <c r="BT65" i="5"/>
  <c r="BS113" i="5"/>
  <c r="BS129" i="6"/>
  <c r="BR255" i="6"/>
  <c r="BU87" i="5"/>
  <c r="BR286" i="7"/>
  <c r="BV291" i="6"/>
  <c r="BS89" i="2"/>
  <c r="BS258" i="2"/>
  <c r="BR90" i="2"/>
  <c r="BR231" i="6"/>
  <c r="BS227" i="2"/>
  <c r="BR361" i="5"/>
  <c r="BR175" i="7"/>
  <c r="BR454" i="2"/>
  <c r="BU409" i="5"/>
  <c r="BR41" i="6"/>
  <c r="BV413" i="6"/>
  <c r="BR29" i="7"/>
  <c r="BS194" i="2"/>
  <c r="BU94" i="2"/>
  <c r="BR257" i="7"/>
  <c r="BV369" i="2"/>
  <c r="BU21" i="5"/>
  <c r="BS151" i="2"/>
  <c r="BR166" i="5"/>
  <c r="BS179" i="2"/>
  <c r="BV205" i="2"/>
  <c r="BR151" i="7"/>
  <c r="BR155" i="2"/>
  <c r="BS203" i="6"/>
  <c r="BU82" i="2"/>
  <c r="BR187" i="2"/>
  <c r="BT438" i="2"/>
  <c r="BV283" i="2"/>
  <c r="BS329" i="5"/>
  <c r="BR363" i="2"/>
  <c r="BR341" i="5"/>
  <c r="BV114" i="6"/>
  <c r="BS163" i="5"/>
  <c r="BT187" i="5"/>
  <c r="BR275" i="2"/>
  <c r="BS158" i="5"/>
  <c r="BT360" i="2"/>
  <c r="BS162" i="5"/>
  <c r="BU167" i="2"/>
  <c r="BT13" i="5"/>
  <c r="BT102" i="6"/>
  <c r="BV275" i="5"/>
  <c r="BV391" i="2"/>
  <c r="BR45" i="7"/>
  <c r="BR354" i="5"/>
  <c r="BS365" i="5"/>
  <c r="BV243" i="2"/>
  <c r="BR153" i="7"/>
  <c r="BS493" i="6"/>
  <c r="BS245" i="2"/>
  <c r="BT143" i="5"/>
  <c r="BS470" i="6"/>
  <c r="BR297" i="6"/>
  <c r="BU236" i="2"/>
  <c r="BT222" i="5"/>
  <c r="BS170" i="2"/>
  <c r="BT291" i="5"/>
  <c r="BR360" i="2"/>
  <c r="BR127" i="5"/>
  <c r="BV309" i="2"/>
  <c r="BS283" i="6"/>
  <c r="BR182" i="5"/>
  <c r="BR214" i="5"/>
  <c r="BV90" i="2"/>
  <c r="BV458" i="5"/>
  <c r="BR354" i="6"/>
  <c r="BT281" i="5"/>
  <c r="BS196" i="2"/>
  <c r="BS176" i="5"/>
  <c r="BS382" i="5"/>
  <c r="BT460" i="5"/>
  <c r="BR450" i="2"/>
  <c r="BT378" i="5"/>
  <c r="BR67" i="5"/>
  <c r="BV314" i="6"/>
  <c r="BT390" i="6"/>
  <c r="BV359" i="5"/>
  <c r="BU241" i="2"/>
  <c r="BV100" i="5"/>
  <c r="BR218" i="5"/>
  <c r="BV363" i="5"/>
  <c r="BU407" i="5"/>
  <c r="BS353" i="2"/>
  <c r="BU327" i="6"/>
  <c r="BR307" i="6"/>
  <c r="BU27" i="6"/>
  <c r="BT323" i="5"/>
  <c r="BS182" i="5"/>
  <c r="BR192" i="7"/>
  <c r="BR412" i="2"/>
  <c r="BV178" i="5"/>
  <c r="BU469" i="2"/>
  <c r="BU182" i="6"/>
  <c r="BU83" i="2"/>
  <c r="BV164" i="6"/>
  <c r="BS361" i="2"/>
  <c r="BT131" i="2"/>
  <c r="BU375" i="2"/>
  <c r="BS275" i="2"/>
  <c r="BT425" i="6"/>
  <c r="BR70" i="6"/>
  <c r="BV80" i="5"/>
  <c r="BR197" i="5"/>
  <c r="BV449" i="5"/>
  <c r="BU116" i="5"/>
  <c r="BU76" i="5"/>
  <c r="BV81" i="5"/>
  <c r="BR46" i="5"/>
  <c r="BV277" i="5"/>
  <c r="BR241" i="2"/>
  <c r="BS104" i="5"/>
  <c r="BR472" i="2"/>
  <c r="BU245" i="2"/>
  <c r="BU449" i="5"/>
  <c r="BT71" i="5"/>
  <c r="BT479" i="2"/>
  <c r="BT493" i="5"/>
  <c r="BT119" i="5"/>
  <c r="BS18" i="2"/>
  <c r="BV241" i="2"/>
  <c r="BS402" i="6"/>
  <c r="BR445" i="2"/>
  <c r="BS481" i="6"/>
  <c r="BP278" i="2"/>
  <c r="BV93" i="6"/>
  <c r="BS495" i="2"/>
  <c r="BU311" i="6"/>
  <c r="BU430" i="6"/>
  <c r="BT255" i="5"/>
  <c r="BS202" i="2"/>
  <c r="BR22" i="6"/>
  <c r="BT256" i="5"/>
  <c r="BV25" i="2"/>
  <c r="BS258" i="5"/>
  <c r="BU495" i="6"/>
  <c r="BU304" i="2"/>
  <c r="BS419" i="2"/>
  <c r="BS251" i="5"/>
  <c r="BU287" i="5"/>
  <c r="BR165" i="6"/>
  <c r="BT282" i="2"/>
  <c r="BS74" i="5"/>
  <c r="BR448" i="2"/>
  <c r="BU402" i="2"/>
  <c r="BU179" i="6"/>
  <c r="BV427" i="2"/>
  <c r="BT98" i="2"/>
  <c r="BT359" i="5"/>
  <c r="BT21" i="5"/>
  <c r="BV151" i="6"/>
  <c r="BS383" i="5"/>
  <c r="BT86" i="6"/>
  <c r="BS141" i="6"/>
  <c r="BS358" i="5"/>
  <c r="BR381" i="5"/>
  <c r="BU323" i="2"/>
  <c r="BU114" i="2"/>
  <c r="BU238" i="2"/>
  <c r="BR171" i="5"/>
  <c r="BT221" i="6"/>
  <c r="BR462" i="2"/>
  <c r="BU335" i="2"/>
  <c r="BS282" i="2"/>
  <c r="BS55" i="6"/>
  <c r="BV439" i="2"/>
  <c r="BR403" i="5"/>
  <c r="BT298" i="6"/>
  <c r="BR398" i="6"/>
  <c r="BR323" i="7"/>
  <c r="BT321" i="5"/>
  <c r="BV126" i="5"/>
  <c r="BR322" i="6"/>
  <c r="BR112" i="2"/>
  <c r="BS61" i="5"/>
  <c r="BS17" i="6"/>
  <c r="BV417" i="5"/>
  <c r="BS417" i="5"/>
  <c r="BV232" i="6"/>
  <c r="BR230" i="7"/>
  <c r="BS238" i="2"/>
  <c r="BU181" i="6"/>
  <c r="BT379" i="5"/>
  <c r="BV285" i="6"/>
  <c r="BT34" i="6"/>
  <c r="BV66" i="6"/>
  <c r="BT100" i="6"/>
  <c r="BU194" i="2"/>
  <c r="BV411" i="6"/>
  <c r="BR99" i="2"/>
  <c r="BS124" i="5"/>
  <c r="BR158" i="5"/>
  <c r="BR332" i="2"/>
  <c r="BT334" i="2"/>
  <c r="BR105" i="2"/>
  <c r="BT462" i="5"/>
  <c r="BR169" i="7"/>
  <c r="BU328" i="5"/>
  <c r="BV92" i="2"/>
  <c r="BV74" i="6"/>
  <c r="BT268" i="6"/>
  <c r="BU259" i="6"/>
  <c r="BU267" i="2"/>
  <c r="BT165" i="6"/>
  <c r="BR51" i="7"/>
  <c r="BS134" i="6"/>
  <c r="BU83" i="5"/>
  <c r="BS297" i="5"/>
  <c r="BV65" i="2"/>
  <c r="BR52" i="6"/>
  <c r="BU344" i="5"/>
  <c r="BR481" i="5"/>
  <c r="BV58" i="6"/>
  <c r="BV485" i="6"/>
  <c r="BS236" i="2"/>
  <c r="BU458" i="2"/>
  <c r="BT455" i="5"/>
  <c r="BR37" i="7"/>
  <c r="BT208" i="5"/>
  <c r="BR220" i="7"/>
  <c r="BV382" i="6"/>
  <c r="BS409" i="5"/>
  <c r="BT184" i="5"/>
  <c r="BR25" i="5"/>
  <c r="BU31" i="5"/>
  <c r="BV217" i="5"/>
  <c r="BV55" i="2"/>
  <c r="BS318" i="6"/>
  <c r="BS379" i="5"/>
  <c r="BR23" i="6"/>
  <c r="BR178" i="5"/>
  <c r="BV378" i="6"/>
  <c r="BV75" i="5"/>
  <c r="BU399" i="5"/>
  <c r="BV393" i="5"/>
  <c r="BV419" i="2"/>
  <c r="BR128" i="6"/>
  <c r="BS417" i="2"/>
  <c r="BV142" i="2"/>
  <c r="BR238" i="6"/>
  <c r="BV183" i="6"/>
  <c r="BV441" i="2"/>
  <c r="BV501" i="5"/>
  <c r="BU123" i="2"/>
  <c r="BR64" i="5"/>
  <c r="BV55" i="6"/>
  <c r="BR188" i="6"/>
  <c r="BR303" i="2"/>
  <c r="BR177" i="5"/>
  <c r="BR215" i="5"/>
  <c r="BR429" i="5"/>
  <c r="BT439" i="5"/>
  <c r="BS146" i="6"/>
  <c r="BU297" i="5"/>
  <c r="BV460" i="6"/>
  <c r="BV161" i="6"/>
  <c r="BV117" i="2"/>
  <c r="BR219" i="2"/>
  <c r="BV165" i="6"/>
  <c r="BV97" i="5"/>
  <c r="BU463" i="2"/>
  <c r="BS14" i="2"/>
  <c r="BP315" i="2"/>
  <c r="BV307" i="5"/>
  <c r="BR490" i="2"/>
  <c r="BT295" i="5"/>
  <c r="BV26" i="6"/>
  <c r="BU293" i="6"/>
  <c r="BR27" i="6"/>
  <c r="BU321" i="5"/>
  <c r="BR449" i="5"/>
  <c r="BU340" i="6"/>
  <c r="BV408" i="6"/>
  <c r="BT288" i="6"/>
  <c r="BR262" i="7"/>
  <c r="BS117" i="6"/>
  <c r="BV27" i="5"/>
  <c r="BV322" i="2"/>
  <c r="BT76" i="2"/>
  <c r="BU485" i="6"/>
  <c r="BS15" i="6"/>
  <c r="BR432" i="2"/>
  <c r="BV149" i="2"/>
  <c r="BT289" i="2"/>
  <c r="BS250" i="6"/>
  <c r="BS128" i="5"/>
  <c r="BR425" i="6"/>
  <c r="BS304" i="5"/>
  <c r="BT68" i="2"/>
  <c r="BS327" i="2"/>
  <c r="BT457" i="2"/>
  <c r="BT238" i="2"/>
  <c r="BT317" i="2"/>
  <c r="BR196" i="2"/>
  <c r="BV458" i="6"/>
  <c r="BT141" i="2"/>
  <c r="BS119" i="2"/>
  <c r="BV397" i="2"/>
  <c r="BV377" i="6"/>
  <c r="BT212" i="2"/>
  <c r="BU468" i="2"/>
  <c r="BS104" i="2"/>
  <c r="BU113" i="2"/>
  <c r="BR55" i="2"/>
  <c r="BR15" i="5"/>
  <c r="BV38" i="5"/>
  <c r="BS133" i="5"/>
  <c r="BR479" i="2"/>
  <c r="BT266" i="6"/>
  <c r="BR372" i="2"/>
  <c r="BR287" i="6"/>
  <c r="BT13" i="2"/>
  <c r="BS21" i="6"/>
  <c r="BU265" i="6"/>
  <c r="BR60" i="7"/>
  <c r="BV415" i="6"/>
  <c r="BS390" i="5"/>
  <c r="BT161" i="2"/>
  <c r="BU253" i="6"/>
  <c r="BR428" i="5"/>
  <c r="BU198" i="5"/>
  <c r="BU487" i="2"/>
  <c r="BU139" i="2"/>
  <c r="BV317" i="6"/>
  <c r="BV66" i="5"/>
  <c r="BU345" i="2"/>
  <c r="BV59" i="5"/>
  <c r="BT199" i="2"/>
  <c r="BU34" i="2"/>
  <c r="BV448" i="6"/>
  <c r="BV339" i="6"/>
  <c r="BR317" i="5"/>
  <c r="BT104" i="5"/>
  <c r="BT98" i="5"/>
  <c r="BT395" i="2"/>
  <c r="BV205" i="5"/>
  <c r="BR325" i="6"/>
  <c r="BR314" i="6"/>
  <c r="BR261" i="5"/>
  <c r="BR300" i="6"/>
  <c r="BU430" i="5"/>
  <c r="BU425" i="2"/>
  <c r="BS206" i="2"/>
  <c r="BR198" i="6"/>
  <c r="BT260" i="5"/>
  <c r="BR288" i="6"/>
  <c r="BV191" i="2"/>
  <c r="BU358" i="6"/>
  <c r="BR75" i="6"/>
  <c r="BU272" i="2"/>
  <c r="BV474" i="5"/>
  <c r="BT480" i="5"/>
  <c r="BS17" i="2"/>
  <c r="BR122" i="5"/>
  <c r="BU146" i="2"/>
  <c r="BV113" i="5"/>
  <c r="BV242" i="5"/>
  <c r="BV380" i="5"/>
  <c r="BV278" i="2"/>
  <c r="BU116" i="2"/>
  <c r="BR243" i="2"/>
  <c r="BU153" i="5"/>
  <c r="BT222" i="6"/>
  <c r="BU457" i="5"/>
  <c r="BR314" i="5"/>
  <c r="BV433" i="6"/>
  <c r="BR236" i="5"/>
  <c r="BR102" i="2"/>
  <c r="BS477" i="5"/>
  <c r="BT124" i="2"/>
  <c r="BT73" i="2"/>
  <c r="BU278" i="5"/>
  <c r="BT287" i="2"/>
  <c r="BV179" i="5"/>
  <c r="BR375" i="6"/>
  <c r="BT275" i="6"/>
  <c r="BS232" i="5"/>
  <c r="BU28" i="2"/>
  <c r="BV237" i="6"/>
  <c r="BT191" i="2"/>
  <c r="BR460" i="2"/>
  <c r="BR220" i="5"/>
  <c r="BS163" i="2"/>
  <c r="BU174" i="5"/>
  <c r="BR299" i="7"/>
  <c r="BT166" i="6"/>
  <c r="BV374" i="5"/>
  <c r="BU279" i="2"/>
  <c r="BR482" i="5"/>
  <c r="BU498" i="5"/>
  <c r="BR423" i="5"/>
  <c r="BV186" i="5"/>
  <c r="BR104" i="2"/>
  <c r="BR126" i="5"/>
  <c r="BV255" i="5"/>
  <c r="BR245" i="6"/>
  <c r="BT457" i="5"/>
  <c r="BV448" i="5"/>
  <c r="BR217" i="2"/>
  <c r="BP377" i="2"/>
  <c r="BR495" i="6"/>
  <c r="BR134" i="5"/>
  <c r="BV224" i="6"/>
  <c r="BR130" i="5"/>
  <c r="BR408" i="2"/>
  <c r="BU244" i="2"/>
  <c r="BR412" i="5"/>
  <c r="BU309" i="6"/>
  <c r="BS104" i="6"/>
  <c r="BV488" i="2"/>
  <c r="BT312" i="2"/>
  <c r="BU243" i="6"/>
  <c r="BU267" i="6"/>
  <c r="BS223" i="6"/>
  <c r="BR132" i="7"/>
  <c r="BR230" i="5"/>
  <c r="BT455" i="6"/>
  <c r="BR423" i="2"/>
  <c r="BU19" i="5"/>
  <c r="BU44" i="5"/>
  <c r="BT68" i="5"/>
  <c r="BV294" i="6"/>
  <c r="BU190" i="6"/>
  <c r="BR471" i="6"/>
  <c r="BR44" i="5"/>
  <c r="BT370" i="5"/>
  <c r="BT274" i="6"/>
  <c r="BV304" i="5"/>
  <c r="BV79" i="5"/>
  <c r="BT362" i="5"/>
  <c r="BU235" i="5"/>
  <c r="BT104" i="2"/>
  <c r="BV119" i="5"/>
  <c r="BV17" i="5"/>
  <c r="BV461" i="5"/>
  <c r="BT249" i="2"/>
  <c r="BU183" i="2"/>
  <c r="BT319" i="5"/>
  <c r="BU347" i="6"/>
  <c r="BU415" i="2"/>
  <c r="BR288" i="7"/>
  <c r="BV333" i="5"/>
  <c r="BT497" i="2"/>
  <c r="BU16" i="2"/>
  <c r="BS398" i="2"/>
  <c r="BR135" i="2"/>
  <c r="BV315" i="2"/>
  <c r="BR227" i="2"/>
  <c r="BU140" i="5"/>
  <c r="BS210" i="2"/>
  <c r="BU119" i="2"/>
  <c r="BR259" i="7"/>
  <c r="BV324" i="6"/>
  <c r="BT464" i="2"/>
  <c r="BU371" i="5"/>
  <c r="BR238" i="2"/>
  <c r="BU408" i="2"/>
  <c r="BS363" i="5"/>
  <c r="BT367" i="6"/>
  <c r="BR257" i="6"/>
  <c r="BV236" i="5"/>
  <c r="BU37" i="2"/>
  <c r="BS116" i="2"/>
  <c r="BU22" i="6"/>
  <c r="BR401" i="2"/>
  <c r="BS432" i="2"/>
  <c r="BV493" i="5"/>
  <c r="BR315" i="7"/>
  <c r="BV491" i="5"/>
  <c r="BT52" i="2"/>
  <c r="BT65" i="2"/>
  <c r="BV110" i="2"/>
  <c r="BT501" i="6"/>
  <c r="BR234" i="7"/>
  <c r="BS118" i="5"/>
  <c r="BU208" i="5"/>
  <c r="BU22" i="2"/>
  <c r="BT372" i="5"/>
  <c r="BS317" i="5"/>
  <c r="BS351" i="5"/>
  <c r="BU394" i="2"/>
  <c r="BV424" i="6"/>
  <c r="BT47" i="5"/>
  <c r="BR19" i="2"/>
  <c r="BR251" i="5"/>
  <c r="BV470" i="2"/>
  <c r="BT211" i="5"/>
  <c r="BT432" i="2"/>
  <c r="BR440" i="2"/>
  <c r="BT181" i="5"/>
  <c r="BT159" i="6"/>
  <c r="BS193" i="2"/>
  <c r="BU139" i="5"/>
  <c r="BT435" i="6"/>
  <c r="BR295" i="7"/>
  <c r="BV392" i="5"/>
  <c r="BP381" i="2"/>
  <c r="BT25" i="6"/>
  <c r="BR90" i="6"/>
  <c r="BR421" i="5"/>
  <c r="BS441" i="2"/>
  <c r="BT90" i="6"/>
  <c r="BV293" i="5"/>
  <c r="BU300" i="6"/>
  <c r="BT73" i="5"/>
  <c r="BU235" i="2"/>
  <c r="BU467" i="5"/>
  <c r="BV101" i="6"/>
  <c r="BU474" i="6"/>
  <c r="BR256" i="2"/>
  <c r="BT492" i="6"/>
  <c r="BV348" i="2"/>
  <c r="BR390" i="2"/>
  <c r="BU381" i="2"/>
  <c r="BS389" i="6"/>
  <c r="BS345" i="2"/>
  <c r="BU283" i="5"/>
  <c r="BR380" i="5"/>
  <c r="BS335" i="2"/>
  <c r="BR65" i="6"/>
  <c r="BT127" i="5"/>
  <c r="BT239" i="2"/>
  <c r="BU427" i="5"/>
  <c r="BU301" i="2"/>
  <c r="BR393" i="5"/>
  <c r="BR135" i="7"/>
  <c r="BR425" i="2"/>
  <c r="BS105" i="6"/>
  <c r="BR44" i="7"/>
  <c r="BR296" i="7"/>
  <c r="BR313" i="6"/>
  <c r="BV470" i="5"/>
  <c r="BV169" i="6"/>
  <c r="BV253" i="5"/>
  <c r="BT431" i="5"/>
  <c r="BU266" i="6"/>
  <c r="BV314" i="5"/>
  <c r="BR66" i="2"/>
  <c r="BV501" i="2"/>
  <c r="BU454" i="6"/>
  <c r="BU191" i="2"/>
  <c r="BU321" i="2"/>
  <c r="BR305" i="5"/>
  <c r="BR409" i="6"/>
  <c r="BR398" i="2"/>
  <c r="BR455" i="6"/>
  <c r="BU420" i="2"/>
  <c r="BU328" i="2"/>
  <c r="BU134" i="2"/>
  <c r="BT70" i="6"/>
  <c r="BT251" i="2"/>
  <c r="BR418" i="6"/>
  <c r="BR106" i="6"/>
  <c r="BS176" i="6"/>
  <c r="BT179" i="6"/>
  <c r="BV136" i="5"/>
  <c r="BR279" i="6"/>
  <c r="BV363" i="2"/>
  <c r="BS179" i="6"/>
  <c r="BV118" i="5"/>
  <c r="BT414" i="5"/>
  <c r="BS142" i="6"/>
  <c r="BT364" i="2"/>
  <c r="BU177" i="5"/>
  <c r="BS281" i="2"/>
  <c r="BU413" i="5"/>
  <c r="BS308" i="5"/>
  <c r="BT234" i="6"/>
  <c r="BU217" i="6"/>
  <c r="BT484" i="5"/>
  <c r="BV439" i="5"/>
  <c r="BV379" i="6"/>
  <c r="BS263" i="2"/>
  <c r="BV221" i="5"/>
  <c r="BR184" i="6"/>
  <c r="BR244" i="6"/>
  <c r="BS254" i="2"/>
  <c r="BT477" i="2"/>
  <c r="BT74" i="2"/>
  <c r="BR152" i="5"/>
  <c r="BU328" i="6"/>
  <c r="BS312" i="2"/>
  <c r="BV128" i="6"/>
  <c r="BT432" i="6"/>
  <c r="BR226" i="5"/>
  <c r="BR335" i="6"/>
  <c r="BR133" i="6"/>
  <c r="BT412" i="6"/>
  <c r="BU382" i="6"/>
  <c r="BV185" i="2"/>
  <c r="BT167" i="6"/>
  <c r="BT401" i="5"/>
  <c r="BR273" i="5"/>
  <c r="BS391" i="5"/>
  <c r="BR465" i="5"/>
  <c r="BU184" i="6"/>
  <c r="BT405" i="2"/>
  <c r="BR462" i="6"/>
  <c r="BV459" i="2"/>
  <c r="BU212" i="6"/>
  <c r="BT15" i="6"/>
  <c r="BR200" i="5"/>
  <c r="BV71" i="2"/>
  <c r="BS38" i="6"/>
  <c r="BR32" i="2"/>
  <c r="BR122" i="7"/>
  <c r="BS207" i="6"/>
  <c r="BT395" i="5"/>
  <c r="BU76" i="2"/>
  <c r="BR221" i="2"/>
  <c r="BT481" i="5"/>
  <c r="BT500" i="5"/>
  <c r="BR363" i="5"/>
  <c r="BR28" i="2"/>
  <c r="BR30" i="5"/>
  <c r="BT176" i="5"/>
  <c r="BV203" i="2"/>
  <c r="BR488" i="6"/>
  <c r="BU331" i="5"/>
  <c r="BT126" i="6"/>
  <c r="BS174" i="2"/>
  <c r="BT63" i="6"/>
  <c r="BS338" i="5"/>
  <c r="BR292" i="2"/>
  <c r="BT279" i="5"/>
  <c r="BR353" i="6"/>
  <c r="BT220" i="2"/>
  <c r="BS121" i="6"/>
  <c r="BT261" i="6"/>
  <c r="BR38" i="6"/>
  <c r="BU109" i="6"/>
  <c r="BU214" i="6"/>
  <c r="BR289" i="2"/>
  <c r="BU464" i="5"/>
  <c r="BR358" i="6"/>
  <c r="BS98" i="5"/>
  <c r="BR35" i="6"/>
  <c r="BR204" i="7"/>
  <c r="BV54" i="6"/>
  <c r="BT481" i="2"/>
  <c r="BR315" i="2"/>
  <c r="BV367" i="5"/>
  <c r="BS468" i="6"/>
  <c r="BT440" i="6"/>
  <c r="BS388" i="2"/>
  <c r="BT449" i="2"/>
  <c r="BR105" i="6"/>
  <c r="BT303" i="2"/>
  <c r="BU217" i="2"/>
  <c r="BU482" i="5"/>
  <c r="BV414" i="2"/>
  <c r="BR79" i="7"/>
  <c r="BS434" i="2"/>
  <c r="BV231" i="2"/>
  <c r="BR339" i="2"/>
  <c r="BT225" i="6"/>
  <c r="BT79" i="5"/>
  <c r="BR143" i="6"/>
  <c r="BT295" i="6"/>
  <c r="BV490" i="2"/>
  <c r="BR390" i="5"/>
  <c r="BV173" i="6"/>
  <c r="BU114" i="5"/>
  <c r="BS63" i="5"/>
  <c r="BR90" i="5"/>
  <c r="BU410" i="6"/>
  <c r="BT348" i="5"/>
  <c r="BV78" i="5"/>
  <c r="BS331" i="6"/>
  <c r="BU44" i="6"/>
  <c r="BU237" i="6"/>
  <c r="BS235" i="2"/>
  <c r="BR269" i="7"/>
  <c r="BV53" i="6"/>
  <c r="BV339" i="2"/>
  <c r="BR258" i="7"/>
  <c r="BS242" i="5"/>
  <c r="BR352" i="5"/>
  <c r="BS70" i="2"/>
  <c r="BT427" i="5"/>
  <c r="BU119" i="5"/>
  <c r="BV278" i="6"/>
  <c r="BV290" i="6"/>
  <c r="BR254" i="2"/>
  <c r="BV218" i="2"/>
  <c r="BT112" i="2"/>
  <c r="BT38" i="5"/>
  <c r="BR186" i="2"/>
  <c r="BT97" i="2"/>
  <c r="BU288" i="6"/>
  <c r="BV312" i="2"/>
  <c r="BR434" i="6"/>
  <c r="BT491" i="2"/>
  <c r="BU382" i="2"/>
  <c r="BU248" i="6"/>
  <c r="BU253" i="2"/>
  <c r="BU249" i="5"/>
  <c r="BR200" i="2"/>
  <c r="BR37" i="5"/>
  <c r="BS494" i="6"/>
  <c r="BR61" i="5"/>
  <c r="BS242" i="6"/>
  <c r="BV481" i="5"/>
  <c r="BR196" i="6"/>
  <c r="BU441" i="6"/>
  <c r="BS461" i="2"/>
  <c r="BT473" i="2"/>
  <c r="BR107" i="2"/>
  <c r="BT328" i="5"/>
  <c r="BT259" i="2"/>
  <c r="BR246" i="2"/>
  <c r="BR282" i="6"/>
  <c r="BT485" i="6"/>
  <c r="BR86" i="6"/>
  <c r="BS167" i="2"/>
  <c r="BT223" i="6"/>
  <c r="BS445" i="5"/>
  <c r="BR322" i="7"/>
  <c r="BR136" i="2"/>
  <c r="BR141" i="2"/>
  <c r="BT292" i="2"/>
  <c r="BV392" i="2"/>
  <c r="BS87" i="2"/>
  <c r="BS220" i="5"/>
  <c r="BU225" i="6"/>
  <c r="BU315" i="2"/>
  <c r="BR82" i="6"/>
  <c r="BS408" i="2"/>
  <c r="BR369" i="5"/>
  <c r="BS46" i="5"/>
  <c r="BT92" i="2"/>
  <c r="BV500" i="5"/>
  <c r="BU365" i="5"/>
  <c r="BT109" i="2"/>
  <c r="BU497" i="6"/>
  <c r="BV28" i="2"/>
  <c r="BU461" i="2"/>
  <c r="BR493" i="2"/>
  <c r="BR116" i="6"/>
  <c r="BS438" i="2"/>
  <c r="BV134" i="2"/>
  <c r="BV442" i="6"/>
  <c r="BR251" i="2"/>
  <c r="BR382" i="5"/>
  <c r="BV214" i="6"/>
  <c r="BV89" i="5"/>
  <c r="BR100" i="2"/>
  <c r="BR139" i="7"/>
  <c r="BU197" i="5"/>
  <c r="BT392" i="5"/>
  <c r="BR115" i="5"/>
  <c r="BU178" i="5"/>
  <c r="BU218" i="5"/>
  <c r="BS136" i="2"/>
  <c r="BT348" i="6"/>
  <c r="BR130" i="2"/>
  <c r="BV207" i="5"/>
  <c r="BT125" i="5"/>
  <c r="BR147" i="5"/>
  <c r="BS76" i="6"/>
  <c r="BR303" i="6"/>
  <c r="BR33" i="2"/>
  <c r="BU389" i="5"/>
  <c r="BS357" i="5"/>
  <c r="BS298" i="2"/>
  <c r="BT219" i="2"/>
  <c r="BV444" i="2"/>
  <c r="BT17" i="5"/>
  <c r="BT408" i="5"/>
  <c r="BR418" i="5"/>
  <c r="BV26" i="5"/>
  <c r="BS313" i="6"/>
  <c r="BU345" i="6"/>
  <c r="BR171" i="6"/>
  <c r="BV380" i="2"/>
  <c r="BS169" i="2"/>
  <c r="BV221" i="2"/>
  <c r="BS299" i="5"/>
  <c r="BV196" i="2"/>
  <c r="BT432" i="5"/>
  <c r="BV454" i="2"/>
  <c r="BS187" i="5"/>
  <c r="BR330" i="2"/>
  <c r="BU493" i="5"/>
  <c r="BS460" i="5"/>
  <c r="BS293" i="5"/>
  <c r="BS155" i="2"/>
  <c r="BR498" i="6"/>
  <c r="BV68" i="5"/>
  <c r="BR327" i="5"/>
  <c r="BR14" i="7"/>
  <c r="BR501" i="2"/>
  <c r="BU419" i="5"/>
  <c r="BU299" i="6"/>
  <c r="BS59" i="2"/>
  <c r="BS33" i="6"/>
  <c r="BU245" i="6"/>
  <c r="BU459" i="2"/>
  <c r="BT427" i="2"/>
  <c r="BU494" i="6"/>
  <c r="BU261" i="5"/>
  <c r="BU18" i="2"/>
  <c r="BU121" i="2"/>
  <c r="BS63" i="2"/>
  <c r="BT190" i="2"/>
  <c r="BR146" i="7"/>
  <c r="BT191" i="6"/>
  <c r="BT163" i="5"/>
  <c r="BV245" i="2"/>
  <c r="BS209" i="2"/>
  <c r="BT342" i="2"/>
  <c r="BR390" i="6"/>
  <c r="BR271" i="7"/>
  <c r="BU260" i="2"/>
  <c r="BS63" i="6"/>
  <c r="BR266" i="7"/>
  <c r="BT175" i="5"/>
  <c r="BS385" i="2"/>
  <c r="BR455" i="5"/>
  <c r="BU261" i="2"/>
  <c r="BU349" i="5"/>
  <c r="BR407" i="5"/>
  <c r="BT134" i="6"/>
  <c r="BU136" i="5"/>
  <c r="BR92" i="7"/>
  <c r="BR59" i="2"/>
  <c r="BT147" i="5"/>
  <c r="BV411" i="2"/>
  <c r="BR323" i="2"/>
  <c r="BU420" i="5"/>
  <c r="BU453" i="6"/>
  <c r="BT430" i="5"/>
  <c r="BS58" i="2"/>
  <c r="BU171" i="2"/>
  <c r="BT191" i="5"/>
  <c r="BV269" i="6"/>
  <c r="BS164" i="5"/>
  <c r="BR83" i="7"/>
  <c r="BS170" i="5"/>
  <c r="BS212" i="5"/>
  <c r="BR320" i="2"/>
  <c r="BR145" i="5"/>
  <c r="BV111" i="6"/>
  <c r="BU97" i="2"/>
  <c r="BS481" i="5"/>
  <c r="BS39" i="6"/>
  <c r="BU482" i="2"/>
  <c r="BR16" i="2"/>
  <c r="BU207" i="2"/>
  <c r="BT257" i="5"/>
  <c r="BT47" i="6"/>
  <c r="BS152" i="6"/>
  <c r="BS73" i="5"/>
  <c r="BS73" i="2"/>
  <c r="BR377" i="6"/>
  <c r="BU95" i="5"/>
  <c r="BV351" i="6"/>
  <c r="BT475" i="5"/>
  <c r="BU307" i="6"/>
  <c r="BS478" i="6"/>
  <c r="BT105" i="6"/>
  <c r="BT313" i="2"/>
  <c r="BR195" i="2"/>
  <c r="BT145" i="5"/>
  <c r="BV288" i="2"/>
  <c r="BV462" i="2"/>
  <c r="BU427" i="6"/>
  <c r="BR68" i="6"/>
  <c r="BT284" i="6"/>
  <c r="BT142" i="2"/>
  <c r="BS176" i="2"/>
  <c r="BS450" i="2"/>
  <c r="BU248" i="2"/>
  <c r="BR64" i="6"/>
  <c r="BR308" i="6"/>
  <c r="BS66" i="5"/>
  <c r="BR191" i="7"/>
  <c r="BT138" i="6"/>
  <c r="BS229" i="5"/>
  <c r="BV175" i="2"/>
  <c r="BU125" i="2"/>
  <c r="BV233" i="2"/>
  <c r="BU453" i="2"/>
  <c r="BU488" i="2"/>
  <c r="BV246" i="5"/>
  <c r="BV111" i="2"/>
  <c r="BS16" i="5"/>
  <c r="BT340" i="2"/>
  <c r="BR494" i="5"/>
  <c r="BV497" i="6"/>
  <c r="BR247" i="7"/>
  <c r="BT471" i="6"/>
  <c r="BU208" i="2"/>
  <c r="BV390" i="2"/>
  <c r="BR337" i="2"/>
  <c r="BT272" i="2"/>
  <c r="BU365" i="2"/>
  <c r="BT227" i="5"/>
  <c r="BT145" i="2"/>
  <c r="BS238" i="5"/>
  <c r="BT352" i="5"/>
  <c r="BT485" i="5"/>
  <c r="BV173" i="2"/>
  <c r="BR277" i="7"/>
  <c r="BS302" i="5"/>
  <c r="BS233" i="6"/>
  <c r="BV394" i="2"/>
  <c r="BS392" i="6"/>
  <c r="BT441" i="2"/>
  <c r="BV318" i="6"/>
  <c r="BR281" i="7"/>
  <c r="BU440" i="2"/>
  <c r="BS295" i="5"/>
  <c r="BU50" i="5"/>
  <c r="BV241" i="5"/>
  <c r="BV273" i="2"/>
  <c r="BS283" i="2"/>
  <c r="BV265" i="6"/>
  <c r="BR95" i="2"/>
  <c r="BR212" i="6"/>
  <c r="BS450" i="5"/>
  <c r="BT160" i="2"/>
  <c r="BT64" i="6"/>
  <c r="BT284" i="5"/>
  <c r="BR414" i="2"/>
  <c r="BR197" i="6"/>
  <c r="BU287" i="2"/>
  <c r="BV250" i="2"/>
  <c r="BT114" i="5"/>
  <c r="BS374" i="2"/>
  <c r="BU438" i="5"/>
  <c r="BS115" i="2"/>
  <c r="BR190" i="7"/>
  <c r="BV46" i="5"/>
  <c r="BT232" i="5"/>
  <c r="BU115" i="5"/>
  <c r="BS269" i="2"/>
  <c r="BT172" i="5"/>
  <c r="BV310" i="5"/>
  <c r="BS492" i="5"/>
  <c r="BV283" i="6"/>
  <c r="BU30" i="5"/>
  <c r="BU483" i="5"/>
  <c r="BR194" i="2"/>
  <c r="BU140" i="2"/>
  <c r="BU349" i="6"/>
  <c r="BS311" i="6"/>
  <c r="BU398" i="2"/>
  <c r="BT484" i="6"/>
  <c r="BR35" i="5"/>
  <c r="BR256" i="7"/>
  <c r="BU297" i="2"/>
  <c r="BS107" i="5"/>
  <c r="BS319" i="2"/>
  <c r="BT477" i="6"/>
  <c r="BU368" i="2"/>
  <c r="BV260" i="6"/>
  <c r="BS290" i="6"/>
  <c r="BT421" i="6"/>
  <c r="BV329" i="2"/>
  <c r="BU75" i="6"/>
  <c r="BV372" i="2"/>
  <c r="BS369" i="5"/>
  <c r="BR128" i="2"/>
  <c r="BU97" i="5"/>
  <c r="BT63" i="2"/>
  <c r="BR45" i="2"/>
  <c r="BV15" i="2"/>
  <c r="BU405" i="2"/>
  <c r="BU475" i="2"/>
  <c r="BT136" i="2"/>
  <c r="BV64" i="5"/>
  <c r="BR183" i="5"/>
  <c r="BR183" i="2"/>
  <c r="BR298" i="2"/>
  <c r="BR58" i="5"/>
  <c r="BT365" i="6"/>
  <c r="BT479" i="6"/>
  <c r="BT64" i="5"/>
  <c r="BV189" i="5"/>
  <c r="BR448" i="5"/>
  <c r="BT197" i="2"/>
  <c r="BP320" i="2"/>
  <c r="BS259" i="5"/>
  <c r="BU107" i="6"/>
  <c r="BS300" i="5"/>
  <c r="BR236" i="6"/>
  <c r="BR239" i="5"/>
  <c r="BU331" i="2"/>
  <c r="BU342" i="2"/>
  <c r="BS475" i="5"/>
  <c r="BU397" i="5"/>
  <c r="BR219" i="5"/>
  <c r="BT281" i="2"/>
  <c r="BU338" i="2"/>
  <c r="BV464" i="5"/>
  <c r="BU360" i="6"/>
  <c r="BR379" i="2"/>
  <c r="BS31" i="2"/>
  <c r="BR175" i="5"/>
  <c r="BU401" i="5"/>
  <c r="BT422" i="2"/>
  <c r="BR80" i="2"/>
  <c r="BT177" i="2"/>
  <c r="BS184" i="6"/>
  <c r="BR49" i="6"/>
  <c r="BU285" i="6"/>
  <c r="BV201" i="6"/>
  <c r="BU104" i="6"/>
  <c r="BR155" i="7"/>
  <c r="BT70" i="2"/>
  <c r="BT335" i="6"/>
  <c r="BV257" i="5"/>
  <c r="BU69" i="2"/>
  <c r="BS408" i="5"/>
  <c r="BT67" i="2"/>
  <c r="BR473" i="5"/>
  <c r="BT335" i="5"/>
  <c r="BV465" i="6"/>
  <c r="BV222" i="6"/>
  <c r="BV425" i="6"/>
  <c r="BT181" i="2"/>
  <c r="BS237" i="6"/>
  <c r="BR233" i="2"/>
  <c r="BV254" i="5"/>
  <c r="BT85" i="6"/>
  <c r="BS390" i="6"/>
  <c r="BT14" i="2"/>
  <c r="BT358" i="2"/>
  <c r="BV151" i="5"/>
  <c r="BT470" i="2"/>
  <c r="BT140" i="5"/>
  <c r="BT311" i="5"/>
  <c r="BU471" i="6"/>
  <c r="BR189" i="2"/>
  <c r="BR205" i="2"/>
  <c r="BR301" i="5"/>
  <c r="BV181" i="5"/>
  <c r="BV127" i="6"/>
  <c r="BT470" i="5"/>
  <c r="BS420" i="2"/>
  <c r="BT347" i="2"/>
  <c r="BU176" i="6"/>
  <c r="BV285" i="5"/>
  <c r="BU291" i="5"/>
  <c r="BR160" i="5"/>
  <c r="BS173" i="6"/>
  <c r="BU404" i="2"/>
  <c r="BT420" i="5"/>
  <c r="BT374" i="2"/>
  <c r="BT95" i="5"/>
  <c r="BV338" i="2"/>
  <c r="BS372" i="2"/>
  <c r="BR385" i="2"/>
  <c r="BR205" i="5"/>
  <c r="BS471" i="5"/>
  <c r="BU330" i="2"/>
  <c r="BT170" i="5"/>
  <c r="BT185" i="6"/>
  <c r="BU363" i="6"/>
  <c r="BV225" i="5"/>
  <c r="BU233" i="6"/>
  <c r="BV469" i="2"/>
  <c r="BR265" i="6"/>
  <c r="BU392" i="5"/>
  <c r="BT338" i="5"/>
  <c r="BR266" i="5"/>
  <c r="BS248" i="6"/>
  <c r="BU63" i="5"/>
  <c r="BR413" i="5"/>
  <c r="BS430" i="2"/>
  <c r="BS484" i="2"/>
  <c r="BS278" i="6"/>
  <c r="BU90" i="2"/>
  <c r="BS430" i="6"/>
  <c r="BT275" i="2"/>
  <c r="BP285" i="2"/>
  <c r="BR437" i="6"/>
  <c r="BU221" i="6"/>
  <c r="BR404" i="6"/>
  <c r="BV130" i="5"/>
  <c r="BS368" i="6"/>
  <c r="BV279" i="2"/>
  <c r="BU71" i="5"/>
  <c r="BT176" i="2"/>
  <c r="BS489" i="6"/>
  <c r="BV301" i="5"/>
  <c r="BR368" i="2"/>
  <c r="BS395" i="5"/>
  <c r="BS137" i="6"/>
  <c r="BV361" i="6"/>
  <c r="BR298" i="7"/>
  <c r="BV422" i="2"/>
  <c r="BT16" i="2"/>
  <c r="BS248" i="2"/>
  <c r="BU47" i="6"/>
  <c r="BS202" i="5"/>
  <c r="BR452" i="6"/>
  <c r="BR190" i="2"/>
  <c r="BU211" i="2"/>
  <c r="BV357" i="6"/>
  <c r="BU460" i="5"/>
  <c r="BR273" i="6"/>
  <c r="BV463" i="2"/>
  <c r="BR243" i="7"/>
  <c r="BR212" i="7"/>
  <c r="BR242" i="6"/>
  <c r="BR428" i="2"/>
  <c r="BS203" i="2"/>
  <c r="BR395" i="2"/>
  <c r="BV342" i="2"/>
  <c r="BV284" i="6"/>
  <c r="BU417" i="5"/>
  <c r="BV127" i="5"/>
  <c r="BS477" i="6"/>
  <c r="BU110" i="6"/>
  <c r="BU280" i="5"/>
  <c r="BR53" i="7"/>
  <c r="BR384" i="5"/>
  <c r="BU145" i="5"/>
  <c r="BT404" i="5"/>
  <c r="BV141" i="5"/>
  <c r="BS429" i="2"/>
  <c r="BT218" i="5"/>
  <c r="BT159" i="5"/>
  <c r="BR137" i="2"/>
  <c r="BU133" i="5"/>
  <c r="BR34" i="6"/>
  <c r="BV121" i="6"/>
  <c r="BU373" i="5"/>
  <c r="BR202" i="6"/>
  <c r="BR134" i="2"/>
  <c r="BT467" i="5"/>
  <c r="BR272" i="6"/>
  <c r="BV389" i="6"/>
  <c r="BR94" i="5"/>
  <c r="BS314" i="5"/>
  <c r="BS189" i="2"/>
  <c r="BP375" i="2"/>
  <c r="BU191" i="5"/>
  <c r="BS440" i="2"/>
  <c r="BU275" i="2"/>
  <c r="BU189" i="6"/>
  <c r="BT142" i="6"/>
  <c r="BS74" i="6"/>
  <c r="BU341" i="2"/>
  <c r="BS166" i="2"/>
  <c r="BT340" i="6"/>
  <c r="BS46" i="6"/>
  <c r="BR116" i="2"/>
  <c r="BT26" i="6"/>
  <c r="BU263" i="2"/>
  <c r="BS425" i="5"/>
  <c r="BS232" i="6"/>
  <c r="BR22" i="7"/>
  <c r="BR142" i="7"/>
  <c r="BT52" i="5"/>
  <c r="BU312" i="6"/>
  <c r="BP281" i="2"/>
  <c r="BT294" i="2"/>
  <c r="BV134" i="5"/>
  <c r="BT248" i="6"/>
  <c r="BV61" i="5"/>
  <c r="BU399" i="6"/>
  <c r="BV183" i="2"/>
  <c r="BS342" i="2"/>
  <c r="BU290" i="2"/>
  <c r="BS82" i="5"/>
  <c r="BV490" i="6"/>
  <c r="BR167" i="5"/>
  <c r="BS289" i="2"/>
  <c r="BR370" i="5"/>
  <c r="BV295" i="6"/>
  <c r="BU367" i="5"/>
  <c r="BU300" i="5"/>
  <c r="BU200" i="6"/>
  <c r="BV454" i="6"/>
  <c r="BT237" i="6"/>
  <c r="BV226" i="5"/>
  <c r="BT300" i="5"/>
  <c r="BV420" i="2"/>
  <c r="BT35" i="2"/>
  <c r="BT300" i="6"/>
  <c r="BV95" i="5"/>
  <c r="BS185" i="6"/>
  <c r="BV47" i="6"/>
  <c r="BU463" i="5"/>
  <c r="BT329" i="6"/>
  <c r="BR169" i="2"/>
  <c r="BP277" i="2"/>
  <c r="BT237" i="2"/>
  <c r="BR31" i="7"/>
  <c r="BV407" i="2"/>
  <c r="BS361" i="6"/>
  <c r="BU200" i="2"/>
  <c r="BV280" i="5"/>
  <c r="BV259" i="5"/>
  <c r="BR301" i="2"/>
  <c r="BS375" i="2"/>
  <c r="BR169" i="6"/>
  <c r="BS269" i="5"/>
  <c r="BT62" i="5"/>
  <c r="BR292" i="6"/>
  <c r="BU435" i="6"/>
  <c r="BR169" i="5"/>
  <c r="BU55" i="2"/>
  <c r="BR125" i="5"/>
  <c r="BV63" i="5"/>
  <c r="BS435" i="2"/>
  <c r="BU352" i="5"/>
  <c r="BR30" i="6"/>
  <c r="BT271" i="6"/>
  <c r="BV205" i="6"/>
  <c r="BV468" i="6"/>
  <c r="BS403" i="2"/>
  <c r="BP369" i="2"/>
  <c r="BU176" i="5"/>
  <c r="BR164" i="6"/>
  <c r="BV161" i="2"/>
  <c r="BT33" i="5"/>
  <c r="BU164" i="5"/>
  <c r="BR161" i="2"/>
  <c r="BR54" i="6"/>
  <c r="BU14" i="5"/>
  <c r="BV193" i="6"/>
  <c r="BS90" i="2"/>
  <c r="BR91" i="7"/>
  <c r="BR176" i="7"/>
  <c r="BR26" i="2"/>
  <c r="BT14" i="6"/>
  <c r="BR408" i="6"/>
  <c r="BR493" i="5"/>
  <c r="BR355" i="6"/>
  <c r="BR20" i="6"/>
  <c r="BS68" i="5"/>
  <c r="BT433" i="2"/>
  <c r="BV312" i="5"/>
  <c r="BS410" i="5"/>
  <c r="BS125" i="6"/>
  <c r="BU198" i="2"/>
  <c r="BS215" i="2"/>
  <c r="BT82" i="6"/>
  <c r="BV352" i="2"/>
  <c r="BS201" i="6"/>
  <c r="BU78" i="5"/>
  <c r="BR67" i="6"/>
  <c r="BR242" i="2"/>
  <c r="BU145" i="6"/>
  <c r="BT502" i="6"/>
  <c r="BS226" i="5"/>
  <c r="BS274" i="6"/>
  <c r="BU449" i="6"/>
  <c r="BU219" i="6"/>
  <c r="BU229" i="5"/>
  <c r="BT162" i="6"/>
  <c r="BT480" i="6"/>
  <c r="BT494" i="6"/>
  <c r="BU415" i="5"/>
  <c r="BV87" i="5"/>
  <c r="BT211" i="2"/>
  <c r="BT131" i="6"/>
  <c r="BT474" i="5"/>
  <c r="BS460" i="6"/>
  <c r="BU294" i="6"/>
  <c r="BR210" i="5"/>
  <c r="BS209" i="5"/>
  <c r="BR278" i="5"/>
  <c r="BT77" i="6"/>
  <c r="BV404" i="6"/>
  <c r="BU256" i="6"/>
  <c r="BV103" i="6"/>
  <c r="BR442" i="6"/>
  <c r="BR194" i="6"/>
  <c r="BT251" i="6"/>
  <c r="BV238" i="6"/>
  <c r="BT182" i="6"/>
  <c r="BU51" i="5"/>
  <c r="BS308" i="6"/>
  <c r="BT298" i="5"/>
  <c r="BS497" i="2"/>
  <c r="BT358" i="6"/>
  <c r="BS110" i="5"/>
  <c r="BR473" i="2"/>
  <c r="BS241" i="6"/>
  <c r="BR477" i="2"/>
  <c r="BU206" i="2"/>
  <c r="BR152" i="2"/>
  <c r="BU295" i="6"/>
  <c r="BV189" i="6"/>
  <c r="BS498" i="5"/>
  <c r="BT458" i="5"/>
  <c r="BR359" i="5"/>
  <c r="BU219" i="5"/>
  <c r="BT330" i="5"/>
  <c r="BT174" i="6"/>
  <c r="BT20" i="6"/>
  <c r="BU127" i="2"/>
  <c r="BT437" i="2"/>
  <c r="BT500" i="6"/>
  <c r="BT158" i="5"/>
  <c r="BT21" i="6"/>
  <c r="BS267" i="2"/>
  <c r="BU160" i="6"/>
  <c r="BS100" i="2"/>
  <c r="BS203" i="5"/>
  <c r="BT403" i="2"/>
  <c r="BR502" i="2"/>
  <c r="BV190" i="5"/>
  <c r="BR103" i="6"/>
  <c r="BV43" i="6"/>
  <c r="BU157" i="6"/>
  <c r="BR117" i="2"/>
  <c r="BR133" i="2"/>
  <c r="BS138" i="6"/>
  <c r="BS464" i="5"/>
  <c r="BT350" i="5"/>
  <c r="BR70" i="7"/>
  <c r="BV193" i="5"/>
  <c r="BU378" i="6"/>
  <c r="BR244" i="5"/>
  <c r="BV188" i="2"/>
  <c r="BU17" i="6"/>
  <c r="BS322" i="5"/>
  <c r="BR52" i="7"/>
  <c r="BR215" i="6"/>
  <c r="BS411" i="5"/>
  <c r="BU291" i="6"/>
  <c r="BT199" i="6"/>
  <c r="BS154" i="6"/>
  <c r="BV148" i="2"/>
  <c r="BT111" i="5"/>
  <c r="BU37" i="6"/>
  <c r="BU157" i="5"/>
  <c r="BU391" i="2"/>
  <c r="BR102" i="7"/>
  <c r="BU62" i="2"/>
  <c r="BT117" i="6"/>
  <c r="BU340" i="5"/>
  <c r="BT295" i="2"/>
  <c r="BS398" i="5"/>
  <c r="BS409" i="6"/>
  <c r="BV114" i="2"/>
  <c r="BT28" i="6"/>
  <c r="BT301" i="5"/>
  <c r="BU23" i="5"/>
  <c r="BT206" i="2"/>
  <c r="BV143" i="2"/>
  <c r="BR38" i="7"/>
  <c r="BU189" i="2"/>
  <c r="BS65" i="5"/>
  <c r="BV385" i="5"/>
  <c r="BR480" i="6"/>
  <c r="BR179" i="5"/>
  <c r="BU148" i="5"/>
  <c r="BS391" i="2"/>
  <c r="BS358" i="2"/>
  <c r="BS80" i="5"/>
  <c r="BT354" i="6"/>
  <c r="BR212" i="2"/>
  <c r="BP317" i="2"/>
  <c r="BV395" i="5"/>
  <c r="BT451" i="5"/>
  <c r="BR267" i="2"/>
  <c r="BS311" i="2"/>
  <c r="BR209" i="2"/>
  <c r="BT470" i="6"/>
  <c r="BV87" i="2"/>
  <c r="BS206" i="6"/>
  <c r="BV18" i="2"/>
  <c r="BP351" i="2"/>
  <c r="BP344" i="2"/>
  <c r="BV330" i="5"/>
  <c r="BR353" i="2"/>
  <c r="BR220" i="6"/>
  <c r="BS421" i="6"/>
  <c r="BS99" i="6"/>
  <c r="BR293" i="2"/>
  <c r="BU443" i="2"/>
  <c r="BS291" i="6"/>
  <c r="BT49" i="2"/>
  <c r="BV57" i="5"/>
  <c r="BS392" i="5"/>
  <c r="BS51" i="6"/>
  <c r="BR314" i="2"/>
  <c r="BS271" i="6"/>
  <c r="BU338" i="5"/>
  <c r="BS172" i="2"/>
  <c r="BS191" i="5"/>
  <c r="BV327" i="6"/>
  <c r="BT337" i="2"/>
  <c r="BV472" i="2"/>
  <c r="BV71" i="5"/>
  <c r="BU135" i="6"/>
  <c r="BT80" i="6"/>
  <c r="BV440" i="6"/>
  <c r="BR283" i="7"/>
  <c r="BU22" i="5"/>
  <c r="BU241" i="6"/>
  <c r="BR215" i="7"/>
  <c r="BV102" i="2"/>
  <c r="BU400" i="5"/>
  <c r="BU293" i="2"/>
  <c r="BT196" i="2"/>
  <c r="BV33" i="2"/>
  <c r="BR401" i="5"/>
  <c r="BR150" i="5"/>
  <c r="BT141" i="6"/>
  <c r="BV361" i="5"/>
  <c r="BR28" i="5"/>
  <c r="BS53" i="5"/>
  <c r="BU447" i="6"/>
  <c r="BS257" i="5"/>
  <c r="BV238" i="2"/>
  <c r="BT298" i="2"/>
  <c r="BV275" i="2"/>
  <c r="BS475" i="2"/>
  <c r="BR102" i="6"/>
  <c r="BR263" i="5"/>
  <c r="BS218" i="6"/>
  <c r="BV220" i="5"/>
  <c r="BR415" i="6"/>
  <c r="BS78" i="5"/>
  <c r="BV232" i="5"/>
  <c r="BV171" i="6"/>
  <c r="BV350" i="5"/>
  <c r="BT472" i="5"/>
  <c r="BV29" i="2"/>
  <c r="BT397" i="6"/>
  <c r="BS92" i="5"/>
  <c r="BR141" i="7"/>
  <c r="BT293" i="6"/>
  <c r="BT134" i="2"/>
  <c r="BP284" i="2"/>
  <c r="BR380" i="2"/>
  <c r="BR81" i="7"/>
  <c r="BS92" i="2"/>
  <c r="BU380" i="2"/>
  <c r="BR124" i="2"/>
  <c r="BV52" i="2"/>
  <c r="BT33" i="2"/>
  <c r="BT279" i="6"/>
  <c r="BR343" i="6"/>
  <c r="BV159" i="6"/>
  <c r="BU384" i="2"/>
  <c r="BT439" i="2"/>
  <c r="BT173" i="5"/>
  <c r="BT235" i="5"/>
  <c r="BP371" i="2"/>
  <c r="BT469" i="5"/>
  <c r="BR231" i="2"/>
  <c r="BU492" i="5"/>
  <c r="BS247" i="5"/>
  <c r="BS474" i="5"/>
  <c r="BP362" i="2"/>
  <c r="BR442" i="2"/>
  <c r="BV265" i="2"/>
  <c r="BS475" i="6"/>
  <c r="BT377" i="2"/>
  <c r="BR417" i="6"/>
  <c r="BV493" i="6"/>
  <c r="BV29" i="5"/>
  <c r="BR172" i="7"/>
  <c r="BR429" i="6"/>
  <c r="BU134" i="6"/>
  <c r="BT140" i="2"/>
  <c r="BS87" i="5"/>
  <c r="BU71" i="6"/>
  <c r="BU439" i="2"/>
  <c r="BS174" i="5"/>
  <c r="BV318" i="5"/>
  <c r="BR227" i="5"/>
  <c r="BS111" i="6"/>
  <c r="BV391" i="5"/>
  <c r="BR193" i="7"/>
  <c r="BR146" i="6"/>
  <c r="BV390" i="5"/>
  <c r="BT410" i="5"/>
  <c r="BS175" i="2"/>
  <c r="BU201" i="2"/>
  <c r="BR484" i="6"/>
  <c r="BS375" i="5"/>
  <c r="BV202" i="5"/>
  <c r="BV415" i="2"/>
  <c r="BR184" i="2"/>
  <c r="BR294" i="5"/>
  <c r="BV451" i="6"/>
  <c r="BT418" i="5"/>
  <c r="BS57" i="2"/>
  <c r="BR447" i="2"/>
  <c r="BU154" i="5"/>
  <c r="BR270" i="5"/>
  <c r="BU205" i="5"/>
  <c r="BR33" i="6"/>
  <c r="BT41" i="6"/>
  <c r="BR208" i="2"/>
  <c r="BR381" i="2"/>
  <c r="BS23" i="6"/>
  <c r="BS117" i="2"/>
  <c r="BS317" i="2"/>
  <c r="BT158" i="2"/>
  <c r="BS380" i="5"/>
  <c r="BT297" i="6"/>
  <c r="BS220" i="6"/>
  <c r="BR129" i="6"/>
  <c r="BV145" i="6"/>
  <c r="BU317" i="6"/>
  <c r="BU91" i="6"/>
  <c r="BV104" i="5"/>
  <c r="BV332" i="5"/>
  <c r="BT59" i="5"/>
  <c r="BU198" i="6"/>
  <c r="BR140" i="2"/>
  <c r="BU388" i="2"/>
  <c r="BU172" i="2"/>
  <c r="BV410" i="5"/>
  <c r="BT130" i="2"/>
  <c r="BR152" i="6"/>
  <c r="BS377" i="2"/>
  <c r="BV13" i="2"/>
  <c r="BV254" i="2"/>
  <c r="BV274" i="5"/>
  <c r="BU158" i="2"/>
  <c r="BR113" i="5"/>
  <c r="BT171" i="6"/>
  <c r="BV349" i="6"/>
  <c r="BV99" i="5"/>
  <c r="BS495" i="6"/>
  <c r="BU303" i="5"/>
  <c r="BV443" i="6"/>
  <c r="BT365" i="2"/>
  <c r="BR179" i="7"/>
  <c r="BR256" i="5"/>
  <c r="BR400" i="6"/>
  <c r="BR206" i="6"/>
  <c r="BU209" i="5"/>
  <c r="BU38" i="2"/>
  <c r="BU75" i="2"/>
  <c r="BR331" i="6"/>
  <c r="BU186" i="5"/>
  <c r="BU181" i="2"/>
  <c r="BR279" i="2"/>
  <c r="BU203" i="2"/>
  <c r="BR362" i="5"/>
  <c r="BS239" i="6"/>
  <c r="BR418" i="2"/>
  <c r="BT434" i="2"/>
  <c r="BR42" i="6"/>
  <c r="BV105" i="6"/>
  <c r="BU256" i="2"/>
  <c r="BR190" i="6"/>
  <c r="BR324" i="2"/>
  <c r="BS188" i="2"/>
  <c r="BS287" i="2"/>
  <c r="BU334" i="2"/>
  <c r="BU320" i="5"/>
  <c r="BS472" i="6"/>
  <c r="BR224" i="7"/>
  <c r="BV140" i="2"/>
  <c r="BT152" i="5"/>
  <c r="BU411" i="6"/>
  <c r="BT342" i="6"/>
  <c r="BV305" i="5"/>
  <c r="BR100" i="5"/>
  <c r="BR206" i="2"/>
  <c r="BU421" i="5"/>
  <c r="BT381" i="6"/>
  <c r="BT25" i="2"/>
  <c r="BU70" i="6"/>
  <c r="BU481" i="2"/>
  <c r="BS201" i="5"/>
  <c r="BS227" i="5"/>
  <c r="BS270" i="5"/>
  <c r="BU290" i="5"/>
  <c r="BV236" i="6"/>
  <c r="BT39" i="5"/>
  <c r="BV387" i="5"/>
  <c r="BS199" i="5"/>
  <c r="BR258" i="2"/>
  <c r="BR70" i="2"/>
  <c r="BT241" i="2"/>
  <c r="BT494" i="5"/>
  <c r="BU447" i="2"/>
  <c r="BU16" i="5"/>
  <c r="BU325" i="2"/>
  <c r="BU104" i="2"/>
  <c r="BR329" i="6"/>
  <c r="BV115" i="6"/>
  <c r="BT146" i="6"/>
  <c r="BV181" i="6"/>
  <c r="BV414" i="6"/>
  <c r="BS455" i="2"/>
  <c r="BU498" i="2"/>
  <c r="BS232" i="2"/>
  <c r="BU44" i="2"/>
  <c r="BV393" i="6"/>
  <c r="BT490" i="5"/>
  <c r="BS248" i="5"/>
  <c r="BU392" i="2"/>
  <c r="BS37" i="6"/>
  <c r="BT467" i="2"/>
  <c r="BU236" i="6"/>
  <c r="BT467" i="6"/>
  <c r="BS19" i="6"/>
  <c r="BU475" i="5"/>
  <c r="BT364" i="6"/>
  <c r="BR460" i="5"/>
  <c r="BT341" i="2"/>
  <c r="BR288" i="5"/>
  <c r="BS461" i="6"/>
  <c r="BS79" i="6"/>
  <c r="BT382" i="6"/>
  <c r="BR269" i="5"/>
  <c r="BT201" i="5"/>
  <c r="BT339" i="6"/>
  <c r="BU448" i="5"/>
  <c r="BU325" i="6"/>
  <c r="BT39" i="2"/>
  <c r="BV301" i="2"/>
  <c r="BU427" i="2"/>
  <c r="BV287" i="2"/>
  <c r="BR18" i="5"/>
  <c r="BU150" i="5"/>
  <c r="BR300" i="5"/>
  <c r="BU233" i="5"/>
  <c r="BV146" i="6"/>
  <c r="BR150" i="7"/>
  <c r="BT389" i="5"/>
  <c r="BU424" i="2"/>
  <c r="BS294" i="6"/>
  <c r="BS431" i="5"/>
  <c r="BR89" i="7"/>
  <c r="BR463" i="6"/>
  <c r="BR166" i="2"/>
  <c r="BT389" i="2"/>
  <c r="BT310" i="2"/>
  <c r="BR15" i="7"/>
  <c r="BV64" i="6"/>
  <c r="BV51" i="2"/>
  <c r="BU379" i="2"/>
  <c r="BV274" i="6"/>
  <c r="BV355" i="2"/>
  <c r="BR25" i="7"/>
  <c r="BR464" i="6"/>
  <c r="BR147" i="7"/>
  <c r="BU249" i="2"/>
  <c r="BR413" i="2"/>
  <c r="BT498" i="2"/>
  <c r="BU298" i="5"/>
  <c r="BR100" i="6"/>
  <c r="BR502" i="5"/>
  <c r="BT115" i="6"/>
  <c r="BS422" i="5"/>
  <c r="BV383" i="6"/>
  <c r="BV154" i="6"/>
  <c r="BV489" i="5"/>
  <c r="BV500" i="2"/>
  <c r="BT155" i="2"/>
  <c r="BU179" i="5"/>
  <c r="BS94" i="6"/>
  <c r="BS385" i="6"/>
  <c r="BV282" i="5"/>
  <c r="BS481" i="2"/>
  <c r="BS254" i="6"/>
  <c r="BU325" i="5"/>
  <c r="BR430" i="6"/>
  <c r="BV135" i="6"/>
  <c r="BV34" i="6"/>
  <c r="BU304" i="6"/>
  <c r="BR82" i="2"/>
  <c r="BV251" i="6"/>
  <c r="BS463" i="5"/>
  <c r="BV213" i="6"/>
  <c r="BV194" i="2"/>
  <c r="BR467" i="5"/>
  <c r="BS330" i="5"/>
  <c r="BS448" i="2"/>
  <c r="BV348" i="5"/>
  <c r="BV179" i="6"/>
  <c r="BS313" i="5"/>
  <c r="BS401" i="5"/>
  <c r="BT353" i="5"/>
  <c r="BT165" i="5"/>
  <c r="BS444" i="5"/>
  <c r="BU54" i="6"/>
  <c r="BU380" i="6"/>
  <c r="BR198" i="2"/>
  <c r="BS28" i="5"/>
  <c r="BU477" i="6"/>
  <c r="BV381" i="2"/>
  <c r="BV40" i="6"/>
  <c r="BR111" i="2"/>
  <c r="BS415" i="2"/>
  <c r="BU162" i="2"/>
  <c r="BT153" i="2"/>
  <c r="BT249" i="5"/>
  <c r="BT246" i="5"/>
  <c r="BT262" i="2"/>
  <c r="BS353" i="6"/>
  <c r="BV139" i="2"/>
  <c r="BS469" i="2"/>
  <c r="BV152" i="2"/>
  <c r="BV67" i="5"/>
  <c r="BS178" i="5"/>
  <c r="BV465" i="2"/>
  <c r="BR112" i="7"/>
  <c r="BU242" i="2"/>
  <c r="BS441" i="5"/>
  <c r="BS205" i="5"/>
  <c r="BR260" i="2"/>
  <c r="BV375" i="6"/>
  <c r="BS107" i="6"/>
  <c r="BS38" i="2"/>
  <c r="BV482" i="6"/>
  <c r="BP368" i="2"/>
  <c r="BS66" i="6"/>
  <c r="BR344" i="5"/>
  <c r="BV214" i="2"/>
  <c r="BS50" i="6"/>
  <c r="BU431" i="5"/>
  <c r="BT207" i="6"/>
  <c r="BP359" i="2"/>
  <c r="BR39" i="2"/>
  <c r="BT450" i="2"/>
  <c r="BV33" i="6"/>
  <c r="BR55" i="6"/>
  <c r="BR383" i="6"/>
  <c r="BS261" i="2"/>
  <c r="BV103" i="2"/>
  <c r="BP332" i="2"/>
  <c r="BV70" i="6"/>
  <c r="BV53" i="2"/>
  <c r="BV353" i="2"/>
  <c r="BR368" i="6"/>
  <c r="BR101" i="7"/>
  <c r="BU390" i="5"/>
  <c r="BS457" i="6"/>
  <c r="BU418" i="2"/>
  <c r="BU206" i="6"/>
  <c r="BT434" i="5"/>
  <c r="BU351" i="5"/>
  <c r="BT149" i="6"/>
  <c r="BT333" i="5"/>
  <c r="BS462" i="2"/>
  <c r="BT421" i="2"/>
  <c r="BS28" i="2"/>
  <c r="BS169" i="6"/>
  <c r="BU462" i="2"/>
  <c r="BS272" i="2"/>
  <c r="BT103" i="6"/>
  <c r="BS110" i="2"/>
  <c r="BV428" i="6"/>
  <c r="BU269" i="2"/>
  <c r="BS480" i="5"/>
  <c r="BV350" i="2"/>
  <c r="BR236" i="2"/>
  <c r="BU155" i="5"/>
  <c r="BV328" i="5"/>
  <c r="BV323" i="2"/>
  <c r="BV495" i="5"/>
  <c r="BU465" i="5"/>
  <c r="BU383" i="6"/>
  <c r="BS49" i="6"/>
  <c r="BR289" i="5"/>
  <c r="BR75" i="5"/>
  <c r="BV141" i="6"/>
  <c r="BR163" i="6"/>
  <c r="BT230" i="6"/>
  <c r="BR370" i="2"/>
  <c r="BS231" i="5"/>
  <c r="BU66" i="2"/>
  <c r="BT438" i="6"/>
  <c r="BU341" i="6"/>
  <c r="BV196" i="5"/>
  <c r="BU474" i="2"/>
  <c r="BS53" i="2"/>
  <c r="BS49" i="2"/>
  <c r="BT399" i="5"/>
  <c r="BU113" i="5"/>
  <c r="BS234" i="6"/>
  <c r="BV310" i="6"/>
  <c r="BS59" i="5"/>
  <c r="BU285" i="5"/>
  <c r="BS260" i="2"/>
  <c r="BV374" i="2"/>
  <c r="BU350" i="6"/>
  <c r="BR149" i="7"/>
  <c r="BT174" i="2"/>
  <c r="BU194" i="6"/>
  <c r="BT105" i="2"/>
  <c r="BV249" i="2"/>
  <c r="BR176" i="6"/>
  <c r="BT440" i="5"/>
  <c r="BS67" i="6"/>
  <c r="BU161" i="5"/>
  <c r="BR284" i="2"/>
  <c r="BV37" i="6"/>
  <c r="BS266" i="2"/>
  <c r="BR207" i="5"/>
  <c r="BV299" i="6"/>
  <c r="BU46" i="6"/>
  <c r="BT320" i="6"/>
  <c r="BR18" i="6"/>
  <c r="BV256" i="6"/>
  <c r="BV401" i="2"/>
  <c r="BV170" i="2"/>
  <c r="BU442" i="6"/>
  <c r="BU485" i="5"/>
  <c r="BU172" i="5"/>
  <c r="BT116" i="5"/>
  <c r="BU339" i="5"/>
  <c r="BR126" i="2"/>
  <c r="BV246" i="2"/>
  <c r="BT391" i="5"/>
  <c r="BT380" i="2"/>
  <c r="BU329" i="5"/>
  <c r="BT272" i="5"/>
  <c r="BT501" i="2"/>
  <c r="BS103" i="5"/>
  <c r="BS222" i="2"/>
  <c r="BT384" i="5"/>
  <c r="BV37" i="2"/>
  <c r="BU97" i="6"/>
  <c r="BV66" i="2"/>
  <c r="BS315" i="5"/>
  <c r="BS394" i="5"/>
  <c r="BU489" i="6"/>
  <c r="BS177" i="6"/>
  <c r="BT315" i="6"/>
  <c r="BR203" i="2"/>
  <c r="BV414" i="5"/>
  <c r="BT172" i="2"/>
  <c r="BU429" i="2"/>
  <c r="BS277" i="2"/>
  <c r="BS184" i="2"/>
  <c r="BU145" i="2"/>
  <c r="BS130" i="6"/>
  <c r="BU471" i="5"/>
  <c r="BS424" i="2"/>
  <c r="BU20" i="5"/>
  <c r="BT453" i="5"/>
  <c r="BV353" i="5"/>
  <c r="BS395" i="6"/>
  <c r="BU190" i="5"/>
  <c r="BR452" i="2"/>
  <c r="BR270" i="2"/>
  <c r="BU56" i="6"/>
  <c r="BR139" i="6"/>
  <c r="BS141" i="2"/>
  <c r="BS53" i="6"/>
  <c r="BU64" i="6"/>
  <c r="BS327" i="5"/>
  <c r="BR322" i="5"/>
  <c r="BU330" i="6"/>
  <c r="BU38" i="5"/>
  <c r="BU370" i="2"/>
  <c r="BT91" i="5"/>
  <c r="BT411" i="6"/>
  <c r="BR323" i="6"/>
  <c r="BT379" i="6"/>
  <c r="BS229" i="6"/>
  <c r="BV483" i="6"/>
  <c r="BR69" i="6"/>
  <c r="BV473" i="5"/>
  <c r="BV404" i="5"/>
  <c r="BV46" i="2"/>
  <c r="BR329" i="2"/>
  <c r="BR188" i="5"/>
  <c r="BS322" i="6"/>
  <c r="BP339" i="2"/>
  <c r="BU285" i="2"/>
  <c r="BR124" i="5"/>
  <c r="BR109" i="5"/>
  <c r="BS285" i="5"/>
  <c r="BR170" i="5"/>
  <c r="BR471" i="5"/>
  <c r="BU271" i="5"/>
  <c r="BR342" i="2"/>
  <c r="BT171" i="2"/>
  <c r="BT487" i="5"/>
  <c r="BS468" i="5"/>
  <c r="BS219" i="2"/>
  <c r="BU477" i="2"/>
  <c r="BR309" i="7"/>
  <c r="BR387" i="6"/>
  <c r="BR355" i="2"/>
  <c r="BV291" i="2"/>
  <c r="BR121" i="5"/>
  <c r="BV266" i="5"/>
  <c r="BV430" i="2"/>
  <c r="BT364" i="5"/>
  <c r="BU279" i="6"/>
  <c r="BV218" i="5"/>
  <c r="BV220" i="2"/>
  <c r="BT238" i="6"/>
  <c r="BV187" i="5"/>
  <c r="BT488" i="6"/>
  <c r="BV17" i="6"/>
  <c r="BR73" i="6"/>
  <c r="BR335" i="5"/>
  <c r="BS484" i="5"/>
  <c r="BV330" i="2"/>
  <c r="BT153" i="6"/>
  <c r="BR173" i="5"/>
  <c r="BU467" i="2"/>
  <c r="BR202" i="5"/>
  <c r="BS224" i="6"/>
  <c r="BU52" i="6"/>
  <c r="BS45" i="5"/>
  <c r="BS184" i="5"/>
  <c r="BU411" i="2"/>
  <c r="BT78" i="5"/>
  <c r="BT114" i="6"/>
  <c r="BV122" i="5"/>
  <c r="BR255" i="5"/>
  <c r="BR66" i="5"/>
  <c r="BT157" i="5"/>
  <c r="BS493" i="5"/>
  <c r="BR78" i="2"/>
  <c r="BV260" i="2"/>
  <c r="BU33" i="2"/>
  <c r="BT51" i="6"/>
  <c r="BS282" i="6"/>
  <c r="BU229" i="6"/>
  <c r="BU419" i="6"/>
  <c r="BT87" i="2"/>
  <c r="BT100" i="2"/>
  <c r="BR232" i="6"/>
  <c r="BR488" i="5"/>
  <c r="BV92" i="6"/>
  <c r="BU199" i="5"/>
  <c r="BV351" i="5"/>
  <c r="BU232" i="2"/>
  <c r="BT260" i="6"/>
  <c r="BT66" i="6"/>
  <c r="BT128" i="6"/>
  <c r="BS387" i="2"/>
  <c r="BR161" i="6"/>
  <c r="BV131" i="6"/>
  <c r="BT71" i="2"/>
  <c r="BT21" i="2"/>
  <c r="BS171" i="2"/>
  <c r="BT117" i="5"/>
  <c r="BU266" i="5"/>
  <c r="BV480" i="5"/>
  <c r="BU423" i="5"/>
  <c r="BV248" i="5"/>
  <c r="BU451" i="5"/>
  <c r="BS393" i="6"/>
  <c r="BT28" i="5"/>
  <c r="BV272" i="2"/>
  <c r="BV90" i="6"/>
  <c r="BU292" i="2"/>
  <c r="BU305" i="2"/>
  <c r="BU220" i="5"/>
  <c r="BS97" i="5"/>
  <c r="BV230" i="5"/>
  <c r="BV253" i="2"/>
  <c r="BT452" i="5"/>
  <c r="BR117" i="5"/>
  <c r="BR403" i="2"/>
  <c r="BV116" i="2"/>
  <c r="BS242" i="2"/>
  <c r="BS221" i="6"/>
  <c r="BS199" i="6"/>
  <c r="BR178" i="2"/>
  <c r="BR154" i="2"/>
  <c r="BT61" i="5"/>
  <c r="BV262" i="6"/>
  <c r="BS378" i="2"/>
  <c r="BV473" i="2"/>
  <c r="BS432" i="6"/>
  <c r="BR41" i="2"/>
  <c r="BV202" i="6"/>
  <c r="BT428" i="2"/>
  <c r="BV399" i="2"/>
  <c r="BS295" i="6"/>
  <c r="BR502" i="6"/>
  <c r="BV172" i="6"/>
  <c r="BU303" i="2"/>
  <c r="BU234" i="2"/>
  <c r="BT54" i="5"/>
  <c r="BS497" i="5"/>
  <c r="BV449" i="2"/>
  <c r="BS480" i="6"/>
  <c r="BR139" i="5"/>
  <c r="BV437" i="5"/>
  <c r="BU491" i="2"/>
  <c r="BV98" i="2"/>
  <c r="BS149" i="2"/>
  <c r="BR225" i="6"/>
  <c r="BU404" i="5"/>
  <c r="BU369" i="6"/>
  <c r="BT195" i="6"/>
  <c r="BR305" i="2"/>
  <c r="BR334" i="2"/>
  <c r="BS497" i="6"/>
  <c r="BT83" i="2"/>
  <c r="BT310" i="6"/>
  <c r="BR94" i="6"/>
  <c r="BR297" i="5"/>
  <c r="BV298" i="5"/>
  <c r="BT135" i="2"/>
  <c r="BU348" i="5"/>
  <c r="BU343" i="2"/>
  <c r="BV477" i="5"/>
  <c r="BT135" i="5"/>
  <c r="BV418" i="2"/>
  <c r="BV350" i="6"/>
  <c r="BU142" i="6"/>
  <c r="BP294" i="2"/>
  <c r="BT178" i="6"/>
  <c r="BS427" i="5"/>
  <c r="BU46" i="2"/>
  <c r="BP288" i="2"/>
  <c r="BU131" i="2"/>
  <c r="BT212" i="5"/>
  <c r="BR374" i="2"/>
  <c r="BV177" i="6"/>
  <c r="BT447" i="5"/>
  <c r="BV384" i="5"/>
  <c r="BT62" i="6"/>
  <c r="BU472" i="2"/>
  <c r="BV463" i="6"/>
  <c r="BR160" i="2"/>
  <c r="BU137" i="5"/>
  <c r="BT223" i="2"/>
  <c r="BR382" i="6"/>
  <c r="BT38" i="2"/>
  <c r="BU161" i="2"/>
  <c r="BV443" i="2"/>
  <c r="BU450" i="6"/>
  <c r="BU81" i="2"/>
  <c r="BS91" i="5"/>
  <c r="BT99" i="5"/>
  <c r="BS109" i="5"/>
  <c r="BT169" i="2"/>
  <c r="BU102" i="5"/>
  <c r="BS130" i="2"/>
  <c r="BU171" i="5"/>
  <c r="BU105" i="5"/>
  <c r="BU500" i="2"/>
  <c r="BU27" i="5"/>
  <c r="BV370" i="6"/>
  <c r="BV332" i="2"/>
  <c r="BR391" i="5"/>
  <c r="BS212" i="6"/>
  <c r="BV387" i="6"/>
  <c r="BR88" i="6"/>
  <c r="BU417" i="2"/>
  <c r="BV447" i="2"/>
  <c r="BV420" i="5"/>
  <c r="BV97" i="6"/>
  <c r="BT107" i="2"/>
  <c r="BT341" i="5"/>
  <c r="BU118" i="6"/>
  <c r="BS453" i="2"/>
  <c r="BV37" i="5"/>
  <c r="BR388" i="2"/>
  <c r="BS465" i="6"/>
  <c r="BS298" i="6"/>
  <c r="BT215" i="6"/>
  <c r="BV397" i="5"/>
  <c r="BT389" i="6"/>
  <c r="BR194" i="5"/>
  <c r="BV139" i="6"/>
  <c r="BR137" i="6"/>
  <c r="BT201" i="6"/>
  <c r="BT46" i="5"/>
  <c r="BT139" i="6"/>
  <c r="BR491" i="2"/>
  <c r="BT205" i="6"/>
  <c r="BS241" i="2"/>
  <c r="BR209" i="5"/>
  <c r="BR238" i="7"/>
  <c r="BT268" i="2"/>
  <c r="BR182" i="6"/>
  <c r="BU196" i="5"/>
  <c r="BR67" i="2"/>
  <c r="BU494" i="5"/>
  <c r="BP299" i="2"/>
  <c r="BV20" i="5"/>
  <c r="BU32" i="5"/>
  <c r="BT388" i="5"/>
  <c r="BV222" i="5"/>
  <c r="BU87" i="2"/>
  <c r="BT91" i="6"/>
  <c r="BU128" i="2"/>
  <c r="BS488" i="2"/>
  <c r="BS109" i="6"/>
  <c r="BT137" i="2"/>
  <c r="BR119" i="5"/>
  <c r="BR470" i="6"/>
  <c r="BR154" i="6"/>
  <c r="BU112" i="6"/>
  <c r="BT122" i="2"/>
  <c r="BS75" i="2"/>
  <c r="BU277" i="5"/>
  <c r="BT214" i="6"/>
  <c r="BS323" i="2"/>
  <c r="BU333" i="5"/>
  <c r="BV440" i="5"/>
  <c r="BR344" i="6"/>
  <c r="BV217" i="6"/>
  <c r="BU485" i="2"/>
  <c r="BR349" i="5"/>
  <c r="BV324" i="2"/>
  <c r="BR294" i="6"/>
  <c r="BS293" i="2"/>
  <c r="BT447" i="6"/>
  <c r="BV227" i="6"/>
  <c r="BV475" i="5"/>
  <c r="BS103" i="6"/>
  <c r="BU14" i="2"/>
  <c r="BT207" i="2"/>
  <c r="BS407" i="2"/>
  <c r="BP283" i="2"/>
  <c r="BV450" i="6"/>
  <c r="BS465" i="2"/>
  <c r="BU139" i="6"/>
  <c r="BV478" i="5"/>
  <c r="BT278" i="5"/>
  <c r="BV125" i="5"/>
  <c r="BU196" i="6"/>
  <c r="BR114" i="7"/>
  <c r="BU311" i="5"/>
  <c r="BT40" i="2"/>
  <c r="BS234" i="2"/>
  <c r="BT39" i="6"/>
  <c r="BU193" i="6"/>
  <c r="BT492" i="5"/>
  <c r="BU79" i="2"/>
  <c r="BU106" i="5"/>
  <c r="BT161" i="6"/>
  <c r="BT393" i="5"/>
  <c r="BR458" i="2"/>
  <c r="BS340" i="5"/>
  <c r="BR143" i="2"/>
  <c r="BR490" i="5"/>
  <c r="BR138" i="6"/>
  <c r="BR450" i="6"/>
  <c r="BV455" i="2"/>
  <c r="BV49" i="5"/>
  <c r="BS452" i="2"/>
  <c r="BV126" i="2"/>
  <c r="BV82" i="6"/>
  <c r="BR392" i="2"/>
  <c r="BR241" i="5"/>
  <c r="BV419" i="5"/>
  <c r="BU502" i="5"/>
  <c r="BT482" i="2"/>
  <c r="BR54" i="5"/>
  <c r="BV78" i="2"/>
  <c r="BS208" i="2"/>
  <c r="BV225" i="6"/>
  <c r="BV431" i="2"/>
  <c r="BV488" i="5"/>
  <c r="BV299" i="5"/>
  <c r="BS153" i="5"/>
  <c r="BS422" i="2"/>
  <c r="BU250" i="5"/>
  <c r="BR312" i="5"/>
  <c r="BR294" i="2"/>
  <c r="BV401" i="6"/>
  <c r="BU368" i="6"/>
  <c r="BV273" i="5"/>
  <c r="BV302" i="2"/>
  <c r="BR138" i="5"/>
  <c r="BU226" i="5"/>
  <c r="BV135" i="5"/>
  <c r="BU45" i="6"/>
  <c r="BV405" i="5"/>
  <c r="BU149" i="5"/>
  <c r="BR177" i="6"/>
  <c r="BT27" i="6"/>
  <c r="BV79" i="6"/>
  <c r="BS403" i="6"/>
  <c r="BT202" i="5"/>
  <c r="BT321" i="6"/>
  <c r="BV497" i="5"/>
  <c r="BS205" i="2"/>
  <c r="BU15" i="5"/>
  <c r="BS479" i="2"/>
  <c r="BR239" i="2"/>
  <c r="BS448" i="6"/>
  <c r="BP282" i="2"/>
  <c r="BV57" i="2"/>
  <c r="BS70" i="5"/>
  <c r="BT382" i="5"/>
  <c r="BR91" i="5"/>
  <c r="BV258" i="5"/>
  <c r="BU428" i="2"/>
  <c r="BT444" i="2"/>
  <c r="BV297" i="5"/>
  <c r="BV128" i="5"/>
  <c r="BV69" i="5"/>
  <c r="BV206" i="6"/>
  <c r="BU465" i="6"/>
  <c r="BR31" i="2"/>
  <c r="BR86" i="5"/>
  <c r="BV203" i="5"/>
  <c r="BR63" i="7"/>
  <c r="BR85" i="7"/>
  <c r="BR415" i="2"/>
  <c r="BR463" i="2"/>
  <c r="BS137" i="2"/>
  <c r="BV315" i="6"/>
  <c r="BU162" i="6"/>
  <c r="BT424" i="6"/>
  <c r="BT18" i="2"/>
  <c r="BR198" i="5"/>
  <c r="BR469" i="2"/>
  <c r="BV206" i="5"/>
  <c r="BU363" i="5"/>
  <c r="BR297" i="2"/>
  <c r="BV208" i="5"/>
  <c r="BV317" i="2"/>
  <c r="BT297" i="2"/>
  <c r="BR295" i="2"/>
  <c r="BV334" i="5"/>
  <c r="BS343" i="6"/>
  <c r="BS247" i="6"/>
  <c r="BR197" i="7"/>
  <c r="BR230" i="6"/>
  <c r="BR33" i="5"/>
  <c r="BU103" i="2"/>
  <c r="BS409" i="2"/>
  <c r="BT325" i="5"/>
  <c r="BS118" i="2"/>
  <c r="BV219" i="2"/>
  <c r="BV399" i="5"/>
  <c r="BR262" i="2"/>
  <c r="BR303" i="7"/>
  <c r="BT17" i="6"/>
  <c r="BV19" i="2"/>
  <c r="BT271" i="5"/>
  <c r="BP300" i="2"/>
  <c r="BV145" i="2"/>
  <c r="BT413" i="5"/>
  <c r="BT86" i="5"/>
  <c r="BV81" i="6"/>
  <c r="BR255" i="2"/>
  <c r="BV22" i="5"/>
  <c r="BS387" i="6"/>
  <c r="BU88" i="6"/>
  <c r="BV94" i="5"/>
  <c r="BR113" i="6"/>
  <c r="BR14" i="5"/>
  <c r="BT371" i="6"/>
  <c r="BS359" i="6"/>
  <c r="BR173" i="6"/>
  <c r="BS217" i="2"/>
  <c r="BT373" i="6"/>
  <c r="BU299" i="2"/>
  <c r="BT213" i="2"/>
  <c r="BU257" i="2"/>
  <c r="BT111" i="6"/>
  <c r="BU81" i="6"/>
  <c r="BU238" i="5"/>
  <c r="BT198" i="6"/>
  <c r="BS302" i="6"/>
  <c r="BU65" i="6"/>
  <c r="BT74" i="6"/>
  <c r="BS357" i="6"/>
  <c r="BT64" i="2"/>
  <c r="BS134" i="5"/>
  <c r="BT275" i="5"/>
  <c r="BT415" i="5"/>
  <c r="BU303" i="6"/>
  <c r="BT290" i="2"/>
  <c r="BR420" i="2"/>
  <c r="BU287" i="6"/>
  <c r="BS285" i="6"/>
  <c r="BS207" i="5"/>
  <c r="BR242" i="5"/>
  <c r="BT261" i="2"/>
  <c r="BT405" i="6"/>
  <c r="BS413" i="6"/>
  <c r="BV353" i="6"/>
  <c r="BU411" i="5"/>
  <c r="BR226" i="6"/>
  <c r="BS451" i="2"/>
  <c r="BT469" i="2"/>
  <c r="BV211" i="6"/>
  <c r="BU492" i="2"/>
  <c r="BP298" i="2"/>
  <c r="BT351" i="6"/>
  <c r="BT285" i="6"/>
  <c r="BR182" i="7"/>
  <c r="BV453" i="2"/>
  <c r="BV197" i="2"/>
  <c r="BS213" i="5"/>
  <c r="BS25" i="5"/>
  <c r="BT22" i="2"/>
  <c r="BS329" i="2"/>
  <c r="BR307" i="7"/>
  <c r="BU468" i="5"/>
  <c r="BV344" i="5"/>
  <c r="BU389" i="6"/>
  <c r="BV191" i="5"/>
  <c r="BR62" i="7"/>
  <c r="BS13" i="6"/>
  <c r="BR437" i="2"/>
  <c r="BR188" i="2"/>
  <c r="BU113" i="6"/>
  <c r="BV308" i="2"/>
  <c r="BS361" i="5"/>
  <c r="BR453" i="2"/>
  <c r="BU282" i="2"/>
  <c r="BT109" i="5"/>
  <c r="BU242" i="6"/>
  <c r="BV271" i="2"/>
  <c r="BV112" i="5"/>
  <c r="BR133" i="7"/>
  <c r="BT154" i="5"/>
  <c r="BR89" i="6"/>
  <c r="BR331" i="5"/>
  <c r="BU212" i="2"/>
  <c r="BR344" i="2"/>
  <c r="BT149" i="2"/>
  <c r="BS30" i="5"/>
  <c r="BS69" i="2"/>
  <c r="BT186" i="5"/>
  <c r="BU182" i="5"/>
  <c r="BV500" i="6"/>
  <c r="BR269" i="2"/>
  <c r="BR361" i="6"/>
  <c r="BU350" i="5"/>
  <c r="BU497" i="5"/>
  <c r="BV221" i="6"/>
  <c r="BT424" i="5"/>
  <c r="BR199" i="2"/>
  <c r="BT277" i="6"/>
  <c r="BR248" i="5"/>
  <c r="BU154" i="6"/>
  <c r="BT288" i="2"/>
  <c r="BV305" i="6"/>
  <c r="BV88" i="2"/>
  <c r="BV418" i="6"/>
  <c r="BR350" i="5"/>
  <c r="BR87" i="2"/>
  <c r="BS303" i="6"/>
  <c r="BR272" i="7"/>
  <c r="BT392" i="6"/>
  <c r="BT339" i="5"/>
  <c r="BR394" i="5"/>
  <c r="BV131" i="2"/>
  <c r="BR170" i="7"/>
  <c r="BR394" i="2"/>
  <c r="BP302" i="2"/>
  <c r="BR340" i="5"/>
  <c r="BU472" i="6"/>
  <c r="BR328" i="6"/>
  <c r="BR441" i="5"/>
  <c r="BU35" i="6"/>
  <c r="BR468" i="6"/>
  <c r="BV323" i="6"/>
  <c r="BV182" i="6"/>
  <c r="BU199" i="2"/>
  <c r="BR106" i="5"/>
  <c r="BR487" i="5"/>
  <c r="BS35" i="5"/>
  <c r="BS202" i="6"/>
  <c r="BR159" i="7"/>
  <c r="BT254" i="6"/>
  <c r="BT337" i="6"/>
  <c r="BR442" i="5"/>
  <c r="BV76" i="5"/>
  <c r="BP338" i="2"/>
  <c r="BU367" i="2"/>
  <c r="BV354" i="5"/>
  <c r="BS371" i="5"/>
  <c r="BR205" i="7"/>
  <c r="BT371" i="2"/>
  <c r="BU477" i="5"/>
  <c r="BS321" i="6"/>
  <c r="BT111" i="2"/>
  <c r="BR185" i="7"/>
  <c r="BR211" i="5"/>
  <c r="BT490" i="6"/>
  <c r="BR358" i="2"/>
  <c r="BV82" i="5"/>
  <c r="BU73" i="2"/>
  <c r="BV123" i="2"/>
  <c r="BR57" i="2"/>
  <c r="BU184" i="2"/>
  <c r="BU418" i="5"/>
  <c r="BV241" i="6"/>
  <c r="BR348" i="2"/>
  <c r="BT501" i="5"/>
  <c r="BR393" i="2"/>
  <c r="BR283" i="2"/>
  <c r="BV243" i="6"/>
  <c r="BU412" i="5"/>
  <c r="BU351" i="2"/>
  <c r="BT194" i="6"/>
  <c r="BU210" i="2"/>
  <c r="BV491" i="2"/>
  <c r="BV402" i="6"/>
  <c r="BT188" i="2"/>
  <c r="BU281" i="6"/>
  <c r="BS393" i="5"/>
  <c r="BU203" i="6"/>
  <c r="BU363" i="2"/>
  <c r="BU125" i="6"/>
  <c r="BR307" i="2"/>
  <c r="BU368" i="5"/>
  <c r="BR28" i="6"/>
  <c r="BS400" i="6"/>
  <c r="BU56" i="2"/>
  <c r="BR43" i="5"/>
  <c r="BR181" i="2"/>
  <c r="BU82" i="5"/>
  <c r="BR320" i="5"/>
  <c r="BR223" i="5"/>
  <c r="BU246" i="6"/>
  <c r="BS285" i="2"/>
  <c r="BU186" i="2"/>
  <c r="BV164" i="2"/>
  <c r="BT44" i="5"/>
  <c r="BT166" i="5"/>
  <c r="BR302" i="6"/>
  <c r="BV19" i="6"/>
  <c r="BV248" i="6"/>
  <c r="BR121" i="6"/>
  <c r="BR419" i="5"/>
  <c r="BS75" i="5"/>
  <c r="BT328" i="2"/>
  <c r="BT200" i="2"/>
  <c r="BR268" i="5"/>
  <c r="BV351" i="2"/>
  <c r="BV135" i="2"/>
  <c r="BV30" i="6"/>
  <c r="BS411" i="2"/>
  <c r="BS167" i="6"/>
  <c r="BR57" i="6"/>
  <c r="BU63" i="2"/>
  <c r="BR399" i="2"/>
  <c r="BR66" i="6"/>
  <c r="BU78" i="2"/>
  <c r="BU302" i="2"/>
  <c r="BU61" i="2"/>
  <c r="BR208" i="6"/>
  <c r="BV362" i="6"/>
  <c r="BV498" i="6"/>
  <c r="BU230" i="5"/>
  <c r="BP372" i="2"/>
  <c r="BU126" i="2"/>
  <c r="BV163" i="5"/>
  <c r="BS348" i="5"/>
  <c r="BU178" i="2"/>
  <c r="BS369" i="6"/>
  <c r="BU40" i="2"/>
  <c r="BV202" i="2"/>
  <c r="BV447" i="6"/>
  <c r="BU317" i="2"/>
  <c r="BR231" i="7"/>
  <c r="BR174" i="2"/>
  <c r="BT220" i="5"/>
  <c r="BV432" i="5"/>
  <c r="BT219" i="5"/>
  <c r="BP322" i="2"/>
  <c r="BT302" i="6"/>
  <c r="BT314" i="5"/>
  <c r="BS122" i="5"/>
  <c r="BU262" i="2"/>
  <c r="BR246" i="5"/>
  <c r="BT337" i="5"/>
  <c r="BV292" i="5"/>
  <c r="BS430" i="5"/>
  <c r="BR193" i="5"/>
  <c r="BT478" i="5"/>
  <c r="BT278" i="2"/>
  <c r="BS157" i="6"/>
  <c r="BR32" i="6"/>
  <c r="BV38" i="6"/>
  <c r="BR431" i="2"/>
  <c r="BT388" i="6"/>
  <c r="BU49" i="6"/>
  <c r="BS333" i="5"/>
  <c r="BS145" i="2"/>
  <c r="BR105" i="5"/>
  <c r="BR256" i="6"/>
  <c r="BS138" i="5"/>
  <c r="BR58" i="2"/>
  <c r="BS39" i="5"/>
  <c r="BV247" i="6"/>
  <c r="BV147" i="6"/>
  <c r="BU484" i="5"/>
  <c r="BV270" i="2"/>
  <c r="BT189" i="2"/>
  <c r="BV494" i="5"/>
  <c r="BV199" i="2"/>
  <c r="BP319" i="2"/>
  <c r="BV461" i="2"/>
  <c r="BS247" i="2"/>
  <c r="BV25" i="6"/>
  <c r="BS225" i="2"/>
  <c r="BU319" i="2"/>
  <c r="BS360" i="6"/>
  <c r="BR151" i="5"/>
  <c r="BR459" i="6"/>
  <c r="BR277" i="5"/>
  <c r="BU438" i="2"/>
  <c r="BT244" i="5"/>
  <c r="BR397" i="2"/>
  <c r="BS41" i="5"/>
  <c r="BV303" i="5"/>
  <c r="BV210" i="6"/>
  <c r="BU354" i="2"/>
  <c r="BU432" i="6"/>
  <c r="BR421" i="2"/>
  <c r="BR27" i="5"/>
  <c r="BR198" i="7"/>
  <c r="BS332" i="5"/>
  <c r="BU273" i="6"/>
  <c r="BR218" i="2"/>
  <c r="BU290" i="6"/>
  <c r="BR381" i="6"/>
  <c r="BS19" i="2"/>
  <c r="BR288" i="2"/>
  <c r="BT442" i="5"/>
  <c r="BS458" i="2"/>
  <c r="BT222" i="2"/>
  <c r="BT361" i="6"/>
  <c r="BU357" i="5"/>
  <c r="BR77" i="6"/>
  <c r="BR424" i="2"/>
  <c r="BR461" i="6"/>
  <c r="BT43" i="2"/>
  <c r="BT109" i="6"/>
  <c r="BS29" i="2"/>
  <c r="BT35" i="5"/>
  <c r="BR287" i="2"/>
  <c r="BU159" i="6"/>
  <c r="BT259" i="6"/>
  <c r="BS263" i="6"/>
  <c r="BR118" i="7"/>
  <c r="BS124" i="6"/>
  <c r="BT184" i="6"/>
  <c r="BR464" i="5"/>
  <c r="BU112" i="5"/>
  <c r="BU258" i="2"/>
  <c r="BR44" i="6"/>
  <c r="BU219" i="2"/>
  <c r="BV453" i="5"/>
  <c r="BV174" i="6"/>
  <c r="BV99" i="6"/>
  <c r="BU200" i="5"/>
  <c r="BR155" i="6"/>
  <c r="BT444" i="6"/>
  <c r="BR58" i="7"/>
  <c r="BV335" i="2"/>
  <c r="BU274" i="2"/>
  <c r="BT339" i="2"/>
  <c r="BV18" i="5"/>
  <c r="BR422" i="5"/>
  <c r="BV20" i="2"/>
  <c r="BV373" i="5"/>
  <c r="BS47" i="6"/>
  <c r="BT85" i="5"/>
  <c r="BR13" i="2"/>
  <c r="BV61" i="2"/>
  <c r="BR47" i="5"/>
  <c r="BV452" i="5"/>
  <c r="BU403" i="5"/>
  <c r="BV467" i="6"/>
  <c r="BV217" i="2"/>
  <c r="BV371" i="2"/>
  <c r="BS437" i="5"/>
  <c r="BS425" i="6"/>
  <c r="BV111" i="5"/>
  <c r="BS123" i="2"/>
  <c r="BV249" i="6"/>
  <c r="BS332" i="2"/>
  <c r="BT151" i="2"/>
  <c r="BV65" i="6"/>
  <c r="BU421" i="6"/>
  <c r="BV118" i="2"/>
  <c r="BV372" i="5"/>
  <c r="BT363" i="6"/>
  <c r="BV492" i="5"/>
  <c r="BU115" i="2"/>
  <c r="BU384" i="5"/>
  <c r="BV116" i="6"/>
  <c r="BT256" i="6"/>
  <c r="BV451" i="5"/>
  <c r="BR85" i="5"/>
  <c r="BT341" i="6"/>
  <c r="BT414" i="6"/>
  <c r="BV385" i="6"/>
  <c r="BV307" i="6"/>
  <c r="BU292" i="5"/>
  <c r="BU428" i="5"/>
  <c r="BV347" i="5"/>
  <c r="BT90" i="2"/>
  <c r="BR86" i="2"/>
  <c r="BV302" i="6"/>
  <c r="BS161" i="5"/>
  <c r="BR378" i="2"/>
  <c r="BU459" i="6"/>
  <c r="BV237" i="5"/>
  <c r="BU185" i="5"/>
  <c r="BP303" i="2"/>
  <c r="BR290" i="2"/>
  <c r="BS20" i="5"/>
  <c r="BU211" i="5"/>
  <c r="BV395" i="2"/>
  <c r="BU313" i="2"/>
  <c r="BV122" i="6"/>
  <c r="BR153" i="2"/>
  <c r="BS13" i="2"/>
  <c r="BR377" i="5"/>
  <c r="BS256" i="2"/>
  <c r="BS388" i="5"/>
  <c r="BT29" i="2"/>
  <c r="BV16" i="6"/>
  <c r="BR388" i="5"/>
  <c r="BU254" i="6"/>
  <c r="BS181" i="5"/>
  <c r="BR237" i="6"/>
  <c r="BS421" i="2"/>
  <c r="BV52" i="5"/>
  <c r="BU89" i="5"/>
  <c r="BR316" i="7"/>
  <c r="BS469" i="5"/>
  <c r="BV80" i="2"/>
  <c r="BU452" i="6"/>
  <c r="BU310" i="5"/>
  <c r="BS94" i="2"/>
  <c r="BU489" i="2"/>
  <c r="BT265" i="5"/>
  <c r="BT189" i="5"/>
  <c r="BS328" i="2"/>
  <c r="BS377" i="6"/>
  <c r="BR257" i="5"/>
  <c r="BU122" i="2"/>
  <c r="BU322" i="6"/>
  <c r="BT230" i="2"/>
  <c r="BR372" i="6"/>
  <c r="BR371" i="6"/>
  <c r="BS332" i="6"/>
  <c r="BV34" i="2"/>
  <c r="BT361" i="2"/>
  <c r="BU209" i="2"/>
  <c r="BT155" i="5"/>
  <c r="BR87" i="6"/>
  <c r="BT357" i="5"/>
  <c r="BT123" i="5"/>
  <c r="BV457" i="5"/>
  <c r="BV398" i="6"/>
  <c r="BS304" i="6"/>
  <c r="BV154" i="5"/>
  <c r="BR302" i="2"/>
  <c r="BV33" i="5"/>
  <c r="BV106" i="5"/>
  <c r="BU106" i="6"/>
  <c r="BS480" i="2"/>
  <c r="BU359" i="2"/>
  <c r="BV73" i="5"/>
  <c r="BU488" i="5"/>
  <c r="BV63" i="2"/>
  <c r="BT31" i="2"/>
  <c r="BR392" i="5"/>
  <c r="BS439" i="6"/>
  <c r="BV229" i="6"/>
  <c r="BS403" i="5"/>
  <c r="BS381" i="6"/>
  <c r="BT308" i="2"/>
  <c r="BU372" i="2"/>
  <c r="BS73" i="6"/>
  <c r="BV468" i="2"/>
  <c r="BU439" i="6"/>
  <c r="BR362" i="6"/>
  <c r="BS56" i="5"/>
  <c r="BU66" i="6"/>
  <c r="BR367" i="6"/>
  <c r="BV471" i="5"/>
  <c r="BT69" i="6"/>
  <c r="BU250" i="2"/>
  <c r="BV185" i="6"/>
  <c r="BV357" i="2"/>
  <c r="BT176" i="6"/>
  <c r="BR185" i="5"/>
  <c r="BR394" i="6"/>
  <c r="BV113" i="2"/>
  <c r="BR65" i="7"/>
  <c r="BU488" i="6"/>
  <c r="BU42" i="5"/>
  <c r="BR226" i="7"/>
  <c r="BV371" i="6"/>
  <c r="BS359" i="5"/>
  <c r="BU265" i="5"/>
  <c r="BS193" i="5"/>
  <c r="BT322" i="2"/>
  <c r="BV338" i="6"/>
  <c r="BU185" i="2"/>
  <c r="BT273" i="2"/>
  <c r="BU74" i="5"/>
  <c r="BV482" i="5"/>
  <c r="BT42" i="6"/>
  <c r="BR30" i="7"/>
  <c r="BV463" i="5"/>
  <c r="BR14" i="2"/>
  <c r="BR15" i="2"/>
  <c r="BV158" i="2"/>
  <c r="BR95" i="5"/>
  <c r="BR103" i="5"/>
  <c r="BU487" i="6"/>
  <c r="BP328" i="2"/>
  <c r="BT404" i="2"/>
  <c r="BR439" i="2"/>
  <c r="BR375" i="5"/>
  <c r="BR162" i="2"/>
  <c r="BR191" i="2"/>
  <c r="BU137" i="2"/>
  <c r="BU87" i="6"/>
  <c r="BR309" i="5"/>
  <c r="BT209" i="2"/>
  <c r="BT300" i="2"/>
  <c r="BV413" i="2"/>
  <c r="BT424" i="2"/>
  <c r="BU320" i="2"/>
  <c r="BU86" i="5"/>
  <c r="BV161" i="5"/>
  <c r="BS288" i="2"/>
  <c r="BV355" i="5"/>
  <c r="BR229" i="7"/>
  <c r="BU253" i="5"/>
  <c r="BR263" i="6"/>
  <c r="BU480" i="6"/>
  <c r="BU169" i="5"/>
  <c r="BR195" i="5"/>
  <c r="BV334" i="2"/>
  <c r="BU387" i="6"/>
  <c r="BR200" i="7"/>
  <c r="BR32" i="7"/>
  <c r="BR79" i="6"/>
  <c r="BS439" i="2"/>
  <c r="BU184" i="5"/>
  <c r="BT253" i="2"/>
  <c r="BR233" i="5"/>
  <c r="BR454" i="5"/>
  <c r="BU251" i="2"/>
  <c r="BT468" i="6"/>
  <c r="BS171" i="6"/>
  <c r="BV32" i="2"/>
  <c r="BT118" i="5"/>
  <c r="BV265" i="5"/>
  <c r="BV117" i="6"/>
  <c r="BU255" i="2"/>
  <c r="BT307" i="2"/>
  <c r="BV359" i="2"/>
  <c r="BS294" i="5"/>
  <c r="BV171" i="2"/>
  <c r="BV53" i="5"/>
  <c r="BT70" i="5"/>
  <c r="BS324" i="6"/>
  <c r="BS433" i="2"/>
  <c r="BS334" i="2"/>
  <c r="BS43" i="6"/>
  <c r="BV273" i="6"/>
  <c r="BV349" i="2"/>
  <c r="BR265" i="7"/>
  <c r="BU129" i="5"/>
  <c r="BU321" i="6"/>
  <c r="BT317" i="5"/>
  <c r="BT66" i="2"/>
  <c r="BR272" i="2"/>
  <c r="BR37" i="6"/>
  <c r="BV43" i="5"/>
  <c r="BU464" i="6"/>
  <c r="BU61" i="6"/>
  <c r="BR261" i="7"/>
  <c r="BT262" i="5"/>
  <c r="BV208" i="6"/>
  <c r="BU135" i="2"/>
  <c r="BR121" i="7"/>
  <c r="BU391" i="5"/>
  <c r="BU236" i="5"/>
  <c r="BT130" i="5"/>
  <c r="BT363" i="5"/>
  <c r="BP341" i="2"/>
  <c r="BT37" i="2"/>
  <c r="BU147" i="2"/>
  <c r="BT401" i="6"/>
  <c r="BT210" i="2"/>
  <c r="BR291" i="6"/>
  <c r="BU408" i="6"/>
  <c r="BS281" i="5"/>
  <c r="BR29" i="2"/>
  <c r="BU374" i="2"/>
  <c r="BV113" i="6"/>
  <c r="BT445" i="5"/>
  <c r="BS303" i="5"/>
  <c r="BU270" i="6"/>
  <c r="BS128" i="2"/>
  <c r="BU449" i="2"/>
  <c r="BV438" i="2"/>
  <c r="BS149" i="5"/>
  <c r="BU175" i="5"/>
  <c r="BT454" i="2"/>
  <c r="BS99" i="2"/>
  <c r="BT256" i="2"/>
  <c r="BR105" i="7"/>
  <c r="BT83" i="6"/>
  <c r="BS27" i="6"/>
  <c r="BS427" i="6"/>
  <c r="BR69" i="2"/>
  <c r="BT253" i="5"/>
  <c r="BV166" i="5"/>
  <c r="BR201" i="6"/>
  <c r="BU223" i="5"/>
  <c r="BR302" i="7"/>
  <c r="BR19" i="6"/>
  <c r="BT293" i="5"/>
  <c r="BV209" i="6"/>
  <c r="BS471" i="2"/>
  <c r="BT16" i="5"/>
  <c r="BV171" i="5"/>
  <c r="BR308" i="2"/>
  <c r="BV472" i="5"/>
  <c r="BT227" i="6"/>
  <c r="BV344" i="6"/>
  <c r="BU358" i="5"/>
  <c r="BR83" i="5"/>
  <c r="BV244" i="6"/>
  <c r="BT148" i="5"/>
  <c r="BV361" i="2"/>
  <c r="BU495" i="5"/>
  <c r="BV262" i="5"/>
  <c r="BR109" i="6"/>
  <c r="BT299" i="5"/>
  <c r="BS459" i="5"/>
  <c r="BR318" i="2"/>
  <c r="BV129" i="2"/>
  <c r="BS310" i="2"/>
  <c r="BV413" i="5"/>
  <c r="BU158" i="6"/>
  <c r="BR327" i="6"/>
  <c r="BV427" i="5"/>
  <c r="BV267" i="2"/>
  <c r="BS169" i="5"/>
  <c r="BU193" i="2"/>
  <c r="BT51" i="2"/>
  <c r="BS482" i="6"/>
  <c r="BR495" i="5"/>
  <c r="BT277" i="5"/>
  <c r="BT20" i="2"/>
  <c r="BS77" i="2"/>
  <c r="BT102" i="5"/>
  <c r="BU138" i="5"/>
  <c r="BU374" i="5"/>
  <c r="BP145" i="6"/>
  <c r="BU67" i="2"/>
  <c r="BU117" i="2"/>
  <c r="BT354" i="5"/>
  <c r="BT172" i="6"/>
  <c r="BS491" i="2"/>
  <c r="BU166" i="6"/>
  <c r="BT283" i="2"/>
  <c r="BV481" i="6"/>
  <c r="BS241" i="5"/>
  <c r="BS312" i="5"/>
  <c r="BV272" i="6"/>
  <c r="BV271" i="5"/>
  <c r="BU19" i="2"/>
  <c r="BV384" i="6"/>
  <c r="BS109" i="2"/>
  <c r="BV281" i="5"/>
  <c r="BS86" i="2"/>
  <c r="BR223" i="7"/>
  <c r="BS272" i="5"/>
  <c r="BR189" i="5"/>
  <c r="BT102" i="2"/>
  <c r="BR468" i="2"/>
  <c r="BR49" i="7"/>
  <c r="BU377" i="5"/>
  <c r="BR35" i="7"/>
  <c r="BT468" i="5"/>
  <c r="BR328" i="5"/>
  <c r="BR119" i="6"/>
  <c r="BU361" i="6"/>
  <c r="BT491" i="6"/>
  <c r="BU58" i="6"/>
  <c r="BS467" i="5"/>
  <c r="BR15" i="6"/>
  <c r="BV185" i="5"/>
  <c r="BV90" i="5"/>
  <c r="BT440" i="2"/>
  <c r="BV187" i="2"/>
  <c r="BV42" i="2"/>
  <c r="BR181" i="5"/>
  <c r="BR101" i="5"/>
  <c r="BS37" i="5"/>
  <c r="BU74" i="2"/>
  <c r="BU107" i="2"/>
  <c r="BU235" i="6"/>
  <c r="BU110" i="2"/>
  <c r="BU245" i="5"/>
  <c r="BU492" i="6"/>
  <c r="BT487" i="2"/>
  <c r="BR76" i="5"/>
  <c r="BS32" i="6"/>
  <c r="BR359" i="2"/>
  <c r="BS419" i="6"/>
  <c r="BS125" i="5"/>
  <c r="BS217" i="6"/>
  <c r="BR26" i="6"/>
  <c r="BV319" i="2"/>
  <c r="BS210" i="6"/>
  <c r="BS290" i="2"/>
  <c r="BV195" i="6"/>
  <c r="BU372" i="5"/>
  <c r="BT225" i="5"/>
  <c r="BV394" i="5"/>
  <c r="BR495" i="2"/>
  <c r="BR229" i="6"/>
  <c r="BV103" i="5"/>
  <c r="BU364" i="2"/>
  <c r="BS90" i="6"/>
  <c r="BS196" i="6"/>
  <c r="BR280" i="6"/>
  <c r="BU385" i="2"/>
  <c r="BU31" i="6"/>
  <c r="BR370" i="6"/>
  <c r="BT351" i="2"/>
  <c r="BV501" i="6"/>
  <c r="BT174" i="5"/>
  <c r="BR275" i="7"/>
  <c r="BT160" i="6"/>
  <c r="BS191" i="6"/>
  <c r="BU310" i="6"/>
  <c r="BT414" i="2"/>
  <c r="BS54" i="5"/>
  <c r="BS268" i="2"/>
  <c r="BU329" i="6"/>
  <c r="BS223" i="2"/>
  <c r="BR431" i="5"/>
  <c r="BV285" i="2"/>
  <c r="BV44" i="5"/>
  <c r="BV379" i="2"/>
  <c r="BT359" i="6"/>
  <c r="BU232" i="5"/>
  <c r="BV381" i="5"/>
  <c r="BV410" i="6"/>
  <c r="BT234" i="5"/>
  <c r="BV184" i="2"/>
  <c r="BS221" i="2"/>
  <c r="BS266" i="6"/>
  <c r="BR270" i="6"/>
  <c r="BV368" i="5"/>
  <c r="BR347" i="5"/>
  <c r="BV339" i="5"/>
  <c r="BT474" i="2"/>
  <c r="BT491" i="5"/>
  <c r="BT69" i="5"/>
  <c r="BR262" i="5"/>
  <c r="BV110" i="5"/>
  <c r="BT452" i="6"/>
  <c r="BV162" i="2"/>
  <c r="BV322" i="6"/>
  <c r="BV284" i="2"/>
  <c r="BU251" i="6"/>
  <c r="BV381" i="6"/>
  <c r="BR179" i="2"/>
  <c r="BT292" i="5"/>
  <c r="BT425" i="2"/>
  <c r="BU69" i="5"/>
  <c r="BR217" i="5"/>
  <c r="BT88" i="5"/>
  <c r="BT233" i="5"/>
  <c r="BV280" i="6"/>
  <c r="BT318" i="6"/>
  <c r="BV27" i="2"/>
  <c r="BR482" i="6"/>
  <c r="BU478" i="5"/>
  <c r="BS309" i="6"/>
  <c r="BS284" i="2"/>
  <c r="BT162" i="5"/>
  <c r="BT137" i="6"/>
  <c r="BU103" i="5"/>
  <c r="BT428" i="6"/>
  <c r="BR214" i="6"/>
  <c r="BR42" i="2"/>
  <c r="BU53" i="5"/>
  <c r="BU247" i="5"/>
  <c r="BS260" i="6"/>
  <c r="BU103" i="6"/>
  <c r="BU320" i="6"/>
  <c r="BV440" i="2"/>
  <c r="BT128" i="2"/>
  <c r="BR263" i="2"/>
  <c r="BV471" i="2"/>
  <c r="BT177" i="5"/>
  <c r="BU178" i="6"/>
  <c r="BU30" i="6"/>
  <c r="BU435" i="2"/>
  <c r="BR88" i="2"/>
  <c r="BS77" i="6"/>
  <c r="BT231" i="5"/>
  <c r="BS483" i="2"/>
  <c r="BS80" i="6"/>
  <c r="BU333" i="2"/>
  <c r="BS259" i="2"/>
  <c r="BR312" i="2"/>
  <c r="BV311" i="6"/>
  <c r="BT280" i="5"/>
  <c r="BS211" i="6"/>
  <c r="BR311" i="7"/>
  <c r="BT489" i="2"/>
  <c r="BS15" i="2"/>
  <c r="BR375" i="2"/>
  <c r="BR465" i="2"/>
  <c r="BR492" i="2"/>
  <c r="BS393" i="2"/>
  <c r="BU398" i="6"/>
  <c r="BU41" i="2"/>
  <c r="BV234" i="5"/>
  <c r="BR184" i="7"/>
  <c r="BV357" i="5"/>
  <c r="BS357" i="2"/>
  <c r="BS288" i="6"/>
  <c r="BV158" i="5"/>
  <c r="BR414" i="6"/>
  <c r="BR185" i="2"/>
  <c r="BV341" i="6"/>
  <c r="BV319" i="6"/>
  <c r="BR478" i="2"/>
  <c r="BV176" i="2"/>
  <c r="BV50" i="6"/>
  <c r="BS107" i="2"/>
  <c r="BT106" i="2"/>
  <c r="BR261" i="2"/>
  <c r="BV71" i="6"/>
  <c r="BR163" i="5"/>
  <c r="BU59" i="2"/>
  <c r="BV378" i="5"/>
  <c r="BR224" i="5"/>
  <c r="BR497" i="6"/>
  <c r="BT32" i="6"/>
  <c r="BV287" i="6"/>
  <c r="BS147" i="6"/>
  <c r="BR213" i="5"/>
  <c r="BT86" i="2"/>
  <c r="BU52" i="2"/>
  <c r="BT198" i="2"/>
  <c r="BR289" i="6"/>
  <c r="BR93" i="7"/>
  <c r="BS126" i="6"/>
  <c r="BR451" i="5"/>
  <c r="BU440" i="5"/>
  <c r="BV368" i="6"/>
  <c r="BS58" i="6"/>
  <c r="BV39" i="2"/>
  <c r="BS249" i="5"/>
  <c r="BV238" i="5"/>
  <c r="BT407" i="2"/>
  <c r="BT243" i="5"/>
  <c r="BT30" i="5"/>
  <c r="BS401" i="2"/>
  <c r="BT247" i="5"/>
  <c r="BV69" i="2"/>
  <c r="BT333" i="6"/>
  <c r="BT203" i="2"/>
  <c r="BR119" i="2"/>
  <c r="BU213" i="6"/>
  <c r="BT287" i="5"/>
  <c r="BU94" i="6"/>
  <c r="BU299" i="5"/>
  <c r="BV441" i="5"/>
  <c r="BR237" i="2"/>
  <c r="BV299" i="2"/>
  <c r="BR455" i="2"/>
  <c r="BS383" i="6"/>
  <c r="BS225" i="5"/>
  <c r="BR223" i="2"/>
  <c r="BR232" i="5"/>
  <c r="BS502" i="6"/>
  <c r="BV150" i="2"/>
  <c r="BS211" i="2"/>
  <c r="BR493" i="6"/>
  <c r="BR269" i="6"/>
  <c r="BS351" i="2"/>
  <c r="BR313" i="2"/>
  <c r="BV320" i="5"/>
  <c r="BV176" i="6"/>
  <c r="BU469" i="6"/>
  <c r="BR345" i="2"/>
  <c r="BR186" i="7"/>
  <c r="BR337" i="6"/>
  <c r="BV360" i="6"/>
  <c r="BT375" i="2"/>
  <c r="BS119" i="6"/>
  <c r="BU26" i="5"/>
  <c r="BV415" i="5"/>
  <c r="BU332" i="5"/>
  <c r="BV186" i="6"/>
  <c r="BT465" i="2"/>
  <c r="BR100" i="7"/>
  <c r="BU55" i="6"/>
  <c r="BR110" i="6"/>
  <c r="BT443" i="6"/>
  <c r="BV464" i="2"/>
  <c r="BT417" i="5"/>
  <c r="BV494" i="6"/>
  <c r="BR46" i="6"/>
  <c r="BR364" i="2"/>
  <c r="BR28" i="7"/>
  <c r="BT369" i="6"/>
  <c r="BS211" i="5"/>
  <c r="BU432" i="2"/>
  <c r="BV219" i="5"/>
  <c r="BU186" i="6"/>
  <c r="BU201" i="6"/>
  <c r="BR333" i="5"/>
  <c r="BU254" i="2"/>
  <c r="BR167" i="6"/>
  <c r="BV266" i="6"/>
  <c r="BR414" i="5"/>
  <c r="BR58" i="6"/>
  <c r="BS457" i="5"/>
  <c r="BU146" i="5"/>
  <c r="BR437" i="5"/>
  <c r="BS273" i="6"/>
  <c r="BT173" i="2"/>
  <c r="BS371" i="6"/>
  <c r="BU313" i="6"/>
  <c r="BV311" i="5"/>
  <c r="BV305" i="2"/>
  <c r="BS217" i="5"/>
  <c r="BU117" i="6"/>
  <c r="BS95" i="5"/>
  <c r="BS387" i="5"/>
  <c r="BR242" i="7"/>
  <c r="BV157" i="6"/>
  <c r="BU79" i="6"/>
  <c r="BS37" i="2"/>
  <c r="BT110" i="6"/>
  <c r="BS473" i="2"/>
  <c r="BU220" i="2"/>
  <c r="BV321" i="5"/>
  <c r="BS231" i="2"/>
  <c r="BS271" i="2"/>
  <c r="BU461" i="6"/>
  <c r="BT81" i="2"/>
  <c r="BT248" i="5"/>
  <c r="BT475" i="2"/>
  <c r="BV162" i="6"/>
  <c r="BR292" i="7"/>
  <c r="BS185" i="5"/>
  <c r="BT297" i="5"/>
  <c r="BU95" i="6"/>
  <c r="BV388" i="5"/>
  <c r="BU412" i="2"/>
  <c r="BS338" i="2"/>
  <c r="BR435" i="6"/>
  <c r="BT258" i="6"/>
  <c r="BP358" i="2"/>
  <c r="BS488" i="6"/>
  <c r="BT221" i="2"/>
  <c r="BU13" i="2"/>
  <c r="BS101" i="5"/>
  <c r="BS405" i="5"/>
  <c r="BU256" i="5"/>
  <c r="BS364" i="5"/>
  <c r="BS58" i="5"/>
  <c r="BT57" i="5"/>
  <c r="BT45" i="2"/>
  <c r="BV409" i="6"/>
  <c r="BV369" i="6"/>
  <c r="BU268" i="5"/>
  <c r="BU98" i="5"/>
  <c r="BT399" i="6"/>
  <c r="BT274" i="5"/>
  <c r="BS284" i="6"/>
  <c r="BS113" i="2"/>
  <c r="BR362" i="2"/>
  <c r="BV324" i="5"/>
  <c r="BU170" i="6"/>
  <c r="BS279" i="5"/>
  <c r="BT378" i="2"/>
  <c r="BU462" i="6"/>
  <c r="BU170" i="5"/>
  <c r="BT394" i="2"/>
  <c r="BR444" i="2"/>
  <c r="BV388" i="6"/>
  <c r="BS493" i="2"/>
  <c r="BU34" i="5"/>
  <c r="BR206" i="5"/>
  <c r="BS417" i="6"/>
  <c r="BT430" i="2"/>
  <c r="BR334" i="5"/>
  <c r="BS445" i="6"/>
  <c r="BV269" i="5"/>
  <c r="BV395" i="6"/>
  <c r="BT248" i="2"/>
  <c r="BU364" i="5"/>
  <c r="BU215" i="6"/>
  <c r="BS400" i="5"/>
  <c r="BS437" i="6"/>
  <c r="BS342" i="6"/>
  <c r="BR234" i="5"/>
  <c r="BS262" i="2"/>
  <c r="BR54" i="2"/>
  <c r="BU101" i="2"/>
  <c r="BU274" i="5"/>
  <c r="BR23" i="7"/>
  <c r="BV315" i="5"/>
  <c r="BS147" i="5"/>
  <c r="BT215" i="2"/>
  <c r="BV167" i="5"/>
  <c r="BU284" i="6"/>
  <c r="BR17" i="6"/>
  <c r="BS139" i="5"/>
  <c r="BT74" i="5"/>
  <c r="BT167" i="5"/>
  <c r="BP325" i="2"/>
  <c r="BT462" i="2"/>
  <c r="BV159" i="5"/>
  <c r="BR131" i="6"/>
  <c r="BT138" i="2"/>
  <c r="BT462" i="6"/>
  <c r="BR93" i="5"/>
  <c r="BS123" i="5"/>
  <c r="BS354" i="6"/>
  <c r="BT392" i="2"/>
  <c r="BU47" i="2"/>
  <c r="BU302" i="5"/>
  <c r="BU214" i="2"/>
  <c r="BS431" i="2"/>
  <c r="BT50" i="5"/>
  <c r="BT345" i="5"/>
  <c r="BS98" i="6"/>
  <c r="BR51" i="6"/>
  <c r="BR148" i="7"/>
  <c r="BU271" i="2"/>
  <c r="BS270" i="2"/>
  <c r="BR64" i="7"/>
  <c r="BS126" i="5"/>
  <c r="BR313" i="5"/>
  <c r="BU20" i="2"/>
  <c r="BU53" i="2"/>
  <c r="BU193" i="5"/>
  <c r="BR494" i="6"/>
  <c r="BR147" i="6"/>
  <c r="BV222" i="2"/>
  <c r="BR229" i="5"/>
  <c r="BS345" i="5"/>
  <c r="BV231" i="5"/>
  <c r="BR225" i="5"/>
  <c r="BS34" i="2"/>
  <c r="BV95" i="2"/>
  <c r="BR123" i="7"/>
  <c r="BR276" i="7"/>
  <c r="BT224" i="6"/>
  <c r="BU95" i="2"/>
  <c r="BT106" i="6"/>
  <c r="BT249" i="6"/>
  <c r="BS78" i="2"/>
  <c r="BV250" i="5"/>
  <c r="BT67" i="5"/>
  <c r="BS183" i="2"/>
  <c r="BS209" i="6"/>
  <c r="BV405" i="2"/>
  <c r="BS42" i="6"/>
  <c r="BU378" i="2"/>
  <c r="BU327" i="2"/>
  <c r="BU141" i="5"/>
  <c r="BS367" i="6"/>
  <c r="BS370" i="5"/>
  <c r="BT471" i="5"/>
  <c r="BV91" i="5"/>
  <c r="BS20" i="6"/>
  <c r="BV16" i="2"/>
  <c r="BS454" i="5"/>
  <c r="BV57" i="6"/>
  <c r="BT377" i="6"/>
  <c r="BS97" i="2"/>
  <c r="BV193" i="2"/>
  <c r="BS300" i="2"/>
  <c r="BT255" i="6"/>
  <c r="BV261" i="5"/>
  <c r="BR285" i="2"/>
  <c r="BR56" i="6"/>
  <c r="BU397" i="6"/>
  <c r="BU479" i="2"/>
  <c r="BS116" i="5"/>
  <c r="BT214" i="2"/>
  <c r="BU91" i="2"/>
  <c r="BR278" i="2"/>
  <c r="BR441" i="6"/>
  <c r="BU322" i="2"/>
  <c r="BT250" i="6"/>
  <c r="BT458" i="6"/>
  <c r="BT30" i="2"/>
  <c r="BS255" i="5"/>
  <c r="BT135" i="6"/>
  <c r="BV188" i="5"/>
  <c r="BS421" i="5"/>
  <c r="BT110" i="2"/>
  <c r="BV172" i="2"/>
  <c r="BT244" i="2"/>
  <c r="BT314" i="6"/>
  <c r="BR114" i="6"/>
  <c r="BR320" i="7"/>
  <c r="BS150" i="2"/>
  <c r="BV365" i="5"/>
  <c r="BR293" i="7"/>
  <c r="BR21" i="7"/>
  <c r="BU177" i="6"/>
  <c r="BS319" i="5"/>
  <c r="BR89" i="2"/>
  <c r="BV39" i="6"/>
  <c r="BR293" i="6"/>
  <c r="BS402" i="5"/>
  <c r="BV146" i="2"/>
  <c r="BU269" i="6"/>
  <c r="BT101" i="6"/>
  <c r="BS68" i="6"/>
  <c r="BS379" i="6"/>
  <c r="BS490" i="5"/>
  <c r="BS360" i="5"/>
  <c r="BU215" i="2"/>
  <c r="BU292" i="6"/>
  <c r="BS81" i="2"/>
  <c r="BT299" i="2"/>
  <c r="BS404" i="5"/>
  <c r="BS233" i="5"/>
  <c r="BR61" i="7"/>
  <c r="BS33" i="5"/>
  <c r="BR150" i="6"/>
  <c r="BV490" i="5"/>
  <c r="BR153" i="5"/>
  <c r="BT360" i="6"/>
  <c r="BU437" i="6"/>
  <c r="BT32" i="2"/>
  <c r="BT303" i="6"/>
  <c r="BT130" i="6"/>
  <c r="BV28" i="6"/>
  <c r="BT239" i="6"/>
  <c r="BT398" i="5"/>
  <c r="BT18" i="5"/>
  <c r="BR16" i="6"/>
  <c r="BU324" i="5"/>
  <c r="BV140" i="5"/>
  <c r="BS51" i="2"/>
  <c r="BT58" i="5"/>
  <c r="BR444" i="6"/>
  <c r="BS153" i="2"/>
  <c r="BT247" i="6"/>
  <c r="BT193" i="5"/>
  <c r="BR295" i="6"/>
  <c r="BU238" i="6"/>
  <c r="BV494" i="2"/>
  <c r="BU452" i="5"/>
  <c r="BS292" i="5"/>
  <c r="BV337" i="5"/>
  <c r="BT143" i="2"/>
  <c r="BR103" i="7"/>
  <c r="BR322" i="2"/>
  <c r="BR274" i="6"/>
  <c r="BS348" i="6"/>
  <c r="BS198" i="6"/>
  <c r="BU85" i="5"/>
  <c r="BR315" i="5"/>
  <c r="BR103" i="2"/>
  <c r="BR201" i="7"/>
  <c r="BV235" i="6"/>
  <c r="BR37" i="2"/>
  <c r="BT383" i="2"/>
  <c r="BR267" i="7"/>
  <c r="BU278" i="2"/>
  <c r="BV303" i="2"/>
  <c r="BS114" i="6"/>
  <c r="BS172" i="6"/>
  <c r="BS23" i="2"/>
  <c r="BU91" i="5"/>
  <c r="BS442" i="6"/>
  <c r="BS339" i="5"/>
  <c r="BT408" i="2"/>
  <c r="BU35" i="5"/>
  <c r="BR271" i="6"/>
  <c r="BR266" i="2"/>
  <c r="BT55" i="5"/>
  <c r="BS340" i="2"/>
  <c r="BS277" i="6"/>
  <c r="BV14" i="2"/>
  <c r="BR263" i="7"/>
  <c r="BR83" i="2"/>
  <c r="BS18" i="6"/>
  <c r="BS429" i="5"/>
  <c r="BR173" i="2"/>
  <c r="BR461" i="5"/>
  <c r="BT129" i="5"/>
  <c r="BP364" i="2"/>
  <c r="BT225" i="2"/>
  <c r="BU239" i="2"/>
  <c r="BT218" i="2"/>
  <c r="BR119" i="7"/>
  <c r="BV479" i="5"/>
  <c r="BR374" i="6"/>
  <c r="BR80" i="5"/>
  <c r="BV355" i="6"/>
  <c r="BR402" i="2"/>
  <c r="BU61" i="5"/>
  <c r="BR411" i="6"/>
  <c r="BU375" i="5"/>
  <c r="BU46" i="5"/>
  <c r="BU348" i="2"/>
  <c r="BR131" i="2"/>
  <c r="BU222" i="2"/>
  <c r="BU360" i="5"/>
  <c r="BR415" i="5"/>
  <c r="BR38" i="5"/>
  <c r="BS268" i="6"/>
  <c r="BU291" i="2"/>
  <c r="BR467" i="6"/>
  <c r="BR203" i="5"/>
  <c r="BP311" i="2"/>
  <c r="BS219" i="6"/>
  <c r="BV160" i="6"/>
  <c r="BS352" i="2"/>
  <c r="BT305" i="2"/>
  <c r="BR321" i="6"/>
  <c r="BV98" i="6"/>
  <c r="BR429" i="2"/>
  <c r="BS269" i="6"/>
  <c r="BR427" i="6"/>
  <c r="BR307" i="5"/>
  <c r="BS397" i="5"/>
  <c r="BT29" i="6"/>
  <c r="BU142" i="5"/>
  <c r="BU418" i="6"/>
  <c r="BR151" i="6"/>
  <c r="BV212" i="5"/>
  <c r="BR318" i="7"/>
  <c r="BV269" i="2"/>
  <c r="BR94" i="2"/>
  <c r="BS28" i="6"/>
  <c r="BS413" i="2"/>
  <c r="BR172" i="2"/>
  <c r="BR166" i="6"/>
  <c r="BS173" i="2"/>
  <c r="BT308" i="6"/>
  <c r="BS83" i="6"/>
  <c r="BV131" i="5"/>
  <c r="BU65" i="2"/>
  <c r="BS323" i="5"/>
  <c r="BS244" i="2"/>
  <c r="BR27" i="7"/>
  <c r="BS401" i="6"/>
  <c r="BV79" i="2"/>
  <c r="BR410" i="2"/>
  <c r="BU142" i="2"/>
  <c r="BS175" i="5"/>
  <c r="BS344" i="5"/>
  <c r="BU441" i="5"/>
  <c r="BS358" i="6"/>
  <c r="BT136" i="6"/>
  <c r="BV114" i="5"/>
  <c r="BR379" i="5"/>
  <c r="BR291" i="7"/>
  <c r="BU131" i="5"/>
  <c r="BS482" i="2"/>
  <c r="BT167" i="2"/>
  <c r="BV437" i="2"/>
  <c r="BS347" i="2"/>
  <c r="BU458" i="6"/>
  <c r="BU289" i="5"/>
  <c r="BR349" i="6"/>
  <c r="BV297" i="6"/>
  <c r="BV223" i="5"/>
  <c r="BT127" i="2"/>
  <c r="BV151" i="2"/>
  <c r="BS433" i="6"/>
  <c r="BR73" i="2"/>
  <c r="BU433" i="6"/>
  <c r="BR337" i="5"/>
  <c r="BV91" i="6"/>
  <c r="BS87" i="6"/>
  <c r="BT429" i="5"/>
  <c r="BS95" i="2"/>
  <c r="BS99" i="5"/>
  <c r="BT137" i="5"/>
  <c r="BV367" i="2"/>
  <c r="BR115" i="7"/>
  <c r="BT122" i="6"/>
  <c r="BU487" i="5"/>
  <c r="BU294" i="5"/>
  <c r="BV319" i="5"/>
  <c r="BR225" i="7"/>
  <c r="BR21" i="5"/>
  <c r="BV373" i="6"/>
  <c r="BS32" i="2"/>
  <c r="BR234" i="2"/>
  <c r="BU371" i="2"/>
  <c r="BS59" i="6"/>
  <c r="BS373" i="2"/>
  <c r="BT487" i="6"/>
  <c r="BV86" i="2"/>
  <c r="BU339" i="2"/>
  <c r="BT310" i="5"/>
  <c r="BT327" i="6"/>
  <c r="BV400" i="2"/>
  <c r="BU305" i="5"/>
  <c r="BR328" i="2"/>
  <c r="BR432" i="6"/>
  <c r="BU335" i="6"/>
  <c r="BS267" i="6"/>
  <c r="BR71" i="7"/>
  <c r="BR295" i="5"/>
  <c r="BV211" i="5"/>
  <c r="BU263" i="6"/>
  <c r="BS18" i="5"/>
  <c r="BU119" i="6"/>
  <c r="BU340" i="2"/>
  <c r="BP380" i="2"/>
  <c r="BR213" i="7"/>
  <c r="BT471" i="2"/>
  <c r="BS55" i="5"/>
  <c r="BV148" i="6"/>
  <c r="BU18" i="5"/>
  <c r="BT343" i="5"/>
  <c r="BU163" i="5"/>
  <c r="BU330" i="5"/>
  <c r="BT193" i="2"/>
  <c r="BT190" i="6"/>
  <c r="BS177" i="2"/>
  <c r="BR124" i="6"/>
  <c r="BU351" i="6"/>
  <c r="BT227" i="2"/>
  <c r="BU334" i="5"/>
  <c r="BR224" i="6"/>
  <c r="BT355" i="5"/>
  <c r="BV62" i="5"/>
  <c r="BT257" i="6"/>
  <c r="BT121" i="2"/>
  <c r="BS222" i="5"/>
  <c r="BU282" i="6"/>
  <c r="BV411" i="5"/>
  <c r="BR497" i="2"/>
  <c r="BV21" i="2"/>
  <c r="BR433" i="5"/>
  <c r="BS300" i="6"/>
  <c r="BS442" i="2"/>
  <c r="BR141" i="5"/>
  <c r="BR125" i="7"/>
  <c r="BU258" i="5"/>
  <c r="BV259" i="2"/>
  <c r="BU349" i="2"/>
  <c r="BU268" i="6"/>
  <c r="BT95" i="6"/>
  <c r="BT154" i="6"/>
  <c r="BT49" i="6"/>
  <c r="BV400" i="6"/>
  <c r="BT139" i="5"/>
  <c r="BU136" i="6"/>
  <c r="BS177" i="5"/>
  <c r="BV261" i="6"/>
  <c r="BU53" i="6"/>
  <c r="BV20" i="6"/>
  <c r="BV178" i="6"/>
  <c r="BV226" i="6"/>
  <c r="BV423" i="5"/>
  <c r="BS478" i="2"/>
  <c r="BS354" i="5"/>
  <c r="BT125" i="6"/>
  <c r="BV169" i="5"/>
  <c r="BS243" i="5"/>
  <c r="BR248" i="2"/>
  <c r="BT233" i="6"/>
  <c r="BR157" i="2"/>
  <c r="BR374" i="5"/>
  <c r="BT463" i="5"/>
  <c r="BS488" i="5"/>
  <c r="BR317" i="2"/>
  <c r="BS451" i="6"/>
  <c r="BV257" i="6"/>
  <c r="BT42" i="5"/>
  <c r="BT79" i="6"/>
  <c r="BT34" i="2"/>
  <c r="BU218" i="2"/>
  <c r="BU161" i="6"/>
  <c r="BV444" i="5"/>
  <c r="BU59" i="5"/>
  <c r="BS352" i="6"/>
  <c r="BT383" i="5"/>
  <c r="BT354" i="2"/>
  <c r="BS50" i="2"/>
  <c r="BS270" i="6"/>
  <c r="BU355" i="5"/>
  <c r="BT497" i="6"/>
  <c r="BR250" i="6"/>
  <c r="BT483" i="2"/>
  <c r="BS432" i="5"/>
  <c r="BT449" i="5"/>
  <c r="BP287" i="2"/>
  <c r="BV82" i="2"/>
  <c r="BT82" i="5"/>
  <c r="BU497" i="2"/>
  <c r="BS131" i="6"/>
  <c r="BP333" i="2"/>
  <c r="BR50" i="5"/>
  <c r="BT411" i="5"/>
  <c r="BU438" i="6"/>
  <c r="BR190" i="5"/>
  <c r="BV484" i="2"/>
  <c r="BT196" i="6"/>
  <c r="BR428" i="6"/>
  <c r="BT477" i="5"/>
  <c r="BU323" i="6"/>
  <c r="BR338" i="6"/>
  <c r="BT365" i="5"/>
  <c r="BT209" i="5"/>
  <c r="BV358" i="5"/>
  <c r="BR404" i="5"/>
  <c r="BR411" i="5"/>
  <c r="BU350" i="2"/>
  <c r="BR270" i="7"/>
  <c r="BV334" i="6"/>
  <c r="BR357" i="2"/>
  <c r="BR22" i="5"/>
  <c r="BS27" i="2"/>
  <c r="BU369" i="2"/>
  <c r="BR472" i="5"/>
  <c r="BT226" i="5"/>
  <c r="BV62" i="2"/>
  <c r="BS44" i="6"/>
  <c r="BS66" i="2"/>
  <c r="BU327" i="5"/>
  <c r="BS314" i="6"/>
  <c r="BV279" i="6"/>
  <c r="BV23" i="5"/>
  <c r="BU110" i="5"/>
  <c r="BT430" i="6"/>
  <c r="BR333" i="2"/>
  <c r="BS38" i="5"/>
  <c r="BV177" i="5"/>
  <c r="BT106" i="5"/>
  <c r="BT175" i="6"/>
  <c r="BR137" i="5"/>
  <c r="BV428" i="5"/>
  <c r="BV295" i="2"/>
  <c r="BV433" i="2"/>
  <c r="BV297" i="2"/>
  <c r="BT13" i="6"/>
  <c r="BV124" i="5"/>
  <c r="BV232" i="2"/>
  <c r="BU152" i="5"/>
  <c r="BR13" i="7"/>
  <c r="BV295" i="5"/>
  <c r="BV30" i="2"/>
  <c r="BR201" i="5"/>
  <c r="BT304" i="5"/>
  <c r="BS479" i="6"/>
  <c r="BR445" i="5"/>
  <c r="BR16" i="5"/>
  <c r="BU169" i="6"/>
  <c r="BT391" i="6"/>
  <c r="BV203" i="6"/>
  <c r="BR91" i="6"/>
  <c r="BS27" i="5"/>
  <c r="BS309" i="5"/>
  <c r="BV190" i="6"/>
  <c r="BT357" i="2"/>
  <c r="BV242" i="6"/>
  <c r="BT37" i="6"/>
  <c r="BV263" i="6"/>
  <c r="BR200" i="6"/>
  <c r="BV209" i="2"/>
  <c r="BV479" i="2"/>
  <c r="BU262" i="6"/>
  <c r="BV327" i="5"/>
  <c r="BR148" i="6"/>
  <c r="BR241" i="6"/>
  <c r="BV119" i="2"/>
  <c r="BU206" i="5"/>
  <c r="BV444" i="6"/>
  <c r="BU133" i="6"/>
  <c r="BV244" i="5"/>
  <c r="BU164" i="6"/>
  <c r="BR104" i="5"/>
  <c r="BT243" i="6"/>
  <c r="BV409" i="2"/>
  <c r="BT379" i="2"/>
  <c r="BU273" i="2"/>
  <c r="BT483" i="5"/>
  <c r="BT402" i="2"/>
  <c r="BS271" i="5"/>
  <c r="BR44" i="2"/>
  <c r="BV200" i="2"/>
  <c r="BS182" i="6"/>
  <c r="BR293" i="5"/>
  <c r="BR500" i="2"/>
  <c r="BS43" i="2"/>
  <c r="BT57" i="6"/>
  <c r="BS224" i="5"/>
  <c r="BS195" i="2"/>
  <c r="BP353" i="2"/>
  <c r="BS74" i="2"/>
  <c r="BR214" i="2"/>
  <c r="BS91" i="2"/>
  <c r="BS105" i="2"/>
  <c r="BS489" i="5"/>
  <c r="BS62" i="2"/>
  <c r="BV210" i="2"/>
  <c r="BT265" i="2"/>
  <c r="BR74" i="6"/>
  <c r="BT263" i="5"/>
  <c r="BS350" i="5"/>
  <c r="BU390" i="2"/>
  <c r="BT136" i="5"/>
  <c r="BU166" i="5"/>
  <c r="BS315" i="6"/>
  <c r="BT362" i="2"/>
  <c r="BS443" i="5"/>
  <c r="BU305" i="6"/>
  <c r="BR279" i="7"/>
  <c r="BU315" i="5"/>
  <c r="BV344" i="2"/>
  <c r="BV78" i="6"/>
  <c r="BT324" i="5"/>
  <c r="BU258" i="6"/>
  <c r="BP357" i="2"/>
  <c r="BS183" i="5"/>
  <c r="BS22" i="2"/>
  <c r="BR170" i="6"/>
  <c r="BS378" i="6"/>
  <c r="BV487" i="2"/>
  <c r="BS284" i="5"/>
  <c r="BT113" i="2"/>
  <c r="BT189" i="6"/>
  <c r="BR26" i="5"/>
  <c r="BT22" i="6"/>
  <c r="BV300" i="5"/>
  <c r="BU158" i="5"/>
  <c r="BV317" i="5"/>
  <c r="BS293" i="6"/>
  <c r="BT421" i="5"/>
  <c r="BU173" i="6"/>
  <c r="BS407" i="5"/>
  <c r="BV176" i="5"/>
  <c r="BV52" i="6"/>
  <c r="BU189" i="5"/>
  <c r="BR95" i="7"/>
  <c r="BS61" i="6"/>
  <c r="BS31" i="6"/>
  <c r="BV459" i="5"/>
  <c r="BR255" i="7"/>
  <c r="BT133" i="6"/>
  <c r="BS418" i="2"/>
  <c r="BV22" i="2"/>
  <c r="BS453" i="5"/>
  <c r="BR253" i="2"/>
  <c r="BV365" i="6"/>
  <c r="BU429" i="5"/>
  <c r="BT380" i="6"/>
  <c r="BU40" i="6"/>
  <c r="BR308" i="5"/>
  <c r="BU283" i="2"/>
  <c r="BT417" i="2"/>
  <c r="BR31" i="5"/>
  <c r="BS255" i="2"/>
  <c r="BT387" i="6"/>
  <c r="BR440" i="6"/>
  <c r="BS330" i="2"/>
  <c r="BR59" i="5"/>
  <c r="BV137" i="6"/>
  <c r="BV164" i="5"/>
  <c r="BV429" i="6"/>
  <c r="BV104" i="6"/>
  <c r="BU210" i="5"/>
  <c r="BT131" i="5"/>
  <c r="BV266" i="2"/>
  <c r="BT187" i="6"/>
  <c r="BS26" i="6"/>
  <c r="BS112" i="2"/>
  <c r="BT14" i="5"/>
  <c r="BV477" i="6"/>
  <c r="BT402" i="5"/>
  <c r="BR395" i="5"/>
  <c r="BU471" i="2"/>
  <c r="BR405" i="2"/>
  <c r="BT23" i="5"/>
  <c r="BT489" i="5"/>
  <c r="BR99" i="7"/>
  <c r="BR258" i="6"/>
  <c r="BR310" i="5"/>
  <c r="BR17" i="5"/>
  <c r="BU312" i="5"/>
  <c r="BS238" i="6"/>
  <c r="BS352" i="5"/>
  <c r="BT219" i="6"/>
  <c r="BU293" i="5"/>
  <c r="BR136" i="5"/>
  <c r="BV152" i="6"/>
  <c r="BS127" i="6"/>
  <c r="BU501" i="5"/>
  <c r="BV375" i="5"/>
  <c r="BT126" i="2"/>
  <c r="BU83" i="6"/>
  <c r="BS195" i="6"/>
  <c r="BR287" i="5"/>
  <c r="BT115" i="2"/>
  <c r="BS274" i="5"/>
  <c r="BR161" i="7"/>
  <c r="BT241" i="6"/>
  <c r="BV475" i="2"/>
  <c r="BP280" i="2"/>
  <c r="BV149" i="5"/>
  <c r="BT94" i="2"/>
  <c r="BV341" i="5"/>
  <c r="BS470" i="2"/>
  <c r="BS262" i="5"/>
  <c r="BV294" i="2"/>
  <c r="BS103" i="2"/>
  <c r="BU274" i="6"/>
  <c r="BS102" i="2"/>
  <c r="BR77" i="5"/>
  <c r="BT127" i="6"/>
  <c r="BS62" i="5"/>
  <c r="BT290" i="6"/>
  <c r="BT41" i="2"/>
  <c r="BT454" i="6"/>
  <c r="BR431" i="6"/>
  <c r="BR350" i="2"/>
  <c r="BR128" i="7"/>
  <c r="BV483" i="2"/>
  <c r="BU93" i="6"/>
  <c r="BV437" i="6"/>
  <c r="BV401" i="5"/>
  <c r="BV487" i="5"/>
  <c r="BU243" i="2"/>
  <c r="BU353" i="5"/>
  <c r="BU86" i="2"/>
  <c r="BS98" i="2"/>
  <c r="BV150" i="6"/>
  <c r="BT30" i="6"/>
  <c r="BV139" i="5"/>
  <c r="BU404" i="6"/>
  <c r="BV407" i="5"/>
  <c r="BV467" i="5"/>
  <c r="BR351" i="5"/>
  <c r="BT442" i="2"/>
  <c r="BR135" i="5"/>
  <c r="BS161" i="2"/>
  <c r="BU344" i="6"/>
  <c r="BR212" i="5"/>
  <c r="BV196" i="6"/>
  <c r="BR433" i="2"/>
  <c r="BV367" i="6"/>
  <c r="BT78" i="2"/>
  <c r="BU231" i="2"/>
  <c r="BV424" i="2"/>
  <c r="BS26" i="2"/>
  <c r="BR19" i="7"/>
  <c r="BR341" i="2"/>
  <c r="BU442" i="2"/>
  <c r="BP360" i="2"/>
  <c r="BS355" i="6"/>
  <c r="BT381" i="2"/>
  <c r="BV31" i="2"/>
  <c r="BR69" i="5"/>
  <c r="BS449" i="6"/>
  <c r="BV377" i="2"/>
  <c r="BT44" i="6"/>
  <c r="BV44" i="6"/>
  <c r="BU298" i="2"/>
  <c r="BS85" i="2"/>
  <c r="BU165" i="6"/>
  <c r="BU422" i="2"/>
  <c r="BU150" i="6"/>
  <c r="BT97" i="5"/>
  <c r="BR373" i="6"/>
  <c r="BR114" i="2"/>
  <c r="BV498" i="5"/>
  <c r="BV424" i="5"/>
  <c r="BR451" i="2"/>
  <c r="BS290" i="5"/>
  <c r="BT282" i="5"/>
  <c r="BT345" i="6"/>
  <c r="BU341" i="5"/>
  <c r="BV207" i="2"/>
  <c r="BU154" i="2"/>
  <c r="BR371" i="2"/>
  <c r="BS114" i="5"/>
  <c r="BV169" i="2"/>
  <c r="BU118" i="5"/>
  <c r="BT152" i="2"/>
  <c r="BV363" i="6"/>
  <c r="BR79" i="2"/>
  <c r="BT53" i="2"/>
  <c r="BT173" i="6"/>
  <c r="BS457" i="2"/>
  <c r="BU124" i="5"/>
  <c r="BS362" i="2"/>
  <c r="BT23" i="6"/>
  <c r="BT43" i="6"/>
  <c r="BS422" i="6"/>
  <c r="BR106" i="2"/>
  <c r="BR260" i="7"/>
  <c r="BR111" i="6"/>
  <c r="BT344" i="5"/>
  <c r="BS438" i="6"/>
  <c r="BS77" i="5"/>
  <c r="BV223" i="6"/>
  <c r="BU111" i="6"/>
  <c r="BR328" i="7"/>
  <c r="BR157" i="6"/>
  <c r="BV274" i="2"/>
  <c r="BU247" i="2"/>
  <c r="BR465" i="6"/>
  <c r="BT116" i="2"/>
  <c r="BS61" i="2"/>
  <c r="BT246" i="2"/>
  <c r="BV70" i="2"/>
  <c r="BS94" i="5"/>
  <c r="BU111" i="5"/>
  <c r="BR123" i="5"/>
  <c r="BS113" i="6"/>
  <c r="BS450" i="6"/>
  <c r="BT419" i="6"/>
  <c r="BT343" i="2"/>
  <c r="BS214" i="6"/>
  <c r="BT77" i="5"/>
  <c r="BR321" i="2"/>
  <c r="BR497" i="5"/>
  <c r="BR129" i="2"/>
  <c r="BT203" i="5"/>
  <c r="BS137" i="5"/>
  <c r="BR50" i="6"/>
  <c r="BT274" i="2"/>
  <c r="BU490" i="6"/>
  <c r="BV497" i="2"/>
  <c r="BS452" i="5"/>
  <c r="BV427" i="6"/>
  <c r="BT171" i="5"/>
  <c r="BS289" i="6"/>
  <c r="BU76" i="6"/>
  <c r="BR148" i="5"/>
  <c r="BR261" i="6"/>
  <c r="BT93" i="2"/>
  <c r="BS324" i="2"/>
  <c r="BT133" i="2"/>
  <c r="BV447" i="5"/>
  <c r="BT435" i="2"/>
  <c r="BP309" i="2"/>
  <c r="BR459" i="5"/>
  <c r="BU318" i="6"/>
  <c r="BR21" i="6"/>
  <c r="BR223" i="6"/>
  <c r="BS384" i="6"/>
  <c r="BR221" i="6"/>
  <c r="BS235" i="5"/>
  <c r="BS152" i="5"/>
  <c r="BT194" i="2"/>
  <c r="BV484" i="6"/>
  <c r="BR259" i="6"/>
  <c r="BR53" i="6"/>
  <c r="BU409" i="2"/>
  <c r="BT412" i="5"/>
  <c r="BR254" i="6"/>
  <c r="BS76" i="5"/>
  <c r="BU195" i="2"/>
  <c r="BR199" i="5"/>
  <c r="BV383" i="5"/>
  <c r="BS330" i="6"/>
  <c r="BU30" i="2"/>
  <c r="BS425" i="2"/>
  <c r="BV165" i="2"/>
  <c r="BS487" i="2"/>
  <c r="BP384" i="2"/>
  <c r="BR439" i="6"/>
  <c r="BR357" i="5"/>
  <c r="BT451" i="6"/>
  <c r="BR135" i="6"/>
  <c r="BT200" i="5"/>
  <c r="BV257" i="2"/>
  <c r="BT150" i="6"/>
  <c r="BT42" i="2"/>
  <c r="BR399" i="5"/>
  <c r="BU265" i="2"/>
  <c r="BR245" i="2"/>
  <c r="BV375" i="2"/>
  <c r="BU39" i="2"/>
  <c r="BV408" i="5"/>
  <c r="BS148" i="2"/>
  <c r="BR23" i="2"/>
  <c r="BR113" i="2"/>
  <c r="BS365" i="2"/>
  <c r="BT350" i="6"/>
  <c r="BT175" i="2"/>
  <c r="BU239" i="5"/>
  <c r="BV247" i="2"/>
  <c r="BR378" i="6"/>
  <c r="BT457" i="6"/>
  <c r="BV224" i="2"/>
  <c r="BR39" i="5"/>
  <c r="BS389" i="2"/>
  <c r="BS235" i="6"/>
  <c r="BT304" i="2"/>
  <c r="BT443" i="2"/>
  <c r="BS32" i="5"/>
  <c r="BU26" i="2"/>
  <c r="BU140" i="6"/>
  <c r="BR95" i="6"/>
  <c r="BR324" i="6"/>
  <c r="BR153" i="6"/>
  <c r="BR98" i="7"/>
  <c r="BV95" i="6"/>
  <c r="BS377" i="5"/>
  <c r="BV251" i="2"/>
  <c r="BV133" i="5"/>
  <c r="BU90" i="6"/>
  <c r="BR215" i="2"/>
  <c r="BT393" i="2"/>
  <c r="BS429" i="6"/>
  <c r="BU79" i="5"/>
  <c r="BS287" i="5"/>
  <c r="BS379" i="2"/>
  <c r="BR213" i="6"/>
  <c r="BU337" i="6"/>
  <c r="BT260" i="2"/>
  <c r="BT91" i="2"/>
  <c r="BP293" i="2"/>
  <c r="BS145" i="5"/>
  <c r="BS62" i="6"/>
  <c r="BV330" i="6"/>
  <c r="BU445" i="6"/>
  <c r="BV418" i="5"/>
  <c r="BR164" i="5"/>
  <c r="BT269" i="2"/>
  <c r="BT18" i="6"/>
  <c r="BR460" i="6"/>
  <c r="BT239" i="5"/>
  <c r="BT385" i="6"/>
  <c r="BU40" i="5"/>
  <c r="BU77" i="5"/>
  <c r="BV383" i="2"/>
  <c r="BU26" i="6"/>
  <c r="BT270" i="2"/>
  <c r="BT261" i="5"/>
  <c r="BU439" i="5"/>
  <c r="BT481" i="6"/>
  <c r="BV268" i="2"/>
  <c r="BR158" i="2"/>
  <c r="BR358" i="5"/>
  <c r="BV105" i="5"/>
  <c r="BT63" i="5"/>
  <c r="BU387" i="2"/>
  <c r="BS483" i="5"/>
  <c r="BV47" i="5"/>
  <c r="BT89" i="2"/>
  <c r="BU315" i="6"/>
  <c r="BS100" i="6"/>
  <c r="BS181" i="6"/>
  <c r="BT332" i="5"/>
  <c r="BT469" i="6"/>
  <c r="BT468" i="2"/>
  <c r="BU433" i="5"/>
  <c r="BR259" i="5"/>
  <c r="BT245" i="6"/>
  <c r="BV445" i="6"/>
  <c r="BV258" i="6"/>
  <c r="BT473" i="6"/>
  <c r="BV457" i="2"/>
  <c r="BV99" i="2"/>
  <c r="BV293" i="2"/>
  <c r="BP373" i="2"/>
  <c r="BV215" i="5"/>
  <c r="BU420" i="6"/>
  <c r="BR443" i="5"/>
  <c r="BR492" i="6"/>
  <c r="BR284" i="6"/>
  <c r="BT490" i="2"/>
  <c r="BR332" i="6"/>
  <c r="BR492" i="5"/>
  <c r="BT217" i="5"/>
  <c r="BR318" i="5"/>
  <c r="BU314" i="2"/>
  <c r="BU269" i="5"/>
  <c r="BT472" i="6"/>
  <c r="BV425" i="2"/>
  <c r="BR224" i="2"/>
  <c r="BV450" i="5"/>
  <c r="BU391" i="6"/>
  <c r="BU415" i="6"/>
  <c r="BS498" i="2"/>
  <c r="BU397" i="2"/>
  <c r="BR235" i="2"/>
  <c r="BR40" i="5"/>
  <c r="BR327" i="2"/>
  <c r="BV49" i="2"/>
  <c r="BS463" i="2"/>
  <c r="BR464" i="2"/>
  <c r="BU88" i="2"/>
  <c r="BR111" i="7"/>
  <c r="BU405" i="5"/>
  <c r="BV455" i="5"/>
  <c r="BU21" i="2"/>
  <c r="BT262" i="6"/>
  <c r="BU15" i="6"/>
  <c r="BP295" i="2"/>
  <c r="BS483" i="6"/>
  <c r="BV182" i="5"/>
  <c r="BS200" i="2"/>
  <c r="BT330" i="2"/>
  <c r="BU162" i="5"/>
  <c r="BV13" i="6"/>
  <c r="BT455" i="2"/>
  <c r="BT92" i="5"/>
  <c r="BV98" i="5"/>
  <c r="BS333" i="2"/>
  <c r="BT400" i="2"/>
  <c r="BT498" i="5"/>
  <c r="BT56" i="2"/>
  <c r="BU90" i="5"/>
  <c r="BR387" i="2"/>
  <c r="BT182" i="5"/>
  <c r="BP345" i="2"/>
  <c r="BU149" i="6"/>
  <c r="BV382" i="2"/>
  <c r="BR474" i="2"/>
  <c r="BT442" i="6"/>
  <c r="BU188" i="6"/>
  <c r="BU301" i="5"/>
  <c r="BT463" i="2"/>
  <c r="BT232" i="2"/>
  <c r="BS71" i="5"/>
  <c r="BR483" i="2"/>
  <c r="BV428" i="2"/>
  <c r="BT334" i="6"/>
  <c r="BV106" i="6"/>
  <c r="BU159" i="2"/>
  <c r="BR122" i="6"/>
  <c r="BU226" i="6"/>
  <c r="BR117" i="7"/>
  <c r="BR343" i="2"/>
  <c r="BT479" i="5"/>
  <c r="BT232" i="6"/>
  <c r="BV235" i="2"/>
  <c r="BR137" i="7"/>
  <c r="BR443" i="6"/>
  <c r="BU298" i="6"/>
  <c r="BR81" i="2"/>
  <c r="BT368" i="2"/>
  <c r="BS320" i="5"/>
  <c r="BV467" i="2"/>
  <c r="BP347" i="2"/>
  <c r="BV83" i="6"/>
  <c r="BR145" i="7"/>
  <c r="BV154" i="2"/>
  <c r="BT493" i="2"/>
  <c r="BU195" i="5"/>
  <c r="BR343" i="5"/>
  <c r="BS123" i="6"/>
  <c r="BS378" i="5"/>
  <c r="BR371" i="5"/>
  <c r="BV373" i="2"/>
  <c r="BT38" i="6"/>
  <c r="BS190" i="5"/>
  <c r="BU231" i="5"/>
  <c r="BR56" i="7"/>
  <c r="BV138" i="6"/>
  <c r="BS325" i="2"/>
  <c r="BU501" i="2"/>
  <c r="BR161" i="5"/>
  <c r="BR17" i="2"/>
  <c r="BR47" i="7"/>
  <c r="BR207" i="2"/>
  <c r="BR372" i="5"/>
  <c r="BR49" i="2"/>
  <c r="BT330" i="6"/>
  <c r="BR217" i="7"/>
  <c r="BV254" i="6"/>
  <c r="BU58" i="2"/>
  <c r="BV34" i="5"/>
  <c r="BU215" i="5"/>
  <c r="BR467" i="2"/>
  <c r="BT65" i="6"/>
  <c r="BT51" i="5"/>
  <c r="BU32" i="6"/>
  <c r="BS125" i="2"/>
  <c r="BU210" i="6"/>
  <c r="BS64" i="2"/>
  <c r="BR457" i="2"/>
  <c r="BP310" i="2"/>
  <c r="BS205" i="6"/>
  <c r="BU225" i="5"/>
  <c r="BR397" i="6"/>
  <c r="BU92" i="2"/>
  <c r="BV261" i="2"/>
  <c r="BR313" i="7"/>
  <c r="BU417" i="6"/>
  <c r="BT459" i="2"/>
  <c r="BS237" i="5"/>
  <c r="BS117" i="5"/>
  <c r="BV14" i="6"/>
  <c r="BV67" i="2"/>
  <c r="BR79" i="5"/>
  <c r="BV101" i="5"/>
  <c r="BS186" i="6"/>
  <c r="BU203" i="5"/>
  <c r="BV442" i="2"/>
  <c r="BP363" i="2"/>
  <c r="BS186" i="2"/>
  <c r="BT94" i="6"/>
  <c r="BV77" i="6"/>
  <c r="BS257" i="2"/>
  <c r="BV208" i="2"/>
  <c r="BU195" i="6"/>
  <c r="BT287" i="6"/>
  <c r="BR265" i="2"/>
  <c r="BS501" i="5"/>
  <c r="BU117" i="5"/>
  <c r="BV234" i="2"/>
  <c r="BV352" i="6"/>
  <c r="BT266" i="2"/>
  <c r="BR114" i="5"/>
  <c r="BV41" i="2"/>
  <c r="BS265" i="2"/>
  <c r="BU18" i="6"/>
  <c r="BT150" i="5"/>
  <c r="BV181" i="2"/>
  <c r="BT368" i="5"/>
  <c r="BV349" i="5"/>
  <c r="BR243" i="5"/>
  <c r="BR417" i="2"/>
  <c r="BR329" i="7"/>
  <c r="BT497" i="5"/>
  <c r="BU50" i="6"/>
  <c r="BS22" i="6"/>
  <c r="BR251" i="6"/>
  <c r="BR348" i="6"/>
  <c r="BV318" i="2"/>
  <c r="BT94" i="5"/>
  <c r="BV270" i="5"/>
  <c r="BT352" i="2"/>
  <c r="BV474" i="6"/>
  <c r="BU314" i="6"/>
  <c r="BS162" i="2"/>
  <c r="BT441" i="5"/>
  <c r="BT88" i="6"/>
  <c r="BT124" i="6"/>
  <c r="BU414" i="6"/>
  <c r="BT450" i="6"/>
  <c r="BV146" i="5"/>
  <c r="BR260" i="6"/>
  <c r="BU122" i="6"/>
  <c r="BR291" i="2"/>
  <c r="BV460" i="2"/>
  <c r="BU127" i="6"/>
  <c r="BU167" i="5"/>
  <c r="BU150" i="2"/>
  <c r="BS43" i="5"/>
  <c r="BU191" i="6"/>
  <c r="BR474" i="6"/>
  <c r="BU221" i="5"/>
  <c r="BU430" i="2"/>
  <c r="BV163" i="2"/>
  <c r="BR213" i="2"/>
  <c r="BV489" i="2"/>
  <c r="BU230" i="6"/>
  <c r="BR38" i="2"/>
  <c r="BT352" i="6"/>
  <c r="BR201" i="2"/>
  <c r="BU332" i="6"/>
  <c r="BS128" i="6"/>
  <c r="BV54" i="2"/>
  <c r="BS318" i="2"/>
  <c r="BT482" i="6"/>
  <c r="BU211" i="6"/>
  <c r="BV488" i="6"/>
  <c r="BT385" i="5"/>
  <c r="BU280" i="6"/>
  <c r="BT331" i="2"/>
  <c r="BR265" i="5"/>
  <c r="BR72" i="7"/>
  <c r="BP350" i="2"/>
  <c r="BT46" i="6"/>
  <c r="BT350" i="2"/>
  <c r="BV457" i="6"/>
  <c r="BS307" i="5"/>
  <c r="BV441" i="6"/>
  <c r="BS111" i="5"/>
  <c r="BT461" i="5"/>
  <c r="BT103" i="5"/>
  <c r="BT349" i="6"/>
  <c r="BT307" i="6"/>
  <c r="BU138" i="2"/>
  <c r="BS490" i="6"/>
  <c r="BU390" i="6"/>
  <c r="BU452" i="2"/>
  <c r="BU175" i="2"/>
  <c r="BU414" i="5"/>
  <c r="BT73" i="6"/>
  <c r="BT126" i="5"/>
  <c r="BR438" i="6"/>
  <c r="BV495" i="6"/>
  <c r="BV239" i="2"/>
  <c r="BV200" i="5"/>
  <c r="BS91" i="6"/>
  <c r="BU270" i="5"/>
  <c r="BS385" i="5"/>
  <c r="BU85" i="2"/>
  <c r="BV325" i="6"/>
  <c r="BS291" i="5"/>
  <c r="BV197" i="5"/>
  <c r="BR141" i="6"/>
  <c r="BU464" i="2"/>
  <c r="BS250" i="5"/>
  <c r="BT267" i="6"/>
  <c r="BU98" i="6"/>
  <c r="BV106" i="2"/>
  <c r="BT371" i="5"/>
  <c r="BS374" i="5"/>
  <c r="BR149" i="6"/>
  <c r="BT57" i="2"/>
  <c r="BR409" i="2"/>
  <c r="BR127" i="2"/>
  <c r="BR254" i="7"/>
  <c r="BS462" i="6"/>
  <c r="BR218" i="6"/>
  <c r="BS373" i="6"/>
  <c r="BT465" i="6"/>
  <c r="BU461" i="5"/>
  <c r="BT113" i="6"/>
  <c r="BU455" i="2"/>
  <c r="BS315" i="2"/>
  <c r="BS498" i="6"/>
  <c r="BT463" i="6"/>
  <c r="BT368" i="6"/>
  <c r="BV112" i="6"/>
  <c r="BV233" i="5"/>
  <c r="BU358" i="2"/>
  <c r="BV145" i="5"/>
  <c r="BT320" i="5"/>
  <c r="BU317" i="5"/>
  <c r="BS424" i="6"/>
  <c r="BS212" i="2"/>
  <c r="BS249" i="2"/>
  <c r="BT67" i="6"/>
  <c r="BR92" i="2"/>
  <c r="BS157" i="5"/>
  <c r="BP342" i="2"/>
  <c r="BU151" i="5"/>
  <c r="BT454" i="5"/>
  <c r="BV268" i="5"/>
  <c r="BU479" i="6"/>
  <c r="BP361" i="2"/>
  <c r="BV247" i="5"/>
  <c r="BV377" i="5"/>
  <c r="BR78" i="6"/>
  <c r="BV429" i="2"/>
  <c r="BS173" i="5"/>
  <c r="BU201" i="5"/>
  <c r="BS322" i="2"/>
  <c r="BV469" i="5"/>
  <c r="BU188" i="2"/>
  <c r="BU163" i="6"/>
  <c r="BR291" i="5"/>
  <c r="BV321" i="6"/>
  <c r="BS69" i="5"/>
  <c r="BS161" i="6"/>
  <c r="BU267" i="5"/>
  <c r="BS314" i="2"/>
  <c r="BU437" i="2"/>
  <c r="BS443" i="6"/>
  <c r="BR231" i="5"/>
  <c r="BT292" i="6"/>
  <c r="BT170" i="2"/>
  <c r="BR299" i="5"/>
  <c r="BS468" i="2"/>
  <c r="BV412" i="6"/>
  <c r="BR407" i="2"/>
  <c r="BR189" i="6"/>
  <c r="BV129" i="6"/>
  <c r="BR62" i="2"/>
  <c r="BV321" i="2"/>
  <c r="BS502" i="2"/>
  <c r="BU324" i="2"/>
  <c r="BT277" i="2"/>
  <c r="BR81" i="6"/>
  <c r="BT87" i="5"/>
  <c r="BS473" i="6"/>
  <c r="BV153" i="2"/>
  <c r="BS143" i="6"/>
  <c r="BR365" i="2"/>
  <c r="BT242" i="5"/>
  <c r="BV85" i="2"/>
  <c r="BU399" i="2"/>
  <c r="BT139" i="2"/>
  <c r="BV354" i="2"/>
  <c r="BR104" i="7"/>
  <c r="BU413" i="2"/>
  <c r="BR97" i="7"/>
  <c r="BT331" i="5"/>
  <c r="BV235" i="5"/>
  <c r="BT343" i="6"/>
  <c r="BV167" i="6"/>
  <c r="BR433" i="6"/>
  <c r="BU165" i="5"/>
  <c r="BS413" i="5"/>
  <c r="BT311" i="6"/>
  <c r="BS246" i="6"/>
  <c r="BV118" i="6"/>
  <c r="BT241" i="5"/>
  <c r="BS229" i="2"/>
  <c r="BP355" i="2"/>
  <c r="BR364" i="6"/>
  <c r="BR150" i="2"/>
  <c r="BT242" i="6"/>
  <c r="BV289" i="5"/>
  <c r="BU381" i="6"/>
  <c r="BU221" i="2"/>
  <c r="BV502" i="6"/>
  <c r="BV201" i="2"/>
  <c r="BS243" i="2"/>
  <c r="BV212" i="2"/>
  <c r="BT349" i="2"/>
  <c r="BU357" i="6"/>
  <c r="BU230" i="2"/>
  <c r="BV89" i="2"/>
  <c r="BV138" i="5"/>
  <c r="BU37" i="5"/>
  <c r="BT107" i="5"/>
  <c r="BV304" i="6"/>
  <c r="BS146" i="5"/>
  <c r="BU123" i="5"/>
  <c r="BU77" i="2"/>
  <c r="BT493" i="6"/>
  <c r="BR445" i="6"/>
  <c r="BS414" i="5"/>
  <c r="BR470" i="2"/>
  <c r="BS365" i="6"/>
  <c r="BR178" i="7"/>
  <c r="BU172" i="6"/>
  <c r="BR245" i="5"/>
  <c r="BT82" i="2"/>
  <c r="BT121" i="5"/>
  <c r="BT412" i="2"/>
  <c r="BS178" i="2"/>
  <c r="BU208" i="6"/>
  <c r="BU337" i="5"/>
  <c r="BT178" i="5"/>
  <c r="BS208" i="6"/>
  <c r="BV88" i="5"/>
  <c r="BS317" i="6"/>
  <c r="BR61" i="6"/>
  <c r="BT348" i="2"/>
  <c r="BR254" i="5"/>
  <c r="BR305" i="6"/>
  <c r="BR207" i="6"/>
  <c r="BR325" i="2"/>
  <c r="BR444" i="5"/>
  <c r="BU281" i="5"/>
  <c r="BU271" i="6"/>
  <c r="BT40" i="6"/>
  <c r="BR309" i="6"/>
  <c r="BR62" i="5"/>
  <c r="BU149" i="2"/>
  <c r="BT118" i="6"/>
  <c r="BT147" i="2"/>
  <c r="BT164" i="5"/>
  <c r="BR191" i="5"/>
  <c r="BV14" i="5"/>
  <c r="BS14" i="5"/>
  <c r="BT288" i="5"/>
  <c r="BV340" i="6"/>
  <c r="BV182" i="2"/>
  <c r="BT422" i="5"/>
  <c r="BP290" i="2"/>
  <c r="BV16" i="5"/>
  <c r="BU407" i="2"/>
  <c r="BV342" i="6"/>
  <c r="BV122" i="2"/>
  <c r="BS258" i="6"/>
  <c r="BU160" i="2"/>
  <c r="BV109" i="2"/>
  <c r="BS261" i="6"/>
  <c r="BT267" i="5"/>
  <c r="BU165" i="2"/>
  <c r="BS139" i="6"/>
  <c r="BS470" i="5"/>
  <c r="BU25" i="2"/>
  <c r="BT419" i="2"/>
  <c r="BS485" i="5"/>
  <c r="BS501" i="6"/>
  <c r="BU130" i="6"/>
  <c r="BU13" i="5"/>
  <c r="BS39" i="2"/>
  <c r="BU304" i="5"/>
  <c r="BS130" i="5"/>
  <c r="BU101" i="6"/>
  <c r="BR457" i="6"/>
  <c r="BP340" i="2"/>
  <c r="BV115" i="2"/>
  <c r="BR145" i="6"/>
  <c r="BT347" i="6"/>
  <c r="BU462" i="5"/>
  <c r="BR73" i="5"/>
  <c r="BU114" i="6"/>
  <c r="BT110" i="5"/>
  <c r="BS143" i="2"/>
  <c r="BT378" i="6"/>
  <c r="BS364" i="2"/>
  <c r="BV212" i="6"/>
  <c r="BV385" i="2"/>
  <c r="BV32" i="6"/>
  <c r="BS492" i="2"/>
  <c r="BS67" i="5"/>
  <c r="BS344" i="2"/>
  <c r="BT184" i="2"/>
  <c r="BV123" i="5"/>
  <c r="BU400" i="2"/>
  <c r="BV298" i="2"/>
  <c r="BS25" i="2"/>
  <c r="BR170" i="2"/>
  <c r="BT308" i="5"/>
  <c r="BV320" i="2"/>
  <c r="BS273" i="5"/>
  <c r="BU500" i="6"/>
  <c r="BV59" i="6"/>
  <c r="BS453" i="6"/>
  <c r="BT98" i="6"/>
  <c r="BU213" i="2"/>
  <c r="BR468" i="5"/>
  <c r="BR475" i="6"/>
  <c r="BS461" i="5"/>
  <c r="BU273" i="5"/>
  <c r="BR475" i="2"/>
  <c r="BV277" i="2"/>
  <c r="BS491" i="6"/>
  <c r="BU389" i="2"/>
  <c r="BR320" i="6"/>
  <c r="BV153" i="6"/>
  <c r="BV42" i="5"/>
  <c r="BU421" i="2"/>
  <c r="BP304" i="2"/>
  <c r="BT422" i="6"/>
  <c r="BR275" i="5"/>
  <c r="BT498" i="6"/>
  <c r="BU370" i="6"/>
  <c r="BT237" i="5"/>
  <c r="BV287" i="5"/>
  <c r="BV44" i="2"/>
  <c r="BT409" i="6"/>
  <c r="BT438" i="5"/>
  <c r="BT309" i="6"/>
  <c r="BU473" i="6"/>
  <c r="BU392" i="6"/>
  <c r="BS418" i="6"/>
  <c r="BV382" i="5"/>
  <c r="BV419" i="6"/>
  <c r="BS115" i="5"/>
  <c r="BT163" i="2"/>
  <c r="BU254" i="5"/>
  <c r="BT231" i="6"/>
  <c r="BV81" i="2"/>
  <c r="BU152" i="2"/>
  <c r="BU73" i="5"/>
  <c r="BT485" i="2"/>
  <c r="BT375" i="5"/>
  <c r="BT105" i="5"/>
  <c r="BR97" i="2"/>
  <c r="BU56" i="5"/>
  <c r="BS80" i="2"/>
  <c r="BS343" i="2"/>
  <c r="BS67" i="2"/>
  <c r="BS295" i="2"/>
  <c r="BS64" i="6"/>
  <c r="BT329" i="2"/>
  <c r="BS397" i="2"/>
  <c r="BS397" i="6"/>
  <c r="BP330" i="2"/>
  <c r="BS435" i="5"/>
  <c r="BU475" i="6"/>
  <c r="BP367" i="2"/>
  <c r="BR88" i="5"/>
  <c r="BV313" i="2"/>
  <c r="BU66" i="5"/>
  <c r="BT401" i="2"/>
  <c r="BU263" i="5"/>
  <c r="BU29" i="6"/>
  <c r="BS301" i="2"/>
  <c r="BT268" i="5"/>
  <c r="BV358" i="2"/>
  <c r="BU232" i="6"/>
  <c r="BR321" i="5"/>
  <c r="BR144" i="7"/>
  <c r="BT410" i="6"/>
  <c r="BR377" i="2"/>
  <c r="BV97" i="2"/>
  <c r="BV322" i="5"/>
  <c r="BS126" i="2"/>
  <c r="BV314" i="2"/>
  <c r="BV47" i="2"/>
  <c r="BR299" i="6"/>
  <c r="BV434" i="5"/>
  <c r="BR347" i="6"/>
  <c r="BP292" i="2"/>
  <c r="BV51" i="5"/>
  <c r="BT494" i="2"/>
  <c r="BT383" i="6"/>
  <c r="BR93" i="2"/>
  <c r="BS182" i="2"/>
  <c r="BR199" i="6"/>
  <c r="BR312" i="6"/>
  <c r="BT201" i="2"/>
  <c r="BU29" i="2"/>
  <c r="BR398" i="5"/>
  <c r="BP348" i="2"/>
  <c r="BV125" i="2"/>
  <c r="BS467" i="2"/>
  <c r="BV435" i="2"/>
  <c r="BR217" i="6"/>
  <c r="BT373" i="2"/>
  <c r="BT411" i="2"/>
  <c r="BT327" i="2"/>
  <c r="BV166" i="6"/>
  <c r="BR373" i="5"/>
  <c r="BU484" i="2"/>
  <c r="BR283" i="5"/>
  <c r="BS45" i="2"/>
  <c r="BU455" i="6"/>
  <c r="BT375" i="6"/>
  <c r="BT83" i="5"/>
  <c r="BS341" i="2"/>
  <c r="BT81" i="6"/>
  <c r="BU212" i="5"/>
  <c r="BR498" i="2"/>
  <c r="BV43" i="2"/>
  <c r="BS106" i="2"/>
  <c r="BT213" i="5"/>
  <c r="BT418" i="2"/>
  <c r="BU490" i="2"/>
  <c r="BV45" i="2"/>
  <c r="BR311" i="5"/>
  <c r="BP329" i="2"/>
  <c r="BT205" i="2"/>
  <c r="BU85" i="6"/>
  <c r="BU225" i="2"/>
  <c r="BR59" i="7"/>
  <c r="BS119" i="5"/>
  <c r="BU68" i="2"/>
  <c r="BR487" i="6"/>
  <c r="BT303" i="5"/>
  <c r="BU68" i="5"/>
  <c r="BT272" i="6"/>
  <c r="BT408" i="6"/>
  <c r="BV93" i="5"/>
  <c r="BT221" i="5"/>
  <c r="BU146" i="6"/>
  <c r="BU155" i="2"/>
  <c r="BV402" i="5"/>
  <c r="BT360" i="5"/>
  <c r="BS145" i="6"/>
  <c r="BT198" i="5"/>
  <c r="BV213" i="5"/>
  <c r="BV129" i="5"/>
  <c r="BV170" i="5"/>
  <c r="BT431" i="2"/>
  <c r="BV309" i="6"/>
  <c r="BU109" i="2"/>
  <c r="BT55" i="6"/>
  <c r="BR227" i="6"/>
  <c r="BR391" i="6"/>
  <c r="BU375" i="6"/>
  <c r="BV70" i="5"/>
  <c r="BR253" i="5"/>
  <c r="BS360" i="2"/>
  <c r="BR118" i="6"/>
  <c r="BV74" i="5"/>
  <c r="BT182" i="2"/>
  <c r="BS275" i="5"/>
  <c r="BR326" i="7"/>
  <c r="BT299" i="6"/>
  <c r="BR400" i="2"/>
  <c r="BS464" i="2"/>
  <c r="BR248" i="7"/>
  <c r="BU481" i="5"/>
  <c r="BU42" i="6"/>
  <c r="BU261" i="6"/>
  <c r="BU129" i="2"/>
  <c r="BT43" i="5"/>
  <c r="BT289" i="5"/>
  <c r="BT502" i="2"/>
  <c r="BR348" i="5"/>
  <c r="BU202" i="2"/>
  <c r="BV331" i="2"/>
  <c r="BR85" i="2"/>
  <c r="BV85" i="6"/>
  <c r="BT380" i="5"/>
  <c r="BS502" i="5"/>
  <c r="BR76" i="2"/>
  <c r="BS220" i="2"/>
  <c r="BT323" i="2"/>
  <c r="BV394" i="6"/>
  <c r="BS148" i="6"/>
  <c r="BS340" i="6"/>
  <c r="BV13" i="5"/>
  <c r="BS112" i="6"/>
  <c r="BR91" i="2"/>
  <c r="BS122" i="6"/>
  <c r="BR63" i="2"/>
  <c r="BR111" i="5"/>
  <c r="BU224" i="2"/>
  <c r="BR171" i="2"/>
  <c r="BV183" i="5"/>
  <c r="BR410" i="6"/>
  <c r="BV343" i="5"/>
  <c r="BT428" i="5"/>
  <c r="BS249" i="6"/>
  <c r="BS414" i="6"/>
  <c r="BU33" i="6"/>
  <c r="BR75" i="2"/>
  <c r="BS121" i="5"/>
  <c r="BS190" i="2"/>
  <c r="BR481" i="2"/>
  <c r="BS489" i="2"/>
  <c r="BV68" i="6"/>
  <c r="BR298" i="6"/>
  <c r="BR74" i="7"/>
  <c r="BR482" i="2"/>
  <c r="BR420" i="5"/>
  <c r="BV492" i="2"/>
  <c r="BV390" i="6"/>
  <c r="BR206" i="7"/>
  <c r="BS97" i="6"/>
  <c r="BR13" i="6"/>
  <c r="BS272" i="6"/>
  <c r="BR56" i="5"/>
  <c r="BV102" i="5"/>
  <c r="BV198" i="2"/>
  <c r="BT104" i="6"/>
  <c r="BV198" i="6"/>
  <c r="BT391" i="2"/>
  <c r="BS280" i="2"/>
  <c r="BS131" i="5"/>
  <c r="BR29" i="5"/>
  <c r="BS230" i="6"/>
  <c r="BR500" i="6"/>
  <c r="BU224" i="6"/>
  <c r="BV283" i="5"/>
  <c r="BV368" i="2"/>
  <c r="BT495" i="6"/>
  <c r="BU500" i="5"/>
  <c r="BS122" i="2"/>
  <c r="BS150" i="6"/>
  <c r="BT372" i="2"/>
  <c r="BR221" i="7"/>
  <c r="BV489" i="6"/>
  <c r="BS388" i="6"/>
  <c r="BT162" i="2"/>
  <c r="BT31" i="5"/>
  <c r="BT93" i="5"/>
  <c r="BU93" i="5"/>
  <c r="BT69" i="2"/>
  <c r="BR123" i="2"/>
  <c r="BR453" i="6"/>
  <c r="BT294" i="6"/>
  <c r="BT88" i="2"/>
  <c r="BS181" i="2"/>
  <c r="BV83" i="2"/>
  <c r="BT445" i="2"/>
  <c r="BV290" i="2"/>
  <c r="BU324" i="6"/>
  <c r="BS253" i="5"/>
  <c r="BU483" i="6"/>
  <c r="BU451" i="2"/>
  <c r="BU384" i="6"/>
  <c r="BS185" i="2"/>
  <c r="BR268" i="2"/>
  <c r="BT220" i="6"/>
  <c r="BV76" i="2"/>
  <c r="BU288" i="2"/>
  <c r="BT151" i="5"/>
  <c r="BT81" i="5"/>
  <c r="BU423" i="2"/>
  <c r="BV256" i="2"/>
  <c r="BR117" i="6"/>
  <c r="BV177" i="2"/>
  <c r="BR107" i="6"/>
  <c r="BS187" i="2"/>
  <c r="BR432" i="5"/>
  <c r="BS478" i="5"/>
  <c r="BT157" i="6"/>
  <c r="BV430" i="6"/>
  <c r="BV77" i="2"/>
  <c r="BT35" i="6"/>
  <c r="BV32" i="5"/>
  <c r="BR178" i="6"/>
  <c r="BU122" i="5"/>
  <c r="BT283" i="5"/>
  <c r="BT187" i="2"/>
  <c r="BT235" i="2"/>
  <c r="BP335" i="2"/>
  <c r="BS363" i="2"/>
  <c r="BV442" i="5"/>
  <c r="BR142" i="5"/>
  <c r="BS197" i="5"/>
  <c r="BR250" i="5"/>
  <c r="BS460" i="2"/>
  <c r="BV56" i="6"/>
  <c r="BV155" i="6"/>
  <c r="BU338" i="6"/>
  <c r="BV337" i="2"/>
  <c r="BR364" i="5"/>
  <c r="BU126" i="5"/>
  <c r="BS106" i="6"/>
  <c r="BU484" i="6"/>
  <c r="BV211" i="2"/>
  <c r="BR447" i="6"/>
  <c r="BS280" i="6"/>
  <c r="BU217" i="5"/>
  <c r="BV329" i="6"/>
  <c r="BR246" i="7"/>
  <c r="BV45" i="6"/>
  <c r="BS17" i="5"/>
  <c r="BT244" i="6"/>
  <c r="BV435" i="5"/>
  <c r="BV338" i="5"/>
  <c r="BT324" i="2"/>
  <c r="BS327" i="6"/>
  <c r="BT45" i="5"/>
  <c r="BR369" i="6"/>
  <c r="BS344" i="6"/>
  <c r="BT407" i="6"/>
  <c r="BS33" i="2"/>
  <c r="BS198" i="5"/>
  <c r="BV388" i="2"/>
  <c r="BS69" i="6"/>
  <c r="BZ407" i="6" l="1"/>
  <c r="CE369" i="6"/>
  <c r="BZ45" i="5"/>
  <c r="BZ324" i="2"/>
  <c r="BZ244" i="6"/>
  <c r="BX246" i="7"/>
  <c r="CA217" i="5"/>
  <c r="CE447" i="6"/>
  <c r="CA484" i="6"/>
  <c r="CA126" i="5"/>
  <c r="CE364" i="5"/>
  <c r="CA338" i="6"/>
  <c r="CE250" i="5"/>
  <c r="BZ235" i="2"/>
  <c r="BZ187" i="2"/>
  <c r="BZ283" i="5"/>
  <c r="CA122" i="5"/>
  <c r="CE178" i="6"/>
  <c r="BZ35" i="6"/>
  <c r="BZ157" i="6"/>
  <c r="CE432" i="5"/>
  <c r="CE107" i="6"/>
  <c r="CE117" i="6"/>
  <c r="CA423" i="2"/>
  <c r="BZ81" i="5"/>
  <c r="BZ151" i="5"/>
  <c r="CA288" i="2"/>
  <c r="BZ220" i="6"/>
  <c r="CA384" i="6"/>
  <c r="CA451" i="2"/>
  <c r="CA483" i="6"/>
  <c r="CA324" i="6"/>
  <c r="BZ445" i="2"/>
  <c r="BZ88" i="2"/>
  <c r="BZ294" i="6"/>
  <c r="CE453" i="6"/>
  <c r="CE123" i="2"/>
  <c r="BZ69" i="2"/>
  <c r="CA93" i="5"/>
  <c r="BZ93" i="5"/>
  <c r="BZ31" i="5"/>
  <c r="BZ162" i="2"/>
  <c r="CB489" i="6"/>
  <c r="BX221" i="7"/>
  <c r="BZ372" i="2"/>
  <c r="CA500" i="5"/>
  <c r="BZ495" i="6"/>
  <c r="CA224" i="6"/>
  <c r="BX500" i="6"/>
  <c r="CE29" i="5"/>
  <c r="BZ391" i="2"/>
  <c r="BZ104" i="6"/>
  <c r="CE56" i="5"/>
  <c r="CE13" i="6"/>
  <c r="BX206" i="7"/>
  <c r="CE420" i="5"/>
  <c r="CE482" i="2"/>
  <c r="BX74" i="7"/>
  <c r="CE298" i="6"/>
  <c r="CE481" i="2"/>
  <c r="CE75" i="2"/>
  <c r="CA33" i="6"/>
  <c r="BZ428" i="5"/>
  <c r="CE410" i="6"/>
  <c r="CE171" i="2"/>
  <c r="CA224" i="2"/>
  <c r="CE111" i="5"/>
  <c r="CE63" i="2"/>
  <c r="CE91" i="2"/>
  <c r="BZ323" i="2"/>
  <c r="CE76" i="2"/>
  <c r="BZ380" i="5"/>
  <c r="CE85" i="2"/>
  <c r="CA202" i="2"/>
  <c r="CE348" i="5"/>
  <c r="BZ502" i="2"/>
  <c r="BZ289" i="5"/>
  <c r="BZ43" i="5"/>
  <c r="CA129" i="2"/>
  <c r="CA261" i="6"/>
  <c r="CA42" i="6"/>
  <c r="CA481" i="5"/>
  <c r="BX248" i="7"/>
  <c r="CE400" i="2"/>
  <c r="BZ299" i="6"/>
  <c r="BX326" i="7"/>
  <c r="BZ182" i="2"/>
  <c r="CE118" i="6"/>
  <c r="CE253" i="5"/>
  <c r="CA375" i="6"/>
  <c r="CE391" i="6"/>
  <c r="CE227" i="6"/>
  <c r="BZ55" i="6"/>
  <c r="CA109" i="2"/>
  <c r="BZ431" i="2"/>
  <c r="BZ198" i="5"/>
  <c r="BZ360" i="5"/>
  <c r="CA155" i="2"/>
  <c r="CA146" i="6"/>
  <c r="BZ221" i="5"/>
  <c r="BZ408" i="6"/>
  <c r="BZ272" i="6"/>
  <c r="CA68" i="5"/>
  <c r="BZ303" i="5"/>
  <c r="BX487" i="6"/>
  <c r="CA68" i="2"/>
  <c r="BX59" i="7"/>
  <c r="CA225" i="2"/>
  <c r="CA85" i="6"/>
  <c r="BZ205" i="2"/>
  <c r="CE311" i="5"/>
  <c r="CA490" i="2"/>
  <c r="BZ418" i="2"/>
  <c r="BZ213" i="5"/>
  <c r="CA212" i="5"/>
  <c r="BZ81" i="6"/>
  <c r="BZ83" i="5"/>
  <c r="BZ375" i="6"/>
  <c r="CA455" i="6"/>
  <c r="CE283" i="5"/>
  <c r="CA484" i="2"/>
  <c r="CE373" i="5"/>
  <c r="BZ327" i="2"/>
  <c r="BZ411" i="2"/>
  <c r="BZ373" i="2"/>
  <c r="CE217" i="6"/>
  <c r="CE398" i="5"/>
  <c r="CA29" i="2"/>
  <c r="BZ201" i="2"/>
  <c r="CE312" i="6"/>
  <c r="CE199" i="6"/>
  <c r="CE93" i="2"/>
  <c r="BZ383" i="6"/>
  <c r="BZ494" i="2"/>
  <c r="CE347" i="6"/>
  <c r="CE299" i="6"/>
  <c r="BZ410" i="6"/>
  <c r="BX144" i="7"/>
  <c r="CE321" i="5"/>
  <c r="CA232" i="6"/>
  <c r="BZ268" i="5"/>
  <c r="CA29" i="6"/>
  <c r="CA263" i="5"/>
  <c r="BZ401" i="2"/>
  <c r="CA66" i="5"/>
  <c r="CE88" i="5"/>
  <c r="CA475" i="6"/>
  <c r="BZ329" i="2"/>
  <c r="CA56" i="5"/>
  <c r="CE97" i="2"/>
  <c r="BZ105" i="5"/>
  <c r="BZ375" i="5"/>
  <c r="BZ485" i="2"/>
  <c r="CA73" i="5"/>
  <c r="CA152" i="2"/>
  <c r="BZ231" i="6"/>
  <c r="CA254" i="5"/>
  <c r="BZ163" i="2"/>
  <c r="CA392" i="6"/>
  <c r="CA473" i="6"/>
  <c r="BZ309" i="6"/>
  <c r="BZ438" i="5"/>
  <c r="BZ409" i="6"/>
  <c r="BZ237" i="5"/>
  <c r="CA370" i="6"/>
  <c r="BZ498" i="6"/>
  <c r="BZ422" i="6"/>
  <c r="CA421" i="2"/>
  <c r="CE320" i="6"/>
  <c r="CA389" i="2"/>
  <c r="BY491" i="6"/>
  <c r="CE475" i="2"/>
  <c r="CA273" i="5"/>
  <c r="CE475" i="6"/>
  <c r="BX475" i="6"/>
  <c r="CD475" i="6" s="1"/>
  <c r="AK475" i="6" s="1"/>
  <c r="CE468" i="5"/>
  <c r="CA213" i="2"/>
  <c r="BZ98" i="6"/>
  <c r="CA500" i="6"/>
  <c r="BZ308" i="5"/>
  <c r="CE170" i="2"/>
  <c r="CA400" i="2"/>
  <c r="BZ184" i="2"/>
  <c r="BZ378" i="6"/>
  <c r="BZ110" i="5"/>
  <c r="CA114" i="6"/>
  <c r="CE73" i="5"/>
  <c r="CA462" i="5"/>
  <c r="BZ347" i="6"/>
  <c r="CE145" i="6"/>
  <c r="CE457" i="6"/>
  <c r="CA101" i="6"/>
  <c r="CA304" i="5"/>
  <c r="CA13" i="5"/>
  <c r="CA130" i="6"/>
  <c r="BY501" i="6"/>
  <c r="BZ419" i="2"/>
  <c r="CA25" i="2"/>
  <c r="CA165" i="2"/>
  <c r="BZ267" i="5"/>
  <c r="CA160" i="2"/>
  <c r="CA407" i="2"/>
  <c r="BZ422" i="5"/>
  <c r="BZ288" i="5"/>
  <c r="CE191" i="5"/>
  <c r="BZ164" i="5"/>
  <c r="BZ147" i="2"/>
  <c r="BZ118" i="6"/>
  <c r="CA149" i="2"/>
  <c r="CE62" i="5"/>
  <c r="CE309" i="6"/>
  <c r="BZ40" i="6"/>
  <c r="CA271" i="6"/>
  <c r="CA281" i="5"/>
  <c r="CE444" i="5"/>
  <c r="CE325" i="2"/>
  <c r="CE207" i="6"/>
  <c r="CE305" i="6"/>
  <c r="CE254" i="5"/>
  <c r="BZ348" i="2"/>
  <c r="CE61" i="6"/>
  <c r="BZ178" i="5"/>
  <c r="CA337" i="5"/>
  <c r="CA208" i="6"/>
  <c r="BZ412" i="2"/>
  <c r="BZ121" i="5"/>
  <c r="BZ82" i="2"/>
  <c r="CE245" i="5"/>
  <c r="CA172" i="6"/>
  <c r="BX178" i="7"/>
  <c r="CE470" i="2"/>
  <c r="CE445" i="6"/>
  <c r="BZ493" i="6"/>
  <c r="CA77" i="2"/>
  <c r="CA123" i="5"/>
  <c r="BZ107" i="5"/>
  <c r="CA37" i="5"/>
  <c r="CA230" i="2"/>
  <c r="CA357" i="6"/>
  <c r="BZ349" i="2"/>
  <c r="CB502" i="6"/>
  <c r="CA221" i="2"/>
  <c r="CA381" i="6"/>
  <c r="BZ242" i="6"/>
  <c r="CE150" i="2"/>
  <c r="CE364" i="6"/>
  <c r="BZ241" i="5"/>
  <c r="BZ311" i="6"/>
  <c r="CA165" i="5"/>
  <c r="CE433" i="6"/>
  <c r="BZ343" i="6"/>
  <c r="BZ331" i="5"/>
  <c r="BX97" i="7"/>
  <c r="CA413" i="2"/>
  <c r="BX104" i="7"/>
  <c r="BZ139" i="2"/>
  <c r="CA399" i="2"/>
  <c r="BZ242" i="5"/>
  <c r="CE365" i="2"/>
  <c r="BY473" i="6"/>
  <c r="BZ87" i="5"/>
  <c r="CE81" i="6"/>
  <c r="BZ277" i="2"/>
  <c r="CA324" i="2"/>
  <c r="CE62" i="2"/>
  <c r="CE189" i="6"/>
  <c r="CE407" i="2"/>
  <c r="CE299" i="5"/>
  <c r="BZ170" i="2"/>
  <c r="BZ292" i="6"/>
  <c r="CE231" i="5"/>
  <c r="CA437" i="2"/>
  <c r="CA267" i="5"/>
  <c r="CE291" i="5"/>
  <c r="CA163" i="6"/>
  <c r="CA188" i="2"/>
  <c r="CA201" i="5"/>
  <c r="CE78" i="6"/>
  <c r="CA479" i="6"/>
  <c r="BZ454" i="5"/>
  <c r="CA151" i="5"/>
  <c r="CE92" i="2"/>
  <c r="BZ67" i="6"/>
  <c r="CA317" i="5"/>
  <c r="BZ320" i="5"/>
  <c r="CA358" i="2"/>
  <c r="BZ368" i="6"/>
  <c r="BZ463" i="6"/>
  <c r="BY498" i="6"/>
  <c r="CA455" i="2"/>
  <c r="BZ113" i="6"/>
  <c r="CA461" i="5"/>
  <c r="BZ465" i="6"/>
  <c r="CE218" i="6"/>
  <c r="BX254" i="7"/>
  <c r="CE127" i="2"/>
  <c r="CE409" i="2"/>
  <c r="BZ57" i="2"/>
  <c r="CE149" i="6"/>
  <c r="BZ371" i="5"/>
  <c r="CA98" i="6"/>
  <c r="BZ267" i="6"/>
  <c r="CA464" i="2"/>
  <c r="CA85" i="2"/>
  <c r="CA270" i="5"/>
  <c r="CB495" i="6"/>
  <c r="CE438" i="6"/>
  <c r="BZ126" i="5"/>
  <c r="BZ73" i="6"/>
  <c r="CA414" i="5"/>
  <c r="CA175" i="2"/>
  <c r="CA452" i="2"/>
  <c r="CA390" i="6"/>
  <c r="BY490" i="6"/>
  <c r="CA138" i="2"/>
  <c r="BZ307" i="6"/>
  <c r="BZ349" i="6"/>
  <c r="BZ103" i="5"/>
  <c r="BZ461" i="5"/>
  <c r="BZ350" i="2"/>
  <c r="BZ46" i="6"/>
  <c r="BX72" i="7"/>
  <c r="BZ331" i="2"/>
  <c r="CA280" i="6"/>
  <c r="BZ385" i="5"/>
  <c r="CB488" i="6"/>
  <c r="CA211" i="6"/>
  <c r="BZ482" i="6"/>
  <c r="CA332" i="6"/>
  <c r="CE201" i="2"/>
  <c r="BZ352" i="6"/>
  <c r="CE38" i="2"/>
  <c r="CA230" i="6"/>
  <c r="CE213" i="2"/>
  <c r="CA430" i="2"/>
  <c r="CA221" i="5"/>
  <c r="CE474" i="6"/>
  <c r="BX474" i="6"/>
  <c r="CA191" i="6"/>
  <c r="CA150" i="2"/>
  <c r="CA167" i="5"/>
  <c r="CA127" i="6"/>
  <c r="CE291" i="2"/>
  <c r="CA122" i="6"/>
  <c r="CE260" i="6"/>
  <c r="BZ450" i="6"/>
  <c r="CA414" i="6"/>
  <c r="BZ124" i="6"/>
  <c r="BZ88" i="6"/>
  <c r="BZ441" i="5"/>
  <c r="CA314" i="6"/>
  <c r="CB474" i="6"/>
  <c r="BZ352" i="2"/>
  <c r="BZ94" i="5"/>
  <c r="CE348" i="6"/>
  <c r="CE251" i="6"/>
  <c r="CA50" i="6"/>
  <c r="BZ497" i="5"/>
  <c r="BX329" i="7"/>
  <c r="CE417" i="2"/>
  <c r="CE243" i="5"/>
  <c r="BZ368" i="5"/>
  <c r="BZ150" i="5"/>
  <c r="CA18" i="6"/>
  <c r="CE114" i="5"/>
  <c r="BZ266" i="2"/>
  <c r="CA117" i="5"/>
  <c r="BZ287" i="6"/>
  <c r="CA195" i="6"/>
  <c r="BZ94" i="6"/>
  <c r="CA203" i="5"/>
  <c r="CE79" i="5"/>
  <c r="BZ459" i="2"/>
  <c r="CA417" i="6"/>
  <c r="BX313" i="7"/>
  <c r="CA92" i="2"/>
  <c r="CE397" i="6"/>
  <c r="CA225" i="5"/>
  <c r="CE457" i="2"/>
  <c r="CA210" i="6"/>
  <c r="CA32" i="6"/>
  <c r="BZ51" i="5"/>
  <c r="BZ65" i="6"/>
  <c r="CE467" i="2"/>
  <c r="CA215" i="5"/>
  <c r="CA58" i="2"/>
  <c r="BX217" i="7"/>
  <c r="BZ330" i="6"/>
  <c r="CE49" i="2"/>
  <c r="CE372" i="5"/>
  <c r="CE207" i="2"/>
  <c r="BX47" i="7"/>
  <c r="CE17" i="2"/>
  <c r="CE161" i="5"/>
  <c r="CA501" i="2"/>
  <c r="BX56" i="7"/>
  <c r="CA231" i="5"/>
  <c r="BZ38" i="6"/>
  <c r="CE371" i="5"/>
  <c r="CE343" i="5"/>
  <c r="CA195" i="5"/>
  <c r="BZ493" i="2"/>
  <c r="BX145" i="7"/>
  <c r="BZ368" i="2"/>
  <c r="CE81" i="2"/>
  <c r="CA298" i="6"/>
  <c r="CE443" i="6"/>
  <c r="BX137" i="7"/>
  <c r="BZ232" i="6"/>
  <c r="BZ479" i="5"/>
  <c r="CE343" i="2"/>
  <c r="BX117" i="7"/>
  <c r="CA226" i="6"/>
  <c r="CE122" i="6"/>
  <c r="CA159" i="2"/>
  <c r="BZ334" i="6"/>
  <c r="CE483" i="2"/>
  <c r="BZ232" i="2"/>
  <c r="BZ463" i="2"/>
  <c r="CA301" i="5"/>
  <c r="CA188" i="6"/>
  <c r="BZ442" i="6"/>
  <c r="CE474" i="2"/>
  <c r="CA149" i="6"/>
  <c r="BZ182" i="5"/>
  <c r="CE387" i="2"/>
  <c r="CA90" i="5"/>
  <c r="BZ56" i="2"/>
  <c r="BZ498" i="5"/>
  <c r="BZ400" i="2"/>
  <c r="BZ92" i="5"/>
  <c r="BZ455" i="2"/>
  <c r="CA162" i="5"/>
  <c r="BZ330" i="2"/>
  <c r="BY483" i="6"/>
  <c r="CA15" i="6"/>
  <c r="BZ262" i="6"/>
  <c r="CA21" i="2"/>
  <c r="CA405" i="5"/>
  <c r="BX111" i="7"/>
  <c r="CA88" i="2"/>
  <c r="CE464" i="2"/>
  <c r="CE327" i="2"/>
  <c r="CE40" i="5"/>
  <c r="CE235" i="2"/>
  <c r="CA397" i="2"/>
  <c r="CA415" i="6"/>
  <c r="CA391" i="6"/>
  <c r="CE224" i="2"/>
  <c r="BZ472" i="6"/>
  <c r="CA269" i="5"/>
  <c r="CA314" i="2"/>
  <c r="CE318" i="5"/>
  <c r="BZ217" i="5"/>
  <c r="CE332" i="6"/>
  <c r="BZ490" i="2"/>
  <c r="CE284" i="6"/>
  <c r="BX492" i="6"/>
  <c r="CE443" i="5"/>
  <c r="CA420" i="6"/>
  <c r="BZ473" i="6"/>
  <c r="BZ245" i="6"/>
  <c r="CE259" i="5"/>
  <c r="CA433" i="5"/>
  <c r="BZ468" i="2"/>
  <c r="BZ469" i="6"/>
  <c r="BZ332" i="5"/>
  <c r="CA315" i="6"/>
  <c r="BZ89" i="2"/>
  <c r="CA387" i="2"/>
  <c r="BZ63" i="5"/>
  <c r="CE358" i="5"/>
  <c r="CE158" i="2"/>
  <c r="BZ481" i="6"/>
  <c r="CA439" i="5"/>
  <c r="BZ261" i="5"/>
  <c r="BZ270" i="2"/>
  <c r="CA26" i="6"/>
  <c r="CA77" i="5"/>
  <c r="CA40" i="5"/>
  <c r="BZ385" i="6"/>
  <c r="BZ239" i="5"/>
  <c r="CE460" i="6"/>
  <c r="BZ18" i="6"/>
  <c r="BZ269" i="2"/>
  <c r="CE164" i="5"/>
  <c r="CA445" i="6"/>
  <c r="BZ91" i="2"/>
  <c r="BZ260" i="2"/>
  <c r="CA337" i="6"/>
  <c r="CE213" i="6"/>
  <c r="CA79" i="5"/>
  <c r="BZ393" i="2"/>
  <c r="CE215" i="2"/>
  <c r="CA90" i="6"/>
  <c r="BX98" i="7"/>
  <c r="CE153" i="6"/>
  <c r="CE324" i="6"/>
  <c r="CE95" i="6"/>
  <c r="CA140" i="6"/>
  <c r="CA26" i="2"/>
  <c r="BZ443" i="2"/>
  <c r="BZ304" i="2"/>
  <c r="CE39" i="5"/>
  <c r="BZ457" i="6"/>
  <c r="CA239" i="5"/>
  <c r="BZ175" i="2"/>
  <c r="BZ350" i="6"/>
  <c r="CE113" i="2"/>
  <c r="CE23" i="2"/>
  <c r="CA39" i="2"/>
  <c r="CE245" i="2"/>
  <c r="CA265" i="2"/>
  <c r="CE399" i="5"/>
  <c r="BZ42" i="2"/>
  <c r="BZ150" i="6"/>
  <c r="BZ200" i="5"/>
  <c r="BZ451" i="6"/>
  <c r="CE357" i="5"/>
  <c r="CE439" i="6"/>
  <c r="CA30" i="2"/>
  <c r="CE199" i="5"/>
  <c r="CA195" i="2"/>
  <c r="CE254" i="6"/>
  <c r="BZ412" i="5"/>
  <c r="CA409" i="2"/>
  <c r="CE53" i="6"/>
  <c r="CE259" i="6"/>
  <c r="CB484" i="6"/>
  <c r="BZ194" i="2"/>
  <c r="CE221" i="6"/>
  <c r="CE223" i="6"/>
  <c r="CE21" i="6"/>
  <c r="CA318" i="6"/>
  <c r="CE459" i="5"/>
  <c r="BZ435" i="2"/>
  <c r="BZ133" i="2"/>
  <c r="BZ93" i="2"/>
  <c r="CE261" i="6"/>
  <c r="CE148" i="5"/>
  <c r="CA76" i="6"/>
  <c r="BZ171" i="5"/>
  <c r="CA490" i="6"/>
  <c r="BZ274" i="2"/>
  <c r="CE50" i="6"/>
  <c r="BZ203" i="5"/>
  <c r="CE129" i="2"/>
  <c r="CE321" i="2"/>
  <c r="BZ77" i="5"/>
  <c r="BZ343" i="2"/>
  <c r="BZ419" i="6"/>
  <c r="CE123" i="5"/>
  <c r="CA111" i="5"/>
  <c r="BZ246" i="2"/>
  <c r="BZ116" i="2"/>
  <c r="CE465" i="6"/>
  <c r="CA247" i="2"/>
  <c r="CE157" i="6"/>
  <c r="BX328" i="7"/>
  <c r="CA111" i="6"/>
  <c r="BZ344" i="5"/>
  <c r="CE111" i="6"/>
  <c r="BX260" i="7"/>
  <c r="CE106" i="2"/>
  <c r="BZ43" i="6"/>
  <c r="BZ23" i="6"/>
  <c r="CA124" i="5"/>
  <c r="BZ173" i="6"/>
  <c r="BZ53" i="2"/>
  <c r="CE79" i="2"/>
  <c r="BZ152" i="2"/>
  <c r="CA118" i="5"/>
  <c r="CE371" i="2"/>
  <c r="CA154" i="2"/>
  <c r="CA341" i="5"/>
  <c r="BZ345" i="6"/>
  <c r="BZ282" i="5"/>
  <c r="CE451" i="2"/>
  <c r="CE114" i="2"/>
  <c r="CE373" i="6"/>
  <c r="BZ97" i="5"/>
  <c r="CA150" i="6"/>
  <c r="CA422" i="2"/>
  <c r="CA165" i="6"/>
  <c r="CA298" i="2"/>
  <c r="BZ44" i="6"/>
  <c r="CE69" i="5"/>
  <c r="BZ381" i="2"/>
  <c r="CA442" i="2"/>
  <c r="CE341" i="2"/>
  <c r="BX19" i="7"/>
  <c r="CA231" i="2"/>
  <c r="BZ78" i="2"/>
  <c r="CE433" i="2"/>
  <c r="CE212" i="5"/>
  <c r="CA344" i="6"/>
  <c r="BZ442" i="2"/>
  <c r="CE351" i="5"/>
  <c r="CA404" i="6"/>
  <c r="BZ30" i="6"/>
  <c r="CA86" i="2"/>
  <c r="CA353" i="5"/>
  <c r="CA243" i="2"/>
  <c r="CA93" i="6"/>
  <c r="BX128" i="7"/>
  <c r="CE350" i="2"/>
  <c r="CE431" i="6"/>
  <c r="BZ454" i="6"/>
  <c r="BZ41" i="2"/>
  <c r="BZ290" i="6"/>
  <c r="BZ127" i="6"/>
  <c r="CE77" i="5"/>
  <c r="CA274" i="6"/>
  <c r="BZ94" i="2"/>
  <c r="BZ241" i="6"/>
  <c r="BX161" i="7"/>
  <c r="BZ115" i="2"/>
  <c r="CE287" i="5"/>
  <c r="CA83" i="6"/>
  <c r="BZ126" i="2"/>
  <c r="CA501" i="5"/>
  <c r="CA293" i="5"/>
  <c r="BZ219" i="6"/>
  <c r="CA312" i="5"/>
  <c r="CE17" i="5"/>
  <c r="CE310" i="5"/>
  <c r="CE258" i="6"/>
  <c r="BX99" i="7"/>
  <c r="BZ489" i="5"/>
  <c r="BZ23" i="5"/>
  <c r="CE405" i="2"/>
  <c r="CA471" i="2"/>
  <c r="CE395" i="5"/>
  <c r="BZ402" i="5"/>
  <c r="CB477" i="6"/>
  <c r="BZ14" i="5"/>
  <c r="BZ187" i="6"/>
  <c r="BZ131" i="5"/>
  <c r="CA210" i="5"/>
  <c r="CE59" i="5"/>
  <c r="CE440" i="6"/>
  <c r="BZ387" i="6"/>
  <c r="CE31" i="5"/>
  <c r="BZ417" i="2"/>
  <c r="CA283" i="2"/>
  <c r="CE308" i="5"/>
  <c r="CA40" i="6"/>
  <c r="BZ380" i="6"/>
  <c r="CA429" i="5"/>
  <c r="CE253" i="2"/>
  <c r="BZ133" i="6"/>
  <c r="BX255" i="7"/>
  <c r="BX95" i="7"/>
  <c r="CA189" i="5"/>
  <c r="CA173" i="6"/>
  <c r="BZ421" i="5"/>
  <c r="CA158" i="5"/>
  <c r="BZ22" i="6"/>
  <c r="CE26" i="5"/>
  <c r="BZ189" i="6"/>
  <c r="BZ113" i="2"/>
  <c r="CE170" i="6"/>
  <c r="CA258" i="6"/>
  <c r="BZ324" i="5"/>
  <c r="CA315" i="5"/>
  <c r="BX279" i="7"/>
  <c r="CA305" i="6"/>
  <c r="BZ362" i="2"/>
  <c r="CA166" i="5"/>
  <c r="BZ136" i="5"/>
  <c r="CA390" i="2"/>
  <c r="BZ263" i="5"/>
  <c r="CE74" i="6"/>
  <c r="BZ265" i="2"/>
  <c r="CE214" i="2"/>
  <c r="BZ57" i="6"/>
  <c r="CE293" i="5"/>
  <c r="CE44" i="2"/>
  <c r="BZ402" i="2"/>
  <c r="BZ483" i="5"/>
  <c r="CA273" i="2"/>
  <c r="BZ379" i="2"/>
  <c r="BZ243" i="6"/>
  <c r="CE104" i="5"/>
  <c r="CA164" i="6"/>
  <c r="CA133" i="6"/>
  <c r="CA206" i="5"/>
  <c r="CE241" i="6"/>
  <c r="CE148" i="6"/>
  <c r="CA262" i="6"/>
  <c r="CE200" i="6"/>
  <c r="BZ37" i="6"/>
  <c r="BZ357" i="2"/>
  <c r="CE91" i="6"/>
  <c r="BZ391" i="6"/>
  <c r="CA169" i="6"/>
  <c r="CE16" i="5"/>
  <c r="CE445" i="5"/>
  <c r="BY479" i="6"/>
  <c r="BZ304" i="5"/>
  <c r="CE201" i="5"/>
  <c r="BX13" i="7"/>
  <c r="CA152" i="5"/>
  <c r="BZ13" i="6"/>
  <c r="BZ175" i="6"/>
  <c r="BZ106" i="5"/>
  <c r="CE333" i="2"/>
  <c r="BZ430" i="6"/>
  <c r="CA110" i="5"/>
  <c r="CA327" i="5"/>
  <c r="BZ226" i="5"/>
  <c r="CE472" i="5"/>
  <c r="CA369" i="2"/>
  <c r="CE22" i="5"/>
  <c r="CE357" i="2"/>
  <c r="BX270" i="7"/>
  <c r="CA350" i="2"/>
  <c r="CE411" i="5"/>
  <c r="CE404" i="5"/>
  <c r="BZ209" i="5"/>
  <c r="BZ365" i="5"/>
  <c r="CE338" i="6"/>
  <c r="CA323" i="6"/>
  <c r="BZ477" i="5"/>
  <c r="CE428" i="6"/>
  <c r="BZ196" i="6"/>
  <c r="CE190" i="5"/>
  <c r="CA438" i="6"/>
  <c r="BZ411" i="5"/>
  <c r="CE50" i="5"/>
  <c r="CA497" i="2"/>
  <c r="BZ82" i="5"/>
  <c r="BZ449" i="5"/>
  <c r="BZ483" i="2"/>
  <c r="CE250" i="6"/>
  <c r="BZ497" i="6"/>
  <c r="CA355" i="5"/>
  <c r="BZ354" i="2"/>
  <c r="BZ383" i="5"/>
  <c r="CA59" i="5"/>
  <c r="CA161" i="6"/>
  <c r="CA218" i="2"/>
  <c r="BZ34" i="2"/>
  <c r="BZ79" i="6"/>
  <c r="BZ42" i="5"/>
  <c r="CE317" i="2"/>
  <c r="BZ463" i="5"/>
  <c r="CE374" i="5"/>
  <c r="CE157" i="2"/>
  <c r="BZ233" i="6"/>
  <c r="CE248" i="2"/>
  <c r="BZ125" i="6"/>
  <c r="CA53" i="6"/>
  <c r="CA136" i="6"/>
  <c r="BZ139" i="5"/>
  <c r="BZ49" i="6"/>
  <c r="BZ154" i="6"/>
  <c r="BZ95" i="6"/>
  <c r="CA268" i="6"/>
  <c r="CA349" i="2"/>
  <c r="CA258" i="5"/>
  <c r="BX125" i="7"/>
  <c r="CE433" i="5"/>
  <c r="CA282" i="6"/>
  <c r="BZ121" i="2"/>
  <c r="BZ257" i="6"/>
  <c r="BZ355" i="5"/>
  <c r="CE224" i="6"/>
  <c r="CA334" i="5"/>
  <c r="BZ227" i="2"/>
  <c r="CA351" i="6"/>
  <c r="CE124" i="6"/>
  <c r="BZ190" i="6"/>
  <c r="BZ193" i="2"/>
  <c r="CA330" i="5"/>
  <c r="CA163" i="5"/>
  <c r="BZ343" i="5"/>
  <c r="CA18" i="5"/>
  <c r="BZ471" i="2"/>
  <c r="BX213" i="7"/>
  <c r="CA340" i="2"/>
  <c r="CA119" i="6"/>
  <c r="CA263" i="6"/>
  <c r="CE295" i="5"/>
  <c r="BX71" i="7"/>
  <c r="CA335" i="6"/>
  <c r="CE432" i="6"/>
  <c r="CE328" i="2"/>
  <c r="CA305" i="5"/>
  <c r="BZ327" i="6"/>
  <c r="BZ310" i="5"/>
  <c r="CA339" i="2"/>
  <c r="BZ487" i="6"/>
  <c r="CA371" i="2"/>
  <c r="CE234" i="2"/>
  <c r="CE21" i="5"/>
  <c r="BX225" i="7"/>
  <c r="CA294" i="5"/>
  <c r="CA487" i="5"/>
  <c r="BZ122" i="6"/>
  <c r="BX115" i="7"/>
  <c r="BZ137" i="5"/>
  <c r="BZ429" i="5"/>
  <c r="CE337" i="5"/>
  <c r="CA433" i="6"/>
  <c r="CE73" i="2"/>
  <c r="BZ127" i="2"/>
  <c r="CE349" i="6"/>
  <c r="CA289" i="5"/>
  <c r="CA458" i="6"/>
  <c r="BZ167" i="2"/>
  <c r="CA131" i="5"/>
  <c r="BX291" i="7"/>
  <c r="BZ136" i="6"/>
  <c r="CA441" i="5"/>
  <c r="CA142" i="2"/>
  <c r="CE410" i="2"/>
  <c r="BX27" i="7"/>
  <c r="CA65" i="2"/>
  <c r="BZ308" i="6"/>
  <c r="CE166" i="6"/>
  <c r="CE172" i="2"/>
  <c r="CE94" i="2"/>
  <c r="BX318" i="7"/>
  <c r="CE151" i="6"/>
  <c r="CA418" i="6"/>
  <c r="CA142" i="5"/>
  <c r="BZ29" i="6"/>
  <c r="CE307" i="5"/>
  <c r="CE427" i="6"/>
  <c r="CE429" i="2"/>
  <c r="CE321" i="6"/>
  <c r="BZ305" i="2"/>
  <c r="CE203" i="5"/>
  <c r="CE467" i="6"/>
  <c r="CA291" i="2"/>
  <c r="CE38" i="5"/>
  <c r="CE415" i="5"/>
  <c r="CA360" i="5"/>
  <c r="CA222" i="2"/>
  <c r="CE131" i="2"/>
  <c r="CA348" i="2"/>
  <c r="CA46" i="5"/>
  <c r="CA375" i="5"/>
  <c r="CE411" i="6"/>
  <c r="CA61" i="5"/>
  <c r="CE402" i="2"/>
  <c r="CE80" i="5"/>
  <c r="CE374" i="6"/>
  <c r="BX119" i="7"/>
  <c r="BZ218" i="2"/>
  <c r="CA239" i="2"/>
  <c r="BZ225" i="2"/>
  <c r="BZ129" i="5"/>
  <c r="CE461" i="5"/>
  <c r="CE173" i="2"/>
  <c r="CE83" i="2"/>
  <c r="BX263" i="7"/>
  <c r="BZ55" i="5"/>
  <c r="CA35" i="5"/>
  <c r="BZ408" i="2"/>
  <c r="CA91" i="5"/>
  <c r="CA278" i="2"/>
  <c r="BX267" i="7"/>
  <c r="BZ383" i="2"/>
  <c r="CE37" i="2"/>
  <c r="BX201" i="7"/>
  <c r="CE103" i="2"/>
  <c r="CE315" i="5"/>
  <c r="CA85" i="5"/>
  <c r="CE322" i="2"/>
  <c r="BX103" i="7"/>
  <c r="BZ143" i="2"/>
  <c r="CA452" i="5"/>
  <c r="CA238" i="6"/>
  <c r="CE295" i="6"/>
  <c r="BZ193" i="5"/>
  <c r="BZ247" i="6"/>
  <c r="CE444" i="6"/>
  <c r="BZ58" i="5"/>
  <c r="CA324" i="5"/>
  <c r="CE16" i="6"/>
  <c r="BZ18" i="5"/>
  <c r="BZ398" i="5"/>
  <c r="BZ239" i="6"/>
  <c r="BZ130" i="6"/>
  <c r="BZ303" i="6"/>
  <c r="BZ32" i="2"/>
  <c r="CA437" i="6"/>
  <c r="BZ360" i="6"/>
  <c r="CE153" i="5"/>
  <c r="CE150" i="6"/>
  <c r="BX61" i="7"/>
  <c r="BZ299" i="2"/>
  <c r="CA292" i="6"/>
  <c r="CA215" i="2"/>
  <c r="BZ101" i="6"/>
  <c r="CA269" i="6"/>
  <c r="CE293" i="6"/>
  <c r="CE89" i="2"/>
  <c r="CA177" i="6"/>
  <c r="BX21" i="7"/>
  <c r="BX293" i="7"/>
  <c r="BX320" i="7"/>
  <c r="CE114" i="6"/>
  <c r="BZ314" i="6"/>
  <c r="BZ244" i="2"/>
  <c r="BZ110" i="2"/>
  <c r="BZ135" i="6"/>
  <c r="BZ30" i="2"/>
  <c r="BZ458" i="6"/>
  <c r="BZ250" i="6"/>
  <c r="CA322" i="2"/>
  <c r="CE441" i="6"/>
  <c r="CE278" i="2"/>
  <c r="CA91" i="2"/>
  <c r="BZ214" i="2"/>
  <c r="CA479" i="2"/>
  <c r="CA397" i="6"/>
  <c r="CE56" i="6"/>
  <c r="CE285" i="2"/>
  <c r="BZ255" i="6"/>
  <c r="BZ377" i="6"/>
  <c r="BZ471" i="5"/>
  <c r="CA141" i="5"/>
  <c r="CA327" i="2"/>
  <c r="CA378" i="2"/>
  <c r="BZ67" i="5"/>
  <c r="BZ249" i="6"/>
  <c r="BZ106" i="6"/>
  <c r="CA95" i="2"/>
  <c r="BZ224" i="6"/>
  <c r="BX276" i="7"/>
  <c r="BX123" i="7"/>
  <c r="CE225" i="5"/>
  <c r="CE229" i="5"/>
  <c r="CE147" i="6"/>
  <c r="BX494" i="6"/>
  <c r="CA193" i="5"/>
  <c r="CA53" i="2"/>
  <c r="CA20" i="2"/>
  <c r="CE313" i="5"/>
  <c r="BX64" i="7"/>
  <c r="CA271" i="2"/>
  <c r="BX148" i="7"/>
  <c r="CE51" i="6"/>
  <c r="BZ345" i="5"/>
  <c r="BZ50" i="5"/>
  <c r="CA214" i="2"/>
  <c r="CA302" i="5"/>
  <c r="CA47" i="2"/>
  <c r="BZ392" i="2"/>
  <c r="CE93" i="5"/>
  <c r="BZ462" i="6"/>
  <c r="BZ138" i="2"/>
  <c r="CE131" i="6"/>
  <c r="BZ462" i="2"/>
  <c r="BZ167" i="5"/>
  <c r="BZ74" i="5"/>
  <c r="CE17" i="6"/>
  <c r="CA284" i="6"/>
  <c r="BZ215" i="2"/>
  <c r="BX23" i="7"/>
  <c r="CA274" i="5"/>
  <c r="CA101" i="2"/>
  <c r="CE54" i="2"/>
  <c r="CE234" i="5"/>
  <c r="CA215" i="6"/>
  <c r="CA364" i="5"/>
  <c r="BZ248" i="2"/>
  <c r="CE334" i="5"/>
  <c r="BZ430" i="2"/>
  <c r="CE206" i="5"/>
  <c r="CA34" i="5"/>
  <c r="CE444" i="2"/>
  <c r="BZ394" i="2"/>
  <c r="CA170" i="5"/>
  <c r="CA462" i="6"/>
  <c r="BZ378" i="2"/>
  <c r="CA170" i="6"/>
  <c r="CE362" i="2"/>
  <c r="BZ274" i="5"/>
  <c r="BZ399" i="6"/>
  <c r="CA98" i="5"/>
  <c r="CA268" i="5"/>
  <c r="BZ45" i="2"/>
  <c r="BZ57" i="5"/>
  <c r="CA256" i="5"/>
  <c r="CA13" i="2"/>
  <c r="BZ221" i="2"/>
  <c r="BY488" i="6"/>
  <c r="BZ258" i="6"/>
  <c r="CE435" i="6"/>
  <c r="CA412" i="2"/>
  <c r="CA95" i="6"/>
  <c r="BZ297" i="5"/>
  <c r="BX292" i="7"/>
  <c r="BZ475" i="2"/>
  <c r="BZ248" i="5"/>
  <c r="BZ81" i="2"/>
  <c r="CA461" i="6"/>
  <c r="CA220" i="2"/>
  <c r="BZ110" i="6"/>
  <c r="CA79" i="6"/>
  <c r="BX242" i="7"/>
  <c r="CA117" i="6"/>
  <c r="CA313" i="6"/>
  <c r="BZ173" i="2"/>
  <c r="CE437" i="5"/>
  <c r="CA146" i="5"/>
  <c r="CE58" i="6"/>
  <c r="CE414" i="5"/>
  <c r="CE167" i="6"/>
  <c r="CA254" i="2"/>
  <c r="CE333" i="5"/>
  <c r="CA201" i="6"/>
  <c r="CA186" i="6"/>
  <c r="CA432" i="2"/>
  <c r="BZ369" i="6"/>
  <c r="BX28" i="7"/>
  <c r="CE364" i="2"/>
  <c r="CE46" i="6"/>
  <c r="CB494" i="6"/>
  <c r="BZ417" i="5"/>
  <c r="BZ443" i="6"/>
  <c r="CE110" i="6"/>
  <c r="CA55" i="6"/>
  <c r="BX100" i="7"/>
  <c r="BZ465" i="2"/>
  <c r="CA332" i="5"/>
  <c r="CA26" i="5"/>
  <c r="BZ375" i="2"/>
  <c r="CE337" i="6"/>
  <c r="BX186" i="7"/>
  <c r="CE345" i="2"/>
  <c r="CA469" i="6"/>
  <c r="CE313" i="2"/>
  <c r="BX493" i="6"/>
  <c r="BY502" i="6"/>
  <c r="CE232" i="5"/>
  <c r="CE223" i="2"/>
  <c r="CE455" i="2"/>
  <c r="CE237" i="2"/>
  <c r="CA299" i="5"/>
  <c r="CA94" i="6"/>
  <c r="BZ287" i="5"/>
  <c r="CA213" i="6"/>
  <c r="CE119" i="2"/>
  <c r="BZ203" i="2"/>
  <c r="BZ333" i="6"/>
  <c r="BZ247" i="5"/>
  <c r="BZ30" i="5"/>
  <c r="BZ243" i="5"/>
  <c r="BZ407" i="2"/>
  <c r="CA440" i="5"/>
  <c r="CE451" i="5"/>
  <c r="BX93" i="7"/>
  <c r="CE289" i="6"/>
  <c r="BZ198" i="2"/>
  <c r="CA52" i="2"/>
  <c r="BZ86" i="2"/>
  <c r="CE213" i="5"/>
  <c r="BZ32" i="6"/>
  <c r="BX497" i="6"/>
  <c r="CD497" i="6" s="1"/>
  <c r="AK497" i="6" s="1"/>
  <c r="CE224" i="5"/>
  <c r="CA59" i="2"/>
  <c r="CE163" i="5"/>
  <c r="CE261" i="2"/>
  <c r="BZ106" i="2"/>
  <c r="CE478" i="2"/>
  <c r="CE185" i="2"/>
  <c r="CE414" i="6"/>
  <c r="BX184" i="7"/>
  <c r="CA41" i="2"/>
  <c r="CA398" i="6"/>
  <c r="CE465" i="2"/>
  <c r="CE375" i="2"/>
  <c r="BZ489" i="2"/>
  <c r="BX311" i="7"/>
  <c r="BZ280" i="5"/>
  <c r="CE312" i="2"/>
  <c r="CA333" i="2"/>
  <c r="BZ231" i="5"/>
  <c r="CE88" i="2"/>
  <c r="CA435" i="2"/>
  <c r="CA30" i="6"/>
  <c r="CA178" i="6"/>
  <c r="BZ177" i="5"/>
  <c r="CE263" i="2"/>
  <c r="BZ128" i="2"/>
  <c r="CA320" i="6"/>
  <c r="CA103" i="6"/>
  <c r="CA247" i="5"/>
  <c r="CA53" i="5"/>
  <c r="CE42" i="2"/>
  <c r="CE214" i="6"/>
  <c r="BZ428" i="6"/>
  <c r="CA103" i="5"/>
  <c r="BZ137" i="6"/>
  <c r="BZ162" i="5"/>
  <c r="CA478" i="5"/>
  <c r="CE482" i="6"/>
  <c r="BX482" i="6"/>
  <c r="BZ318" i="6"/>
  <c r="BZ233" i="5"/>
  <c r="BZ88" i="5"/>
  <c r="CE217" i="5"/>
  <c r="CA69" i="5"/>
  <c r="BZ425" i="2"/>
  <c r="BZ292" i="5"/>
  <c r="CE179" i="2"/>
  <c r="CA251" i="6"/>
  <c r="BZ452" i="6"/>
  <c r="CE262" i="5"/>
  <c r="BZ69" i="5"/>
  <c r="BZ491" i="5"/>
  <c r="BZ474" i="2"/>
  <c r="CE347" i="5"/>
  <c r="BZ234" i="5"/>
  <c r="CA232" i="5"/>
  <c r="BZ359" i="6"/>
  <c r="CE431" i="5"/>
  <c r="CA329" i="6"/>
  <c r="BZ414" i="2"/>
  <c r="CA310" i="6"/>
  <c r="BZ160" i="6"/>
  <c r="BX275" i="7"/>
  <c r="BZ174" i="5"/>
  <c r="CB501" i="6"/>
  <c r="BZ351" i="2"/>
  <c r="CE370" i="6"/>
  <c r="CA31" i="6"/>
  <c r="CA385" i="2"/>
  <c r="CE280" i="6"/>
  <c r="CA364" i="2"/>
  <c r="CE229" i="6"/>
  <c r="BZ225" i="5"/>
  <c r="CA372" i="5"/>
  <c r="CE26" i="6"/>
  <c r="CE359" i="2"/>
  <c r="CE76" i="5"/>
  <c r="BZ487" i="2"/>
  <c r="CA492" i="6"/>
  <c r="CA245" i="5"/>
  <c r="CA110" i="2"/>
  <c r="CA235" i="6"/>
  <c r="CA107" i="2"/>
  <c r="CA74" i="2"/>
  <c r="CE101" i="5"/>
  <c r="CE181" i="5"/>
  <c r="BZ440" i="2"/>
  <c r="CE15" i="6"/>
  <c r="CA58" i="6"/>
  <c r="BZ491" i="6"/>
  <c r="CA361" i="6"/>
  <c r="CE119" i="6"/>
  <c r="CE328" i="5"/>
  <c r="BZ468" i="5"/>
  <c r="BX35" i="7"/>
  <c r="CA377" i="5"/>
  <c r="BX49" i="7"/>
  <c r="CE468" i="2"/>
  <c r="BZ102" i="2"/>
  <c r="CE189" i="5"/>
  <c r="BX223" i="7"/>
  <c r="CA19" i="2"/>
  <c r="CB481" i="6"/>
  <c r="BZ283" i="2"/>
  <c r="CA166" i="6"/>
  <c r="BZ172" i="6"/>
  <c r="BZ354" i="5"/>
  <c r="CA117" i="2"/>
  <c r="CA67" i="2"/>
  <c r="CA374" i="5"/>
  <c r="CA138" i="5"/>
  <c r="BZ102" i="5"/>
  <c r="BZ20" i="2"/>
  <c r="BZ277" i="5"/>
  <c r="BY482" i="6"/>
  <c r="CD482" i="6" s="1"/>
  <c r="AK482" i="6" s="1"/>
  <c r="BZ51" i="2"/>
  <c r="CA193" i="2"/>
  <c r="CE327" i="6"/>
  <c r="CA158" i="6"/>
  <c r="CE318" i="2"/>
  <c r="BZ299" i="5"/>
  <c r="CE109" i="6"/>
  <c r="CA495" i="5"/>
  <c r="BZ148" i="5"/>
  <c r="CE83" i="5"/>
  <c r="CA358" i="5"/>
  <c r="BZ227" i="6"/>
  <c r="CE308" i="2"/>
  <c r="BZ16" i="5"/>
  <c r="BZ293" i="5"/>
  <c r="CE19" i="6"/>
  <c r="BX302" i="7"/>
  <c r="CA223" i="5"/>
  <c r="CE201" i="6"/>
  <c r="BZ253" i="5"/>
  <c r="CE69" i="2"/>
  <c r="BZ83" i="6"/>
  <c r="BX105" i="7"/>
  <c r="BZ256" i="2"/>
  <c r="BZ454" i="2"/>
  <c r="CA175" i="5"/>
  <c r="CA449" i="2"/>
  <c r="CA270" i="6"/>
  <c r="BZ445" i="5"/>
  <c r="CA374" i="2"/>
  <c r="CE29" i="2"/>
  <c r="CA408" i="6"/>
  <c r="CE291" i="6"/>
  <c r="BZ210" i="2"/>
  <c r="BZ401" i="6"/>
  <c r="CA147" i="2"/>
  <c r="BZ37" i="2"/>
  <c r="BZ363" i="5"/>
  <c r="BZ130" i="5"/>
  <c r="CA236" i="5"/>
  <c r="CA391" i="5"/>
  <c r="BX121" i="7"/>
  <c r="CA135" i="2"/>
  <c r="BZ262" i="5"/>
  <c r="BX261" i="7"/>
  <c r="CA61" i="6"/>
  <c r="CA464" i="6"/>
  <c r="CE37" i="6"/>
  <c r="BZ66" i="2"/>
  <c r="BZ317" i="5"/>
  <c r="CA321" i="6"/>
  <c r="CA129" i="5"/>
  <c r="BX265" i="7"/>
  <c r="BZ70" i="5"/>
  <c r="BZ307" i="2"/>
  <c r="CA255" i="2"/>
  <c r="BZ118" i="5"/>
  <c r="BZ468" i="6"/>
  <c r="CA251" i="2"/>
  <c r="CE454" i="5"/>
  <c r="CE233" i="5"/>
  <c r="BZ253" i="2"/>
  <c r="CA184" i="5"/>
  <c r="CE79" i="6"/>
  <c r="BX32" i="7"/>
  <c r="BX200" i="7"/>
  <c r="CA387" i="6"/>
  <c r="CE195" i="5"/>
  <c r="CA169" i="5"/>
  <c r="CA480" i="6"/>
  <c r="CE263" i="6"/>
  <c r="CA253" i="5"/>
  <c r="BX229" i="7"/>
  <c r="CA86" i="5"/>
  <c r="CA320" i="2"/>
  <c r="BZ424" i="2"/>
  <c r="BZ300" i="2"/>
  <c r="BZ209" i="2"/>
  <c r="CE309" i="5"/>
  <c r="CA87" i="6"/>
  <c r="CA137" i="2"/>
  <c r="CE191" i="2"/>
  <c r="CE162" i="2"/>
  <c r="CE375" i="5"/>
  <c r="CE439" i="2"/>
  <c r="BZ404" i="2"/>
  <c r="CA487" i="6"/>
  <c r="CE103" i="5"/>
  <c r="CE95" i="5"/>
  <c r="CE15" i="2"/>
  <c r="CE14" i="2"/>
  <c r="BX30" i="7"/>
  <c r="BZ42" i="6"/>
  <c r="CA74" i="5"/>
  <c r="BZ273" i="2"/>
  <c r="CA185" i="2"/>
  <c r="BZ322" i="2"/>
  <c r="CA265" i="5"/>
  <c r="BX226" i="7"/>
  <c r="CA42" i="5"/>
  <c r="CA488" i="6"/>
  <c r="BX65" i="7"/>
  <c r="CE394" i="6"/>
  <c r="CE185" i="5"/>
  <c r="BZ176" i="6"/>
  <c r="CA250" i="2"/>
  <c r="BZ69" i="6"/>
  <c r="CE367" i="6"/>
  <c r="CA66" i="6"/>
  <c r="CE362" i="6"/>
  <c r="CA439" i="6"/>
  <c r="CA372" i="2"/>
  <c r="BZ308" i="2"/>
  <c r="CE392" i="5"/>
  <c r="BZ31" i="2"/>
  <c r="CA488" i="5"/>
  <c r="CA359" i="2"/>
  <c r="CA106" i="6"/>
  <c r="CE302" i="2"/>
  <c r="BZ123" i="5"/>
  <c r="BZ357" i="5"/>
  <c r="CE87" i="6"/>
  <c r="BZ155" i="5"/>
  <c r="CA209" i="2"/>
  <c r="BZ361" i="2"/>
  <c r="CE371" i="6"/>
  <c r="CE372" i="6"/>
  <c r="BZ230" i="2"/>
  <c r="CA322" i="6"/>
  <c r="CA122" i="2"/>
  <c r="CE257" i="5"/>
  <c r="BZ189" i="5"/>
  <c r="BZ265" i="5"/>
  <c r="CA489" i="2"/>
  <c r="CA310" i="5"/>
  <c r="CA452" i="6"/>
  <c r="BX316" i="7"/>
  <c r="CA89" i="5"/>
  <c r="CE237" i="6"/>
  <c r="CA254" i="6"/>
  <c r="CE388" i="5"/>
  <c r="BZ29" i="2"/>
  <c r="BY13" i="2"/>
  <c r="CE153" i="2"/>
  <c r="CA313" i="2"/>
  <c r="CA211" i="5"/>
  <c r="CE290" i="2"/>
  <c r="CA185" i="5"/>
  <c r="CA459" i="6"/>
  <c r="CE86" i="2"/>
  <c r="BZ90" i="2"/>
  <c r="CA428" i="5"/>
  <c r="CA292" i="5"/>
  <c r="BZ414" i="6"/>
  <c r="BZ341" i="6"/>
  <c r="CE85" i="5"/>
  <c r="BZ256" i="6"/>
  <c r="CA384" i="5"/>
  <c r="CA115" i="2"/>
  <c r="BZ363" i="6"/>
  <c r="CA421" i="6"/>
  <c r="BZ151" i="2"/>
  <c r="CA403" i="5"/>
  <c r="CE47" i="5"/>
  <c r="CE13" i="2"/>
  <c r="BZ85" i="5"/>
  <c r="CE422" i="5"/>
  <c r="BZ339" i="2"/>
  <c r="CA274" i="2"/>
  <c r="BX58" i="7"/>
  <c r="BZ444" i="6"/>
  <c r="CE155" i="6"/>
  <c r="CA200" i="5"/>
  <c r="CA219" i="2"/>
  <c r="CE44" i="6"/>
  <c r="CA258" i="2"/>
  <c r="CA112" i="5"/>
  <c r="CE464" i="5"/>
  <c r="BZ184" i="6"/>
  <c r="BX118" i="7"/>
  <c r="BZ259" i="6"/>
  <c r="CA159" i="6"/>
  <c r="CE287" i="2"/>
  <c r="BZ35" i="5"/>
  <c r="BZ109" i="6"/>
  <c r="BZ43" i="2"/>
  <c r="CE461" i="6"/>
  <c r="CE424" i="2"/>
  <c r="CE77" i="6"/>
  <c r="CA357" i="5"/>
  <c r="BZ361" i="6"/>
  <c r="BZ222" i="2"/>
  <c r="BZ442" i="5"/>
  <c r="CE288" i="2"/>
  <c r="CA290" i="6"/>
  <c r="CE218" i="2"/>
  <c r="CA273" i="6"/>
  <c r="BX198" i="7"/>
  <c r="CE27" i="5"/>
  <c r="CE421" i="2"/>
  <c r="CA432" i="6"/>
  <c r="CA354" i="2"/>
  <c r="CE397" i="2"/>
  <c r="BZ244" i="5"/>
  <c r="CA438" i="2"/>
  <c r="CE277" i="5"/>
  <c r="CE459" i="6"/>
  <c r="CE151" i="5"/>
  <c r="CA319" i="2"/>
  <c r="BZ189" i="2"/>
  <c r="CA484" i="5"/>
  <c r="CE58" i="2"/>
  <c r="CE256" i="6"/>
  <c r="CE105" i="5"/>
  <c r="CA49" i="6"/>
  <c r="BZ388" i="6"/>
  <c r="CE431" i="2"/>
  <c r="CE32" i="6"/>
  <c r="BZ278" i="2"/>
  <c r="BZ478" i="5"/>
  <c r="CE193" i="5"/>
  <c r="BZ337" i="5"/>
  <c r="CE246" i="5"/>
  <c r="CA262" i="2"/>
  <c r="BZ314" i="5"/>
  <c r="BZ302" i="6"/>
  <c r="BZ219" i="5"/>
  <c r="BZ220" i="5"/>
  <c r="CE174" i="2"/>
  <c r="BX231" i="7"/>
  <c r="CA317" i="2"/>
  <c r="CA40" i="2"/>
  <c r="CA178" i="2"/>
  <c r="CA126" i="2"/>
  <c r="CA230" i="5"/>
  <c r="CB498" i="6"/>
  <c r="CE208" i="6"/>
  <c r="CA61" i="2"/>
  <c r="CA302" i="2"/>
  <c r="CA78" i="2"/>
  <c r="CE66" i="6"/>
  <c r="CE399" i="2"/>
  <c r="CA63" i="2"/>
  <c r="CE57" i="6"/>
  <c r="BZ200" i="2"/>
  <c r="BZ328" i="2"/>
  <c r="CE419" i="5"/>
  <c r="CE121" i="6"/>
  <c r="CE302" i="6"/>
  <c r="BZ166" i="5"/>
  <c r="BZ44" i="5"/>
  <c r="CA186" i="2"/>
  <c r="CA246" i="6"/>
  <c r="CE223" i="5"/>
  <c r="CE320" i="5"/>
  <c r="CA82" i="5"/>
  <c r="CE181" i="2"/>
  <c r="CE43" i="5"/>
  <c r="CA56" i="2"/>
  <c r="CE28" i="6"/>
  <c r="CA368" i="5"/>
  <c r="CE307" i="2"/>
  <c r="CA125" i="6"/>
  <c r="CA363" i="2"/>
  <c r="CA203" i="6"/>
  <c r="CA281" i="6"/>
  <c r="BZ188" i="2"/>
  <c r="CA210" i="2"/>
  <c r="BZ194" i="6"/>
  <c r="CA351" i="2"/>
  <c r="CA412" i="5"/>
  <c r="CE283" i="2"/>
  <c r="CE393" i="2"/>
  <c r="BZ501" i="5"/>
  <c r="CE348" i="2"/>
  <c r="CA418" i="5"/>
  <c r="CA184" i="2"/>
  <c r="CE57" i="2"/>
  <c r="CA73" i="2"/>
  <c r="CE358" i="2"/>
  <c r="BZ490" i="6"/>
  <c r="CE211" i="5"/>
  <c r="BX185" i="7"/>
  <c r="BZ111" i="2"/>
  <c r="CA477" i="5"/>
  <c r="BZ371" i="2"/>
  <c r="BX205" i="7"/>
  <c r="CA367" i="2"/>
  <c r="CE442" i="5"/>
  <c r="BZ337" i="6"/>
  <c r="BZ254" i="6"/>
  <c r="BX159" i="7"/>
  <c r="CE106" i="5"/>
  <c r="CA199" i="2"/>
  <c r="CE468" i="6"/>
  <c r="CA35" i="6"/>
  <c r="CE441" i="5"/>
  <c r="CE328" i="6"/>
  <c r="CA472" i="6"/>
  <c r="CE340" i="5"/>
  <c r="CE394" i="2"/>
  <c r="BX170" i="7"/>
  <c r="CE394" i="5"/>
  <c r="BZ339" i="5"/>
  <c r="BZ392" i="6"/>
  <c r="BX272" i="7"/>
  <c r="CE87" i="2"/>
  <c r="CE350" i="5"/>
  <c r="BZ288" i="2"/>
  <c r="CA154" i="6"/>
  <c r="CE248" i="5"/>
  <c r="BZ277" i="6"/>
  <c r="CE199" i="2"/>
  <c r="BZ424" i="5"/>
  <c r="CA497" i="5"/>
  <c r="CA350" i="5"/>
  <c r="CE361" i="6"/>
  <c r="CB500" i="6"/>
  <c r="CA182" i="5"/>
  <c r="BZ186" i="5"/>
  <c r="BZ149" i="2"/>
  <c r="CE344" i="2"/>
  <c r="CA212" i="2"/>
  <c r="CE331" i="5"/>
  <c r="CE89" i="6"/>
  <c r="BZ154" i="5"/>
  <c r="BX133" i="7"/>
  <c r="CA242" i="6"/>
  <c r="BZ109" i="5"/>
  <c r="CA282" i="2"/>
  <c r="CE453" i="2"/>
  <c r="CA113" i="6"/>
  <c r="CE188" i="2"/>
  <c r="CE437" i="2"/>
  <c r="BX62" i="7"/>
  <c r="CA389" i="6"/>
  <c r="CA468" i="5"/>
  <c r="BX307" i="7"/>
  <c r="BZ22" i="2"/>
  <c r="BX182" i="7"/>
  <c r="BZ285" i="6"/>
  <c r="BZ351" i="6"/>
  <c r="CA492" i="2"/>
  <c r="BZ469" i="2"/>
  <c r="CE226" i="6"/>
  <c r="CA411" i="5"/>
  <c r="BZ405" i="6"/>
  <c r="BZ261" i="2"/>
  <c r="CE242" i="5"/>
  <c r="CA287" i="6"/>
  <c r="CE420" i="2"/>
  <c r="BZ290" i="2"/>
  <c r="CA303" i="6"/>
  <c r="BZ415" i="5"/>
  <c r="BZ275" i="5"/>
  <c r="BZ64" i="2"/>
  <c r="BZ74" i="6"/>
  <c r="CA65" i="6"/>
  <c r="BZ198" i="6"/>
  <c r="CA238" i="5"/>
  <c r="CA81" i="6"/>
  <c r="BZ111" i="6"/>
  <c r="CA257" i="2"/>
  <c r="BZ213" i="2"/>
  <c r="CA299" i="2"/>
  <c r="BZ373" i="6"/>
  <c r="CE173" i="6"/>
  <c r="BZ371" i="6"/>
  <c r="CE14" i="5"/>
  <c r="CE113" i="6"/>
  <c r="CA88" i="6"/>
  <c r="CE255" i="2"/>
  <c r="BZ86" i="5"/>
  <c r="BZ413" i="5"/>
  <c r="BZ271" i="5"/>
  <c r="BZ17" i="6"/>
  <c r="BX303" i="7"/>
  <c r="CE262" i="2"/>
  <c r="BZ325" i="5"/>
  <c r="CA103" i="2"/>
  <c r="CE33" i="5"/>
  <c r="CE230" i="6"/>
  <c r="BX197" i="7"/>
  <c r="CE295" i="2"/>
  <c r="BZ297" i="2"/>
  <c r="CE297" i="2"/>
  <c r="CA363" i="5"/>
  <c r="CE469" i="2"/>
  <c r="CE198" i="5"/>
  <c r="BZ18" i="2"/>
  <c r="BZ424" i="6"/>
  <c r="CA162" i="6"/>
  <c r="CE463" i="2"/>
  <c r="CE415" i="2"/>
  <c r="BX85" i="7"/>
  <c r="BX63" i="7"/>
  <c r="CE86" i="5"/>
  <c r="CE31" i="2"/>
  <c r="CA465" i="6"/>
  <c r="BZ444" i="2"/>
  <c r="CA428" i="2"/>
  <c r="CE91" i="5"/>
  <c r="BZ382" i="5"/>
  <c r="CE239" i="2"/>
  <c r="CA15" i="5"/>
  <c r="BZ321" i="6"/>
  <c r="BZ202" i="5"/>
  <c r="BZ27" i="6"/>
  <c r="CE177" i="6"/>
  <c r="CA149" i="5"/>
  <c r="CA45" i="6"/>
  <c r="CA226" i="5"/>
  <c r="CA368" i="6"/>
  <c r="CE294" i="2"/>
  <c r="CE312" i="5"/>
  <c r="CA250" i="5"/>
  <c r="CE54" i="5"/>
  <c r="BZ482" i="2"/>
  <c r="CA502" i="5"/>
  <c r="CE241" i="5"/>
  <c r="CE392" i="2"/>
  <c r="CE450" i="6"/>
  <c r="CE458" i="2"/>
  <c r="BZ393" i="5"/>
  <c r="BZ161" i="6"/>
  <c r="CA106" i="5"/>
  <c r="CA79" i="2"/>
  <c r="BZ492" i="5"/>
  <c r="CA193" i="6"/>
  <c r="BZ39" i="6"/>
  <c r="BZ40" i="2"/>
  <c r="CA311" i="5"/>
  <c r="BX114" i="7"/>
  <c r="CA196" i="6"/>
  <c r="BZ278" i="5"/>
  <c r="CA139" i="6"/>
  <c r="BZ207" i="2"/>
  <c r="CA14" i="2"/>
  <c r="BZ447" i="6"/>
  <c r="CE294" i="6"/>
  <c r="CE349" i="5"/>
  <c r="CA485" i="2"/>
  <c r="CE344" i="6"/>
  <c r="CA333" i="5"/>
  <c r="BZ214" i="6"/>
  <c r="CA277" i="5"/>
  <c r="BZ122" i="2"/>
  <c r="CA112" i="6"/>
  <c r="CE154" i="6"/>
  <c r="CE470" i="6"/>
  <c r="BX470" i="6"/>
  <c r="CD470" i="6" s="1"/>
  <c r="AK470" i="6" s="1"/>
  <c r="CE119" i="5"/>
  <c r="BZ137" i="2"/>
  <c r="CA128" i="2"/>
  <c r="BZ91" i="6"/>
  <c r="CA87" i="2"/>
  <c r="BZ388" i="5"/>
  <c r="CA32" i="5"/>
  <c r="CA494" i="5"/>
  <c r="CE67" i="2"/>
  <c r="CA196" i="5"/>
  <c r="CE182" i="6"/>
  <c r="BZ268" i="2"/>
  <c r="BX238" i="7"/>
  <c r="CE209" i="5"/>
  <c r="BZ205" i="6"/>
  <c r="BZ139" i="6"/>
  <c r="BZ46" i="5"/>
  <c r="BZ201" i="6"/>
  <c r="CE194" i="5"/>
  <c r="BZ389" i="6"/>
  <c r="BZ215" i="6"/>
  <c r="CE388" i="2"/>
  <c r="CA118" i="6"/>
  <c r="BZ341" i="5"/>
  <c r="BZ107" i="2"/>
  <c r="CA417" i="2"/>
  <c r="CE88" i="6"/>
  <c r="CE391" i="5"/>
  <c r="CA27" i="5"/>
  <c r="CA500" i="2"/>
  <c r="CA105" i="5"/>
  <c r="CA171" i="5"/>
  <c r="CA102" i="5"/>
  <c r="BZ169" i="2"/>
  <c r="BZ99" i="5"/>
  <c r="CA81" i="2"/>
  <c r="CA450" i="6"/>
  <c r="CA161" i="2"/>
  <c r="BZ38" i="2"/>
  <c r="BZ223" i="2"/>
  <c r="CA137" i="5"/>
  <c r="CE160" i="2"/>
  <c r="CA472" i="2"/>
  <c r="BZ62" i="6"/>
  <c r="BZ447" i="5"/>
  <c r="CE374" i="2"/>
  <c r="BZ212" i="5"/>
  <c r="CA131" i="2"/>
  <c r="CA46" i="2"/>
  <c r="BZ178" i="6"/>
  <c r="CA142" i="6"/>
  <c r="BZ135" i="5"/>
  <c r="CA343" i="2"/>
  <c r="CA348" i="5"/>
  <c r="BZ135" i="2"/>
  <c r="CE297" i="5"/>
  <c r="CE94" i="6"/>
  <c r="BZ310" i="6"/>
  <c r="BZ83" i="2"/>
  <c r="BY497" i="6"/>
  <c r="CE334" i="2"/>
  <c r="CE305" i="2"/>
  <c r="BZ195" i="6"/>
  <c r="CA369" i="6"/>
  <c r="CA404" i="5"/>
  <c r="CE225" i="6"/>
  <c r="CA491" i="2"/>
  <c r="BY480" i="6"/>
  <c r="BZ54" i="5"/>
  <c r="CA234" i="2"/>
  <c r="CA303" i="2"/>
  <c r="BX502" i="6"/>
  <c r="CD502" i="6" s="1"/>
  <c r="AK502" i="6" s="1"/>
  <c r="BZ428" i="2"/>
  <c r="CE41" i="2"/>
  <c r="BZ61" i="5"/>
  <c r="CE154" i="2"/>
  <c r="CE178" i="2"/>
  <c r="CE403" i="2"/>
  <c r="CE117" i="5"/>
  <c r="BZ452" i="5"/>
  <c r="CA220" i="5"/>
  <c r="CA305" i="2"/>
  <c r="CA292" i="2"/>
  <c r="BZ28" i="5"/>
  <c r="CA451" i="5"/>
  <c r="CA423" i="5"/>
  <c r="CA266" i="5"/>
  <c r="BZ117" i="5"/>
  <c r="BZ21" i="2"/>
  <c r="BZ71" i="2"/>
  <c r="CE161" i="6"/>
  <c r="BZ128" i="6"/>
  <c r="BZ66" i="6"/>
  <c r="BZ260" i="6"/>
  <c r="CA232" i="2"/>
  <c r="CA199" i="5"/>
  <c r="CE232" i="6"/>
  <c r="BZ100" i="2"/>
  <c r="BZ87" i="2"/>
  <c r="CA419" i="6"/>
  <c r="CA229" i="6"/>
  <c r="BZ51" i="6"/>
  <c r="CA33" i="2"/>
  <c r="CE78" i="2"/>
  <c r="BZ157" i="5"/>
  <c r="CE66" i="5"/>
  <c r="CE255" i="5"/>
  <c r="BZ114" i="6"/>
  <c r="BZ78" i="5"/>
  <c r="CA411" i="2"/>
  <c r="CA52" i="6"/>
  <c r="CE202" i="5"/>
  <c r="CA467" i="2"/>
  <c r="CE173" i="5"/>
  <c r="BZ153" i="6"/>
  <c r="CE335" i="5"/>
  <c r="CE73" i="6"/>
  <c r="BZ488" i="6"/>
  <c r="BZ238" i="6"/>
  <c r="CA279" i="6"/>
  <c r="BZ364" i="5"/>
  <c r="CE121" i="5"/>
  <c r="CE355" i="2"/>
  <c r="CE387" i="6"/>
  <c r="BX309" i="7"/>
  <c r="CA477" i="2"/>
  <c r="BZ487" i="5"/>
  <c r="BZ171" i="2"/>
  <c r="CE342" i="2"/>
  <c r="CA271" i="5"/>
  <c r="CE471" i="5"/>
  <c r="CE170" i="5"/>
  <c r="CE109" i="5"/>
  <c r="CE124" i="5"/>
  <c r="CA285" i="2"/>
  <c r="CE188" i="5"/>
  <c r="CE329" i="2"/>
  <c r="CE69" i="6"/>
  <c r="CB483" i="6"/>
  <c r="BZ379" i="6"/>
  <c r="CE323" i="6"/>
  <c r="BZ411" i="6"/>
  <c r="BZ91" i="5"/>
  <c r="CA370" i="2"/>
  <c r="CA38" i="5"/>
  <c r="CA330" i="6"/>
  <c r="CE322" i="5"/>
  <c r="CA64" i="6"/>
  <c r="CA56" i="6"/>
  <c r="CE452" i="2"/>
  <c r="CA190" i="5"/>
  <c r="BZ453" i="5"/>
  <c r="CA20" i="5"/>
  <c r="CA471" i="5"/>
  <c r="CA145" i="2"/>
  <c r="CA429" i="2"/>
  <c r="BZ172" i="2"/>
  <c r="CE203" i="2"/>
  <c r="BZ315" i="6"/>
  <c r="CA489" i="6"/>
  <c r="CA97" i="6"/>
  <c r="BZ384" i="5"/>
  <c r="BZ501" i="2"/>
  <c r="BZ272" i="5"/>
  <c r="CA329" i="5"/>
  <c r="BZ380" i="2"/>
  <c r="BZ391" i="5"/>
  <c r="CE126" i="2"/>
  <c r="CA339" i="5"/>
  <c r="BZ116" i="5"/>
  <c r="CA172" i="5"/>
  <c r="CA485" i="5"/>
  <c r="CA442" i="6"/>
  <c r="CE18" i="6"/>
  <c r="BZ320" i="6"/>
  <c r="CA46" i="6"/>
  <c r="CE207" i="5"/>
  <c r="CE284" i="2"/>
  <c r="CA161" i="5"/>
  <c r="BZ440" i="5"/>
  <c r="CE176" i="6"/>
  <c r="BZ105" i="2"/>
  <c r="CA194" i="6"/>
  <c r="BZ174" i="2"/>
  <c r="BX149" i="7"/>
  <c r="CA350" i="6"/>
  <c r="CA285" i="5"/>
  <c r="CA113" i="5"/>
  <c r="BZ399" i="5"/>
  <c r="CA474" i="2"/>
  <c r="CA341" i="6"/>
  <c r="BZ438" i="6"/>
  <c r="CA66" i="2"/>
  <c r="CE370" i="2"/>
  <c r="BZ230" i="6"/>
  <c r="CE163" i="6"/>
  <c r="CE75" i="5"/>
  <c r="CE289" i="5"/>
  <c r="CA383" i="6"/>
  <c r="CA465" i="5"/>
  <c r="CA155" i="5"/>
  <c r="CE236" i="2"/>
  <c r="CA269" i="2"/>
  <c r="BZ103" i="6"/>
  <c r="CA462" i="2"/>
  <c r="BZ421" i="2"/>
  <c r="BZ333" i="5"/>
  <c r="BZ149" i="6"/>
  <c r="CA351" i="5"/>
  <c r="BZ434" i="5"/>
  <c r="CA206" i="6"/>
  <c r="CA418" i="2"/>
  <c r="CA390" i="5"/>
  <c r="BX101" i="7"/>
  <c r="CE368" i="6"/>
  <c r="CE55" i="6"/>
  <c r="BZ450" i="2"/>
  <c r="CE39" i="2"/>
  <c r="BZ207" i="6"/>
  <c r="CA431" i="5"/>
  <c r="CE344" i="5"/>
  <c r="CB482" i="6"/>
  <c r="CE260" i="2"/>
  <c r="CA242" i="2"/>
  <c r="BX112" i="7"/>
  <c r="BZ262" i="2"/>
  <c r="BZ246" i="5"/>
  <c r="BZ249" i="5"/>
  <c r="BZ153" i="2"/>
  <c r="CA162" i="2"/>
  <c r="CE111" i="2"/>
  <c r="CA477" i="6"/>
  <c r="CE198" i="2"/>
  <c r="CA380" i="6"/>
  <c r="CA54" i="6"/>
  <c r="BZ165" i="5"/>
  <c r="BZ353" i="5"/>
  <c r="CE467" i="5"/>
  <c r="CE82" i="2"/>
  <c r="CA304" i="6"/>
  <c r="CE430" i="6"/>
  <c r="CA325" i="5"/>
  <c r="CA179" i="5"/>
  <c r="BZ155" i="2"/>
  <c r="BZ115" i="6"/>
  <c r="CE100" i="6"/>
  <c r="CA298" i="5"/>
  <c r="BZ498" i="2"/>
  <c r="CE413" i="2"/>
  <c r="CA249" i="2"/>
  <c r="BX147" i="7"/>
  <c r="CE464" i="6"/>
  <c r="BX25" i="7"/>
  <c r="CA379" i="2"/>
  <c r="BX15" i="7"/>
  <c r="BZ310" i="2"/>
  <c r="BZ389" i="2"/>
  <c r="CE166" i="2"/>
  <c r="CE463" i="6"/>
  <c r="BX89" i="7"/>
  <c r="CA424" i="2"/>
  <c r="BZ389" i="5"/>
  <c r="BX150" i="7"/>
  <c r="CA233" i="5"/>
  <c r="CE300" i="5"/>
  <c r="CA150" i="5"/>
  <c r="CE18" i="5"/>
  <c r="CA427" i="2"/>
  <c r="BZ39" i="2"/>
  <c r="CA325" i="6"/>
  <c r="CA448" i="5"/>
  <c r="BZ339" i="6"/>
  <c r="BZ201" i="5"/>
  <c r="BZ382" i="6"/>
  <c r="CE288" i="5"/>
  <c r="BZ341" i="2"/>
  <c r="CE460" i="5"/>
  <c r="BZ364" i="6"/>
  <c r="CA475" i="5"/>
  <c r="BZ467" i="6"/>
  <c r="CA236" i="6"/>
  <c r="BZ467" i="2"/>
  <c r="CA392" i="2"/>
  <c r="BZ490" i="5"/>
  <c r="CA44" i="2"/>
  <c r="CA498" i="2"/>
  <c r="BZ146" i="6"/>
  <c r="CE329" i="6"/>
  <c r="CA104" i="2"/>
  <c r="CA325" i="2"/>
  <c r="CA16" i="5"/>
  <c r="CA447" i="2"/>
  <c r="BZ494" i="5"/>
  <c r="BZ241" i="2"/>
  <c r="CE70" i="2"/>
  <c r="CE258" i="2"/>
  <c r="BZ39" i="5"/>
  <c r="CA290" i="5"/>
  <c r="CA481" i="2"/>
  <c r="CA70" i="6"/>
  <c r="BZ25" i="2"/>
  <c r="BZ381" i="6"/>
  <c r="CA421" i="5"/>
  <c r="CE206" i="2"/>
  <c r="CE100" i="5"/>
  <c r="BZ342" i="6"/>
  <c r="CA411" i="6"/>
  <c r="BZ152" i="5"/>
  <c r="BX224" i="7"/>
  <c r="BY472" i="6"/>
  <c r="CA320" i="5"/>
  <c r="CA334" i="2"/>
  <c r="CE324" i="2"/>
  <c r="CE190" i="6"/>
  <c r="CA256" i="2"/>
  <c r="CE42" i="6"/>
  <c r="BZ434" i="2"/>
  <c r="CE418" i="2"/>
  <c r="CE362" i="5"/>
  <c r="CA203" i="2"/>
  <c r="CE279" i="2"/>
  <c r="CA181" i="2"/>
  <c r="CA186" i="5"/>
  <c r="CE331" i="6"/>
  <c r="CA75" i="2"/>
  <c r="CA38" i="2"/>
  <c r="CA209" i="5"/>
  <c r="CE206" i="6"/>
  <c r="CE400" i="6"/>
  <c r="CE256" i="5"/>
  <c r="BX179" i="7"/>
  <c r="BZ365" i="2"/>
  <c r="CA303" i="5"/>
  <c r="BY495" i="6"/>
  <c r="BZ171" i="6"/>
  <c r="CE113" i="5"/>
  <c r="CA158" i="2"/>
  <c r="CE152" i="6"/>
  <c r="BZ130" i="2"/>
  <c r="CA172" i="2"/>
  <c r="CA388" i="2"/>
  <c r="CA198" i="6"/>
  <c r="BZ59" i="5"/>
  <c r="CA91" i="6"/>
  <c r="CA317" i="6"/>
  <c r="CE129" i="6"/>
  <c r="BZ297" i="6"/>
  <c r="BZ158" i="2"/>
  <c r="CE208" i="2"/>
  <c r="BZ41" i="6"/>
  <c r="CE33" i="6"/>
  <c r="CA205" i="5"/>
  <c r="CA154" i="5"/>
  <c r="CE447" i="2"/>
  <c r="BZ418" i="5"/>
  <c r="CE294" i="5"/>
  <c r="CE184" i="2"/>
  <c r="CE484" i="6"/>
  <c r="BX484" i="6"/>
  <c r="CA201" i="2"/>
  <c r="BZ410" i="5"/>
  <c r="CE146" i="6"/>
  <c r="BX193" i="7"/>
  <c r="CE227" i="5"/>
  <c r="CA439" i="2"/>
  <c r="CA71" i="6"/>
  <c r="BZ140" i="2"/>
  <c r="CA134" i="6"/>
  <c r="CE429" i="6"/>
  <c r="BX172" i="7"/>
  <c r="CB493" i="6"/>
  <c r="CE417" i="6"/>
  <c r="BZ377" i="2"/>
  <c r="BY475" i="6"/>
  <c r="CE442" i="2"/>
  <c r="CA492" i="5"/>
  <c r="CE231" i="2"/>
  <c r="BZ469" i="5"/>
  <c r="BZ235" i="5"/>
  <c r="BZ173" i="5"/>
  <c r="BZ439" i="2"/>
  <c r="CA384" i="2"/>
  <c r="CE343" i="6"/>
  <c r="BZ279" i="6"/>
  <c r="BZ33" i="2"/>
  <c r="CE124" i="2"/>
  <c r="CA380" i="2"/>
  <c r="BX81" i="7"/>
  <c r="BZ134" i="2"/>
  <c r="BZ293" i="6"/>
  <c r="BX141" i="7"/>
  <c r="BZ397" i="6"/>
  <c r="BZ472" i="5"/>
  <c r="CE415" i="6"/>
  <c r="CE263" i="5"/>
  <c r="CE102" i="6"/>
  <c r="BZ298" i="2"/>
  <c r="CA447" i="6"/>
  <c r="CE28" i="5"/>
  <c r="BZ141" i="6"/>
  <c r="CE150" i="5"/>
  <c r="CE401" i="5"/>
  <c r="BZ196" i="2"/>
  <c r="CA293" i="2"/>
  <c r="CA400" i="5"/>
  <c r="BX215" i="7"/>
  <c r="CA241" i="6"/>
  <c r="CA22" i="5"/>
  <c r="BX283" i="7"/>
  <c r="BZ80" i="6"/>
  <c r="CA135" i="6"/>
  <c r="BZ337" i="2"/>
  <c r="CA338" i="5"/>
  <c r="CE314" i="2"/>
  <c r="BZ49" i="2"/>
  <c r="CA443" i="2"/>
  <c r="CE293" i="2"/>
  <c r="CE220" i="6"/>
  <c r="CE353" i="2"/>
  <c r="BZ470" i="6"/>
  <c r="CE209" i="2"/>
  <c r="BZ451" i="5"/>
  <c r="CE212" i="2"/>
  <c r="BZ354" i="6"/>
  <c r="CA148" i="5"/>
  <c r="CE179" i="5"/>
  <c r="BX480" i="6"/>
  <c r="CE480" i="6"/>
  <c r="CA189" i="2"/>
  <c r="BX38" i="7"/>
  <c r="BZ206" i="2"/>
  <c r="CA23" i="5"/>
  <c r="BZ301" i="5"/>
  <c r="BZ28" i="6"/>
  <c r="BZ295" i="2"/>
  <c r="CA340" i="5"/>
  <c r="BZ117" i="6"/>
  <c r="CA62" i="2"/>
  <c r="BX102" i="7"/>
  <c r="CA391" i="2"/>
  <c r="CA157" i="5"/>
  <c r="CA37" i="6"/>
  <c r="BZ111" i="5"/>
  <c r="BZ199" i="6"/>
  <c r="CA291" i="6"/>
  <c r="CE215" i="6"/>
  <c r="BX52" i="7"/>
  <c r="CA17" i="6"/>
  <c r="CE244" i="5"/>
  <c r="CA378" i="6"/>
  <c r="BX70" i="7"/>
  <c r="BZ350" i="5"/>
  <c r="CE117" i="2"/>
  <c r="CA157" i="6"/>
  <c r="CE103" i="6"/>
  <c r="BZ403" i="2"/>
  <c r="CA160" i="6"/>
  <c r="BZ21" i="6"/>
  <c r="BZ158" i="5"/>
  <c r="BZ500" i="6"/>
  <c r="BZ437" i="2"/>
  <c r="CA127" i="2"/>
  <c r="BZ20" i="6"/>
  <c r="BZ174" i="6"/>
  <c r="BZ330" i="5"/>
  <c r="CA219" i="5"/>
  <c r="CE359" i="5"/>
  <c r="BZ458" i="5"/>
  <c r="CA295" i="6"/>
  <c r="CE152" i="2"/>
  <c r="CA206" i="2"/>
  <c r="CE477" i="2"/>
  <c r="CE473" i="2"/>
  <c r="BZ358" i="6"/>
  <c r="BZ298" i="5"/>
  <c r="CA51" i="5"/>
  <c r="BZ182" i="6"/>
  <c r="BZ251" i="6"/>
  <c r="CE194" i="6"/>
  <c r="CE442" i="6"/>
  <c r="CA256" i="6"/>
  <c r="BZ77" i="6"/>
  <c r="CE278" i="5"/>
  <c r="CE210" i="5"/>
  <c r="CA294" i="6"/>
  <c r="BZ474" i="5"/>
  <c r="BZ131" i="6"/>
  <c r="BZ211" i="2"/>
  <c r="CA415" i="5"/>
  <c r="BZ494" i="6"/>
  <c r="BZ480" i="6"/>
  <c r="CD480" i="6" s="1"/>
  <c r="AK480" i="6" s="1"/>
  <c r="BZ162" i="6"/>
  <c r="CA229" i="5"/>
  <c r="CA219" i="6"/>
  <c r="CA449" i="6"/>
  <c r="BZ502" i="6"/>
  <c r="CA145" i="6"/>
  <c r="CE242" i="2"/>
  <c r="CE67" i="6"/>
  <c r="CA78" i="5"/>
  <c r="BZ82" i="6"/>
  <c r="CA198" i="2"/>
  <c r="BZ433" i="2"/>
  <c r="CE20" i="6"/>
  <c r="CE355" i="6"/>
  <c r="CE408" i="6"/>
  <c r="BZ14" i="6"/>
  <c r="CE26" i="2"/>
  <c r="BX176" i="7"/>
  <c r="BX91" i="7"/>
  <c r="CA14" i="5"/>
  <c r="CE54" i="6"/>
  <c r="CE161" i="2"/>
  <c r="CA164" i="5"/>
  <c r="BZ33" i="5"/>
  <c r="CE164" i="6"/>
  <c r="CA176" i="5"/>
  <c r="BZ271" i="6"/>
  <c r="CE30" i="6"/>
  <c r="CA352" i="5"/>
  <c r="CE125" i="5"/>
  <c r="CA55" i="2"/>
  <c r="CE169" i="5"/>
  <c r="CA435" i="6"/>
  <c r="CE292" i="6"/>
  <c r="BZ62" i="5"/>
  <c r="CE169" i="6"/>
  <c r="CE301" i="2"/>
  <c r="CA200" i="2"/>
  <c r="BX31" i="7"/>
  <c r="BZ237" i="2"/>
  <c r="CE169" i="2"/>
  <c r="BZ329" i="6"/>
  <c r="CA463" i="5"/>
  <c r="BZ300" i="6"/>
  <c r="BZ35" i="2"/>
  <c r="BZ300" i="5"/>
  <c r="BZ237" i="6"/>
  <c r="CA200" i="6"/>
  <c r="CA300" i="5"/>
  <c r="CA367" i="5"/>
  <c r="CE370" i="5"/>
  <c r="CE167" i="5"/>
  <c r="CB490" i="6"/>
  <c r="CA290" i="2"/>
  <c r="CA399" i="6"/>
  <c r="BZ248" i="6"/>
  <c r="BZ294" i="2"/>
  <c r="CA312" i="6"/>
  <c r="BZ52" i="5"/>
  <c r="BX142" i="7"/>
  <c r="BX22" i="7"/>
  <c r="CA263" i="2"/>
  <c r="BZ26" i="6"/>
  <c r="CE116" i="2"/>
  <c r="BZ340" i="6"/>
  <c r="CA341" i="2"/>
  <c r="BZ142" i="6"/>
  <c r="CA189" i="6"/>
  <c r="CA275" i="2"/>
  <c r="CA191" i="5"/>
  <c r="CE94" i="5"/>
  <c r="BZ467" i="5"/>
  <c r="CE202" i="6"/>
  <c r="CA373" i="5"/>
  <c r="CE34" i="6"/>
  <c r="CA133" i="5"/>
  <c r="BZ159" i="5"/>
  <c r="BZ218" i="5"/>
  <c r="BZ404" i="5"/>
  <c r="CA145" i="5"/>
  <c r="BX53" i="7"/>
  <c r="CA280" i="5"/>
  <c r="CA110" i="6"/>
  <c r="BY477" i="6"/>
  <c r="CA417" i="5"/>
  <c r="CE395" i="2"/>
  <c r="CE428" i="2"/>
  <c r="CE242" i="6"/>
  <c r="BX212" i="7"/>
  <c r="BX243" i="7"/>
  <c r="CA460" i="5"/>
  <c r="CA211" i="2"/>
  <c r="CE190" i="2"/>
  <c r="CE452" i="6"/>
  <c r="CA47" i="6"/>
  <c r="BZ16" i="2"/>
  <c r="BX298" i="7"/>
  <c r="CE368" i="2"/>
  <c r="BY489" i="6"/>
  <c r="BZ176" i="2"/>
  <c r="CA71" i="5"/>
  <c r="CE404" i="6"/>
  <c r="CA221" i="6"/>
  <c r="CE437" i="6"/>
  <c r="BZ275" i="2"/>
  <c r="CA90" i="2"/>
  <c r="CE413" i="5"/>
  <c r="CA63" i="5"/>
  <c r="BZ338" i="5"/>
  <c r="CA392" i="5"/>
  <c r="CA233" i="6"/>
  <c r="CA363" i="6"/>
  <c r="BZ185" i="6"/>
  <c r="BZ170" i="5"/>
  <c r="CA330" i="2"/>
  <c r="CE205" i="5"/>
  <c r="BZ95" i="5"/>
  <c r="BZ374" i="2"/>
  <c r="BZ420" i="5"/>
  <c r="CA404" i="2"/>
  <c r="CE160" i="5"/>
  <c r="CA291" i="5"/>
  <c r="CA176" i="6"/>
  <c r="BZ347" i="2"/>
  <c r="BZ470" i="5"/>
  <c r="CE301" i="5"/>
  <c r="CE205" i="2"/>
  <c r="CE189" i="2"/>
  <c r="CA471" i="6"/>
  <c r="BZ311" i="5"/>
  <c r="BZ140" i="5"/>
  <c r="BZ470" i="2"/>
  <c r="BZ358" i="2"/>
  <c r="BZ14" i="2"/>
  <c r="BZ85" i="6"/>
  <c r="CE233" i="2"/>
  <c r="BZ181" i="2"/>
  <c r="BZ335" i="5"/>
  <c r="CE473" i="5"/>
  <c r="BZ67" i="2"/>
  <c r="CA69" i="2"/>
  <c r="BZ335" i="6"/>
  <c r="BZ70" i="2"/>
  <c r="BX155" i="7"/>
  <c r="CA104" i="6"/>
  <c r="CA285" i="6"/>
  <c r="CE49" i="6"/>
  <c r="BZ177" i="2"/>
  <c r="CE80" i="2"/>
  <c r="BZ422" i="2"/>
  <c r="CA401" i="5"/>
  <c r="CE175" i="5"/>
  <c r="CA360" i="6"/>
  <c r="CA338" i="2"/>
  <c r="BZ281" i="2"/>
  <c r="CE219" i="5"/>
  <c r="CA397" i="5"/>
  <c r="CA342" i="2"/>
  <c r="CA331" i="2"/>
  <c r="CE239" i="5"/>
  <c r="CE236" i="6"/>
  <c r="CA107" i="6"/>
  <c r="BZ197" i="2"/>
  <c r="CE448" i="5"/>
  <c r="BZ64" i="5"/>
  <c r="BZ479" i="6"/>
  <c r="BZ365" i="6"/>
  <c r="CE58" i="5"/>
  <c r="CE298" i="2"/>
  <c r="CE183" i="2"/>
  <c r="CE183" i="5"/>
  <c r="BZ136" i="2"/>
  <c r="CA475" i="2"/>
  <c r="CA405" i="2"/>
  <c r="CE45" i="2"/>
  <c r="BZ63" i="2"/>
  <c r="CA97" i="5"/>
  <c r="CE128" i="2"/>
  <c r="CA75" i="6"/>
  <c r="BZ421" i="6"/>
  <c r="CA368" i="2"/>
  <c r="BZ477" i="6"/>
  <c r="CA297" i="2"/>
  <c r="BX256" i="7"/>
  <c r="CE35" i="5"/>
  <c r="BZ484" i="6"/>
  <c r="CA398" i="2"/>
  <c r="CA349" i="6"/>
  <c r="CA140" i="2"/>
  <c r="CE194" i="2"/>
  <c r="CA483" i="5"/>
  <c r="CA30" i="5"/>
  <c r="BZ172" i="5"/>
  <c r="CA115" i="5"/>
  <c r="BZ232" i="5"/>
  <c r="BX190" i="7"/>
  <c r="CA438" i="5"/>
  <c r="BZ114" i="5"/>
  <c r="CA287" i="2"/>
  <c r="CE197" i="6"/>
  <c r="CE414" i="2"/>
  <c r="BZ284" i="5"/>
  <c r="BZ64" i="6"/>
  <c r="BZ160" i="2"/>
  <c r="CE212" i="6"/>
  <c r="CE95" i="2"/>
  <c r="CA50" i="5"/>
  <c r="CA440" i="2"/>
  <c r="BX281" i="7"/>
  <c r="BZ441" i="2"/>
  <c r="BX277" i="7"/>
  <c r="BZ485" i="5"/>
  <c r="BZ352" i="5"/>
  <c r="BZ145" i="2"/>
  <c r="BZ227" i="5"/>
  <c r="CA365" i="2"/>
  <c r="BZ272" i="2"/>
  <c r="CE337" i="2"/>
  <c r="CA208" i="2"/>
  <c r="BZ471" i="6"/>
  <c r="BX247" i="7"/>
  <c r="CB497" i="6"/>
  <c r="BZ340" i="2"/>
  <c r="CA488" i="2"/>
  <c r="CA453" i="2"/>
  <c r="CA125" i="2"/>
  <c r="BZ138" i="6"/>
  <c r="BX191" i="7"/>
  <c r="CE308" i="6"/>
  <c r="CE64" i="6"/>
  <c r="CA248" i="2"/>
  <c r="BZ142" i="2"/>
  <c r="BZ284" i="6"/>
  <c r="CE68" i="6"/>
  <c r="CA427" i="6"/>
  <c r="BZ145" i="5"/>
  <c r="CE195" i="2"/>
  <c r="BZ313" i="2"/>
  <c r="BZ105" i="6"/>
  <c r="BY478" i="6"/>
  <c r="CA307" i="6"/>
  <c r="BZ475" i="5"/>
  <c r="CA95" i="5"/>
  <c r="BZ47" i="6"/>
  <c r="BZ257" i="5"/>
  <c r="CA207" i="2"/>
  <c r="CE16" i="2"/>
  <c r="CA482" i="2"/>
  <c r="CA97" i="2"/>
  <c r="CE145" i="5"/>
  <c r="CE320" i="2"/>
  <c r="BX83" i="7"/>
  <c r="BZ191" i="5"/>
  <c r="CA171" i="2"/>
  <c r="BZ430" i="5"/>
  <c r="CA453" i="6"/>
  <c r="CA420" i="5"/>
  <c r="CE323" i="2"/>
  <c r="BZ147" i="5"/>
  <c r="CE59" i="2"/>
  <c r="BX92" i="7"/>
  <c r="CA136" i="5"/>
  <c r="BZ134" i="6"/>
  <c r="CE407" i="5"/>
  <c r="CA349" i="5"/>
  <c r="CA261" i="2"/>
  <c r="CE455" i="5"/>
  <c r="BZ175" i="5"/>
  <c r="BX266" i="7"/>
  <c r="CA260" i="2"/>
  <c r="BX271" i="7"/>
  <c r="CE390" i="6"/>
  <c r="BZ342" i="2"/>
  <c r="BZ163" i="5"/>
  <c r="BZ191" i="6"/>
  <c r="BX146" i="7"/>
  <c r="BZ190" i="2"/>
  <c r="CA121" i="2"/>
  <c r="CA18" i="2"/>
  <c r="CA261" i="5"/>
  <c r="CA494" i="6"/>
  <c r="BZ427" i="2"/>
  <c r="CA459" i="2"/>
  <c r="CA245" i="6"/>
  <c r="CA299" i="6"/>
  <c r="CA419" i="5"/>
  <c r="BX14" i="7"/>
  <c r="CE327" i="5"/>
  <c r="BX498" i="6"/>
  <c r="CA493" i="5"/>
  <c r="CE330" i="2"/>
  <c r="BZ432" i="5"/>
  <c r="CE171" i="6"/>
  <c r="CA345" i="6"/>
  <c r="CE418" i="5"/>
  <c r="BZ408" i="5"/>
  <c r="BZ17" i="5"/>
  <c r="BZ219" i="2"/>
  <c r="CA389" i="5"/>
  <c r="CE33" i="2"/>
  <c r="CE303" i="6"/>
  <c r="CE147" i="5"/>
  <c r="BZ125" i="5"/>
  <c r="CE130" i="2"/>
  <c r="BZ348" i="6"/>
  <c r="CA218" i="5"/>
  <c r="CA178" i="5"/>
  <c r="CE115" i="5"/>
  <c r="BZ392" i="5"/>
  <c r="CA197" i="5"/>
  <c r="BX139" i="7"/>
  <c r="CE100" i="2"/>
  <c r="CE251" i="2"/>
  <c r="CE116" i="6"/>
  <c r="CA461" i="2"/>
  <c r="CA497" i="6"/>
  <c r="BZ109" i="2"/>
  <c r="CA365" i="5"/>
  <c r="BZ92" i="2"/>
  <c r="CE369" i="5"/>
  <c r="CE82" i="6"/>
  <c r="CA315" i="2"/>
  <c r="CA225" i="6"/>
  <c r="BZ292" i="2"/>
  <c r="BX322" i="7"/>
  <c r="BZ223" i="6"/>
  <c r="CE86" i="6"/>
  <c r="BZ485" i="6"/>
  <c r="CE282" i="6"/>
  <c r="CE246" i="2"/>
  <c r="BZ259" i="2"/>
  <c r="BZ328" i="5"/>
  <c r="CE107" i="2"/>
  <c r="BZ473" i="2"/>
  <c r="CA441" i="6"/>
  <c r="CE196" i="6"/>
  <c r="CE61" i="5"/>
  <c r="BY494" i="6"/>
  <c r="CD494" i="6" s="1"/>
  <c r="AK494" i="6" s="1"/>
  <c r="CE37" i="5"/>
  <c r="CE200" i="2"/>
  <c r="CA249" i="5"/>
  <c r="CA253" i="2"/>
  <c r="CA248" i="6"/>
  <c r="CA382" i="2"/>
  <c r="BZ491" i="2"/>
  <c r="CE434" i="6"/>
  <c r="CA288" i="6"/>
  <c r="BZ97" i="2"/>
  <c r="CE186" i="2"/>
  <c r="BZ38" i="5"/>
  <c r="BZ112" i="2"/>
  <c r="CE254" i="2"/>
  <c r="CA119" i="5"/>
  <c r="BZ427" i="5"/>
  <c r="CE352" i="5"/>
  <c r="BX258" i="7"/>
  <c r="BX269" i="7"/>
  <c r="CA237" i="6"/>
  <c r="CA44" i="6"/>
  <c r="BZ348" i="5"/>
  <c r="CA410" i="6"/>
  <c r="CE90" i="5"/>
  <c r="CA114" i="5"/>
  <c r="CE390" i="5"/>
  <c r="BZ295" i="6"/>
  <c r="BZ79" i="5"/>
  <c r="BZ225" i="6"/>
  <c r="CE339" i="2"/>
  <c r="BX79" i="7"/>
  <c r="CA482" i="5"/>
  <c r="CA217" i="2"/>
  <c r="BZ303" i="2"/>
  <c r="CE105" i="6"/>
  <c r="BZ449" i="2"/>
  <c r="BZ440" i="6"/>
  <c r="CE315" i="2"/>
  <c r="BZ481" i="2"/>
  <c r="BX204" i="7"/>
  <c r="CE35" i="6"/>
  <c r="CE358" i="6"/>
  <c r="CA464" i="5"/>
  <c r="CE289" i="2"/>
  <c r="CA214" i="6"/>
  <c r="CA109" i="6"/>
  <c r="CE38" i="6"/>
  <c r="BZ261" i="6"/>
  <c r="BZ220" i="2"/>
  <c r="CE353" i="6"/>
  <c r="BZ279" i="5"/>
  <c r="CE292" i="2"/>
  <c r="BZ63" i="6"/>
  <c r="BZ126" i="6"/>
  <c r="CA331" i="5"/>
  <c r="BX488" i="6"/>
  <c r="CD488" i="6" s="1"/>
  <c r="AK488" i="6" s="1"/>
  <c r="BZ176" i="5"/>
  <c r="CE30" i="5"/>
  <c r="CE28" i="2"/>
  <c r="CE363" i="5"/>
  <c r="BZ500" i="5"/>
  <c r="BZ481" i="5"/>
  <c r="CE221" i="2"/>
  <c r="CA76" i="2"/>
  <c r="BZ395" i="5"/>
  <c r="BX122" i="7"/>
  <c r="CE32" i="2"/>
  <c r="CE200" i="5"/>
  <c r="BZ15" i="6"/>
  <c r="CA212" i="6"/>
  <c r="CE462" i="6"/>
  <c r="BZ405" i="2"/>
  <c r="CA184" i="6"/>
  <c r="CE465" i="5"/>
  <c r="BZ401" i="5"/>
  <c r="BZ167" i="6"/>
  <c r="CA382" i="6"/>
  <c r="BZ412" i="6"/>
  <c r="CE335" i="6"/>
  <c r="CE226" i="5"/>
  <c r="BZ432" i="6"/>
  <c r="CA328" i="6"/>
  <c r="CE152" i="5"/>
  <c r="BZ74" i="2"/>
  <c r="BZ477" i="2"/>
  <c r="CE244" i="6"/>
  <c r="CE184" i="6"/>
  <c r="BZ484" i="5"/>
  <c r="CA217" i="6"/>
  <c r="BZ234" i="6"/>
  <c r="CA413" i="5"/>
  <c r="CA177" i="5"/>
  <c r="BZ364" i="2"/>
  <c r="BZ414" i="5"/>
  <c r="CE279" i="6"/>
  <c r="BZ179" i="6"/>
  <c r="CE106" i="6"/>
  <c r="CE418" i="6"/>
  <c r="BZ251" i="2"/>
  <c r="BZ70" i="6"/>
  <c r="CA134" i="2"/>
  <c r="CA328" i="2"/>
  <c r="CA420" i="2"/>
  <c r="CE455" i="6"/>
  <c r="CE398" i="2"/>
  <c r="CE409" i="6"/>
  <c r="CE305" i="5"/>
  <c r="CA321" i="2"/>
  <c r="CA191" i="2"/>
  <c r="CA454" i="6"/>
  <c r="CE66" i="2"/>
  <c r="CA266" i="6"/>
  <c r="BZ431" i="5"/>
  <c r="CE313" i="6"/>
  <c r="BX296" i="7"/>
  <c r="BX44" i="7"/>
  <c r="CE425" i="2"/>
  <c r="BX135" i="7"/>
  <c r="CE393" i="5"/>
  <c r="CA301" i="2"/>
  <c r="CA427" i="5"/>
  <c r="BZ239" i="2"/>
  <c r="BZ127" i="5"/>
  <c r="CE65" i="6"/>
  <c r="CA283" i="5"/>
  <c r="CA381" i="2"/>
  <c r="CE390" i="2"/>
  <c r="BZ492" i="6"/>
  <c r="CE256" i="2"/>
  <c r="CA474" i="6"/>
  <c r="CA467" i="5"/>
  <c r="CA235" i="2"/>
  <c r="BZ73" i="5"/>
  <c r="CA300" i="6"/>
  <c r="BZ90" i="6"/>
  <c r="CE421" i="5"/>
  <c r="CE90" i="6"/>
  <c r="BZ25" i="6"/>
  <c r="BX295" i="7"/>
  <c r="BZ435" i="6"/>
  <c r="CA139" i="5"/>
  <c r="BZ159" i="6"/>
  <c r="BZ181" i="5"/>
  <c r="CE440" i="2"/>
  <c r="BZ432" i="2"/>
  <c r="BZ211" i="5"/>
  <c r="CE251" i="5"/>
  <c r="CE19" i="2"/>
  <c r="BZ47" i="5"/>
  <c r="CA394" i="2"/>
  <c r="BZ372" i="5"/>
  <c r="CA22" i="2"/>
  <c r="CA208" i="5"/>
  <c r="BX234" i="7"/>
  <c r="BZ501" i="6"/>
  <c r="BZ65" i="2"/>
  <c r="BZ52" i="2"/>
  <c r="BX315" i="7"/>
  <c r="CE401" i="2"/>
  <c r="CA22" i="6"/>
  <c r="CA37" i="2"/>
  <c r="CE257" i="6"/>
  <c r="BZ367" i="6"/>
  <c r="CA408" i="2"/>
  <c r="CE238" i="2"/>
  <c r="CA371" i="5"/>
  <c r="BZ464" i="2"/>
  <c r="BX259" i="7"/>
  <c r="CA119" i="2"/>
  <c r="CA140" i="5"/>
  <c r="CE227" i="2"/>
  <c r="CA16" i="2"/>
  <c r="BZ497" i="2"/>
  <c r="BX288" i="7"/>
  <c r="CA415" i="2"/>
  <c r="CA347" i="6"/>
  <c r="BZ319" i="5"/>
  <c r="CA183" i="2"/>
  <c r="BZ249" i="2"/>
  <c r="BZ104" i="2"/>
  <c r="CA235" i="5"/>
  <c r="BZ362" i="5"/>
  <c r="BZ274" i="6"/>
  <c r="BZ370" i="5"/>
  <c r="CE44" i="5"/>
  <c r="CE471" i="6"/>
  <c r="BX471" i="6"/>
  <c r="CA190" i="6"/>
  <c r="BZ68" i="5"/>
  <c r="CA44" i="5"/>
  <c r="CA19" i="5"/>
  <c r="CE423" i="2"/>
  <c r="BZ455" i="6"/>
  <c r="CE230" i="5"/>
  <c r="BX132" i="7"/>
  <c r="CA267" i="6"/>
  <c r="CA243" i="6"/>
  <c r="BZ312" i="2"/>
  <c r="CA309" i="6"/>
  <c r="CE412" i="5"/>
  <c r="CA244" i="2"/>
  <c r="CE408" i="2"/>
  <c r="CE130" i="5"/>
  <c r="BX495" i="6"/>
  <c r="CD495" i="6" s="1"/>
  <c r="AK495" i="6" s="1"/>
  <c r="CE217" i="2"/>
  <c r="BZ457" i="5"/>
  <c r="CE245" i="6"/>
  <c r="CE126" i="5"/>
  <c r="CE104" i="2"/>
  <c r="CE423" i="5"/>
  <c r="CA498" i="5"/>
  <c r="CE482" i="5"/>
  <c r="CA279" i="2"/>
  <c r="BZ166" i="6"/>
  <c r="BX299" i="7"/>
  <c r="CA174" i="5"/>
  <c r="CE220" i="5"/>
  <c r="CE460" i="2"/>
  <c r="BZ191" i="2"/>
  <c r="CA28" i="2"/>
  <c r="BZ275" i="6"/>
  <c r="CE375" i="6"/>
  <c r="BZ287" i="2"/>
  <c r="CA278" i="5"/>
  <c r="BZ73" i="2"/>
  <c r="BZ124" i="2"/>
  <c r="CE102" i="2"/>
  <c r="CE236" i="5"/>
  <c r="CE314" i="5"/>
  <c r="CA457" i="5"/>
  <c r="BZ222" i="6"/>
  <c r="CA153" i="5"/>
  <c r="CE243" i="2"/>
  <c r="CA116" i="2"/>
  <c r="CA146" i="2"/>
  <c r="CE122" i="5"/>
  <c r="BZ480" i="5"/>
  <c r="CA272" i="2"/>
  <c r="CE75" i="6"/>
  <c r="CA358" i="6"/>
  <c r="CE288" i="6"/>
  <c r="BZ260" i="5"/>
  <c r="CE198" i="6"/>
  <c r="CA425" i="2"/>
  <c r="CA430" i="5"/>
  <c r="CE300" i="6"/>
  <c r="CE261" i="5"/>
  <c r="CE314" i="6"/>
  <c r="CE325" i="6"/>
  <c r="BZ395" i="2"/>
  <c r="BZ98" i="5"/>
  <c r="BZ104" i="5"/>
  <c r="CE317" i="5"/>
  <c r="CA34" i="2"/>
  <c r="BZ199" i="2"/>
  <c r="CA345" i="2"/>
  <c r="CA139" i="2"/>
  <c r="CA487" i="2"/>
  <c r="CA198" i="5"/>
  <c r="CE428" i="5"/>
  <c r="CA253" i="6"/>
  <c r="BZ161" i="2"/>
  <c r="BX60" i="7"/>
  <c r="CA265" i="6"/>
  <c r="BZ13" i="2"/>
  <c r="CE287" i="6"/>
  <c r="CE372" i="2"/>
  <c r="BZ266" i="6"/>
  <c r="CE479" i="2"/>
  <c r="CE15" i="5"/>
  <c r="CE55" i="2"/>
  <c r="CA113" i="2"/>
  <c r="CA468" i="2"/>
  <c r="BZ212" i="2"/>
  <c r="BZ141" i="2"/>
  <c r="CE196" i="2"/>
  <c r="BZ317" i="2"/>
  <c r="BZ238" i="2"/>
  <c r="BZ457" i="2"/>
  <c r="BZ68" i="2"/>
  <c r="CE425" i="6"/>
  <c r="BZ289" i="2"/>
  <c r="CE432" i="2"/>
  <c r="CA485" i="6"/>
  <c r="BZ76" i="2"/>
  <c r="BX262" i="7"/>
  <c r="BZ288" i="6"/>
  <c r="CA340" i="6"/>
  <c r="CE449" i="5"/>
  <c r="CA321" i="5"/>
  <c r="CE27" i="6"/>
  <c r="CA293" i="6"/>
  <c r="BZ295" i="5"/>
  <c r="CA463" i="2"/>
  <c r="CE219" i="2"/>
  <c r="CA297" i="5"/>
  <c r="BZ439" i="5"/>
  <c r="CE429" i="5"/>
  <c r="CE215" i="5"/>
  <c r="CE177" i="5"/>
  <c r="CE303" i="2"/>
  <c r="CE188" i="6"/>
  <c r="CE64" i="5"/>
  <c r="CA123" i="2"/>
  <c r="CE238" i="6"/>
  <c r="CE128" i="6"/>
  <c r="CA399" i="5"/>
  <c r="CE178" i="5"/>
  <c r="CE23" i="6"/>
  <c r="CA31" i="5"/>
  <c r="CE25" i="5"/>
  <c r="BZ184" i="5"/>
  <c r="BX220" i="7"/>
  <c r="BZ208" i="5"/>
  <c r="BX37" i="7"/>
  <c r="BZ455" i="5"/>
  <c r="CA458" i="2"/>
  <c r="CB485" i="6"/>
  <c r="CE481" i="5"/>
  <c r="CA344" i="5"/>
  <c r="CE52" i="6"/>
  <c r="CA83" i="5"/>
  <c r="BX51" i="7"/>
  <c r="BZ165" i="6"/>
  <c r="CA267" i="2"/>
  <c r="CA259" i="6"/>
  <c r="BZ268" i="6"/>
  <c r="CA328" i="5"/>
  <c r="BX169" i="7"/>
  <c r="BZ462" i="5"/>
  <c r="CE105" i="2"/>
  <c r="BZ334" i="2"/>
  <c r="CE332" i="2"/>
  <c r="CE158" i="5"/>
  <c r="CE99" i="2"/>
  <c r="CA194" i="2"/>
  <c r="BZ100" i="6"/>
  <c r="BZ34" i="6"/>
  <c r="BZ379" i="5"/>
  <c r="CA181" i="6"/>
  <c r="BX230" i="7"/>
  <c r="CE112" i="2"/>
  <c r="CE322" i="6"/>
  <c r="BZ321" i="5"/>
  <c r="BX323" i="7"/>
  <c r="CE398" i="6"/>
  <c r="BZ298" i="6"/>
  <c r="CE403" i="5"/>
  <c r="CA335" i="2"/>
  <c r="CE462" i="2"/>
  <c r="BZ221" i="6"/>
  <c r="CE171" i="5"/>
  <c r="CA238" i="2"/>
  <c r="CA114" i="2"/>
  <c r="CA323" i="2"/>
  <c r="BZ86" i="6"/>
  <c r="BZ21" i="5"/>
  <c r="BZ359" i="5"/>
  <c r="BZ98" i="2"/>
  <c r="CA179" i="6"/>
  <c r="CA402" i="2"/>
  <c r="CE448" i="2"/>
  <c r="BZ282" i="2"/>
  <c r="CE165" i="6"/>
  <c r="CA287" i="5"/>
  <c r="CA304" i="2"/>
  <c r="CA495" i="6"/>
  <c r="BZ256" i="5"/>
  <c r="CE22" i="6"/>
  <c r="BZ255" i="5"/>
  <c r="CA430" i="6"/>
  <c r="CA311" i="6"/>
  <c r="BY481" i="6"/>
  <c r="CE445" i="2"/>
  <c r="BZ119" i="5"/>
  <c r="BZ493" i="5"/>
  <c r="BZ479" i="2"/>
  <c r="BZ71" i="5"/>
  <c r="CA449" i="5"/>
  <c r="CA245" i="2"/>
  <c r="CE472" i="2"/>
  <c r="CE241" i="2"/>
  <c r="CE46" i="5"/>
  <c r="CA76" i="5"/>
  <c r="CA116" i="5"/>
  <c r="CE197" i="5"/>
  <c r="CE70" i="6"/>
  <c r="BZ425" i="6"/>
  <c r="CA375" i="2"/>
  <c r="BZ131" i="2"/>
  <c r="CA83" i="2"/>
  <c r="CA182" i="6"/>
  <c r="CA469" i="2"/>
  <c r="CE412" i="2"/>
  <c r="BX192" i="7"/>
  <c r="BZ323" i="5"/>
  <c r="CA27" i="6"/>
  <c r="CE307" i="6"/>
  <c r="CA327" i="6"/>
  <c r="CA407" i="5"/>
  <c r="CE218" i="5"/>
  <c r="CA241" i="2"/>
  <c r="BZ390" i="6"/>
  <c r="CE67" i="5"/>
  <c r="BZ378" i="5"/>
  <c r="CE450" i="2"/>
  <c r="BZ460" i="5"/>
  <c r="BZ281" i="5"/>
  <c r="CE354" i="6"/>
  <c r="CE214" i="5"/>
  <c r="CE182" i="5"/>
  <c r="CE127" i="5"/>
  <c r="CE360" i="2"/>
  <c r="BZ291" i="5"/>
  <c r="BZ222" i="5"/>
  <c r="CA236" i="2"/>
  <c r="CE297" i="6"/>
  <c r="BY470" i="6"/>
  <c r="BZ143" i="5"/>
  <c r="BY493" i="6"/>
  <c r="CD493" i="6" s="1"/>
  <c r="AK493" i="6" s="1"/>
  <c r="BX153" i="7"/>
  <c r="CE354" i="5"/>
  <c r="BX45" i="7"/>
  <c r="BZ102" i="6"/>
  <c r="BZ13" i="5"/>
  <c r="CA167" i="2"/>
  <c r="BZ360" i="2"/>
  <c r="BZ187" i="5"/>
  <c r="CE341" i="5"/>
  <c r="CE363" i="2"/>
  <c r="BZ438" i="2"/>
  <c r="CE187" i="2"/>
  <c r="CA82" i="2"/>
  <c r="CE155" i="2"/>
  <c r="BX151" i="7"/>
  <c r="CE166" i="5"/>
  <c r="CA21" i="5"/>
  <c r="BX257" i="7"/>
  <c r="CA94" i="2"/>
  <c r="BX29" i="7"/>
  <c r="CE41" i="6"/>
  <c r="CA409" i="5"/>
  <c r="CE454" i="2"/>
  <c r="BX175" i="7"/>
  <c r="CE361" i="5"/>
  <c r="CE231" i="6"/>
  <c r="CE90" i="2"/>
  <c r="BX286" i="7"/>
  <c r="CA87" i="5"/>
  <c r="CE255" i="6"/>
  <c r="BZ65" i="5"/>
  <c r="CE116" i="5"/>
  <c r="BZ458" i="2"/>
  <c r="CE420" i="6"/>
  <c r="CA38" i="6"/>
  <c r="CE234" i="6"/>
  <c r="BZ314" i="2"/>
  <c r="CA362" i="6"/>
  <c r="BZ115" i="5"/>
  <c r="CA480" i="5"/>
  <c r="BZ500" i="2"/>
  <c r="BZ145" i="6"/>
  <c r="CA444" i="6"/>
  <c r="CE177" i="2"/>
  <c r="CE351" i="2"/>
  <c r="CE373" i="2"/>
  <c r="CA75" i="5"/>
  <c r="CA424" i="5"/>
  <c r="CE130" i="6"/>
  <c r="BZ269" i="6"/>
  <c r="BZ301" i="6"/>
  <c r="BZ271" i="2"/>
  <c r="BX16" i="7"/>
  <c r="BZ215" i="5"/>
  <c r="CE485" i="6"/>
  <c r="BX485" i="6"/>
  <c r="CA479" i="5"/>
  <c r="CA331" i="6"/>
  <c r="BZ315" i="2"/>
  <c r="BZ357" i="6"/>
  <c r="CA98" i="2"/>
  <c r="BZ17" i="2"/>
  <c r="BZ89" i="5"/>
  <c r="BX177" i="7"/>
  <c r="BZ236" i="2"/>
  <c r="CA239" i="6"/>
  <c r="CE34" i="2"/>
  <c r="CA277" i="2"/>
  <c r="BZ61" i="2"/>
  <c r="BZ373" i="5"/>
  <c r="BY471" i="6"/>
  <c r="CD471" i="6" s="1"/>
  <c r="AK471" i="6" s="1"/>
  <c r="CA395" i="5"/>
  <c r="CA234" i="5"/>
  <c r="BX50" i="7"/>
  <c r="CE439" i="5"/>
  <c r="CE101" i="2"/>
  <c r="BZ302" i="5"/>
  <c r="CA115" i="6"/>
  <c r="CE42" i="5"/>
  <c r="BZ464" i="5"/>
  <c r="CA171" i="6"/>
  <c r="BZ461" i="6"/>
  <c r="CA222" i="5"/>
  <c r="CE453" i="5"/>
  <c r="CA147" i="5"/>
  <c r="BZ280" i="6"/>
  <c r="CE412" i="6"/>
  <c r="CA89" i="6"/>
  <c r="CA344" i="2"/>
  <c r="CE115" i="6"/>
  <c r="BZ101" i="5"/>
  <c r="CE235" i="5"/>
  <c r="CA362" i="2"/>
  <c r="CE45" i="5"/>
  <c r="CA494" i="2"/>
  <c r="BZ22" i="5"/>
  <c r="CE195" i="6"/>
  <c r="CA502" i="2"/>
  <c r="CE118" i="2"/>
  <c r="CE421" i="6"/>
  <c r="BZ15" i="2"/>
  <c r="CE459" i="2"/>
  <c r="CA460" i="2"/>
  <c r="BZ159" i="2"/>
  <c r="BZ448" i="5"/>
  <c r="CA174" i="6"/>
  <c r="CE422" i="6"/>
  <c r="CA59" i="6"/>
  <c r="CA332" i="2"/>
  <c r="CA371" i="6"/>
  <c r="BZ273" i="5"/>
  <c r="CE477" i="5"/>
  <c r="CE340" i="6"/>
  <c r="CA501" i="6"/>
  <c r="CA455" i="5"/>
  <c r="CA278" i="6"/>
  <c r="CA51" i="2"/>
  <c r="BZ155" i="6"/>
  <c r="BZ429" i="2"/>
  <c r="BZ318" i="2"/>
  <c r="CA400" i="6"/>
  <c r="BZ312" i="5"/>
  <c r="CA378" i="5"/>
  <c r="CA472" i="5"/>
  <c r="BZ387" i="5"/>
  <c r="CE352" i="2"/>
  <c r="CA309" i="5"/>
  <c r="CE427" i="2"/>
  <c r="CA434" i="5"/>
  <c r="CE247" i="5"/>
  <c r="BZ95" i="2"/>
  <c r="BZ449" i="6"/>
  <c r="CE299" i="2"/>
  <c r="CE249" i="6"/>
  <c r="CE435" i="2"/>
  <c r="BX136" i="7"/>
  <c r="CE41" i="5"/>
  <c r="CA17" i="2"/>
  <c r="CA294" i="2"/>
  <c r="BZ195" i="5"/>
  <c r="BZ358" i="5"/>
  <c r="CA370" i="5"/>
  <c r="CA100" i="5"/>
  <c r="CE191" i="6"/>
  <c r="CA229" i="2"/>
  <c r="CA100" i="2"/>
  <c r="BZ103" i="2"/>
  <c r="CE107" i="5"/>
  <c r="CA33" i="5"/>
  <c r="BZ190" i="5"/>
  <c r="CE304" i="5"/>
  <c r="CB471" i="6"/>
  <c r="BZ229" i="5"/>
  <c r="BX233" i="7"/>
  <c r="BZ141" i="5"/>
  <c r="CE146" i="2"/>
  <c r="CE404" i="2"/>
  <c r="BX39" i="7"/>
  <c r="BZ353" i="6"/>
  <c r="CA470" i="5"/>
  <c r="BZ54" i="6"/>
  <c r="CE413" i="6"/>
  <c r="BZ385" i="2"/>
  <c r="CE193" i="2"/>
  <c r="CE98" i="6"/>
  <c r="CA283" i="6"/>
  <c r="BZ423" i="2"/>
  <c r="CE99" i="5"/>
  <c r="CA39" i="5"/>
  <c r="CA428" i="6"/>
  <c r="BZ423" i="5"/>
  <c r="CE238" i="5"/>
  <c r="CE110" i="2"/>
  <c r="BZ214" i="5"/>
  <c r="BX126" i="7"/>
  <c r="CA478" i="2"/>
  <c r="CE257" i="2"/>
  <c r="BZ203" i="6"/>
  <c r="CE310" i="6"/>
  <c r="BZ473" i="5"/>
  <c r="CB475" i="6"/>
  <c r="BZ178" i="2"/>
  <c r="CE389" i="5"/>
  <c r="CA453" i="5"/>
  <c r="BZ293" i="2"/>
  <c r="CA424" i="6"/>
  <c r="BZ323" i="6"/>
  <c r="CE65" i="2"/>
  <c r="CE47" i="2"/>
  <c r="CA226" i="2"/>
  <c r="CE148" i="2"/>
  <c r="CA67" i="6"/>
  <c r="CB491" i="6"/>
  <c r="CA454" i="5"/>
  <c r="CE57" i="5"/>
  <c r="CA347" i="5"/>
  <c r="CE484" i="5"/>
  <c r="CA174" i="2"/>
  <c r="CE176" i="2"/>
  <c r="CA54" i="2"/>
  <c r="CE221" i="5"/>
  <c r="BZ234" i="2"/>
  <c r="CA43" i="5"/>
  <c r="BZ153" i="5"/>
  <c r="BZ92" i="6"/>
  <c r="BZ50" i="6"/>
  <c r="BZ183" i="6"/>
  <c r="BZ291" i="2"/>
  <c r="CE51" i="2"/>
  <c r="CA491" i="5"/>
  <c r="BZ197" i="5"/>
  <c r="BZ59" i="2"/>
  <c r="CA367" i="6"/>
  <c r="CE126" i="6"/>
  <c r="BZ124" i="5"/>
  <c r="BZ417" i="6"/>
  <c r="CE112" i="5"/>
  <c r="BX158" i="7"/>
  <c r="CA289" i="2"/>
  <c r="BZ381" i="5"/>
  <c r="BX163" i="7"/>
  <c r="CE302" i="5"/>
  <c r="BZ55" i="2"/>
  <c r="CE158" i="6"/>
  <c r="CA135" i="5"/>
  <c r="CA92" i="5"/>
  <c r="BZ188" i="6"/>
  <c r="CE478" i="6"/>
  <c r="BX478" i="6"/>
  <c r="BX273" i="7"/>
  <c r="BX239" i="7"/>
  <c r="BZ307" i="5"/>
  <c r="CA43" i="6"/>
  <c r="BZ75" i="2"/>
  <c r="BZ202" i="6"/>
  <c r="CA373" i="2"/>
  <c r="CE30" i="2"/>
  <c r="CA467" i="6"/>
  <c r="CA125" i="5"/>
  <c r="BZ353" i="2"/>
  <c r="CE208" i="5"/>
  <c r="CE399" i="6"/>
  <c r="CA379" i="5"/>
  <c r="CA343" i="5"/>
  <c r="BZ236" i="5"/>
  <c r="BX268" i="7"/>
  <c r="CA121" i="5"/>
  <c r="BZ329" i="5"/>
  <c r="BZ398" i="6"/>
  <c r="CE470" i="5"/>
  <c r="CE300" i="2"/>
  <c r="CE359" i="6"/>
  <c r="CA129" i="6"/>
  <c r="CA448" i="2"/>
  <c r="BZ79" i="2"/>
  <c r="CE403" i="6"/>
  <c r="CE247" i="6"/>
  <c r="CE40" i="2"/>
  <c r="BZ76" i="6"/>
  <c r="CA218" i="6"/>
  <c r="BZ179" i="5"/>
  <c r="CE68" i="5"/>
  <c r="CA80" i="6"/>
  <c r="BZ332" i="6"/>
  <c r="CA463" i="6"/>
  <c r="CE71" i="5"/>
  <c r="BZ164" i="2"/>
  <c r="BZ129" i="2"/>
  <c r="CE18" i="2"/>
  <c r="BZ390" i="5"/>
  <c r="CE448" i="6"/>
  <c r="CE277" i="2"/>
  <c r="CE172" i="6"/>
  <c r="BZ460" i="6"/>
  <c r="BZ270" i="5"/>
  <c r="BX106" i="7"/>
  <c r="CA152" i="6"/>
  <c r="CE280" i="2"/>
  <c r="CA202" i="6"/>
  <c r="CA32" i="2"/>
  <c r="CA187" i="5"/>
  <c r="BX321" i="7"/>
  <c r="CE292" i="5"/>
  <c r="CA153" i="6"/>
  <c r="BX157" i="7"/>
  <c r="BZ134" i="5"/>
  <c r="BX232" i="7"/>
  <c r="CA474" i="5"/>
  <c r="BX75" i="7"/>
  <c r="BZ283" i="6"/>
  <c r="BX69" i="7"/>
  <c r="CA442" i="5"/>
  <c r="CA21" i="6"/>
  <c r="BZ413" i="2"/>
  <c r="CA54" i="5"/>
  <c r="BZ206" i="5"/>
  <c r="BZ369" i="2"/>
  <c r="CA69" i="6"/>
  <c r="BZ407" i="5"/>
  <c r="CA308" i="2"/>
  <c r="CA99" i="6"/>
  <c r="CA176" i="2"/>
  <c r="CA361" i="2"/>
  <c r="BZ359" i="2"/>
  <c r="CA133" i="2"/>
  <c r="CE342" i="5"/>
  <c r="CE330" i="6"/>
  <c r="CA197" i="2"/>
  <c r="BZ229" i="6"/>
  <c r="CA495" i="2"/>
  <c r="BZ40" i="5"/>
  <c r="CA224" i="5"/>
  <c r="CA295" i="5"/>
  <c r="BX235" i="7"/>
  <c r="CA403" i="6"/>
  <c r="CE483" i="5"/>
  <c r="BZ41" i="5"/>
  <c r="CA451" i="6"/>
  <c r="CA34" i="6"/>
  <c r="CA57" i="6"/>
  <c r="CE430" i="5"/>
  <c r="BZ90" i="5"/>
  <c r="BX297" i="7"/>
  <c r="CE97" i="5"/>
  <c r="CA383" i="2"/>
  <c r="BX317" i="7"/>
  <c r="BZ205" i="5"/>
  <c r="BZ158" i="6"/>
  <c r="BZ15" i="5"/>
  <c r="CE23" i="5"/>
  <c r="BX251" i="7"/>
  <c r="BZ123" i="6"/>
  <c r="CE70" i="5"/>
  <c r="CE354" i="2"/>
  <c r="CA187" i="6"/>
  <c r="CA181" i="5"/>
  <c r="BZ362" i="6"/>
  <c r="BZ478" i="6"/>
  <c r="CA352" i="2"/>
  <c r="CE127" i="6"/>
  <c r="CE211" i="6"/>
  <c r="CE434" i="2"/>
  <c r="BY485" i="6"/>
  <c r="CD485" i="6" s="1"/>
  <c r="AK485" i="6" s="1"/>
  <c r="BX78" i="7"/>
  <c r="CE324" i="5"/>
  <c r="BZ52" i="6"/>
  <c r="BZ333" i="2"/>
  <c r="CE186" i="5"/>
  <c r="CA339" i="6"/>
  <c r="CA88" i="5"/>
  <c r="CA70" i="5"/>
  <c r="CA242" i="5"/>
  <c r="BX46" i="7"/>
  <c r="CA74" i="6"/>
  <c r="CE43" i="2"/>
  <c r="BZ99" i="6"/>
  <c r="CE462" i="5"/>
  <c r="CE285" i="5"/>
  <c r="CE319" i="2"/>
  <c r="BZ284" i="2"/>
  <c r="BZ217" i="2"/>
  <c r="CA243" i="5"/>
  <c r="BX490" i="6"/>
  <c r="CD490" i="6" s="1"/>
  <c r="AK490" i="6" s="1"/>
  <c r="BZ409" i="5"/>
  <c r="CA259" i="5"/>
  <c r="CA130" i="5"/>
  <c r="CE311" i="6"/>
  <c r="CA231" i="6"/>
  <c r="BZ382" i="2"/>
  <c r="CA393" i="5"/>
  <c r="CA73" i="6"/>
  <c r="BX312" i="7"/>
  <c r="CA244" i="5"/>
  <c r="BZ393" i="6"/>
  <c r="CA361" i="5"/>
  <c r="BZ291" i="6"/>
  <c r="CB478" i="6"/>
  <c r="BZ301" i="2"/>
  <c r="CE367" i="2"/>
  <c r="CA372" i="6"/>
  <c r="BY492" i="6"/>
  <c r="CD492" i="6" s="1"/>
  <c r="AK492" i="6" s="1"/>
  <c r="BX207" i="7"/>
  <c r="CA334" i="6"/>
  <c r="BZ495" i="5"/>
  <c r="CA454" i="2"/>
  <c r="CA223" i="2"/>
  <c r="CA493" i="6"/>
  <c r="CE410" i="5"/>
  <c r="CA147" i="6"/>
  <c r="BZ179" i="2"/>
  <c r="CA441" i="2"/>
  <c r="CE21" i="2"/>
  <c r="CA148" i="6"/>
  <c r="BZ246" i="6"/>
  <c r="BX289" i="7"/>
  <c r="CA190" i="2"/>
  <c r="CA167" i="6"/>
  <c r="CA478" i="6"/>
  <c r="CA402" i="5"/>
  <c r="CA353" i="6"/>
  <c r="CE174" i="6"/>
  <c r="BZ437" i="6"/>
  <c r="CA381" i="5"/>
  <c r="BZ112" i="6"/>
  <c r="CA118" i="2"/>
  <c r="BZ119" i="6"/>
  <c r="CA272" i="5"/>
  <c r="CE25" i="6"/>
  <c r="BZ415" i="6"/>
  <c r="BZ340" i="5"/>
  <c r="BZ231" i="2"/>
  <c r="CA502" i="6"/>
  <c r="BZ450" i="5"/>
  <c r="CE175" i="2"/>
  <c r="CE146" i="5"/>
  <c r="CA23" i="6"/>
  <c r="CA385" i="5"/>
  <c r="BZ384" i="2"/>
  <c r="CE338" i="5"/>
  <c r="CE290" i="6"/>
  <c r="CE368" i="5"/>
  <c r="BZ170" i="6"/>
  <c r="CE391" i="2"/>
  <c r="BZ54" i="2"/>
  <c r="BZ415" i="2"/>
  <c r="CA401" i="2"/>
  <c r="CE112" i="6"/>
  <c r="CE174" i="5"/>
  <c r="CA116" i="6"/>
  <c r="BZ254" i="2"/>
  <c r="BZ148" i="6"/>
  <c r="CE335" i="2"/>
  <c r="CA435" i="5"/>
  <c r="BZ404" i="6"/>
  <c r="CA111" i="2"/>
  <c r="BZ302" i="2"/>
  <c r="BZ394" i="5"/>
  <c r="BZ97" i="6"/>
  <c r="CA250" i="6"/>
  <c r="BZ133" i="5"/>
  <c r="BZ315" i="5"/>
  <c r="BZ50" i="2"/>
  <c r="BX127" i="7"/>
  <c r="CE283" i="6"/>
  <c r="CA355" i="6"/>
  <c r="BZ331" i="6"/>
  <c r="CA41" i="6"/>
  <c r="BZ218" i="6"/>
  <c r="BZ429" i="6"/>
  <c r="CA202" i="5"/>
  <c r="CE197" i="2"/>
  <c r="CA31" i="2"/>
  <c r="BZ305" i="5"/>
  <c r="CE424" i="6"/>
  <c r="CE229" i="2"/>
  <c r="BZ47" i="2"/>
  <c r="BZ53" i="5"/>
  <c r="BZ123" i="2"/>
  <c r="BX174" i="7"/>
  <c r="CA302" i="6"/>
  <c r="BZ163" i="6"/>
  <c r="BZ146" i="2"/>
  <c r="BX113" i="7"/>
  <c r="BZ101" i="2"/>
  <c r="BZ435" i="5"/>
  <c r="BZ257" i="2"/>
  <c r="BZ304" i="6"/>
  <c r="CE408" i="5"/>
  <c r="CB473" i="6"/>
  <c r="BZ280" i="2"/>
  <c r="BZ328" i="6"/>
  <c r="CA408" i="5"/>
  <c r="BZ459" i="6"/>
  <c r="BX228" i="7"/>
  <c r="BZ327" i="5"/>
  <c r="CA445" i="2"/>
  <c r="BZ242" i="2"/>
  <c r="BZ165" i="2"/>
  <c r="BZ279" i="2"/>
  <c r="CE347" i="2"/>
  <c r="CA13" i="6"/>
  <c r="CE110" i="5"/>
  <c r="CB480" i="6"/>
  <c r="BX325" i="7"/>
  <c r="BZ169" i="6"/>
  <c r="BZ317" i="6"/>
  <c r="CA248" i="5"/>
  <c r="BZ398" i="2"/>
  <c r="CE187" i="5"/>
  <c r="BZ312" i="6"/>
  <c r="CA160" i="5"/>
  <c r="CE181" i="6"/>
  <c r="CA483" i="2"/>
  <c r="BZ400" i="5"/>
  <c r="CA262" i="5"/>
  <c r="CE82" i="5"/>
  <c r="CA124" i="2"/>
  <c r="CA62" i="5"/>
  <c r="BZ325" i="2"/>
  <c r="CA414" i="2"/>
  <c r="CA107" i="5"/>
  <c r="CE164" i="2"/>
  <c r="BX94" i="7"/>
  <c r="BX76" i="7"/>
  <c r="BZ394" i="6"/>
  <c r="CE325" i="5"/>
  <c r="BZ116" i="6"/>
  <c r="CE159" i="6"/>
  <c r="BX209" i="7"/>
  <c r="BX473" i="6"/>
  <c r="CD473" i="6" s="1"/>
  <c r="AK473" i="6" s="1"/>
  <c r="CE473" i="6"/>
  <c r="CE419" i="2"/>
  <c r="CE85" i="6"/>
  <c r="CA309" i="2"/>
  <c r="CE98" i="2"/>
  <c r="CA106" i="2"/>
  <c r="BZ59" i="6"/>
  <c r="BX210" i="7"/>
  <c r="BX483" i="6"/>
  <c r="CE483" i="6"/>
  <c r="BZ431" i="6"/>
  <c r="BX330" i="7"/>
  <c r="CA141" i="2"/>
  <c r="BZ474" i="6"/>
  <c r="CE219" i="6"/>
  <c r="CE102" i="5"/>
  <c r="BZ384" i="6"/>
  <c r="CE149" i="5"/>
  <c r="CA257" i="5"/>
  <c r="BX188" i="7"/>
  <c r="CA388" i="6"/>
  <c r="BZ351" i="5"/>
  <c r="CA128" i="6"/>
  <c r="BZ342" i="5"/>
  <c r="CA268" i="2"/>
  <c r="CE87" i="5"/>
  <c r="BZ146" i="5"/>
  <c r="BZ23" i="2"/>
  <c r="BZ433" i="5"/>
  <c r="CA279" i="5"/>
  <c r="CA102" i="2"/>
  <c r="BZ480" i="2"/>
  <c r="CA385" i="6"/>
  <c r="BZ313" i="6"/>
  <c r="BX306" i="7"/>
  <c r="CA364" i="6"/>
  <c r="BZ461" i="2"/>
  <c r="BY469" i="6"/>
  <c r="CA55" i="5"/>
  <c r="CA244" i="6"/>
  <c r="CA469" i="5"/>
  <c r="BX287" i="7"/>
  <c r="BZ270" i="6"/>
  <c r="BX189" i="7"/>
  <c r="BX18" i="7"/>
  <c r="CA143" i="6"/>
  <c r="CE332" i="5"/>
  <c r="CE76" i="6"/>
  <c r="CE19" i="5"/>
  <c r="CA196" i="2"/>
  <c r="CE441" i="2"/>
  <c r="BX195" i="7"/>
  <c r="CE182" i="2"/>
  <c r="BX240" i="7"/>
  <c r="CA112" i="2"/>
  <c r="CA207" i="6"/>
  <c r="CE80" i="6"/>
  <c r="CA127" i="5"/>
  <c r="BZ309" i="2"/>
  <c r="BZ325" i="6"/>
  <c r="CA19" i="6"/>
  <c r="CA71" i="2"/>
  <c r="CA123" i="6"/>
  <c r="CE457" i="5"/>
  <c r="CE454" i="6"/>
  <c r="CE329" i="5"/>
  <c r="BZ236" i="6"/>
  <c r="CE360" i="5"/>
  <c r="CA410" i="2"/>
  <c r="BZ488" i="2"/>
  <c r="CE471" i="2"/>
  <c r="CE159" i="2"/>
  <c r="CA460" i="6"/>
  <c r="BZ266" i="5"/>
  <c r="CE61" i="2"/>
  <c r="BZ99" i="2"/>
  <c r="BZ193" i="6"/>
  <c r="CE118" i="5"/>
  <c r="CA260" i="6"/>
  <c r="CE162" i="5"/>
  <c r="CE184" i="5"/>
  <c r="CA434" i="6"/>
  <c r="BZ419" i="5"/>
  <c r="BZ213" i="6"/>
  <c r="CB469" i="6"/>
  <c r="BX477" i="6"/>
  <c r="CE477" i="6"/>
  <c r="CD477" i="6"/>
  <c r="AK477" i="6" s="1"/>
  <c r="CA275" i="5"/>
  <c r="CE232" i="2"/>
  <c r="BZ464" i="6"/>
  <c r="CE484" i="2"/>
  <c r="CE74" i="2"/>
  <c r="BX24" i="7"/>
  <c r="CA80" i="2"/>
  <c r="CA223" i="6"/>
  <c r="BX282" i="7"/>
  <c r="CE284" i="5"/>
  <c r="CE304" i="2"/>
  <c r="BZ196" i="5"/>
  <c r="CE452" i="5"/>
  <c r="CA380" i="5"/>
  <c r="BZ75" i="5"/>
  <c r="BZ475" i="6"/>
  <c r="CA383" i="5"/>
  <c r="BZ210" i="6"/>
  <c r="BZ77" i="2"/>
  <c r="CE361" i="2"/>
  <c r="CA25" i="6"/>
  <c r="BX34" i="7"/>
  <c r="BZ322" i="5"/>
  <c r="CA295" i="2"/>
  <c r="BX171" i="7"/>
  <c r="CE424" i="5"/>
  <c r="BX20" i="7"/>
  <c r="BZ33" i="6"/>
  <c r="CA369" i="5"/>
  <c r="BZ208" i="6"/>
  <c r="BZ285" i="2"/>
  <c r="BZ169" i="5"/>
  <c r="BX108" i="7"/>
  <c r="CA348" i="6"/>
  <c r="CA352" i="6"/>
  <c r="CE22" i="2"/>
  <c r="BZ117" i="2"/>
  <c r="CA134" i="5"/>
  <c r="CA395" i="6"/>
  <c r="BZ418" i="6"/>
  <c r="BX164" i="7"/>
  <c r="CA345" i="5"/>
  <c r="CA207" i="5"/>
  <c r="CE480" i="2"/>
  <c r="CE422" i="2"/>
  <c r="CA121" i="6"/>
  <c r="CA402" i="6"/>
  <c r="CE121" i="2"/>
  <c r="BZ149" i="5"/>
  <c r="BY484" i="6"/>
  <c r="CD484" i="6" s="1"/>
  <c r="AK484" i="6" s="1"/>
  <c r="CE463" i="5"/>
  <c r="CA459" i="5"/>
  <c r="BZ37" i="5"/>
  <c r="BZ370" i="6"/>
  <c r="CA35" i="2"/>
  <c r="CE298" i="5"/>
  <c r="BZ452" i="2"/>
  <c r="CA130" i="2"/>
  <c r="CE365" i="5"/>
  <c r="BZ313" i="5"/>
  <c r="CA57" i="5"/>
  <c r="CA314" i="5"/>
  <c r="BZ251" i="5"/>
  <c r="CE63" i="6"/>
  <c r="BZ121" i="6"/>
  <c r="CE340" i="2"/>
  <c r="BZ150" i="2"/>
  <c r="BZ334" i="5"/>
  <c r="BZ224" i="2"/>
  <c r="CE50" i="2"/>
  <c r="CE449" i="6"/>
  <c r="CA241" i="5"/>
  <c r="BZ278" i="6"/>
  <c r="CA379" i="6"/>
  <c r="BX203" i="7"/>
  <c r="CE369" i="2"/>
  <c r="CE351" i="6"/>
  <c r="CA307" i="5"/>
  <c r="CE419" i="6"/>
  <c r="CE222" i="2"/>
  <c r="CE52" i="2"/>
  <c r="CA425" i="6"/>
  <c r="BZ58" i="6"/>
  <c r="BZ45" i="6"/>
  <c r="CA105" i="6"/>
  <c r="CA329" i="2"/>
  <c r="CE29" i="6"/>
  <c r="CA153" i="2"/>
  <c r="CA52" i="5"/>
  <c r="CA342" i="6"/>
  <c r="CA257" i="6"/>
  <c r="CA67" i="5"/>
  <c r="BX90" i="7"/>
  <c r="CA131" i="6"/>
  <c r="CE479" i="5"/>
  <c r="BZ400" i="6"/>
  <c r="BX160" i="7"/>
  <c r="CE285" i="6"/>
  <c r="BZ26" i="2"/>
  <c r="CE349" i="2"/>
  <c r="CA163" i="2"/>
  <c r="BZ25" i="5"/>
  <c r="CE319" i="5"/>
  <c r="CE480" i="5"/>
  <c r="CA259" i="2"/>
  <c r="CA297" i="6"/>
  <c r="BX202" i="7"/>
  <c r="CE202" i="2"/>
  <c r="CA311" i="2"/>
  <c r="CA407" i="6"/>
  <c r="BX86" i="7"/>
  <c r="BZ423" i="6"/>
  <c r="CE220" i="2"/>
  <c r="CE92" i="6"/>
  <c r="CA365" i="6"/>
  <c r="BZ186" i="2"/>
  <c r="CA429" i="6"/>
  <c r="CE400" i="5"/>
  <c r="CA77" i="6"/>
  <c r="CE427" i="5"/>
  <c r="CA92" i="6"/>
  <c r="BZ160" i="5"/>
  <c r="BZ186" i="6"/>
  <c r="BZ250" i="5"/>
  <c r="CE311" i="2"/>
  <c r="CA377" i="2"/>
  <c r="CA185" i="6"/>
  <c r="CE397" i="5"/>
  <c r="CA480" i="2"/>
  <c r="CE149" i="2"/>
  <c r="BZ210" i="5"/>
  <c r="CE402" i="5"/>
  <c r="CA237" i="5"/>
  <c r="CE210" i="6"/>
  <c r="CA360" i="2"/>
  <c r="BZ49" i="5"/>
  <c r="BX173" i="7"/>
  <c r="CA63" i="6"/>
  <c r="BZ226" i="2"/>
  <c r="CE411" i="2"/>
  <c r="BZ138" i="5"/>
  <c r="CE196" i="5"/>
  <c r="BZ93" i="6"/>
  <c r="CA300" i="2"/>
  <c r="BZ259" i="5"/>
  <c r="CE450" i="5"/>
  <c r="BZ441" i="6"/>
  <c r="BZ390" i="2"/>
  <c r="CB487" i="6"/>
  <c r="BZ209" i="6"/>
  <c r="CA468" i="6"/>
  <c r="BY500" i="6"/>
  <c r="CD500" i="6" s="1"/>
  <c r="AK500" i="6" s="1"/>
  <c r="CA270" i="2"/>
  <c r="CA313" i="5"/>
  <c r="BX109" i="7"/>
  <c r="CE115" i="2"/>
  <c r="CE98" i="5"/>
  <c r="CA355" i="2"/>
  <c r="CA23" i="2"/>
  <c r="BZ113" i="5"/>
  <c r="BX199" i="7"/>
  <c r="CA58" i="5"/>
  <c r="CE409" i="5"/>
  <c r="CE92" i="5"/>
  <c r="CA164" i="2"/>
  <c r="BZ142" i="5"/>
  <c r="BZ27" i="5"/>
  <c r="CE183" i="6"/>
  <c r="BX278" i="7"/>
  <c r="BX479" i="6"/>
  <c r="CE479" i="6"/>
  <c r="BZ166" i="2"/>
  <c r="CA138" i="6"/>
  <c r="BZ75" i="6"/>
  <c r="CA214" i="5"/>
  <c r="BZ478" i="2"/>
  <c r="BZ472" i="2"/>
  <c r="CE31" i="6"/>
  <c r="CA227" i="2"/>
  <c r="CE244" i="2"/>
  <c r="CA266" i="2"/>
  <c r="BZ80" i="5"/>
  <c r="BZ194" i="5"/>
  <c r="CE129" i="5"/>
  <c r="CE472" i="6"/>
  <c r="BX472" i="6"/>
  <c r="BZ489" i="6"/>
  <c r="CE109" i="2"/>
  <c r="CA319" i="6"/>
  <c r="BZ224" i="5"/>
  <c r="BZ253" i="6"/>
  <c r="CE63" i="5"/>
  <c r="CA281" i="2"/>
  <c r="CA28" i="6"/>
  <c r="BZ483" i="6"/>
  <c r="CD483" i="6" s="1"/>
  <c r="AK483" i="6" s="1"/>
  <c r="CA491" i="6"/>
  <c r="CA440" i="6"/>
  <c r="CA170" i="2"/>
  <c r="CE281" i="2"/>
  <c r="CE438" i="5"/>
  <c r="CE49" i="5"/>
  <c r="CE425" i="5"/>
  <c r="CE260" i="5"/>
  <c r="CA335" i="5"/>
  <c r="CE210" i="2"/>
  <c r="BZ62" i="2"/>
  <c r="CE262" i="6"/>
  <c r="CA220" i="6"/>
  <c r="BX36" i="7"/>
  <c r="CA398" i="5"/>
  <c r="BZ345" i="2"/>
  <c r="BZ185" i="2"/>
  <c r="CA249" i="6"/>
  <c r="CE55" i="5"/>
  <c r="CE51" i="5"/>
  <c r="CA425" i="5"/>
  <c r="CE402" i="6"/>
  <c r="CA209" i="6"/>
  <c r="CE367" i="5"/>
  <c r="CA94" i="5"/>
  <c r="CE319" i="6"/>
  <c r="BZ125" i="2"/>
  <c r="BX481" i="6"/>
  <c r="CE481" i="6"/>
  <c r="CA434" i="2"/>
  <c r="CE449" i="2"/>
  <c r="BZ32" i="5"/>
  <c r="BZ492" i="2"/>
  <c r="CE56" i="2"/>
  <c r="CA395" i="2"/>
  <c r="BZ397" i="2"/>
  <c r="BZ443" i="5"/>
  <c r="BZ399" i="2"/>
  <c r="CA17" i="5"/>
  <c r="CA42" i="2"/>
  <c r="CA15" i="2"/>
  <c r="CE440" i="5"/>
  <c r="CA450" i="5"/>
  <c r="CA445" i="5"/>
  <c r="BZ85" i="2"/>
  <c r="BZ148" i="2"/>
  <c r="BZ29" i="5"/>
  <c r="BX249" i="7"/>
  <c r="CE99" i="6"/>
  <c r="BX120" i="7"/>
  <c r="BZ226" i="6"/>
  <c r="CA213" i="5"/>
  <c r="CA422" i="6"/>
  <c r="BX227" i="7"/>
  <c r="CE65" i="5"/>
  <c r="BZ19" i="6"/>
  <c r="CA128" i="5"/>
  <c r="CA423" i="6"/>
  <c r="CE469" i="6"/>
  <c r="BX469" i="6"/>
  <c r="CE250" i="2"/>
  <c r="CE186" i="6"/>
  <c r="BX87" i="7"/>
  <c r="CA148" i="2"/>
  <c r="CE226" i="2"/>
  <c r="BZ338" i="6"/>
  <c r="BZ349" i="5"/>
  <c r="CE145" i="2"/>
  <c r="CE62" i="6"/>
  <c r="CE187" i="6"/>
  <c r="CE13" i="5"/>
  <c r="CE249" i="2"/>
  <c r="CE155" i="5"/>
  <c r="CE279" i="5"/>
  <c r="CA342" i="5"/>
  <c r="CA49" i="5"/>
  <c r="CE179" i="6"/>
  <c r="CA173" i="2"/>
  <c r="CE341" i="6"/>
  <c r="CA143" i="2"/>
  <c r="CE247" i="2"/>
  <c r="BZ282" i="6"/>
  <c r="BZ34" i="5"/>
  <c r="BZ281" i="6"/>
  <c r="BZ397" i="5"/>
  <c r="BZ319" i="2"/>
  <c r="CA78" i="6"/>
  <c r="BX156" i="7"/>
  <c r="CA68" i="6"/>
  <c r="CA28" i="5"/>
  <c r="CA197" i="6"/>
  <c r="BZ118" i="2"/>
  <c r="BZ448" i="6"/>
  <c r="CE225" i="2"/>
  <c r="BZ19" i="5"/>
  <c r="BZ388" i="2"/>
  <c r="CA99" i="2"/>
  <c r="CA437" i="5"/>
  <c r="BZ206" i="6"/>
  <c r="BZ68" i="6"/>
  <c r="CE281" i="5"/>
  <c r="BX237" i="7"/>
  <c r="BZ332" i="2"/>
  <c r="CA473" i="2"/>
  <c r="BZ56" i="5"/>
  <c r="BZ161" i="5"/>
  <c r="BZ263" i="2"/>
  <c r="CE123" i="6"/>
  <c r="CA51" i="6"/>
  <c r="CE365" i="6"/>
  <c r="BZ403" i="6"/>
  <c r="CA419" i="2"/>
  <c r="CE323" i="5"/>
  <c r="CE461" i="2"/>
  <c r="CE165" i="2"/>
  <c r="CA359" i="6"/>
  <c r="CA308" i="5"/>
  <c r="CA50" i="2"/>
  <c r="BZ164" i="6"/>
  <c r="CE282" i="5"/>
  <c r="BZ235" i="6"/>
  <c r="CE253" i="6"/>
  <c r="BX77" i="7"/>
  <c r="CA307" i="2"/>
  <c r="CE435" i="5"/>
  <c r="BX48" i="7"/>
  <c r="CA43" i="2"/>
  <c r="BZ243" i="2"/>
  <c r="BZ410" i="2"/>
  <c r="CE290" i="5"/>
  <c r="BZ183" i="2"/>
  <c r="CE392" i="6"/>
  <c r="BZ338" i="2"/>
  <c r="CA137" i="6"/>
  <c r="BZ107" i="6"/>
  <c r="CA362" i="5"/>
  <c r="CE193" i="6"/>
  <c r="BX17" i="7"/>
  <c r="CA47" i="5"/>
  <c r="CA319" i="5"/>
  <c r="CA444" i="5"/>
  <c r="CA82" i="6"/>
  <c r="CE339" i="6"/>
  <c r="CA394" i="6"/>
  <c r="BZ140" i="6"/>
  <c r="BZ344" i="6"/>
  <c r="CE278" i="6"/>
  <c r="BZ119" i="2"/>
  <c r="BZ254" i="5"/>
  <c r="CE237" i="5"/>
  <c r="BZ154" i="2"/>
  <c r="CA62" i="6"/>
  <c r="CA188" i="5"/>
  <c r="BX88" i="7"/>
  <c r="CA284" i="2"/>
  <c r="CE405" i="6"/>
  <c r="BZ309" i="5"/>
  <c r="BZ199" i="5"/>
  <c r="CE277" i="6"/>
  <c r="CA179" i="2"/>
  <c r="CE443" i="2"/>
  <c r="CA255" i="6"/>
  <c r="CA159" i="5"/>
  <c r="CE27" i="2"/>
  <c r="BZ285" i="5"/>
  <c r="BZ374" i="5"/>
  <c r="CE71" i="6"/>
  <c r="BZ420" i="2"/>
  <c r="CA227" i="6"/>
  <c r="CE209" i="6"/>
  <c r="BX219" i="7"/>
  <c r="CE74" i="5"/>
  <c r="BX211" i="7"/>
  <c r="BZ344" i="2"/>
  <c r="CA473" i="5"/>
  <c r="BZ152" i="6"/>
  <c r="CA481" i="6"/>
  <c r="CE78" i="5"/>
  <c r="BX252" i="7"/>
  <c r="CE458" i="6"/>
  <c r="BX245" i="7"/>
  <c r="CA81" i="5"/>
  <c r="BX290" i="7"/>
  <c r="CE478" i="5"/>
  <c r="BZ363" i="2"/>
  <c r="CE176" i="5"/>
  <c r="CB470" i="6"/>
  <c r="CE393" i="6"/>
  <c r="BY487" i="6"/>
  <c r="CD487" i="6" s="1"/>
  <c r="AK487" i="6" s="1"/>
  <c r="CA431" i="2"/>
  <c r="CA166" i="2"/>
  <c r="BZ212" i="6"/>
  <c r="CA205" i="6"/>
  <c r="CE147" i="2"/>
  <c r="CA99" i="5"/>
  <c r="CE401" i="6"/>
  <c r="CA275" i="6"/>
  <c r="BZ439" i="6"/>
  <c r="CE303" i="5"/>
  <c r="BZ305" i="6"/>
  <c r="BX43" i="7"/>
  <c r="BZ233" i="2"/>
  <c r="BZ502" i="5"/>
  <c r="CE32" i="5"/>
  <c r="BZ447" i="2"/>
  <c r="BZ289" i="6"/>
  <c r="CE438" i="2"/>
  <c r="BX33" i="7"/>
  <c r="BX181" i="7"/>
  <c r="CE233" i="6"/>
  <c r="CA80" i="5"/>
  <c r="CE159" i="5"/>
  <c r="CA29" i="5"/>
  <c r="CA101" i="5"/>
  <c r="BZ28" i="2"/>
  <c r="CE185" i="6"/>
  <c r="BZ427" i="6"/>
  <c r="BZ58" i="2"/>
  <c r="BZ319" i="6"/>
  <c r="CE434" i="5"/>
  <c r="CE20" i="2"/>
  <c r="CA458" i="5"/>
  <c r="CE342" i="6"/>
  <c r="CA155" i="6"/>
  <c r="BZ247" i="2"/>
  <c r="CE46" i="2"/>
  <c r="BZ290" i="5"/>
  <c r="CE339" i="5"/>
  <c r="CB472" i="6"/>
  <c r="CD472" i="6" s="1"/>
  <c r="AK472" i="6" s="1"/>
  <c r="CA41" i="5"/>
  <c r="CA14" i="6"/>
  <c r="CA141" i="6"/>
  <c r="CE89" i="5"/>
  <c r="CE318" i="6"/>
  <c r="CA272" i="6"/>
  <c r="BZ202" i="2"/>
  <c r="BZ324" i="6"/>
  <c r="CE45" i="6"/>
  <c r="CE387" i="5"/>
  <c r="CE239" i="6"/>
  <c r="BZ128" i="5"/>
  <c r="CA413" i="6"/>
  <c r="CE447" i="5"/>
  <c r="BZ230" i="5"/>
  <c r="CE485" i="2"/>
  <c r="CA205" i="2"/>
  <c r="CE77" i="2"/>
  <c r="CA246" i="2"/>
  <c r="BZ318" i="5"/>
  <c r="CE389" i="2"/>
  <c r="CA318" i="5"/>
  <c r="CE25" i="2"/>
  <c r="CA354" i="6"/>
  <c r="CA251" i="5"/>
  <c r="CA387" i="5"/>
  <c r="CE43" i="6"/>
  <c r="BZ445" i="6"/>
  <c r="CE162" i="6"/>
  <c r="BZ370" i="2"/>
  <c r="CE248" i="6"/>
  <c r="CE281" i="6"/>
  <c r="CA470" i="6"/>
  <c r="BZ61" i="6"/>
  <c r="CA175" i="6"/>
  <c r="CA237" i="2"/>
  <c r="BX67" i="7"/>
  <c r="BX489" i="6"/>
  <c r="CD489" i="6"/>
  <c r="AK489" i="6" s="1"/>
  <c r="BZ195" i="2"/>
  <c r="BZ71" i="6"/>
  <c r="CE338" i="2"/>
  <c r="BZ413" i="6"/>
  <c r="CA422" i="5"/>
  <c r="CA65" i="5"/>
  <c r="BX253" i="7"/>
  <c r="CE360" i="6"/>
  <c r="CE395" i="6"/>
  <c r="CA394" i="5"/>
  <c r="BZ267" i="2"/>
  <c r="BZ258" i="2"/>
  <c r="BX501" i="6"/>
  <c r="CD501" i="6" s="1"/>
  <c r="AK501" i="6" s="1"/>
  <c r="CE315" i="6"/>
  <c r="CE163" i="2"/>
  <c r="BY474" i="6"/>
  <c r="CE20" i="5"/>
  <c r="CA431" i="6"/>
  <c r="CE71" i="2"/>
  <c r="CA444" i="2"/>
  <c r="CA443" i="6"/>
  <c r="CA199" i="6"/>
  <c r="CA247" i="6"/>
  <c r="CE131" i="5"/>
  <c r="CE64" i="2"/>
  <c r="BZ425" i="5"/>
  <c r="BZ147" i="6"/>
  <c r="CA489" i="5"/>
  <c r="CA393" i="6"/>
  <c r="CE151" i="2"/>
  <c r="CA233" i="2"/>
  <c r="BZ269" i="5"/>
  <c r="CA323" i="5"/>
  <c r="BZ27" i="2"/>
  <c r="BZ403" i="5"/>
  <c r="CA86" i="6"/>
  <c r="BZ355" i="2"/>
  <c r="CE35" i="2"/>
  <c r="BX310" i="7"/>
  <c r="CA255" i="5"/>
  <c r="BX187" i="7"/>
  <c r="BZ369" i="5"/>
  <c r="BZ444" i="5"/>
  <c r="BZ229" i="2"/>
  <c r="CA493" i="2"/>
  <c r="CA194" i="5"/>
  <c r="CA151" i="2"/>
  <c r="CA124" i="6"/>
  <c r="CA20" i="6"/>
  <c r="BZ460" i="2"/>
  <c r="BX244" i="7"/>
  <c r="BX214" i="7"/>
  <c r="BZ78" i="6"/>
  <c r="BX116" i="7"/>
  <c r="CA357" i="2"/>
  <c r="BZ56" i="6"/>
  <c r="CA447" i="5"/>
  <c r="CA310" i="2"/>
  <c r="CE172" i="5"/>
  <c r="BX241" i="7"/>
  <c r="BX41" i="7"/>
  <c r="BZ20" i="5"/>
  <c r="CA227" i="5"/>
  <c r="CE304" i="6"/>
  <c r="CA470" i="2"/>
  <c r="CE280" i="5"/>
  <c r="BX66" i="7"/>
  <c r="BX134" i="7"/>
  <c r="CA308" i="6"/>
  <c r="CE101" i="6"/>
  <c r="BX218" i="7"/>
  <c r="CA102" i="6"/>
  <c r="CE474" i="5"/>
  <c r="CE14" i="6"/>
  <c r="BZ53" i="6"/>
  <c r="BZ129" i="6"/>
  <c r="BX300" i="7"/>
  <c r="BZ374" i="6"/>
  <c r="CA401" i="6"/>
  <c r="BZ255" i="2"/>
  <c r="BZ112" i="5"/>
  <c r="CA182" i="2"/>
  <c r="BZ185" i="5"/>
  <c r="CE97" i="6"/>
  <c r="BZ465" i="5"/>
  <c r="CE211" i="2"/>
  <c r="CA432" i="5"/>
  <c r="BX73" i="7"/>
  <c r="BZ26" i="5"/>
  <c r="CE407" i="6"/>
  <c r="BZ372" i="6"/>
  <c r="CB492" i="6"/>
  <c r="CA49" i="2"/>
  <c r="BZ361" i="5"/>
  <c r="BZ238" i="5"/>
  <c r="CA322" i="5"/>
  <c r="CE40" i="6"/>
  <c r="BX80" i="7"/>
  <c r="BZ322" i="6"/>
  <c r="CE128" i="5"/>
  <c r="BX183" i="7"/>
  <c r="BZ347" i="5"/>
  <c r="BZ437" i="5"/>
  <c r="BZ217" i="6"/>
  <c r="BZ355" i="6"/>
  <c r="BX162" i="7"/>
  <c r="CE301" i="6"/>
  <c r="BZ66" i="5"/>
  <c r="CE59" i="6"/>
  <c r="BZ459" i="5"/>
  <c r="CE203" i="6"/>
  <c r="CA409" i="6"/>
  <c r="BZ495" i="2"/>
  <c r="CE230" i="2"/>
  <c r="CA64" i="2"/>
  <c r="CA45" i="2"/>
  <c r="BX130" i="7"/>
  <c r="CE243" i="6"/>
  <c r="BZ311" i="2"/>
  <c r="CE330" i="5"/>
  <c r="CA177" i="2"/>
  <c r="CE353" i="5"/>
  <c r="CA457" i="6"/>
  <c r="CA222" i="6"/>
  <c r="CA337" i="2"/>
  <c r="CA282" i="5"/>
  <c r="BZ335" i="2"/>
  <c r="BZ488" i="5"/>
  <c r="BX129" i="7"/>
  <c r="CE451" i="6"/>
  <c r="CE355" i="5"/>
  <c r="CA151" i="6"/>
  <c r="BX491" i="6"/>
  <c r="CD491" i="6" s="1"/>
  <c r="AK491" i="6" s="1"/>
  <c r="BZ46" i="2"/>
  <c r="CA333" i="6"/>
  <c r="BZ100" i="5"/>
  <c r="BX55" i="7"/>
  <c r="BX168" i="7"/>
  <c r="CA105" i="2"/>
  <c r="CA173" i="5"/>
  <c r="CE405" i="5"/>
  <c r="BZ245" i="5"/>
  <c r="CA405" i="6"/>
  <c r="BX143" i="7"/>
  <c r="CE81" i="5"/>
  <c r="CE222" i="5"/>
  <c r="CA136" i="2"/>
  <c r="BZ367" i="2"/>
  <c r="CA45" i="5"/>
  <c r="CE167" i="2"/>
  <c r="CE205" i="6"/>
  <c r="CA312" i="2"/>
  <c r="CA318" i="2"/>
  <c r="CE423" i="6"/>
  <c r="CE310" i="2"/>
  <c r="CA246" i="5"/>
  <c r="CA393" i="2"/>
  <c r="CE122" i="2"/>
  <c r="BZ197" i="6"/>
  <c r="CE246" i="6"/>
  <c r="BX57" i="7"/>
  <c r="BZ453" i="6"/>
  <c r="CE53" i="2"/>
  <c r="CA16" i="6"/>
  <c r="CA403" i="2"/>
  <c r="BZ143" i="6"/>
  <c r="CE417" i="5"/>
  <c r="BZ200" i="6"/>
  <c r="BX84" i="7"/>
  <c r="BX319" i="7"/>
  <c r="CA457" i="2"/>
  <c r="CA450" i="2"/>
  <c r="BZ453" i="2"/>
  <c r="CE160" i="6"/>
  <c r="CA343" i="6"/>
  <c r="BZ188" i="5"/>
  <c r="CE345" i="5"/>
  <c r="CA354" i="5"/>
  <c r="CA443" i="5"/>
  <c r="BZ434" i="6"/>
  <c r="CE175" i="6"/>
  <c r="BZ207" i="5"/>
  <c r="CA39" i="6"/>
  <c r="BZ19" i="2"/>
  <c r="BZ265" i="6"/>
  <c r="CA183" i="5"/>
  <c r="BZ451" i="2"/>
  <c r="BZ263" i="6"/>
  <c r="BZ122" i="5"/>
  <c r="CE157" i="5"/>
  <c r="CA465" i="2"/>
  <c r="CE235" i="6"/>
  <c r="BZ387" i="2"/>
  <c r="CA388" i="5"/>
  <c r="BZ183" i="5"/>
  <c r="BX280" i="7"/>
  <c r="CA143" i="5"/>
  <c r="BZ402" i="6"/>
  <c r="BZ484" i="2"/>
  <c r="BX285" i="7"/>
  <c r="CE331" i="2"/>
  <c r="CA301" i="6"/>
  <c r="BZ44" i="2"/>
  <c r="BZ250" i="2"/>
  <c r="CA277" i="6"/>
  <c r="BZ433" i="6"/>
  <c r="BZ211" i="6"/>
  <c r="CA490" i="5"/>
  <c r="BZ409" i="2"/>
  <c r="CA288" i="5"/>
  <c r="BZ157" i="2"/>
  <c r="CA57" i="2"/>
  <c r="BZ482" i="5"/>
  <c r="BZ76" i="5"/>
  <c r="CA377" i="6"/>
  <c r="BX140" i="7"/>
  <c r="BX196" i="7"/>
  <c r="CA260" i="5"/>
  <c r="CA353" i="2"/>
  <c r="CE469" i="5"/>
  <c r="CE357" i="6"/>
  <c r="CE475" i="5"/>
  <c r="CE53" i="5"/>
  <c r="BX107" i="7"/>
  <c r="CE222" i="6"/>
  <c r="CA234" i="6"/>
  <c r="BZ258" i="5"/>
  <c r="CE125" i="2"/>
  <c r="BZ114" i="2"/>
  <c r="BZ294" i="5"/>
  <c r="BZ321" i="2"/>
  <c r="BX167" i="7"/>
  <c r="CA169" i="2"/>
  <c r="BZ181" i="6"/>
  <c r="BZ223" i="5"/>
  <c r="BZ377" i="5"/>
  <c r="CE352" i="6"/>
  <c r="BZ320" i="2"/>
  <c r="CA284" i="5"/>
  <c r="CE430" i="2"/>
  <c r="CE249" i="5"/>
  <c r="CA433" i="2"/>
  <c r="CE333" i="6"/>
  <c r="CA280" i="2"/>
  <c r="CE125" i="6"/>
  <c r="CA70" i="2"/>
  <c r="BZ16" i="6"/>
  <c r="CE258" i="5"/>
  <c r="BZ420" i="6"/>
  <c r="BZ89" i="6"/>
  <c r="CE93" i="6"/>
  <c r="CA498" i="6"/>
  <c r="CD498" i="6" s="1"/>
  <c r="AK498" i="6" s="1"/>
  <c r="CE309" i="2"/>
  <c r="BZ208" i="2"/>
  <c r="BX131" i="7"/>
  <c r="BX305" i="7"/>
  <c r="CE388" i="6"/>
  <c r="CE39" i="6"/>
  <c r="BZ245" i="2"/>
  <c r="CA100" i="6"/>
  <c r="CA382" i="5"/>
  <c r="CA187" i="2"/>
  <c r="BZ177" i="6"/>
  <c r="CA27" i="2"/>
  <c r="CA359" i="5"/>
  <c r="CE350" i="6"/>
  <c r="CE68" i="2"/>
  <c r="CA410" i="5"/>
  <c r="CE154" i="5"/>
  <c r="CE282" i="2"/>
  <c r="CE334" i="6"/>
  <c r="CA126" i="6"/>
  <c r="CB479" i="6"/>
  <c r="CD479" i="6" s="1"/>
  <c r="AK479" i="6" s="1"/>
  <c r="CE317" i="6"/>
  <c r="CE458" i="5"/>
  <c r="CA448" i="6"/>
  <c r="CA374" i="6"/>
  <c r="BZ273" i="6"/>
  <c r="CA183" i="6"/>
  <c r="CA373" i="6"/>
  <c r="CE34" i="5"/>
  <c r="BZ448" i="2"/>
  <c r="CE389" i="6"/>
  <c r="CA289" i="6"/>
  <c r="BZ151" i="6"/>
  <c r="CE83" i="6"/>
  <c r="CA347" i="2"/>
  <c r="CE52" i="5"/>
  <c r="CE485" i="5"/>
  <c r="CE47" i="6"/>
  <c r="BX154" i="7"/>
  <c r="CA25" i="5"/>
  <c r="CE345" i="6"/>
  <c r="BX165" i="7"/>
  <c r="BX301" i="7"/>
  <c r="CA93" i="2"/>
  <c r="BZ405" i="5"/>
  <c r="BX42" i="7"/>
  <c r="CA64" i="5"/>
  <c r="BZ395" i="6"/>
  <c r="BZ80" i="2"/>
  <c r="CA482" i="6"/>
  <c r="BZ367" i="5"/>
  <c r="BZ87" i="6"/>
  <c r="CE363" i="6"/>
  <c r="BX216" i="7"/>
  <c r="CA104" i="5"/>
  <c r="CE259" i="2"/>
  <c r="BX308" i="7"/>
  <c r="CA157" i="2"/>
  <c r="CE165" i="5"/>
  <c r="CA89" i="2"/>
  <c r="BZ31" i="6"/>
  <c r="CA412" i="6"/>
  <c r="CE104" i="6"/>
  <c r="CA109" i="5"/>
  <c r="CD481" i="6"/>
  <c r="AK481" i="6" s="1"/>
  <c r="CD474" i="6"/>
  <c r="AK474" i="6" s="1"/>
  <c r="CD478" i="6"/>
  <c r="AK478" i="6" s="1"/>
  <c r="CD469" i="6"/>
  <c r="BX468" i="6"/>
  <c r="BY468" i="6"/>
  <c r="CB468" i="6"/>
  <c r="CC468" i="6"/>
  <c r="CD468" i="6" l="1"/>
  <c r="AK469" i="6"/>
  <c r="BX467" i="6"/>
  <c r="BY467" i="6"/>
  <c r="CB467" i="6"/>
  <c r="CC467" i="6"/>
  <c r="CD467" i="6" l="1"/>
  <c r="AK468" i="6"/>
  <c r="AK467" i="6" l="1"/>
  <c r="BX465" i="6"/>
  <c r="BY465" i="6"/>
  <c r="CB465" i="6"/>
  <c r="CC465" i="6"/>
  <c r="CD465" i="6" l="1"/>
  <c r="BX464" i="6"/>
  <c r="BY464" i="6"/>
  <c r="CB464" i="6"/>
  <c r="CC464" i="6"/>
  <c r="CD464" i="6" l="1"/>
  <c r="AK465" i="6"/>
  <c r="BX463" i="6"/>
  <c r="BY463" i="6"/>
  <c r="CB463" i="6"/>
  <c r="CC463" i="6"/>
  <c r="CD463" i="6" l="1"/>
  <c r="AK464" i="6"/>
  <c r="BX462" i="6"/>
  <c r="BY462" i="6"/>
  <c r="CB462" i="6"/>
  <c r="CC462" i="6"/>
  <c r="CD462" i="6" l="1"/>
  <c r="AK463" i="6"/>
  <c r="BX461" i="6"/>
  <c r="BY461" i="6"/>
  <c r="CB461" i="6"/>
  <c r="CC461" i="6"/>
  <c r="CD461" i="6" l="1"/>
  <c r="AK462" i="6"/>
  <c r="BX460" i="6"/>
  <c r="BY460" i="6"/>
  <c r="CB460" i="6"/>
  <c r="CC460" i="6"/>
  <c r="CD460" i="6" l="1"/>
  <c r="AK461" i="6"/>
  <c r="BX459" i="6"/>
  <c r="BY459" i="6"/>
  <c r="CB459" i="6"/>
  <c r="CC459" i="6"/>
  <c r="CD459" i="6" l="1"/>
  <c r="AK460" i="6"/>
  <c r="BX458" i="6"/>
  <c r="BY458" i="6"/>
  <c r="CB458" i="6"/>
  <c r="CC458" i="6"/>
  <c r="CD458" i="6" l="1"/>
  <c r="AK459" i="6"/>
  <c r="BX457" i="6"/>
  <c r="BY457" i="6"/>
  <c r="CB457" i="6"/>
  <c r="CC457" i="6"/>
  <c r="CD457" i="6" l="1"/>
  <c r="AK458" i="6"/>
  <c r="AK457" i="6" l="1"/>
  <c r="BX455" i="6"/>
  <c r="BY455" i="6"/>
  <c r="CB455" i="6"/>
  <c r="CC455" i="6"/>
  <c r="CD455" i="6" l="1"/>
  <c r="BX454" i="6"/>
  <c r="BY454" i="6"/>
  <c r="CB454" i="6"/>
  <c r="CC454" i="6"/>
  <c r="CD454" i="6" l="1"/>
  <c r="AK455" i="6"/>
  <c r="BX453" i="6"/>
  <c r="BY453" i="6"/>
  <c r="CB453" i="6"/>
  <c r="CC453" i="6"/>
  <c r="CD453" i="6" l="1"/>
  <c r="AK454" i="6"/>
  <c r="BX452" i="6"/>
  <c r="BY452" i="6"/>
  <c r="CB452" i="6"/>
  <c r="CC452" i="6"/>
  <c r="CD452" i="6" l="1"/>
  <c r="AK453" i="6"/>
  <c r="BX451" i="6"/>
  <c r="BY451" i="6"/>
  <c r="CB451" i="6"/>
  <c r="CC451" i="6"/>
  <c r="CD451" i="6" l="1"/>
  <c r="AK452" i="6"/>
  <c r="BX450" i="6"/>
  <c r="BY450" i="6"/>
  <c r="CB450" i="6"/>
  <c r="CC450" i="6"/>
  <c r="CD450" i="6" l="1"/>
  <c r="AK451" i="6"/>
  <c r="BX449" i="6"/>
  <c r="BY449" i="6"/>
  <c r="CB449" i="6"/>
  <c r="CC449" i="6"/>
  <c r="CD449" i="6" l="1"/>
  <c r="AK450" i="6"/>
  <c r="BX448" i="6"/>
  <c r="BY448" i="6"/>
  <c r="CB448" i="6"/>
  <c r="CC448" i="6"/>
  <c r="CD448" i="6" l="1"/>
  <c r="AK449" i="6"/>
  <c r="BX447" i="6"/>
  <c r="BY447" i="6"/>
  <c r="CB447" i="6"/>
  <c r="CC447" i="6"/>
  <c r="CD447" i="6" l="1"/>
  <c r="AK448" i="6"/>
  <c r="AK447" i="6" l="1"/>
  <c r="BX445" i="6"/>
  <c r="BY445" i="6"/>
  <c r="CB445" i="6"/>
  <c r="CC445" i="6"/>
  <c r="CD445" i="6" l="1"/>
  <c r="BX444" i="6"/>
  <c r="BY444" i="6"/>
  <c r="CB444" i="6"/>
  <c r="CC444" i="6"/>
  <c r="CD444" i="6" l="1"/>
  <c r="AK445" i="6"/>
  <c r="BX443" i="6"/>
  <c r="BY443" i="6"/>
  <c r="CB443" i="6"/>
  <c r="CC443" i="6"/>
  <c r="CD443" i="6" l="1"/>
  <c r="AK444" i="6"/>
  <c r="BX442" i="6"/>
  <c r="BY442" i="6"/>
  <c r="CB442" i="6"/>
  <c r="CC442" i="6"/>
  <c r="CD442" i="6" l="1"/>
  <c r="AK443" i="6"/>
  <c r="BX441" i="6"/>
  <c r="BY441" i="6"/>
  <c r="CB441" i="6"/>
  <c r="CC441" i="6"/>
  <c r="CD441" i="6" l="1"/>
  <c r="AK442" i="6"/>
  <c r="BX440" i="6"/>
  <c r="BY440" i="6"/>
  <c r="CB440" i="6"/>
  <c r="CC440" i="6"/>
  <c r="CD440" i="6" l="1"/>
  <c r="AK441" i="6"/>
  <c r="BX439" i="6"/>
  <c r="BY439" i="6"/>
  <c r="CB439" i="6"/>
  <c r="CC439" i="6"/>
  <c r="CD439" i="6" l="1"/>
  <c r="AK440" i="6"/>
  <c r="BX438" i="6"/>
  <c r="BY438" i="6"/>
  <c r="CB438" i="6"/>
  <c r="CC438" i="6"/>
  <c r="CD438" i="6" l="1"/>
  <c r="AK439" i="6"/>
  <c r="BX437" i="6"/>
  <c r="BY437" i="6"/>
  <c r="CB437" i="6"/>
  <c r="CC437" i="6"/>
  <c r="CD437" i="6" l="1"/>
  <c r="AK438" i="6"/>
  <c r="AK437" i="6" l="1"/>
  <c r="BX435" i="6"/>
  <c r="BY435" i="6"/>
  <c r="CB435" i="6"/>
  <c r="CC435" i="6"/>
  <c r="CD435" i="6" l="1"/>
  <c r="BX434" i="6"/>
  <c r="BY434" i="6"/>
  <c r="CB434" i="6"/>
  <c r="CC434" i="6"/>
  <c r="CD434" i="6" l="1"/>
  <c r="AK435" i="6"/>
  <c r="BX433" i="6"/>
  <c r="BY433" i="6"/>
  <c r="CB433" i="6"/>
  <c r="CC433" i="6"/>
  <c r="CD433" i="6" l="1"/>
  <c r="AK434" i="6"/>
  <c r="BX432" i="6"/>
  <c r="BY432" i="6"/>
  <c r="CB432" i="6"/>
  <c r="CC432" i="6"/>
  <c r="CD432" i="6" l="1"/>
  <c r="AK433" i="6"/>
  <c r="BX431" i="6"/>
  <c r="BY431" i="6"/>
  <c r="CB431" i="6"/>
  <c r="CC431" i="6"/>
  <c r="CD431" i="6" l="1"/>
  <c r="AK432" i="6"/>
  <c r="BX430" i="6"/>
  <c r="BY430" i="6"/>
  <c r="CB430" i="6"/>
  <c r="CC430" i="6"/>
  <c r="CD430" i="6" l="1"/>
  <c r="AK431" i="6"/>
  <c r="BX429" i="6"/>
  <c r="BY429" i="6"/>
  <c r="CB429" i="6"/>
  <c r="CC429" i="6"/>
  <c r="CD429" i="6" l="1"/>
  <c r="AK430" i="6"/>
  <c r="BX428" i="6"/>
  <c r="BY428" i="6"/>
  <c r="CB428" i="6"/>
  <c r="CC428" i="6"/>
  <c r="CD428" i="6" l="1"/>
  <c r="AK429" i="6"/>
  <c r="BX427" i="6"/>
  <c r="BY427" i="6"/>
  <c r="CB427" i="6"/>
  <c r="CC427" i="6"/>
  <c r="CD427" i="6" l="1"/>
  <c r="AK428" i="6"/>
  <c r="AK427" i="6" l="1"/>
  <c r="BX425" i="6"/>
  <c r="BY425" i="6"/>
  <c r="CB425" i="6"/>
  <c r="CC425" i="6"/>
  <c r="CD425" i="6" l="1"/>
  <c r="BX424" i="6"/>
  <c r="BY424" i="6"/>
  <c r="CB424" i="6"/>
  <c r="CC424" i="6"/>
  <c r="CD424" i="6" l="1"/>
  <c r="AK425" i="6"/>
  <c r="BX423" i="6"/>
  <c r="BY423" i="6"/>
  <c r="CB423" i="6"/>
  <c r="CC423" i="6"/>
  <c r="CD423" i="6" l="1"/>
  <c r="AK424" i="6"/>
  <c r="BX422" i="6"/>
  <c r="BY422" i="6"/>
  <c r="CB422" i="6"/>
  <c r="CC422" i="6"/>
  <c r="CD422" i="6" l="1"/>
  <c r="AK423" i="6"/>
  <c r="BX421" i="6"/>
  <c r="BY421" i="6"/>
  <c r="CB421" i="6"/>
  <c r="CC421" i="6"/>
  <c r="CD421" i="6" l="1"/>
  <c r="AK422" i="6"/>
  <c r="BX420" i="6"/>
  <c r="BY420" i="6"/>
  <c r="CB420" i="6"/>
  <c r="CC420" i="6"/>
  <c r="CD420" i="6" l="1"/>
  <c r="AK421" i="6"/>
  <c r="BX419" i="6"/>
  <c r="BY419" i="6"/>
  <c r="CB419" i="6"/>
  <c r="CC419" i="6"/>
  <c r="CD419" i="6" l="1"/>
  <c r="AK420" i="6"/>
  <c r="BX418" i="6"/>
  <c r="BY418" i="6"/>
  <c r="CB418" i="6"/>
  <c r="CC418" i="6"/>
  <c r="CD418" i="6" l="1"/>
  <c r="AK419" i="6"/>
  <c r="BX417" i="6"/>
  <c r="BY417" i="6"/>
  <c r="CB417" i="6"/>
  <c r="CC417" i="6"/>
  <c r="CD417" i="6" l="1"/>
  <c r="AK418" i="6"/>
  <c r="AK417" i="6" l="1"/>
  <c r="BX415" i="6"/>
  <c r="BY415" i="6"/>
  <c r="CB415" i="6"/>
  <c r="CC415" i="6"/>
  <c r="CD415" i="6" l="1"/>
  <c r="BX414" i="6"/>
  <c r="BY414" i="6"/>
  <c r="CB414" i="6"/>
  <c r="CC414" i="6"/>
  <c r="CD414" i="6" l="1"/>
  <c r="AK415" i="6"/>
  <c r="BX413" i="6"/>
  <c r="BY413" i="6"/>
  <c r="CB413" i="6"/>
  <c r="CC413" i="6"/>
  <c r="CD413" i="6" l="1"/>
  <c r="AK414" i="6"/>
  <c r="BX412" i="6"/>
  <c r="BY412" i="6"/>
  <c r="CB412" i="6"/>
  <c r="CC412" i="6"/>
  <c r="CD412" i="6" l="1"/>
  <c r="AK413" i="6"/>
  <c r="BX411" i="6"/>
  <c r="BY411" i="6"/>
  <c r="CB411" i="6"/>
  <c r="CC411" i="6"/>
  <c r="CD411" i="6" l="1"/>
  <c r="AK412" i="6"/>
  <c r="BX410" i="6"/>
  <c r="BY410" i="6"/>
  <c r="CB410" i="6"/>
  <c r="CC410" i="6"/>
  <c r="CD410" i="6" l="1"/>
  <c r="AK411" i="6"/>
  <c r="BX409" i="6"/>
  <c r="BY409" i="6"/>
  <c r="CB409" i="6"/>
  <c r="CC409" i="6"/>
  <c r="CD409" i="6" l="1"/>
  <c r="AK410" i="6"/>
  <c r="BX408" i="6"/>
  <c r="BY408" i="6"/>
  <c r="CB408" i="6"/>
  <c r="CC408" i="6"/>
  <c r="CD408" i="6" l="1"/>
  <c r="AK409" i="6"/>
  <c r="BX407" i="6"/>
  <c r="BY407" i="6"/>
  <c r="CB407" i="6"/>
  <c r="CC407" i="6"/>
  <c r="CD407" i="6" l="1"/>
  <c r="AK408" i="6"/>
  <c r="AK407" i="6" l="1"/>
  <c r="BX405" i="6"/>
  <c r="BY405" i="6"/>
  <c r="CB405" i="6"/>
  <c r="CC405" i="6"/>
  <c r="CD405" i="6" l="1"/>
  <c r="BX404" i="6"/>
  <c r="BY404" i="6"/>
  <c r="CB404" i="6"/>
  <c r="CC404" i="6"/>
  <c r="CD404" i="6" l="1"/>
  <c r="AK405" i="6"/>
  <c r="BX403" i="6"/>
  <c r="BY403" i="6"/>
  <c r="CB403" i="6"/>
  <c r="CC403" i="6"/>
  <c r="CD403" i="6" l="1"/>
  <c r="AK404" i="6"/>
  <c r="BX402" i="6"/>
  <c r="BY402" i="6"/>
  <c r="CB402" i="6"/>
  <c r="CC402" i="6"/>
  <c r="CD402" i="6" l="1"/>
  <c r="AK403" i="6"/>
  <c r="BX401" i="6"/>
  <c r="BY401" i="6"/>
  <c r="CB401" i="6"/>
  <c r="CC401" i="6"/>
  <c r="CD401" i="6" l="1"/>
  <c r="AK402" i="6"/>
  <c r="BX400" i="6"/>
  <c r="BY400" i="6"/>
  <c r="CB400" i="6"/>
  <c r="CC400" i="6"/>
  <c r="CD400" i="6" l="1"/>
  <c r="AK401" i="6"/>
  <c r="BX399" i="6"/>
  <c r="BY399" i="6"/>
  <c r="CB399" i="6"/>
  <c r="CC399" i="6"/>
  <c r="CD399" i="6" l="1"/>
  <c r="AK400" i="6"/>
  <c r="BX398" i="6"/>
  <c r="BY398" i="6"/>
  <c r="CB398" i="6"/>
  <c r="CC398" i="6"/>
  <c r="CD398" i="6" l="1"/>
  <c r="AK399" i="6"/>
  <c r="BX397" i="6"/>
  <c r="BY397" i="6"/>
  <c r="CB397" i="6"/>
  <c r="CC397" i="6"/>
  <c r="CD397" i="6" l="1"/>
  <c r="AK398" i="6"/>
  <c r="AK397" i="6" l="1"/>
  <c r="BX395" i="6"/>
  <c r="BY395" i="6"/>
  <c r="CB395" i="6"/>
  <c r="CC395" i="6"/>
  <c r="CD395" i="6" l="1"/>
  <c r="BX394" i="6"/>
  <c r="BY394" i="6"/>
  <c r="CB394" i="6"/>
  <c r="CC394" i="6"/>
  <c r="CD394" i="6" l="1"/>
  <c r="AK395" i="6"/>
  <c r="BX393" i="6"/>
  <c r="BY393" i="6"/>
  <c r="CB393" i="6"/>
  <c r="CC393" i="6"/>
  <c r="CD393" i="6" l="1"/>
  <c r="AK394" i="6"/>
  <c r="BX392" i="6"/>
  <c r="BY392" i="6"/>
  <c r="CB392" i="6"/>
  <c r="CC392" i="6"/>
  <c r="CD392" i="6" l="1"/>
  <c r="AK393" i="6"/>
  <c r="BX391" i="6"/>
  <c r="BY391" i="6"/>
  <c r="CB391" i="6"/>
  <c r="CC391" i="6"/>
  <c r="CD391" i="6" l="1"/>
  <c r="AK392" i="6"/>
  <c r="BX390" i="6"/>
  <c r="BY390" i="6"/>
  <c r="CB390" i="6"/>
  <c r="CC390" i="6"/>
  <c r="CD390" i="6" l="1"/>
  <c r="AK391" i="6"/>
  <c r="BX389" i="6"/>
  <c r="BY389" i="6"/>
  <c r="CB389" i="6"/>
  <c r="CC389" i="6"/>
  <c r="CD389" i="6" l="1"/>
  <c r="AK390" i="6"/>
  <c r="BX388" i="6"/>
  <c r="BY388" i="6"/>
  <c r="CB388" i="6"/>
  <c r="CC388" i="6"/>
  <c r="CD388" i="6" l="1"/>
  <c r="AK389" i="6"/>
  <c r="BX387" i="6"/>
  <c r="BY387" i="6"/>
  <c r="CB387" i="6"/>
  <c r="CC387" i="6"/>
  <c r="CD387" i="6" l="1"/>
  <c r="AK388" i="6"/>
  <c r="AK387" i="6" l="1"/>
  <c r="BX385" i="6"/>
  <c r="BY385" i="6"/>
  <c r="CB385" i="6"/>
  <c r="CC385" i="6"/>
  <c r="CD385" i="6" l="1"/>
  <c r="BX384" i="6"/>
  <c r="BY384" i="6"/>
  <c r="CB384" i="6"/>
  <c r="CC384" i="6"/>
  <c r="CD384" i="6" l="1"/>
  <c r="AK385" i="6"/>
  <c r="BX383" i="6"/>
  <c r="BY383" i="6"/>
  <c r="CB383" i="6"/>
  <c r="CC383" i="6"/>
  <c r="CD383" i="6" l="1"/>
  <c r="AK384" i="6"/>
  <c r="BX382" i="6"/>
  <c r="BY382" i="6"/>
  <c r="CB382" i="6"/>
  <c r="CC382" i="6"/>
  <c r="CD382" i="6" l="1"/>
  <c r="AK383" i="6"/>
  <c r="BX381" i="6"/>
  <c r="BY381" i="6"/>
  <c r="CB381" i="6"/>
  <c r="CC381" i="6"/>
  <c r="CD381" i="6" l="1"/>
  <c r="AK382" i="6"/>
  <c r="BX380" i="6"/>
  <c r="BY380" i="6"/>
  <c r="CB380" i="6"/>
  <c r="CC380" i="6"/>
  <c r="CD380" i="6" l="1"/>
  <c r="AK381" i="6"/>
  <c r="BX379" i="6"/>
  <c r="BY379" i="6"/>
  <c r="CB379" i="6"/>
  <c r="CC379" i="6"/>
  <c r="CD379" i="6" l="1"/>
  <c r="AK380" i="6"/>
  <c r="BX378" i="6"/>
  <c r="BY378" i="6"/>
  <c r="CB378" i="6"/>
  <c r="CC378" i="6"/>
  <c r="CD378" i="6" l="1"/>
  <c r="AK379" i="6"/>
  <c r="BX377" i="6"/>
  <c r="BY377" i="6"/>
  <c r="CB377" i="6"/>
  <c r="CC377" i="6"/>
  <c r="CD377" i="6" l="1"/>
  <c r="AK378" i="6"/>
  <c r="AK377" i="6" l="1"/>
  <c r="BX375" i="6"/>
  <c r="BY375" i="6"/>
  <c r="CB375" i="6"/>
  <c r="CC375" i="6"/>
  <c r="CD375" i="6" l="1"/>
  <c r="BX374" i="6"/>
  <c r="BY374" i="6"/>
  <c r="CB374" i="6"/>
  <c r="CC374" i="6"/>
  <c r="CD374" i="6" l="1"/>
  <c r="AK375" i="6"/>
  <c r="BX373" i="6"/>
  <c r="BY373" i="6"/>
  <c r="CB373" i="6"/>
  <c r="CC373" i="6"/>
  <c r="CD373" i="6" l="1"/>
  <c r="AK374" i="6"/>
  <c r="BX372" i="6"/>
  <c r="BY372" i="6"/>
  <c r="CB372" i="6"/>
  <c r="CC372" i="6"/>
  <c r="CD372" i="6" l="1"/>
  <c r="AK373" i="6"/>
  <c r="BX371" i="6"/>
  <c r="BY371" i="6"/>
  <c r="CB371" i="6"/>
  <c r="CC371" i="6"/>
  <c r="CD371" i="6" l="1"/>
  <c r="AK372" i="6"/>
  <c r="BX370" i="6"/>
  <c r="BY370" i="6"/>
  <c r="CB370" i="6"/>
  <c r="CC370" i="6"/>
  <c r="CD370" i="6" l="1"/>
  <c r="AK371" i="6"/>
  <c r="BX369" i="6"/>
  <c r="BY369" i="6"/>
  <c r="CB369" i="6"/>
  <c r="CC369" i="6"/>
  <c r="CD369" i="6" l="1"/>
  <c r="AK370" i="6"/>
  <c r="BX368" i="6"/>
  <c r="BY368" i="6"/>
  <c r="CB368" i="6"/>
  <c r="CC368" i="6"/>
  <c r="CD368" i="6" l="1"/>
  <c r="AK369" i="6"/>
  <c r="BX367" i="6"/>
  <c r="BY367" i="6"/>
  <c r="CB367" i="6"/>
  <c r="CC367" i="6"/>
  <c r="CD367" i="6" l="1"/>
  <c r="AK368" i="6"/>
  <c r="AK367" i="6" l="1"/>
  <c r="BX365" i="6"/>
  <c r="BY365" i="6"/>
  <c r="CB365" i="6"/>
  <c r="CC365" i="6"/>
  <c r="CD365" i="6" l="1"/>
  <c r="BX364" i="6"/>
  <c r="BY364" i="6"/>
  <c r="CB364" i="6"/>
  <c r="CC364" i="6"/>
  <c r="CD364" i="6" l="1"/>
  <c r="AK365" i="6"/>
  <c r="BX363" i="6"/>
  <c r="BY363" i="6"/>
  <c r="CB363" i="6"/>
  <c r="CC363" i="6"/>
  <c r="CD363" i="6" l="1"/>
  <c r="AK364" i="6"/>
  <c r="BX362" i="6"/>
  <c r="BY362" i="6"/>
  <c r="CB362" i="6"/>
  <c r="CC362" i="6"/>
  <c r="CD362" i="6" l="1"/>
  <c r="AK363" i="6"/>
  <c r="BX361" i="6"/>
  <c r="BY361" i="6"/>
  <c r="CB361" i="6"/>
  <c r="CC361" i="6"/>
  <c r="CD361" i="6" l="1"/>
  <c r="AK362" i="6"/>
  <c r="BX360" i="6"/>
  <c r="BY360" i="6"/>
  <c r="CB360" i="6"/>
  <c r="CC360" i="6"/>
  <c r="CD360" i="6" l="1"/>
  <c r="AK361" i="6"/>
  <c r="BX359" i="6"/>
  <c r="BY359" i="6"/>
  <c r="CB359" i="6"/>
  <c r="CC359" i="6"/>
  <c r="CD359" i="6" l="1"/>
  <c r="AK360" i="6"/>
  <c r="BX358" i="6"/>
  <c r="BY358" i="6"/>
  <c r="CB358" i="6"/>
  <c r="CC358" i="6"/>
  <c r="CD358" i="6" l="1"/>
  <c r="AK359" i="6"/>
  <c r="BX357" i="6"/>
  <c r="BY357" i="6"/>
  <c r="CB357" i="6"/>
  <c r="CC357" i="6"/>
  <c r="CD357" i="6" l="1"/>
  <c r="AK358" i="6"/>
  <c r="AK357" i="6" l="1"/>
  <c r="BX355" i="6"/>
  <c r="BY355" i="6"/>
  <c r="CB355" i="6"/>
  <c r="CC355" i="6"/>
  <c r="CD355" i="6" l="1"/>
  <c r="BX354" i="6"/>
  <c r="BY354" i="6"/>
  <c r="CB354" i="6"/>
  <c r="CC354" i="6"/>
  <c r="CD354" i="6" l="1"/>
  <c r="AK355" i="6"/>
  <c r="BX353" i="6"/>
  <c r="BY353" i="6"/>
  <c r="CB353" i="6"/>
  <c r="CC353" i="6"/>
  <c r="CD353" i="6" l="1"/>
  <c r="AK354" i="6"/>
  <c r="BX352" i="6"/>
  <c r="BY352" i="6"/>
  <c r="CB352" i="6"/>
  <c r="CC352" i="6"/>
  <c r="CD352" i="6" l="1"/>
  <c r="AK353" i="6"/>
  <c r="BX351" i="6"/>
  <c r="BY351" i="6"/>
  <c r="CB351" i="6"/>
  <c r="CC351" i="6"/>
  <c r="CD351" i="6" l="1"/>
  <c r="AK352" i="6"/>
  <c r="BX350" i="6"/>
  <c r="BY350" i="6"/>
  <c r="CB350" i="6"/>
  <c r="CC350" i="6"/>
  <c r="CD350" i="6" l="1"/>
  <c r="AK351" i="6"/>
  <c r="BX349" i="6"/>
  <c r="BY349" i="6"/>
  <c r="CB349" i="6"/>
  <c r="CC349" i="6"/>
  <c r="CD349" i="6" l="1"/>
  <c r="AK350" i="6"/>
  <c r="BX348" i="6"/>
  <c r="BY348" i="6"/>
  <c r="CB348" i="6"/>
  <c r="CC348" i="6"/>
  <c r="CD348" i="6" l="1"/>
  <c r="AK349" i="6"/>
  <c r="BX347" i="6"/>
  <c r="BY347" i="6"/>
  <c r="CB347" i="6"/>
  <c r="CC347" i="6"/>
  <c r="CD347" i="6" l="1"/>
  <c r="AK348" i="6"/>
  <c r="AK347" i="6" l="1"/>
  <c r="BX345" i="6"/>
  <c r="BY345" i="6"/>
  <c r="CB345" i="6"/>
  <c r="CC345" i="6"/>
  <c r="CD345" i="6" l="1"/>
  <c r="BX344" i="6"/>
  <c r="BY344" i="6"/>
  <c r="CB344" i="6"/>
  <c r="CC344" i="6"/>
  <c r="CD344" i="6" l="1"/>
  <c r="AK345" i="6"/>
  <c r="BX343" i="6"/>
  <c r="BY343" i="6"/>
  <c r="CB343" i="6"/>
  <c r="CC343" i="6"/>
  <c r="CD343" i="6" l="1"/>
  <c r="AK344" i="6"/>
  <c r="BX342" i="6"/>
  <c r="BY342" i="6"/>
  <c r="CB342" i="6"/>
  <c r="CC342" i="6"/>
  <c r="CD342" i="6" l="1"/>
  <c r="AK343" i="6"/>
  <c r="BX341" i="6"/>
  <c r="BY341" i="6"/>
  <c r="CB341" i="6"/>
  <c r="CC341" i="6"/>
  <c r="CD341" i="6" l="1"/>
  <c r="AK342" i="6"/>
  <c r="BX340" i="6"/>
  <c r="BY340" i="6"/>
  <c r="CB340" i="6"/>
  <c r="CC340" i="6"/>
  <c r="CD340" i="6" l="1"/>
  <c r="AK341" i="6"/>
  <c r="BX339" i="6"/>
  <c r="BY339" i="6"/>
  <c r="CB339" i="6"/>
  <c r="CC339" i="6"/>
  <c r="CD339" i="6" l="1"/>
  <c r="AK340" i="6"/>
  <c r="BX338" i="6"/>
  <c r="BY338" i="6"/>
  <c r="CB338" i="6"/>
  <c r="CC338" i="6"/>
  <c r="CD338" i="6" l="1"/>
  <c r="AK339" i="6"/>
  <c r="BX337" i="6"/>
  <c r="BY337" i="6"/>
  <c r="CB337" i="6"/>
  <c r="CC337" i="6"/>
  <c r="CD337" i="6" l="1"/>
  <c r="AK338" i="6"/>
  <c r="AK337" i="6" l="1"/>
  <c r="BX335" i="6"/>
  <c r="BY335" i="6"/>
  <c r="CB335" i="6"/>
  <c r="CC335" i="6"/>
  <c r="CD335" i="6" l="1"/>
  <c r="BX334" i="6"/>
  <c r="BY334" i="6"/>
  <c r="CB334" i="6"/>
  <c r="CC334" i="6"/>
  <c r="CD334" i="6" l="1"/>
  <c r="AK335" i="6"/>
  <c r="BX333" i="6"/>
  <c r="BY333" i="6"/>
  <c r="CB333" i="6"/>
  <c r="CC333" i="6"/>
  <c r="CD333" i="6" l="1"/>
  <c r="AK334" i="6"/>
  <c r="BX332" i="6"/>
  <c r="BY332" i="6"/>
  <c r="CB332" i="6"/>
  <c r="CC332" i="6"/>
  <c r="CD332" i="6" l="1"/>
  <c r="AK333" i="6"/>
  <c r="BX331" i="6"/>
  <c r="BY331" i="6"/>
  <c r="CB331" i="6"/>
  <c r="CC331" i="6"/>
  <c r="CD331" i="6" l="1"/>
  <c r="AK332" i="6"/>
  <c r="BX330" i="6"/>
  <c r="BY330" i="6"/>
  <c r="CB330" i="6"/>
  <c r="CC330" i="6"/>
  <c r="CD330" i="6" l="1"/>
  <c r="AK331" i="6"/>
  <c r="BX329" i="6"/>
  <c r="BY329" i="6"/>
  <c r="CB329" i="6"/>
  <c r="CC329" i="6"/>
  <c r="CD329" i="6" l="1"/>
  <c r="AK330" i="6"/>
  <c r="BX328" i="6"/>
  <c r="BY328" i="6"/>
  <c r="CB328" i="6"/>
  <c r="CC328" i="6"/>
  <c r="CD328" i="6" l="1"/>
  <c r="AK329" i="6"/>
  <c r="BX327" i="6"/>
  <c r="BY327" i="6"/>
  <c r="CB327" i="6"/>
  <c r="CC327" i="6"/>
  <c r="CD327" i="6" l="1"/>
  <c r="AK328" i="6"/>
  <c r="AK327" i="6" l="1"/>
  <c r="BX325" i="6"/>
  <c r="BY325" i="6"/>
  <c r="CB325" i="6"/>
  <c r="CC325" i="6"/>
  <c r="CD325" i="6" l="1"/>
  <c r="BX324" i="6"/>
  <c r="BY324" i="6"/>
  <c r="CB324" i="6"/>
  <c r="CC324" i="6"/>
  <c r="CD324" i="6" l="1"/>
  <c r="AK325" i="6"/>
  <c r="BX323" i="6"/>
  <c r="BY323" i="6"/>
  <c r="CB323" i="6"/>
  <c r="CC323" i="6"/>
  <c r="CD323" i="6" l="1"/>
  <c r="AK324" i="6"/>
  <c r="BX322" i="6"/>
  <c r="BY322" i="6"/>
  <c r="CB322" i="6"/>
  <c r="CC322" i="6"/>
  <c r="CD322" i="6" l="1"/>
  <c r="AK323" i="6"/>
  <c r="BX321" i="6"/>
  <c r="BY321" i="6"/>
  <c r="CB321" i="6"/>
  <c r="CC321" i="6"/>
  <c r="CD321" i="6" l="1"/>
  <c r="AK322" i="6"/>
  <c r="BX320" i="6"/>
  <c r="BY320" i="6"/>
  <c r="CB320" i="6"/>
  <c r="CC320" i="6"/>
  <c r="CD320" i="6" l="1"/>
  <c r="AK321" i="6"/>
  <c r="BX319" i="6"/>
  <c r="BY319" i="6"/>
  <c r="CB319" i="6"/>
  <c r="CC319" i="6"/>
  <c r="CD319" i="6" l="1"/>
  <c r="AK320" i="6"/>
  <c r="BX318" i="6"/>
  <c r="BY318" i="6"/>
  <c r="CB318" i="6"/>
  <c r="CC318" i="6"/>
  <c r="CD318" i="6" l="1"/>
  <c r="AK319" i="6"/>
  <c r="BX317" i="6"/>
  <c r="BY317" i="6"/>
  <c r="CB317" i="6"/>
  <c r="CC317" i="6"/>
  <c r="CD317" i="6" l="1"/>
  <c r="AK318" i="6"/>
  <c r="AK317" i="6" l="1"/>
  <c r="BX315" i="6"/>
  <c r="BY315" i="6"/>
  <c r="CB315" i="6"/>
  <c r="CC315" i="6"/>
  <c r="CD315" i="6" l="1"/>
  <c r="BX314" i="6"/>
  <c r="BY314" i="6"/>
  <c r="CB314" i="6"/>
  <c r="CC314" i="6"/>
  <c r="CD314" i="6" l="1"/>
  <c r="AK315" i="6"/>
  <c r="BX313" i="6"/>
  <c r="BY313" i="6"/>
  <c r="CB313" i="6"/>
  <c r="CC313" i="6"/>
  <c r="CD313" i="6" l="1"/>
  <c r="AK314" i="6"/>
  <c r="BX312" i="6"/>
  <c r="BY312" i="6"/>
  <c r="CB312" i="6"/>
  <c r="CC312" i="6"/>
  <c r="CD312" i="6" l="1"/>
  <c r="AK313" i="6"/>
  <c r="BX311" i="6"/>
  <c r="BY311" i="6"/>
  <c r="CB311" i="6"/>
  <c r="CC311" i="6"/>
  <c r="CD311" i="6" l="1"/>
  <c r="AK312" i="6"/>
  <c r="BX310" i="6"/>
  <c r="BY310" i="6"/>
  <c r="CB310" i="6"/>
  <c r="CC310" i="6"/>
  <c r="CD310" i="6" l="1"/>
  <c r="AK311" i="6"/>
  <c r="BX309" i="6"/>
  <c r="BY309" i="6"/>
  <c r="CB309" i="6"/>
  <c r="CC309" i="6"/>
  <c r="CD309" i="6" l="1"/>
  <c r="AK310" i="6"/>
  <c r="BX308" i="6"/>
  <c r="BY308" i="6"/>
  <c r="CB308" i="6"/>
  <c r="CC308" i="6"/>
  <c r="CD308" i="6" l="1"/>
  <c r="AK309" i="6"/>
  <c r="BX307" i="6"/>
  <c r="BY307" i="6"/>
  <c r="CB307" i="6"/>
  <c r="CC307" i="6"/>
  <c r="CD307" i="6" l="1"/>
  <c r="AK308" i="6"/>
  <c r="AK307" i="6" l="1"/>
  <c r="BX305" i="6"/>
  <c r="BY305" i="6"/>
  <c r="CB305" i="6"/>
  <c r="CC305" i="6"/>
  <c r="CD305" i="6" l="1"/>
  <c r="BX304" i="6"/>
  <c r="BY304" i="6"/>
  <c r="CB304" i="6"/>
  <c r="CC304" i="6"/>
  <c r="CD304" i="6" l="1"/>
  <c r="AK305" i="6"/>
  <c r="BX303" i="6"/>
  <c r="BY303" i="6"/>
  <c r="CB303" i="6"/>
  <c r="CC303" i="6"/>
  <c r="CD303" i="6" l="1"/>
  <c r="AK304" i="6"/>
  <c r="BX302" i="6"/>
  <c r="BY302" i="6"/>
  <c r="CB302" i="6"/>
  <c r="CC302" i="6"/>
  <c r="CD302" i="6" l="1"/>
  <c r="AK303" i="6"/>
  <c r="BX301" i="6"/>
  <c r="BY301" i="6"/>
  <c r="CB301" i="6"/>
  <c r="CC301" i="6"/>
  <c r="CD301" i="6" l="1"/>
  <c r="AK302" i="6"/>
  <c r="BX300" i="6"/>
  <c r="BY300" i="6"/>
  <c r="CB300" i="6"/>
  <c r="CC300" i="6"/>
  <c r="CD300" i="6" l="1"/>
  <c r="AK301" i="6"/>
  <c r="BX299" i="6"/>
  <c r="BY299" i="6"/>
  <c r="CB299" i="6"/>
  <c r="CC299" i="6"/>
  <c r="CD299" i="6" l="1"/>
  <c r="AK300" i="6"/>
  <c r="BX298" i="6"/>
  <c r="BY298" i="6"/>
  <c r="CB298" i="6"/>
  <c r="CC298" i="6"/>
  <c r="CD298" i="6" l="1"/>
  <c r="AK299" i="6"/>
  <c r="BX297" i="6"/>
  <c r="BY297" i="6"/>
  <c r="CB297" i="6"/>
  <c r="CC297" i="6"/>
  <c r="CD297" i="6" l="1"/>
  <c r="AK298" i="6"/>
  <c r="AK297" i="6" l="1"/>
  <c r="BX295" i="6"/>
  <c r="BY295" i="6"/>
  <c r="CB295" i="6"/>
  <c r="CC295" i="6"/>
  <c r="CD295" i="6" l="1"/>
  <c r="BX294" i="6"/>
  <c r="BY294" i="6"/>
  <c r="CB294" i="6"/>
  <c r="CC294" i="6"/>
  <c r="CD294" i="6" l="1"/>
  <c r="AK295" i="6"/>
  <c r="BX293" i="6"/>
  <c r="BY293" i="6"/>
  <c r="CB293" i="6"/>
  <c r="CC293" i="6"/>
  <c r="CD293" i="6" l="1"/>
  <c r="AK294" i="6"/>
  <c r="BX292" i="6"/>
  <c r="BY292" i="6"/>
  <c r="CB292" i="6"/>
  <c r="CC292" i="6"/>
  <c r="CD292" i="6" l="1"/>
  <c r="AK293" i="6"/>
  <c r="BX291" i="6"/>
  <c r="BY291" i="6"/>
  <c r="CB291" i="6"/>
  <c r="CC291" i="6"/>
  <c r="CD291" i="6" l="1"/>
  <c r="AK292" i="6"/>
  <c r="BX290" i="6"/>
  <c r="BY290" i="6"/>
  <c r="CB290" i="6"/>
  <c r="CC290" i="6"/>
  <c r="CD290" i="6" l="1"/>
  <c r="AK291" i="6"/>
  <c r="BX289" i="6"/>
  <c r="BY289" i="6"/>
  <c r="CB289" i="6"/>
  <c r="CC289" i="6"/>
  <c r="CD289" i="6" l="1"/>
  <c r="AK290" i="6"/>
  <c r="BX288" i="6"/>
  <c r="BY288" i="6"/>
  <c r="CB288" i="6"/>
  <c r="CC288" i="6"/>
  <c r="CD288" i="6" l="1"/>
  <c r="AK289" i="6"/>
  <c r="BX287" i="6"/>
  <c r="BY287" i="6"/>
  <c r="CB287" i="6"/>
  <c r="CC287" i="6"/>
  <c r="CD287" i="6" l="1"/>
  <c r="AK288" i="6"/>
  <c r="AK287" i="6" l="1"/>
  <c r="BX285" i="6"/>
  <c r="BY285" i="6"/>
  <c r="CB285" i="6"/>
  <c r="CC285" i="6"/>
  <c r="CD285" i="6" l="1"/>
  <c r="BX284" i="6"/>
  <c r="BY284" i="6"/>
  <c r="CB284" i="6"/>
  <c r="CC284" i="6"/>
  <c r="CD284" i="6" l="1"/>
  <c r="AK285" i="6"/>
  <c r="BX283" i="6"/>
  <c r="BY283" i="6"/>
  <c r="CB283" i="6"/>
  <c r="CC283" i="6"/>
  <c r="CD283" i="6" l="1"/>
  <c r="AK284" i="6"/>
  <c r="BX282" i="6"/>
  <c r="BY282" i="6"/>
  <c r="CB282" i="6"/>
  <c r="CC282" i="6"/>
  <c r="CD282" i="6" l="1"/>
  <c r="AK283" i="6"/>
  <c r="BX281" i="6"/>
  <c r="BY281" i="6"/>
  <c r="CB281" i="6"/>
  <c r="CC281" i="6"/>
  <c r="CD281" i="6" l="1"/>
  <c r="AK282" i="6"/>
  <c r="BX280" i="6"/>
  <c r="BY280" i="6"/>
  <c r="CB280" i="6"/>
  <c r="CC280" i="6"/>
  <c r="CD280" i="6" l="1"/>
  <c r="AK281" i="6"/>
  <c r="BX279" i="6"/>
  <c r="BY279" i="6"/>
  <c r="CB279" i="6"/>
  <c r="CC279" i="6"/>
  <c r="CD279" i="6" l="1"/>
  <c r="AK280" i="6"/>
  <c r="BX278" i="6"/>
  <c r="BY278" i="6"/>
  <c r="CB278" i="6"/>
  <c r="CC278" i="6"/>
  <c r="CD278" i="6" l="1"/>
  <c r="AK279" i="6"/>
  <c r="BX277" i="6"/>
  <c r="BY277" i="6"/>
  <c r="CB277" i="6"/>
  <c r="CC277" i="6"/>
  <c r="CD277" i="6" l="1"/>
  <c r="AK278" i="6"/>
  <c r="BP275" i="6"/>
  <c r="AK277" i="6" l="1"/>
  <c r="BX275" i="6"/>
  <c r="BY275" i="6"/>
  <c r="CB275" i="6"/>
  <c r="CC275" i="6"/>
  <c r="BP274" i="6"/>
  <c r="CD275" i="6" l="1"/>
  <c r="BX274" i="6"/>
  <c r="BY274" i="6"/>
  <c r="CB274" i="6"/>
  <c r="CC274" i="6"/>
  <c r="BP273" i="6"/>
  <c r="CD274" i="6" l="1"/>
  <c r="AK275" i="6"/>
  <c r="BX273" i="6"/>
  <c r="BY273" i="6"/>
  <c r="CB273" i="6"/>
  <c r="CC273" i="6"/>
  <c r="BP272" i="6"/>
  <c r="CD273" i="6" l="1"/>
  <c r="AK274" i="6"/>
  <c r="BX272" i="6"/>
  <c r="BY272" i="6"/>
  <c r="CB272" i="6"/>
  <c r="CC272" i="6"/>
  <c r="BP271" i="6"/>
  <c r="CD272" i="6" l="1"/>
  <c r="AK273" i="6"/>
  <c r="BX271" i="6"/>
  <c r="BY271" i="6"/>
  <c r="CB271" i="6"/>
  <c r="CC271" i="6"/>
  <c r="BP270" i="6"/>
  <c r="CD271" i="6" l="1"/>
  <c r="AK272" i="6"/>
  <c r="BX270" i="6"/>
  <c r="BY270" i="6"/>
  <c r="CB270" i="6"/>
  <c r="CC270" i="6"/>
  <c r="BP269" i="6"/>
  <c r="CD270" i="6" l="1"/>
  <c r="AK271" i="6"/>
  <c r="BX269" i="6"/>
  <c r="BY269" i="6"/>
  <c r="CB269" i="6"/>
  <c r="CC269" i="6"/>
  <c r="BP268" i="6"/>
  <c r="CD269" i="6" l="1"/>
  <c r="AK270" i="6"/>
  <c r="BX268" i="6"/>
  <c r="BY268" i="6"/>
  <c r="CB268" i="6"/>
  <c r="CC268" i="6"/>
  <c r="BP267" i="6"/>
  <c r="CD268" i="6" l="1"/>
  <c r="AK269" i="6"/>
  <c r="BX267" i="6"/>
  <c r="BY267" i="6"/>
  <c r="CB267" i="6"/>
  <c r="CC267" i="6"/>
  <c r="BP266" i="6"/>
  <c r="CD267" i="6" l="1"/>
  <c r="AK268" i="6"/>
  <c r="BX266" i="6"/>
  <c r="BY266" i="6"/>
  <c r="CB266" i="6"/>
  <c r="CC266" i="6"/>
  <c r="BP265" i="6"/>
  <c r="CD266" i="6" l="1"/>
  <c r="AK267" i="6"/>
  <c r="BX265" i="6"/>
  <c r="BY265" i="6"/>
  <c r="CB265" i="6"/>
  <c r="CC265" i="6"/>
  <c r="CD265" i="6" l="1"/>
  <c r="AK266" i="6"/>
  <c r="BP263" i="6"/>
  <c r="AK265" i="6" l="1"/>
  <c r="BX263" i="6"/>
  <c r="BY263" i="6"/>
  <c r="CB263" i="6"/>
  <c r="CC263" i="6"/>
  <c r="BP262" i="6"/>
  <c r="CD263" i="6" l="1"/>
  <c r="BX262" i="6"/>
  <c r="BY262" i="6"/>
  <c r="CB262" i="6"/>
  <c r="CC262" i="6"/>
  <c r="BP261" i="6"/>
  <c r="CD262" i="6" l="1"/>
  <c r="AK263" i="6"/>
  <c r="BX261" i="6"/>
  <c r="BY261" i="6"/>
  <c r="CB261" i="6"/>
  <c r="CC261" i="6"/>
  <c r="BP260" i="6"/>
  <c r="CD261" i="6" l="1"/>
  <c r="AK262" i="6"/>
  <c r="BX260" i="6"/>
  <c r="BY260" i="6"/>
  <c r="CB260" i="6"/>
  <c r="CC260" i="6"/>
  <c r="BP259" i="6"/>
  <c r="CD260" i="6" l="1"/>
  <c r="AK261" i="6"/>
  <c r="BX259" i="6"/>
  <c r="BY259" i="6"/>
  <c r="CB259" i="6"/>
  <c r="CC259" i="6"/>
  <c r="BP258" i="6"/>
  <c r="CD259" i="6" l="1"/>
  <c r="AK260" i="6"/>
  <c r="BX258" i="6"/>
  <c r="BY258" i="6"/>
  <c r="CB258" i="6"/>
  <c r="CC258" i="6"/>
  <c r="BP257" i="6"/>
  <c r="CD258" i="6" l="1"/>
  <c r="AK259" i="6"/>
  <c r="BX257" i="6"/>
  <c r="BY257" i="6"/>
  <c r="CB257" i="6"/>
  <c r="CC257" i="6"/>
  <c r="BP256" i="6"/>
  <c r="CD257" i="6" l="1"/>
  <c r="AK258" i="6"/>
  <c r="BX256" i="6"/>
  <c r="BY256" i="6"/>
  <c r="CB256" i="6"/>
  <c r="CC256" i="6"/>
  <c r="BP255" i="6"/>
  <c r="CD256" i="6" l="1"/>
  <c r="AK257" i="6"/>
  <c r="BX255" i="6"/>
  <c r="BY255" i="6"/>
  <c r="CB255" i="6"/>
  <c r="CC255" i="6"/>
  <c r="BP254" i="6"/>
  <c r="CD255" i="6" l="1"/>
  <c r="AK256" i="6"/>
  <c r="BX254" i="6"/>
  <c r="BY254" i="6"/>
  <c r="CB254" i="6"/>
  <c r="CC254" i="6"/>
  <c r="BP253" i="6"/>
  <c r="CD254" i="6" l="1"/>
  <c r="AK255" i="6"/>
  <c r="BX253" i="6"/>
  <c r="BY253" i="6"/>
  <c r="CB253" i="6"/>
  <c r="CC253" i="6"/>
  <c r="CD253" i="6" l="1"/>
  <c r="AK254" i="6"/>
  <c r="BP251" i="6"/>
  <c r="AK253" i="6" l="1"/>
  <c r="BX251" i="6"/>
  <c r="BY251" i="6"/>
  <c r="CB251" i="6"/>
  <c r="CC251" i="6"/>
  <c r="BP250" i="6"/>
  <c r="CD251" i="6" l="1"/>
  <c r="BX250" i="6"/>
  <c r="BY250" i="6"/>
  <c r="CB250" i="6"/>
  <c r="CC250" i="6"/>
  <c r="BP249" i="6"/>
  <c r="CD250" i="6" l="1"/>
  <c r="AK251" i="6"/>
  <c r="BX249" i="6"/>
  <c r="BY249" i="6"/>
  <c r="CB249" i="6"/>
  <c r="CC249" i="6"/>
  <c r="BP248" i="6"/>
  <c r="CD249" i="6" l="1"/>
  <c r="AK250" i="6"/>
  <c r="BX248" i="6"/>
  <c r="BY248" i="6"/>
  <c r="CB248" i="6"/>
  <c r="CC248" i="6"/>
  <c r="BP247" i="6"/>
  <c r="CD248" i="6" l="1"/>
  <c r="AK249" i="6"/>
  <c r="BX247" i="6"/>
  <c r="BY247" i="6"/>
  <c r="CB247" i="6"/>
  <c r="CC247" i="6"/>
  <c r="BP246" i="6"/>
  <c r="CD247" i="6" l="1"/>
  <c r="AK248" i="6"/>
  <c r="BX246" i="6"/>
  <c r="BY246" i="6"/>
  <c r="CB246" i="6"/>
  <c r="CC246" i="6"/>
  <c r="BP245" i="6"/>
  <c r="CD246" i="6" l="1"/>
  <c r="AK247" i="6"/>
  <c r="BX245" i="6"/>
  <c r="BY245" i="6"/>
  <c r="CB245" i="6"/>
  <c r="CC245" i="6"/>
  <c r="BP244" i="6"/>
  <c r="CD245" i="6" l="1"/>
  <c r="AK246" i="6"/>
  <c r="BX244" i="6"/>
  <c r="BY244" i="6"/>
  <c r="CB244" i="6"/>
  <c r="CC244" i="6"/>
  <c r="BP243" i="6"/>
  <c r="CD244" i="6" l="1"/>
  <c r="AK245" i="6"/>
  <c r="BX243" i="6"/>
  <c r="BY243" i="6"/>
  <c r="CB243" i="6"/>
  <c r="CC243" i="6"/>
  <c r="BP242" i="6"/>
  <c r="CD243" i="6" l="1"/>
  <c r="AK244" i="6"/>
  <c r="BX242" i="6"/>
  <c r="BY242" i="6"/>
  <c r="CB242" i="6"/>
  <c r="CC242" i="6"/>
  <c r="BP241" i="6"/>
  <c r="CD242" i="6" l="1"/>
  <c r="AK243" i="6"/>
  <c r="BX241" i="6"/>
  <c r="BY241" i="6"/>
  <c r="CB241" i="6"/>
  <c r="CC241" i="6"/>
  <c r="CD241" i="6" l="1"/>
  <c r="AK242" i="6"/>
  <c r="BP239" i="6"/>
  <c r="AK241" i="6" l="1"/>
  <c r="BX239" i="6"/>
  <c r="BY239" i="6"/>
  <c r="CB239" i="6"/>
  <c r="CC239" i="6"/>
  <c r="BP238" i="6"/>
  <c r="CD239" i="6" l="1"/>
  <c r="BX238" i="6"/>
  <c r="BY238" i="6"/>
  <c r="CB238" i="6"/>
  <c r="CC238" i="6"/>
  <c r="BP237" i="6"/>
  <c r="CD238" i="6" l="1"/>
  <c r="AK239" i="6"/>
  <c r="BX237" i="6"/>
  <c r="BY237" i="6"/>
  <c r="CB237" i="6"/>
  <c r="CC237" i="6"/>
  <c r="BP236" i="6"/>
  <c r="CD237" i="6" l="1"/>
  <c r="AK238" i="6"/>
  <c r="BX236" i="6"/>
  <c r="BY236" i="6"/>
  <c r="CB236" i="6"/>
  <c r="CC236" i="6"/>
  <c r="BP235" i="6"/>
  <c r="CD236" i="6" l="1"/>
  <c r="AK237" i="6"/>
  <c r="BX235" i="6"/>
  <c r="BY235" i="6"/>
  <c r="CB235" i="6"/>
  <c r="CC235" i="6"/>
  <c r="BP234" i="6"/>
  <c r="CD235" i="6" l="1"/>
  <c r="AK236" i="6"/>
  <c r="BX234" i="6"/>
  <c r="BY234" i="6"/>
  <c r="CB234" i="6"/>
  <c r="CC234" i="6"/>
  <c r="BP233" i="6"/>
  <c r="CD234" i="6" l="1"/>
  <c r="AK235" i="6"/>
  <c r="BX233" i="6"/>
  <c r="BY233" i="6"/>
  <c r="CB233" i="6"/>
  <c r="CC233" i="6"/>
  <c r="BP232" i="6"/>
  <c r="CD233" i="6" l="1"/>
  <c r="AK234" i="6"/>
  <c r="BX232" i="6"/>
  <c r="BY232" i="6"/>
  <c r="CB232" i="6"/>
  <c r="CC232" i="6"/>
  <c r="BP231" i="6"/>
  <c r="CD232" i="6" l="1"/>
  <c r="AK233" i="6"/>
  <c r="BX231" i="6"/>
  <c r="BY231" i="6"/>
  <c r="CB231" i="6"/>
  <c r="CC231" i="6"/>
  <c r="BP230" i="6"/>
  <c r="CD231" i="6" l="1"/>
  <c r="AK232" i="6"/>
  <c r="BX230" i="6"/>
  <c r="BY230" i="6"/>
  <c r="CB230" i="6"/>
  <c r="CC230" i="6"/>
  <c r="BP229" i="6"/>
  <c r="CD230" i="6" l="1"/>
  <c r="AK231" i="6"/>
  <c r="BX229" i="6"/>
  <c r="BY229" i="6"/>
  <c r="CB229" i="6"/>
  <c r="CC229" i="6"/>
  <c r="CD229" i="6" l="1"/>
  <c r="AK230" i="6"/>
  <c r="BP227" i="6"/>
  <c r="AK229" i="6" l="1"/>
  <c r="BX227" i="6"/>
  <c r="BY227" i="6"/>
  <c r="CB227" i="6"/>
  <c r="CC227" i="6"/>
  <c r="BP226" i="6"/>
  <c r="CD227" i="6" l="1"/>
  <c r="BX226" i="6"/>
  <c r="BY226" i="6"/>
  <c r="CB226" i="6"/>
  <c r="CC226" i="6"/>
  <c r="BP225" i="6"/>
  <c r="CD226" i="6" l="1"/>
  <c r="AK227" i="6"/>
  <c r="BX225" i="6"/>
  <c r="BY225" i="6"/>
  <c r="CB225" i="6"/>
  <c r="CC225" i="6"/>
  <c r="BP224" i="6"/>
  <c r="CD225" i="6" l="1"/>
  <c r="AK226" i="6"/>
  <c r="BX224" i="6"/>
  <c r="BY224" i="6"/>
  <c r="CB224" i="6"/>
  <c r="CC224" i="6"/>
  <c r="BP223" i="6"/>
  <c r="CD224" i="6" l="1"/>
  <c r="AK225" i="6"/>
  <c r="BX223" i="6"/>
  <c r="BY223" i="6"/>
  <c r="CB223" i="6"/>
  <c r="CC223" i="6"/>
  <c r="BP222" i="6"/>
  <c r="CD223" i="6" l="1"/>
  <c r="AK224" i="6"/>
  <c r="BX222" i="6"/>
  <c r="BY222" i="6"/>
  <c r="CB222" i="6"/>
  <c r="CC222" i="6"/>
  <c r="BP221" i="6"/>
  <c r="CD222" i="6" l="1"/>
  <c r="AK223" i="6"/>
  <c r="BX221" i="6"/>
  <c r="BY221" i="6"/>
  <c r="CB221" i="6"/>
  <c r="CC221" i="6"/>
  <c r="BP220" i="6"/>
  <c r="CD221" i="6" l="1"/>
  <c r="AK222" i="6"/>
  <c r="BX220" i="6"/>
  <c r="BY220" i="6"/>
  <c r="CB220" i="6"/>
  <c r="CC220" i="6"/>
  <c r="BP219" i="6"/>
  <c r="CD220" i="6" l="1"/>
  <c r="AK221" i="6"/>
  <c r="BX219" i="6"/>
  <c r="BY219" i="6"/>
  <c r="CB219" i="6"/>
  <c r="CC219" i="6"/>
  <c r="BP218" i="6"/>
  <c r="CD219" i="6" l="1"/>
  <c r="AK220" i="6"/>
  <c r="BX218" i="6"/>
  <c r="BY218" i="6"/>
  <c r="CB218" i="6"/>
  <c r="CC218" i="6"/>
  <c r="BP217" i="6"/>
  <c r="CD218" i="6" l="1"/>
  <c r="AK219" i="6"/>
  <c r="BX217" i="6"/>
  <c r="BY217" i="6"/>
  <c r="CB217" i="6"/>
  <c r="CC217" i="6"/>
  <c r="CD217" i="6" l="1"/>
  <c r="AK218" i="6"/>
  <c r="BP215" i="6"/>
  <c r="AK217" i="6" l="1"/>
  <c r="BX215" i="6"/>
  <c r="BY215" i="6"/>
  <c r="CB215" i="6"/>
  <c r="CC215" i="6"/>
  <c r="BP214" i="6"/>
  <c r="CD215" i="6" l="1"/>
  <c r="BX214" i="6"/>
  <c r="BY214" i="6"/>
  <c r="CB214" i="6"/>
  <c r="CC214" i="6"/>
  <c r="BP213" i="6"/>
  <c r="CD214" i="6" l="1"/>
  <c r="AK215" i="6"/>
  <c r="BX213" i="6"/>
  <c r="BY213" i="6"/>
  <c r="CB213" i="6"/>
  <c r="CC213" i="6"/>
  <c r="BP212" i="6"/>
  <c r="CD213" i="6" l="1"/>
  <c r="AK214" i="6"/>
  <c r="BX212" i="6"/>
  <c r="BY212" i="6"/>
  <c r="CB212" i="6"/>
  <c r="CC212" i="6"/>
  <c r="BP211" i="6"/>
  <c r="CD212" i="6" l="1"/>
  <c r="AK213" i="6"/>
  <c r="BX211" i="6"/>
  <c r="BY211" i="6"/>
  <c r="CB211" i="6"/>
  <c r="CC211" i="6"/>
  <c r="BP210" i="6"/>
  <c r="CD211" i="6" l="1"/>
  <c r="AK212" i="6"/>
  <c r="BX210" i="6"/>
  <c r="BY210" i="6"/>
  <c r="CB210" i="6"/>
  <c r="CC210" i="6"/>
  <c r="BP209" i="6"/>
  <c r="CD210" i="6" l="1"/>
  <c r="AK211" i="6"/>
  <c r="BX209" i="6"/>
  <c r="BY209" i="6"/>
  <c r="CB209" i="6"/>
  <c r="CC209" i="6"/>
  <c r="BP208" i="6"/>
  <c r="CD209" i="6" l="1"/>
  <c r="AK210" i="6"/>
  <c r="BX208" i="6"/>
  <c r="BY208" i="6"/>
  <c r="CB208" i="6"/>
  <c r="CC208" i="6"/>
  <c r="BP207" i="6"/>
  <c r="CD208" i="6" l="1"/>
  <c r="AK209" i="6"/>
  <c r="BX207" i="6"/>
  <c r="BY207" i="6"/>
  <c r="CB207" i="6"/>
  <c r="CC207" i="6"/>
  <c r="BP206" i="6"/>
  <c r="CD207" i="6" l="1"/>
  <c r="AK208" i="6"/>
  <c r="BX206" i="6"/>
  <c r="BY206" i="6"/>
  <c r="CB206" i="6"/>
  <c r="CC206" i="6"/>
  <c r="BP205" i="6"/>
  <c r="CD206" i="6" l="1"/>
  <c r="AK207" i="6"/>
  <c r="BX205" i="6"/>
  <c r="BY205" i="6"/>
  <c r="CB205" i="6"/>
  <c r="CC205" i="6"/>
  <c r="CD205" i="6" l="1"/>
  <c r="AK206" i="6"/>
  <c r="BP203" i="6"/>
  <c r="AK205" i="6" l="1"/>
  <c r="BX203" i="6"/>
  <c r="BY203" i="6"/>
  <c r="CB203" i="6"/>
  <c r="CC203" i="6"/>
  <c r="BP202" i="6"/>
  <c r="CD203" i="6" l="1"/>
  <c r="BX202" i="6"/>
  <c r="BY202" i="6"/>
  <c r="CB202" i="6"/>
  <c r="CC202" i="6"/>
  <c r="BP201" i="6"/>
  <c r="CD202" i="6" l="1"/>
  <c r="AK203" i="6"/>
  <c r="BX201" i="6"/>
  <c r="BY201" i="6"/>
  <c r="CB201" i="6"/>
  <c r="CC201" i="6"/>
  <c r="BP200" i="6"/>
  <c r="CD201" i="6" l="1"/>
  <c r="AK202" i="6"/>
  <c r="BX200" i="6"/>
  <c r="BY200" i="6"/>
  <c r="CB200" i="6"/>
  <c r="CC200" i="6"/>
  <c r="BP199" i="6"/>
  <c r="CD200" i="6" l="1"/>
  <c r="AK201" i="6"/>
  <c r="BX199" i="6"/>
  <c r="BY199" i="6"/>
  <c r="CB199" i="6"/>
  <c r="CC199" i="6"/>
  <c r="BP198" i="6"/>
  <c r="CD199" i="6" l="1"/>
  <c r="AK200" i="6"/>
  <c r="BX198" i="6"/>
  <c r="BY198" i="6"/>
  <c r="CB198" i="6"/>
  <c r="CC198" i="6"/>
  <c r="BP197" i="6"/>
  <c r="CD198" i="6" l="1"/>
  <c r="AK199" i="6"/>
  <c r="BX197" i="6"/>
  <c r="BY197" i="6"/>
  <c r="CB197" i="6"/>
  <c r="CC197" i="6"/>
  <c r="BP196" i="6"/>
  <c r="CD197" i="6" l="1"/>
  <c r="AK198" i="6"/>
  <c r="BX196" i="6"/>
  <c r="BY196" i="6"/>
  <c r="CB196" i="6"/>
  <c r="CC196" i="6"/>
  <c r="BP195" i="6"/>
  <c r="CD196" i="6" l="1"/>
  <c r="AK197" i="6"/>
  <c r="BX195" i="6"/>
  <c r="BY195" i="6"/>
  <c r="CB195" i="6"/>
  <c r="CC195" i="6"/>
  <c r="BP194" i="6"/>
  <c r="CD195" i="6" l="1"/>
  <c r="AK196" i="6"/>
  <c r="BX194" i="6"/>
  <c r="BY194" i="6"/>
  <c r="CB194" i="6"/>
  <c r="CC194" i="6"/>
  <c r="BP193" i="6"/>
  <c r="CD194" i="6" l="1"/>
  <c r="AK195" i="6"/>
  <c r="BX193" i="6"/>
  <c r="BY193" i="6"/>
  <c r="CB193" i="6"/>
  <c r="CC193" i="6"/>
  <c r="CD193" i="6" l="1"/>
  <c r="AK194" i="6"/>
  <c r="BP191" i="6"/>
  <c r="AK193" i="6" l="1"/>
  <c r="BX191" i="6"/>
  <c r="BY191" i="6"/>
  <c r="CB191" i="6"/>
  <c r="CC191" i="6"/>
  <c r="BP190" i="6"/>
  <c r="CD191" i="6" l="1"/>
  <c r="BX190" i="6"/>
  <c r="BY190" i="6"/>
  <c r="CB190" i="6"/>
  <c r="CC190" i="6"/>
  <c r="BP189" i="6"/>
  <c r="CD190" i="6" l="1"/>
  <c r="AK191" i="6"/>
  <c r="BX189" i="6"/>
  <c r="BY189" i="6"/>
  <c r="CB189" i="6"/>
  <c r="CC189" i="6"/>
  <c r="BP188" i="6"/>
  <c r="CD189" i="6" l="1"/>
  <c r="AK190" i="6"/>
  <c r="BX188" i="6"/>
  <c r="BY188" i="6"/>
  <c r="CB188" i="6"/>
  <c r="CC188" i="6"/>
  <c r="BP187" i="6"/>
  <c r="CD188" i="6" l="1"/>
  <c r="AK189" i="6"/>
  <c r="BX187" i="6"/>
  <c r="BY187" i="6"/>
  <c r="CB187" i="6"/>
  <c r="CC187" i="6"/>
  <c r="BP186" i="6"/>
  <c r="CD187" i="6" l="1"/>
  <c r="AK188" i="6"/>
  <c r="BX186" i="6"/>
  <c r="BY186" i="6"/>
  <c r="CB186" i="6"/>
  <c r="CC186" i="6"/>
  <c r="BP185" i="6"/>
  <c r="CD186" i="6" l="1"/>
  <c r="AK187" i="6"/>
  <c r="BX185" i="6"/>
  <c r="BY185" i="6"/>
  <c r="CB185" i="6"/>
  <c r="CC185" i="6"/>
  <c r="BP184" i="6"/>
  <c r="CD185" i="6" l="1"/>
  <c r="AK186" i="6"/>
  <c r="BX184" i="6"/>
  <c r="BY184" i="6"/>
  <c r="CB184" i="6"/>
  <c r="CC184" i="6"/>
  <c r="BP183" i="6"/>
  <c r="CD184" i="6" l="1"/>
  <c r="AK185" i="6"/>
  <c r="BX183" i="6"/>
  <c r="BY183" i="6"/>
  <c r="CB183" i="6"/>
  <c r="CC183" i="6"/>
  <c r="BP182" i="6"/>
  <c r="CD183" i="6" l="1"/>
  <c r="AK184" i="6"/>
  <c r="BX182" i="6"/>
  <c r="BY182" i="6"/>
  <c r="CB182" i="6"/>
  <c r="CC182" i="6"/>
  <c r="BP181" i="6"/>
  <c r="CD182" i="6" l="1"/>
  <c r="AK183" i="6"/>
  <c r="BX181" i="6"/>
  <c r="BY181" i="6"/>
  <c r="CB181" i="6"/>
  <c r="CC181" i="6"/>
  <c r="CD181" i="6" l="1"/>
  <c r="AK182" i="6"/>
  <c r="BP179" i="6"/>
  <c r="AK181" i="6" l="1"/>
  <c r="BX179" i="6"/>
  <c r="BY179" i="6"/>
  <c r="CB179" i="6"/>
  <c r="CC179" i="6"/>
  <c r="BP178" i="6"/>
  <c r="CD179" i="6" l="1"/>
  <c r="BX178" i="6"/>
  <c r="BY178" i="6"/>
  <c r="CB178" i="6"/>
  <c r="CC178" i="6"/>
  <c r="BP177" i="6"/>
  <c r="CD178" i="6" l="1"/>
  <c r="AK179" i="6"/>
  <c r="BX177" i="6"/>
  <c r="BY177" i="6"/>
  <c r="CB177" i="6"/>
  <c r="CC177" i="6"/>
  <c r="BP176" i="6"/>
  <c r="CD177" i="6" l="1"/>
  <c r="AK178" i="6"/>
  <c r="BX176" i="6"/>
  <c r="BY176" i="6"/>
  <c r="CB176" i="6"/>
  <c r="CC176" i="6"/>
  <c r="BP175" i="6"/>
  <c r="CD176" i="6" l="1"/>
  <c r="AK177" i="6"/>
  <c r="BX175" i="6"/>
  <c r="BY175" i="6"/>
  <c r="CB175" i="6"/>
  <c r="CC175" i="6"/>
  <c r="BP174" i="6"/>
  <c r="CD175" i="6" l="1"/>
  <c r="AK176" i="6"/>
  <c r="BX174" i="6"/>
  <c r="BY174" i="6"/>
  <c r="CB174" i="6"/>
  <c r="CC174" i="6"/>
  <c r="BP173" i="6"/>
  <c r="CD174" i="6" l="1"/>
  <c r="AK175" i="6"/>
  <c r="BX173" i="6"/>
  <c r="BY173" i="6"/>
  <c r="CB173" i="6"/>
  <c r="CC173" i="6"/>
  <c r="BP172" i="6"/>
  <c r="CD173" i="6" l="1"/>
  <c r="AK174" i="6"/>
  <c r="BX172" i="6"/>
  <c r="BY172" i="6"/>
  <c r="CB172" i="6"/>
  <c r="CC172" i="6"/>
  <c r="BP171" i="6"/>
  <c r="CD172" i="6" l="1"/>
  <c r="AK173" i="6"/>
  <c r="BX171" i="6"/>
  <c r="BY171" i="6"/>
  <c r="CB171" i="6"/>
  <c r="CC171" i="6"/>
  <c r="BP170" i="6"/>
  <c r="CD171" i="6" l="1"/>
  <c r="AK172" i="6"/>
  <c r="BX170" i="6"/>
  <c r="BY170" i="6"/>
  <c r="CB170" i="6"/>
  <c r="CC170" i="6"/>
  <c r="BP169" i="6"/>
  <c r="CD170" i="6" l="1"/>
  <c r="AK171" i="6"/>
  <c r="BX169" i="6"/>
  <c r="BY169" i="6"/>
  <c r="CB169" i="6"/>
  <c r="CC169" i="6"/>
  <c r="CD169" i="6" l="1"/>
  <c r="AK170" i="6"/>
  <c r="BP167" i="6"/>
  <c r="AK169" i="6" l="1"/>
  <c r="BX167" i="6"/>
  <c r="BY167" i="6"/>
  <c r="CB167" i="6"/>
  <c r="CC167" i="6"/>
  <c r="BP166" i="6"/>
  <c r="CD167" i="6" l="1"/>
  <c r="BX166" i="6"/>
  <c r="BY166" i="6"/>
  <c r="CB166" i="6"/>
  <c r="CC166" i="6"/>
  <c r="BP165" i="6"/>
  <c r="CD166" i="6" l="1"/>
  <c r="AK167" i="6"/>
  <c r="BX165" i="6"/>
  <c r="BY165" i="6"/>
  <c r="CB165" i="6"/>
  <c r="CC165" i="6"/>
  <c r="BP164" i="6"/>
  <c r="CD165" i="6" l="1"/>
  <c r="AK166" i="6"/>
  <c r="BX164" i="6"/>
  <c r="BY164" i="6"/>
  <c r="CB164" i="6"/>
  <c r="CC164" i="6"/>
  <c r="BP163" i="6"/>
  <c r="CD164" i="6" l="1"/>
  <c r="AK165" i="6"/>
  <c r="BX163" i="6"/>
  <c r="BY163" i="6"/>
  <c r="CB163" i="6"/>
  <c r="CC163" i="6"/>
  <c r="BP162" i="6"/>
  <c r="CD163" i="6" l="1"/>
  <c r="AK164" i="6"/>
  <c r="BX162" i="6"/>
  <c r="BY162" i="6"/>
  <c r="CB162" i="6"/>
  <c r="CC162" i="6"/>
  <c r="BP161" i="6"/>
  <c r="CD162" i="6" l="1"/>
  <c r="AK163" i="6"/>
  <c r="BX161" i="6"/>
  <c r="BY161" i="6"/>
  <c r="CB161" i="6"/>
  <c r="CC161" i="6"/>
  <c r="BP160" i="6"/>
  <c r="CD161" i="6" l="1"/>
  <c r="AK162" i="6"/>
  <c r="BX160" i="6"/>
  <c r="BY160" i="6"/>
  <c r="CB160" i="6"/>
  <c r="CC160" i="6"/>
  <c r="BP159" i="6"/>
  <c r="CD160" i="6" l="1"/>
  <c r="AK161" i="6"/>
  <c r="BX159" i="6"/>
  <c r="BY159" i="6"/>
  <c r="CB159" i="6"/>
  <c r="CC159" i="6"/>
  <c r="BP158" i="6"/>
  <c r="CD159" i="6" l="1"/>
  <c r="AK160" i="6"/>
  <c r="BX158" i="6"/>
  <c r="BY158" i="6"/>
  <c r="CB158" i="6"/>
  <c r="CC158" i="6"/>
  <c r="BP157" i="6"/>
  <c r="CD158" i="6" l="1"/>
  <c r="AK159" i="6"/>
  <c r="BX157" i="6"/>
  <c r="BY157" i="6"/>
  <c r="CB157" i="6"/>
  <c r="CC157" i="6"/>
  <c r="CD157" i="6" l="1"/>
  <c r="AK158" i="6"/>
  <c r="BP155" i="6"/>
  <c r="AK157" i="6" l="1"/>
  <c r="BX155" i="6"/>
  <c r="BY155" i="6"/>
  <c r="CB155" i="6"/>
  <c r="CC155" i="6"/>
  <c r="BP154" i="6"/>
  <c r="CD155" i="6" l="1"/>
  <c r="BX154" i="6"/>
  <c r="BY154" i="6"/>
  <c r="CB154" i="6"/>
  <c r="CC154" i="6"/>
  <c r="BP153" i="6"/>
  <c r="CD154" i="6" l="1"/>
  <c r="AK155" i="6"/>
  <c r="BX153" i="6"/>
  <c r="BY153" i="6"/>
  <c r="CB153" i="6"/>
  <c r="CC153" i="6"/>
  <c r="BP152" i="6"/>
  <c r="CD153" i="6" l="1"/>
  <c r="AK154" i="6"/>
  <c r="BX152" i="6"/>
  <c r="BY152" i="6"/>
  <c r="CB152" i="6"/>
  <c r="CC152" i="6"/>
  <c r="BP151" i="6"/>
  <c r="CD152" i="6" l="1"/>
  <c r="AK153" i="6"/>
  <c r="BX151" i="6"/>
  <c r="BY151" i="6"/>
  <c r="CB151" i="6"/>
  <c r="CC151" i="6"/>
  <c r="BP150" i="6"/>
  <c r="CD151" i="6" l="1"/>
  <c r="AK152" i="6"/>
  <c r="BX150" i="6"/>
  <c r="BY150" i="6"/>
  <c r="CB150" i="6"/>
  <c r="CC150" i="6"/>
  <c r="BP149" i="6"/>
  <c r="CD150" i="6" l="1"/>
  <c r="AK151" i="6"/>
  <c r="BX149" i="6"/>
  <c r="BY149" i="6"/>
  <c r="CB149" i="6"/>
  <c r="CC149" i="6"/>
  <c r="BP148" i="6"/>
  <c r="CD149" i="6" l="1"/>
  <c r="AK150" i="6"/>
  <c r="BX148" i="6"/>
  <c r="BY148" i="6"/>
  <c r="CB148" i="6"/>
  <c r="CC148" i="6"/>
  <c r="BP147" i="6"/>
  <c r="CD148" i="6" l="1"/>
  <c r="AK149" i="6"/>
  <c r="BX147" i="6"/>
  <c r="BY147" i="6"/>
  <c r="CB147" i="6"/>
  <c r="CC147" i="6"/>
  <c r="BP146" i="6"/>
  <c r="CD147" i="6" l="1"/>
  <c r="AK148" i="6"/>
  <c r="BX146" i="6"/>
  <c r="BY146" i="6"/>
  <c r="CB146" i="6"/>
  <c r="CC146" i="6"/>
  <c r="CD146" i="6" l="1"/>
  <c r="AK147" i="6"/>
  <c r="BX145" i="6"/>
  <c r="BY145" i="6"/>
  <c r="CB145" i="6"/>
  <c r="CC145" i="6"/>
  <c r="CD145" i="6" l="1"/>
  <c r="AK146" i="6"/>
  <c r="AK145" i="6" l="1"/>
  <c r="BX143" i="6"/>
  <c r="BY143" i="6"/>
  <c r="CB143" i="6"/>
  <c r="CC143" i="6"/>
  <c r="CD143" i="6" l="1"/>
  <c r="BX142" i="6"/>
  <c r="BY142" i="6"/>
  <c r="CB142" i="6"/>
  <c r="CC142" i="6"/>
  <c r="CD142" i="6" l="1"/>
  <c r="AK143" i="6"/>
  <c r="BX141" i="6"/>
  <c r="BY141" i="6"/>
  <c r="CB141" i="6"/>
  <c r="CC141" i="6"/>
  <c r="CD141" i="6" l="1"/>
  <c r="AK142" i="6"/>
  <c r="BX140" i="6"/>
  <c r="BY140" i="6"/>
  <c r="CB140" i="6"/>
  <c r="CC140" i="6"/>
  <c r="CD140" i="6" l="1"/>
  <c r="AK141" i="6"/>
  <c r="BX139" i="6"/>
  <c r="BY139" i="6"/>
  <c r="CB139" i="6"/>
  <c r="CC139" i="6"/>
  <c r="CD139" i="6" l="1"/>
  <c r="AK140" i="6"/>
  <c r="BX138" i="6"/>
  <c r="BY138" i="6"/>
  <c r="CB138" i="6"/>
  <c r="CC138" i="6"/>
  <c r="CD138" i="6" l="1"/>
  <c r="AK139" i="6"/>
  <c r="BX137" i="6"/>
  <c r="BY137" i="6"/>
  <c r="CB137" i="6"/>
  <c r="CC137" i="6"/>
  <c r="CD137" i="6" l="1"/>
  <c r="AK138" i="6"/>
  <c r="BX136" i="6"/>
  <c r="BY136" i="6"/>
  <c r="CB136" i="6"/>
  <c r="CC136" i="6"/>
  <c r="CD136" i="6" l="1"/>
  <c r="AK137" i="6"/>
  <c r="BX135" i="6"/>
  <c r="BY135" i="6"/>
  <c r="CB135" i="6"/>
  <c r="CC135" i="6"/>
  <c r="CD135" i="6" l="1"/>
  <c r="AK136" i="6"/>
  <c r="BX134" i="6"/>
  <c r="BY134" i="6"/>
  <c r="CB134" i="6"/>
  <c r="CC134" i="6"/>
  <c r="CD134" i="6" l="1"/>
  <c r="AK135" i="6"/>
  <c r="BX133" i="6"/>
  <c r="BY133" i="6"/>
  <c r="CB133" i="6"/>
  <c r="CC133" i="6"/>
  <c r="CD133" i="6" l="1"/>
  <c r="AK134" i="6"/>
  <c r="AK133" i="6" l="1"/>
  <c r="BX131" i="6"/>
  <c r="BY131" i="6"/>
  <c r="CB131" i="6"/>
  <c r="CC131" i="6"/>
  <c r="CD131" i="6" l="1"/>
  <c r="BX130" i="6"/>
  <c r="BY130" i="6"/>
  <c r="CB130" i="6"/>
  <c r="CC130" i="6"/>
  <c r="CD130" i="6" l="1"/>
  <c r="AK131" i="6"/>
  <c r="BX129" i="6"/>
  <c r="BY129" i="6"/>
  <c r="CB129" i="6"/>
  <c r="CC129" i="6"/>
  <c r="CD129" i="6" l="1"/>
  <c r="AK130" i="6"/>
  <c r="BX128" i="6"/>
  <c r="BY128" i="6"/>
  <c r="CB128" i="6"/>
  <c r="CC128" i="6"/>
  <c r="CD128" i="6" l="1"/>
  <c r="AK129" i="6"/>
  <c r="BX127" i="6"/>
  <c r="BY127" i="6"/>
  <c r="CB127" i="6"/>
  <c r="CC127" i="6"/>
  <c r="CD127" i="6" l="1"/>
  <c r="AK128" i="6"/>
  <c r="BX126" i="6"/>
  <c r="BY126" i="6"/>
  <c r="CB126" i="6"/>
  <c r="CC126" i="6"/>
  <c r="CD126" i="6" l="1"/>
  <c r="AK127" i="6"/>
  <c r="BX125" i="6"/>
  <c r="BY125" i="6"/>
  <c r="CB125" i="6"/>
  <c r="CC125" i="6"/>
  <c r="CD125" i="6" l="1"/>
  <c r="AK126" i="6"/>
  <c r="BX124" i="6"/>
  <c r="BY124" i="6"/>
  <c r="CB124" i="6"/>
  <c r="CC124" i="6"/>
  <c r="CD124" i="6" l="1"/>
  <c r="AK125" i="6"/>
  <c r="BX123" i="6"/>
  <c r="BY123" i="6"/>
  <c r="CB123" i="6"/>
  <c r="CC123" i="6"/>
  <c r="CD123" i="6" l="1"/>
  <c r="AK124" i="6"/>
  <c r="BX122" i="6"/>
  <c r="BY122" i="6"/>
  <c r="CB122" i="6"/>
  <c r="CC122" i="6"/>
  <c r="CD122" i="6" l="1"/>
  <c r="AK123" i="6"/>
  <c r="BX121" i="6"/>
  <c r="BY121" i="6"/>
  <c r="CB121" i="6"/>
  <c r="CC121" i="6"/>
  <c r="CD121" i="6" l="1"/>
  <c r="AK122" i="6"/>
  <c r="AK121" i="6" l="1"/>
  <c r="BX119" i="6"/>
  <c r="BY119" i="6"/>
  <c r="CB119" i="6"/>
  <c r="CC119" i="6"/>
  <c r="CD119" i="6" l="1"/>
  <c r="BX118" i="6"/>
  <c r="BY118" i="6"/>
  <c r="CB118" i="6"/>
  <c r="CC118" i="6"/>
  <c r="CD118" i="6" l="1"/>
  <c r="AK119" i="6"/>
  <c r="BX117" i="6"/>
  <c r="BY117" i="6"/>
  <c r="CB117" i="6"/>
  <c r="CC117" i="6"/>
  <c r="CD117" i="6" l="1"/>
  <c r="AK118" i="6"/>
  <c r="BX116" i="6"/>
  <c r="BY116" i="6"/>
  <c r="CB116" i="6"/>
  <c r="CC116" i="6"/>
  <c r="CD116" i="6" l="1"/>
  <c r="AK117" i="6"/>
  <c r="BX115" i="6"/>
  <c r="BY115" i="6"/>
  <c r="CB115" i="6"/>
  <c r="CC115" i="6"/>
  <c r="CD115" i="6" l="1"/>
  <c r="AK116" i="6"/>
  <c r="BX114" i="6"/>
  <c r="BY114" i="6"/>
  <c r="CB114" i="6"/>
  <c r="CC114" i="6"/>
  <c r="CD114" i="6" l="1"/>
  <c r="AK115" i="6"/>
  <c r="BX113" i="6"/>
  <c r="BY113" i="6"/>
  <c r="CB113" i="6"/>
  <c r="CC113" i="6"/>
  <c r="CD113" i="6" l="1"/>
  <c r="AK114" i="6"/>
  <c r="BX112" i="6"/>
  <c r="BY112" i="6"/>
  <c r="CB112" i="6"/>
  <c r="CC112" i="6"/>
  <c r="CD112" i="6" l="1"/>
  <c r="AK113" i="6"/>
  <c r="BX111" i="6"/>
  <c r="BY111" i="6"/>
  <c r="CB111" i="6"/>
  <c r="CC111" i="6"/>
  <c r="CD111" i="6" l="1"/>
  <c r="AK112" i="6"/>
  <c r="BX110" i="6"/>
  <c r="BY110" i="6"/>
  <c r="CB110" i="6"/>
  <c r="CC110" i="6"/>
  <c r="CD110" i="6" l="1"/>
  <c r="AK111" i="6"/>
  <c r="BX109" i="6"/>
  <c r="BY109" i="6"/>
  <c r="CB109" i="6"/>
  <c r="CC109" i="6"/>
  <c r="CD109" i="6" l="1"/>
  <c r="AK110" i="6"/>
  <c r="AK109" i="6" l="1"/>
  <c r="BX107" i="6"/>
  <c r="BY107" i="6"/>
  <c r="CB107" i="6"/>
  <c r="CC107" i="6"/>
  <c r="CD107" i="6" l="1"/>
  <c r="BX106" i="6"/>
  <c r="BY106" i="6"/>
  <c r="CB106" i="6"/>
  <c r="CC106" i="6"/>
  <c r="CD106" i="6" l="1"/>
  <c r="AK107" i="6"/>
  <c r="BX105" i="6"/>
  <c r="BY105" i="6"/>
  <c r="CB105" i="6"/>
  <c r="CC105" i="6"/>
  <c r="CD105" i="6" l="1"/>
  <c r="AK106" i="6"/>
  <c r="BX104" i="6"/>
  <c r="BY104" i="6"/>
  <c r="CB104" i="6"/>
  <c r="CC104" i="6"/>
  <c r="CD104" i="6" l="1"/>
  <c r="AK105" i="6"/>
  <c r="BX103" i="6"/>
  <c r="BY103" i="6"/>
  <c r="CB103" i="6"/>
  <c r="CC103" i="6"/>
  <c r="CD103" i="6" l="1"/>
  <c r="AK104" i="6"/>
  <c r="BX102" i="6"/>
  <c r="BY102" i="6"/>
  <c r="CB102" i="6"/>
  <c r="CC102" i="6"/>
  <c r="CD102" i="6" l="1"/>
  <c r="AK103" i="6"/>
  <c r="BX101" i="6"/>
  <c r="BY101" i="6"/>
  <c r="CB101" i="6"/>
  <c r="CC101" i="6"/>
  <c r="CD101" i="6" l="1"/>
  <c r="AK102" i="6"/>
  <c r="BX100" i="6"/>
  <c r="BY100" i="6"/>
  <c r="CB100" i="6"/>
  <c r="CC100" i="6"/>
  <c r="CD100" i="6" l="1"/>
  <c r="AK101" i="6"/>
  <c r="BX99" i="6"/>
  <c r="BY99" i="6"/>
  <c r="CB99" i="6"/>
  <c r="CC99" i="6"/>
  <c r="CD99" i="6" l="1"/>
  <c r="AK100" i="6"/>
  <c r="BX98" i="6"/>
  <c r="BY98" i="6"/>
  <c r="CB98" i="6"/>
  <c r="CC98" i="6"/>
  <c r="CD98" i="6" l="1"/>
  <c r="AK99" i="6"/>
  <c r="BX97" i="6"/>
  <c r="BY97" i="6"/>
  <c r="CB97" i="6"/>
  <c r="CC97" i="6"/>
  <c r="CD97" i="6" l="1"/>
  <c r="AK98" i="6"/>
  <c r="AK97" i="6" l="1"/>
  <c r="BX95" i="6"/>
  <c r="BY95" i="6"/>
  <c r="CB95" i="6"/>
  <c r="CC95" i="6"/>
  <c r="CD95" i="6" l="1"/>
  <c r="BX94" i="6"/>
  <c r="BY94" i="6"/>
  <c r="CB94" i="6"/>
  <c r="CC94" i="6"/>
  <c r="CD94" i="6" l="1"/>
  <c r="AK95" i="6"/>
  <c r="BX93" i="6"/>
  <c r="BY93" i="6"/>
  <c r="CB93" i="6"/>
  <c r="CC93" i="6"/>
  <c r="CD93" i="6" l="1"/>
  <c r="AK94" i="6"/>
  <c r="BX92" i="6"/>
  <c r="BY92" i="6"/>
  <c r="CB92" i="6"/>
  <c r="CC92" i="6"/>
  <c r="CD92" i="6" l="1"/>
  <c r="AK93" i="6"/>
  <c r="BX91" i="6"/>
  <c r="BY91" i="6"/>
  <c r="CB91" i="6"/>
  <c r="CC91" i="6"/>
  <c r="CD91" i="6" l="1"/>
  <c r="AK92" i="6"/>
  <c r="BX90" i="6"/>
  <c r="BY90" i="6"/>
  <c r="CB90" i="6"/>
  <c r="CC90" i="6"/>
  <c r="CD90" i="6" l="1"/>
  <c r="AK91" i="6"/>
  <c r="BX89" i="6"/>
  <c r="BY89" i="6"/>
  <c r="CB89" i="6"/>
  <c r="CC89" i="6"/>
  <c r="CD89" i="6" l="1"/>
  <c r="AK90" i="6"/>
  <c r="BX88" i="6"/>
  <c r="BY88" i="6"/>
  <c r="CB88" i="6"/>
  <c r="CC88" i="6"/>
  <c r="CD88" i="6" l="1"/>
  <c r="AK89" i="6"/>
  <c r="BX87" i="6"/>
  <c r="BY87" i="6"/>
  <c r="CB87" i="6"/>
  <c r="CC87" i="6"/>
  <c r="CD87" i="6" l="1"/>
  <c r="AK88" i="6"/>
  <c r="BX86" i="6"/>
  <c r="BY86" i="6"/>
  <c r="CB86" i="6"/>
  <c r="CC86" i="6"/>
  <c r="CD86" i="6" l="1"/>
  <c r="AK87" i="6"/>
  <c r="BX85" i="6"/>
  <c r="BY85" i="6"/>
  <c r="CB85" i="6"/>
  <c r="CC85" i="6"/>
  <c r="CD85" i="6" l="1"/>
  <c r="AK86" i="6"/>
  <c r="AK85" i="6" l="1"/>
  <c r="BX83" i="6"/>
  <c r="BY83" i="6"/>
  <c r="CB83" i="6"/>
  <c r="CC83" i="6"/>
  <c r="CD83" i="6" l="1"/>
  <c r="BX82" i="6"/>
  <c r="BY82" i="6"/>
  <c r="CB82" i="6"/>
  <c r="CC82" i="6"/>
  <c r="CD82" i="6" l="1"/>
  <c r="AK83" i="6"/>
  <c r="BX81" i="6"/>
  <c r="BY81" i="6"/>
  <c r="CB81" i="6"/>
  <c r="CC81" i="6"/>
  <c r="CD81" i="6" l="1"/>
  <c r="AK82" i="6"/>
  <c r="BX80" i="6"/>
  <c r="BY80" i="6"/>
  <c r="CB80" i="6"/>
  <c r="CC80" i="6"/>
  <c r="CD80" i="6" l="1"/>
  <c r="AK81" i="6"/>
  <c r="BX79" i="6"/>
  <c r="BY79" i="6"/>
  <c r="CB79" i="6"/>
  <c r="CC79" i="6"/>
  <c r="CD79" i="6" l="1"/>
  <c r="AK80" i="6"/>
  <c r="BX78" i="6"/>
  <c r="BY78" i="6"/>
  <c r="CB78" i="6"/>
  <c r="CC78" i="6"/>
  <c r="CD78" i="6" l="1"/>
  <c r="AK79" i="6"/>
  <c r="BX77" i="6"/>
  <c r="BY77" i="6"/>
  <c r="CB77" i="6"/>
  <c r="CC77" i="6"/>
  <c r="CD77" i="6" l="1"/>
  <c r="AK78" i="6"/>
  <c r="BX76" i="6"/>
  <c r="BY76" i="6"/>
  <c r="CB76" i="6"/>
  <c r="CC76" i="6"/>
  <c r="CD76" i="6" l="1"/>
  <c r="AK77" i="6"/>
  <c r="BX75" i="6"/>
  <c r="BY75" i="6"/>
  <c r="CB75" i="6"/>
  <c r="CC75" i="6"/>
  <c r="CD75" i="6" l="1"/>
  <c r="AK76" i="6"/>
  <c r="BX74" i="6"/>
  <c r="BY74" i="6"/>
  <c r="CB74" i="6"/>
  <c r="CC74" i="6"/>
  <c r="CD74" i="6" l="1"/>
  <c r="AK75" i="6"/>
  <c r="BX73" i="6"/>
  <c r="BY73" i="6"/>
  <c r="CB73" i="6"/>
  <c r="CC73" i="6"/>
  <c r="CD73" i="6" l="1"/>
  <c r="AK74" i="6"/>
  <c r="AK73" i="6" l="1"/>
  <c r="BX71" i="6"/>
  <c r="BY71" i="6"/>
  <c r="CB71" i="6"/>
  <c r="CC71" i="6"/>
  <c r="CD71" i="6" l="1"/>
  <c r="BX70" i="6"/>
  <c r="BY70" i="6"/>
  <c r="CB70" i="6"/>
  <c r="CC70" i="6"/>
  <c r="CD70" i="6" l="1"/>
  <c r="AK71" i="6"/>
  <c r="BX69" i="6"/>
  <c r="BY69" i="6"/>
  <c r="CB69" i="6"/>
  <c r="CC69" i="6"/>
  <c r="CD69" i="6" l="1"/>
  <c r="AK70" i="6"/>
  <c r="BX68" i="6"/>
  <c r="BY68" i="6"/>
  <c r="CB68" i="6"/>
  <c r="CC68" i="6"/>
  <c r="CD68" i="6" l="1"/>
  <c r="AK69" i="6"/>
  <c r="BX67" i="6"/>
  <c r="BY67" i="6"/>
  <c r="CB67" i="6"/>
  <c r="CC67" i="6"/>
  <c r="CD67" i="6" l="1"/>
  <c r="AK68" i="6"/>
  <c r="BX66" i="6"/>
  <c r="BY66" i="6"/>
  <c r="CB66" i="6"/>
  <c r="CC66" i="6"/>
  <c r="CD66" i="6" l="1"/>
  <c r="AK67" i="6"/>
  <c r="BX65" i="6"/>
  <c r="BY65" i="6"/>
  <c r="CB65" i="6"/>
  <c r="CC65" i="6"/>
  <c r="CD65" i="6" l="1"/>
  <c r="AK66" i="6"/>
  <c r="BX64" i="6"/>
  <c r="BY64" i="6"/>
  <c r="CB64" i="6"/>
  <c r="CC64" i="6"/>
  <c r="CD64" i="6" l="1"/>
  <c r="AK65" i="6"/>
  <c r="BX63" i="6"/>
  <c r="BY63" i="6"/>
  <c r="CB63" i="6"/>
  <c r="CC63" i="6"/>
  <c r="CD63" i="6" l="1"/>
  <c r="AK64" i="6"/>
  <c r="BX62" i="6"/>
  <c r="BY62" i="6"/>
  <c r="CB62" i="6"/>
  <c r="CC62" i="6"/>
  <c r="CD62" i="6" l="1"/>
  <c r="AK63" i="6"/>
  <c r="BX61" i="6"/>
  <c r="BY61" i="6"/>
  <c r="CB61" i="6"/>
  <c r="CC61" i="6"/>
  <c r="CD61" i="6" l="1"/>
  <c r="AK62" i="6"/>
  <c r="AK61" i="6" l="1"/>
  <c r="BX59" i="6"/>
  <c r="BY59" i="6"/>
  <c r="CB59" i="6"/>
  <c r="CC59" i="6"/>
  <c r="CD59" i="6" l="1"/>
  <c r="BX58" i="6"/>
  <c r="BY58" i="6"/>
  <c r="CB58" i="6"/>
  <c r="CC58" i="6"/>
  <c r="CD58" i="6" l="1"/>
  <c r="AK59" i="6"/>
  <c r="BX57" i="6"/>
  <c r="BY57" i="6"/>
  <c r="CB57" i="6"/>
  <c r="CC57" i="6"/>
  <c r="CD57" i="6" l="1"/>
  <c r="AK58" i="6"/>
  <c r="BX56" i="6"/>
  <c r="BY56" i="6"/>
  <c r="CB56" i="6"/>
  <c r="CC56" i="6"/>
  <c r="CD56" i="6" l="1"/>
  <c r="AK57" i="6"/>
  <c r="BX55" i="6"/>
  <c r="BY55" i="6"/>
  <c r="CB55" i="6"/>
  <c r="CC55" i="6"/>
  <c r="CD55" i="6" l="1"/>
  <c r="AK56" i="6"/>
  <c r="BX54" i="6"/>
  <c r="BY54" i="6"/>
  <c r="CB54" i="6"/>
  <c r="CC54" i="6"/>
  <c r="CD54" i="6" l="1"/>
  <c r="AK55" i="6"/>
  <c r="BX53" i="6"/>
  <c r="BY53" i="6"/>
  <c r="CB53" i="6"/>
  <c r="CC53" i="6"/>
  <c r="CD53" i="6" l="1"/>
  <c r="AK54" i="6"/>
  <c r="BX52" i="6"/>
  <c r="BY52" i="6"/>
  <c r="CB52" i="6"/>
  <c r="CC52" i="6"/>
  <c r="CD52" i="6" l="1"/>
  <c r="AK53" i="6"/>
  <c r="BX51" i="6"/>
  <c r="BY51" i="6"/>
  <c r="CB51" i="6"/>
  <c r="CC51" i="6"/>
  <c r="CD51" i="6" l="1"/>
  <c r="AK52" i="6"/>
  <c r="BX50" i="6"/>
  <c r="BY50" i="6"/>
  <c r="CB50" i="6"/>
  <c r="CC50" i="6"/>
  <c r="CD50" i="6" l="1"/>
  <c r="AK51" i="6"/>
  <c r="BX49" i="6"/>
  <c r="BY49" i="6"/>
  <c r="CB49" i="6"/>
  <c r="CC49" i="6"/>
  <c r="CD49" i="6" l="1"/>
  <c r="AK50" i="6"/>
  <c r="AK49" i="6" l="1"/>
  <c r="BX47" i="6"/>
  <c r="BY47" i="6"/>
  <c r="CB47" i="6"/>
  <c r="CC47" i="6"/>
  <c r="CD47" i="6" l="1"/>
  <c r="BX46" i="6"/>
  <c r="BY46" i="6"/>
  <c r="CB46" i="6"/>
  <c r="CC46" i="6"/>
  <c r="CD46" i="6" l="1"/>
  <c r="AK47" i="6"/>
  <c r="BX45" i="6"/>
  <c r="BY45" i="6"/>
  <c r="CB45" i="6"/>
  <c r="CC45" i="6"/>
  <c r="CD45" i="6" l="1"/>
  <c r="AK46" i="6"/>
  <c r="BX44" i="6"/>
  <c r="BY44" i="6"/>
  <c r="CB44" i="6"/>
  <c r="CC44" i="6"/>
  <c r="CD44" i="6" l="1"/>
  <c r="AK45" i="6"/>
  <c r="BX43" i="6"/>
  <c r="BY43" i="6"/>
  <c r="CB43" i="6"/>
  <c r="CC43" i="6"/>
  <c r="CD43" i="6" l="1"/>
  <c r="AK44" i="6"/>
  <c r="BX42" i="6"/>
  <c r="BY42" i="6"/>
  <c r="CB42" i="6"/>
  <c r="CC42" i="6"/>
  <c r="CD42" i="6" l="1"/>
  <c r="AK43" i="6"/>
  <c r="BX41" i="6"/>
  <c r="BY41" i="6"/>
  <c r="CB41" i="6"/>
  <c r="CC41" i="6"/>
  <c r="CD41" i="6" l="1"/>
  <c r="AK42" i="6"/>
  <c r="BX40" i="6"/>
  <c r="BY40" i="6"/>
  <c r="CB40" i="6"/>
  <c r="CC40" i="6"/>
  <c r="CD40" i="6" l="1"/>
  <c r="AK41" i="6"/>
  <c r="BX39" i="6"/>
  <c r="BY39" i="6"/>
  <c r="CB39" i="6"/>
  <c r="CC39" i="6"/>
  <c r="CD39" i="6" l="1"/>
  <c r="AK40" i="6"/>
  <c r="BX38" i="6"/>
  <c r="BY38" i="6"/>
  <c r="CB38" i="6"/>
  <c r="CC38" i="6"/>
  <c r="CD38" i="6" l="1"/>
  <c r="AK39" i="6"/>
  <c r="BX37" i="6"/>
  <c r="BY37" i="6"/>
  <c r="CB37" i="6"/>
  <c r="CC37" i="6"/>
  <c r="CD37" i="6" l="1"/>
  <c r="AK38" i="6"/>
  <c r="AK37" i="6" l="1"/>
  <c r="BX35" i="6"/>
  <c r="BY35" i="6"/>
  <c r="CB35" i="6"/>
  <c r="CC35" i="6"/>
  <c r="CD35" i="6" l="1"/>
  <c r="BX34" i="6"/>
  <c r="BY34" i="6"/>
  <c r="CB34" i="6"/>
  <c r="CC34" i="6"/>
  <c r="CD34" i="6" l="1"/>
  <c r="AK35" i="6"/>
  <c r="BX33" i="6"/>
  <c r="BY33" i="6"/>
  <c r="CB33" i="6"/>
  <c r="CC33" i="6"/>
  <c r="CD33" i="6" l="1"/>
  <c r="AK34" i="6"/>
  <c r="BX32" i="6"/>
  <c r="BY32" i="6"/>
  <c r="CB32" i="6"/>
  <c r="CC32" i="6"/>
  <c r="CD32" i="6" l="1"/>
  <c r="AK33" i="6"/>
  <c r="BX31" i="6"/>
  <c r="BY31" i="6"/>
  <c r="CB31" i="6"/>
  <c r="CC31" i="6"/>
  <c r="CD31" i="6" l="1"/>
  <c r="AK32" i="6"/>
  <c r="BX30" i="6"/>
  <c r="BY30" i="6"/>
  <c r="CB30" i="6"/>
  <c r="CC30" i="6"/>
  <c r="CD30" i="6" l="1"/>
  <c r="AK31" i="6"/>
  <c r="BX29" i="6"/>
  <c r="BY29" i="6"/>
  <c r="CB29" i="6"/>
  <c r="CC29" i="6"/>
  <c r="CD29" i="6" l="1"/>
  <c r="AK30" i="6"/>
  <c r="BX28" i="6"/>
  <c r="BY28" i="6"/>
  <c r="CB28" i="6"/>
  <c r="CC28" i="6"/>
  <c r="CD28" i="6" l="1"/>
  <c r="AK29" i="6"/>
  <c r="BX27" i="6"/>
  <c r="BY27" i="6"/>
  <c r="CB27" i="6"/>
  <c r="CC27" i="6"/>
  <c r="CD27" i="6" l="1"/>
  <c r="AK28" i="6"/>
  <c r="BX26" i="6"/>
  <c r="BY26" i="6"/>
  <c r="CB26" i="6"/>
  <c r="CC26" i="6"/>
  <c r="CD26" i="6" l="1"/>
  <c r="AK27" i="6"/>
  <c r="BX25" i="6"/>
  <c r="BY25" i="6"/>
  <c r="CB25" i="6"/>
  <c r="CC25" i="6"/>
  <c r="CD25" i="6" l="1"/>
  <c r="AK26" i="6"/>
  <c r="AK25" i="6" l="1"/>
  <c r="BX23" i="6"/>
  <c r="BY23" i="6"/>
  <c r="CB23" i="6"/>
  <c r="CC23" i="6"/>
  <c r="CD23" i="6" l="1"/>
  <c r="BX22" i="6"/>
  <c r="BY22" i="6"/>
  <c r="CB22" i="6"/>
  <c r="CC22" i="6"/>
  <c r="CD22" i="6" l="1"/>
  <c r="AK23" i="6"/>
  <c r="BX21" i="6"/>
  <c r="BY21" i="6"/>
  <c r="CB21" i="6"/>
  <c r="CC21" i="6"/>
  <c r="CD21" i="6" l="1"/>
  <c r="AK22" i="6"/>
  <c r="BX20" i="6"/>
  <c r="BY20" i="6"/>
  <c r="CB20" i="6"/>
  <c r="CC20" i="6"/>
  <c r="CD20" i="6" l="1"/>
  <c r="AK21" i="6"/>
  <c r="BX19" i="6"/>
  <c r="BY19" i="6"/>
  <c r="CB19" i="6"/>
  <c r="CC19" i="6"/>
  <c r="CD19" i="6" l="1"/>
  <c r="AK20" i="6"/>
  <c r="BX18" i="6"/>
  <c r="BY18" i="6"/>
  <c r="CB18" i="6"/>
  <c r="CC18" i="6"/>
  <c r="CD18" i="6" l="1"/>
  <c r="AK19" i="6"/>
  <c r="BX17" i="6"/>
  <c r="BY17" i="6"/>
  <c r="CB17" i="6"/>
  <c r="CC17" i="6"/>
  <c r="CD17" i="6" l="1"/>
  <c r="AK18" i="6"/>
  <c r="BX16" i="6"/>
  <c r="BY16" i="6"/>
  <c r="CB16" i="6"/>
  <c r="CC16" i="6"/>
  <c r="CD16" i="6" l="1"/>
  <c r="AK17" i="6"/>
  <c r="BX15" i="6"/>
  <c r="BY15" i="6"/>
  <c r="CB15" i="6"/>
  <c r="CC15" i="6"/>
  <c r="CD15" i="6" l="1"/>
  <c r="AK16" i="6"/>
  <c r="BX14" i="6"/>
  <c r="BY14" i="6"/>
  <c r="CB14" i="6"/>
  <c r="CC14" i="6"/>
  <c r="CD14" i="6" l="1"/>
  <c r="AK15" i="6"/>
  <c r="BX13" i="6"/>
  <c r="BY13" i="6"/>
  <c r="CB13" i="6"/>
  <c r="CC13" i="6"/>
  <c r="BY10" i="6"/>
  <c r="CD13" i="6" l="1"/>
  <c r="AK14" i="6"/>
  <c r="AK13" i="6" l="1"/>
  <c r="BX502" i="2"/>
  <c r="BY502" i="2"/>
  <c r="CB502" i="2"/>
  <c r="CC502" i="2"/>
  <c r="CD502" i="2" l="1"/>
  <c r="BX501" i="2"/>
  <c r="BY501" i="2"/>
  <c r="CB501" i="2"/>
  <c r="CC501" i="2"/>
  <c r="CD501" i="2" l="1"/>
  <c r="AK502" i="2"/>
  <c r="BX500" i="2"/>
  <c r="BY500" i="2"/>
  <c r="CB500" i="2"/>
  <c r="CC500" i="2"/>
  <c r="CD500" i="2" l="1"/>
  <c r="AK501" i="2"/>
  <c r="AK500" i="2" l="1"/>
  <c r="BX498" i="2"/>
  <c r="BY498" i="2"/>
  <c r="CB498" i="2"/>
  <c r="CC498" i="2"/>
  <c r="CD498" i="2" l="1"/>
  <c r="BX497" i="2"/>
  <c r="BY497" i="2"/>
  <c r="CB497" i="2"/>
  <c r="CC497" i="2"/>
  <c r="CD497" i="2" l="1"/>
  <c r="AK498" i="2"/>
  <c r="AK497" i="2" l="1"/>
  <c r="BX495" i="2"/>
  <c r="BY495" i="2"/>
  <c r="CB495" i="2"/>
  <c r="CC495" i="2"/>
  <c r="CD495" i="2" l="1"/>
  <c r="BX494" i="2"/>
  <c r="BY494" i="2"/>
  <c r="CB494" i="2"/>
  <c r="CC494" i="2"/>
  <c r="CD494" i="2" l="1"/>
  <c r="AK495" i="2"/>
  <c r="BX493" i="2"/>
  <c r="BY493" i="2"/>
  <c r="CB493" i="2"/>
  <c r="CC493" i="2"/>
  <c r="CD493" i="2" l="1"/>
  <c r="AK494" i="2"/>
  <c r="BX492" i="2"/>
  <c r="BY492" i="2"/>
  <c r="CB492" i="2"/>
  <c r="CC492" i="2"/>
  <c r="CD492" i="2" l="1"/>
  <c r="AK493" i="2"/>
  <c r="BX491" i="2"/>
  <c r="BY491" i="2"/>
  <c r="CB491" i="2"/>
  <c r="CC491" i="2"/>
  <c r="CD491" i="2" l="1"/>
  <c r="AK492" i="2"/>
  <c r="BX490" i="2"/>
  <c r="BY490" i="2"/>
  <c r="CB490" i="2"/>
  <c r="CC490" i="2"/>
  <c r="CD490" i="2" l="1"/>
  <c r="AK491" i="2"/>
  <c r="BX489" i="2"/>
  <c r="BY489" i="2"/>
  <c r="CB489" i="2"/>
  <c r="CC489" i="2"/>
  <c r="CD489" i="2" l="1"/>
  <c r="AK490" i="2"/>
  <c r="BX488" i="2"/>
  <c r="BY488" i="2"/>
  <c r="CB488" i="2"/>
  <c r="CC488" i="2"/>
  <c r="CD488" i="2" l="1"/>
  <c r="AK489" i="2"/>
  <c r="BX487" i="2"/>
  <c r="BY487" i="2"/>
  <c r="CB487" i="2"/>
  <c r="CC487" i="2"/>
  <c r="CD487" i="2" l="1"/>
  <c r="AK488" i="2"/>
  <c r="AK487" i="2" l="1"/>
  <c r="BX485" i="2"/>
  <c r="BY485" i="2"/>
  <c r="CB485" i="2"/>
  <c r="CC485" i="2"/>
  <c r="CD485" i="2" l="1"/>
  <c r="BX484" i="2"/>
  <c r="BY484" i="2"/>
  <c r="CB484" i="2"/>
  <c r="CC484" i="2"/>
  <c r="CD484" i="2" l="1"/>
  <c r="AK485" i="2"/>
  <c r="BX483" i="2"/>
  <c r="BY483" i="2"/>
  <c r="CB483" i="2"/>
  <c r="CC483" i="2"/>
  <c r="CD483" i="2" l="1"/>
  <c r="AK484" i="2"/>
  <c r="BX482" i="2"/>
  <c r="BY482" i="2"/>
  <c r="CB482" i="2"/>
  <c r="CC482" i="2"/>
  <c r="CD482" i="2" l="1"/>
  <c r="AK483" i="2"/>
  <c r="BX481" i="2"/>
  <c r="BY481" i="2"/>
  <c r="CB481" i="2"/>
  <c r="CC481" i="2"/>
  <c r="CD481" i="2" l="1"/>
  <c r="AK482" i="2"/>
  <c r="BX480" i="2"/>
  <c r="BY480" i="2"/>
  <c r="CB480" i="2"/>
  <c r="CC480" i="2"/>
  <c r="CD480" i="2" l="1"/>
  <c r="AK481" i="2"/>
  <c r="BX479" i="2"/>
  <c r="BY479" i="2"/>
  <c r="CB479" i="2"/>
  <c r="CC479" i="2"/>
  <c r="CD479" i="2" l="1"/>
  <c r="AK480" i="2"/>
  <c r="BX478" i="2"/>
  <c r="BY478" i="2"/>
  <c r="CB478" i="2"/>
  <c r="CC478" i="2"/>
  <c r="CD478" i="2" l="1"/>
  <c r="AK479" i="2"/>
  <c r="BX477" i="2"/>
  <c r="BY477" i="2"/>
  <c r="CB477" i="2"/>
  <c r="CC477" i="2"/>
  <c r="CD477" i="2" l="1"/>
  <c r="AK478" i="2"/>
  <c r="AK477" i="2" l="1"/>
  <c r="BX475" i="2"/>
  <c r="BY475" i="2"/>
  <c r="CB475" i="2"/>
  <c r="CC475" i="2"/>
  <c r="CD475" i="2" l="1"/>
  <c r="BX474" i="2"/>
  <c r="BY474" i="2"/>
  <c r="CB474" i="2"/>
  <c r="CC474" i="2"/>
  <c r="CD474" i="2" l="1"/>
  <c r="AK475" i="2"/>
  <c r="BX473" i="2"/>
  <c r="BY473" i="2"/>
  <c r="CB473" i="2"/>
  <c r="CC473" i="2"/>
  <c r="CD473" i="2" l="1"/>
  <c r="AK474" i="2"/>
  <c r="BX472" i="2"/>
  <c r="BY472" i="2"/>
  <c r="CB472" i="2"/>
  <c r="CC472" i="2"/>
  <c r="CD472" i="2" l="1"/>
  <c r="AK473" i="2"/>
  <c r="BX471" i="2"/>
  <c r="BY471" i="2"/>
  <c r="CB471" i="2"/>
  <c r="CC471" i="2"/>
  <c r="CD471" i="2" l="1"/>
  <c r="AK472" i="2"/>
  <c r="BX470" i="2"/>
  <c r="BY470" i="2"/>
  <c r="CB470" i="2"/>
  <c r="CC470" i="2"/>
  <c r="CD470" i="2" l="1"/>
  <c r="AK471" i="2"/>
  <c r="BX469" i="2"/>
  <c r="BY469" i="2"/>
  <c r="CB469" i="2"/>
  <c r="CC469" i="2"/>
  <c r="CD469" i="2" l="1"/>
  <c r="AK470" i="2"/>
  <c r="BX468" i="2"/>
  <c r="BY468" i="2"/>
  <c r="CB468" i="2"/>
  <c r="CC468" i="2"/>
  <c r="CD468" i="2" l="1"/>
  <c r="AK469" i="2"/>
  <c r="BX467" i="2"/>
  <c r="BY467" i="2"/>
  <c r="CB467" i="2"/>
  <c r="CC467" i="2"/>
  <c r="CD467" i="2" l="1"/>
  <c r="AK468" i="2"/>
  <c r="AK467" i="2" l="1"/>
  <c r="BX465" i="2"/>
  <c r="BY465" i="2"/>
  <c r="CB465" i="2"/>
  <c r="CC465" i="2"/>
  <c r="CD465" i="2" l="1"/>
  <c r="BX464" i="2"/>
  <c r="BY464" i="2"/>
  <c r="CB464" i="2"/>
  <c r="CC464" i="2"/>
  <c r="CD464" i="2" l="1"/>
  <c r="AK465" i="2"/>
  <c r="BX463" i="2"/>
  <c r="BY463" i="2"/>
  <c r="CB463" i="2"/>
  <c r="CC463" i="2"/>
  <c r="CD463" i="2" l="1"/>
  <c r="AK464" i="2"/>
  <c r="BX462" i="2"/>
  <c r="BY462" i="2"/>
  <c r="CB462" i="2"/>
  <c r="CC462" i="2"/>
  <c r="CD462" i="2" l="1"/>
  <c r="AK463" i="2"/>
  <c r="BX461" i="2"/>
  <c r="BY461" i="2"/>
  <c r="CB461" i="2"/>
  <c r="CC461" i="2"/>
  <c r="CD461" i="2" l="1"/>
  <c r="AK462" i="2"/>
  <c r="BX460" i="2"/>
  <c r="BY460" i="2"/>
  <c r="CB460" i="2"/>
  <c r="CC460" i="2"/>
  <c r="CD460" i="2" l="1"/>
  <c r="AK461" i="2"/>
  <c r="BX459" i="2"/>
  <c r="BY459" i="2"/>
  <c r="CB459" i="2"/>
  <c r="CC459" i="2"/>
  <c r="CD459" i="2" l="1"/>
  <c r="AK460" i="2"/>
  <c r="BX458" i="2"/>
  <c r="BY458" i="2"/>
  <c r="CB458" i="2"/>
  <c r="CC458" i="2"/>
  <c r="CD458" i="2" l="1"/>
  <c r="AK459" i="2"/>
  <c r="BX457" i="2"/>
  <c r="BY457" i="2"/>
  <c r="CB457" i="2"/>
  <c r="CC457" i="2"/>
  <c r="CD457" i="2" l="1"/>
  <c r="AK458" i="2"/>
  <c r="AK457" i="2" l="1"/>
  <c r="BX455" i="2"/>
  <c r="BY455" i="2"/>
  <c r="CB455" i="2"/>
  <c r="CC455" i="2"/>
  <c r="CD455" i="2" l="1"/>
  <c r="BX454" i="2"/>
  <c r="BY454" i="2"/>
  <c r="CB454" i="2"/>
  <c r="CC454" i="2"/>
  <c r="CD454" i="2" l="1"/>
  <c r="AK455" i="2"/>
  <c r="BX453" i="2"/>
  <c r="BY453" i="2"/>
  <c r="CB453" i="2"/>
  <c r="CC453" i="2"/>
  <c r="CD453" i="2" l="1"/>
  <c r="AK454" i="2"/>
  <c r="BX452" i="2"/>
  <c r="BY452" i="2"/>
  <c r="CB452" i="2"/>
  <c r="CC452" i="2"/>
  <c r="CD452" i="2" l="1"/>
  <c r="AK453" i="2"/>
  <c r="BX451" i="2"/>
  <c r="BY451" i="2"/>
  <c r="CB451" i="2"/>
  <c r="CC451" i="2"/>
  <c r="CD451" i="2" l="1"/>
  <c r="AK452" i="2"/>
  <c r="BX450" i="2"/>
  <c r="BY450" i="2"/>
  <c r="CB450" i="2"/>
  <c r="CC450" i="2"/>
  <c r="CD450" i="2" l="1"/>
  <c r="AK451" i="2"/>
  <c r="BX449" i="2"/>
  <c r="BY449" i="2"/>
  <c r="CB449" i="2"/>
  <c r="CC449" i="2"/>
  <c r="CD449" i="2" l="1"/>
  <c r="AK450" i="2"/>
  <c r="BX448" i="2"/>
  <c r="BY448" i="2"/>
  <c r="CB448" i="2"/>
  <c r="CC448" i="2"/>
  <c r="CD448" i="2" l="1"/>
  <c r="AK449" i="2"/>
  <c r="BX447" i="2"/>
  <c r="BY447" i="2"/>
  <c r="CB447" i="2"/>
  <c r="CC447" i="2"/>
  <c r="CD447" i="2" l="1"/>
  <c r="AK448" i="2"/>
  <c r="AK447" i="2" l="1"/>
  <c r="BX445" i="2"/>
  <c r="BY445" i="2"/>
  <c r="CB445" i="2"/>
  <c r="CC445" i="2"/>
  <c r="CD445" i="2" l="1"/>
  <c r="BX444" i="2"/>
  <c r="BY444" i="2"/>
  <c r="CB444" i="2"/>
  <c r="CC444" i="2"/>
  <c r="CD444" i="2" l="1"/>
  <c r="AK445" i="2"/>
  <c r="BX443" i="2"/>
  <c r="BY443" i="2"/>
  <c r="CB443" i="2"/>
  <c r="CC443" i="2"/>
  <c r="CD443" i="2" l="1"/>
  <c r="AK444" i="2"/>
  <c r="BX442" i="2"/>
  <c r="BY442" i="2"/>
  <c r="CB442" i="2"/>
  <c r="CC442" i="2"/>
  <c r="CD442" i="2" l="1"/>
  <c r="AK443" i="2"/>
  <c r="BX441" i="2"/>
  <c r="BY441" i="2"/>
  <c r="CB441" i="2"/>
  <c r="CC441" i="2"/>
  <c r="CD441" i="2" l="1"/>
  <c r="AK442" i="2"/>
  <c r="BX440" i="2"/>
  <c r="BY440" i="2"/>
  <c r="CB440" i="2"/>
  <c r="CC440" i="2"/>
  <c r="CD440" i="2" l="1"/>
  <c r="AK441" i="2"/>
  <c r="BX439" i="2"/>
  <c r="BY439" i="2"/>
  <c r="CB439" i="2"/>
  <c r="CC439" i="2"/>
  <c r="CD439" i="2" l="1"/>
  <c r="AK440" i="2"/>
  <c r="BX438" i="2"/>
  <c r="BY438" i="2"/>
  <c r="CB438" i="2"/>
  <c r="CC438" i="2"/>
  <c r="CD438" i="2" l="1"/>
  <c r="AK439" i="2"/>
  <c r="BX437" i="2"/>
  <c r="BY437" i="2"/>
  <c r="CB437" i="2"/>
  <c r="CC437" i="2"/>
  <c r="CD437" i="2" l="1"/>
  <c r="AK438" i="2"/>
  <c r="AK437" i="2" l="1"/>
  <c r="BX435" i="2"/>
  <c r="BY435" i="2"/>
  <c r="CB435" i="2"/>
  <c r="CC435" i="2"/>
  <c r="CD435" i="2" l="1"/>
  <c r="BX434" i="2"/>
  <c r="BY434" i="2"/>
  <c r="CB434" i="2"/>
  <c r="CC434" i="2"/>
  <c r="CD434" i="2" l="1"/>
  <c r="AK435" i="2"/>
  <c r="BX433" i="2"/>
  <c r="BY433" i="2"/>
  <c r="CB433" i="2"/>
  <c r="CC433" i="2"/>
  <c r="CD433" i="2" l="1"/>
  <c r="AK434" i="2"/>
  <c r="BX432" i="2"/>
  <c r="BY432" i="2"/>
  <c r="CB432" i="2"/>
  <c r="CC432" i="2"/>
  <c r="CD432" i="2" l="1"/>
  <c r="AK433" i="2"/>
  <c r="BX431" i="2"/>
  <c r="BY431" i="2"/>
  <c r="CB431" i="2"/>
  <c r="CC431" i="2"/>
  <c r="CD431" i="2" l="1"/>
  <c r="AK432" i="2"/>
  <c r="BX430" i="2"/>
  <c r="BY430" i="2"/>
  <c r="CB430" i="2"/>
  <c r="CC430" i="2"/>
  <c r="CD430" i="2" l="1"/>
  <c r="AK431" i="2"/>
  <c r="BX429" i="2"/>
  <c r="BY429" i="2"/>
  <c r="CB429" i="2"/>
  <c r="CC429" i="2"/>
  <c r="CD429" i="2" l="1"/>
  <c r="AK430" i="2"/>
  <c r="BX428" i="2"/>
  <c r="BY428" i="2"/>
  <c r="CB428" i="2"/>
  <c r="CC428" i="2"/>
  <c r="CD428" i="2" l="1"/>
  <c r="AK429" i="2"/>
  <c r="BX427" i="2"/>
  <c r="BY427" i="2"/>
  <c r="CB427" i="2"/>
  <c r="CC427" i="2"/>
  <c r="CD427" i="2" l="1"/>
  <c r="AK428" i="2"/>
  <c r="AK427" i="2" l="1"/>
  <c r="BX425" i="2"/>
  <c r="BY425" i="2"/>
  <c r="CB425" i="2"/>
  <c r="CC425" i="2"/>
  <c r="CD425" i="2" l="1"/>
  <c r="BX424" i="2"/>
  <c r="BY424" i="2"/>
  <c r="CB424" i="2"/>
  <c r="CC424" i="2"/>
  <c r="CD424" i="2" l="1"/>
  <c r="AK425" i="2"/>
  <c r="BX423" i="2"/>
  <c r="BY423" i="2"/>
  <c r="CB423" i="2"/>
  <c r="CC423" i="2"/>
  <c r="CD423" i="2" l="1"/>
  <c r="AK424" i="2"/>
  <c r="BX422" i="2"/>
  <c r="BY422" i="2"/>
  <c r="CB422" i="2"/>
  <c r="CC422" i="2"/>
  <c r="CD422" i="2" l="1"/>
  <c r="AK423" i="2"/>
  <c r="BX421" i="2"/>
  <c r="BY421" i="2"/>
  <c r="CB421" i="2"/>
  <c r="CC421" i="2"/>
  <c r="CD421" i="2" l="1"/>
  <c r="AK422" i="2"/>
  <c r="BX420" i="2"/>
  <c r="BY420" i="2"/>
  <c r="CB420" i="2"/>
  <c r="CC420" i="2"/>
  <c r="CD420" i="2" l="1"/>
  <c r="AK421" i="2"/>
  <c r="BX419" i="2"/>
  <c r="BY419" i="2"/>
  <c r="CB419" i="2"/>
  <c r="CC419" i="2"/>
  <c r="CD419" i="2" l="1"/>
  <c r="AK420" i="2"/>
  <c r="BX418" i="2"/>
  <c r="BY418" i="2"/>
  <c r="CB418" i="2"/>
  <c r="CC418" i="2"/>
  <c r="CD418" i="2" l="1"/>
  <c r="AK419" i="2"/>
  <c r="BX417" i="2"/>
  <c r="BY417" i="2"/>
  <c r="CB417" i="2"/>
  <c r="CC417" i="2"/>
  <c r="CD417" i="2" l="1"/>
  <c r="AK418" i="2"/>
  <c r="AK417" i="2" l="1"/>
  <c r="BX415" i="2"/>
  <c r="BY415" i="2"/>
  <c r="CB415" i="2"/>
  <c r="CC415" i="2"/>
  <c r="CD415" i="2" l="1"/>
  <c r="BX414" i="2"/>
  <c r="BY414" i="2"/>
  <c r="CB414" i="2"/>
  <c r="CC414" i="2"/>
  <c r="CD414" i="2" l="1"/>
  <c r="AK415" i="2"/>
  <c r="BX413" i="2"/>
  <c r="BY413" i="2"/>
  <c r="CB413" i="2"/>
  <c r="CC413" i="2"/>
  <c r="CD413" i="2" l="1"/>
  <c r="AK414" i="2"/>
  <c r="BX412" i="2"/>
  <c r="BY412" i="2"/>
  <c r="CB412" i="2"/>
  <c r="CC412" i="2"/>
  <c r="CD412" i="2" l="1"/>
  <c r="AK413" i="2"/>
  <c r="BX411" i="2"/>
  <c r="BY411" i="2"/>
  <c r="CB411" i="2"/>
  <c r="CC411" i="2"/>
  <c r="CD411" i="2" l="1"/>
  <c r="AK412" i="2"/>
  <c r="BX410" i="2"/>
  <c r="BY410" i="2"/>
  <c r="CB410" i="2"/>
  <c r="CC410" i="2"/>
  <c r="CD410" i="2" l="1"/>
  <c r="AK411" i="2"/>
  <c r="BX409" i="2"/>
  <c r="BY409" i="2"/>
  <c r="CB409" i="2"/>
  <c r="CC409" i="2"/>
  <c r="CD409" i="2" l="1"/>
  <c r="AK410" i="2"/>
  <c r="BX408" i="2"/>
  <c r="BY408" i="2"/>
  <c r="CB408" i="2"/>
  <c r="CC408" i="2"/>
  <c r="CD408" i="2" l="1"/>
  <c r="AK409" i="2"/>
  <c r="BX407" i="2"/>
  <c r="BY407" i="2"/>
  <c r="CB407" i="2"/>
  <c r="CC407" i="2"/>
  <c r="CD407" i="2" l="1"/>
  <c r="AK408" i="2"/>
  <c r="AK407" i="2" l="1"/>
  <c r="BX405" i="2"/>
  <c r="BY405" i="2"/>
  <c r="CB405" i="2"/>
  <c r="CC405" i="2"/>
  <c r="CD405" i="2" l="1"/>
  <c r="BX404" i="2"/>
  <c r="BY404" i="2"/>
  <c r="CB404" i="2"/>
  <c r="CC404" i="2"/>
  <c r="CD404" i="2" l="1"/>
  <c r="AK405" i="2"/>
  <c r="BX403" i="2"/>
  <c r="BY403" i="2"/>
  <c r="CB403" i="2"/>
  <c r="CC403" i="2"/>
  <c r="CD403" i="2" l="1"/>
  <c r="AK404" i="2"/>
  <c r="BX402" i="2"/>
  <c r="BY402" i="2"/>
  <c r="CB402" i="2"/>
  <c r="CC402" i="2"/>
  <c r="CD402" i="2" l="1"/>
  <c r="AK403" i="2"/>
  <c r="BX401" i="2"/>
  <c r="BY401" i="2"/>
  <c r="CB401" i="2"/>
  <c r="CC401" i="2"/>
  <c r="CD401" i="2" l="1"/>
  <c r="AK402" i="2"/>
  <c r="BX400" i="2"/>
  <c r="BY400" i="2"/>
  <c r="CB400" i="2"/>
  <c r="CC400" i="2"/>
  <c r="CD400" i="2" l="1"/>
  <c r="AK401" i="2"/>
  <c r="BX399" i="2"/>
  <c r="BY399" i="2"/>
  <c r="CB399" i="2"/>
  <c r="CC399" i="2"/>
  <c r="CD399" i="2" l="1"/>
  <c r="AK400" i="2"/>
  <c r="BX398" i="2"/>
  <c r="BY398" i="2"/>
  <c r="CB398" i="2"/>
  <c r="CC398" i="2"/>
  <c r="CD398" i="2" l="1"/>
  <c r="AK399" i="2"/>
  <c r="BX397" i="2"/>
  <c r="BY397" i="2"/>
  <c r="CB397" i="2"/>
  <c r="CC397" i="2"/>
  <c r="CD397" i="2" l="1"/>
  <c r="AK398" i="2"/>
  <c r="AK397" i="2" l="1"/>
  <c r="BX395" i="2"/>
  <c r="BY395" i="2"/>
  <c r="CB395" i="2"/>
  <c r="CC395" i="2"/>
  <c r="CD395" i="2" l="1"/>
  <c r="BX394" i="2"/>
  <c r="BY394" i="2"/>
  <c r="CB394" i="2"/>
  <c r="CC394" i="2"/>
  <c r="CD394" i="2" l="1"/>
  <c r="AK395" i="2"/>
  <c r="BX393" i="2"/>
  <c r="BY393" i="2"/>
  <c r="CB393" i="2"/>
  <c r="CC393" i="2"/>
  <c r="CD393" i="2" l="1"/>
  <c r="AK394" i="2"/>
  <c r="BX392" i="2"/>
  <c r="BY392" i="2"/>
  <c r="CB392" i="2"/>
  <c r="CC392" i="2"/>
  <c r="CD392" i="2" l="1"/>
  <c r="AK393" i="2"/>
  <c r="BX391" i="2"/>
  <c r="BY391" i="2"/>
  <c r="CB391" i="2"/>
  <c r="CC391" i="2"/>
  <c r="CD391" i="2" l="1"/>
  <c r="AK392" i="2"/>
  <c r="BX390" i="2"/>
  <c r="BY390" i="2"/>
  <c r="CB390" i="2"/>
  <c r="CC390" i="2"/>
  <c r="CD390" i="2" l="1"/>
  <c r="AK391" i="2"/>
  <c r="BX389" i="2"/>
  <c r="BY389" i="2"/>
  <c r="CB389" i="2"/>
  <c r="CC389" i="2"/>
  <c r="CD389" i="2" l="1"/>
  <c r="AK390" i="2"/>
  <c r="BX388" i="2"/>
  <c r="BY388" i="2"/>
  <c r="CB388" i="2"/>
  <c r="CC388" i="2"/>
  <c r="CD388" i="2" l="1"/>
  <c r="AK389" i="2"/>
  <c r="BX387" i="2"/>
  <c r="BY387" i="2"/>
  <c r="CB387" i="2"/>
  <c r="CC387" i="2"/>
  <c r="CD387" i="2" l="1"/>
  <c r="AK388" i="2"/>
  <c r="AK387" i="2" l="1"/>
  <c r="BX385" i="2"/>
  <c r="BY385" i="2"/>
  <c r="CB385" i="2"/>
  <c r="CC385" i="2"/>
  <c r="CD385" i="2" l="1"/>
  <c r="BX384" i="2"/>
  <c r="BY384" i="2"/>
  <c r="CB384" i="2"/>
  <c r="CC384" i="2"/>
  <c r="CD384" i="2" l="1"/>
  <c r="AK385" i="2"/>
  <c r="BX383" i="2"/>
  <c r="BY383" i="2"/>
  <c r="CB383" i="2"/>
  <c r="CC383" i="2"/>
  <c r="CD383" i="2" l="1"/>
  <c r="AK384" i="2"/>
  <c r="BX382" i="2"/>
  <c r="BY382" i="2"/>
  <c r="CB382" i="2"/>
  <c r="CC382" i="2"/>
  <c r="CD382" i="2" l="1"/>
  <c r="AK383" i="2"/>
  <c r="BX381" i="2"/>
  <c r="BY381" i="2"/>
  <c r="CB381" i="2"/>
  <c r="CC381" i="2"/>
  <c r="CD381" i="2" l="1"/>
  <c r="AK382" i="2"/>
  <c r="BX380" i="2"/>
  <c r="BY380" i="2"/>
  <c r="CB380" i="2"/>
  <c r="CC380" i="2"/>
  <c r="CD380" i="2" l="1"/>
  <c r="AK381" i="2"/>
  <c r="BX379" i="2"/>
  <c r="BY379" i="2"/>
  <c r="CB379" i="2"/>
  <c r="CC379" i="2"/>
  <c r="CD379" i="2" l="1"/>
  <c r="AK380" i="2"/>
  <c r="BX378" i="2"/>
  <c r="BY378" i="2"/>
  <c r="CB378" i="2"/>
  <c r="CC378" i="2"/>
  <c r="CD378" i="2" l="1"/>
  <c r="AK379" i="2"/>
  <c r="BX377" i="2"/>
  <c r="BY377" i="2"/>
  <c r="CB377" i="2"/>
  <c r="CC377" i="2"/>
  <c r="CD377" i="2" l="1"/>
  <c r="AK378" i="2"/>
  <c r="AK377" i="2" l="1"/>
  <c r="BX375" i="2"/>
  <c r="BY375" i="2"/>
  <c r="CB375" i="2"/>
  <c r="CC375" i="2"/>
  <c r="CD375" i="2" l="1"/>
  <c r="BX374" i="2"/>
  <c r="BY374" i="2"/>
  <c r="CB374" i="2"/>
  <c r="CC374" i="2"/>
  <c r="CD374" i="2" l="1"/>
  <c r="AK375" i="2"/>
  <c r="BX373" i="2"/>
  <c r="BY373" i="2"/>
  <c r="CB373" i="2"/>
  <c r="CC373" i="2"/>
  <c r="CD373" i="2" l="1"/>
  <c r="AK374" i="2"/>
  <c r="BX372" i="2"/>
  <c r="BY372" i="2"/>
  <c r="CB372" i="2"/>
  <c r="CC372" i="2"/>
  <c r="CD372" i="2" l="1"/>
  <c r="AK373" i="2"/>
  <c r="BX371" i="2"/>
  <c r="BY371" i="2"/>
  <c r="CB371" i="2"/>
  <c r="CC371" i="2"/>
  <c r="CD371" i="2" l="1"/>
  <c r="AK372" i="2"/>
  <c r="BX370" i="2"/>
  <c r="BY370" i="2"/>
  <c r="CB370" i="2"/>
  <c r="CC370" i="2"/>
  <c r="CD370" i="2" l="1"/>
  <c r="AK371" i="2"/>
  <c r="BX369" i="2"/>
  <c r="BY369" i="2"/>
  <c r="CB369" i="2"/>
  <c r="CC369" i="2"/>
  <c r="CD369" i="2" l="1"/>
  <c r="AK370" i="2"/>
  <c r="BX368" i="2"/>
  <c r="BY368" i="2"/>
  <c r="CB368" i="2"/>
  <c r="CC368" i="2"/>
  <c r="CD368" i="2" l="1"/>
  <c r="AK369" i="2"/>
  <c r="BX367" i="2"/>
  <c r="BY367" i="2"/>
  <c r="CB367" i="2"/>
  <c r="CC367" i="2"/>
  <c r="CD367" i="2" l="1"/>
  <c r="AK368" i="2"/>
  <c r="AK367" i="2" l="1"/>
  <c r="BX365" i="2"/>
  <c r="BY365" i="2"/>
  <c r="CB365" i="2"/>
  <c r="CC365" i="2"/>
  <c r="CD365" i="2" l="1"/>
  <c r="BX364" i="2"/>
  <c r="BY364" i="2"/>
  <c r="CB364" i="2"/>
  <c r="CC364" i="2"/>
  <c r="CD364" i="2" l="1"/>
  <c r="AK365" i="2"/>
  <c r="BX363" i="2"/>
  <c r="BY363" i="2"/>
  <c r="CB363" i="2"/>
  <c r="CC363" i="2"/>
  <c r="CD363" i="2" l="1"/>
  <c r="AK364" i="2"/>
  <c r="BX362" i="2"/>
  <c r="BY362" i="2"/>
  <c r="CB362" i="2"/>
  <c r="CC362" i="2"/>
  <c r="CD362" i="2" l="1"/>
  <c r="AK363" i="2"/>
  <c r="BX361" i="2"/>
  <c r="BY361" i="2"/>
  <c r="CB361" i="2"/>
  <c r="CC361" i="2"/>
  <c r="CD361" i="2" l="1"/>
  <c r="AK362" i="2"/>
  <c r="BX360" i="2"/>
  <c r="BY360" i="2"/>
  <c r="CB360" i="2"/>
  <c r="CC360" i="2"/>
  <c r="CD360" i="2" l="1"/>
  <c r="AK361" i="2"/>
  <c r="BX359" i="2"/>
  <c r="BY359" i="2"/>
  <c r="CB359" i="2"/>
  <c r="CC359" i="2"/>
  <c r="CD359" i="2" l="1"/>
  <c r="AK360" i="2"/>
  <c r="BX358" i="2"/>
  <c r="BY358" i="2"/>
  <c r="CB358" i="2"/>
  <c r="CC358" i="2"/>
  <c r="CD358" i="2" l="1"/>
  <c r="AK359" i="2"/>
  <c r="BX357" i="2"/>
  <c r="BY357" i="2"/>
  <c r="CB357" i="2"/>
  <c r="CC357" i="2"/>
  <c r="CD357" i="2" l="1"/>
  <c r="AK358" i="2"/>
  <c r="AK357" i="2" l="1"/>
  <c r="BX355" i="2"/>
  <c r="BY355" i="2"/>
  <c r="CB355" i="2"/>
  <c r="CC355" i="2"/>
  <c r="CD355" i="2" l="1"/>
  <c r="BX354" i="2"/>
  <c r="BY354" i="2"/>
  <c r="CB354" i="2"/>
  <c r="CC354" i="2"/>
  <c r="CD354" i="2" l="1"/>
  <c r="AK355" i="2"/>
  <c r="BX353" i="2"/>
  <c r="BY353" i="2"/>
  <c r="CB353" i="2"/>
  <c r="CC353" i="2"/>
  <c r="CD353" i="2" l="1"/>
  <c r="AK354" i="2"/>
  <c r="BX352" i="2"/>
  <c r="BY352" i="2"/>
  <c r="CB352" i="2"/>
  <c r="CC352" i="2"/>
  <c r="CD352" i="2" l="1"/>
  <c r="AK353" i="2"/>
  <c r="BX351" i="2"/>
  <c r="BY351" i="2"/>
  <c r="CB351" i="2"/>
  <c r="CC351" i="2"/>
  <c r="CD351" i="2" l="1"/>
  <c r="AK352" i="2"/>
  <c r="BX350" i="2"/>
  <c r="BY350" i="2"/>
  <c r="CB350" i="2"/>
  <c r="CC350" i="2"/>
  <c r="CD350" i="2" l="1"/>
  <c r="AK351" i="2"/>
  <c r="BX349" i="2"/>
  <c r="BY349" i="2"/>
  <c r="CB349" i="2"/>
  <c r="CC349" i="2"/>
  <c r="CD349" i="2" l="1"/>
  <c r="AK350" i="2"/>
  <c r="BX348" i="2"/>
  <c r="BY348" i="2"/>
  <c r="CB348" i="2"/>
  <c r="CC348" i="2"/>
  <c r="CD348" i="2" l="1"/>
  <c r="AK349" i="2"/>
  <c r="BX347" i="2"/>
  <c r="BY347" i="2"/>
  <c r="CB347" i="2"/>
  <c r="CC347" i="2"/>
  <c r="CD347" i="2" l="1"/>
  <c r="AK348" i="2"/>
  <c r="AK347" i="2" l="1"/>
  <c r="BX345" i="2"/>
  <c r="BY345" i="2"/>
  <c r="CB345" i="2"/>
  <c r="CC345" i="2"/>
  <c r="CD345" i="2" l="1"/>
  <c r="BX344" i="2"/>
  <c r="BY344" i="2"/>
  <c r="CB344" i="2"/>
  <c r="CC344" i="2"/>
  <c r="CD344" i="2" l="1"/>
  <c r="AK345" i="2"/>
  <c r="BX343" i="2"/>
  <c r="BY343" i="2"/>
  <c r="CB343" i="2"/>
  <c r="CC343" i="2"/>
  <c r="CD343" i="2" l="1"/>
  <c r="AK344" i="2"/>
  <c r="BX342" i="2"/>
  <c r="BY342" i="2"/>
  <c r="CB342" i="2"/>
  <c r="CC342" i="2"/>
  <c r="CD342" i="2" l="1"/>
  <c r="AK343" i="2"/>
  <c r="BX341" i="2"/>
  <c r="BY341" i="2"/>
  <c r="CB341" i="2"/>
  <c r="CC341" i="2"/>
  <c r="CD341" i="2" l="1"/>
  <c r="AK342" i="2"/>
  <c r="BX340" i="2"/>
  <c r="BY340" i="2"/>
  <c r="CB340" i="2"/>
  <c r="CC340" i="2"/>
  <c r="CD340" i="2" l="1"/>
  <c r="AK341" i="2"/>
  <c r="BX339" i="2"/>
  <c r="BY339" i="2"/>
  <c r="CB339" i="2"/>
  <c r="CC339" i="2"/>
  <c r="CD339" i="2" l="1"/>
  <c r="AK340" i="2"/>
  <c r="BX338" i="2"/>
  <c r="BY338" i="2"/>
  <c r="CB338" i="2"/>
  <c r="CC338" i="2"/>
  <c r="CD338" i="2" l="1"/>
  <c r="AK339" i="2"/>
  <c r="BX337" i="2"/>
  <c r="BY337" i="2"/>
  <c r="CB337" i="2"/>
  <c r="CC337" i="2"/>
  <c r="CD337" i="2" l="1"/>
  <c r="AK338" i="2"/>
  <c r="AK337" i="2" l="1"/>
  <c r="BX335" i="2"/>
  <c r="BY335" i="2"/>
  <c r="CB335" i="2"/>
  <c r="CC335" i="2"/>
  <c r="CD335" i="2" l="1"/>
  <c r="BX334" i="2"/>
  <c r="BY334" i="2"/>
  <c r="CB334" i="2"/>
  <c r="CC334" i="2"/>
  <c r="CD334" i="2" l="1"/>
  <c r="AK335" i="2"/>
  <c r="BX333" i="2"/>
  <c r="BY333" i="2"/>
  <c r="CB333" i="2"/>
  <c r="CC333" i="2"/>
  <c r="CD333" i="2" l="1"/>
  <c r="AK334" i="2"/>
  <c r="BX332" i="2"/>
  <c r="BY332" i="2"/>
  <c r="CB332" i="2"/>
  <c r="CC332" i="2"/>
  <c r="CD332" i="2" l="1"/>
  <c r="AK333" i="2"/>
  <c r="BX331" i="2"/>
  <c r="BY331" i="2"/>
  <c r="CB331" i="2"/>
  <c r="CC331" i="2"/>
  <c r="CD331" i="2" l="1"/>
  <c r="AK332" i="2"/>
  <c r="BX330" i="2"/>
  <c r="BY330" i="2"/>
  <c r="CB330" i="2"/>
  <c r="CC330" i="2"/>
  <c r="CD330" i="2" l="1"/>
  <c r="AK331" i="2"/>
  <c r="BX329" i="2"/>
  <c r="BY329" i="2"/>
  <c r="CB329" i="2"/>
  <c r="CC329" i="2"/>
  <c r="CD329" i="2" l="1"/>
  <c r="AK330" i="2"/>
  <c r="BX328" i="2"/>
  <c r="BY328" i="2"/>
  <c r="CB328" i="2"/>
  <c r="CC328" i="2"/>
  <c r="CD328" i="2" l="1"/>
  <c r="AK329" i="2"/>
  <c r="BX327" i="2"/>
  <c r="BY327" i="2"/>
  <c r="CB327" i="2"/>
  <c r="CC327" i="2"/>
  <c r="CD327" i="2" l="1"/>
  <c r="AK328" i="2"/>
  <c r="AK327" i="2" l="1"/>
  <c r="BX325" i="2"/>
  <c r="BY325" i="2"/>
  <c r="CB325" i="2"/>
  <c r="CC325" i="2"/>
  <c r="CD325" i="2" l="1"/>
  <c r="BX324" i="2"/>
  <c r="BY324" i="2"/>
  <c r="CB324" i="2"/>
  <c r="CC324" i="2"/>
  <c r="CD324" i="2" l="1"/>
  <c r="AK325" i="2"/>
  <c r="BX323" i="2"/>
  <c r="BY323" i="2"/>
  <c r="CB323" i="2"/>
  <c r="CC323" i="2"/>
  <c r="CD323" i="2" l="1"/>
  <c r="AK324" i="2"/>
  <c r="BX322" i="2"/>
  <c r="BY322" i="2"/>
  <c r="CB322" i="2"/>
  <c r="CC322" i="2"/>
  <c r="CD322" i="2" l="1"/>
  <c r="AK323" i="2"/>
  <c r="BX321" i="2"/>
  <c r="BY321" i="2"/>
  <c r="CB321" i="2"/>
  <c r="CC321" i="2"/>
  <c r="CD321" i="2" l="1"/>
  <c r="AK322" i="2"/>
  <c r="BX320" i="2"/>
  <c r="BY320" i="2"/>
  <c r="CB320" i="2"/>
  <c r="CC320" i="2"/>
  <c r="CD320" i="2" l="1"/>
  <c r="AK321" i="2"/>
  <c r="BX319" i="2"/>
  <c r="BY319" i="2"/>
  <c r="CB319" i="2"/>
  <c r="CC319" i="2"/>
  <c r="CD319" i="2" l="1"/>
  <c r="AK320" i="2"/>
  <c r="BX318" i="2"/>
  <c r="BY318" i="2"/>
  <c r="CB318" i="2"/>
  <c r="CC318" i="2"/>
  <c r="CD318" i="2" l="1"/>
  <c r="AK319" i="2"/>
  <c r="BX317" i="2"/>
  <c r="BY317" i="2"/>
  <c r="CB317" i="2"/>
  <c r="CC317" i="2"/>
  <c r="CD317" i="2" l="1"/>
  <c r="AK318" i="2"/>
  <c r="AK317" i="2" l="1"/>
  <c r="BX315" i="2"/>
  <c r="BY315" i="2"/>
  <c r="CB315" i="2"/>
  <c r="CC315" i="2"/>
  <c r="CD315" i="2" l="1"/>
  <c r="BX314" i="2"/>
  <c r="BY314" i="2"/>
  <c r="CB314" i="2"/>
  <c r="CC314" i="2"/>
  <c r="CD314" i="2" l="1"/>
  <c r="AK315" i="2"/>
  <c r="BX313" i="2"/>
  <c r="BY313" i="2"/>
  <c r="CB313" i="2"/>
  <c r="CC313" i="2"/>
  <c r="CD313" i="2" l="1"/>
  <c r="AK314" i="2"/>
  <c r="BX312" i="2"/>
  <c r="BY312" i="2"/>
  <c r="CB312" i="2"/>
  <c r="CC312" i="2"/>
  <c r="CD312" i="2" l="1"/>
  <c r="AK313" i="2"/>
  <c r="BX311" i="2"/>
  <c r="BY311" i="2"/>
  <c r="CB311" i="2"/>
  <c r="CC311" i="2"/>
  <c r="CD311" i="2" l="1"/>
  <c r="AK312" i="2"/>
  <c r="BX310" i="2"/>
  <c r="BY310" i="2"/>
  <c r="CB310" i="2"/>
  <c r="CC310" i="2"/>
  <c r="CD310" i="2" l="1"/>
  <c r="AK311" i="2"/>
  <c r="BX309" i="2"/>
  <c r="BY309" i="2"/>
  <c r="CB309" i="2"/>
  <c r="CC309" i="2"/>
  <c r="CD309" i="2" l="1"/>
  <c r="AK310" i="2"/>
  <c r="BX308" i="2"/>
  <c r="BY308" i="2"/>
  <c r="CB308" i="2"/>
  <c r="CC308" i="2"/>
  <c r="CD308" i="2" l="1"/>
  <c r="AK309" i="2"/>
  <c r="BX307" i="2"/>
  <c r="BY307" i="2"/>
  <c r="CB307" i="2"/>
  <c r="CC307" i="2"/>
  <c r="CD307" i="2" l="1"/>
  <c r="AK308" i="2"/>
  <c r="AK307" i="2" l="1"/>
  <c r="BX305" i="2"/>
  <c r="BY305" i="2"/>
  <c r="CB305" i="2"/>
  <c r="CC305" i="2"/>
  <c r="CD305" i="2" l="1"/>
  <c r="BX304" i="2"/>
  <c r="BY304" i="2"/>
  <c r="CB304" i="2"/>
  <c r="CC304" i="2"/>
  <c r="CD304" i="2" l="1"/>
  <c r="AK305" i="2"/>
  <c r="BX303" i="2"/>
  <c r="BY303" i="2"/>
  <c r="CB303" i="2"/>
  <c r="CC303" i="2"/>
  <c r="CD303" i="2" l="1"/>
  <c r="AK304" i="2"/>
  <c r="BX302" i="2"/>
  <c r="BY302" i="2"/>
  <c r="CB302" i="2"/>
  <c r="CC302" i="2"/>
  <c r="CD302" i="2" l="1"/>
  <c r="AK303" i="2"/>
  <c r="BX301" i="2"/>
  <c r="BY301" i="2"/>
  <c r="CB301" i="2"/>
  <c r="CC301" i="2"/>
  <c r="CD301" i="2" l="1"/>
  <c r="AK302" i="2"/>
  <c r="BX300" i="2"/>
  <c r="BY300" i="2"/>
  <c r="CB300" i="2"/>
  <c r="CC300" i="2"/>
  <c r="CD300" i="2" l="1"/>
  <c r="AK301" i="2"/>
  <c r="BX299" i="2"/>
  <c r="BY299" i="2"/>
  <c r="CB299" i="2"/>
  <c r="CC299" i="2"/>
  <c r="CD299" i="2" l="1"/>
  <c r="AK300" i="2"/>
  <c r="BX298" i="2"/>
  <c r="BY298" i="2"/>
  <c r="CB298" i="2"/>
  <c r="CC298" i="2"/>
  <c r="CD298" i="2" l="1"/>
  <c r="AK299" i="2"/>
  <c r="BX297" i="2"/>
  <c r="BY297" i="2"/>
  <c r="CB297" i="2"/>
  <c r="CC297" i="2"/>
  <c r="CD297" i="2" l="1"/>
  <c r="AK298" i="2"/>
  <c r="AK297" i="2" l="1"/>
  <c r="BX295" i="2"/>
  <c r="BY295" i="2"/>
  <c r="CB295" i="2"/>
  <c r="CC295" i="2"/>
  <c r="CD295" i="2" l="1"/>
  <c r="BX294" i="2"/>
  <c r="BY294" i="2"/>
  <c r="CB294" i="2"/>
  <c r="CC294" i="2"/>
  <c r="CD294" i="2" l="1"/>
  <c r="AK295" i="2"/>
  <c r="BX293" i="2"/>
  <c r="BY293" i="2"/>
  <c r="CB293" i="2"/>
  <c r="CC293" i="2"/>
  <c r="CD293" i="2" l="1"/>
  <c r="AK294" i="2"/>
  <c r="BX292" i="2"/>
  <c r="BY292" i="2"/>
  <c r="CB292" i="2"/>
  <c r="CC292" i="2"/>
  <c r="CD292" i="2" l="1"/>
  <c r="AK293" i="2"/>
  <c r="BX291" i="2"/>
  <c r="BY291" i="2"/>
  <c r="CB291" i="2"/>
  <c r="CC291" i="2"/>
  <c r="CD291" i="2" l="1"/>
  <c r="AK292" i="2"/>
  <c r="BX290" i="2"/>
  <c r="BY290" i="2"/>
  <c r="CB290" i="2"/>
  <c r="CC290" i="2"/>
  <c r="CD290" i="2" l="1"/>
  <c r="AK291" i="2"/>
  <c r="BX289" i="2"/>
  <c r="BY289" i="2"/>
  <c r="CB289" i="2"/>
  <c r="CC289" i="2"/>
  <c r="CD289" i="2" l="1"/>
  <c r="AK290" i="2"/>
  <c r="BX288" i="2"/>
  <c r="BY288" i="2"/>
  <c r="CB288" i="2"/>
  <c r="CC288" i="2"/>
  <c r="CD288" i="2" l="1"/>
  <c r="AK289" i="2"/>
  <c r="BX287" i="2"/>
  <c r="BY287" i="2"/>
  <c r="CB287" i="2"/>
  <c r="CC287" i="2"/>
  <c r="CD287" i="2" l="1"/>
  <c r="AK288" i="2"/>
  <c r="AK287" i="2" l="1"/>
  <c r="BX285" i="2"/>
  <c r="BY285" i="2"/>
  <c r="CB285" i="2"/>
  <c r="CC285" i="2"/>
  <c r="CD285" i="2" l="1"/>
  <c r="BX284" i="2"/>
  <c r="BY284" i="2"/>
  <c r="CB284" i="2"/>
  <c r="CC284" i="2"/>
  <c r="CD284" i="2" l="1"/>
  <c r="AK285" i="2"/>
  <c r="BX283" i="2"/>
  <c r="BY283" i="2"/>
  <c r="CB283" i="2"/>
  <c r="CC283" i="2"/>
  <c r="CD283" i="2" l="1"/>
  <c r="AK284" i="2"/>
  <c r="BX282" i="2"/>
  <c r="BY282" i="2"/>
  <c r="CB282" i="2"/>
  <c r="CC282" i="2"/>
  <c r="CD282" i="2" l="1"/>
  <c r="AK283" i="2"/>
  <c r="BX281" i="2"/>
  <c r="BY281" i="2"/>
  <c r="CB281" i="2"/>
  <c r="CC281" i="2"/>
  <c r="CD281" i="2" l="1"/>
  <c r="AK282" i="2"/>
  <c r="BX280" i="2"/>
  <c r="BY280" i="2"/>
  <c r="CB280" i="2"/>
  <c r="CC280" i="2"/>
  <c r="CD280" i="2" l="1"/>
  <c r="AK281" i="2"/>
  <c r="BX279" i="2"/>
  <c r="BY279" i="2"/>
  <c r="CB279" i="2"/>
  <c r="CC279" i="2"/>
  <c r="CD279" i="2" l="1"/>
  <c r="AK280" i="2"/>
  <c r="BX278" i="2"/>
  <c r="BY278" i="2"/>
  <c r="CB278" i="2"/>
  <c r="CC278" i="2"/>
  <c r="CD278" i="2" l="1"/>
  <c r="AK279" i="2"/>
  <c r="BX277" i="2"/>
  <c r="BY277" i="2"/>
  <c r="CB277" i="2"/>
  <c r="CC277" i="2"/>
  <c r="CD277" i="2" l="1"/>
  <c r="AK278" i="2"/>
  <c r="AK277" i="2" l="1"/>
  <c r="BX275" i="2"/>
  <c r="BY275" i="2"/>
  <c r="CB275" i="2"/>
  <c r="CC275" i="2"/>
  <c r="CD275" i="2" l="1"/>
  <c r="BX274" i="2"/>
  <c r="BY274" i="2"/>
  <c r="CB274" i="2"/>
  <c r="CC274" i="2"/>
  <c r="CD274" i="2" l="1"/>
  <c r="AK275" i="2"/>
  <c r="BX273" i="2"/>
  <c r="BY273" i="2"/>
  <c r="CB273" i="2"/>
  <c r="CC273" i="2"/>
  <c r="CD273" i="2" l="1"/>
  <c r="AK274" i="2"/>
  <c r="BX272" i="2"/>
  <c r="BY272" i="2"/>
  <c r="CB272" i="2"/>
  <c r="CC272" i="2"/>
  <c r="CD272" i="2" l="1"/>
  <c r="AK273" i="2"/>
  <c r="BX271" i="2"/>
  <c r="BY271" i="2"/>
  <c r="CB271" i="2"/>
  <c r="CC271" i="2"/>
  <c r="CD271" i="2" l="1"/>
  <c r="AK272" i="2"/>
  <c r="BX270" i="2"/>
  <c r="BY270" i="2"/>
  <c r="CB270" i="2"/>
  <c r="CC270" i="2"/>
  <c r="CD270" i="2" l="1"/>
  <c r="AK271" i="2"/>
  <c r="BX269" i="2"/>
  <c r="BY269" i="2"/>
  <c r="CB269" i="2"/>
  <c r="CC269" i="2"/>
  <c r="CD269" i="2" l="1"/>
  <c r="AK270" i="2"/>
  <c r="BX268" i="2"/>
  <c r="BY268" i="2"/>
  <c r="CB268" i="2"/>
  <c r="CC268" i="2"/>
  <c r="CD268" i="2" l="1"/>
  <c r="AK269" i="2"/>
  <c r="BX267" i="2"/>
  <c r="BY267" i="2"/>
  <c r="CB267" i="2"/>
  <c r="CC267" i="2"/>
  <c r="CD267" i="2" l="1"/>
  <c r="AK268" i="2"/>
  <c r="BX266" i="2"/>
  <c r="BY266" i="2"/>
  <c r="CB266" i="2"/>
  <c r="CC266" i="2"/>
  <c r="CD266" i="2" l="1"/>
  <c r="AK267" i="2"/>
  <c r="BX265" i="2"/>
  <c r="BY265" i="2"/>
  <c r="CB265" i="2"/>
  <c r="CC265" i="2"/>
  <c r="CD265" i="2" l="1"/>
  <c r="AK266" i="2"/>
  <c r="AK265" i="2" l="1"/>
  <c r="BX263" i="2"/>
  <c r="BY263" i="2"/>
  <c r="CB263" i="2"/>
  <c r="CC263" i="2"/>
  <c r="CD263" i="2" l="1"/>
  <c r="BX262" i="2"/>
  <c r="BY262" i="2"/>
  <c r="CB262" i="2"/>
  <c r="CC262" i="2"/>
  <c r="CD262" i="2" l="1"/>
  <c r="AK263" i="2"/>
  <c r="BX261" i="2"/>
  <c r="BY261" i="2"/>
  <c r="CB261" i="2"/>
  <c r="CC261" i="2"/>
  <c r="CD261" i="2" l="1"/>
  <c r="AK262" i="2"/>
  <c r="BX260" i="2"/>
  <c r="BY260" i="2"/>
  <c r="CB260" i="2"/>
  <c r="CC260" i="2"/>
  <c r="CD260" i="2" l="1"/>
  <c r="AK261" i="2"/>
  <c r="BX259" i="2"/>
  <c r="BY259" i="2"/>
  <c r="CB259" i="2"/>
  <c r="CC259" i="2"/>
  <c r="CD259" i="2" l="1"/>
  <c r="AK260" i="2"/>
  <c r="BX258" i="2"/>
  <c r="BY258" i="2"/>
  <c r="CB258" i="2"/>
  <c r="CC258" i="2"/>
  <c r="CD258" i="2" l="1"/>
  <c r="AK259" i="2"/>
  <c r="BX257" i="2"/>
  <c r="BY257" i="2"/>
  <c r="CB257" i="2"/>
  <c r="CC257" i="2"/>
  <c r="CD257" i="2" l="1"/>
  <c r="AK258" i="2"/>
  <c r="BX256" i="2"/>
  <c r="BY256" i="2"/>
  <c r="CB256" i="2"/>
  <c r="CC256" i="2"/>
  <c r="CD256" i="2" l="1"/>
  <c r="AK257" i="2"/>
  <c r="BX255" i="2"/>
  <c r="BY255" i="2"/>
  <c r="CB255" i="2"/>
  <c r="CC255" i="2"/>
  <c r="CD255" i="2" l="1"/>
  <c r="AK256" i="2"/>
  <c r="BX254" i="2"/>
  <c r="BY254" i="2"/>
  <c r="CB254" i="2"/>
  <c r="CC254" i="2"/>
  <c r="CD254" i="2" l="1"/>
  <c r="AK255" i="2"/>
  <c r="BX253" i="2"/>
  <c r="BY253" i="2"/>
  <c r="CB253" i="2"/>
  <c r="CC253" i="2"/>
  <c r="CD253" i="2" l="1"/>
  <c r="AK254" i="2"/>
  <c r="AK253" i="2" l="1"/>
  <c r="BX251" i="2"/>
  <c r="BY251" i="2"/>
  <c r="CB251" i="2"/>
  <c r="CC251" i="2"/>
  <c r="CD251" i="2" l="1"/>
  <c r="BX250" i="2"/>
  <c r="BY250" i="2"/>
  <c r="CB250" i="2"/>
  <c r="CC250" i="2"/>
  <c r="CD250" i="2" l="1"/>
  <c r="AK251" i="2"/>
  <c r="BX249" i="2"/>
  <c r="BY249" i="2"/>
  <c r="CB249" i="2"/>
  <c r="CC249" i="2"/>
  <c r="CD249" i="2" l="1"/>
  <c r="AK250" i="2"/>
  <c r="BX248" i="2"/>
  <c r="BY248" i="2"/>
  <c r="CB248" i="2"/>
  <c r="CC248" i="2"/>
  <c r="CD248" i="2" l="1"/>
  <c r="AK249" i="2"/>
  <c r="BX247" i="2"/>
  <c r="BY247" i="2"/>
  <c r="CB247" i="2"/>
  <c r="CC247" i="2"/>
  <c r="CD247" i="2" l="1"/>
  <c r="AK248" i="2"/>
  <c r="BX246" i="2"/>
  <c r="BY246" i="2"/>
  <c r="CB246" i="2"/>
  <c r="CC246" i="2"/>
  <c r="CD246" i="2" l="1"/>
  <c r="AK247" i="2"/>
  <c r="BX245" i="2"/>
  <c r="BY245" i="2"/>
  <c r="CB245" i="2"/>
  <c r="CC245" i="2"/>
  <c r="CD245" i="2" l="1"/>
  <c r="AK246" i="2"/>
  <c r="BX244" i="2"/>
  <c r="BY244" i="2"/>
  <c r="CB244" i="2"/>
  <c r="CC244" i="2"/>
  <c r="CD244" i="2" l="1"/>
  <c r="AK245" i="2"/>
  <c r="BX243" i="2"/>
  <c r="BY243" i="2"/>
  <c r="CB243" i="2"/>
  <c r="CC243" i="2"/>
  <c r="CD243" i="2" l="1"/>
  <c r="AK244" i="2"/>
  <c r="BX242" i="2"/>
  <c r="BY242" i="2"/>
  <c r="CB242" i="2"/>
  <c r="CC242" i="2"/>
  <c r="CD242" i="2" l="1"/>
  <c r="AK243" i="2"/>
  <c r="BX241" i="2"/>
  <c r="BY241" i="2"/>
  <c r="CB241" i="2"/>
  <c r="CC241" i="2"/>
  <c r="CD241" i="2" l="1"/>
  <c r="AK242" i="2"/>
  <c r="AK241" i="2" l="1"/>
  <c r="BX239" i="2"/>
  <c r="BY239" i="2"/>
  <c r="CB239" i="2"/>
  <c r="CC239" i="2"/>
  <c r="CD239" i="2" l="1"/>
  <c r="BX238" i="2"/>
  <c r="BY238" i="2"/>
  <c r="CB238" i="2"/>
  <c r="CC238" i="2"/>
  <c r="CD238" i="2" l="1"/>
  <c r="AK239" i="2"/>
  <c r="BX237" i="2"/>
  <c r="BY237" i="2"/>
  <c r="CB237" i="2"/>
  <c r="CC237" i="2"/>
  <c r="CD237" i="2" l="1"/>
  <c r="AK238" i="2"/>
  <c r="BX236" i="2"/>
  <c r="BY236" i="2"/>
  <c r="CB236" i="2"/>
  <c r="CC236" i="2"/>
  <c r="CD236" i="2" l="1"/>
  <c r="AK237" i="2"/>
  <c r="BX235" i="2"/>
  <c r="BY235" i="2"/>
  <c r="CB235" i="2"/>
  <c r="CC235" i="2"/>
  <c r="CD235" i="2" l="1"/>
  <c r="AK236" i="2"/>
  <c r="BX234" i="2"/>
  <c r="BY234" i="2"/>
  <c r="CB234" i="2"/>
  <c r="CC234" i="2"/>
  <c r="CD234" i="2" l="1"/>
  <c r="AK235" i="2"/>
  <c r="BX233" i="2"/>
  <c r="BY233" i="2"/>
  <c r="CB233" i="2"/>
  <c r="CC233" i="2"/>
  <c r="CD233" i="2" l="1"/>
  <c r="AK234" i="2"/>
  <c r="BX232" i="2"/>
  <c r="BY232" i="2"/>
  <c r="CB232" i="2"/>
  <c r="CC232" i="2"/>
  <c r="CD232" i="2" l="1"/>
  <c r="AK233" i="2"/>
  <c r="BX231" i="2"/>
  <c r="BY231" i="2"/>
  <c r="CB231" i="2"/>
  <c r="CC231" i="2"/>
  <c r="CD231" i="2" l="1"/>
  <c r="AK232" i="2"/>
  <c r="BX230" i="2"/>
  <c r="BY230" i="2"/>
  <c r="CB230" i="2"/>
  <c r="CC230" i="2"/>
  <c r="CD230" i="2" l="1"/>
  <c r="AK231" i="2"/>
  <c r="BX229" i="2"/>
  <c r="BY229" i="2"/>
  <c r="CB229" i="2"/>
  <c r="CC229" i="2"/>
  <c r="CD229" i="2" l="1"/>
  <c r="AK230" i="2"/>
  <c r="AK229" i="2" l="1"/>
  <c r="BX227" i="2"/>
  <c r="BY227" i="2"/>
  <c r="CB227" i="2"/>
  <c r="CC227" i="2"/>
  <c r="CD227" i="2" l="1"/>
  <c r="BX226" i="2"/>
  <c r="BY226" i="2"/>
  <c r="CB226" i="2"/>
  <c r="CC226" i="2"/>
  <c r="CD226" i="2" l="1"/>
  <c r="AK227" i="2"/>
  <c r="BX225" i="2"/>
  <c r="BY225" i="2"/>
  <c r="CB225" i="2"/>
  <c r="CC225" i="2"/>
  <c r="CD225" i="2" l="1"/>
  <c r="AK226" i="2"/>
  <c r="BX224" i="2"/>
  <c r="BY224" i="2"/>
  <c r="CB224" i="2"/>
  <c r="CC224" i="2"/>
  <c r="CD224" i="2" l="1"/>
  <c r="AK225" i="2"/>
  <c r="BX223" i="2"/>
  <c r="BY223" i="2"/>
  <c r="CB223" i="2"/>
  <c r="CC223" i="2"/>
  <c r="CD223" i="2" l="1"/>
  <c r="AK224" i="2"/>
  <c r="BX222" i="2"/>
  <c r="BY222" i="2"/>
  <c r="CB222" i="2"/>
  <c r="CC222" i="2"/>
  <c r="CD222" i="2" l="1"/>
  <c r="AK223" i="2"/>
  <c r="BX221" i="2"/>
  <c r="BY221" i="2"/>
  <c r="CB221" i="2"/>
  <c r="CC221" i="2"/>
  <c r="CD221" i="2" l="1"/>
  <c r="AK222" i="2"/>
  <c r="BX220" i="2"/>
  <c r="BY220" i="2"/>
  <c r="CB220" i="2"/>
  <c r="CC220" i="2"/>
  <c r="CD220" i="2" l="1"/>
  <c r="AK221" i="2"/>
  <c r="BX219" i="2"/>
  <c r="BY219" i="2"/>
  <c r="CB219" i="2"/>
  <c r="CC219" i="2"/>
  <c r="CD219" i="2" l="1"/>
  <c r="AK220" i="2"/>
  <c r="BX218" i="2"/>
  <c r="BY218" i="2"/>
  <c r="CB218" i="2"/>
  <c r="CC218" i="2"/>
  <c r="CD218" i="2" l="1"/>
  <c r="AK219" i="2"/>
  <c r="BX217" i="2"/>
  <c r="BY217" i="2"/>
  <c r="CB217" i="2"/>
  <c r="CC217" i="2"/>
  <c r="CD217" i="2" l="1"/>
  <c r="AK218" i="2"/>
  <c r="AK217" i="2" l="1"/>
  <c r="BX215" i="2"/>
  <c r="BY215" i="2"/>
  <c r="CB215" i="2"/>
  <c r="CC215" i="2"/>
  <c r="CD215" i="2" l="1"/>
  <c r="BX214" i="2"/>
  <c r="BY214" i="2"/>
  <c r="CB214" i="2"/>
  <c r="CC214" i="2"/>
  <c r="CD214" i="2" l="1"/>
  <c r="AK215" i="2"/>
  <c r="BX213" i="2"/>
  <c r="BY213" i="2"/>
  <c r="CB213" i="2"/>
  <c r="CC213" i="2"/>
  <c r="CD213" i="2" l="1"/>
  <c r="AK214" i="2"/>
  <c r="BX212" i="2"/>
  <c r="BY212" i="2"/>
  <c r="CB212" i="2"/>
  <c r="CC212" i="2"/>
  <c r="CD212" i="2" l="1"/>
  <c r="AK213" i="2"/>
  <c r="BX211" i="2"/>
  <c r="BY211" i="2"/>
  <c r="CB211" i="2"/>
  <c r="CC211" i="2"/>
  <c r="CD211" i="2" l="1"/>
  <c r="AK212" i="2"/>
  <c r="BX210" i="2"/>
  <c r="BY210" i="2"/>
  <c r="CB210" i="2"/>
  <c r="CC210" i="2"/>
  <c r="CD210" i="2" l="1"/>
  <c r="AK211" i="2"/>
  <c r="BX209" i="2"/>
  <c r="BY209" i="2"/>
  <c r="CB209" i="2"/>
  <c r="CC209" i="2"/>
  <c r="CD209" i="2" l="1"/>
  <c r="AK210" i="2"/>
  <c r="BX208" i="2"/>
  <c r="BY208" i="2"/>
  <c r="CB208" i="2"/>
  <c r="CC208" i="2"/>
  <c r="CD208" i="2" l="1"/>
  <c r="AK209" i="2"/>
  <c r="BX207" i="2"/>
  <c r="BY207" i="2"/>
  <c r="CB207" i="2"/>
  <c r="CC207" i="2"/>
  <c r="CD207" i="2" l="1"/>
  <c r="AK208" i="2"/>
  <c r="BX206" i="2"/>
  <c r="BY206" i="2"/>
  <c r="CB206" i="2"/>
  <c r="CC206" i="2"/>
  <c r="CD206" i="2" l="1"/>
  <c r="AK207" i="2"/>
  <c r="BX205" i="2"/>
  <c r="BY205" i="2"/>
  <c r="CB205" i="2"/>
  <c r="CC205" i="2"/>
  <c r="CD205" i="2" l="1"/>
  <c r="AK206" i="2"/>
  <c r="AK205" i="2" l="1"/>
  <c r="BX203" i="2"/>
  <c r="BY203" i="2"/>
  <c r="CB203" i="2"/>
  <c r="CC203" i="2"/>
  <c r="CD203" i="2" l="1"/>
  <c r="BX202" i="2"/>
  <c r="BY202" i="2"/>
  <c r="CB202" i="2"/>
  <c r="CC202" i="2"/>
  <c r="CD202" i="2" l="1"/>
  <c r="AK203" i="2"/>
  <c r="BX201" i="2"/>
  <c r="BY201" i="2"/>
  <c r="CB201" i="2"/>
  <c r="CC201" i="2"/>
  <c r="CD201" i="2" l="1"/>
  <c r="AK202" i="2"/>
  <c r="BX200" i="2"/>
  <c r="BY200" i="2"/>
  <c r="CB200" i="2"/>
  <c r="CC200" i="2"/>
  <c r="CD200" i="2" l="1"/>
  <c r="AK201" i="2"/>
  <c r="BX199" i="2"/>
  <c r="BY199" i="2"/>
  <c r="CB199" i="2"/>
  <c r="CC199" i="2"/>
  <c r="CD199" i="2" l="1"/>
  <c r="AK200" i="2"/>
  <c r="BX198" i="2"/>
  <c r="BY198" i="2"/>
  <c r="CB198" i="2"/>
  <c r="CC198" i="2"/>
  <c r="CD198" i="2" l="1"/>
  <c r="AK199" i="2"/>
  <c r="BX197" i="2"/>
  <c r="BY197" i="2"/>
  <c r="CB197" i="2"/>
  <c r="CC197" i="2"/>
  <c r="CD197" i="2" l="1"/>
  <c r="AK198" i="2"/>
  <c r="BX196" i="2"/>
  <c r="BY196" i="2"/>
  <c r="CB196" i="2"/>
  <c r="CC196" i="2"/>
  <c r="CD196" i="2" l="1"/>
  <c r="AK197" i="2"/>
  <c r="BX195" i="2"/>
  <c r="BY195" i="2"/>
  <c r="CB195" i="2"/>
  <c r="CC195" i="2"/>
  <c r="CD195" i="2" l="1"/>
  <c r="AK196" i="2"/>
  <c r="BX194" i="2"/>
  <c r="BY194" i="2"/>
  <c r="CB194" i="2"/>
  <c r="CC194" i="2"/>
  <c r="CD194" i="2" l="1"/>
  <c r="AK195" i="2"/>
  <c r="BX193" i="2"/>
  <c r="BY193" i="2"/>
  <c r="CB193" i="2"/>
  <c r="CC193" i="2"/>
  <c r="CD193" i="2" l="1"/>
  <c r="AK194" i="2"/>
  <c r="AK193" i="2" l="1"/>
  <c r="BX191" i="2"/>
  <c r="BY191" i="2"/>
  <c r="CB191" i="2"/>
  <c r="CC191" i="2"/>
  <c r="CD191" i="2" l="1"/>
  <c r="BX190" i="2"/>
  <c r="BY190" i="2"/>
  <c r="CB190" i="2"/>
  <c r="CC190" i="2"/>
  <c r="CD190" i="2" l="1"/>
  <c r="AK191" i="2"/>
  <c r="BX189" i="2"/>
  <c r="BY189" i="2"/>
  <c r="CB189" i="2"/>
  <c r="CC189" i="2"/>
  <c r="CD189" i="2" l="1"/>
  <c r="AK190" i="2"/>
  <c r="BX188" i="2"/>
  <c r="BY188" i="2"/>
  <c r="CB188" i="2"/>
  <c r="CC188" i="2"/>
  <c r="CD188" i="2" l="1"/>
  <c r="AK189" i="2"/>
  <c r="BX187" i="2"/>
  <c r="BY187" i="2"/>
  <c r="CB187" i="2"/>
  <c r="CC187" i="2"/>
  <c r="CD187" i="2" l="1"/>
  <c r="AK188" i="2"/>
  <c r="BX186" i="2"/>
  <c r="BY186" i="2"/>
  <c r="CB186" i="2"/>
  <c r="CC186" i="2"/>
  <c r="CD186" i="2" l="1"/>
  <c r="AK187" i="2"/>
  <c r="BX185" i="2"/>
  <c r="BY185" i="2"/>
  <c r="CB185" i="2"/>
  <c r="CC185" i="2"/>
  <c r="CD185" i="2" l="1"/>
  <c r="AK186" i="2"/>
  <c r="BX184" i="2"/>
  <c r="BY184" i="2"/>
  <c r="CB184" i="2"/>
  <c r="CC184" i="2"/>
  <c r="CD184" i="2" l="1"/>
  <c r="AK185" i="2"/>
  <c r="BX183" i="2"/>
  <c r="BY183" i="2"/>
  <c r="CB183" i="2"/>
  <c r="CC183" i="2"/>
  <c r="CD183" i="2" l="1"/>
  <c r="AK184" i="2"/>
  <c r="BX182" i="2"/>
  <c r="BY182" i="2"/>
  <c r="CB182" i="2"/>
  <c r="CC182" i="2"/>
  <c r="CD182" i="2" l="1"/>
  <c r="AK183" i="2"/>
  <c r="BX181" i="2"/>
  <c r="BY181" i="2"/>
  <c r="CB181" i="2"/>
  <c r="CC181" i="2"/>
  <c r="CD181" i="2" l="1"/>
  <c r="AK182" i="2"/>
  <c r="AK181" i="2" l="1"/>
  <c r="BX179" i="2"/>
  <c r="BY179" i="2"/>
  <c r="CB179" i="2"/>
  <c r="CC179" i="2"/>
  <c r="CD179" i="2" l="1"/>
  <c r="BX178" i="2"/>
  <c r="BY178" i="2"/>
  <c r="CB178" i="2"/>
  <c r="CC178" i="2"/>
  <c r="CD178" i="2" l="1"/>
  <c r="AK179" i="2"/>
  <c r="BX177" i="2"/>
  <c r="BY177" i="2"/>
  <c r="CB177" i="2"/>
  <c r="CC177" i="2"/>
  <c r="CD177" i="2" l="1"/>
  <c r="AK178" i="2"/>
  <c r="BX176" i="2"/>
  <c r="BY176" i="2"/>
  <c r="CB176" i="2"/>
  <c r="CC176" i="2"/>
  <c r="CD176" i="2" l="1"/>
  <c r="AK177" i="2"/>
  <c r="BX175" i="2"/>
  <c r="BY175" i="2"/>
  <c r="CB175" i="2"/>
  <c r="CC175" i="2"/>
  <c r="CD175" i="2" l="1"/>
  <c r="AK176" i="2"/>
  <c r="BX174" i="2"/>
  <c r="BY174" i="2"/>
  <c r="CB174" i="2"/>
  <c r="CC174" i="2"/>
  <c r="CD174" i="2" l="1"/>
  <c r="AK175" i="2"/>
  <c r="BX173" i="2"/>
  <c r="BY173" i="2"/>
  <c r="CB173" i="2"/>
  <c r="CC173" i="2"/>
  <c r="CD173" i="2" l="1"/>
  <c r="AK174" i="2"/>
  <c r="BX172" i="2"/>
  <c r="BY172" i="2"/>
  <c r="CB172" i="2"/>
  <c r="CC172" i="2"/>
  <c r="CD172" i="2" l="1"/>
  <c r="AK173" i="2"/>
  <c r="BX171" i="2"/>
  <c r="BY171" i="2"/>
  <c r="CB171" i="2"/>
  <c r="CC171" i="2"/>
  <c r="CD171" i="2" l="1"/>
  <c r="AK172" i="2"/>
  <c r="BX170" i="2"/>
  <c r="BY170" i="2"/>
  <c r="CB170" i="2"/>
  <c r="CC170" i="2"/>
  <c r="CD170" i="2" l="1"/>
  <c r="AK171" i="2"/>
  <c r="BX169" i="2"/>
  <c r="BY169" i="2"/>
  <c r="CB169" i="2"/>
  <c r="CC169" i="2"/>
  <c r="CD169" i="2" l="1"/>
  <c r="AK170" i="2"/>
  <c r="AK169" i="2" l="1"/>
  <c r="BX167" i="2"/>
  <c r="BY167" i="2"/>
  <c r="CB167" i="2"/>
  <c r="CC167" i="2"/>
  <c r="CD167" i="2" l="1"/>
  <c r="BX166" i="2"/>
  <c r="BY166" i="2"/>
  <c r="CB166" i="2"/>
  <c r="CC166" i="2"/>
  <c r="CD166" i="2" l="1"/>
  <c r="AK167" i="2"/>
  <c r="BX165" i="2"/>
  <c r="BY165" i="2"/>
  <c r="CB165" i="2"/>
  <c r="CC165" i="2"/>
  <c r="CD165" i="2" l="1"/>
  <c r="AK166" i="2"/>
  <c r="BX164" i="2"/>
  <c r="BY164" i="2"/>
  <c r="CB164" i="2"/>
  <c r="CC164" i="2"/>
  <c r="CD164" i="2" l="1"/>
  <c r="AK165" i="2"/>
  <c r="BX163" i="2"/>
  <c r="BY163" i="2"/>
  <c r="CB163" i="2"/>
  <c r="CC163" i="2"/>
  <c r="CD163" i="2" l="1"/>
  <c r="AK164" i="2"/>
  <c r="BX162" i="2"/>
  <c r="BY162" i="2"/>
  <c r="CB162" i="2"/>
  <c r="CC162" i="2"/>
  <c r="CD162" i="2" l="1"/>
  <c r="AK163" i="2"/>
  <c r="BX161" i="2"/>
  <c r="BY161" i="2"/>
  <c r="CB161" i="2"/>
  <c r="CC161" i="2"/>
  <c r="CD161" i="2" l="1"/>
  <c r="AK162" i="2"/>
  <c r="BX160" i="2"/>
  <c r="BY160" i="2"/>
  <c r="CB160" i="2"/>
  <c r="CC160" i="2"/>
  <c r="CD160" i="2" l="1"/>
  <c r="AK161" i="2"/>
  <c r="BX159" i="2"/>
  <c r="BY159" i="2"/>
  <c r="CB159" i="2"/>
  <c r="CC159" i="2"/>
  <c r="CD159" i="2" l="1"/>
  <c r="AK160" i="2"/>
  <c r="BX158" i="2"/>
  <c r="BY158" i="2"/>
  <c r="CB158" i="2"/>
  <c r="CC158" i="2"/>
  <c r="CD158" i="2" l="1"/>
  <c r="AK159" i="2"/>
  <c r="BX157" i="2"/>
  <c r="BY157" i="2"/>
  <c r="CB157" i="2"/>
  <c r="CC157" i="2"/>
  <c r="CD157" i="2" l="1"/>
  <c r="AK158" i="2"/>
  <c r="AK157" i="2" l="1"/>
  <c r="BX155" i="2"/>
  <c r="BY155" i="2"/>
  <c r="CB155" i="2"/>
  <c r="CC155" i="2"/>
  <c r="CD155" i="2" l="1"/>
  <c r="BX154" i="2"/>
  <c r="BY154" i="2"/>
  <c r="CB154" i="2"/>
  <c r="CC154" i="2"/>
  <c r="CD154" i="2" l="1"/>
  <c r="AK155" i="2"/>
  <c r="BX153" i="2"/>
  <c r="BY153" i="2"/>
  <c r="CB153" i="2"/>
  <c r="CC153" i="2"/>
  <c r="CD153" i="2" l="1"/>
  <c r="AK154" i="2"/>
  <c r="BX152" i="2"/>
  <c r="BY152" i="2"/>
  <c r="CB152" i="2"/>
  <c r="CC152" i="2"/>
  <c r="CD152" i="2" l="1"/>
  <c r="AK153" i="2"/>
  <c r="BX151" i="2"/>
  <c r="BY151" i="2"/>
  <c r="CB151" i="2"/>
  <c r="CC151" i="2"/>
  <c r="CD151" i="2" l="1"/>
  <c r="AK152" i="2"/>
  <c r="BX150" i="2"/>
  <c r="BY150" i="2"/>
  <c r="CB150" i="2"/>
  <c r="CC150" i="2"/>
  <c r="CD150" i="2" l="1"/>
  <c r="AK151" i="2"/>
  <c r="BX149" i="2"/>
  <c r="BY149" i="2"/>
  <c r="CB149" i="2"/>
  <c r="CC149" i="2"/>
  <c r="CD149" i="2" l="1"/>
  <c r="AK150" i="2"/>
  <c r="BX148" i="2"/>
  <c r="BY148" i="2"/>
  <c r="CB148" i="2"/>
  <c r="CC148" i="2"/>
  <c r="CD148" i="2" l="1"/>
  <c r="AK149" i="2"/>
  <c r="BX147" i="2"/>
  <c r="BY147" i="2"/>
  <c r="CB147" i="2"/>
  <c r="CC147" i="2"/>
  <c r="CD147" i="2" l="1"/>
  <c r="AK148" i="2"/>
  <c r="BX146" i="2"/>
  <c r="BY146" i="2"/>
  <c r="CB146" i="2"/>
  <c r="CC146" i="2"/>
  <c r="CD146" i="2" l="1"/>
  <c r="AK147" i="2"/>
  <c r="BX145" i="2"/>
  <c r="BY145" i="2"/>
  <c r="CB145" i="2"/>
  <c r="CC145" i="2"/>
  <c r="CD145" i="2" l="1"/>
  <c r="AK146" i="2"/>
  <c r="AK145" i="2" l="1"/>
  <c r="BX143" i="2"/>
  <c r="BY143" i="2"/>
  <c r="CB143" i="2"/>
  <c r="CC143" i="2"/>
  <c r="CD143" i="2" l="1"/>
  <c r="BX142" i="2"/>
  <c r="BY142" i="2"/>
  <c r="CB142" i="2"/>
  <c r="CC142" i="2"/>
  <c r="CD142" i="2" l="1"/>
  <c r="AK143" i="2"/>
  <c r="BX141" i="2"/>
  <c r="BY141" i="2"/>
  <c r="CB141" i="2"/>
  <c r="CC141" i="2"/>
  <c r="CD141" i="2" l="1"/>
  <c r="AK142" i="2"/>
  <c r="BX140" i="2"/>
  <c r="BY140" i="2"/>
  <c r="CB140" i="2"/>
  <c r="CC140" i="2"/>
  <c r="CD140" i="2" l="1"/>
  <c r="AK141" i="2"/>
  <c r="BX139" i="2"/>
  <c r="BY139" i="2"/>
  <c r="CB139" i="2"/>
  <c r="CC139" i="2"/>
  <c r="CD139" i="2" l="1"/>
  <c r="AK140" i="2"/>
  <c r="BX138" i="2"/>
  <c r="BY138" i="2"/>
  <c r="CB138" i="2"/>
  <c r="CC138" i="2"/>
  <c r="CD138" i="2" l="1"/>
  <c r="AK139" i="2"/>
  <c r="BX137" i="2"/>
  <c r="BY137" i="2"/>
  <c r="CB137" i="2"/>
  <c r="CC137" i="2"/>
  <c r="CD137" i="2" l="1"/>
  <c r="AK138" i="2"/>
  <c r="BX136" i="2"/>
  <c r="BY136" i="2"/>
  <c r="CB136" i="2"/>
  <c r="CC136" i="2"/>
  <c r="CD136" i="2" l="1"/>
  <c r="AK137" i="2"/>
  <c r="BX135" i="2"/>
  <c r="BY135" i="2"/>
  <c r="CB135" i="2"/>
  <c r="CC135" i="2"/>
  <c r="CD135" i="2" l="1"/>
  <c r="AK136" i="2"/>
  <c r="BX134" i="2"/>
  <c r="BY134" i="2"/>
  <c r="CB134" i="2"/>
  <c r="CC134" i="2"/>
  <c r="CD134" i="2" l="1"/>
  <c r="AK135" i="2"/>
  <c r="BX133" i="2"/>
  <c r="BY133" i="2"/>
  <c r="CB133" i="2"/>
  <c r="CC133" i="2"/>
  <c r="CD133" i="2" l="1"/>
  <c r="AK134" i="2"/>
  <c r="AK133" i="2" l="1"/>
  <c r="BX131" i="2"/>
  <c r="BY131" i="2"/>
  <c r="CB131" i="2"/>
  <c r="CC131" i="2"/>
  <c r="CD131" i="2" l="1"/>
  <c r="BX130" i="2"/>
  <c r="BY130" i="2"/>
  <c r="CB130" i="2"/>
  <c r="CC130" i="2"/>
  <c r="CD130" i="2" l="1"/>
  <c r="AK131" i="2"/>
  <c r="BX129" i="2"/>
  <c r="BY129" i="2"/>
  <c r="CB129" i="2"/>
  <c r="CC129" i="2"/>
  <c r="CD129" i="2" l="1"/>
  <c r="AK130" i="2"/>
  <c r="BX128" i="2"/>
  <c r="BY128" i="2"/>
  <c r="CB128" i="2"/>
  <c r="CC128" i="2"/>
  <c r="CD128" i="2" l="1"/>
  <c r="AK129" i="2"/>
  <c r="BX127" i="2"/>
  <c r="BY127" i="2"/>
  <c r="CB127" i="2"/>
  <c r="CC127" i="2"/>
  <c r="CD127" i="2" l="1"/>
  <c r="AK128" i="2"/>
  <c r="BX126" i="2"/>
  <c r="BY126" i="2"/>
  <c r="CB126" i="2"/>
  <c r="CC126" i="2"/>
  <c r="CD126" i="2" l="1"/>
  <c r="AK127" i="2"/>
  <c r="BX125" i="2"/>
  <c r="BY125" i="2"/>
  <c r="CB125" i="2"/>
  <c r="CC125" i="2"/>
  <c r="CD125" i="2" l="1"/>
  <c r="AK126" i="2"/>
  <c r="BX124" i="2"/>
  <c r="BY124" i="2"/>
  <c r="CB124" i="2"/>
  <c r="CC124" i="2"/>
  <c r="CD124" i="2" l="1"/>
  <c r="AK125" i="2"/>
  <c r="BX123" i="2"/>
  <c r="BY123" i="2"/>
  <c r="CB123" i="2"/>
  <c r="CC123" i="2"/>
  <c r="CD123" i="2" l="1"/>
  <c r="AK124" i="2"/>
  <c r="BX122" i="2"/>
  <c r="BY122" i="2"/>
  <c r="CB122" i="2"/>
  <c r="CC122" i="2"/>
  <c r="CD122" i="2" l="1"/>
  <c r="AK123" i="2"/>
  <c r="BX121" i="2"/>
  <c r="BY121" i="2"/>
  <c r="CB121" i="2"/>
  <c r="CC121" i="2"/>
  <c r="CD121" i="2" l="1"/>
  <c r="AK122" i="2"/>
  <c r="AK121" i="2" l="1"/>
  <c r="BX119" i="2"/>
  <c r="BY119" i="2"/>
  <c r="CB119" i="2"/>
  <c r="CC119" i="2"/>
  <c r="CD119" i="2" l="1"/>
  <c r="BX118" i="2"/>
  <c r="BY118" i="2"/>
  <c r="CB118" i="2"/>
  <c r="CC118" i="2"/>
  <c r="CD118" i="2" l="1"/>
  <c r="AK119" i="2"/>
  <c r="BX117" i="2"/>
  <c r="BY117" i="2"/>
  <c r="CB117" i="2"/>
  <c r="CC117" i="2"/>
  <c r="CD117" i="2" l="1"/>
  <c r="AK118" i="2"/>
  <c r="BX116" i="2"/>
  <c r="BY116" i="2"/>
  <c r="CB116" i="2"/>
  <c r="CC116" i="2"/>
  <c r="CD116" i="2" l="1"/>
  <c r="AK117" i="2"/>
  <c r="BX115" i="2"/>
  <c r="BY115" i="2"/>
  <c r="CB115" i="2"/>
  <c r="CC115" i="2"/>
  <c r="CD115" i="2" l="1"/>
  <c r="AK116" i="2"/>
  <c r="BX114" i="2"/>
  <c r="BY114" i="2"/>
  <c r="CB114" i="2"/>
  <c r="CC114" i="2"/>
  <c r="CD114" i="2" l="1"/>
  <c r="AK115" i="2"/>
  <c r="BX113" i="2"/>
  <c r="BY113" i="2"/>
  <c r="CB113" i="2"/>
  <c r="CC113" i="2"/>
  <c r="CD113" i="2" l="1"/>
  <c r="AK114" i="2"/>
  <c r="BX112" i="2"/>
  <c r="BY112" i="2"/>
  <c r="CB112" i="2"/>
  <c r="CC112" i="2"/>
  <c r="CD112" i="2" l="1"/>
  <c r="AK113" i="2"/>
  <c r="BX111" i="2"/>
  <c r="BY111" i="2"/>
  <c r="CB111" i="2"/>
  <c r="CC111" i="2"/>
  <c r="CD111" i="2" l="1"/>
  <c r="AK112" i="2"/>
  <c r="BX110" i="2"/>
  <c r="BY110" i="2"/>
  <c r="CB110" i="2"/>
  <c r="CC110" i="2"/>
  <c r="CD110" i="2" l="1"/>
  <c r="AK111" i="2"/>
  <c r="BX109" i="2"/>
  <c r="BY109" i="2"/>
  <c r="CB109" i="2"/>
  <c r="CC109" i="2"/>
  <c r="CD109" i="2" l="1"/>
  <c r="AK110" i="2"/>
  <c r="AK109" i="2" l="1"/>
  <c r="BX107" i="2"/>
  <c r="BY107" i="2"/>
  <c r="CB107" i="2"/>
  <c r="CC107" i="2"/>
  <c r="CD107" i="2" l="1"/>
  <c r="BX106" i="2"/>
  <c r="BY106" i="2"/>
  <c r="CB106" i="2"/>
  <c r="CC106" i="2"/>
  <c r="CD106" i="2" l="1"/>
  <c r="AK107" i="2"/>
  <c r="BX105" i="2"/>
  <c r="BY105" i="2"/>
  <c r="CB105" i="2"/>
  <c r="CC105" i="2"/>
  <c r="CD105" i="2" l="1"/>
  <c r="AK106" i="2"/>
  <c r="BX104" i="2"/>
  <c r="BY104" i="2"/>
  <c r="CB104" i="2"/>
  <c r="CC104" i="2"/>
  <c r="CD104" i="2" l="1"/>
  <c r="AK105" i="2"/>
  <c r="BX103" i="2"/>
  <c r="BY103" i="2"/>
  <c r="CB103" i="2"/>
  <c r="CC103" i="2"/>
  <c r="CD103" i="2" l="1"/>
  <c r="AK104" i="2"/>
  <c r="BX102" i="2"/>
  <c r="BY102" i="2"/>
  <c r="CB102" i="2"/>
  <c r="CC102" i="2"/>
  <c r="CD102" i="2" l="1"/>
  <c r="AK103" i="2"/>
  <c r="BX101" i="2"/>
  <c r="BY101" i="2"/>
  <c r="CB101" i="2"/>
  <c r="CC101" i="2"/>
  <c r="CD101" i="2" l="1"/>
  <c r="AK102" i="2"/>
  <c r="BX100" i="2"/>
  <c r="BY100" i="2"/>
  <c r="CB100" i="2"/>
  <c r="CC100" i="2"/>
  <c r="CD100" i="2" l="1"/>
  <c r="AK101" i="2"/>
  <c r="BX99" i="2"/>
  <c r="BY99" i="2"/>
  <c r="CB99" i="2"/>
  <c r="CC99" i="2"/>
  <c r="CD99" i="2" l="1"/>
  <c r="AK100" i="2"/>
  <c r="BX98" i="2"/>
  <c r="BY98" i="2"/>
  <c r="CB98" i="2"/>
  <c r="CC98" i="2"/>
  <c r="CD98" i="2" l="1"/>
  <c r="AK99" i="2"/>
  <c r="BX97" i="2"/>
  <c r="BY97" i="2"/>
  <c r="CB97" i="2"/>
  <c r="CC97" i="2"/>
  <c r="CD97" i="2" l="1"/>
  <c r="AK98" i="2"/>
  <c r="AK97" i="2" l="1"/>
  <c r="BX95" i="2"/>
  <c r="BY95" i="2"/>
  <c r="CB95" i="2"/>
  <c r="CC95" i="2"/>
  <c r="CD95" i="2" l="1"/>
  <c r="BX94" i="2"/>
  <c r="BY94" i="2"/>
  <c r="CB94" i="2"/>
  <c r="CC94" i="2"/>
  <c r="CD94" i="2" l="1"/>
  <c r="AK95" i="2"/>
  <c r="BX93" i="2"/>
  <c r="BY93" i="2"/>
  <c r="CB93" i="2"/>
  <c r="CC93" i="2"/>
  <c r="CD93" i="2" l="1"/>
  <c r="AK94" i="2"/>
  <c r="BX92" i="2"/>
  <c r="BY92" i="2"/>
  <c r="CB92" i="2"/>
  <c r="CC92" i="2"/>
  <c r="CD92" i="2" l="1"/>
  <c r="AK93" i="2"/>
  <c r="BX91" i="2"/>
  <c r="BY91" i="2"/>
  <c r="CB91" i="2"/>
  <c r="CC91" i="2"/>
  <c r="CD91" i="2" l="1"/>
  <c r="AK92" i="2"/>
  <c r="BX90" i="2"/>
  <c r="BY90" i="2"/>
  <c r="CB90" i="2"/>
  <c r="CC90" i="2"/>
  <c r="CD90" i="2" l="1"/>
  <c r="AK91" i="2"/>
  <c r="BX89" i="2"/>
  <c r="BY89" i="2"/>
  <c r="CB89" i="2"/>
  <c r="CC89" i="2"/>
  <c r="CD89" i="2" l="1"/>
  <c r="AK90" i="2"/>
  <c r="BX88" i="2"/>
  <c r="BY88" i="2"/>
  <c r="CB88" i="2"/>
  <c r="CC88" i="2"/>
  <c r="CD88" i="2" l="1"/>
  <c r="AK89" i="2"/>
  <c r="BX87" i="2"/>
  <c r="BY87" i="2"/>
  <c r="CB87" i="2"/>
  <c r="CC87" i="2"/>
  <c r="CD87" i="2" l="1"/>
  <c r="AK88" i="2"/>
  <c r="BX86" i="2"/>
  <c r="BY86" i="2"/>
  <c r="CB86" i="2"/>
  <c r="CC86" i="2"/>
  <c r="CD86" i="2" l="1"/>
  <c r="AK87" i="2"/>
  <c r="BX85" i="2"/>
  <c r="BY85" i="2"/>
  <c r="CB85" i="2"/>
  <c r="CC85" i="2"/>
  <c r="CD85" i="2" l="1"/>
  <c r="AK86" i="2"/>
  <c r="AK85" i="2" l="1"/>
  <c r="BX83" i="2"/>
  <c r="BY83" i="2"/>
  <c r="CB83" i="2"/>
  <c r="CC83" i="2"/>
  <c r="CD83" i="2" l="1"/>
  <c r="BX82" i="2"/>
  <c r="BY82" i="2"/>
  <c r="CB82" i="2"/>
  <c r="CC82" i="2"/>
  <c r="CD82" i="2" l="1"/>
  <c r="AK83" i="2"/>
  <c r="BX81" i="2"/>
  <c r="BY81" i="2"/>
  <c r="CB81" i="2"/>
  <c r="CC81" i="2"/>
  <c r="CD81" i="2" l="1"/>
  <c r="AK82" i="2"/>
  <c r="BX80" i="2"/>
  <c r="BY80" i="2"/>
  <c r="CB80" i="2"/>
  <c r="CC80" i="2"/>
  <c r="CD80" i="2" l="1"/>
  <c r="AK81" i="2"/>
  <c r="BX79" i="2"/>
  <c r="BY79" i="2"/>
  <c r="CB79" i="2"/>
  <c r="CC79" i="2"/>
  <c r="CD79" i="2" l="1"/>
  <c r="AK80" i="2"/>
  <c r="BX78" i="2"/>
  <c r="BY78" i="2"/>
  <c r="CB78" i="2"/>
  <c r="CC78" i="2"/>
  <c r="CD78" i="2" l="1"/>
  <c r="AK79" i="2"/>
  <c r="BX77" i="2"/>
  <c r="BY77" i="2"/>
  <c r="CB77" i="2"/>
  <c r="CC77" i="2"/>
  <c r="CD77" i="2" l="1"/>
  <c r="AK78" i="2"/>
  <c r="BX76" i="2"/>
  <c r="BY76" i="2"/>
  <c r="CB76" i="2"/>
  <c r="CC76" i="2"/>
  <c r="CD76" i="2" l="1"/>
  <c r="AK77" i="2"/>
  <c r="BX75" i="2"/>
  <c r="BY75" i="2"/>
  <c r="CB75" i="2"/>
  <c r="CC75" i="2"/>
  <c r="CD75" i="2" l="1"/>
  <c r="AK76" i="2"/>
  <c r="BX74" i="2"/>
  <c r="BY74" i="2"/>
  <c r="CB74" i="2"/>
  <c r="CC74" i="2"/>
  <c r="CD74" i="2" l="1"/>
  <c r="AK75" i="2"/>
  <c r="BX73" i="2"/>
  <c r="BY73" i="2"/>
  <c r="CB73" i="2"/>
  <c r="CC73" i="2"/>
  <c r="CD73" i="2" l="1"/>
  <c r="AK74" i="2"/>
  <c r="AK73" i="2" l="1"/>
  <c r="BX71" i="2"/>
  <c r="BY71" i="2"/>
  <c r="CB71" i="2"/>
  <c r="CC71" i="2"/>
  <c r="CD71" i="2" l="1"/>
  <c r="BX70" i="2"/>
  <c r="BY70" i="2"/>
  <c r="CB70" i="2"/>
  <c r="CC70" i="2"/>
  <c r="CD70" i="2" l="1"/>
  <c r="AK71" i="2"/>
  <c r="BX69" i="2"/>
  <c r="BY69" i="2"/>
  <c r="CB69" i="2"/>
  <c r="CC69" i="2"/>
  <c r="CD69" i="2" l="1"/>
  <c r="AK70" i="2"/>
  <c r="BX68" i="2"/>
  <c r="BY68" i="2"/>
  <c r="CB68" i="2"/>
  <c r="CC68" i="2"/>
  <c r="CD68" i="2" l="1"/>
  <c r="AK69" i="2"/>
  <c r="BX67" i="2"/>
  <c r="BY67" i="2"/>
  <c r="CB67" i="2"/>
  <c r="CC67" i="2"/>
  <c r="CD67" i="2" l="1"/>
  <c r="AK68" i="2"/>
  <c r="BX66" i="2"/>
  <c r="BY66" i="2"/>
  <c r="CB66" i="2"/>
  <c r="CC66" i="2"/>
  <c r="CD66" i="2" l="1"/>
  <c r="AK67" i="2"/>
  <c r="BX65" i="2"/>
  <c r="BY65" i="2"/>
  <c r="CB65" i="2"/>
  <c r="CC65" i="2"/>
  <c r="CD65" i="2" l="1"/>
  <c r="AK66" i="2"/>
  <c r="BX64" i="2"/>
  <c r="BY64" i="2"/>
  <c r="CB64" i="2"/>
  <c r="CC64" i="2"/>
  <c r="CD64" i="2" l="1"/>
  <c r="AK65" i="2"/>
  <c r="BX63" i="2"/>
  <c r="BY63" i="2"/>
  <c r="CB63" i="2"/>
  <c r="CC63" i="2"/>
  <c r="CD63" i="2" l="1"/>
  <c r="AK64" i="2"/>
  <c r="BX62" i="2"/>
  <c r="BY62" i="2"/>
  <c r="CB62" i="2"/>
  <c r="CC62" i="2"/>
  <c r="CD62" i="2" l="1"/>
  <c r="AK63" i="2"/>
  <c r="BX61" i="2"/>
  <c r="BY61" i="2"/>
  <c r="CB61" i="2"/>
  <c r="CC61" i="2"/>
  <c r="CD61" i="2" l="1"/>
  <c r="AK62" i="2"/>
  <c r="AK61" i="2" l="1"/>
  <c r="BX59" i="2"/>
  <c r="BY59" i="2"/>
  <c r="CB59" i="2"/>
  <c r="CC59" i="2"/>
  <c r="CD59" i="2" l="1"/>
  <c r="BX58" i="2"/>
  <c r="BY58" i="2"/>
  <c r="CB58" i="2"/>
  <c r="CC58" i="2"/>
  <c r="CD58" i="2" l="1"/>
  <c r="AK59" i="2"/>
  <c r="BX57" i="2"/>
  <c r="BY57" i="2"/>
  <c r="CB57" i="2"/>
  <c r="CC57" i="2"/>
  <c r="CD57" i="2" l="1"/>
  <c r="AK58" i="2"/>
  <c r="BX56" i="2"/>
  <c r="BY56" i="2"/>
  <c r="CB56" i="2"/>
  <c r="CC56" i="2"/>
  <c r="CD56" i="2" l="1"/>
  <c r="AK57" i="2"/>
  <c r="BX55" i="2"/>
  <c r="BY55" i="2"/>
  <c r="CB55" i="2"/>
  <c r="CC55" i="2"/>
  <c r="CD55" i="2" l="1"/>
  <c r="AK56" i="2"/>
  <c r="BX54" i="2"/>
  <c r="BY54" i="2"/>
  <c r="CB54" i="2"/>
  <c r="CC54" i="2"/>
  <c r="CD54" i="2" l="1"/>
  <c r="AK55" i="2"/>
  <c r="BX53" i="2"/>
  <c r="BY53" i="2"/>
  <c r="CB53" i="2"/>
  <c r="CC53" i="2"/>
  <c r="CD53" i="2" l="1"/>
  <c r="AK54" i="2"/>
  <c r="BX52" i="2"/>
  <c r="BY52" i="2"/>
  <c r="CB52" i="2"/>
  <c r="CC52" i="2"/>
  <c r="CD52" i="2" l="1"/>
  <c r="AK53" i="2"/>
  <c r="BX51" i="2"/>
  <c r="BY51" i="2"/>
  <c r="CB51" i="2"/>
  <c r="CC51" i="2"/>
  <c r="CD51" i="2" l="1"/>
  <c r="AK52" i="2"/>
  <c r="BX50" i="2"/>
  <c r="BY50" i="2"/>
  <c r="CB50" i="2"/>
  <c r="CC50" i="2"/>
  <c r="CD50" i="2" l="1"/>
  <c r="AK51" i="2"/>
  <c r="BX49" i="2"/>
  <c r="BY49" i="2"/>
  <c r="CB49" i="2"/>
  <c r="CC49" i="2"/>
  <c r="CD49" i="2" l="1"/>
  <c r="AK50" i="2"/>
  <c r="AK49" i="2" l="1"/>
  <c r="BX47" i="2"/>
  <c r="BY47" i="2"/>
  <c r="CB47" i="2"/>
  <c r="CC47" i="2"/>
  <c r="CD47" i="2" l="1"/>
  <c r="BX46" i="2"/>
  <c r="BY46" i="2"/>
  <c r="CB46" i="2"/>
  <c r="CC46" i="2"/>
  <c r="CD46" i="2" l="1"/>
  <c r="AK47" i="2"/>
  <c r="BX45" i="2"/>
  <c r="BY45" i="2"/>
  <c r="CB45" i="2"/>
  <c r="CC45" i="2"/>
  <c r="CD45" i="2" l="1"/>
  <c r="AK46" i="2"/>
  <c r="BX44" i="2"/>
  <c r="BY44" i="2"/>
  <c r="CB44" i="2"/>
  <c r="CC44" i="2"/>
  <c r="CD44" i="2" l="1"/>
  <c r="AK45" i="2"/>
  <c r="BX43" i="2"/>
  <c r="BY43" i="2"/>
  <c r="CB43" i="2"/>
  <c r="CC43" i="2"/>
  <c r="CD43" i="2" l="1"/>
  <c r="AK44" i="2"/>
  <c r="BX42" i="2"/>
  <c r="BY42" i="2"/>
  <c r="CB42" i="2"/>
  <c r="CC42" i="2"/>
  <c r="CD42" i="2" l="1"/>
  <c r="AK43" i="2"/>
  <c r="BX41" i="2"/>
  <c r="BY41" i="2"/>
  <c r="CB41" i="2"/>
  <c r="CC41" i="2"/>
  <c r="CD41" i="2" l="1"/>
  <c r="AK42" i="2"/>
  <c r="BX40" i="2"/>
  <c r="BY40" i="2"/>
  <c r="CB40" i="2"/>
  <c r="CC40" i="2"/>
  <c r="CD40" i="2" l="1"/>
  <c r="AK41" i="2"/>
  <c r="BX39" i="2"/>
  <c r="BY39" i="2"/>
  <c r="CB39" i="2"/>
  <c r="CC39" i="2"/>
  <c r="CD39" i="2" l="1"/>
  <c r="AK40" i="2"/>
  <c r="BX38" i="2"/>
  <c r="BY38" i="2"/>
  <c r="CB38" i="2"/>
  <c r="CC38" i="2"/>
  <c r="CD38" i="2" l="1"/>
  <c r="AK39" i="2"/>
  <c r="BX37" i="2"/>
  <c r="BY37" i="2"/>
  <c r="CB37" i="2"/>
  <c r="CC37" i="2"/>
  <c r="CD37" i="2" l="1"/>
  <c r="AK38" i="2"/>
  <c r="AK37" i="2" l="1"/>
  <c r="BX35" i="2"/>
  <c r="BY35" i="2"/>
  <c r="CB35" i="2"/>
  <c r="CC35" i="2"/>
  <c r="CD35" i="2" l="1"/>
  <c r="BX34" i="2"/>
  <c r="BY34" i="2"/>
  <c r="CB34" i="2"/>
  <c r="CC34" i="2"/>
  <c r="CD34" i="2" l="1"/>
  <c r="AK35" i="2"/>
  <c r="BX33" i="2"/>
  <c r="BY33" i="2"/>
  <c r="CB33" i="2"/>
  <c r="CC33" i="2"/>
  <c r="CD33" i="2" l="1"/>
  <c r="AK34" i="2"/>
  <c r="BX32" i="2"/>
  <c r="BY32" i="2"/>
  <c r="CB32" i="2"/>
  <c r="CC32" i="2"/>
  <c r="CD32" i="2" l="1"/>
  <c r="AK33" i="2"/>
  <c r="BX31" i="2"/>
  <c r="BY31" i="2"/>
  <c r="CB31" i="2"/>
  <c r="CC31" i="2"/>
  <c r="CD31" i="2" l="1"/>
  <c r="AK32" i="2"/>
  <c r="BX30" i="2"/>
  <c r="BY30" i="2"/>
  <c r="CB30" i="2"/>
  <c r="CC30" i="2"/>
  <c r="CD30" i="2" l="1"/>
  <c r="AK31" i="2"/>
  <c r="BX29" i="2"/>
  <c r="BY29" i="2"/>
  <c r="CB29" i="2"/>
  <c r="CC29" i="2"/>
  <c r="CD29" i="2" l="1"/>
  <c r="AK30" i="2"/>
  <c r="BX28" i="2"/>
  <c r="BY28" i="2"/>
  <c r="CB28" i="2"/>
  <c r="CC28" i="2"/>
  <c r="CD28" i="2" l="1"/>
  <c r="AK29" i="2"/>
  <c r="BX27" i="2"/>
  <c r="BY27" i="2"/>
  <c r="CB27" i="2"/>
  <c r="CC27" i="2"/>
  <c r="CD27" i="2" l="1"/>
  <c r="AK28" i="2"/>
  <c r="BX26" i="2"/>
  <c r="BY26" i="2"/>
  <c r="CB26" i="2"/>
  <c r="CC26" i="2"/>
  <c r="CD26" i="2" l="1"/>
  <c r="AK27" i="2"/>
  <c r="BX25" i="2"/>
  <c r="BY25" i="2"/>
  <c r="CB25" i="2"/>
  <c r="CC25" i="2"/>
  <c r="CD25" i="2" l="1"/>
  <c r="AK26" i="2"/>
  <c r="AK25" i="2" l="1"/>
  <c r="BX23" i="2"/>
  <c r="BY23" i="2"/>
  <c r="CB23" i="2"/>
  <c r="CC23" i="2"/>
  <c r="CD23" i="2" l="1"/>
  <c r="BX22" i="2"/>
  <c r="BY22" i="2"/>
  <c r="CB22" i="2"/>
  <c r="CC22" i="2"/>
  <c r="CD22" i="2" l="1"/>
  <c r="AK23" i="2"/>
  <c r="BX21" i="2"/>
  <c r="BY21" i="2"/>
  <c r="CB21" i="2"/>
  <c r="CC21" i="2"/>
  <c r="CD21" i="2" l="1"/>
  <c r="AK22" i="2"/>
  <c r="BX20" i="2"/>
  <c r="BY20" i="2"/>
  <c r="CB20" i="2"/>
  <c r="CC20" i="2"/>
  <c r="CD20" i="2" l="1"/>
  <c r="AK21" i="2"/>
  <c r="BX19" i="2"/>
  <c r="BY19" i="2"/>
  <c r="CB19" i="2"/>
  <c r="CC19" i="2"/>
  <c r="CD19" i="2" l="1"/>
  <c r="AK20" i="2"/>
  <c r="BX18" i="2"/>
  <c r="BY18" i="2"/>
  <c r="CB18" i="2"/>
  <c r="CC18" i="2"/>
  <c r="CD18" i="2" l="1"/>
  <c r="AK19" i="2"/>
  <c r="BX17" i="2"/>
  <c r="BY17" i="2"/>
  <c r="CB17" i="2"/>
  <c r="CC17" i="2"/>
  <c r="CD17" i="2" l="1"/>
  <c r="AK18" i="2"/>
  <c r="BX16" i="2"/>
  <c r="BY16" i="2"/>
  <c r="CB16" i="2"/>
  <c r="CC16" i="2"/>
  <c r="CD16" i="2" l="1"/>
  <c r="AK17" i="2"/>
  <c r="BX15" i="2"/>
  <c r="BY15" i="2"/>
  <c r="CB15" i="2"/>
  <c r="CC15" i="2"/>
  <c r="CD15" i="2" l="1"/>
  <c r="AK16" i="2"/>
  <c r="BX14" i="2"/>
  <c r="BY14" i="2"/>
  <c r="CB14" i="2"/>
  <c r="CC14" i="2"/>
  <c r="CD14" i="2" l="1"/>
  <c r="AK15" i="2"/>
  <c r="CC13" i="2"/>
  <c r="BX13" i="2"/>
  <c r="CB13" i="2"/>
  <c r="BY10" i="2"/>
  <c r="BY10" i="5"/>
  <c r="BP80" i="5"/>
  <c r="BP119" i="5"/>
  <c r="BP52" i="5"/>
  <c r="BP41" i="5"/>
  <c r="BP55" i="5"/>
  <c r="BP47" i="5"/>
  <c r="BP63" i="5"/>
  <c r="BP25" i="5"/>
  <c r="BP66" i="5"/>
  <c r="BP19" i="5"/>
  <c r="BP112" i="5"/>
  <c r="BP26" i="5"/>
  <c r="BP40" i="5"/>
  <c r="BP56" i="5"/>
  <c r="BP31" i="5"/>
  <c r="BP32" i="5"/>
  <c r="BP46" i="5"/>
  <c r="BP123" i="5"/>
  <c r="BP33" i="5"/>
  <c r="BP88" i="5"/>
  <c r="BP105" i="5"/>
  <c r="BP43" i="5"/>
  <c r="BP109" i="5"/>
  <c r="BP131" i="5"/>
  <c r="BP126" i="5"/>
  <c r="BP82" i="5"/>
  <c r="BP87" i="5"/>
  <c r="BP137" i="5"/>
  <c r="BP93" i="5"/>
  <c r="BP90" i="5"/>
  <c r="BP107" i="5"/>
  <c r="BP74" i="5"/>
  <c r="BP65" i="5"/>
  <c r="BP51" i="5"/>
  <c r="BP14" i="5"/>
  <c r="BP117" i="5"/>
  <c r="BP101" i="5"/>
  <c r="BP138" i="5"/>
  <c r="BP89" i="5"/>
  <c r="BP79" i="5"/>
  <c r="BP70" i="5"/>
  <c r="BP103" i="5"/>
  <c r="BP61" i="5"/>
  <c r="BP140" i="5"/>
  <c r="BP116" i="5"/>
  <c r="BP50" i="5"/>
  <c r="BP75" i="5"/>
  <c r="BP141" i="5"/>
  <c r="BP142" i="5"/>
  <c r="BP122" i="5"/>
  <c r="BP113" i="5"/>
  <c r="BP83" i="5"/>
  <c r="BP35" i="5"/>
  <c r="BP124" i="5"/>
  <c r="BP130" i="5"/>
  <c r="BP95" i="5"/>
  <c r="BP127" i="5"/>
  <c r="BP115" i="5"/>
  <c r="BP34" i="5"/>
  <c r="BP20" i="5"/>
  <c r="BP30" i="5"/>
  <c r="BP97" i="5"/>
  <c r="BP71" i="5"/>
  <c r="BP29" i="5"/>
  <c r="BP53" i="5"/>
  <c r="BP58" i="5"/>
  <c r="BP18" i="5"/>
  <c r="BP134" i="5"/>
  <c r="BP37" i="5"/>
  <c r="BP49" i="5"/>
  <c r="BP22" i="5"/>
  <c r="BP16" i="5"/>
  <c r="BP76" i="5"/>
  <c r="BP17" i="5"/>
  <c r="BP128" i="5"/>
  <c r="BP39" i="5"/>
  <c r="BP62" i="5"/>
  <c r="BP91" i="5"/>
  <c r="BP133" i="5"/>
  <c r="BP111" i="5"/>
  <c r="BP54" i="5"/>
  <c r="BP94" i="5"/>
  <c r="BP27" i="5"/>
  <c r="BP21" i="5"/>
  <c r="BP110" i="5"/>
  <c r="BP85" i="5"/>
  <c r="BP59" i="5"/>
  <c r="BP100" i="5"/>
  <c r="BP77" i="5"/>
  <c r="BP136" i="5"/>
  <c r="BP64" i="5"/>
  <c r="BP129" i="5"/>
  <c r="BP28" i="5"/>
  <c r="BP44" i="5"/>
  <c r="BP102" i="5"/>
  <c r="BP15" i="5"/>
  <c r="BP86" i="5"/>
  <c r="BP114" i="5"/>
  <c r="BP57" i="5"/>
  <c r="BP69" i="5"/>
  <c r="BP104" i="5"/>
  <c r="BP143" i="5"/>
  <c r="BP23" i="5"/>
  <c r="BP99" i="5"/>
  <c r="BP42" i="5"/>
  <c r="BP98" i="5"/>
  <c r="BP45" i="5"/>
  <c r="BP73" i="5"/>
  <c r="BP78" i="5"/>
  <c r="BP139" i="5"/>
  <c r="BP68" i="5"/>
  <c r="BP92" i="5"/>
  <c r="BP118" i="5"/>
  <c r="BP38" i="5"/>
  <c r="BP106" i="5"/>
  <c r="BP135" i="5"/>
  <c r="BP81" i="5"/>
  <c r="BP125" i="5"/>
  <c r="BP121" i="5"/>
  <c r="BP67" i="5"/>
  <c r="CD13" i="2" l="1"/>
  <c r="AK14" i="2"/>
  <c r="CC502" i="5"/>
  <c r="CC501" i="5"/>
  <c r="CC500" i="5"/>
  <c r="CC498" i="5"/>
  <c r="CC497" i="5"/>
  <c r="CC495" i="5"/>
  <c r="CC494" i="5"/>
  <c r="CC493" i="5"/>
  <c r="CC492" i="5"/>
  <c r="CC491" i="5"/>
  <c r="CC490" i="5"/>
  <c r="CC489" i="5"/>
  <c r="CC488" i="5"/>
  <c r="CC487" i="5"/>
  <c r="CC485" i="5"/>
  <c r="CC484" i="5"/>
  <c r="CC483" i="5"/>
  <c r="CC482" i="5"/>
  <c r="CC481" i="5"/>
  <c r="CC480" i="5"/>
  <c r="CC479" i="5"/>
  <c r="CC478" i="5"/>
  <c r="CC477" i="5"/>
  <c r="CC475" i="5"/>
  <c r="CC474" i="5"/>
  <c r="CC473" i="5"/>
  <c r="CC472" i="5"/>
  <c r="CC471" i="5"/>
  <c r="CC470" i="5"/>
  <c r="CC469" i="5"/>
  <c r="CC468" i="5"/>
  <c r="CC467" i="5"/>
  <c r="CC465" i="5"/>
  <c r="CC464" i="5"/>
  <c r="CC463" i="5"/>
  <c r="CC462" i="5"/>
  <c r="CC461" i="5"/>
  <c r="CC460" i="5"/>
  <c r="CC459" i="5"/>
  <c r="CC458" i="5"/>
  <c r="CC457" i="5"/>
  <c r="CC455" i="5"/>
  <c r="CC454" i="5"/>
  <c r="CC453" i="5"/>
  <c r="CC452" i="5"/>
  <c r="CC451" i="5"/>
  <c r="CC450" i="5"/>
  <c r="CC449" i="5"/>
  <c r="CC448" i="5"/>
  <c r="CC447" i="5"/>
  <c r="CC445" i="5"/>
  <c r="CC444" i="5"/>
  <c r="CC443" i="5"/>
  <c r="CC442" i="5"/>
  <c r="CC441" i="5"/>
  <c r="CC440" i="5"/>
  <c r="CC439" i="5"/>
  <c r="CC438" i="5"/>
  <c r="CC437" i="5"/>
  <c r="CC435" i="5"/>
  <c r="CC434" i="5"/>
  <c r="CC433" i="5"/>
  <c r="CC432" i="5"/>
  <c r="CC431" i="5"/>
  <c r="CC430" i="5"/>
  <c r="CC429" i="5"/>
  <c r="CC428" i="5"/>
  <c r="CC427" i="5"/>
  <c r="CC425" i="5"/>
  <c r="CC424" i="5"/>
  <c r="CC423" i="5"/>
  <c r="CC422" i="5"/>
  <c r="CC421" i="5"/>
  <c r="CC420" i="5"/>
  <c r="CC419" i="5"/>
  <c r="CC418" i="5"/>
  <c r="CC417" i="5"/>
  <c r="CC415" i="5"/>
  <c r="CC414" i="5"/>
  <c r="CC413" i="5"/>
  <c r="CC412" i="5"/>
  <c r="CC411" i="5"/>
  <c r="CC410" i="5"/>
  <c r="CC409" i="5"/>
  <c r="CC408" i="5"/>
  <c r="CC407" i="5"/>
  <c r="CC405" i="5"/>
  <c r="CC404" i="5"/>
  <c r="CC403" i="5"/>
  <c r="CC402" i="5"/>
  <c r="CC401" i="5"/>
  <c r="CC400" i="5"/>
  <c r="CC399" i="5"/>
  <c r="CC398" i="5"/>
  <c r="CC397" i="5"/>
  <c r="CC395" i="5"/>
  <c r="CC394" i="5"/>
  <c r="CC393" i="5"/>
  <c r="CC392" i="5"/>
  <c r="CC391" i="5"/>
  <c r="CC390" i="5"/>
  <c r="CC389" i="5"/>
  <c r="CC388" i="5"/>
  <c r="CC387" i="5"/>
  <c r="CC385" i="5"/>
  <c r="CC384" i="5"/>
  <c r="CC383" i="5"/>
  <c r="CC382" i="5"/>
  <c r="CC381" i="5"/>
  <c r="CC380" i="5"/>
  <c r="CC379" i="5"/>
  <c r="CC378" i="5"/>
  <c r="CC377" i="5"/>
  <c r="CC375" i="5"/>
  <c r="CC374" i="5"/>
  <c r="CC373" i="5"/>
  <c r="CC372" i="5"/>
  <c r="CC371" i="5"/>
  <c r="CC370" i="5"/>
  <c r="CC369" i="5"/>
  <c r="CC368" i="5"/>
  <c r="CC367" i="5"/>
  <c r="CC365" i="5"/>
  <c r="CC364" i="5"/>
  <c r="CC363" i="5"/>
  <c r="CC362" i="5"/>
  <c r="CC361" i="5"/>
  <c r="CC360" i="5"/>
  <c r="CC359" i="5"/>
  <c r="CC358" i="5"/>
  <c r="CC357" i="5"/>
  <c r="CC355" i="5"/>
  <c r="CC354" i="5"/>
  <c r="CC353" i="5"/>
  <c r="CC352" i="5"/>
  <c r="CC351" i="5"/>
  <c r="CC350" i="5"/>
  <c r="CC349" i="5"/>
  <c r="CC348" i="5"/>
  <c r="CC347" i="5"/>
  <c r="CC345" i="5"/>
  <c r="CC344" i="5"/>
  <c r="CC343" i="5"/>
  <c r="CC342" i="5"/>
  <c r="CC341" i="5"/>
  <c r="CC340" i="5"/>
  <c r="CC339" i="5"/>
  <c r="CC338" i="5"/>
  <c r="CC337" i="5"/>
  <c r="CC335" i="5"/>
  <c r="CC334" i="5"/>
  <c r="CC333" i="5"/>
  <c r="CC332" i="5"/>
  <c r="CC331" i="5"/>
  <c r="CC330" i="5"/>
  <c r="CC329" i="5"/>
  <c r="CC328" i="5"/>
  <c r="CC327" i="5"/>
  <c r="CC325" i="5"/>
  <c r="CC324" i="5"/>
  <c r="CC323" i="5"/>
  <c r="CC322" i="5"/>
  <c r="CC321" i="5"/>
  <c r="CC320" i="5"/>
  <c r="CC319" i="5"/>
  <c r="CC318" i="5"/>
  <c r="CC317" i="5"/>
  <c r="CC315" i="5"/>
  <c r="CC314" i="5"/>
  <c r="CC313" i="5"/>
  <c r="CC312" i="5"/>
  <c r="CC311" i="5"/>
  <c r="CC310" i="5"/>
  <c r="CC309" i="5"/>
  <c r="CC308" i="5"/>
  <c r="CC307" i="5"/>
  <c r="CC305" i="5"/>
  <c r="CC304" i="5"/>
  <c r="CC303" i="5"/>
  <c r="CC302" i="5"/>
  <c r="CC301" i="5"/>
  <c r="CC300" i="5"/>
  <c r="CC299" i="5"/>
  <c r="CC298" i="5"/>
  <c r="CC297" i="5"/>
  <c r="CC295" i="5"/>
  <c r="CC294" i="5"/>
  <c r="CC293" i="5"/>
  <c r="CC292" i="5"/>
  <c r="CC291" i="5"/>
  <c r="CC290" i="5"/>
  <c r="CC289" i="5"/>
  <c r="CC288" i="5"/>
  <c r="CC287" i="5"/>
  <c r="CC285" i="5"/>
  <c r="CC284" i="5"/>
  <c r="CC283" i="5"/>
  <c r="CC282" i="5"/>
  <c r="CC281" i="5"/>
  <c r="CC280" i="5"/>
  <c r="CC279" i="5"/>
  <c r="CC278" i="5"/>
  <c r="CC277" i="5"/>
  <c r="CC275" i="5"/>
  <c r="CC274" i="5"/>
  <c r="CC273" i="5"/>
  <c r="CC272" i="5"/>
  <c r="CC271" i="5"/>
  <c r="CC270" i="5"/>
  <c r="CC269" i="5"/>
  <c r="CC268" i="5"/>
  <c r="CC267" i="5"/>
  <c r="CC266" i="5"/>
  <c r="CC265" i="5"/>
  <c r="CC263" i="5"/>
  <c r="CC262" i="5"/>
  <c r="CC261" i="5"/>
  <c r="CC260" i="5"/>
  <c r="CC259" i="5"/>
  <c r="CC258" i="5"/>
  <c r="CC257" i="5"/>
  <c r="CC256" i="5"/>
  <c r="CC255" i="5"/>
  <c r="CC254" i="5"/>
  <c r="CC253" i="5"/>
  <c r="CC251" i="5"/>
  <c r="CC250" i="5"/>
  <c r="CC249" i="5"/>
  <c r="CC248" i="5"/>
  <c r="CC247" i="5"/>
  <c r="CC246" i="5"/>
  <c r="CC245" i="5"/>
  <c r="CC244" i="5"/>
  <c r="CC243" i="5"/>
  <c r="CC242" i="5"/>
  <c r="CC241" i="5"/>
  <c r="CC239" i="5"/>
  <c r="CC238" i="5"/>
  <c r="CC237" i="5"/>
  <c r="CC236" i="5"/>
  <c r="CC235" i="5"/>
  <c r="CC234" i="5"/>
  <c r="CC233" i="5"/>
  <c r="CC232" i="5"/>
  <c r="CC231" i="5"/>
  <c r="CC230" i="5"/>
  <c r="CC229" i="5"/>
  <c r="CC227" i="5"/>
  <c r="CC226" i="5"/>
  <c r="CC225" i="5"/>
  <c r="CC224" i="5"/>
  <c r="CC223" i="5"/>
  <c r="CC222" i="5"/>
  <c r="CC221" i="5"/>
  <c r="CC220" i="5"/>
  <c r="CC219" i="5"/>
  <c r="CC218" i="5"/>
  <c r="CC217" i="5"/>
  <c r="CC215" i="5"/>
  <c r="CC214" i="5"/>
  <c r="CC213" i="5"/>
  <c r="CC212" i="5"/>
  <c r="CC211" i="5"/>
  <c r="CC210" i="5"/>
  <c r="CC209" i="5"/>
  <c r="CC208" i="5"/>
  <c r="CC207" i="5"/>
  <c r="CC206" i="5"/>
  <c r="CC205" i="5"/>
  <c r="CC203" i="5"/>
  <c r="CC202" i="5"/>
  <c r="CC201" i="5"/>
  <c r="CC200" i="5"/>
  <c r="CC199" i="5"/>
  <c r="CC198" i="5"/>
  <c r="CC197" i="5"/>
  <c r="CC196" i="5"/>
  <c r="CC195" i="5"/>
  <c r="CC194" i="5"/>
  <c r="CC193" i="5"/>
  <c r="CC191" i="5"/>
  <c r="CC190" i="5"/>
  <c r="CC189" i="5"/>
  <c r="CC188" i="5"/>
  <c r="CC187" i="5"/>
  <c r="CC186" i="5"/>
  <c r="CC185" i="5"/>
  <c r="CC184" i="5"/>
  <c r="CC183" i="5"/>
  <c r="CC182" i="5"/>
  <c r="CC181" i="5"/>
  <c r="CC179" i="5"/>
  <c r="CC178" i="5"/>
  <c r="CC177" i="5"/>
  <c r="CC176" i="5"/>
  <c r="CC175" i="5"/>
  <c r="CC174" i="5"/>
  <c r="CC173" i="5"/>
  <c r="CC172" i="5"/>
  <c r="CC171" i="5"/>
  <c r="CC170" i="5"/>
  <c r="CC169" i="5"/>
  <c r="CC167" i="5"/>
  <c r="CC166" i="5"/>
  <c r="CC165" i="5"/>
  <c r="CC164" i="5"/>
  <c r="CC163" i="5"/>
  <c r="CC162" i="5"/>
  <c r="CC161" i="5"/>
  <c r="CC160" i="5"/>
  <c r="CC159" i="5"/>
  <c r="CC158" i="5"/>
  <c r="CC157" i="5"/>
  <c r="CC155" i="5"/>
  <c r="CC154" i="5"/>
  <c r="CC153" i="5"/>
  <c r="CC152" i="5"/>
  <c r="CC151" i="5"/>
  <c r="CC150" i="5"/>
  <c r="CC149" i="5"/>
  <c r="CC148" i="5"/>
  <c r="CC147" i="5"/>
  <c r="CC146" i="5"/>
  <c r="CC145" i="5"/>
  <c r="CC143" i="5"/>
  <c r="CC142" i="5"/>
  <c r="CC141" i="5"/>
  <c r="CC140" i="5"/>
  <c r="CC139" i="5"/>
  <c r="CC138" i="5"/>
  <c r="CC137" i="5"/>
  <c r="CC136" i="5"/>
  <c r="CC135" i="5"/>
  <c r="CC134" i="5"/>
  <c r="CC133" i="5"/>
  <c r="CC131" i="5"/>
  <c r="CC130" i="5"/>
  <c r="CC129" i="5"/>
  <c r="CC128" i="5"/>
  <c r="CC127" i="5"/>
  <c r="CC126" i="5"/>
  <c r="CC125" i="5"/>
  <c r="CC124" i="5"/>
  <c r="CC123" i="5"/>
  <c r="CC122" i="5"/>
  <c r="CC121" i="5"/>
  <c r="CC119" i="5"/>
  <c r="CC118" i="5"/>
  <c r="CC117" i="5"/>
  <c r="CC116" i="5"/>
  <c r="CC115" i="5"/>
  <c r="CC114" i="5"/>
  <c r="CC113" i="5"/>
  <c r="CC112" i="5"/>
  <c r="CC111" i="5"/>
  <c r="CC110" i="5"/>
  <c r="CC109" i="5"/>
  <c r="CC107" i="5"/>
  <c r="CC106" i="5"/>
  <c r="CC105" i="5"/>
  <c r="CC104" i="5"/>
  <c r="CC103" i="5"/>
  <c r="CC102" i="5"/>
  <c r="CC101" i="5"/>
  <c r="CC100" i="5"/>
  <c r="CC99" i="5"/>
  <c r="CC98" i="5"/>
  <c r="CC97" i="5"/>
  <c r="CC95" i="5"/>
  <c r="CC94" i="5"/>
  <c r="CC93" i="5"/>
  <c r="CC92" i="5"/>
  <c r="CC91" i="5"/>
  <c r="CC90" i="5"/>
  <c r="CC89" i="5"/>
  <c r="CC88" i="5"/>
  <c r="CC87" i="5"/>
  <c r="CC86" i="5"/>
  <c r="CC85" i="5"/>
  <c r="CC83" i="5"/>
  <c r="CC82" i="5"/>
  <c r="CC81" i="5"/>
  <c r="CC80" i="5"/>
  <c r="CC79" i="5"/>
  <c r="CC78" i="5"/>
  <c r="CC77" i="5"/>
  <c r="CC76" i="5"/>
  <c r="CC75" i="5"/>
  <c r="CC74" i="5"/>
  <c r="CC73" i="5"/>
  <c r="CC71" i="5"/>
  <c r="CC70" i="5"/>
  <c r="CC69" i="5"/>
  <c r="CC68" i="5"/>
  <c r="CC67" i="5"/>
  <c r="CC66" i="5"/>
  <c r="CC65" i="5"/>
  <c r="CC64" i="5"/>
  <c r="CC63" i="5"/>
  <c r="CC62" i="5"/>
  <c r="CC61" i="5"/>
  <c r="CC59" i="5"/>
  <c r="CC58" i="5"/>
  <c r="CC57" i="5"/>
  <c r="CC56" i="5"/>
  <c r="CC55" i="5"/>
  <c r="CC54" i="5"/>
  <c r="CC53" i="5"/>
  <c r="CC52" i="5"/>
  <c r="CC51" i="5"/>
  <c r="CC50" i="5"/>
  <c r="CC49" i="5"/>
  <c r="CC47" i="5"/>
  <c r="CC46" i="5"/>
  <c r="CC45" i="5"/>
  <c r="CC44" i="5"/>
  <c r="CC43" i="5"/>
  <c r="CC42" i="5"/>
  <c r="CC41" i="5"/>
  <c r="CC40" i="5"/>
  <c r="CC39" i="5"/>
  <c r="CC38" i="5"/>
  <c r="CC37" i="5"/>
  <c r="CC35" i="5"/>
  <c r="CC34" i="5"/>
  <c r="CC33" i="5"/>
  <c r="CC32" i="5"/>
  <c r="CC31" i="5"/>
  <c r="CC30" i="5"/>
  <c r="CC29" i="5"/>
  <c r="CC28" i="5"/>
  <c r="CC27" i="5"/>
  <c r="CC26" i="5"/>
  <c r="CC25" i="5"/>
  <c r="CC23" i="5"/>
  <c r="CC22" i="5"/>
  <c r="CC21" i="5"/>
  <c r="CC20" i="5"/>
  <c r="CC19" i="5"/>
  <c r="CC18" i="5"/>
  <c r="CC17" i="5"/>
  <c r="CC16" i="5"/>
  <c r="CC15" i="5"/>
  <c r="CC14" i="5"/>
  <c r="CC13" i="5"/>
  <c r="CB502" i="5"/>
  <c r="BY502" i="5"/>
  <c r="BX502" i="5"/>
  <c r="CB501" i="5"/>
  <c r="BY501" i="5"/>
  <c r="BX501" i="5"/>
  <c r="CB500" i="5"/>
  <c r="BY500" i="5"/>
  <c r="BX500" i="5"/>
  <c r="CB498" i="5"/>
  <c r="BY498" i="5"/>
  <c r="BX498" i="5"/>
  <c r="CB497" i="5"/>
  <c r="BY497" i="5"/>
  <c r="BX497" i="5"/>
  <c r="CB495" i="5"/>
  <c r="BY495" i="5"/>
  <c r="BX495" i="5"/>
  <c r="CB494" i="5"/>
  <c r="BY494" i="5"/>
  <c r="BX494" i="5"/>
  <c r="CB493" i="5"/>
  <c r="BY493" i="5"/>
  <c r="BX493" i="5"/>
  <c r="CB492" i="5"/>
  <c r="BY492" i="5"/>
  <c r="BX492" i="5"/>
  <c r="CB491" i="5"/>
  <c r="BY491" i="5"/>
  <c r="BX491" i="5"/>
  <c r="CB490" i="5"/>
  <c r="BY490" i="5"/>
  <c r="BX490" i="5"/>
  <c r="CB489" i="5"/>
  <c r="BY489" i="5"/>
  <c r="BX489" i="5"/>
  <c r="CB488" i="5"/>
  <c r="BY488" i="5"/>
  <c r="BX488" i="5"/>
  <c r="CB487" i="5"/>
  <c r="BY487" i="5"/>
  <c r="BX487" i="5"/>
  <c r="CB485" i="5"/>
  <c r="BY485" i="5"/>
  <c r="BX485" i="5"/>
  <c r="CB484" i="5"/>
  <c r="BY484" i="5"/>
  <c r="BX484" i="5"/>
  <c r="CB483" i="5"/>
  <c r="BY483" i="5"/>
  <c r="BX483" i="5"/>
  <c r="CB482" i="5"/>
  <c r="BY482" i="5"/>
  <c r="BX482" i="5"/>
  <c r="CB481" i="5"/>
  <c r="BY481" i="5"/>
  <c r="BX481" i="5"/>
  <c r="CB480" i="5"/>
  <c r="BY480" i="5"/>
  <c r="BX480" i="5"/>
  <c r="CB479" i="5"/>
  <c r="BY479" i="5"/>
  <c r="BX479" i="5"/>
  <c r="CB478" i="5"/>
  <c r="BY478" i="5"/>
  <c r="BX478" i="5"/>
  <c r="CB477" i="5"/>
  <c r="BY477" i="5"/>
  <c r="BX477" i="5"/>
  <c r="CB475" i="5"/>
  <c r="BY475" i="5"/>
  <c r="BX475" i="5"/>
  <c r="CB474" i="5"/>
  <c r="BY474" i="5"/>
  <c r="BX474" i="5"/>
  <c r="CB473" i="5"/>
  <c r="BY473" i="5"/>
  <c r="BX473" i="5"/>
  <c r="CB472" i="5"/>
  <c r="BY472" i="5"/>
  <c r="BX472" i="5"/>
  <c r="CB471" i="5"/>
  <c r="BY471" i="5"/>
  <c r="BX471" i="5"/>
  <c r="CB470" i="5"/>
  <c r="BY470" i="5"/>
  <c r="BX470" i="5"/>
  <c r="CB469" i="5"/>
  <c r="BY469" i="5"/>
  <c r="BX469" i="5"/>
  <c r="CB468" i="5"/>
  <c r="BY468" i="5"/>
  <c r="BX468" i="5"/>
  <c r="CB467" i="5"/>
  <c r="BY467" i="5"/>
  <c r="BX467" i="5"/>
  <c r="CB465" i="5"/>
  <c r="BY465" i="5"/>
  <c r="BX465" i="5"/>
  <c r="CB464" i="5"/>
  <c r="BY464" i="5"/>
  <c r="BX464" i="5"/>
  <c r="CB463" i="5"/>
  <c r="BY463" i="5"/>
  <c r="BX463" i="5"/>
  <c r="CB462" i="5"/>
  <c r="BY462" i="5"/>
  <c r="BX462" i="5"/>
  <c r="CB461" i="5"/>
  <c r="BY461" i="5"/>
  <c r="BX461" i="5"/>
  <c r="CB460" i="5"/>
  <c r="BY460" i="5"/>
  <c r="BX460" i="5"/>
  <c r="CB459" i="5"/>
  <c r="BY459" i="5"/>
  <c r="BX459" i="5"/>
  <c r="CB458" i="5"/>
  <c r="BY458" i="5"/>
  <c r="BX458" i="5"/>
  <c r="CB457" i="5"/>
  <c r="BY457" i="5"/>
  <c r="BX457" i="5"/>
  <c r="CB455" i="5"/>
  <c r="BY455" i="5"/>
  <c r="BX455" i="5"/>
  <c r="CB454" i="5"/>
  <c r="BY454" i="5"/>
  <c r="BX454" i="5"/>
  <c r="CB453" i="5"/>
  <c r="BY453" i="5"/>
  <c r="BX453" i="5"/>
  <c r="CB452" i="5"/>
  <c r="BY452" i="5"/>
  <c r="BX452" i="5"/>
  <c r="CB451" i="5"/>
  <c r="BY451" i="5"/>
  <c r="BX451" i="5"/>
  <c r="CB450" i="5"/>
  <c r="BY450" i="5"/>
  <c r="BX450" i="5"/>
  <c r="CB449" i="5"/>
  <c r="BY449" i="5"/>
  <c r="BX449" i="5"/>
  <c r="CB448" i="5"/>
  <c r="BY448" i="5"/>
  <c r="BX448" i="5"/>
  <c r="CB447" i="5"/>
  <c r="BY447" i="5"/>
  <c r="BX447" i="5"/>
  <c r="CB445" i="5"/>
  <c r="BY445" i="5"/>
  <c r="BX445" i="5"/>
  <c r="CB444" i="5"/>
  <c r="BY444" i="5"/>
  <c r="BX444" i="5"/>
  <c r="CB443" i="5"/>
  <c r="BY443" i="5"/>
  <c r="BX443" i="5"/>
  <c r="CB442" i="5"/>
  <c r="BY442" i="5"/>
  <c r="BX442" i="5"/>
  <c r="CB441" i="5"/>
  <c r="BY441" i="5"/>
  <c r="BX441" i="5"/>
  <c r="CB440" i="5"/>
  <c r="BY440" i="5"/>
  <c r="BX440" i="5"/>
  <c r="CB439" i="5"/>
  <c r="BY439" i="5"/>
  <c r="BX439" i="5"/>
  <c r="CB438" i="5"/>
  <c r="BY438" i="5"/>
  <c r="BX438" i="5"/>
  <c r="CB437" i="5"/>
  <c r="BY437" i="5"/>
  <c r="BX437" i="5"/>
  <c r="CB435" i="5"/>
  <c r="BY435" i="5"/>
  <c r="BX435" i="5"/>
  <c r="CB434" i="5"/>
  <c r="BY434" i="5"/>
  <c r="BX434" i="5"/>
  <c r="CB433" i="5"/>
  <c r="BY433" i="5"/>
  <c r="BX433" i="5"/>
  <c r="CB432" i="5"/>
  <c r="BY432" i="5"/>
  <c r="BX432" i="5"/>
  <c r="CB431" i="5"/>
  <c r="BY431" i="5"/>
  <c r="BX431" i="5"/>
  <c r="CB430" i="5"/>
  <c r="BY430" i="5"/>
  <c r="BX430" i="5"/>
  <c r="CB429" i="5"/>
  <c r="BY429" i="5"/>
  <c r="BX429" i="5"/>
  <c r="CB428" i="5"/>
  <c r="BY428" i="5"/>
  <c r="BX428" i="5"/>
  <c r="CB427" i="5"/>
  <c r="BY427" i="5"/>
  <c r="BX427" i="5"/>
  <c r="CB425" i="5"/>
  <c r="BY425" i="5"/>
  <c r="BX425" i="5"/>
  <c r="CB424" i="5"/>
  <c r="BY424" i="5"/>
  <c r="BX424" i="5"/>
  <c r="CB423" i="5"/>
  <c r="BY423" i="5"/>
  <c r="BX423" i="5"/>
  <c r="CB422" i="5"/>
  <c r="BY422" i="5"/>
  <c r="BX422" i="5"/>
  <c r="CB421" i="5"/>
  <c r="BY421" i="5"/>
  <c r="BX421" i="5"/>
  <c r="CB420" i="5"/>
  <c r="BY420" i="5"/>
  <c r="BX420" i="5"/>
  <c r="CB419" i="5"/>
  <c r="BY419" i="5"/>
  <c r="BX419" i="5"/>
  <c r="CB418" i="5"/>
  <c r="BY418" i="5"/>
  <c r="BX418" i="5"/>
  <c r="CB417" i="5"/>
  <c r="BY417" i="5"/>
  <c r="BX417" i="5"/>
  <c r="CB415" i="5"/>
  <c r="BY415" i="5"/>
  <c r="BX415" i="5"/>
  <c r="CB414" i="5"/>
  <c r="BY414" i="5"/>
  <c r="BX414" i="5"/>
  <c r="CB413" i="5"/>
  <c r="BY413" i="5"/>
  <c r="BX413" i="5"/>
  <c r="CB412" i="5"/>
  <c r="BY412" i="5"/>
  <c r="BX412" i="5"/>
  <c r="CB411" i="5"/>
  <c r="BY411" i="5"/>
  <c r="BX411" i="5"/>
  <c r="CB410" i="5"/>
  <c r="BY410" i="5"/>
  <c r="BX410" i="5"/>
  <c r="CB409" i="5"/>
  <c r="BY409" i="5"/>
  <c r="BX409" i="5"/>
  <c r="CB408" i="5"/>
  <c r="BY408" i="5"/>
  <c r="BX408" i="5"/>
  <c r="CB407" i="5"/>
  <c r="BY407" i="5"/>
  <c r="BX407" i="5"/>
  <c r="CB405" i="5"/>
  <c r="BY405" i="5"/>
  <c r="BX405" i="5"/>
  <c r="CB404" i="5"/>
  <c r="BY404" i="5"/>
  <c r="BX404" i="5"/>
  <c r="CB403" i="5"/>
  <c r="BY403" i="5"/>
  <c r="BX403" i="5"/>
  <c r="CB402" i="5"/>
  <c r="BY402" i="5"/>
  <c r="BX402" i="5"/>
  <c r="CB401" i="5"/>
  <c r="BY401" i="5"/>
  <c r="BX401" i="5"/>
  <c r="CB400" i="5"/>
  <c r="BY400" i="5"/>
  <c r="BX400" i="5"/>
  <c r="CB399" i="5"/>
  <c r="BY399" i="5"/>
  <c r="BX399" i="5"/>
  <c r="CB398" i="5"/>
  <c r="BY398" i="5"/>
  <c r="BX398" i="5"/>
  <c r="CB397" i="5"/>
  <c r="BY397" i="5"/>
  <c r="BX397" i="5"/>
  <c r="CB395" i="5"/>
  <c r="BY395" i="5"/>
  <c r="BX395" i="5"/>
  <c r="CB394" i="5"/>
  <c r="BY394" i="5"/>
  <c r="BX394" i="5"/>
  <c r="CB393" i="5"/>
  <c r="BY393" i="5"/>
  <c r="BX393" i="5"/>
  <c r="CB392" i="5"/>
  <c r="BY392" i="5"/>
  <c r="BX392" i="5"/>
  <c r="CB391" i="5"/>
  <c r="BY391" i="5"/>
  <c r="BX391" i="5"/>
  <c r="CB390" i="5"/>
  <c r="BY390" i="5"/>
  <c r="BX390" i="5"/>
  <c r="CB389" i="5"/>
  <c r="BY389" i="5"/>
  <c r="BX389" i="5"/>
  <c r="CB388" i="5"/>
  <c r="BY388" i="5"/>
  <c r="BX388" i="5"/>
  <c r="CB387" i="5"/>
  <c r="BY387" i="5"/>
  <c r="BX387" i="5"/>
  <c r="CB385" i="5"/>
  <c r="BY385" i="5"/>
  <c r="BX385" i="5"/>
  <c r="CB384" i="5"/>
  <c r="BY384" i="5"/>
  <c r="BX384" i="5"/>
  <c r="CB383" i="5"/>
  <c r="BY383" i="5"/>
  <c r="BX383" i="5"/>
  <c r="CB382" i="5"/>
  <c r="BY382" i="5"/>
  <c r="BX382" i="5"/>
  <c r="CB381" i="5"/>
  <c r="BY381" i="5"/>
  <c r="BX381" i="5"/>
  <c r="CB380" i="5"/>
  <c r="BY380" i="5"/>
  <c r="BX380" i="5"/>
  <c r="CB379" i="5"/>
  <c r="BY379" i="5"/>
  <c r="BX379" i="5"/>
  <c r="CB378" i="5"/>
  <c r="BY378" i="5"/>
  <c r="BX378" i="5"/>
  <c r="CB377" i="5"/>
  <c r="BY377" i="5"/>
  <c r="BX377" i="5"/>
  <c r="CB375" i="5"/>
  <c r="BY375" i="5"/>
  <c r="BX375" i="5"/>
  <c r="CB374" i="5"/>
  <c r="BY374" i="5"/>
  <c r="BX374" i="5"/>
  <c r="CB373" i="5"/>
  <c r="BY373" i="5"/>
  <c r="BX373" i="5"/>
  <c r="CB372" i="5"/>
  <c r="BY372" i="5"/>
  <c r="BX372" i="5"/>
  <c r="CB371" i="5"/>
  <c r="BY371" i="5"/>
  <c r="BX371" i="5"/>
  <c r="CB370" i="5"/>
  <c r="BY370" i="5"/>
  <c r="BX370" i="5"/>
  <c r="CB369" i="5"/>
  <c r="BY369" i="5"/>
  <c r="BX369" i="5"/>
  <c r="CB368" i="5"/>
  <c r="BY368" i="5"/>
  <c r="BX368" i="5"/>
  <c r="CB367" i="5"/>
  <c r="BY367" i="5"/>
  <c r="BX367" i="5"/>
  <c r="CB365" i="5"/>
  <c r="BY365" i="5"/>
  <c r="BX365" i="5"/>
  <c r="CB364" i="5"/>
  <c r="BY364" i="5"/>
  <c r="BX364" i="5"/>
  <c r="CB363" i="5"/>
  <c r="BY363" i="5"/>
  <c r="BX363" i="5"/>
  <c r="CB362" i="5"/>
  <c r="BY362" i="5"/>
  <c r="BX362" i="5"/>
  <c r="CB361" i="5"/>
  <c r="BY361" i="5"/>
  <c r="BX361" i="5"/>
  <c r="CB360" i="5"/>
  <c r="BY360" i="5"/>
  <c r="BX360" i="5"/>
  <c r="CB359" i="5"/>
  <c r="BY359" i="5"/>
  <c r="BX359" i="5"/>
  <c r="CB358" i="5"/>
  <c r="BY358" i="5"/>
  <c r="BX358" i="5"/>
  <c r="CB357" i="5"/>
  <c r="BY357" i="5"/>
  <c r="BX357" i="5"/>
  <c r="CB355" i="5"/>
  <c r="BY355" i="5"/>
  <c r="BX355" i="5"/>
  <c r="CB354" i="5"/>
  <c r="BY354" i="5"/>
  <c r="BX354" i="5"/>
  <c r="CB353" i="5"/>
  <c r="BY353" i="5"/>
  <c r="BX353" i="5"/>
  <c r="CB352" i="5"/>
  <c r="BY352" i="5"/>
  <c r="BX352" i="5"/>
  <c r="CB351" i="5"/>
  <c r="BY351" i="5"/>
  <c r="BX351" i="5"/>
  <c r="CB350" i="5"/>
  <c r="BY350" i="5"/>
  <c r="BX350" i="5"/>
  <c r="CB349" i="5"/>
  <c r="BY349" i="5"/>
  <c r="BX349" i="5"/>
  <c r="CB348" i="5"/>
  <c r="BY348" i="5"/>
  <c r="BX348" i="5"/>
  <c r="CB347" i="5"/>
  <c r="BY347" i="5"/>
  <c r="BX347" i="5"/>
  <c r="CB345" i="5"/>
  <c r="BY345" i="5"/>
  <c r="BX345" i="5"/>
  <c r="CB344" i="5"/>
  <c r="BY344" i="5"/>
  <c r="BX344" i="5"/>
  <c r="CB343" i="5"/>
  <c r="BY343" i="5"/>
  <c r="BX343" i="5"/>
  <c r="CB342" i="5"/>
  <c r="BY342" i="5"/>
  <c r="BX342" i="5"/>
  <c r="CB341" i="5"/>
  <c r="BY341" i="5"/>
  <c r="BX341" i="5"/>
  <c r="CB340" i="5"/>
  <c r="BY340" i="5"/>
  <c r="BX340" i="5"/>
  <c r="CB339" i="5"/>
  <c r="BY339" i="5"/>
  <c r="BX339" i="5"/>
  <c r="CB338" i="5"/>
  <c r="BY338" i="5"/>
  <c r="BX338" i="5"/>
  <c r="CB337" i="5"/>
  <c r="BY337" i="5"/>
  <c r="BX337" i="5"/>
  <c r="CB335" i="5"/>
  <c r="BY335" i="5"/>
  <c r="BX335" i="5"/>
  <c r="CB334" i="5"/>
  <c r="BY334" i="5"/>
  <c r="BX334" i="5"/>
  <c r="CB333" i="5"/>
  <c r="BY333" i="5"/>
  <c r="BX333" i="5"/>
  <c r="CB332" i="5"/>
  <c r="BY332" i="5"/>
  <c r="BX332" i="5"/>
  <c r="CB331" i="5"/>
  <c r="BY331" i="5"/>
  <c r="BX331" i="5"/>
  <c r="CB330" i="5"/>
  <c r="BY330" i="5"/>
  <c r="BX330" i="5"/>
  <c r="CB329" i="5"/>
  <c r="BY329" i="5"/>
  <c r="BX329" i="5"/>
  <c r="CB328" i="5"/>
  <c r="BY328" i="5"/>
  <c r="BX328" i="5"/>
  <c r="CB327" i="5"/>
  <c r="BY327" i="5"/>
  <c r="BX327" i="5"/>
  <c r="CB325" i="5"/>
  <c r="BY325" i="5"/>
  <c r="BX325" i="5"/>
  <c r="CB324" i="5"/>
  <c r="BY324" i="5"/>
  <c r="BX324" i="5"/>
  <c r="CB323" i="5"/>
  <c r="BY323" i="5"/>
  <c r="BX323" i="5"/>
  <c r="CB322" i="5"/>
  <c r="BY322" i="5"/>
  <c r="BX322" i="5"/>
  <c r="CB321" i="5"/>
  <c r="BY321" i="5"/>
  <c r="BX321" i="5"/>
  <c r="CB320" i="5"/>
  <c r="BY320" i="5"/>
  <c r="BX320" i="5"/>
  <c r="CB319" i="5"/>
  <c r="BY319" i="5"/>
  <c r="BX319" i="5"/>
  <c r="CB318" i="5"/>
  <c r="BY318" i="5"/>
  <c r="BX318" i="5"/>
  <c r="CB317" i="5"/>
  <c r="BY317" i="5"/>
  <c r="BX317" i="5"/>
  <c r="CB315" i="5"/>
  <c r="BY315" i="5"/>
  <c r="BX315" i="5"/>
  <c r="CB314" i="5"/>
  <c r="BY314" i="5"/>
  <c r="BX314" i="5"/>
  <c r="CB313" i="5"/>
  <c r="BY313" i="5"/>
  <c r="BX313" i="5"/>
  <c r="CB312" i="5"/>
  <c r="BY312" i="5"/>
  <c r="BX312" i="5"/>
  <c r="CB311" i="5"/>
  <c r="BY311" i="5"/>
  <c r="BX311" i="5"/>
  <c r="CB310" i="5"/>
  <c r="BY310" i="5"/>
  <c r="BX310" i="5"/>
  <c r="CB309" i="5"/>
  <c r="BY309" i="5"/>
  <c r="BX309" i="5"/>
  <c r="CB308" i="5"/>
  <c r="BY308" i="5"/>
  <c r="BX308" i="5"/>
  <c r="CB307" i="5"/>
  <c r="BY307" i="5"/>
  <c r="BX307" i="5"/>
  <c r="CB305" i="5"/>
  <c r="BY305" i="5"/>
  <c r="BX305" i="5"/>
  <c r="CB304" i="5"/>
  <c r="BY304" i="5"/>
  <c r="BX304" i="5"/>
  <c r="CB303" i="5"/>
  <c r="BY303" i="5"/>
  <c r="BX303" i="5"/>
  <c r="CB302" i="5"/>
  <c r="BY302" i="5"/>
  <c r="BX302" i="5"/>
  <c r="CB301" i="5"/>
  <c r="BY301" i="5"/>
  <c r="BX301" i="5"/>
  <c r="CB300" i="5"/>
  <c r="BY300" i="5"/>
  <c r="BX300" i="5"/>
  <c r="CB299" i="5"/>
  <c r="BY299" i="5"/>
  <c r="BX299" i="5"/>
  <c r="CB298" i="5"/>
  <c r="BY298" i="5"/>
  <c r="BX298" i="5"/>
  <c r="CB297" i="5"/>
  <c r="BY297" i="5"/>
  <c r="BX297" i="5"/>
  <c r="CB295" i="5"/>
  <c r="BY295" i="5"/>
  <c r="BX295" i="5"/>
  <c r="CB294" i="5"/>
  <c r="BY294" i="5"/>
  <c r="BX294" i="5"/>
  <c r="CB293" i="5"/>
  <c r="BY293" i="5"/>
  <c r="BX293" i="5"/>
  <c r="CB292" i="5"/>
  <c r="BY292" i="5"/>
  <c r="BX292" i="5"/>
  <c r="CB291" i="5"/>
  <c r="BY291" i="5"/>
  <c r="BX291" i="5"/>
  <c r="CB290" i="5"/>
  <c r="BY290" i="5"/>
  <c r="BX290" i="5"/>
  <c r="CB289" i="5"/>
  <c r="BY289" i="5"/>
  <c r="BX289" i="5"/>
  <c r="CB288" i="5"/>
  <c r="BY288" i="5"/>
  <c r="BX288" i="5"/>
  <c r="CB287" i="5"/>
  <c r="BY287" i="5"/>
  <c r="BX287" i="5"/>
  <c r="CB285" i="5"/>
  <c r="BY285" i="5"/>
  <c r="BX285" i="5"/>
  <c r="CB284" i="5"/>
  <c r="BY284" i="5"/>
  <c r="BX284" i="5"/>
  <c r="CB283" i="5"/>
  <c r="BY283" i="5"/>
  <c r="BX283" i="5"/>
  <c r="CB282" i="5"/>
  <c r="BY282" i="5"/>
  <c r="BX282" i="5"/>
  <c r="CB281" i="5"/>
  <c r="BY281" i="5"/>
  <c r="BX281" i="5"/>
  <c r="CB280" i="5"/>
  <c r="BY280" i="5"/>
  <c r="BX280" i="5"/>
  <c r="CB279" i="5"/>
  <c r="BY279" i="5"/>
  <c r="BX279" i="5"/>
  <c r="CB278" i="5"/>
  <c r="BY278" i="5"/>
  <c r="BX278" i="5"/>
  <c r="CB277" i="5"/>
  <c r="BY277" i="5"/>
  <c r="BX277" i="5"/>
  <c r="CB275" i="5"/>
  <c r="BY275" i="5"/>
  <c r="BX275" i="5"/>
  <c r="CB274" i="5"/>
  <c r="BY274" i="5"/>
  <c r="BX274" i="5"/>
  <c r="CB273" i="5"/>
  <c r="BY273" i="5"/>
  <c r="BX273" i="5"/>
  <c r="CB272" i="5"/>
  <c r="BY272" i="5"/>
  <c r="BX272" i="5"/>
  <c r="CB271" i="5"/>
  <c r="BY271" i="5"/>
  <c r="BX271" i="5"/>
  <c r="CB270" i="5"/>
  <c r="BY270" i="5"/>
  <c r="BX270" i="5"/>
  <c r="CB269" i="5"/>
  <c r="BY269" i="5"/>
  <c r="BX269" i="5"/>
  <c r="CB268" i="5"/>
  <c r="BY268" i="5"/>
  <c r="BX268" i="5"/>
  <c r="CB267" i="5"/>
  <c r="BY267" i="5"/>
  <c r="BX267" i="5"/>
  <c r="CB266" i="5"/>
  <c r="BY266" i="5"/>
  <c r="BX266" i="5"/>
  <c r="CB265" i="5"/>
  <c r="BY265" i="5"/>
  <c r="BX265" i="5"/>
  <c r="CB263" i="5"/>
  <c r="BY263" i="5"/>
  <c r="BX263" i="5"/>
  <c r="CB262" i="5"/>
  <c r="BY262" i="5"/>
  <c r="BX262" i="5"/>
  <c r="CB261" i="5"/>
  <c r="BY261" i="5"/>
  <c r="BX261" i="5"/>
  <c r="CB260" i="5"/>
  <c r="BY260" i="5"/>
  <c r="BX260" i="5"/>
  <c r="CB259" i="5"/>
  <c r="BY259" i="5"/>
  <c r="BX259" i="5"/>
  <c r="CB258" i="5"/>
  <c r="BY258" i="5"/>
  <c r="BX258" i="5"/>
  <c r="CB257" i="5"/>
  <c r="BY257" i="5"/>
  <c r="BX257" i="5"/>
  <c r="CB256" i="5"/>
  <c r="BY256" i="5"/>
  <c r="BX256" i="5"/>
  <c r="CB255" i="5"/>
  <c r="BY255" i="5"/>
  <c r="BX255" i="5"/>
  <c r="CB254" i="5"/>
  <c r="BY254" i="5"/>
  <c r="BX254" i="5"/>
  <c r="CB253" i="5"/>
  <c r="BY253" i="5"/>
  <c r="BX253" i="5"/>
  <c r="CB251" i="5"/>
  <c r="BY251" i="5"/>
  <c r="BX251" i="5"/>
  <c r="CB250" i="5"/>
  <c r="BY250" i="5"/>
  <c r="BX250" i="5"/>
  <c r="CB249" i="5"/>
  <c r="BY249" i="5"/>
  <c r="BX249" i="5"/>
  <c r="CB248" i="5"/>
  <c r="BY248" i="5"/>
  <c r="BX248" i="5"/>
  <c r="CB247" i="5"/>
  <c r="BY247" i="5"/>
  <c r="BX247" i="5"/>
  <c r="CB246" i="5"/>
  <c r="BY246" i="5"/>
  <c r="BX246" i="5"/>
  <c r="CB245" i="5"/>
  <c r="BY245" i="5"/>
  <c r="BX245" i="5"/>
  <c r="CB244" i="5"/>
  <c r="BY244" i="5"/>
  <c r="BX244" i="5"/>
  <c r="CB243" i="5"/>
  <c r="BY243" i="5"/>
  <c r="BX243" i="5"/>
  <c r="CB242" i="5"/>
  <c r="BY242" i="5"/>
  <c r="BX242" i="5"/>
  <c r="CB241" i="5"/>
  <c r="BY241" i="5"/>
  <c r="BX241" i="5"/>
  <c r="CB239" i="5"/>
  <c r="BY239" i="5"/>
  <c r="BX239" i="5"/>
  <c r="CB238" i="5"/>
  <c r="BY238" i="5"/>
  <c r="BX238" i="5"/>
  <c r="CB237" i="5"/>
  <c r="BY237" i="5"/>
  <c r="BX237" i="5"/>
  <c r="CB236" i="5"/>
  <c r="BY236" i="5"/>
  <c r="BX236" i="5"/>
  <c r="CB235" i="5"/>
  <c r="BY235" i="5"/>
  <c r="BX235" i="5"/>
  <c r="CB234" i="5"/>
  <c r="BY234" i="5"/>
  <c r="BX234" i="5"/>
  <c r="CB233" i="5"/>
  <c r="BY233" i="5"/>
  <c r="BX233" i="5"/>
  <c r="CB232" i="5"/>
  <c r="BY232" i="5"/>
  <c r="BX232" i="5"/>
  <c r="CB231" i="5"/>
  <c r="BY231" i="5"/>
  <c r="BX231" i="5"/>
  <c r="CB230" i="5"/>
  <c r="BY230" i="5"/>
  <c r="BX230" i="5"/>
  <c r="CB229" i="5"/>
  <c r="BY229" i="5"/>
  <c r="BX229" i="5"/>
  <c r="CB227" i="5"/>
  <c r="BY227" i="5"/>
  <c r="BX227" i="5"/>
  <c r="CB226" i="5"/>
  <c r="BY226" i="5"/>
  <c r="BX226" i="5"/>
  <c r="CB225" i="5"/>
  <c r="BY225" i="5"/>
  <c r="BX225" i="5"/>
  <c r="CB224" i="5"/>
  <c r="BY224" i="5"/>
  <c r="BX224" i="5"/>
  <c r="CB223" i="5"/>
  <c r="BY223" i="5"/>
  <c r="BX223" i="5"/>
  <c r="CB222" i="5"/>
  <c r="BY222" i="5"/>
  <c r="BX222" i="5"/>
  <c r="CB221" i="5"/>
  <c r="BY221" i="5"/>
  <c r="BX221" i="5"/>
  <c r="CB220" i="5"/>
  <c r="BY220" i="5"/>
  <c r="BX220" i="5"/>
  <c r="CB219" i="5"/>
  <c r="BY219" i="5"/>
  <c r="BX219" i="5"/>
  <c r="CB218" i="5"/>
  <c r="BY218" i="5"/>
  <c r="BX218" i="5"/>
  <c r="CB217" i="5"/>
  <c r="BY217" i="5"/>
  <c r="BX217" i="5"/>
  <c r="CB215" i="5"/>
  <c r="BY215" i="5"/>
  <c r="BX215" i="5"/>
  <c r="CB214" i="5"/>
  <c r="BY214" i="5"/>
  <c r="BX214" i="5"/>
  <c r="CB213" i="5"/>
  <c r="BY213" i="5"/>
  <c r="BX213" i="5"/>
  <c r="CB212" i="5"/>
  <c r="BY212" i="5"/>
  <c r="BX212" i="5"/>
  <c r="CB211" i="5"/>
  <c r="BY211" i="5"/>
  <c r="BX211" i="5"/>
  <c r="CB210" i="5"/>
  <c r="BY210" i="5"/>
  <c r="BX210" i="5"/>
  <c r="CB209" i="5"/>
  <c r="BY209" i="5"/>
  <c r="BX209" i="5"/>
  <c r="CB208" i="5"/>
  <c r="BY208" i="5"/>
  <c r="BX208" i="5"/>
  <c r="CB207" i="5"/>
  <c r="BY207" i="5"/>
  <c r="BX207" i="5"/>
  <c r="CB206" i="5"/>
  <c r="BY206" i="5"/>
  <c r="BX206" i="5"/>
  <c r="CB205" i="5"/>
  <c r="BY205" i="5"/>
  <c r="BX205" i="5"/>
  <c r="CB203" i="5"/>
  <c r="BY203" i="5"/>
  <c r="BX203" i="5"/>
  <c r="CB202" i="5"/>
  <c r="BY202" i="5"/>
  <c r="BX202" i="5"/>
  <c r="CB201" i="5"/>
  <c r="BY201" i="5"/>
  <c r="BX201" i="5"/>
  <c r="CB200" i="5"/>
  <c r="BY200" i="5"/>
  <c r="BX200" i="5"/>
  <c r="CB199" i="5"/>
  <c r="BY199" i="5"/>
  <c r="BX199" i="5"/>
  <c r="CB198" i="5"/>
  <c r="BY198" i="5"/>
  <c r="BX198" i="5"/>
  <c r="CB197" i="5"/>
  <c r="BY197" i="5"/>
  <c r="BX197" i="5"/>
  <c r="CB196" i="5"/>
  <c r="BY196" i="5"/>
  <c r="BX196" i="5"/>
  <c r="CB195" i="5"/>
  <c r="BY195" i="5"/>
  <c r="BX195" i="5"/>
  <c r="CB194" i="5"/>
  <c r="BY194" i="5"/>
  <c r="BX194" i="5"/>
  <c r="CB193" i="5"/>
  <c r="BY193" i="5"/>
  <c r="BX193" i="5"/>
  <c r="CB191" i="5"/>
  <c r="BY191" i="5"/>
  <c r="BX191" i="5"/>
  <c r="CB190" i="5"/>
  <c r="BY190" i="5"/>
  <c r="BX190" i="5"/>
  <c r="CB189" i="5"/>
  <c r="BY189" i="5"/>
  <c r="BX189" i="5"/>
  <c r="CB188" i="5"/>
  <c r="BY188" i="5"/>
  <c r="BX188" i="5"/>
  <c r="CB187" i="5"/>
  <c r="BY187" i="5"/>
  <c r="BX187" i="5"/>
  <c r="CB186" i="5"/>
  <c r="BY186" i="5"/>
  <c r="BX186" i="5"/>
  <c r="CB185" i="5"/>
  <c r="BY185" i="5"/>
  <c r="BX185" i="5"/>
  <c r="CB184" i="5"/>
  <c r="BY184" i="5"/>
  <c r="BX184" i="5"/>
  <c r="CB183" i="5"/>
  <c r="BY183" i="5"/>
  <c r="BX183" i="5"/>
  <c r="CB182" i="5"/>
  <c r="BY182" i="5"/>
  <c r="BX182" i="5"/>
  <c r="CB181" i="5"/>
  <c r="BY181" i="5"/>
  <c r="BX181" i="5"/>
  <c r="CB179" i="5"/>
  <c r="BY179" i="5"/>
  <c r="BX179" i="5"/>
  <c r="CB178" i="5"/>
  <c r="BY178" i="5"/>
  <c r="BX178" i="5"/>
  <c r="CB177" i="5"/>
  <c r="BY177" i="5"/>
  <c r="BX177" i="5"/>
  <c r="CB176" i="5"/>
  <c r="BY176" i="5"/>
  <c r="BX176" i="5"/>
  <c r="CB175" i="5"/>
  <c r="BY175" i="5"/>
  <c r="BX175" i="5"/>
  <c r="CB174" i="5"/>
  <c r="BY174" i="5"/>
  <c r="BX174" i="5"/>
  <c r="CB173" i="5"/>
  <c r="BY173" i="5"/>
  <c r="BX173" i="5"/>
  <c r="CB172" i="5"/>
  <c r="BY172" i="5"/>
  <c r="BX172" i="5"/>
  <c r="CB171" i="5"/>
  <c r="BY171" i="5"/>
  <c r="BX171" i="5"/>
  <c r="CB170" i="5"/>
  <c r="BY170" i="5"/>
  <c r="BX170" i="5"/>
  <c r="CB169" i="5"/>
  <c r="BY169" i="5"/>
  <c r="BX169" i="5"/>
  <c r="CB167" i="5"/>
  <c r="BY167" i="5"/>
  <c r="BX167" i="5"/>
  <c r="CB166" i="5"/>
  <c r="BY166" i="5"/>
  <c r="BX166" i="5"/>
  <c r="CB165" i="5"/>
  <c r="BY165" i="5"/>
  <c r="BX165" i="5"/>
  <c r="CB164" i="5"/>
  <c r="BY164" i="5"/>
  <c r="BX164" i="5"/>
  <c r="CB163" i="5"/>
  <c r="BY163" i="5"/>
  <c r="BX163" i="5"/>
  <c r="CB162" i="5"/>
  <c r="BY162" i="5"/>
  <c r="BX162" i="5"/>
  <c r="CB161" i="5"/>
  <c r="BY161" i="5"/>
  <c r="BX161" i="5"/>
  <c r="CB160" i="5"/>
  <c r="BY160" i="5"/>
  <c r="BX160" i="5"/>
  <c r="CB159" i="5"/>
  <c r="BY159" i="5"/>
  <c r="BX159" i="5"/>
  <c r="CB158" i="5"/>
  <c r="BY158" i="5"/>
  <c r="BX158" i="5"/>
  <c r="CB157" i="5"/>
  <c r="BY157" i="5"/>
  <c r="BX157" i="5"/>
  <c r="CB155" i="5"/>
  <c r="BY155" i="5"/>
  <c r="BX155" i="5"/>
  <c r="CB154" i="5"/>
  <c r="BY154" i="5"/>
  <c r="BX154" i="5"/>
  <c r="CB153" i="5"/>
  <c r="BY153" i="5"/>
  <c r="BX153" i="5"/>
  <c r="CB152" i="5"/>
  <c r="BY152" i="5"/>
  <c r="BX152" i="5"/>
  <c r="CB151" i="5"/>
  <c r="BY151" i="5"/>
  <c r="BX151" i="5"/>
  <c r="CB150" i="5"/>
  <c r="BY150" i="5"/>
  <c r="BX150" i="5"/>
  <c r="CB149" i="5"/>
  <c r="BY149" i="5"/>
  <c r="BX149" i="5"/>
  <c r="CB148" i="5"/>
  <c r="BY148" i="5"/>
  <c r="BX148" i="5"/>
  <c r="CB147" i="5"/>
  <c r="BY147" i="5"/>
  <c r="BX147" i="5"/>
  <c r="CB146" i="5"/>
  <c r="BY146" i="5"/>
  <c r="BX146" i="5"/>
  <c r="CB145" i="5"/>
  <c r="BY145" i="5"/>
  <c r="BX145" i="5"/>
  <c r="CB143" i="5"/>
  <c r="BX143" i="5"/>
  <c r="CB142" i="5"/>
  <c r="BX142" i="5"/>
  <c r="CB141" i="5"/>
  <c r="BX141" i="5"/>
  <c r="CB140" i="5"/>
  <c r="BX140" i="5"/>
  <c r="CB139" i="5"/>
  <c r="BX139" i="5"/>
  <c r="CB138" i="5"/>
  <c r="BX138" i="5"/>
  <c r="CB137" i="5"/>
  <c r="BX137" i="5"/>
  <c r="CB136" i="5"/>
  <c r="BX136" i="5"/>
  <c r="CB135" i="5"/>
  <c r="BX135" i="5"/>
  <c r="CB134" i="5"/>
  <c r="BX134" i="5"/>
  <c r="CB133" i="5"/>
  <c r="BX133" i="5"/>
  <c r="CB131" i="5"/>
  <c r="BX131" i="5"/>
  <c r="CB130" i="5"/>
  <c r="BX130" i="5"/>
  <c r="CB129" i="5"/>
  <c r="BX129" i="5"/>
  <c r="CB128" i="5"/>
  <c r="BX128" i="5"/>
  <c r="CB127" i="5"/>
  <c r="BX127" i="5"/>
  <c r="CB126" i="5"/>
  <c r="BX126" i="5"/>
  <c r="CB125" i="5"/>
  <c r="BX125" i="5"/>
  <c r="CB124" i="5"/>
  <c r="BX124" i="5"/>
  <c r="CB123" i="5"/>
  <c r="BX123" i="5"/>
  <c r="CB122" i="5"/>
  <c r="BX122" i="5"/>
  <c r="CB121" i="5"/>
  <c r="BX121" i="5"/>
  <c r="CB119" i="5"/>
  <c r="BX119" i="5"/>
  <c r="CB118" i="5"/>
  <c r="BX118" i="5"/>
  <c r="CB117" i="5"/>
  <c r="BX117" i="5"/>
  <c r="CB116" i="5"/>
  <c r="BX116" i="5"/>
  <c r="CB115" i="5"/>
  <c r="BX115" i="5"/>
  <c r="CB114" i="5"/>
  <c r="BX114" i="5"/>
  <c r="CB113" i="5"/>
  <c r="BX113" i="5"/>
  <c r="CB112" i="5"/>
  <c r="BX112" i="5"/>
  <c r="CB111" i="5"/>
  <c r="BX111" i="5"/>
  <c r="CB110" i="5"/>
  <c r="BX110" i="5"/>
  <c r="CB109" i="5"/>
  <c r="BX109" i="5"/>
  <c r="CB107" i="5"/>
  <c r="BX107" i="5"/>
  <c r="CB106" i="5"/>
  <c r="BX106" i="5"/>
  <c r="CB105" i="5"/>
  <c r="BX105" i="5"/>
  <c r="CB104" i="5"/>
  <c r="BX104" i="5"/>
  <c r="CB103" i="5"/>
  <c r="BX103" i="5"/>
  <c r="CB102" i="5"/>
  <c r="BX102" i="5"/>
  <c r="CB101" i="5"/>
  <c r="BX101" i="5"/>
  <c r="CB100" i="5"/>
  <c r="BX100" i="5"/>
  <c r="CB99" i="5"/>
  <c r="BX99" i="5"/>
  <c r="CB98" i="5"/>
  <c r="BX98" i="5"/>
  <c r="CB97" i="5"/>
  <c r="BX97" i="5"/>
  <c r="CB95" i="5"/>
  <c r="BX95" i="5"/>
  <c r="CB94" i="5"/>
  <c r="BX94" i="5"/>
  <c r="CB93" i="5"/>
  <c r="BX93" i="5"/>
  <c r="CB92" i="5"/>
  <c r="BX92" i="5"/>
  <c r="CB91" i="5"/>
  <c r="BX91" i="5"/>
  <c r="CB90" i="5"/>
  <c r="BX90" i="5"/>
  <c r="CB89" i="5"/>
  <c r="BX89" i="5"/>
  <c r="CB88" i="5"/>
  <c r="BX88" i="5"/>
  <c r="CB87" i="5"/>
  <c r="BX87" i="5"/>
  <c r="CB86" i="5"/>
  <c r="BX86" i="5"/>
  <c r="CB85" i="5"/>
  <c r="BX85" i="5"/>
  <c r="CB83" i="5"/>
  <c r="BX83" i="5"/>
  <c r="CB82" i="5"/>
  <c r="BX82" i="5"/>
  <c r="CB81" i="5"/>
  <c r="BX81" i="5"/>
  <c r="CB80" i="5"/>
  <c r="BX80" i="5"/>
  <c r="CB79" i="5"/>
  <c r="BX79" i="5"/>
  <c r="CB78" i="5"/>
  <c r="BX78" i="5"/>
  <c r="CB77" i="5"/>
  <c r="BX77" i="5"/>
  <c r="CB76" i="5"/>
  <c r="BX76" i="5"/>
  <c r="CB75" i="5"/>
  <c r="BX75" i="5"/>
  <c r="CB74" i="5"/>
  <c r="BX74" i="5"/>
  <c r="CB73" i="5"/>
  <c r="BX73" i="5"/>
  <c r="CB71" i="5"/>
  <c r="BX71" i="5"/>
  <c r="CB70" i="5"/>
  <c r="BX70" i="5"/>
  <c r="CB69" i="5"/>
  <c r="BX69" i="5"/>
  <c r="CB68" i="5"/>
  <c r="BX68" i="5"/>
  <c r="CB67" i="5"/>
  <c r="BX67" i="5"/>
  <c r="CB66" i="5"/>
  <c r="BX66" i="5"/>
  <c r="CB65" i="5"/>
  <c r="BX65" i="5"/>
  <c r="CB64" i="5"/>
  <c r="BX64" i="5"/>
  <c r="CB63" i="5"/>
  <c r="BX63" i="5"/>
  <c r="CB62" i="5"/>
  <c r="BX62" i="5"/>
  <c r="CB61" i="5"/>
  <c r="BX61" i="5"/>
  <c r="CB59" i="5"/>
  <c r="BX59" i="5"/>
  <c r="CB58" i="5"/>
  <c r="BX58" i="5"/>
  <c r="CB57" i="5"/>
  <c r="BX57" i="5"/>
  <c r="CB56" i="5"/>
  <c r="BX56" i="5"/>
  <c r="CB55" i="5"/>
  <c r="BX55" i="5"/>
  <c r="CB54" i="5"/>
  <c r="BX54" i="5"/>
  <c r="CB53" i="5"/>
  <c r="BX53" i="5"/>
  <c r="CB52" i="5"/>
  <c r="BX52" i="5"/>
  <c r="CB51" i="5"/>
  <c r="BX51" i="5"/>
  <c r="CB50" i="5"/>
  <c r="BX50" i="5"/>
  <c r="CB49" i="5"/>
  <c r="BX49" i="5"/>
  <c r="CB47" i="5"/>
  <c r="BX47" i="5"/>
  <c r="CB46" i="5"/>
  <c r="BX46" i="5"/>
  <c r="CB45" i="5"/>
  <c r="BX45" i="5"/>
  <c r="CB44" i="5"/>
  <c r="BX44" i="5"/>
  <c r="CB43" i="5"/>
  <c r="BX43" i="5"/>
  <c r="CB42" i="5"/>
  <c r="BX42" i="5"/>
  <c r="CB41" i="5"/>
  <c r="BX41" i="5"/>
  <c r="CB40" i="5"/>
  <c r="BX40" i="5"/>
  <c r="CB39" i="5"/>
  <c r="BX39" i="5"/>
  <c r="CB38" i="5"/>
  <c r="BX38" i="5"/>
  <c r="CB37" i="5"/>
  <c r="BX37" i="5"/>
  <c r="CB35" i="5"/>
  <c r="BX35" i="5"/>
  <c r="CB34" i="5"/>
  <c r="BX34" i="5"/>
  <c r="CB33" i="5"/>
  <c r="BX33" i="5"/>
  <c r="CB32" i="5"/>
  <c r="BX32" i="5"/>
  <c r="CB31" i="5"/>
  <c r="BX31" i="5"/>
  <c r="CB30" i="5"/>
  <c r="BX30" i="5"/>
  <c r="CB29" i="5"/>
  <c r="BX29" i="5"/>
  <c r="CB28" i="5"/>
  <c r="BX28" i="5"/>
  <c r="CB27" i="5"/>
  <c r="BX27" i="5"/>
  <c r="CB26" i="5"/>
  <c r="BX26" i="5"/>
  <c r="CB25" i="5"/>
  <c r="BX25" i="5"/>
  <c r="CB23" i="5"/>
  <c r="BX23" i="5"/>
  <c r="CB22" i="5"/>
  <c r="BX22" i="5"/>
  <c r="CB21" i="5"/>
  <c r="BX21" i="5"/>
  <c r="CB20" i="5"/>
  <c r="BX20" i="5"/>
  <c r="CB19" i="5"/>
  <c r="BX19" i="5"/>
  <c r="CB18" i="5"/>
  <c r="BX18" i="5"/>
  <c r="CB17" i="5"/>
  <c r="BX17" i="5"/>
  <c r="CB16" i="5"/>
  <c r="BX16" i="5"/>
  <c r="CB15" i="5"/>
  <c r="BX15" i="5"/>
  <c r="CB14" i="5"/>
  <c r="BX14" i="5"/>
  <c r="BP13" i="5"/>
  <c r="CD145" i="5" l="1"/>
  <c r="CD149" i="5"/>
  <c r="CD153" i="5"/>
  <c r="CD158" i="5"/>
  <c r="CD162" i="5"/>
  <c r="CD166" i="5"/>
  <c r="CD171" i="5"/>
  <c r="CD175" i="5"/>
  <c r="CD179" i="5"/>
  <c r="CD184" i="5"/>
  <c r="CD188" i="5"/>
  <c r="CD193" i="5"/>
  <c r="CD197" i="5"/>
  <c r="CD201" i="5"/>
  <c r="CD206" i="5"/>
  <c r="CD210" i="5"/>
  <c r="CD214" i="5"/>
  <c r="CD219" i="5"/>
  <c r="CD223" i="5"/>
  <c r="CD227" i="5"/>
  <c r="CD232" i="5"/>
  <c r="CD236" i="5"/>
  <c r="CD241" i="5"/>
  <c r="CD245" i="5"/>
  <c r="CD249" i="5"/>
  <c r="CD254" i="5"/>
  <c r="CD258" i="5"/>
  <c r="CD262" i="5"/>
  <c r="CD267" i="5"/>
  <c r="CD271" i="5"/>
  <c r="CD275" i="5"/>
  <c r="CD280" i="5"/>
  <c r="CD284" i="5"/>
  <c r="CD289" i="5"/>
  <c r="CD293" i="5"/>
  <c r="CD298" i="5"/>
  <c r="CD302" i="5"/>
  <c r="CD307" i="5"/>
  <c r="CD311" i="5"/>
  <c r="CD315" i="5"/>
  <c r="CD320" i="5"/>
  <c r="CD324" i="5"/>
  <c r="CD329" i="5"/>
  <c r="CD333" i="5"/>
  <c r="CD338" i="5"/>
  <c r="CD342" i="5"/>
  <c r="CD347" i="5"/>
  <c r="CD351" i="5"/>
  <c r="CD355" i="5"/>
  <c r="CD360" i="5"/>
  <c r="CD364" i="5"/>
  <c r="CD369" i="5"/>
  <c r="CD373" i="5"/>
  <c r="CD378" i="5"/>
  <c r="CD382" i="5"/>
  <c r="CD387" i="5"/>
  <c r="CD391" i="5"/>
  <c r="CD395" i="5"/>
  <c r="CD400" i="5"/>
  <c r="CD404" i="5"/>
  <c r="CD409" i="5"/>
  <c r="CD413" i="5"/>
  <c r="CD418" i="5"/>
  <c r="CD422" i="5"/>
  <c r="CD427" i="5"/>
  <c r="CD431" i="5"/>
  <c r="CD435" i="5"/>
  <c r="CD440" i="5"/>
  <c r="CD444" i="5"/>
  <c r="CD449" i="5"/>
  <c r="CD453" i="5"/>
  <c r="CD458" i="5"/>
  <c r="CD462" i="5"/>
  <c r="CD467" i="5"/>
  <c r="CD471" i="5"/>
  <c r="CD475" i="5"/>
  <c r="CD480" i="5"/>
  <c r="CD484" i="5"/>
  <c r="CD489" i="5"/>
  <c r="CD493" i="5"/>
  <c r="CD498" i="5"/>
  <c r="CD502" i="5"/>
  <c r="CD148" i="5"/>
  <c r="CD152" i="5"/>
  <c r="CD157" i="5"/>
  <c r="CD161" i="5"/>
  <c r="CD165" i="5"/>
  <c r="CD170" i="5"/>
  <c r="CD174" i="5"/>
  <c r="CD178" i="5"/>
  <c r="CD183" i="5"/>
  <c r="CD187" i="5"/>
  <c r="CD191" i="5"/>
  <c r="CD196" i="5"/>
  <c r="CD200" i="5"/>
  <c r="CD205" i="5"/>
  <c r="CD209" i="5"/>
  <c r="CD213" i="5"/>
  <c r="CD218" i="5"/>
  <c r="CD222" i="5"/>
  <c r="CD226" i="5"/>
  <c r="CD231" i="5"/>
  <c r="CD235" i="5"/>
  <c r="CD239" i="5"/>
  <c r="CD244" i="5"/>
  <c r="CD248" i="5"/>
  <c r="CD253" i="5"/>
  <c r="CD257" i="5"/>
  <c r="CD261" i="5"/>
  <c r="CD266" i="5"/>
  <c r="CD270" i="5"/>
  <c r="CD274" i="5"/>
  <c r="CD279" i="5"/>
  <c r="CD283" i="5"/>
  <c r="CD288" i="5"/>
  <c r="CD292" i="5"/>
  <c r="CD297" i="5"/>
  <c r="CD301" i="5"/>
  <c r="CD305" i="5"/>
  <c r="CD310" i="5"/>
  <c r="CD314" i="5"/>
  <c r="CD319" i="5"/>
  <c r="CD323" i="5"/>
  <c r="CD328" i="5"/>
  <c r="CD332" i="5"/>
  <c r="CD337" i="5"/>
  <c r="CD341" i="5"/>
  <c r="CD345" i="5"/>
  <c r="CD350" i="5"/>
  <c r="CD354" i="5"/>
  <c r="CD359" i="5"/>
  <c r="CD363" i="5"/>
  <c r="CD368" i="5"/>
  <c r="CD372" i="5"/>
  <c r="CD377" i="5"/>
  <c r="CD381" i="5"/>
  <c r="CD385" i="5"/>
  <c r="CD390" i="5"/>
  <c r="CD394" i="5"/>
  <c r="CD399" i="5"/>
  <c r="CD403" i="5"/>
  <c r="CD408" i="5"/>
  <c r="CD412" i="5"/>
  <c r="CD417" i="5"/>
  <c r="CD421" i="5"/>
  <c r="CD425" i="5"/>
  <c r="CD430" i="5"/>
  <c r="CD434" i="5"/>
  <c r="CD439" i="5"/>
  <c r="CD443" i="5"/>
  <c r="CD448" i="5"/>
  <c r="CD452" i="5"/>
  <c r="CD457" i="5"/>
  <c r="CD461" i="5"/>
  <c r="CD465" i="5"/>
  <c r="CD470" i="5"/>
  <c r="CD474" i="5"/>
  <c r="CD479" i="5"/>
  <c r="CD483" i="5"/>
  <c r="CD488" i="5"/>
  <c r="CD492" i="5"/>
  <c r="CD497" i="5"/>
  <c r="CD147" i="5"/>
  <c r="CD151" i="5"/>
  <c r="CD155" i="5"/>
  <c r="CD160" i="5"/>
  <c r="CD164" i="5"/>
  <c r="CD169" i="5"/>
  <c r="CD173" i="5"/>
  <c r="CD177" i="5"/>
  <c r="CD182" i="5"/>
  <c r="CD186" i="5"/>
  <c r="CD190" i="5"/>
  <c r="CD195" i="5"/>
  <c r="CD199" i="5"/>
  <c r="CD203" i="5"/>
  <c r="CD208" i="5"/>
  <c r="CD212" i="5"/>
  <c r="CD217" i="5"/>
  <c r="CD221" i="5"/>
  <c r="CD225" i="5"/>
  <c r="CD230" i="5"/>
  <c r="CD234" i="5"/>
  <c r="CD238" i="5"/>
  <c r="CD243" i="5"/>
  <c r="CD247" i="5"/>
  <c r="CD251" i="5"/>
  <c r="CD256" i="5"/>
  <c r="CD260" i="5"/>
  <c r="CD265" i="5"/>
  <c r="CD269" i="5"/>
  <c r="CD273" i="5"/>
  <c r="CD278" i="5"/>
  <c r="CD282" i="5"/>
  <c r="CD287" i="5"/>
  <c r="CD291" i="5"/>
  <c r="CD295" i="5"/>
  <c r="CD300" i="5"/>
  <c r="CD304" i="5"/>
  <c r="CD309" i="5"/>
  <c r="CD313" i="5"/>
  <c r="CD318" i="5"/>
  <c r="CD322" i="5"/>
  <c r="CD327" i="5"/>
  <c r="CD331" i="5"/>
  <c r="CD335" i="5"/>
  <c r="CD340" i="5"/>
  <c r="CD344" i="5"/>
  <c r="CD349" i="5"/>
  <c r="CD353" i="5"/>
  <c r="CD358" i="5"/>
  <c r="CD362" i="5"/>
  <c r="CD367" i="5"/>
  <c r="CD371" i="5"/>
  <c r="CD375" i="5"/>
  <c r="CD380" i="5"/>
  <c r="CD384" i="5"/>
  <c r="CD389" i="5"/>
  <c r="CD393" i="5"/>
  <c r="CD398" i="5"/>
  <c r="CD402" i="5"/>
  <c r="CD407" i="5"/>
  <c r="CD411" i="5"/>
  <c r="CD415" i="5"/>
  <c r="CD420" i="5"/>
  <c r="CD424" i="5"/>
  <c r="CD429" i="5"/>
  <c r="CD433" i="5"/>
  <c r="CD438" i="5"/>
  <c r="CD442" i="5"/>
  <c r="CD447" i="5"/>
  <c r="CD451" i="5"/>
  <c r="CD455" i="5"/>
  <c r="CD460" i="5"/>
  <c r="CD464" i="5"/>
  <c r="CD469" i="5"/>
  <c r="CD473" i="5"/>
  <c r="CD478" i="5"/>
  <c r="CD482" i="5"/>
  <c r="CD487" i="5"/>
  <c r="CD491" i="5"/>
  <c r="CD495" i="5"/>
  <c r="CD501" i="5"/>
  <c r="CD146" i="5"/>
  <c r="CD150" i="5"/>
  <c r="CD154" i="5"/>
  <c r="CD159" i="5"/>
  <c r="CD163" i="5"/>
  <c r="CD167" i="5"/>
  <c r="CD172" i="5"/>
  <c r="CD176" i="5"/>
  <c r="CD181" i="5"/>
  <c r="CD185" i="5"/>
  <c r="CD189" i="5"/>
  <c r="CD194" i="5"/>
  <c r="CD198" i="5"/>
  <c r="CD202" i="5"/>
  <c r="CD207" i="5"/>
  <c r="CD211" i="5"/>
  <c r="CD215" i="5"/>
  <c r="CD220" i="5"/>
  <c r="CD224" i="5"/>
  <c r="CD229" i="5"/>
  <c r="CD233" i="5"/>
  <c r="CD237" i="5"/>
  <c r="CD242" i="5"/>
  <c r="CD246" i="5"/>
  <c r="CD250" i="5"/>
  <c r="CD255" i="5"/>
  <c r="CD259" i="5"/>
  <c r="CD263" i="5"/>
  <c r="CD268" i="5"/>
  <c r="CD272" i="5"/>
  <c r="CD277" i="5"/>
  <c r="CD281" i="5"/>
  <c r="CD285" i="5"/>
  <c r="CD290" i="5"/>
  <c r="CD294" i="5"/>
  <c r="CD299" i="5"/>
  <c r="CD303" i="5"/>
  <c r="CD308" i="5"/>
  <c r="CD312" i="5"/>
  <c r="CD317" i="5"/>
  <c r="CD321" i="5"/>
  <c r="CD325" i="5"/>
  <c r="CD330" i="5"/>
  <c r="CD334" i="5"/>
  <c r="CD339" i="5"/>
  <c r="CD343" i="5"/>
  <c r="CD348" i="5"/>
  <c r="CD352" i="5"/>
  <c r="CD357" i="5"/>
  <c r="CD361" i="5"/>
  <c r="CD365" i="5"/>
  <c r="CD370" i="5"/>
  <c r="CD374" i="5"/>
  <c r="CD379" i="5"/>
  <c r="CD383" i="5"/>
  <c r="CD388" i="5"/>
  <c r="CD392" i="5"/>
  <c r="CD397" i="5"/>
  <c r="CD401" i="5"/>
  <c r="CD405" i="5"/>
  <c r="CD410" i="5"/>
  <c r="CD414" i="5"/>
  <c r="CD419" i="5"/>
  <c r="CD423" i="5"/>
  <c r="CD428" i="5"/>
  <c r="CD432" i="5"/>
  <c r="CD437" i="5"/>
  <c r="CD441" i="5"/>
  <c r="CD445" i="5"/>
  <c r="CD450" i="5"/>
  <c r="CD454" i="5"/>
  <c r="CD459" i="5"/>
  <c r="CD463" i="5"/>
  <c r="CD468" i="5"/>
  <c r="CD472" i="5"/>
  <c r="CD477" i="5"/>
  <c r="CD481" i="5"/>
  <c r="CD485" i="5"/>
  <c r="CD490" i="5"/>
  <c r="CD494" i="5"/>
  <c r="CD500" i="5"/>
  <c r="AK13" i="2"/>
  <c r="CB13" i="5"/>
  <c r="BX13" i="5"/>
  <c r="D71" i="8"/>
  <c r="I36" i="10"/>
  <c r="H36" i="10"/>
  <c r="H35" i="10"/>
  <c r="I35" i="10" s="1"/>
  <c r="A2" i="26"/>
  <c r="A3" i="26" s="1"/>
  <c r="A4" i="26" s="1"/>
  <c r="A5" i="26" s="1"/>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262" i="26" s="1"/>
  <c r="A263" i="26" s="1"/>
  <c r="A264" i="26" s="1"/>
  <c r="A265" i="26" s="1"/>
  <c r="A266" i="26" s="1"/>
  <c r="A267" i="26" s="1"/>
  <c r="A268" i="26" s="1"/>
  <c r="A269" i="26" s="1"/>
  <c r="A270" i="26" s="1"/>
  <c r="A271" i="26" s="1"/>
  <c r="A272" i="26" s="1"/>
  <c r="A273" i="26" s="1"/>
  <c r="A274" i="26" s="1"/>
  <c r="A275" i="26" s="1"/>
  <c r="A276" i="26" s="1"/>
  <c r="A277" i="26" s="1"/>
  <c r="A278" i="26" s="1"/>
  <c r="A279" i="26" s="1"/>
  <c r="A280" i="26" s="1"/>
  <c r="A281" i="26" s="1"/>
  <c r="A282" i="26" s="1"/>
  <c r="A283" i="26" s="1"/>
  <c r="A284" i="26" s="1"/>
  <c r="A285" i="26" s="1"/>
  <c r="A286" i="26" s="1"/>
  <c r="A287" i="26" s="1"/>
  <c r="A288" i="26" s="1"/>
  <c r="A289" i="26" s="1"/>
  <c r="A290" i="26" s="1"/>
  <c r="A291" i="26" s="1"/>
  <c r="A292" i="26" s="1"/>
  <c r="A293" i="26" s="1"/>
  <c r="A294" i="26" s="1"/>
  <c r="A295" i="26" s="1"/>
  <c r="A296" i="26" s="1"/>
  <c r="A297" i="26" s="1"/>
  <c r="A298" i="26" s="1"/>
  <c r="A299" i="26" s="1"/>
  <c r="A300" i="26" s="1"/>
  <c r="A301" i="26" s="1"/>
  <c r="A302" i="26" s="1"/>
  <c r="A303" i="26" s="1"/>
  <c r="A304" i="26" s="1"/>
  <c r="A305" i="26" s="1"/>
  <c r="A306" i="26" s="1"/>
  <c r="A307" i="26" s="1"/>
  <c r="A308" i="26" s="1"/>
  <c r="A309" i="26" s="1"/>
  <c r="A310" i="26" s="1"/>
  <c r="A311" i="26" s="1"/>
  <c r="A312" i="26" s="1"/>
  <c r="A313" i="26" s="1"/>
  <c r="A314" i="26" s="1"/>
  <c r="A315" i="26" s="1"/>
  <c r="A316" i="26" s="1"/>
  <c r="A317" i="26" s="1"/>
  <c r="A318" i="26" s="1"/>
  <c r="A319" i="26" s="1"/>
  <c r="A320" i="26" s="1"/>
  <c r="A321" i="26" s="1"/>
  <c r="A322" i="26" s="1"/>
  <c r="A323" i="26" s="1"/>
  <c r="A324" i="26" s="1"/>
  <c r="A325" i="26" s="1"/>
  <c r="A326" i="26" s="1"/>
  <c r="A327" i="26" s="1"/>
  <c r="A328" i="26" s="1"/>
  <c r="A329" i="26" s="1"/>
  <c r="A330" i="26" s="1"/>
  <c r="A331" i="26" s="1"/>
  <c r="A332" i="26" s="1"/>
  <c r="A333" i="26" s="1"/>
  <c r="A334" i="26" s="1"/>
  <c r="A335" i="26" s="1"/>
  <c r="A336" i="26" s="1"/>
  <c r="A337" i="26" s="1"/>
  <c r="A338" i="26" s="1"/>
  <c r="A339" i="26" s="1"/>
  <c r="A340" i="26" s="1"/>
  <c r="A341" i="26" s="1"/>
  <c r="A342" i="26" s="1"/>
  <c r="A343" i="26" s="1"/>
  <c r="A344" i="26" s="1"/>
  <c r="A345" i="26" s="1"/>
  <c r="A346" i="26" s="1"/>
  <c r="A347" i="26" s="1"/>
  <c r="A348" i="26" s="1"/>
  <c r="A349" i="26" s="1"/>
  <c r="A350" i="26" s="1"/>
  <c r="A351" i="26" s="1"/>
  <c r="A352" i="26" s="1"/>
  <c r="A353" i="26" s="1"/>
  <c r="A354" i="26" s="1"/>
  <c r="A355" i="26" s="1"/>
  <c r="A356" i="26" s="1"/>
  <c r="A357" i="26" s="1"/>
  <c r="A358" i="26" s="1"/>
  <c r="A359" i="26" s="1"/>
  <c r="A360" i="26" s="1"/>
  <c r="A361" i="26" s="1"/>
  <c r="A362" i="26" s="1"/>
  <c r="A363" i="26" s="1"/>
  <c r="A364" i="26" s="1"/>
  <c r="A365" i="26" s="1"/>
  <c r="A366" i="26" s="1"/>
  <c r="A367" i="26" s="1"/>
  <c r="A368" i="26" s="1"/>
  <c r="A369" i="26" s="1"/>
  <c r="A370" i="26" s="1"/>
  <c r="A371" i="26" s="1"/>
  <c r="A372" i="26" s="1"/>
  <c r="A373" i="26" s="1"/>
  <c r="A374" i="26" s="1"/>
  <c r="A375" i="26" s="1"/>
  <c r="A376" i="26" s="1"/>
  <c r="A377" i="26" s="1"/>
  <c r="A378" i="26" s="1"/>
  <c r="A379" i="26" s="1"/>
  <c r="A380" i="26" s="1"/>
  <c r="A381" i="26" s="1"/>
  <c r="A382" i="26" s="1"/>
  <c r="A383" i="26" s="1"/>
  <c r="A384" i="26" s="1"/>
  <c r="A385" i="26" s="1"/>
  <c r="A386" i="26" s="1"/>
  <c r="A387" i="26" s="1"/>
  <c r="A388" i="26" s="1"/>
  <c r="A389" i="26" s="1"/>
  <c r="A390" i="26" s="1"/>
  <c r="A391" i="26" s="1"/>
  <c r="A392" i="26" s="1"/>
  <c r="A393" i="26" s="1"/>
  <c r="A394" i="26" s="1"/>
  <c r="A395" i="26" s="1"/>
  <c r="A396" i="26" s="1"/>
  <c r="A397" i="26" s="1"/>
  <c r="A398" i="26" s="1"/>
  <c r="A399" i="26" s="1"/>
  <c r="A400" i="26" s="1"/>
  <c r="A401" i="26" s="1"/>
  <c r="A402" i="26" s="1"/>
  <c r="A403" i="26" s="1"/>
  <c r="A404" i="26" s="1"/>
  <c r="A405" i="26" s="1"/>
  <c r="A406" i="26" s="1"/>
  <c r="A407" i="26" s="1"/>
  <c r="A408" i="26" s="1"/>
  <c r="A409" i="26" s="1"/>
  <c r="A410" i="26" s="1"/>
  <c r="A411" i="26" s="1"/>
  <c r="A412" i="26" s="1"/>
  <c r="A413" i="26" s="1"/>
  <c r="A414" i="26" s="1"/>
  <c r="A415" i="26" s="1"/>
  <c r="A416" i="26" s="1"/>
  <c r="A417" i="26" s="1"/>
  <c r="A418" i="26" s="1"/>
  <c r="A419" i="26" s="1"/>
  <c r="A420" i="26" s="1"/>
  <c r="A421" i="26" s="1"/>
  <c r="A422" i="26" s="1"/>
  <c r="A423" i="26" s="1"/>
  <c r="A424" i="26" s="1"/>
  <c r="A425" i="26" s="1"/>
  <c r="A426" i="26" s="1"/>
  <c r="A427" i="26" s="1"/>
  <c r="A428" i="26" s="1"/>
  <c r="A429" i="26" s="1"/>
  <c r="A430" i="26" s="1"/>
  <c r="A431" i="26" s="1"/>
  <c r="A432" i="26" s="1"/>
  <c r="A433" i="26" s="1"/>
  <c r="A434" i="26" s="1"/>
  <c r="A435" i="26" s="1"/>
  <c r="A436" i="26" s="1"/>
  <c r="A437" i="26" s="1"/>
  <c r="A438" i="26" s="1"/>
  <c r="A439" i="26" s="1"/>
  <c r="A440" i="26" s="1"/>
  <c r="A441" i="26" s="1"/>
  <c r="A442" i="26" s="1"/>
  <c r="A443" i="26" s="1"/>
  <c r="A444" i="26" s="1"/>
  <c r="A445" i="26" s="1"/>
  <c r="A446" i="26" s="1"/>
  <c r="A447" i="26" s="1"/>
  <c r="A448" i="26" s="1"/>
  <c r="A449" i="26" s="1"/>
  <c r="A450" i="26" s="1"/>
  <c r="A451" i="26" s="1"/>
  <c r="A452" i="26" s="1"/>
  <c r="A453" i="26" s="1"/>
  <c r="A454" i="26" s="1"/>
  <c r="A455" i="26" s="1"/>
  <c r="A456" i="26" s="1"/>
  <c r="A457" i="26" s="1"/>
  <c r="A458" i="26" s="1"/>
  <c r="A459" i="26" s="1"/>
  <c r="A460" i="26" s="1"/>
  <c r="A461" i="26" s="1"/>
  <c r="A462" i="26" s="1"/>
  <c r="A463" i="26" s="1"/>
  <c r="A464" i="26" s="1"/>
  <c r="A465" i="26" s="1"/>
  <c r="A466" i="26" s="1"/>
  <c r="A467" i="26" s="1"/>
  <c r="A468" i="26" s="1"/>
  <c r="A469" i="26" s="1"/>
  <c r="A470" i="26" s="1"/>
  <c r="A471" i="26" s="1"/>
  <c r="A472" i="26" s="1"/>
  <c r="A473" i="26" s="1"/>
  <c r="A474" i="26" s="1"/>
  <c r="A475" i="26" s="1"/>
  <c r="A476" i="26" s="1"/>
  <c r="A477" i="26" s="1"/>
  <c r="A478" i="26" s="1"/>
  <c r="A479" i="26" s="1"/>
  <c r="A480" i="26" s="1"/>
  <c r="A481" i="26" s="1"/>
  <c r="A482" i="26" s="1"/>
  <c r="A483" i="26" s="1"/>
  <c r="A484" i="26" s="1"/>
  <c r="A485" i="26" s="1"/>
  <c r="A486" i="26" s="1"/>
  <c r="A487" i="26" s="1"/>
  <c r="A488" i="26" s="1"/>
  <c r="A489" i="26" s="1"/>
  <c r="A490" i="26" s="1"/>
  <c r="A491" i="26" s="1"/>
  <c r="A492" i="26" s="1"/>
  <c r="A493" i="26" s="1"/>
  <c r="A494" i="26" s="1"/>
  <c r="A495" i="26" s="1"/>
  <c r="A496" i="26" s="1"/>
  <c r="A497" i="26" s="1"/>
  <c r="A498" i="26" s="1"/>
  <c r="A499" i="26" s="1"/>
  <c r="A500" i="26" s="1"/>
  <c r="A501" i="26" s="1"/>
  <c r="A502" i="26" s="1"/>
  <c r="A503" i="26" s="1"/>
  <c r="A504" i="26" s="1"/>
  <c r="A505" i="26" s="1"/>
  <c r="A506" i="26" s="1"/>
  <c r="A507" i="26" s="1"/>
  <c r="A508" i="26" s="1"/>
  <c r="A509" i="26" s="1"/>
  <c r="A510" i="26" s="1"/>
  <c r="A511" i="26" s="1"/>
  <c r="A512" i="26" s="1"/>
  <c r="A513" i="26" s="1"/>
  <c r="A514" i="26" s="1"/>
  <c r="A515" i="26" s="1"/>
  <c r="A516" i="26" s="1"/>
  <c r="A517" i="26" s="1"/>
  <c r="A518" i="26" s="1"/>
  <c r="A519" i="26" s="1"/>
  <c r="A520" i="26" s="1"/>
  <c r="A521" i="26" s="1"/>
  <c r="A522" i="26" s="1"/>
  <c r="A523" i="26" s="1"/>
  <c r="A524" i="26" s="1"/>
  <c r="A525" i="26" s="1"/>
  <c r="A526" i="26" s="1"/>
  <c r="A527" i="26" s="1"/>
  <c r="A528" i="26" s="1"/>
  <c r="A529" i="26" s="1"/>
  <c r="A530" i="26" s="1"/>
  <c r="A531" i="26" s="1"/>
  <c r="A532" i="26" s="1"/>
  <c r="A533" i="26" s="1"/>
  <c r="A534" i="26" s="1"/>
  <c r="A535" i="26" s="1"/>
  <c r="A536" i="26" s="1"/>
  <c r="A537" i="26" s="1"/>
  <c r="A538" i="26" s="1"/>
  <c r="A539" i="26" s="1"/>
  <c r="A540" i="26" s="1"/>
  <c r="A541" i="26" s="1"/>
  <c r="A542" i="26" s="1"/>
  <c r="A543" i="26" s="1"/>
  <c r="A544" i="26" s="1"/>
  <c r="A545" i="26" s="1"/>
  <c r="A546" i="26" s="1"/>
  <c r="A547" i="26" s="1"/>
  <c r="A548" i="26" s="1"/>
  <c r="A549" i="26" s="1"/>
  <c r="A550" i="26" s="1"/>
  <c r="A551" i="26" s="1"/>
  <c r="A552" i="26" s="1"/>
  <c r="A553" i="26" s="1"/>
  <c r="A554" i="26" s="1"/>
  <c r="A555" i="26" s="1"/>
  <c r="A556" i="26" s="1"/>
  <c r="A557" i="26" s="1"/>
  <c r="A558" i="26" s="1"/>
  <c r="A559" i="26" s="1"/>
  <c r="A560" i="26" s="1"/>
  <c r="A561" i="26" s="1"/>
  <c r="A562" i="26" s="1"/>
  <c r="A563" i="26" s="1"/>
  <c r="A564" i="26" s="1"/>
  <c r="A565" i="26" s="1"/>
  <c r="A566" i="26" s="1"/>
  <c r="A567" i="26" s="1"/>
  <c r="A568" i="26" s="1"/>
  <c r="A569" i="26" s="1"/>
  <c r="A570" i="26" s="1"/>
  <c r="A571" i="26" s="1"/>
  <c r="A572" i="26" s="1"/>
  <c r="A573" i="26" s="1"/>
  <c r="A574" i="26" s="1"/>
  <c r="A575" i="26" s="1"/>
  <c r="A576" i="26" s="1"/>
  <c r="A577" i="26" s="1"/>
  <c r="A578" i="26" s="1"/>
  <c r="A579" i="26" s="1"/>
  <c r="A580" i="26" s="1"/>
  <c r="A581" i="26" s="1"/>
  <c r="A582" i="26" s="1"/>
  <c r="A583" i="26" s="1"/>
  <c r="A584" i="26" s="1"/>
  <c r="A585" i="26" s="1"/>
  <c r="A586" i="26" s="1"/>
  <c r="A587" i="26" s="1"/>
  <c r="A588" i="26" s="1"/>
  <c r="A589" i="26" s="1"/>
  <c r="A590" i="26" s="1"/>
  <c r="A591" i="26" s="1"/>
  <c r="A592" i="26" s="1"/>
  <c r="A593" i="26" s="1"/>
  <c r="A594" i="26" s="1"/>
  <c r="A595" i="26" s="1"/>
  <c r="A596" i="26" s="1"/>
  <c r="A597" i="26" s="1"/>
  <c r="A598" i="26" s="1"/>
  <c r="A599" i="26" s="1"/>
  <c r="A600" i="26" s="1"/>
  <c r="A601" i="26" s="1"/>
  <c r="A602" i="26" s="1"/>
  <c r="A603" i="26" s="1"/>
  <c r="A604" i="26" s="1"/>
  <c r="A605" i="26" s="1"/>
  <c r="A606" i="26" s="1"/>
  <c r="A607" i="26" s="1"/>
  <c r="A608" i="26" s="1"/>
  <c r="A609" i="26" s="1"/>
  <c r="A610" i="26" s="1"/>
  <c r="A611" i="26" s="1"/>
  <c r="A612" i="26" s="1"/>
  <c r="A613" i="26" s="1"/>
  <c r="A614" i="26" s="1"/>
  <c r="A615" i="26" s="1"/>
  <c r="A616" i="26" s="1"/>
  <c r="A617" i="26" s="1"/>
  <c r="A618" i="26" s="1"/>
  <c r="A619" i="26" s="1"/>
  <c r="A620" i="26" s="1"/>
  <c r="A621" i="26" s="1"/>
  <c r="A622" i="26" s="1"/>
  <c r="A623" i="26" s="1"/>
  <c r="A624" i="26" s="1"/>
  <c r="A625" i="26" s="1"/>
  <c r="A626" i="26" s="1"/>
  <c r="A627" i="26" s="1"/>
  <c r="A628" i="26" s="1"/>
  <c r="A629" i="26" s="1"/>
  <c r="A630" i="26" s="1"/>
  <c r="A631" i="26" s="1"/>
  <c r="A632" i="26" s="1"/>
  <c r="A633" i="26" s="1"/>
  <c r="A634" i="26" s="1"/>
  <c r="A635" i="26" s="1"/>
  <c r="A636" i="26" s="1"/>
  <c r="A637" i="26" s="1"/>
  <c r="A638" i="26" s="1"/>
  <c r="A639" i="26" s="1"/>
  <c r="A640" i="26" s="1"/>
  <c r="A641" i="26" s="1"/>
  <c r="A642" i="26" s="1"/>
  <c r="A643" i="26" s="1"/>
  <c r="A644" i="26" s="1"/>
  <c r="A645" i="26" s="1"/>
  <c r="A646" i="26" s="1"/>
  <c r="A647" i="26" s="1"/>
  <c r="A648" i="26" s="1"/>
  <c r="A649" i="26" s="1"/>
  <c r="A650" i="26" s="1"/>
  <c r="A651" i="26" s="1"/>
  <c r="A652" i="26" s="1"/>
  <c r="A653" i="26" s="1"/>
  <c r="A654" i="26" s="1"/>
  <c r="A655" i="26" s="1"/>
  <c r="A656" i="26" s="1"/>
  <c r="A657" i="26" s="1"/>
  <c r="A658" i="26" s="1"/>
  <c r="A659" i="26" s="1"/>
  <c r="A660" i="26" s="1"/>
  <c r="A661" i="26" s="1"/>
  <c r="A662" i="26" s="1"/>
  <c r="A663" i="26" s="1"/>
  <c r="A664" i="26" s="1"/>
  <c r="A665" i="26" s="1"/>
  <c r="A666" i="26" s="1"/>
  <c r="A667" i="26" s="1"/>
  <c r="A668" i="26" s="1"/>
  <c r="A669" i="26" s="1"/>
  <c r="A670" i="26" s="1"/>
  <c r="A671" i="26" s="1"/>
  <c r="A672" i="26" s="1"/>
  <c r="A673" i="26" s="1"/>
  <c r="A674" i="26" s="1"/>
  <c r="A675" i="26" s="1"/>
  <c r="A676" i="26" s="1"/>
  <c r="A677" i="26" s="1"/>
  <c r="A678" i="26" s="1"/>
  <c r="A679" i="26" s="1"/>
  <c r="A680" i="26" s="1"/>
  <c r="A681" i="26" s="1"/>
  <c r="A682" i="26" s="1"/>
  <c r="A683" i="26" s="1"/>
  <c r="A684" i="26" s="1"/>
  <c r="A685" i="26" s="1"/>
  <c r="A686" i="26" s="1"/>
  <c r="A687" i="26" s="1"/>
  <c r="A688" i="26" s="1"/>
  <c r="A689" i="26" s="1"/>
  <c r="A690" i="26" s="1"/>
  <c r="A691" i="26" s="1"/>
  <c r="A692" i="26" s="1"/>
  <c r="A693" i="26" s="1"/>
  <c r="A694" i="26" s="1"/>
  <c r="A695" i="26" s="1"/>
  <c r="A696" i="26" s="1"/>
  <c r="A697" i="26" s="1"/>
  <c r="A698" i="26" s="1"/>
  <c r="A699" i="26" s="1"/>
  <c r="A700" i="26" s="1"/>
  <c r="A701" i="26" s="1"/>
  <c r="A702" i="26" s="1"/>
  <c r="A703" i="26" s="1"/>
  <c r="A704" i="26" s="1"/>
  <c r="A705" i="26" s="1"/>
  <c r="A706" i="26" s="1"/>
  <c r="A707" i="26" s="1"/>
  <c r="A708" i="26" s="1"/>
  <c r="A709" i="26" s="1"/>
  <c r="A710" i="26" s="1"/>
  <c r="A711" i="26" s="1"/>
  <c r="A712" i="26" s="1"/>
  <c r="A713" i="26" s="1"/>
  <c r="A714" i="26" s="1"/>
  <c r="A715" i="26" s="1"/>
  <c r="A716" i="26" s="1"/>
  <c r="A717" i="26" s="1"/>
  <c r="A718" i="26" s="1"/>
  <c r="A719" i="26" s="1"/>
  <c r="A720" i="26" s="1"/>
  <c r="A721" i="26" s="1"/>
  <c r="A722" i="26" s="1"/>
  <c r="A723" i="26" s="1"/>
  <c r="A724" i="26" s="1"/>
  <c r="A725" i="26" s="1"/>
  <c r="A726" i="26" s="1"/>
  <c r="A727" i="26" s="1"/>
  <c r="A728" i="26" s="1"/>
  <c r="A729" i="26" s="1"/>
  <c r="A730" i="26" s="1"/>
  <c r="A731" i="26" s="1"/>
  <c r="A732" i="26" s="1"/>
  <c r="A733" i="26" s="1"/>
  <c r="A734" i="26" s="1"/>
  <c r="A735" i="26" s="1"/>
  <c r="A736" i="26" s="1"/>
  <c r="A737" i="26" s="1"/>
  <c r="A738" i="26" s="1"/>
  <c r="A739" i="26" s="1"/>
  <c r="A740" i="26" s="1"/>
  <c r="A741" i="26" s="1"/>
  <c r="A742" i="26" s="1"/>
  <c r="A743" i="26" s="1"/>
  <c r="A744" i="26" s="1"/>
  <c r="A745" i="26" s="1"/>
  <c r="A746" i="26" s="1"/>
  <c r="A747" i="26" s="1"/>
  <c r="A748" i="26" s="1"/>
  <c r="A749" i="26" s="1"/>
  <c r="A750" i="26" s="1"/>
  <c r="A751" i="26" s="1"/>
  <c r="A752" i="26" s="1"/>
  <c r="A753" i="26" s="1"/>
  <c r="A754" i="26" s="1"/>
  <c r="A755" i="26" s="1"/>
  <c r="A756" i="26" s="1"/>
  <c r="A757" i="26" s="1"/>
  <c r="A758" i="26" s="1"/>
  <c r="A759" i="26" s="1"/>
  <c r="A760" i="26" s="1"/>
  <c r="A761" i="26" s="1"/>
  <c r="A762" i="26" s="1"/>
  <c r="A763" i="26" s="1"/>
  <c r="A764" i="26" s="1"/>
  <c r="A765" i="26" s="1"/>
  <c r="A766" i="26" s="1"/>
  <c r="A767" i="26" s="1"/>
  <c r="A768" i="26" s="1"/>
  <c r="A769" i="26" s="1"/>
  <c r="A770" i="26" s="1"/>
  <c r="A771" i="26" s="1"/>
  <c r="A772" i="26" s="1"/>
  <c r="A773" i="26" s="1"/>
  <c r="A774" i="26" s="1"/>
  <c r="A775" i="26" s="1"/>
  <c r="A776" i="26" s="1"/>
  <c r="A777" i="26" s="1"/>
  <c r="A778" i="26" s="1"/>
  <c r="A779" i="26" s="1"/>
  <c r="A780" i="26" s="1"/>
  <c r="A781" i="26" s="1"/>
  <c r="A782" i="26" s="1"/>
  <c r="A783" i="26" s="1"/>
  <c r="A784" i="26" s="1"/>
  <c r="A785" i="26" s="1"/>
  <c r="A786" i="26" s="1"/>
  <c r="A787" i="26" s="1"/>
  <c r="A788" i="26" s="1"/>
  <c r="A789" i="26" s="1"/>
  <c r="A790" i="26" s="1"/>
  <c r="A791" i="26" s="1"/>
  <c r="A792" i="26" s="1"/>
  <c r="A793" i="26" s="1"/>
  <c r="A794" i="26" s="1"/>
  <c r="A795" i="26" s="1"/>
  <c r="A796" i="26" s="1"/>
  <c r="A797" i="26" s="1"/>
  <c r="A798" i="26" s="1"/>
  <c r="A799" i="26" s="1"/>
  <c r="A800" i="26" s="1"/>
  <c r="A801" i="26" s="1"/>
  <c r="A802" i="26" s="1"/>
  <c r="A803" i="26" s="1"/>
  <c r="A804" i="26" s="1"/>
  <c r="A805" i="26" s="1"/>
  <c r="A806" i="26" s="1"/>
  <c r="A807" i="26" s="1"/>
  <c r="A808" i="26" s="1"/>
  <c r="A809" i="26" s="1"/>
  <c r="A810" i="26" s="1"/>
  <c r="A811" i="26" s="1"/>
  <c r="A812" i="26" s="1"/>
  <c r="A813" i="26" s="1"/>
  <c r="A814" i="26" s="1"/>
  <c r="A815" i="26" s="1"/>
  <c r="A816" i="26" s="1"/>
  <c r="A817" i="26" s="1"/>
  <c r="A818" i="26" s="1"/>
  <c r="A819" i="26" s="1"/>
  <c r="A820" i="26" s="1"/>
  <c r="A821" i="26" s="1"/>
  <c r="A822" i="26" s="1"/>
  <c r="A823" i="26" s="1"/>
  <c r="A824" i="26" s="1"/>
  <c r="A825" i="26" s="1"/>
  <c r="A826" i="26" s="1"/>
  <c r="A827" i="26" s="1"/>
  <c r="A828" i="26" s="1"/>
  <c r="A829" i="26" s="1"/>
  <c r="A830" i="26" s="1"/>
  <c r="A831" i="26" s="1"/>
  <c r="A832" i="26" s="1"/>
  <c r="A833" i="26" s="1"/>
  <c r="A834" i="26" s="1"/>
  <c r="A835" i="26" s="1"/>
  <c r="A836" i="26" s="1"/>
  <c r="A837" i="26" s="1"/>
  <c r="A838" i="26" s="1"/>
  <c r="A839" i="26" s="1"/>
  <c r="A840" i="26" s="1"/>
  <c r="A841" i="26" s="1"/>
  <c r="A842" i="26" s="1"/>
  <c r="A843" i="26" s="1"/>
  <c r="A844" i="26" s="1"/>
  <c r="A845" i="26" s="1"/>
  <c r="A846" i="26" s="1"/>
  <c r="A847" i="26" s="1"/>
  <c r="A848" i="26" s="1"/>
  <c r="A849" i="26" s="1"/>
  <c r="A850" i="26" s="1"/>
  <c r="A851" i="26" s="1"/>
  <c r="A852" i="26" s="1"/>
  <c r="A853" i="26" s="1"/>
  <c r="A854" i="26" s="1"/>
  <c r="A855" i="26" s="1"/>
  <c r="A856" i="26" s="1"/>
  <c r="A857" i="26" s="1"/>
  <c r="A858" i="26" s="1"/>
  <c r="A859" i="26" s="1"/>
  <c r="A860" i="26" s="1"/>
  <c r="A861" i="26" s="1"/>
  <c r="A862" i="26" s="1"/>
  <c r="A863" i="26" s="1"/>
  <c r="A864" i="26" s="1"/>
  <c r="A865" i="26" s="1"/>
  <c r="A866" i="26" s="1"/>
  <c r="A867" i="26" s="1"/>
  <c r="A868" i="26" s="1"/>
  <c r="A869" i="26" s="1"/>
  <c r="A870" i="26" s="1"/>
  <c r="A871" i="26" s="1"/>
  <c r="A872" i="26" s="1"/>
  <c r="A873" i="26" s="1"/>
  <c r="A874" i="26" s="1"/>
  <c r="A875" i="26" s="1"/>
  <c r="A876" i="26" s="1"/>
  <c r="A877" i="26" s="1"/>
  <c r="A878" i="26" s="1"/>
  <c r="A879" i="26" s="1"/>
  <c r="A880" i="26" s="1"/>
  <c r="A881" i="26" s="1"/>
  <c r="A882" i="26" s="1"/>
  <c r="A883" i="26" s="1"/>
  <c r="A884" i="26" s="1"/>
  <c r="A885" i="26" s="1"/>
  <c r="A886" i="26" s="1"/>
  <c r="A887" i="26" s="1"/>
  <c r="A888" i="26" s="1"/>
  <c r="A889" i="26" s="1"/>
  <c r="A890" i="26" s="1"/>
  <c r="A891" i="26" s="1"/>
  <c r="A892" i="26" s="1"/>
  <c r="A893" i="26" s="1"/>
  <c r="A894" i="26" s="1"/>
  <c r="A895" i="26" s="1"/>
  <c r="A896" i="26" s="1"/>
  <c r="A897" i="26" s="1"/>
  <c r="A898" i="26" s="1"/>
  <c r="A899" i="26" s="1"/>
  <c r="A900" i="26" s="1"/>
  <c r="A901" i="26" s="1"/>
  <c r="A902" i="26" s="1"/>
  <c r="A903" i="26" s="1"/>
  <c r="A904" i="26" s="1"/>
  <c r="A905" i="26" s="1"/>
  <c r="A906" i="26" s="1"/>
  <c r="A907" i="26" s="1"/>
  <c r="A908" i="26" s="1"/>
  <c r="A909" i="26" s="1"/>
  <c r="A910" i="26" s="1"/>
  <c r="A911" i="26" s="1"/>
  <c r="A912" i="26" s="1"/>
  <c r="A913" i="26" s="1"/>
  <c r="A914" i="26" s="1"/>
  <c r="A915" i="26" s="1"/>
  <c r="A916" i="26" s="1"/>
  <c r="A917" i="26" s="1"/>
  <c r="A918" i="26" s="1"/>
  <c r="A919" i="26" s="1"/>
  <c r="A920" i="26" s="1"/>
  <c r="A921" i="26" s="1"/>
  <c r="A922" i="26" s="1"/>
  <c r="A923" i="26" s="1"/>
  <c r="A924" i="26" s="1"/>
  <c r="A925" i="26" s="1"/>
  <c r="A926" i="26" s="1"/>
  <c r="A927" i="26" s="1"/>
  <c r="A928" i="26" s="1"/>
  <c r="A929" i="26" s="1"/>
  <c r="A930" i="26" s="1"/>
  <c r="A931" i="26" s="1"/>
  <c r="A932" i="26" s="1"/>
  <c r="A933" i="26" s="1"/>
  <c r="A934" i="26" s="1"/>
  <c r="A935" i="26" s="1"/>
  <c r="A936" i="26" s="1"/>
  <c r="A937" i="26" s="1"/>
  <c r="A938" i="26" s="1"/>
  <c r="A939" i="26" s="1"/>
  <c r="A940" i="26" s="1"/>
  <c r="A941" i="26" s="1"/>
  <c r="A942" i="26" s="1"/>
  <c r="A943" i="26" s="1"/>
  <c r="A944" i="26" s="1"/>
  <c r="A945" i="26" s="1"/>
  <c r="A946" i="26" s="1"/>
  <c r="A947" i="26" s="1"/>
  <c r="A948" i="26" s="1"/>
  <c r="A949" i="26" s="1"/>
  <c r="A950" i="26" s="1"/>
  <c r="A951" i="26" s="1"/>
  <c r="A952" i="26" s="1"/>
  <c r="A953" i="26" s="1"/>
  <c r="A954" i="26" s="1"/>
  <c r="A955" i="26" s="1"/>
  <c r="A956" i="26" s="1"/>
  <c r="A957" i="26" s="1"/>
  <c r="A958" i="26" s="1"/>
  <c r="A959" i="26" s="1"/>
  <c r="A960" i="26" s="1"/>
  <c r="A961" i="26" s="1"/>
  <c r="A962" i="26" s="1"/>
  <c r="A963" i="26" s="1"/>
  <c r="A964" i="26" s="1"/>
  <c r="A965" i="26" s="1"/>
  <c r="A966" i="26" s="1"/>
  <c r="A967" i="26" s="1"/>
  <c r="A968" i="26" s="1"/>
  <c r="A969" i="26" s="1"/>
  <c r="A970" i="26" s="1"/>
  <c r="A971" i="26" s="1"/>
  <c r="A972" i="26" s="1"/>
  <c r="A973" i="26" s="1"/>
  <c r="A974" i="26" s="1"/>
  <c r="A975" i="26" s="1"/>
  <c r="A976" i="26" s="1"/>
  <c r="A977" i="26" s="1"/>
  <c r="A978" i="26" s="1"/>
  <c r="A979" i="26" s="1"/>
  <c r="A980" i="26" s="1"/>
  <c r="A981" i="26" s="1"/>
  <c r="A982" i="26" s="1"/>
  <c r="A983" i="26" s="1"/>
  <c r="A984" i="26" s="1"/>
  <c r="A985" i="26" s="1"/>
  <c r="A986" i="26" s="1"/>
  <c r="A987" i="26" s="1"/>
  <c r="A988" i="26" s="1"/>
  <c r="A989" i="26" s="1"/>
  <c r="A990" i="26" s="1"/>
  <c r="A991" i="26" s="1"/>
  <c r="A992" i="26" s="1"/>
  <c r="A993" i="26" s="1"/>
  <c r="A994" i="26" s="1"/>
  <c r="A995" i="26" s="1"/>
  <c r="A996" i="26" s="1"/>
  <c r="A997" i="26" s="1"/>
  <c r="A998" i="26" s="1"/>
  <c r="A999" i="26" s="1"/>
  <c r="A1000" i="26" s="1"/>
  <c r="A1001" i="26" s="1"/>
  <c r="A1002" i="26" s="1"/>
  <c r="A1003" i="26" s="1"/>
  <c r="A1004" i="26" s="1"/>
  <c r="A1005" i="26" s="1"/>
  <c r="A1006" i="26" s="1"/>
  <c r="A1007" i="26" s="1"/>
  <c r="A1008" i="26" s="1"/>
  <c r="A1009" i="26" s="1"/>
  <c r="A1010" i="26" s="1"/>
  <c r="A1011" i="26" s="1"/>
  <c r="A1012" i="26" s="1"/>
  <c r="A1013" i="26" s="1"/>
  <c r="A1014" i="26" s="1"/>
  <c r="A1015" i="26" s="1"/>
  <c r="A1016" i="26" s="1"/>
  <c r="A1017" i="26" s="1"/>
  <c r="A1018" i="26" s="1"/>
  <c r="A1019" i="26" s="1"/>
  <c r="A1020" i="26" s="1"/>
  <c r="A1021" i="26" s="1"/>
  <c r="A1022" i="26" s="1"/>
  <c r="A1023" i="26" s="1"/>
  <c r="A1024" i="26" s="1"/>
  <c r="A1025" i="26" s="1"/>
  <c r="A1026" i="26" s="1"/>
  <c r="A1027" i="26" s="1"/>
  <c r="A1028" i="26" s="1"/>
  <c r="A1029" i="26" s="1"/>
  <c r="A1030" i="26" s="1"/>
  <c r="A1031" i="26" s="1"/>
  <c r="A1032" i="26" s="1"/>
  <c r="A1033" i="26" s="1"/>
  <c r="A1034" i="26" s="1"/>
  <c r="A1035" i="26" s="1"/>
  <c r="A1036" i="26" s="1"/>
  <c r="A1037" i="26" s="1"/>
  <c r="A1038" i="26" s="1"/>
  <c r="A1039" i="26" s="1"/>
  <c r="A1040" i="26" s="1"/>
  <c r="A1041" i="26" s="1"/>
  <c r="A1042" i="26" s="1"/>
  <c r="A1043" i="26" s="1"/>
  <c r="A1044" i="26" s="1"/>
  <c r="A1045" i="26" s="1"/>
  <c r="A1046" i="26" s="1"/>
  <c r="A1047" i="26" s="1"/>
  <c r="A1048" i="26" s="1"/>
  <c r="A1049" i="26" s="1"/>
  <c r="A1050" i="26" s="1"/>
  <c r="A1051" i="26" s="1"/>
  <c r="A1052" i="26" s="1"/>
  <c r="A1053" i="26" s="1"/>
  <c r="A1054" i="26" s="1"/>
  <c r="A1055" i="26" s="1"/>
  <c r="A1056" i="26" s="1"/>
  <c r="A1057" i="26" s="1"/>
  <c r="A1058" i="26" s="1"/>
  <c r="A1059" i="26" s="1"/>
  <c r="A1060" i="26" s="1"/>
  <c r="A1061" i="26" s="1"/>
  <c r="A1062" i="26" s="1"/>
  <c r="A1063" i="26" s="1"/>
  <c r="A1064" i="26" s="1"/>
  <c r="A1065" i="26" s="1"/>
  <c r="A1066" i="26" s="1"/>
  <c r="A1067" i="26" s="1"/>
  <c r="A1068" i="26" s="1"/>
  <c r="A1069" i="26" s="1"/>
  <c r="A1070" i="26" s="1"/>
  <c r="A1071" i="26" s="1"/>
  <c r="A1072" i="26" s="1"/>
  <c r="A1073" i="26" s="1"/>
  <c r="A1074" i="26" s="1"/>
  <c r="A1075" i="26" s="1"/>
  <c r="A1076" i="26" s="1"/>
  <c r="A1077" i="26" s="1"/>
  <c r="A1078" i="26" s="1"/>
  <c r="A1079" i="26" s="1"/>
  <c r="A1080" i="26" s="1"/>
  <c r="A1081" i="26" s="1"/>
  <c r="A1082" i="26" s="1"/>
  <c r="A1083" i="26" s="1"/>
  <c r="A1084" i="26" s="1"/>
  <c r="A1085" i="26" s="1"/>
  <c r="A1086" i="26" s="1"/>
  <c r="A1087" i="26" s="1"/>
  <c r="A1088" i="26" s="1"/>
  <c r="A1089" i="26" s="1"/>
  <c r="A1090" i="26" s="1"/>
  <c r="A1091" i="26" s="1"/>
  <c r="A1092" i="26" s="1"/>
  <c r="A1093" i="26" s="1"/>
  <c r="A1094" i="26" s="1"/>
  <c r="A1095" i="26" s="1"/>
  <c r="A1096" i="26" s="1"/>
  <c r="A1097" i="26" s="1"/>
  <c r="A1098" i="26" s="1"/>
  <c r="A1099" i="26" s="1"/>
  <c r="A1100" i="26" s="1"/>
  <c r="A1101" i="26" s="1"/>
  <c r="A1102" i="26" s="1"/>
  <c r="A1103" i="26" s="1"/>
  <c r="A1104" i="26" s="1"/>
  <c r="A1105" i="26" s="1"/>
  <c r="A1106" i="26" s="1"/>
  <c r="A1107" i="26" s="1"/>
  <c r="A1108" i="26" s="1"/>
  <c r="A1109" i="26" s="1"/>
  <c r="A1110" i="26" s="1"/>
  <c r="A1111" i="26" s="1"/>
  <c r="A1112" i="26" s="1"/>
  <c r="A1113" i="26" s="1"/>
  <c r="A1114" i="26" s="1"/>
  <c r="A1115" i="26" s="1"/>
  <c r="A1116" i="26" s="1"/>
  <c r="A1117" i="26" s="1"/>
  <c r="A1118" i="26" s="1"/>
  <c r="A1119" i="26" s="1"/>
  <c r="A1120" i="26" s="1"/>
  <c r="A1121" i="26" s="1"/>
  <c r="A1122" i="26" s="1"/>
  <c r="A1123" i="26" s="1"/>
  <c r="A1124" i="26" s="1"/>
  <c r="A1125" i="26" s="1"/>
  <c r="A1126" i="26" s="1"/>
  <c r="A1127" i="26" s="1"/>
  <c r="A1128" i="26" s="1"/>
  <c r="A1129" i="26" s="1"/>
  <c r="A1130" i="26" s="1"/>
  <c r="A1131" i="26" s="1"/>
  <c r="A1132" i="26" s="1"/>
  <c r="A1133" i="26" s="1"/>
  <c r="A1134" i="26" s="1"/>
  <c r="A1135" i="26" s="1"/>
  <c r="A1136" i="26" s="1"/>
  <c r="A1137" i="26" s="1"/>
  <c r="A1138" i="26" s="1"/>
  <c r="A1139" i="26" s="1"/>
  <c r="A1140" i="26" s="1"/>
  <c r="A1141" i="26" s="1"/>
  <c r="A1142" i="26" s="1"/>
  <c r="A1143" i="26" s="1"/>
  <c r="A1144" i="26" s="1"/>
  <c r="A1145" i="26" s="1"/>
  <c r="A1146" i="26" s="1"/>
  <c r="A1147" i="26" s="1"/>
  <c r="A1148" i="26" s="1"/>
  <c r="A1149" i="26" s="1"/>
  <c r="A1150" i="26" s="1"/>
  <c r="A1151" i="26" s="1"/>
  <c r="A1152" i="26" s="1"/>
  <c r="A1153" i="26" s="1"/>
  <c r="A1154" i="26" s="1"/>
  <c r="A1155" i="26" s="1"/>
  <c r="A1156" i="26" s="1"/>
  <c r="A1157" i="26" s="1"/>
  <c r="A1158" i="26" s="1"/>
  <c r="A1159" i="26" s="1"/>
  <c r="A1160" i="26" s="1"/>
  <c r="A1161" i="26" s="1"/>
  <c r="A1162" i="26" s="1"/>
  <c r="A1163" i="26" s="1"/>
  <c r="A1164" i="26" s="1"/>
  <c r="A1165" i="26" s="1"/>
  <c r="A1166" i="26" s="1"/>
  <c r="A1167" i="26" s="1"/>
  <c r="A1168" i="26" s="1"/>
  <c r="A1169" i="26" s="1"/>
  <c r="A1170" i="26" s="1"/>
  <c r="A1171" i="26" s="1"/>
  <c r="A1172" i="26" s="1"/>
  <c r="A1173" i="26" s="1"/>
  <c r="A1174" i="26" s="1"/>
  <c r="A1175" i="26" s="1"/>
  <c r="A1176" i="26" s="1"/>
  <c r="A1177" i="26" s="1"/>
  <c r="A1178" i="26" s="1"/>
  <c r="A1179" i="26" s="1"/>
  <c r="A1180" i="26" s="1"/>
  <c r="A1181" i="26" s="1"/>
  <c r="A1182" i="26" s="1"/>
  <c r="A1183" i="26" s="1"/>
  <c r="A1184" i="26" s="1"/>
  <c r="A1185" i="26" s="1"/>
  <c r="A1186" i="26" s="1"/>
  <c r="A1187" i="26" s="1"/>
  <c r="A1188" i="26" s="1"/>
  <c r="A1189" i="26" s="1"/>
  <c r="A1190" i="26" s="1"/>
  <c r="A1191" i="26" s="1"/>
  <c r="A1192" i="26" s="1"/>
  <c r="A1193" i="26" s="1"/>
  <c r="A1194" i="26" s="1"/>
  <c r="A1195" i="26" s="1"/>
  <c r="A1196" i="26" s="1"/>
  <c r="A1197" i="26" s="1"/>
  <c r="A1198" i="26" s="1"/>
  <c r="A1199" i="26" s="1"/>
  <c r="A1200" i="26" s="1"/>
  <c r="A1201" i="26" s="1"/>
  <c r="A1202" i="26" s="1"/>
  <c r="A1203" i="26" s="1"/>
  <c r="A1204" i="26" s="1"/>
  <c r="A1205" i="26" s="1"/>
  <c r="A1206" i="26" s="1"/>
  <c r="A1207" i="26" s="1"/>
  <c r="A1208" i="26" s="1"/>
  <c r="A1209" i="26" s="1"/>
  <c r="A1210" i="26" s="1"/>
  <c r="A1211" i="26" s="1"/>
  <c r="A1212" i="26" s="1"/>
  <c r="A1213" i="26" s="1"/>
  <c r="A1214" i="26" s="1"/>
  <c r="A1215" i="26" s="1"/>
  <c r="A1216" i="26" s="1"/>
  <c r="A1217" i="26" s="1"/>
  <c r="A1218" i="26" s="1"/>
  <c r="A1219" i="26" s="1"/>
  <c r="A1220" i="26" s="1"/>
  <c r="A1221" i="26" s="1"/>
  <c r="A1222" i="26" s="1"/>
  <c r="A1223" i="26" s="1"/>
  <c r="A1224" i="26" s="1"/>
  <c r="A1225" i="26" s="1"/>
  <c r="A1226" i="26" s="1"/>
  <c r="A1227" i="26" s="1"/>
  <c r="A1228" i="26" s="1"/>
  <c r="A1229" i="26" s="1"/>
  <c r="A1230" i="26" s="1"/>
  <c r="A1231" i="26" s="1"/>
  <c r="A1232" i="26" s="1"/>
  <c r="A1233" i="26" s="1"/>
  <c r="A1234" i="26" s="1"/>
  <c r="A1235" i="26" s="1"/>
  <c r="A1236" i="26" s="1"/>
  <c r="A1237" i="26" s="1"/>
  <c r="A1238" i="26" s="1"/>
  <c r="A1239" i="26" s="1"/>
  <c r="A1240" i="26" s="1"/>
  <c r="A1241" i="26" s="1"/>
  <c r="A1242" i="26" s="1"/>
  <c r="A1243" i="26" s="1"/>
  <c r="A1244" i="26" s="1"/>
  <c r="A1245" i="26" s="1"/>
  <c r="A1246" i="26" s="1"/>
  <c r="A1247" i="26" s="1"/>
  <c r="A1248" i="26" s="1"/>
  <c r="A1249" i="26" s="1"/>
  <c r="A1250" i="26" s="1"/>
  <c r="A1251" i="26" s="1"/>
  <c r="A1252" i="26" s="1"/>
  <c r="A1253" i="26" s="1"/>
  <c r="A1254" i="26" s="1"/>
  <c r="A1255" i="26" s="1"/>
  <c r="A1256" i="26" s="1"/>
  <c r="A1257" i="26" s="1"/>
  <c r="A1258" i="26" s="1"/>
  <c r="A1259" i="26" s="1"/>
  <c r="A1260" i="26" s="1"/>
  <c r="A1261" i="26" s="1"/>
  <c r="A1262" i="26" s="1"/>
  <c r="A1263" i="26" s="1"/>
  <c r="A1264" i="26" s="1"/>
  <c r="A1265" i="26" s="1"/>
  <c r="A1266" i="26" s="1"/>
  <c r="A1267" i="26" s="1"/>
  <c r="A1268" i="26" s="1"/>
  <c r="A1269" i="26" s="1"/>
  <c r="A1270" i="26" s="1"/>
  <c r="A1271" i="26" s="1"/>
  <c r="A1272" i="26" s="1"/>
  <c r="A1273" i="26" s="1"/>
  <c r="A1274" i="26" s="1"/>
  <c r="A1275" i="26" s="1"/>
  <c r="A1276" i="26" s="1"/>
  <c r="A1277" i="26" s="1"/>
  <c r="A1278" i="26" s="1"/>
  <c r="A1279" i="26" s="1"/>
  <c r="A1280" i="26" s="1"/>
  <c r="A1281" i="26" s="1"/>
  <c r="A1282" i="26" s="1"/>
  <c r="A1283" i="26" s="1"/>
  <c r="A1284" i="26" s="1"/>
  <c r="A1285" i="26" s="1"/>
  <c r="A1286" i="26" s="1"/>
  <c r="A1287" i="26" s="1"/>
  <c r="A1288" i="26" s="1"/>
  <c r="A1289" i="26" s="1"/>
  <c r="A1290" i="26" s="1"/>
  <c r="A1291" i="26" s="1"/>
  <c r="A1292" i="26" s="1"/>
  <c r="A1293" i="26" s="1"/>
  <c r="A1294" i="26" s="1"/>
  <c r="A1295" i="26" s="1"/>
  <c r="A1296" i="26" s="1"/>
  <c r="A1297" i="26" s="1"/>
  <c r="A1298" i="26" s="1"/>
  <c r="A1299" i="26" s="1"/>
  <c r="A1300" i="26" s="1"/>
  <c r="A1301" i="26" s="1"/>
  <c r="A1302" i="26" s="1"/>
  <c r="A1303" i="26" s="1"/>
  <c r="A1304" i="26" s="1"/>
  <c r="A1305" i="26" s="1"/>
  <c r="A1306" i="26" s="1"/>
  <c r="A1307" i="26" s="1"/>
  <c r="A1308" i="26" s="1"/>
  <c r="A1309" i="26" s="1"/>
  <c r="A1310" i="26" s="1"/>
  <c r="A1311" i="26" s="1"/>
  <c r="A1312" i="26" s="1"/>
  <c r="A1313" i="26" s="1"/>
  <c r="A1314" i="26" s="1"/>
  <c r="A1315" i="26" s="1"/>
  <c r="A1316" i="26" s="1"/>
  <c r="A1317" i="26" s="1"/>
  <c r="A1318" i="26" s="1"/>
  <c r="A1319" i="26" s="1"/>
  <c r="A1320" i="26" s="1"/>
  <c r="A1321" i="26" s="1"/>
  <c r="A1322" i="26" s="1"/>
  <c r="A1323" i="26" s="1"/>
  <c r="A1324" i="26" s="1"/>
  <c r="A1325" i="26" s="1"/>
  <c r="A1326" i="26" s="1"/>
  <c r="A1327" i="26" s="1"/>
  <c r="A1328" i="26" s="1"/>
  <c r="A1329" i="26" s="1"/>
  <c r="A1330" i="26" s="1"/>
  <c r="A1331" i="26" s="1"/>
  <c r="A1332" i="26" s="1"/>
  <c r="A1333" i="26" s="1"/>
  <c r="A1334" i="26" s="1"/>
  <c r="A1335" i="26" s="1"/>
  <c r="A1336" i="26" s="1"/>
  <c r="A1337" i="26" s="1"/>
  <c r="A1338" i="26" s="1"/>
  <c r="A1339" i="26" s="1"/>
  <c r="A1340" i="26" s="1"/>
  <c r="A1341" i="26" s="1"/>
  <c r="A1342" i="26" s="1"/>
  <c r="A1343" i="26" s="1"/>
  <c r="A1344" i="26" s="1"/>
  <c r="A1345" i="26" s="1"/>
  <c r="A1346" i="26" s="1"/>
  <c r="A1347" i="26" s="1"/>
  <c r="A1348" i="26" s="1"/>
  <c r="A1349" i="26" s="1"/>
  <c r="A1350" i="26" s="1"/>
  <c r="A1351" i="26" s="1"/>
  <c r="A1352" i="26" s="1"/>
  <c r="A1353" i="26" s="1"/>
  <c r="A1354" i="26" s="1"/>
  <c r="A1355" i="26" s="1"/>
  <c r="A1356" i="26" s="1"/>
  <c r="A1357" i="26" s="1"/>
  <c r="A1358" i="26" s="1"/>
  <c r="A1359" i="26" s="1"/>
  <c r="A1360" i="26" s="1"/>
  <c r="A1361" i="26" s="1"/>
  <c r="A1362" i="26" s="1"/>
  <c r="A1363" i="26" s="1"/>
  <c r="A1364" i="26" s="1"/>
  <c r="A1365" i="26" s="1"/>
  <c r="A1366" i="26" s="1"/>
  <c r="A1367" i="26" s="1"/>
  <c r="A1368" i="26" s="1"/>
  <c r="A1369" i="26" s="1"/>
  <c r="A1370" i="26" s="1"/>
  <c r="A1371" i="26" s="1"/>
  <c r="A1372" i="26" s="1"/>
  <c r="A1373" i="26" s="1"/>
  <c r="A1374" i="26" s="1"/>
  <c r="A1375" i="26" s="1"/>
  <c r="A1376" i="26" s="1"/>
  <c r="A1377" i="26" s="1"/>
  <c r="A1378" i="26" s="1"/>
  <c r="A1379" i="26" s="1"/>
  <c r="A1380" i="26" s="1"/>
  <c r="A1381" i="26" s="1"/>
  <c r="A1382" i="26" s="1"/>
  <c r="A1383" i="26" s="1"/>
  <c r="A1384" i="26" s="1"/>
  <c r="A1385" i="26" s="1"/>
  <c r="A1386" i="26" s="1"/>
  <c r="A1387" i="26" s="1"/>
  <c r="A1388" i="26" s="1"/>
  <c r="A1389" i="26" s="1"/>
  <c r="A1390" i="26" s="1"/>
  <c r="A1391" i="26" s="1"/>
  <c r="A1392" i="26" s="1"/>
  <c r="A1393" i="26" s="1"/>
  <c r="A1394" i="26" s="1"/>
  <c r="A1395" i="26" s="1"/>
  <c r="A1396" i="26" s="1"/>
  <c r="A1397" i="26" s="1"/>
  <c r="A1398" i="26" s="1"/>
  <c r="A1399" i="26" s="1"/>
  <c r="A1400" i="26" s="1"/>
  <c r="A1401" i="26" s="1"/>
  <c r="A1402" i="26" s="1"/>
  <c r="A1403" i="26" s="1"/>
  <c r="A1404" i="26" s="1"/>
  <c r="A1405" i="26" s="1"/>
  <c r="A1406" i="26" s="1"/>
  <c r="A1407" i="26" s="1"/>
  <c r="A1408" i="26" s="1"/>
  <c r="A1409" i="26" s="1"/>
  <c r="A1410" i="26" s="1"/>
  <c r="A1411" i="26" s="1"/>
  <c r="A1412" i="26" s="1"/>
  <c r="A1413" i="26" s="1"/>
  <c r="A1414" i="26" s="1"/>
  <c r="A1415" i="26" s="1"/>
  <c r="A1416" i="26" s="1"/>
  <c r="A1417" i="26" s="1"/>
  <c r="A1418" i="26" s="1"/>
  <c r="A1419" i="26" s="1"/>
  <c r="A1420" i="26" s="1"/>
  <c r="A1421" i="26" s="1"/>
  <c r="A1422" i="26" s="1"/>
  <c r="A1423" i="26" s="1"/>
  <c r="A1424" i="26" s="1"/>
  <c r="A1425" i="26" s="1"/>
  <c r="A1426" i="26" s="1"/>
  <c r="A1427" i="26" s="1"/>
  <c r="A1428" i="26" s="1"/>
  <c r="A1429" i="26" s="1"/>
  <c r="A1430" i="26" s="1"/>
  <c r="A1431" i="26" s="1"/>
  <c r="A1432" i="26" s="1"/>
  <c r="A1433" i="26" s="1"/>
  <c r="A1434" i="26" s="1"/>
  <c r="A1435" i="26" s="1"/>
  <c r="A1436" i="26" s="1"/>
  <c r="A1437" i="26" s="1"/>
  <c r="A1438" i="26" s="1"/>
  <c r="A1439" i="26" s="1"/>
  <c r="A1440" i="26" s="1"/>
  <c r="A1441" i="26" s="1"/>
  <c r="A1442" i="26" s="1"/>
  <c r="A1443" i="26" s="1"/>
  <c r="A1444" i="26" s="1"/>
  <c r="A1445" i="26" s="1"/>
  <c r="A1446" i="26" s="1"/>
  <c r="A1447" i="26" s="1"/>
  <c r="A1448" i="26" s="1"/>
  <c r="A1449" i="26" s="1"/>
  <c r="A1450" i="26" s="1"/>
  <c r="A1451" i="26" s="1"/>
  <c r="A1452" i="26" s="1"/>
  <c r="A1453" i="26" s="1"/>
  <c r="A1454" i="26" s="1"/>
  <c r="A1455" i="26" s="1"/>
  <c r="A1456" i="26" s="1"/>
  <c r="A1457" i="26" s="1"/>
  <c r="A1458" i="26" s="1"/>
  <c r="A1459" i="26" s="1"/>
  <c r="A1460" i="26" s="1"/>
  <c r="A1461" i="26" s="1"/>
  <c r="A1462" i="26" s="1"/>
  <c r="A1463" i="26" s="1"/>
  <c r="A1464" i="26" s="1"/>
  <c r="A1465" i="26" s="1"/>
  <c r="A1466" i="26" s="1"/>
  <c r="A1467" i="26" s="1"/>
  <c r="A1468" i="26" s="1"/>
  <c r="A1469" i="26" s="1"/>
  <c r="A1470" i="26" s="1"/>
  <c r="A1471" i="26" s="1"/>
  <c r="A1472" i="26" s="1"/>
  <c r="A1473" i="26" s="1"/>
  <c r="A1474" i="26" s="1"/>
  <c r="A1475" i="26" s="1"/>
  <c r="A1476" i="26" s="1"/>
  <c r="A1477" i="26" s="1"/>
  <c r="A1478" i="26" s="1"/>
  <c r="A1479" i="26" s="1"/>
  <c r="A1480" i="26" s="1"/>
  <c r="A1481" i="26" s="1"/>
  <c r="A1482" i="26" s="1"/>
  <c r="A1483" i="26" s="1"/>
  <c r="A1484" i="26" s="1"/>
  <c r="A1485" i="26" s="1"/>
  <c r="A1486" i="26" s="1"/>
  <c r="A1487" i="26" s="1"/>
  <c r="A1488" i="26" s="1"/>
  <c r="A1489" i="26" s="1"/>
  <c r="A1490" i="26" s="1"/>
  <c r="A1491" i="26" s="1"/>
  <c r="A1492" i="26" s="1"/>
  <c r="A1493" i="26" s="1"/>
  <c r="A1494" i="26" s="1"/>
  <c r="A1495" i="26" s="1"/>
  <c r="A1496" i="26" s="1"/>
  <c r="A1497" i="26" s="1"/>
  <c r="A1498" i="26" s="1"/>
  <c r="A1499" i="26" s="1"/>
  <c r="A1500" i="26" s="1"/>
  <c r="A1501" i="26" s="1"/>
  <c r="A1502" i="26" s="1"/>
  <c r="A1503" i="26" s="1"/>
  <c r="A1504" i="26" s="1"/>
  <c r="A1505" i="26" s="1"/>
  <c r="A1506" i="26" s="1"/>
  <c r="A1507" i="26" s="1"/>
  <c r="A1508" i="26" s="1"/>
  <c r="A1509" i="26" s="1"/>
  <c r="A1510" i="26" s="1"/>
  <c r="A1511" i="26" s="1"/>
  <c r="A1512" i="26" s="1"/>
  <c r="A1513" i="26" s="1"/>
  <c r="A1514" i="26" s="1"/>
  <c r="A1515" i="26" s="1"/>
  <c r="A1516" i="26" s="1"/>
  <c r="A1517" i="26" s="1"/>
  <c r="A1518" i="26" s="1"/>
  <c r="A1519" i="26" s="1"/>
  <c r="A1520" i="26" s="1"/>
  <c r="A1521" i="26" s="1"/>
  <c r="A1522" i="26" s="1"/>
  <c r="A1523" i="26" s="1"/>
  <c r="A1524" i="26" s="1"/>
  <c r="A1525" i="26" s="1"/>
  <c r="A1526" i="26" s="1"/>
  <c r="A1527" i="26" s="1"/>
  <c r="A1528" i="26" s="1"/>
  <c r="A1529" i="26" s="1"/>
  <c r="A1530" i="26" s="1"/>
  <c r="A1531" i="26" s="1"/>
  <c r="A1532" i="26" s="1"/>
  <c r="A1533" i="26" s="1"/>
  <c r="A1534" i="26" s="1"/>
  <c r="A1535" i="26" s="1"/>
  <c r="A1536" i="26" s="1"/>
  <c r="A1537" i="26" s="1"/>
  <c r="A1538" i="26" s="1"/>
  <c r="A1539" i="26" s="1"/>
  <c r="A1540" i="26" s="1"/>
  <c r="A1541" i="26" s="1"/>
  <c r="A1542" i="26" s="1"/>
  <c r="A1543" i="26" s="1"/>
  <c r="A1544" i="26" s="1"/>
  <c r="A1545" i="26" s="1"/>
  <c r="A1546" i="26" s="1"/>
  <c r="A1547" i="26" s="1"/>
  <c r="A1548" i="26" s="1"/>
  <c r="A1549" i="26" s="1"/>
  <c r="A1550" i="26" s="1"/>
  <c r="A1551" i="26" s="1"/>
  <c r="A1552" i="26" s="1"/>
  <c r="A1553" i="26" s="1"/>
  <c r="A1554" i="26" s="1"/>
  <c r="A1555" i="26" s="1"/>
  <c r="A1556" i="26" s="1"/>
  <c r="A1557" i="26" s="1"/>
  <c r="A1558" i="26" s="1"/>
  <c r="A1559" i="26" s="1"/>
  <c r="A1560" i="26" s="1"/>
  <c r="A1561" i="26" s="1"/>
  <c r="A1562" i="26" s="1"/>
  <c r="A1563" i="26" s="1"/>
  <c r="A1564" i="26" s="1"/>
  <c r="A1565" i="26" s="1"/>
  <c r="A1566" i="26" s="1"/>
  <c r="A1567" i="26" s="1"/>
  <c r="A1568" i="26" s="1"/>
  <c r="A1569" i="26" s="1"/>
  <c r="A1570" i="26" s="1"/>
  <c r="A1571" i="26" s="1"/>
  <c r="A1572" i="26" s="1"/>
  <c r="A1573" i="26" s="1"/>
  <c r="A1574" i="26" s="1"/>
  <c r="A1575" i="26" s="1"/>
  <c r="A1576" i="26" s="1"/>
  <c r="A1577" i="26" s="1"/>
  <c r="A1578" i="26" s="1"/>
  <c r="A1579" i="26" s="1"/>
  <c r="A1580" i="26" s="1"/>
  <c r="A1581" i="26" s="1"/>
  <c r="A1582" i="26" s="1"/>
  <c r="A1583" i="26" s="1"/>
  <c r="A1584" i="26" s="1"/>
  <c r="A1585" i="26" s="1"/>
  <c r="A1586" i="26" s="1"/>
  <c r="A1587" i="26" s="1"/>
  <c r="A1588" i="26" s="1"/>
  <c r="A1589" i="26" s="1"/>
  <c r="A1590" i="26" s="1"/>
  <c r="A1591" i="26" s="1"/>
  <c r="A1592" i="26" s="1"/>
  <c r="A1593" i="26" s="1"/>
  <c r="A1594" i="26" s="1"/>
  <c r="A1595" i="26" s="1"/>
  <c r="A1596" i="26" s="1"/>
  <c r="A1597" i="26" s="1"/>
  <c r="A1598" i="26" s="1"/>
  <c r="A1599" i="26" s="1"/>
  <c r="A1600" i="26" s="1"/>
  <c r="A1601" i="26" s="1"/>
  <c r="A1602" i="26" s="1"/>
  <c r="A1603" i="26" s="1"/>
  <c r="A1604" i="26" s="1"/>
  <c r="A1605" i="26" s="1"/>
  <c r="A1606" i="26" s="1"/>
  <c r="A1607" i="26" s="1"/>
  <c r="A1608" i="26" s="1"/>
  <c r="A1609" i="26" s="1"/>
  <c r="A1610" i="26" s="1"/>
  <c r="A1611" i="26" s="1"/>
  <c r="A1612" i="26" s="1"/>
  <c r="A1613" i="26" s="1"/>
  <c r="A1614" i="26" s="1"/>
  <c r="A1615" i="26" s="1"/>
  <c r="A1616" i="26" s="1"/>
  <c r="A1617" i="26" s="1"/>
  <c r="A1618" i="26" s="1"/>
  <c r="A1619" i="26" s="1"/>
  <c r="A1620" i="26" s="1"/>
  <c r="A1621" i="26" s="1"/>
  <c r="A1622" i="26" s="1"/>
  <c r="A1623" i="26" s="1"/>
  <c r="A1624" i="26" s="1"/>
  <c r="A1625" i="26" s="1"/>
  <c r="A1626" i="26" s="1"/>
  <c r="A1627" i="26" s="1"/>
  <c r="A1628" i="26" s="1"/>
  <c r="A1629" i="26" s="1"/>
  <c r="A1630" i="26" s="1"/>
  <c r="A1631" i="26" s="1"/>
  <c r="A1632" i="26" s="1"/>
  <c r="A1633" i="26" s="1"/>
  <c r="A1634" i="26" s="1"/>
  <c r="A1635" i="26" s="1"/>
  <c r="A1636" i="26" s="1"/>
  <c r="A1637" i="26" s="1"/>
  <c r="A1638" i="26" s="1"/>
  <c r="A1639" i="26" s="1"/>
  <c r="A1640" i="26" s="1"/>
  <c r="A1641" i="26" s="1"/>
  <c r="A1642" i="26" s="1"/>
  <c r="A1643" i="26" s="1"/>
  <c r="A1644" i="26" s="1"/>
  <c r="A1645" i="26" s="1"/>
  <c r="A1646" i="26" s="1"/>
  <c r="A1647" i="26" s="1"/>
  <c r="A1648" i="26" s="1"/>
  <c r="A1649" i="26" s="1"/>
  <c r="A1650" i="26" s="1"/>
  <c r="A1651" i="26" s="1"/>
  <c r="A1652" i="26" s="1"/>
  <c r="A1653" i="26" s="1"/>
  <c r="A1654" i="26" s="1"/>
  <c r="A1655" i="26" s="1"/>
  <c r="A1656" i="26" s="1"/>
  <c r="A1657" i="26" s="1"/>
  <c r="A1658" i="26" s="1"/>
  <c r="A1659" i="26" s="1"/>
  <c r="A1660" i="26" s="1"/>
  <c r="A1661" i="26" s="1"/>
  <c r="A1662" i="26" s="1"/>
  <c r="A1663" i="26" s="1"/>
  <c r="A1664" i="26" s="1"/>
  <c r="A1665" i="26" s="1"/>
  <c r="A1666" i="26" s="1"/>
  <c r="A1667" i="26" s="1"/>
  <c r="A1668" i="26" s="1"/>
  <c r="A1669" i="26" s="1"/>
  <c r="A1670" i="26" s="1"/>
  <c r="A1671" i="26" s="1"/>
  <c r="A1672" i="26" s="1"/>
  <c r="A1673" i="26" s="1"/>
  <c r="A1674" i="26" s="1"/>
  <c r="A1675" i="26" s="1"/>
  <c r="A1676" i="26" s="1"/>
  <c r="A1677" i="26" s="1"/>
  <c r="A1678" i="26" s="1"/>
  <c r="A1679" i="26" s="1"/>
  <c r="A1680" i="26" s="1"/>
  <c r="A1681" i="26" s="1"/>
  <c r="A1682" i="26" s="1"/>
  <c r="A1683" i="26" s="1"/>
  <c r="A1684" i="26" s="1"/>
  <c r="A1685" i="26" s="1"/>
  <c r="A1686" i="26" s="1"/>
  <c r="A1687" i="26" s="1"/>
  <c r="A1688" i="26" s="1"/>
  <c r="A1689" i="26" s="1"/>
  <c r="A1690" i="26" s="1"/>
  <c r="A1691" i="26" s="1"/>
  <c r="A1692" i="26" s="1"/>
  <c r="A1693" i="26" s="1"/>
  <c r="A1694" i="26" s="1"/>
  <c r="A1695" i="26" s="1"/>
  <c r="A1696" i="26" s="1"/>
  <c r="A1697" i="26" s="1"/>
  <c r="A1698" i="26" s="1"/>
  <c r="A1699" i="26" s="1"/>
  <c r="A1700" i="26" s="1"/>
  <c r="A1701" i="26" s="1"/>
  <c r="A1702" i="26" s="1"/>
  <c r="A1703" i="26" s="1"/>
  <c r="A1704" i="26" s="1"/>
  <c r="A1705" i="26" s="1"/>
  <c r="A1706" i="26" s="1"/>
  <c r="A1707" i="26" s="1"/>
  <c r="A1708" i="26" s="1"/>
  <c r="A1709" i="26" s="1"/>
  <c r="A1710" i="26" s="1"/>
  <c r="A1711" i="26" s="1"/>
  <c r="A1712" i="26" s="1"/>
  <c r="A1713" i="26" s="1"/>
  <c r="A1714" i="26" s="1"/>
  <c r="A1715" i="26" s="1"/>
  <c r="A1716" i="26" s="1"/>
  <c r="A1717" i="26" s="1"/>
  <c r="A1718" i="26" s="1"/>
  <c r="A1719" i="26" s="1"/>
  <c r="A1720" i="26" s="1"/>
  <c r="A1721" i="26" s="1"/>
  <c r="A1722" i="26" s="1"/>
  <c r="A1723" i="26" s="1"/>
  <c r="A1724" i="26" s="1"/>
  <c r="A1725" i="26" s="1"/>
  <c r="A1726" i="26" s="1"/>
  <c r="A1727" i="26" s="1"/>
  <c r="A1728" i="26" s="1"/>
  <c r="A1729" i="26" s="1"/>
  <c r="A1730" i="26" s="1"/>
  <c r="A1731" i="26" s="1"/>
  <c r="A1732" i="26" s="1"/>
  <c r="A1733" i="26" s="1"/>
  <c r="A1734" i="26" s="1"/>
  <c r="A1735" i="26" s="1"/>
  <c r="A1736" i="26" s="1"/>
  <c r="A1737" i="26" s="1"/>
  <c r="A1738" i="26" s="1"/>
  <c r="A1739" i="26" s="1"/>
  <c r="A1740" i="26" s="1"/>
  <c r="A1741" i="26" s="1"/>
  <c r="A1742" i="26" s="1"/>
  <c r="A1743" i="26" s="1"/>
  <c r="A1744" i="26" s="1"/>
  <c r="A1745" i="26" s="1"/>
  <c r="A1746" i="26" s="1"/>
  <c r="A1747" i="26" s="1"/>
  <c r="A1748" i="26" s="1"/>
  <c r="A1749" i="26" s="1"/>
  <c r="A1750" i="26" s="1"/>
  <c r="A1751" i="26" s="1"/>
  <c r="A1752" i="26" s="1"/>
  <c r="A1753" i="26" s="1"/>
  <c r="A1754" i="26" s="1"/>
  <c r="A1755" i="26" s="1"/>
  <c r="A1756" i="26" s="1"/>
  <c r="A1757" i="26" s="1"/>
  <c r="A1758" i="26" s="1"/>
  <c r="A1759" i="26" s="1"/>
  <c r="A1760" i="26" s="1"/>
  <c r="A1761" i="26" s="1"/>
  <c r="A1762" i="26" s="1"/>
  <c r="A1763" i="26" s="1"/>
  <c r="A1764" i="26" s="1"/>
  <c r="A1765" i="26" s="1"/>
  <c r="A1766" i="26" s="1"/>
  <c r="A1767" i="26" s="1"/>
  <c r="A1768" i="26" s="1"/>
  <c r="A1769" i="26" s="1"/>
  <c r="A1770" i="26" s="1"/>
  <c r="A1771" i="26" s="1"/>
  <c r="A1772" i="26" s="1"/>
  <c r="A1773" i="26" s="1"/>
  <c r="A1774" i="26" s="1"/>
  <c r="A1775" i="26" s="1"/>
  <c r="A1776" i="26" s="1"/>
  <c r="A1777" i="26" s="1"/>
  <c r="A1778" i="26" s="1"/>
  <c r="A1779" i="26" s="1"/>
  <c r="A1780" i="26" s="1"/>
  <c r="A1781" i="26" s="1"/>
  <c r="A1782" i="26" s="1"/>
  <c r="A1783" i="26" s="1"/>
  <c r="A1784" i="26" s="1"/>
  <c r="A1785" i="26" s="1"/>
  <c r="A1786" i="26" s="1"/>
  <c r="A1787" i="26" s="1"/>
  <c r="A1788" i="26" s="1"/>
  <c r="A1789" i="26" s="1"/>
  <c r="A1790" i="26" s="1"/>
  <c r="A1791" i="26" s="1"/>
  <c r="A1792" i="26" s="1"/>
  <c r="A1793" i="26" s="1"/>
  <c r="A1794" i="26" s="1"/>
  <c r="A1795" i="26" s="1"/>
  <c r="A1796" i="26" s="1"/>
  <c r="A1797" i="26" s="1"/>
  <c r="A1798" i="26" s="1"/>
  <c r="A1799" i="26" s="1"/>
  <c r="A1800" i="26" s="1"/>
  <c r="A1801" i="26" s="1"/>
  <c r="A1802" i="26" s="1"/>
  <c r="A1803" i="26" s="1"/>
  <c r="A1804" i="26" s="1"/>
  <c r="A1805" i="26" s="1"/>
  <c r="A1806" i="26" s="1"/>
  <c r="A1807" i="26" s="1"/>
  <c r="A1808" i="26" s="1"/>
  <c r="A1809" i="26" s="1"/>
  <c r="A1810" i="26" s="1"/>
  <c r="A1811" i="26" s="1"/>
  <c r="A1812" i="26" s="1"/>
  <c r="A1813" i="26" s="1"/>
  <c r="A1814" i="26" s="1"/>
  <c r="A1815" i="26" s="1"/>
  <c r="A1816" i="26" s="1"/>
  <c r="A1817" i="26" s="1"/>
  <c r="A1818" i="26" s="1"/>
  <c r="A1819" i="26" s="1"/>
  <c r="A1820" i="26" s="1"/>
  <c r="A1821" i="26" s="1"/>
  <c r="A1822" i="26" s="1"/>
  <c r="A1823" i="26" s="1"/>
  <c r="A1824" i="26" s="1"/>
  <c r="A1825" i="26" s="1"/>
  <c r="A1826" i="26" s="1"/>
  <c r="A1827" i="26" s="1"/>
  <c r="A1828" i="26" s="1"/>
  <c r="A1829" i="26" s="1"/>
  <c r="A1830" i="26" s="1"/>
  <c r="A1831" i="26" s="1"/>
  <c r="A1832" i="26" s="1"/>
  <c r="A1833" i="26" s="1"/>
  <c r="A1834" i="26" s="1"/>
  <c r="A1835" i="26" s="1"/>
  <c r="A1836" i="26" s="1"/>
  <c r="A1837" i="26" s="1"/>
  <c r="A1838" i="26" s="1"/>
  <c r="A1839" i="26" s="1"/>
  <c r="A1840" i="26" s="1"/>
  <c r="A1841" i="26" s="1"/>
  <c r="A1842" i="26" s="1"/>
  <c r="A1843" i="26" s="1"/>
  <c r="A1844" i="26" s="1"/>
  <c r="A1845" i="26" s="1"/>
  <c r="A1846" i="26" s="1"/>
  <c r="A1847" i="26" s="1"/>
  <c r="A1848" i="26" s="1"/>
  <c r="A1849" i="26" s="1"/>
  <c r="A1850" i="26" s="1"/>
  <c r="A1851" i="26" s="1"/>
  <c r="A1852" i="26" s="1"/>
  <c r="A1853" i="26" s="1"/>
  <c r="A1854" i="26" s="1"/>
  <c r="A1855" i="26" s="1"/>
  <c r="A1856" i="26" s="1"/>
  <c r="A1857" i="26" s="1"/>
  <c r="A1858" i="26" s="1"/>
  <c r="A1859" i="26" s="1"/>
  <c r="A1860" i="26" s="1"/>
  <c r="A1861" i="26" s="1"/>
  <c r="A1862" i="26" s="1"/>
  <c r="A1863" i="26" s="1"/>
  <c r="A1864" i="26" s="1"/>
  <c r="A1865" i="26" s="1"/>
  <c r="A1866" i="26" s="1"/>
  <c r="A1867" i="26" s="1"/>
  <c r="A1868" i="26" s="1"/>
  <c r="A1869" i="26" s="1"/>
  <c r="A1870" i="26" s="1"/>
  <c r="A1871" i="26" s="1"/>
  <c r="A1872" i="26" s="1"/>
  <c r="A1873" i="26" s="1"/>
  <c r="A1874" i="26" s="1"/>
  <c r="A1875" i="26" s="1"/>
  <c r="A1876" i="26" s="1"/>
  <c r="A1877" i="26" s="1"/>
  <c r="A1878" i="26" s="1"/>
  <c r="A1879" i="26" s="1"/>
  <c r="A1880" i="26" s="1"/>
  <c r="A1881" i="26" s="1"/>
  <c r="A1882" i="26" s="1"/>
  <c r="A1883" i="26" s="1"/>
  <c r="A1884" i="26" s="1"/>
  <c r="A1885" i="26" s="1"/>
  <c r="A1886" i="26" s="1"/>
  <c r="A1887" i="26" s="1"/>
  <c r="A1888" i="26" s="1"/>
  <c r="A1889" i="26" s="1"/>
  <c r="A1890" i="26" s="1"/>
  <c r="A1891" i="26" s="1"/>
  <c r="A1892" i="26" s="1"/>
  <c r="A1893" i="26" s="1"/>
  <c r="A1894" i="26" s="1"/>
  <c r="A1895" i="26" s="1"/>
  <c r="A1896" i="26" s="1"/>
  <c r="A1897" i="26" s="1"/>
  <c r="A1898" i="26" s="1"/>
  <c r="A1899" i="26" s="1"/>
  <c r="A1900" i="26" s="1"/>
  <c r="A1901" i="26" s="1"/>
  <c r="A1902" i="26" s="1"/>
  <c r="A1903" i="26" s="1"/>
  <c r="A1904" i="26" s="1"/>
  <c r="A1905" i="26" s="1"/>
  <c r="A1906" i="26" s="1"/>
  <c r="A1907" i="26" s="1"/>
  <c r="A1908" i="26" s="1"/>
  <c r="A1909" i="26" s="1"/>
  <c r="A1910" i="26" s="1"/>
  <c r="A1911" i="26" s="1"/>
  <c r="A1912" i="26" s="1"/>
  <c r="A1913" i="26" s="1"/>
  <c r="A1914" i="26" s="1"/>
  <c r="A1915" i="26" s="1"/>
  <c r="A1916" i="26" s="1"/>
  <c r="A1917" i="26" s="1"/>
  <c r="A1918" i="26" s="1"/>
  <c r="A1919" i="26" s="1"/>
  <c r="A1920" i="26" s="1"/>
  <c r="A1921" i="26" s="1"/>
  <c r="A1922" i="26" s="1"/>
  <c r="A1923" i="26" s="1"/>
  <c r="A1924" i="26" s="1"/>
  <c r="A1925" i="26" s="1"/>
  <c r="A1926" i="26" s="1"/>
  <c r="A1927" i="26" s="1"/>
  <c r="A1928" i="26" s="1"/>
  <c r="A1929" i="26" s="1"/>
  <c r="A1930" i="26" s="1"/>
  <c r="A1931" i="26" s="1"/>
  <c r="A1932" i="26" s="1"/>
  <c r="A1933" i="26" s="1"/>
  <c r="A1934" i="26" s="1"/>
  <c r="A1935" i="26" s="1"/>
  <c r="A1936" i="26" s="1"/>
  <c r="A1937" i="26" s="1"/>
  <c r="A1938" i="26" s="1"/>
  <c r="A1939" i="26" s="1"/>
  <c r="A1940" i="26" s="1"/>
  <c r="A1941" i="26" s="1"/>
  <c r="A1942" i="26" s="1"/>
  <c r="A1943" i="26" s="1"/>
  <c r="A1944" i="26" s="1"/>
  <c r="A1945" i="26" s="1"/>
  <c r="A1946" i="26" s="1"/>
  <c r="A1947" i="26" s="1"/>
  <c r="A1948" i="26" s="1"/>
  <c r="A1949" i="26" s="1"/>
  <c r="A1950" i="26" s="1"/>
  <c r="A1951" i="26" s="1"/>
  <c r="A1952" i="26" s="1"/>
  <c r="A1953" i="26" s="1"/>
  <c r="A1954" i="26" s="1"/>
  <c r="A1955" i="26" s="1"/>
  <c r="A1956" i="26" s="1"/>
  <c r="A1957" i="26" s="1"/>
  <c r="A1958" i="26" s="1"/>
  <c r="A1959" i="26" s="1"/>
  <c r="A1960" i="26" s="1"/>
  <c r="A1961" i="26" s="1"/>
  <c r="A1962" i="26" s="1"/>
  <c r="A1963" i="26" s="1"/>
  <c r="A1964" i="26" s="1"/>
  <c r="A1965" i="26" s="1"/>
  <c r="A1966" i="26" s="1"/>
  <c r="A1967" i="26" s="1"/>
  <c r="A1968" i="26" s="1"/>
  <c r="A1969" i="26" s="1"/>
  <c r="A1970" i="26" s="1"/>
  <c r="A1971" i="26" s="1"/>
  <c r="A1972" i="26" s="1"/>
  <c r="A1973" i="26" s="1"/>
  <c r="A1974" i="26" s="1"/>
  <c r="A1975" i="26" s="1"/>
  <c r="A1976" i="26" s="1"/>
  <c r="A1977" i="26" s="1"/>
  <c r="A1978" i="26" s="1"/>
  <c r="A1979" i="26" s="1"/>
  <c r="A1980" i="26" s="1"/>
  <c r="A1981" i="26" s="1"/>
  <c r="A1982" i="26" s="1"/>
  <c r="A1983" i="26" s="1"/>
  <c r="A1984" i="26" s="1"/>
  <c r="A1985" i="26" s="1"/>
  <c r="A1986" i="26" s="1"/>
  <c r="A1987" i="26" s="1"/>
  <c r="A1988" i="26" s="1"/>
  <c r="A1989" i="26" s="1"/>
  <c r="A1990" i="26" s="1"/>
  <c r="A1991" i="26" s="1"/>
  <c r="A1992" i="26" s="1"/>
  <c r="A1993" i="26" s="1"/>
  <c r="A1994" i="26" s="1"/>
  <c r="A1995" i="26" s="1"/>
  <c r="A1996" i="26" s="1"/>
  <c r="A1997" i="26" s="1"/>
  <c r="A1998" i="26" s="1"/>
  <c r="A1999" i="26" s="1"/>
  <c r="A2000" i="26" s="1"/>
  <c r="A2001" i="26" s="1"/>
  <c r="A2002" i="26" s="1"/>
  <c r="A2003" i="26" s="1"/>
  <c r="A2004" i="26" s="1"/>
  <c r="A2005" i="26" s="1"/>
  <c r="A2006" i="26" s="1"/>
  <c r="A2007" i="26" s="1"/>
  <c r="A2008" i="26" s="1"/>
  <c r="A2009" i="26" s="1"/>
  <c r="A2010" i="26" s="1"/>
  <c r="A2011" i="26" s="1"/>
  <c r="A2012" i="26" s="1"/>
  <c r="A2013" i="26" s="1"/>
  <c r="A2014" i="26" s="1"/>
  <c r="A2015" i="26" s="1"/>
  <c r="A2016" i="26" s="1"/>
  <c r="A2017" i="26" s="1"/>
  <c r="A2018" i="26" s="1"/>
  <c r="A2019" i="26" s="1"/>
  <c r="A2020" i="26" s="1"/>
  <c r="A2021" i="26" s="1"/>
  <c r="A2022" i="26" s="1"/>
  <c r="A2023" i="26" s="1"/>
  <c r="A2024" i="26" s="1"/>
  <c r="A2025" i="26" s="1"/>
  <c r="A2026" i="26" s="1"/>
  <c r="A2027" i="26" s="1"/>
  <c r="A2028" i="26" s="1"/>
  <c r="A2029" i="26" s="1"/>
  <c r="A2030" i="26" s="1"/>
  <c r="A2031" i="26" s="1"/>
  <c r="A2032" i="26" s="1"/>
  <c r="A2033" i="26" s="1"/>
  <c r="A2034" i="26" s="1"/>
  <c r="A2035" i="26" s="1"/>
  <c r="A2036" i="26" s="1"/>
  <c r="A2037" i="26" s="1"/>
  <c r="A2038" i="26" s="1"/>
  <c r="A2039" i="26" s="1"/>
  <c r="A2040" i="26" s="1"/>
  <c r="A2041" i="26" s="1"/>
  <c r="A2042" i="26" s="1"/>
  <c r="A2043" i="26" s="1"/>
  <c r="A2044" i="26" s="1"/>
  <c r="A2045" i="26" s="1"/>
  <c r="A2046" i="26" s="1"/>
  <c r="A2047" i="26" s="1"/>
  <c r="A2048" i="26" s="1"/>
  <c r="A2049" i="26" s="1"/>
  <c r="A2050" i="26" s="1"/>
  <c r="A2051" i="26" s="1"/>
  <c r="A2052" i="26" s="1"/>
  <c r="A2053" i="26" s="1"/>
  <c r="A2054" i="26" s="1"/>
  <c r="A2055" i="26" s="1"/>
  <c r="A2056" i="26" s="1"/>
  <c r="A2057" i="26" s="1"/>
  <c r="A2058" i="26" s="1"/>
  <c r="A2059" i="26" s="1"/>
  <c r="A2060" i="26" s="1"/>
  <c r="A2061" i="26" s="1"/>
  <c r="A2062" i="26" s="1"/>
  <c r="A2063" i="26" s="1"/>
  <c r="A2064" i="26" s="1"/>
  <c r="A2065" i="26" s="1"/>
  <c r="A2066" i="26" s="1"/>
  <c r="A2067" i="26" s="1"/>
  <c r="A2068" i="26" s="1"/>
  <c r="A2069" i="26" s="1"/>
  <c r="A2070" i="26" s="1"/>
  <c r="A2071" i="26" s="1"/>
  <c r="A2072" i="26" s="1"/>
  <c r="A2073" i="26" s="1"/>
  <c r="A2074" i="26" s="1"/>
  <c r="A2075" i="26" s="1"/>
  <c r="A2076" i="26" s="1"/>
  <c r="A2077" i="26" s="1"/>
  <c r="A2078" i="26" s="1"/>
  <c r="A2079" i="26" s="1"/>
  <c r="A2080" i="26" s="1"/>
  <c r="A2081" i="26" s="1"/>
  <c r="A2082" i="26" s="1"/>
  <c r="A2083" i="26" s="1"/>
  <c r="A2084" i="26" s="1"/>
  <c r="A2085" i="26" s="1"/>
  <c r="A2086" i="26" s="1"/>
  <c r="A2087" i="26" s="1"/>
  <c r="A2088" i="26" s="1"/>
  <c r="A2089" i="26" s="1"/>
  <c r="A2090" i="26" s="1"/>
  <c r="A2091" i="26" s="1"/>
  <c r="A2092" i="26" s="1"/>
  <c r="A2093" i="26" s="1"/>
  <c r="A2094" i="26" s="1"/>
  <c r="A2095" i="26" s="1"/>
  <c r="A2096" i="26" s="1"/>
  <c r="A2097" i="26" s="1"/>
  <c r="A2098" i="26" s="1"/>
  <c r="A2099" i="26" s="1"/>
  <c r="A2100" i="26" s="1"/>
  <c r="A2101" i="26" s="1"/>
  <c r="A2102" i="26" s="1"/>
  <c r="A2103" i="26" s="1"/>
  <c r="A2104" i="26" s="1"/>
  <c r="A2105" i="26" s="1"/>
  <c r="A2106" i="26" s="1"/>
  <c r="A2107" i="26" s="1"/>
  <c r="A2108" i="26" s="1"/>
  <c r="A2109" i="26" s="1"/>
  <c r="A2110" i="26" s="1"/>
  <c r="A2111" i="26" s="1"/>
  <c r="A2112" i="26" s="1"/>
  <c r="A2113" i="26" s="1"/>
  <c r="A2114" i="26" s="1"/>
  <c r="A2115" i="26" s="1"/>
  <c r="A2116" i="26" s="1"/>
  <c r="A2117" i="26" s="1"/>
  <c r="A2118" i="26" s="1"/>
  <c r="A2119" i="26" s="1"/>
  <c r="A2120" i="26" s="1"/>
  <c r="A2121" i="26" s="1"/>
  <c r="A2122" i="26" s="1"/>
  <c r="A2123" i="26" s="1"/>
  <c r="A2124" i="26" s="1"/>
  <c r="A2125" i="26" s="1"/>
  <c r="A2126" i="26" s="1"/>
  <c r="A2127" i="26" s="1"/>
  <c r="A2128" i="26" s="1"/>
  <c r="A2129" i="26" s="1"/>
  <c r="A2130" i="26" s="1"/>
  <c r="A2131" i="26" s="1"/>
  <c r="A2132" i="26" s="1"/>
  <c r="A2133" i="26" s="1"/>
  <c r="A2134" i="26" s="1"/>
  <c r="A2135" i="26" s="1"/>
  <c r="A2136" i="26" s="1"/>
  <c r="A2137" i="26" s="1"/>
  <c r="A2138" i="26" s="1"/>
  <c r="A2139" i="26" s="1"/>
  <c r="A2140" i="26" s="1"/>
  <c r="A2141" i="26" s="1"/>
  <c r="A2142" i="26" s="1"/>
  <c r="A2143" i="26" s="1"/>
  <c r="A2144" i="26" s="1"/>
  <c r="A2145" i="26" s="1"/>
  <c r="A2146" i="26" s="1"/>
  <c r="A2147" i="26" s="1"/>
  <c r="A2148" i="26" s="1"/>
  <c r="A2149" i="26" s="1"/>
  <c r="A2150" i="26" s="1"/>
  <c r="A2151" i="26" s="1"/>
  <c r="A2152" i="26" s="1"/>
  <c r="A2153" i="26" s="1"/>
  <c r="A2154" i="26" s="1"/>
  <c r="A2155" i="26" s="1"/>
  <c r="A2156" i="26" s="1"/>
  <c r="A2157" i="26" s="1"/>
  <c r="A2158" i="26" s="1"/>
  <c r="A2159" i="26" s="1"/>
  <c r="A2160" i="26" s="1"/>
  <c r="A2161" i="26" s="1"/>
  <c r="A2162" i="26" s="1"/>
  <c r="A2163" i="26" s="1"/>
  <c r="A2164" i="26" s="1"/>
  <c r="A2165" i="26" s="1"/>
  <c r="A2166" i="26" s="1"/>
  <c r="A2167" i="26" s="1"/>
  <c r="A2168" i="26" s="1"/>
  <c r="A2169" i="26" s="1"/>
  <c r="A2170" i="26" s="1"/>
  <c r="A2171" i="26" s="1"/>
  <c r="A2172" i="26" s="1"/>
  <c r="A2173" i="26" s="1"/>
  <c r="A2174" i="26" s="1"/>
  <c r="A2175" i="26" s="1"/>
  <c r="A2176" i="26" s="1"/>
  <c r="A2177" i="26" s="1"/>
  <c r="A2178" i="26" s="1"/>
  <c r="A2179" i="26" s="1"/>
  <c r="A2180" i="26" s="1"/>
  <c r="A2181" i="26" s="1"/>
  <c r="A2182" i="26" s="1"/>
  <c r="A2183" i="26" s="1"/>
  <c r="A2184" i="26" s="1"/>
  <c r="A2185" i="26" s="1"/>
  <c r="A2186" i="26" s="1"/>
  <c r="A2187" i="26" s="1"/>
  <c r="A2188" i="26" s="1"/>
  <c r="A2189" i="26" s="1"/>
  <c r="A2190" i="26" s="1"/>
  <c r="A2191" i="26" s="1"/>
  <c r="A2192" i="26" s="1"/>
  <c r="A2193" i="26" s="1"/>
  <c r="A2194" i="26" s="1"/>
  <c r="A2195" i="26" s="1"/>
  <c r="A2196" i="26" s="1"/>
  <c r="A2197" i="26" s="1"/>
  <c r="A2198" i="26" s="1"/>
  <c r="A2199" i="26" s="1"/>
  <c r="A2200" i="26" s="1"/>
  <c r="A2201" i="26" s="1"/>
  <c r="A2202" i="26" s="1"/>
  <c r="A2203" i="26" s="1"/>
  <c r="A2204" i="26" s="1"/>
  <c r="A2205" i="26" s="1"/>
  <c r="A2206" i="26" s="1"/>
  <c r="A2207" i="26" s="1"/>
  <c r="A2208" i="26" s="1"/>
  <c r="A2209" i="26" s="1"/>
  <c r="A2210" i="26" s="1"/>
  <c r="A2211" i="26" s="1"/>
  <c r="A2212" i="26" s="1"/>
  <c r="A2213" i="26" s="1"/>
  <c r="A2214" i="26" s="1"/>
  <c r="A2215" i="26" s="1"/>
  <c r="A2216" i="26" s="1"/>
  <c r="A2217" i="26" s="1"/>
  <c r="A2218" i="26" s="1"/>
  <c r="A2219" i="26" s="1"/>
  <c r="A2220" i="26" s="1"/>
  <c r="A2221" i="26" s="1"/>
  <c r="A2222" i="26" s="1"/>
  <c r="A2223" i="26" s="1"/>
  <c r="A2224" i="26" s="1"/>
  <c r="A2225" i="26" s="1"/>
  <c r="A2226" i="26" s="1"/>
  <c r="A2227" i="26" s="1"/>
  <c r="A2228" i="26" s="1"/>
  <c r="A2229" i="26" s="1"/>
  <c r="A2230" i="26" s="1"/>
  <c r="A2231" i="26" s="1"/>
  <c r="A2232" i="26" s="1"/>
  <c r="A2233" i="26" s="1"/>
  <c r="A2234" i="26" s="1"/>
  <c r="A2235" i="26" s="1"/>
  <c r="A2236" i="26" s="1"/>
  <c r="A2237" i="26" s="1"/>
  <c r="A2238" i="26" s="1"/>
  <c r="A2239" i="26" s="1"/>
  <c r="A2240" i="26" s="1"/>
  <c r="A2241" i="26" s="1"/>
  <c r="A2242" i="26" s="1"/>
  <c r="A2243" i="26" s="1"/>
  <c r="A2244" i="26" s="1"/>
  <c r="A2245" i="26" s="1"/>
  <c r="A2246" i="26" s="1"/>
  <c r="A2247" i="26" s="1"/>
  <c r="A2248" i="26" s="1"/>
  <c r="A2249" i="26" s="1"/>
  <c r="A2250" i="26" s="1"/>
  <c r="A2251" i="26" s="1"/>
  <c r="A2252" i="26" s="1"/>
  <c r="A2253" i="26" s="1"/>
  <c r="A2254" i="26" s="1"/>
  <c r="A2255" i="26" s="1"/>
  <c r="A2256" i="26" s="1"/>
  <c r="A2257" i="26" s="1"/>
  <c r="A2258" i="26" s="1"/>
  <c r="A2259" i="26" s="1"/>
  <c r="A2260" i="26" s="1"/>
  <c r="A2261" i="26" s="1"/>
  <c r="A2262" i="26" s="1"/>
  <c r="A2263" i="26" s="1"/>
  <c r="A2264" i="26" s="1"/>
  <c r="A2265" i="26" s="1"/>
  <c r="A2266" i="26" s="1"/>
  <c r="A2267" i="26" s="1"/>
  <c r="A2268" i="26" s="1"/>
  <c r="A2269" i="26" s="1"/>
  <c r="A2270" i="26" s="1"/>
  <c r="A2271" i="26" s="1"/>
  <c r="A2272" i="26" s="1"/>
  <c r="A2273" i="26" s="1"/>
  <c r="A2274" i="26" s="1"/>
  <c r="A2275" i="26" s="1"/>
  <c r="A2276" i="26" s="1"/>
  <c r="A2277" i="26" s="1"/>
  <c r="A2278" i="26" s="1"/>
  <c r="A2279" i="26" s="1"/>
  <c r="A2280" i="26" s="1"/>
  <c r="A2281" i="26" s="1"/>
  <c r="A2282" i="26" s="1"/>
  <c r="A2283" i="26" s="1"/>
  <c r="A2284" i="26" s="1"/>
  <c r="A2285" i="26" s="1"/>
  <c r="A2286" i="26" s="1"/>
  <c r="A2287" i="26" s="1"/>
  <c r="A2288" i="26" s="1"/>
  <c r="A2289" i="26" s="1"/>
  <c r="A2290" i="26" s="1"/>
  <c r="A2291" i="26" s="1"/>
  <c r="A2292" i="26" s="1"/>
  <c r="A2293" i="26" s="1"/>
  <c r="A2294" i="26" s="1"/>
  <c r="A2295" i="26" s="1"/>
  <c r="A2296" i="26" s="1"/>
  <c r="A2297" i="26" s="1"/>
  <c r="A2298" i="26" s="1"/>
  <c r="A2299" i="26" s="1"/>
  <c r="A2300" i="26" s="1"/>
  <c r="A2301" i="26" s="1"/>
  <c r="A2302" i="26" s="1"/>
  <c r="A2303" i="26" s="1"/>
  <c r="A2304" i="26" s="1"/>
  <c r="A2305" i="26" s="1"/>
  <c r="A2306" i="26" s="1"/>
  <c r="A2307" i="26" s="1"/>
  <c r="A2308" i="26" s="1"/>
  <c r="A2309" i="26" s="1"/>
  <c r="A2310" i="26" s="1"/>
  <c r="A2311" i="26" s="1"/>
  <c r="A2312" i="26" s="1"/>
  <c r="A2313" i="26" s="1"/>
  <c r="A2314" i="26" s="1"/>
  <c r="A2315" i="26" s="1"/>
  <c r="A2316" i="26" s="1"/>
  <c r="A2317" i="26" s="1"/>
  <c r="A2318" i="26" s="1"/>
  <c r="A2319" i="26" s="1"/>
  <c r="A2320" i="26" s="1"/>
  <c r="A2321" i="26" s="1"/>
  <c r="A2322" i="26" s="1"/>
  <c r="A2323" i="26" s="1"/>
  <c r="A2324" i="26" s="1"/>
  <c r="A2325" i="26" s="1"/>
  <c r="A2326" i="26" s="1"/>
  <c r="A2327" i="26" s="1"/>
  <c r="A2328" i="26" s="1"/>
  <c r="A2329" i="26" s="1"/>
  <c r="A2330" i="26" s="1"/>
  <c r="A2331" i="26" s="1"/>
  <c r="A2332" i="26" s="1"/>
  <c r="A2333" i="26" s="1"/>
  <c r="A2334" i="26" s="1"/>
  <c r="A2335" i="26" s="1"/>
  <c r="A2336" i="26" s="1"/>
  <c r="A2337" i="26" s="1"/>
  <c r="A2338" i="26" s="1"/>
  <c r="A2339" i="26" s="1"/>
  <c r="A2340" i="26" s="1"/>
  <c r="A2341" i="26" s="1"/>
  <c r="A2342" i="26" s="1"/>
  <c r="A2343" i="26" s="1"/>
  <c r="A2344" i="26" s="1"/>
  <c r="A2345" i="26" s="1"/>
  <c r="A2346" i="26" s="1"/>
  <c r="A2347" i="26" s="1"/>
  <c r="A2348" i="26" s="1"/>
  <c r="A2349" i="26" s="1"/>
  <c r="A2350" i="26" s="1"/>
  <c r="A2351" i="26" s="1"/>
  <c r="A2352" i="26" s="1"/>
  <c r="A2353" i="26" s="1"/>
  <c r="A2354" i="26" s="1"/>
  <c r="A2355" i="26" s="1"/>
  <c r="A2356" i="26" s="1"/>
  <c r="A2357" i="26" s="1"/>
  <c r="A2358" i="26" s="1"/>
  <c r="A2359" i="26" s="1"/>
  <c r="A2360" i="26" s="1"/>
  <c r="A2361" i="26" s="1"/>
  <c r="A2362" i="26" s="1"/>
  <c r="A2363" i="26" s="1"/>
  <c r="A2364" i="26" s="1"/>
  <c r="A2365" i="26" s="1"/>
  <c r="A2366" i="26" s="1"/>
  <c r="A2367" i="26" s="1"/>
  <c r="A2368" i="26" s="1"/>
  <c r="A2369" i="26" s="1"/>
  <c r="A2370" i="26" s="1"/>
  <c r="A2371" i="26" s="1"/>
  <c r="A2372" i="26" s="1"/>
  <c r="A2373" i="26" s="1"/>
  <c r="A2374" i="26" s="1"/>
  <c r="A2375" i="26" s="1"/>
  <c r="A2376" i="26" s="1"/>
  <c r="A2377" i="26" s="1"/>
  <c r="A2378" i="26" s="1"/>
  <c r="A2379" i="26" s="1"/>
  <c r="A2380" i="26" s="1"/>
  <c r="A2381" i="26" s="1"/>
  <c r="A2382" i="26" s="1"/>
  <c r="A2383" i="26" s="1"/>
  <c r="A2384" i="26" s="1"/>
  <c r="A2385" i="26" s="1"/>
  <c r="A2386" i="26" s="1"/>
  <c r="A2387" i="26" s="1"/>
  <c r="A2388" i="26" s="1"/>
  <c r="A2389" i="26" s="1"/>
  <c r="A2390" i="26" s="1"/>
  <c r="A2391" i="26" s="1"/>
  <c r="A2392" i="26" s="1"/>
  <c r="A2393" i="26" s="1"/>
  <c r="A2394" i="26" s="1"/>
  <c r="A2395" i="26" s="1"/>
  <c r="A2396" i="26" s="1"/>
  <c r="A2397" i="26" s="1"/>
  <c r="A2398" i="26" s="1"/>
  <c r="A2399" i="26" s="1"/>
  <c r="A2400" i="26" s="1"/>
  <c r="A2401" i="26" s="1"/>
  <c r="A2402" i="26" s="1"/>
  <c r="A2403" i="26" s="1"/>
  <c r="A2404" i="26" s="1"/>
  <c r="A2405" i="26" s="1"/>
  <c r="A2406" i="26" s="1"/>
  <c r="A2407" i="26" s="1"/>
  <c r="A2408" i="26" s="1"/>
  <c r="A2409" i="26" s="1"/>
  <c r="A2410" i="26" s="1"/>
  <c r="A2411" i="26" s="1"/>
  <c r="A2412" i="26" s="1"/>
  <c r="A2413" i="26" s="1"/>
  <c r="A2414" i="26" s="1"/>
  <c r="A2415" i="26" s="1"/>
  <c r="A2416" i="26" s="1"/>
  <c r="A2417" i="26" s="1"/>
  <c r="A2418" i="26" s="1"/>
  <c r="A2419" i="26" s="1"/>
  <c r="A2420" i="26" s="1"/>
  <c r="A2421" i="26" s="1"/>
  <c r="A2422" i="26" s="1"/>
  <c r="A2423" i="26" s="1"/>
  <c r="A2424" i="26" s="1"/>
  <c r="A2425" i="26" s="1"/>
  <c r="A2426" i="26" s="1"/>
  <c r="A2427" i="26" s="1"/>
  <c r="A2428" i="26" s="1"/>
  <c r="A2429" i="26" s="1"/>
  <c r="A2430" i="26" s="1"/>
  <c r="A2431" i="26" s="1"/>
  <c r="A2432" i="26" s="1"/>
  <c r="A2433" i="26" s="1"/>
  <c r="A2434" i="26" s="1"/>
  <c r="A2435" i="26" s="1"/>
  <c r="A2436" i="26" s="1"/>
  <c r="A2437" i="26" s="1"/>
  <c r="A2438" i="26" s="1"/>
  <c r="A2439" i="26" s="1"/>
  <c r="A2440" i="26" s="1"/>
  <c r="A2441" i="26" s="1"/>
  <c r="A2442" i="26" s="1"/>
  <c r="A2443" i="26" s="1"/>
  <c r="A2444" i="26" s="1"/>
  <c r="A2445" i="26" s="1"/>
  <c r="A2446" i="26" s="1"/>
  <c r="A2447" i="26" s="1"/>
  <c r="A2448" i="26" s="1"/>
  <c r="A2449" i="26" s="1"/>
  <c r="A2450" i="26" s="1"/>
  <c r="A2451" i="26" s="1"/>
  <c r="A2452" i="26" s="1"/>
  <c r="A2453" i="26" s="1"/>
  <c r="A2454" i="26" s="1"/>
  <c r="A2455" i="26" s="1"/>
  <c r="A2456" i="26" s="1"/>
  <c r="A2457" i="26" s="1"/>
  <c r="A2458" i="26" s="1"/>
  <c r="A2459" i="26" s="1"/>
  <c r="A2460" i="26" s="1"/>
  <c r="A2461" i="26" s="1"/>
  <c r="A2462" i="26" s="1"/>
  <c r="A2463" i="26" s="1"/>
  <c r="A2464" i="26" s="1"/>
  <c r="A2465" i="26" s="1"/>
  <c r="A2466" i="26" s="1"/>
  <c r="A2467" i="26" s="1"/>
  <c r="A2468" i="26" s="1"/>
  <c r="A2469" i="26" s="1"/>
  <c r="A2470" i="26" s="1"/>
  <c r="A2471" i="26" s="1"/>
  <c r="A2472" i="26" s="1"/>
  <c r="A2473" i="26" s="1"/>
  <c r="A2474" i="26" s="1"/>
  <c r="A2475" i="26" s="1"/>
  <c r="A2476" i="26" s="1"/>
  <c r="A2477" i="26" s="1"/>
  <c r="A2478" i="26" s="1"/>
  <c r="A2479" i="26" s="1"/>
  <c r="A2480" i="26" s="1"/>
  <c r="A2481" i="26" s="1"/>
  <c r="A2482" i="26" s="1"/>
  <c r="A2483" i="26" s="1"/>
  <c r="A2484" i="26" s="1"/>
  <c r="A2485" i="26" s="1"/>
  <c r="A2486" i="26" s="1"/>
  <c r="A2487" i="26" s="1"/>
  <c r="A2488" i="26" s="1"/>
  <c r="A2489" i="26" s="1"/>
  <c r="A2490" i="26" s="1"/>
  <c r="A2491" i="26" s="1"/>
  <c r="A2492" i="26" s="1"/>
  <c r="A2493" i="26" s="1"/>
  <c r="A2494" i="26" s="1"/>
  <c r="A2495" i="26" s="1"/>
  <c r="A2496" i="26" s="1"/>
  <c r="A2497" i="26" s="1"/>
  <c r="A2498" i="26" s="1"/>
  <c r="A2499" i="26" s="1"/>
  <c r="A2500" i="26" s="1"/>
  <c r="A2501" i="26" s="1"/>
  <c r="A2502" i="26" s="1"/>
  <c r="A2503" i="26" s="1"/>
  <c r="A2504" i="26" s="1"/>
  <c r="A2505" i="26" s="1"/>
  <c r="A2506" i="26" s="1"/>
  <c r="A2507" i="26" s="1"/>
  <c r="A2508" i="26" s="1"/>
  <c r="A2509" i="26" s="1"/>
  <c r="A2510" i="26" s="1"/>
  <c r="A2511" i="26" s="1"/>
  <c r="A2512" i="26" s="1"/>
  <c r="A2513" i="26" s="1"/>
  <c r="A2514" i="26" s="1"/>
  <c r="A2515" i="26" s="1"/>
  <c r="A2516" i="26" s="1"/>
  <c r="A2517" i="26" s="1"/>
  <c r="A2518" i="26" s="1"/>
  <c r="A2519" i="26" s="1"/>
  <c r="A2520" i="26" s="1"/>
  <c r="A2521" i="26" s="1"/>
  <c r="A2522" i="26" s="1"/>
  <c r="A2523" i="26" s="1"/>
  <c r="A2524" i="26" s="1"/>
  <c r="A2525" i="26" s="1"/>
  <c r="A2526" i="26" s="1"/>
  <c r="A2527" i="26" s="1"/>
  <c r="A2528" i="26" s="1"/>
  <c r="A2529" i="26" s="1"/>
  <c r="A2530" i="26" s="1"/>
  <c r="A2531" i="26" s="1"/>
  <c r="A2532" i="26" s="1"/>
  <c r="A2533" i="26" s="1"/>
  <c r="A2534" i="26" s="1"/>
  <c r="A2535" i="26" s="1"/>
  <c r="A2536" i="26" s="1"/>
  <c r="A2537" i="26" s="1"/>
  <c r="A2538" i="26" s="1"/>
  <c r="A2539" i="26" s="1"/>
  <c r="A2540" i="26" s="1"/>
  <c r="A2541" i="26" s="1"/>
  <c r="A2542" i="26" s="1"/>
  <c r="A2543" i="26" s="1"/>
  <c r="A2544" i="26" s="1"/>
  <c r="A2545" i="26" s="1"/>
  <c r="A2546" i="26" s="1"/>
  <c r="A2547" i="26" s="1"/>
  <c r="A2548" i="26" s="1"/>
  <c r="A2549" i="26" s="1"/>
  <c r="A2550" i="26" s="1"/>
  <c r="A2551" i="26" s="1"/>
  <c r="A2552" i="26" s="1"/>
  <c r="A2553" i="26" s="1"/>
  <c r="A2554" i="26" s="1"/>
  <c r="A2555" i="26" s="1"/>
  <c r="A2556" i="26" s="1"/>
  <c r="A2557" i="26" s="1"/>
  <c r="A2558" i="26" s="1"/>
  <c r="A2559" i="26" s="1"/>
  <c r="A2560" i="26" s="1"/>
  <c r="A2561" i="26" s="1"/>
  <c r="A2562" i="26" s="1"/>
  <c r="A2563" i="26" s="1"/>
  <c r="A2564" i="26" s="1"/>
  <c r="A2565" i="26" s="1"/>
  <c r="A2566" i="26" s="1"/>
  <c r="A2567" i="26" s="1"/>
  <c r="A2568" i="26" s="1"/>
  <c r="A2569" i="26" s="1"/>
  <c r="A2570" i="26" s="1"/>
  <c r="A2571" i="26" s="1"/>
  <c r="A2572" i="26" s="1"/>
  <c r="A2573" i="26" s="1"/>
  <c r="A2574" i="26" s="1"/>
  <c r="A2575" i="26" s="1"/>
  <c r="A2576" i="26" s="1"/>
  <c r="A2577" i="26" s="1"/>
  <c r="A2578" i="26" s="1"/>
  <c r="A2579" i="26" s="1"/>
  <c r="A2580" i="26" s="1"/>
  <c r="A2581" i="26" s="1"/>
  <c r="A2582" i="26" s="1"/>
  <c r="A2583" i="26" s="1"/>
  <c r="A2584" i="26" s="1"/>
  <c r="A2585" i="26" s="1"/>
  <c r="A2586" i="26" s="1"/>
  <c r="A2587" i="26" s="1"/>
  <c r="A2588" i="26" s="1"/>
  <c r="A2589" i="26" s="1"/>
  <c r="A2590" i="26" s="1"/>
  <c r="A2591" i="26" s="1"/>
  <c r="A2592" i="26" s="1"/>
  <c r="A2593" i="26" s="1"/>
  <c r="A2594" i="26" s="1"/>
  <c r="A2595" i="26" s="1"/>
  <c r="A2596" i="26" s="1"/>
  <c r="A2597" i="26" s="1"/>
  <c r="A2598" i="26" s="1"/>
  <c r="A2599" i="26" s="1"/>
  <c r="A2600" i="26" s="1"/>
  <c r="A2601" i="26" s="1"/>
  <c r="A2602" i="26" s="1"/>
  <c r="A2603" i="26" s="1"/>
  <c r="A2604" i="26" s="1"/>
  <c r="A2605" i="26" s="1"/>
  <c r="A2606" i="26" s="1"/>
  <c r="A2607" i="26" s="1"/>
  <c r="A2608" i="26" s="1"/>
  <c r="A2609" i="26" s="1"/>
  <c r="A2610" i="26" s="1"/>
  <c r="A2611" i="26" s="1"/>
  <c r="A2612" i="26" s="1"/>
  <c r="A2613" i="26" s="1"/>
  <c r="A2614" i="26" s="1"/>
  <c r="A2615" i="26" s="1"/>
  <c r="A2616" i="26" s="1"/>
  <c r="A2617" i="26" s="1"/>
  <c r="A2618" i="26" s="1"/>
  <c r="A2619" i="26" s="1"/>
  <c r="A2620" i="26" s="1"/>
  <c r="A2621" i="26" s="1"/>
  <c r="A2622" i="26" s="1"/>
  <c r="A2623" i="26" s="1"/>
  <c r="A2624" i="26" s="1"/>
  <c r="A2625" i="26" s="1"/>
  <c r="A2626" i="26" s="1"/>
  <c r="A2627" i="26" s="1"/>
  <c r="A2628" i="26" s="1"/>
  <c r="A2629" i="26" s="1"/>
  <c r="A2630" i="26" s="1"/>
  <c r="A2631" i="26" s="1"/>
  <c r="A2632" i="26" s="1"/>
  <c r="A2633" i="26" s="1"/>
  <c r="A2634" i="26" s="1"/>
  <c r="A2635" i="26" s="1"/>
  <c r="A2636" i="26" s="1"/>
  <c r="A2637" i="26" s="1"/>
  <c r="A2638" i="26" s="1"/>
  <c r="A2639" i="26" s="1"/>
  <c r="A2640" i="26" s="1"/>
  <c r="A2641" i="26" s="1"/>
  <c r="A2642" i="26" s="1"/>
  <c r="A2643" i="26" s="1"/>
  <c r="A2644" i="26" s="1"/>
  <c r="A2645" i="26" s="1"/>
  <c r="A2646" i="26" s="1"/>
  <c r="A2647" i="26" s="1"/>
  <c r="A2648" i="26" s="1"/>
  <c r="A2649" i="26" s="1"/>
  <c r="A2650" i="26" s="1"/>
  <c r="A2651" i="26" s="1"/>
  <c r="A2652" i="26" s="1"/>
  <c r="A2653" i="26" s="1"/>
  <c r="A2654" i="26" s="1"/>
  <c r="A2655" i="26" s="1"/>
  <c r="A2656" i="26" s="1"/>
  <c r="A2657" i="26" s="1"/>
  <c r="A2658" i="26" s="1"/>
  <c r="A2659" i="26" s="1"/>
  <c r="A2660" i="26" s="1"/>
  <c r="A2661" i="26" s="1"/>
  <c r="A2662" i="26" s="1"/>
  <c r="A2663" i="26" s="1"/>
  <c r="A2664" i="26" s="1"/>
  <c r="A2665" i="26" s="1"/>
  <c r="A2666" i="26" s="1"/>
  <c r="A2667" i="26" s="1"/>
  <c r="A2668" i="26" s="1"/>
  <c r="A2669" i="26" s="1"/>
  <c r="A2670" i="26" s="1"/>
  <c r="A2671" i="26" s="1"/>
  <c r="A2672" i="26" s="1"/>
  <c r="A2673" i="26" s="1"/>
  <c r="A2674" i="26" s="1"/>
  <c r="A2675" i="26" s="1"/>
  <c r="A2676" i="26" s="1"/>
  <c r="A2677" i="26" s="1"/>
  <c r="A2678" i="26" s="1"/>
  <c r="A2679" i="26" s="1"/>
  <c r="A2680" i="26" s="1"/>
  <c r="A2681" i="26" s="1"/>
  <c r="A2682" i="26" s="1"/>
  <c r="A2683" i="26" s="1"/>
  <c r="A2684" i="26" s="1"/>
  <c r="A2685" i="26" s="1"/>
  <c r="A2686" i="26" s="1"/>
  <c r="A2687" i="26" s="1"/>
  <c r="A2688" i="26" s="1"/>
  <c r="A2689" i="26" s="1"/>
  <c r="A2690" i="26" s="1"/>
  <c r="A2691" i="26" s="1"/>
  <c r="A2692" i="26" s="1"/>
  <c r="A2693" i="26" s="1"/>
  <c r="A2694" i="26" s="1"/>
  <c r="A2695" i="26" s="1"/>
  <c r="A2696" i="26" s="1"/>
  <c r="A2697" i="26" s="1"/>
  <c r="A2698" i="26" s="1"/>
  <c r="A2699" i="26" s="1"/>
  <c r="A2700" i="26" s="1"/>
  <c r="A2701" i="26" s="1"/>
  <c r="A2702" i="26" s="1"/>
  <c r="A2703" i="26" s="1"/>
  <c r="A2704" i="26" s="1"/>
  <c r="A2705" i="26" s="1"/>
  <c r="A2706" i="26" s="1"/>
  <c r="A2707" i="26" s="1"/>
  <c r="A2708" i="26" s="1"/>
  <c r="A2709" i="26" s="1"/>
  <c r="A2710" i="26" s="1"/>
  <c r="A2711" i="26" s="1"/>
  <c r="A2712" i="26" s="1"/>
  <c r="A2713" i="26" s="1"/>
  <c r="A2714" i="26" s="1"/>
  <c r="A2715" i="26" s="1"/>
  <c r="A2716" i="26" s="1"/>
  <c r="A2717" i="26" s="1"/>
  <c r="A2718" i="26" s="1"/>
  <c r="A2719" i="26" s="1"/>
  <c r="A2720" i="26" s="1"/>
  <c r="A2721" i="26" s="1"/>
  <c r="A2722" i="26" s="1"/>
  <c r="A2723" i="26" s="1"/>
  <c r="A2724" i="26" s="1"/>
  <c r="A2725" i="26" s="1"/>
  <c r="A2726" i="26" s="1"/>
  <c r="A2727" i="26" s="1"/>
  <c r="A2728" i="26" s="1"/>
  <c r="A2729" i="26" s="1"/>
  <c r="A2730" i="26" s="1"/>
  <c r="A2731" i="26" s="1"/>
  <c r="A2732" i="26" s="1"/>
  <c r="A2733" i="26" s="1"/>
  <c r="A2734" i="26" s="1"/>
  <c r="A2735" i="26" s="1"/>
  <c r="A2736" i="26" s="1"/>
  <c r="A2737" i="26" s="1"/>
  <c r="A2738" i="26" s="1"/>
  <c r="A2739" i="26" s="1"/>
  <c r="A2740" i="26" s="1"/>
  <c r="A2741" i="26" s="1"/>
  <c r="A2742" i="26" s="1"/>
  <c r="A2743" i="26" s="1"/>
  <c r="A2744" i="26" s="1"/>
  <c r="A2745" i="26" s="1"/>
  <c r="A2746" i="26" s="1"/>
  <c r="A2747" i="26" s="1"/>
  <c r="A2748" i="26" s="1"/>
  <c r="A2749" i="26" s="1"/>
  <c r="A2750" i="26" s="1"/>
  <c r="A2751" i="26" s="1"/>
  <c r="A2752" i="26" s="1"/>
  <c r="A2753" i="26" s="1"/>
  <c r="A2754" i="26" s="1"/>
  <c r="A2755" i="26" s="1"/>
  <c r="A2756" i="26" s="1"/>
  <c r="A2757" i="26" s="1"/>
  <c r="A2758" i="26" s="1"/>
  <c r="A2759" i="26" s="1"/>
  <c r="A2760" i="26" s="1"/>
  <c r="A2761" i="26" s="1"/>
  <c r="A2762" i="26" s="1"/>
  <c r="A2763" i="26" s="1"/>
  <c r="A2764" i="26" s="1"/>
  <c r="A2765" i="26" s="1"/>
  <c r="A2766" i="26" s="1"/>
  <c r="A2767" i="26" s="1"/>
  <c r="A2768" i="26" s="1"/>
  <c r="A2769" i="26" s="1"/>
  <c r="A2770" i="26" s="1"/>
  <c r="A2771" i="26" s="1"/>
  <c r="A2772" i="26" s="1"/>
  <c r="A2773" i="26" s="1"/>
  <c r="A2774" i="26" s="1"/>
  <c r="A2775" i="26" s="1"/>
  <c r="A2776" i="26" s="1"/>
  <c r="A2777" i="26" s="1"/>
  <c r="A2778" i="26" s="1"/>
  <c r="A2779" i="26" s="1"/>
  <c r="A2780" i="26" s="1"/>
  <c r="A2781" i="26" s="1"/>
  <c r="A2782" i="26" s="1"/>
  <c r="A2783" i="26" s="1"/>
  <c r="A2784" i="26" s="1"/>
  <c r="A2785" i="26" s="1"/>
  <c r="A2786" i="26" s="1"/>
  <c r="A2787" i="26" s="1"/>
  <c r="A2788" i="26" s="1"/>
  <c r="A2789" i="26" s="1"/>
  <c r="A2790" i="26" s="1"/>
  <c r="A2791" i="26" s="1"/>
  <c r="A2792" i="26" s="1"/>
  <c r="A2793" i="26" s="1"/>
  <c r="A2794" i="26" s="1"/>
  <c r="A2795" i="26" s="1"/>
  <c r="A2796" i="26" s="1"/>
  <c r="A2797" i="26" s="1"/>
  <c r="A2798" i="26" s="1"/>
  <c r="A2799" i="26" s="1"/>
  <c r="A2800" i="26" s="1"/>
  <c r="A2801" i="26" s="1"/>
  <c r="A2802" i="26" s="1"/>
  <c r="A2803" i="26" s="1"/>
  <c r="A2804" i="26" s="1"/>
  <c r="A2805" i="26" s="1"/>
  <c r="A2806" i="26" s="1"/>
  <c r="A2807" i="26" s="1"/>
  <c r="A2808" i="26" s="1"/>
  <c r="A2809" i="26" s="1"/>
  <c r="A2810" i="26" s="1"/>
  <c r="A2811" i="26" s="1"/>
  <c r="A2812" i="26" s="1"/>
  <c r="A2813" i="26" s="1"/>
  <c r="A2814" i="26" s="1"/>
  <c r="A2815" i="26" s="1"/>
  <c r="A2816" i="26" s="1"/>
  <c r="A2817" i="26" s="1"/>
  <c r="A2818" i="26" s="1"/>
  <c r="A2819" i="26" s="1"/>
  <c r="A2820" i="26" s="1"/>
  <c r="A2821" i="26" s="1"/>
  <c r="A2822" i="26" s="1"/>
  <c r="A2823" i="26" s="1"/>
  <c r="A2824" i="26" s="1"/>
  <c r="A2825" i="26" s="1"/>
  <c r="A2826" i="26" s="1"/>
  <c r="A2827" i="26" s="1"/>
  <c r="A2828" i="26" s="1"/>
  <c r="A2829" i="26" s="1"/>
  <c r="A2830" i="26" s="1"/>
  <c r="A2831" i="26" s="1"/>
  <c r="A2832" i="26" s="1"/>
  <c r="A2833" i="26" s="1"/>
  <c r="A2834" i="26" s="1"/>
  <c r="A2835" i="26" s="1"/>
  <c r="A2836" i="26" s="1"/>
  <c r="A2837" i="26" s="1"/>
  <c r="A2838" i="26" s="1"/>
  <c r="A2839" i="26" s="1"/>
  <c r="A2840" i="26" s="1"/>
  <c r="A2841" i="26" s="1"/>
  <c r="A2842" i="26" s="1"/>
  <c r="A2843" i="26" s="1"/>
  <c r="A2844" i="26" s="1"/>
  <c r="A2845" i="26" s="1"/>
  <c r="A2846" i="26" s="1"/>
  <c r="A2847" i="26" s="1"/>
  <c r="A2848" i="26" s="1"/>
  <c r="A2849" i="26" s="1"/>
  <c r="A2850" i="26" s="1"/>
  <c r="A2851" i="26" s="1"/>
  <c r="A2852" i="26" s="1"/>
  <c r="A2853" i="26" s="1"/>
  <c r="A2854" i="26" s="1"/>
  <c r="A2855" i="26" s="1"/>
  <c r="A2856" i="26" s="1"/>
  <c r="A2857" i="26" s="1"/>
  <c r="A2858" i="26" s="1"/>
  <c r="A2859" i="26" s="1"/>
  <c r="A2860" i="26" s="1"/>
  <c r="A2861" i="26" s="1"/>
  <c r="A2862" i="26" s="1"/>
  <c r="A2863" i="26" s="1"/>
  <c r="A2864" i="26" s="1"/>
  <c r="A2865" i="26" s="1"/>
  <c r="A2866" i="26" s="1"/>
  <c r="A2867" i="26" s="1"/>
  <c r="A2868" i="26" s="1"/>
  <c r="A2869" i="26" s="1"/>
  <c r="A2870" i="26" s="1"/>
  <c r="A2871" i="26" s="1"/>
  <c r="A2872" i="26" s="1"/>
  <c r="A2873" i="26" s="1"/>
  <c r="A2874" i="26" s="1"/>
  <c r="A2875" i="26" s="1"/>
  <c r="A2876" i="26" s="1"/>
  <c r="A2877" i="26" s="1"/>
  <c r="A2878" i="26" s="1"/>
  <c r="A2879" i="26" s="1"/>
  <c r="A2880" i="26" s="1"/>
  <c r="A2881" i="26" s="1"/>
  <c r="A2882" i="26" s="1"/>
  <c r="A2883" i="26" s="1"/>
  <c r="A2884" i="26" s="1"/>
  <c r="A2885" i="26" s="1"/>
  <c r="A2886" i="26" s="1"/>
  <c r="A2887" i="26" s="1"/>
  <c r="A2888" i="26" s="1"/>
  <c r="A2889" i="26" s="1"/>
  <c r="A2890" i="26" s="1"/>
  <c r="A2891" i="26" s="1"/>
  <c r="A2892" i="26" s="1"/>
  <c r="A2893" i="26" s="1"/>
  <c r="A2894" i="26" s="1"/>
  <c r="A2895" i="26" s="1"/>
  <c r="A2896" i="26" s="1"/>
  <c r="A2897" i="26" s="1"/>
  <c r="A2898" i="26" s="1"/>
  <c r="A2899" i="26" s="1"/>
  <c r="A2900" i="26" s="1"/>
  <c r="A2901" i="26" s="1"/>
  <c r="A2902" i="26" s="1"/>
  <c r="A2903" i="26" s="1"/>
  <c r="A2904" i="26" s="1"/>
  <c r="A2905" i="26" s="1"/>
  <c r="A2906" i="26" s="1"/>
  <c r="A2907" i="26" s="1"/>
  <c r="A2908" i="26" s="1"/>
  <c r="A2909" i="26" s="1"/>
  <c r="A2910" i="26" s="1"/>
  <c r="A2911" i="26" s="1"/>
  <c r="A2912" i="26" s="1"/>
  <c r="A2913" i="26" s="1"/>
  <c r="A2914" i="26" s="1"/>
  <c r="A2915" i="26" s="1"/>
  <c r="A2916" i="26" s="1"/>
  <c r="A2917" i="26" s="1"/>
  <c r="A2918" i="26" s="1"/>
  <c r="A2919" i="26" s="1"/>
  <c r="A2920" i="26" s="1"/>
  <c r="A2921" i="26" s="1"/>
  <c r="A2922" i="26" s="1"/>
  <c r="A2923" i="26" s="1"/>
  <c r="A2924" i="26" s="1"/>
  <c r="A2925" i="26" s="1"/>
  <c r="A2926" i="26" s="1"/>
  <c r="A2927" i="26" s="1"/>
  <c r="A2928" i="26" s="1"/>
  <c r="A2929" i="26" s="1"/>
  <c r="A2930" i="26" s="1"/>
  <c r="A2931" i="26" s="1"/>
  <c r="A2932" i="26" s="1"/>
  <c r="A2933" i="26" s="1"/>
  <c r="A2934" i="26" s="1"/>
  <c r="A2935" i="26" s="1"/>
  <c r="A2936" i="26" s="1"/>
  <c r="A2937" i="26" s="1"/>
  <c r="A2938" i="26" s="1"/>
  <c r="A2939" i="26" s="1"/>
  <c r="A2940" i="26" s="1"/>
  <c r="A2941" i="26" s="1"/>
  <c r="A2942" i="26" s="1"/>
  <c r="A2943" i="26" s="1"/>
  <c r="A2944" i="26" s="1"/>
  <c r="A2945" i="26" s="1"/>
  <c r="A2946" i="26" s="1"/>
  <c r="A2947" i="26" s="1"/>
  <c r="A2948" i="26" s="1"/>
  <c r="A2949" i="26" s="1"/>
  <c r="A2950" i="26" s="1"/>
  <c r="A2951" i="26" s="1"/>
  <c r="A2952" i="26" s="1"/>
  <c r="A2953" i="26" s="1"/>
  <c r="A2954" i="26" s="1"/>
  <c r="A2955" i="26" s="1"/>
  <c r="A2956" i="26" s="1"/>
  <c r="A2957" i="26" s="1"/>
  <c r="A2958" i="26" s="1"/>
  <c r="A2959" i="26" s="1"/>
  <c r="A2960" i="26" s="1"/>
  <c r="A2961" i="26" s="1"/>
  <c r="A2962" i="26" s="1"/>
  <c r="A2963" i="26" s="1"/>
  <c r="A2964" i="26" s="1"/>
  <c r="A2965" i="26" s="1"/>
  <c r="A2966" i="26" s="1"/>
  <c r="A2967" i="26" s="1"/>
  <c r="A2968" i="26" s="1"/>
  <c r="A2969" i="26" s="1"/>
  <c r="A2970" i="26" s="1"/>
  <c r="A2971" i="26" s="1"/>
  <c r="A2972" i="26" s="1"/>
  <c r="A2973" i="26" s="1"/>
  <c r="A2974" i="26" s="1"/>
  <c r="A2975" i="26" s="1"/>
  <c r="A2976" i="26" s="1"/>
  <c r="A2977" i="26" s="1"/>
  <c r="A2978" i="26" s="1"/>
  <c r="A2979" i="26" s="1"/>
  <c r="A2980" i="26" s="1"/>
  <c r="A2981" i="26" s="1"/>
  <c r="A2982" i="26" s="1"/>
  <c r="A2983" i="26" s="1"/>
  <c r="A2984" i="26" s="1"/>
  <c r="A2985" i="26" s="1"/>
  <c r="A2986" i="26" s="1"/>
  <c r="A2987" i="26" s="1"/>
  <c r="A2988" i="26" s="1"/>
  <c r="A2989" i="26" s="1"/>
  <c r="A2990" i="26" s="1"/>
  <c r="A2991" i="26" s="1"/>
  <c r="A2992" i="26" s="1"/>
  <c r="A2993" i="26" s="1"/>
  <c r="A2994" i="26" s="1"/>
  <c r="A2995" i="26" s="1"/>
  <c r="A2996" i="26" s="1"/>
  <c r="A2997" i="26" s="1"/>
  <c r="A2998" i="26" s="1"/>
  <c r="A2999" i="26" s="1"/>
  <c r="A3000" i="26" s="1"/>
  <c r="A3001" i="26" s="1"/>
  <c r="A3002" i="26" s="1"/>
  <c r="A3003" i="26" s="1"/>
  <c r="A3004" i="26" s="1"/>
  <c r="A3005" i="26" s="1"/>
  <c r="A3006" i="26" s="1"/>
  <c r="A3007" i="26" s="1"/>
  <c r="A3008" i="26" s="1"/>
  <c r="A3009" i="26" s="1"/>
  <c r="A3010" i="26" s="1"/>
  <c r="A3011" i="26" s="1"/>
  <c r="A3012" i="26" s="1"/>
  <c r="A3013" i="26" s="1"/>
  <c r="A3014" i="26" s="1"/>
  <c r="A3015" i="26" s="1"/>
  <c r="A3016" i="26" s="1"/>
  <c r="A3017" i="26" s="1"/>
  <c r="A3018" i="26" s="1"/>
  <c r="A3019" i="26" s="1"/>
  <c r="A3020" i="26" s="1"/>
  <c r="A3021" i="26" s="1"/>
  <c r="A3022" i="26" s="1"/>
  <c r="A3023" i="26" s="1"/>
  <c r="A3024" i="26" s="1"/>
  <c r="A3025" i="26" s="1"/>
  <c r="A3026" i="26" s="1"/>
  <c r="A3027" i="26" s="1"/>
  <c r="A3028" i="26" s="1"/>
  <c r="A3029" i="26" s="1"/>
  <c r="A3030" i="26" s="1"/>
  <c r="A3031" i="26" s="1"/>
  <c r="A3032" i="26" s="1"/>
  <c r="A3033" i="26" s="1"/>
  <c r="A3034" i="26" s="1"/>
  <c r="A3035" i="26" s="1"/>
  <c r="A3036" i="26" s="1"/>
  <c r="A3037" i="26" s="1"/>
  <c r="A3038" i="26" s="1"/>
  <c r="A3039" i="26" s="1"/>
  <c r="A3040" i="26" s="1"/>
  <c r="A3041" i="26" s="1"/>
  <c r="A3042" i="26" s="1"/>
  <c r="A3043" i="26" s="1"/>
  <c r="A3044" i="26" s="1"/>
  <c r="A3045" i="26" s="1"/>
  <c r="A3046" i="26" s="1"/>
  <c r="A3047" i="26" s="1"/>
  <c r="A3048" i="26" s="1"/>
  <c r="A3049" i="26" s="1"/>
  <c r="A3050" i="26" s="1"/>
  <c r="A3051" i="26" s="1"/>
  <c r="A3052" i="26" s="1"/>
  <c r="A3053" i="26" s="1"/>
  <c r="A3054" i="26" s="1"/>
  <c r="A3055" i="26" s="1"/>
  <c r="A3056" i="26" s="1"/>
  <c r="A3057" i="26" s="1"/>
  <c r="A3058" i="26" s="1"/>
  <c r="A3059" i="26" s="1"/>
  <c r="A3060" i="26" s="1"/>
  <c r="A3061" i="26" s="1"/>
  <c r="A3062" i="26" s="1"/>
  <c r="A3063" i="26" s="1"/>
  <c r="A3064" i="26" s="1"/>
  <c r="A3065" i="26" s="1"/>
  <c r="A3066" i="26" s="1"/>
  <c r="A3067" i="26" s="1"/>
  <c r="A3068" i="26" s="1"/>
  <c r="A3069" i="26" s="1"/>
  <c r="A3070" i="26" s="1"/>
  <c r="A3071" i="26" s="1"/>
  <c r="A3072" i="26" s="1"/>
  <c r="A3073" i="26" s="1"/>
  <c r="A3074" i="26" s="1"/>
  <c r="A3075" i="26" s="1"/>
  <c r="A3076" i="26" s="1"/>
  <c r="A3077" i="26" s="1"/>
  <c r="A3078" i="26" s="1"/>
  <c r="A3079" i="26" s="1"/>
  <c r="A3080" i="26" s="1"/>
  <c r="A3081" i="26" s="1"/>
  <c r="A3082" i="26" s="1"/>
  <c r="A3083" i="26" s="1"/>
  <c r="A3084" i="26" s="1"/>
  <c r="A3085" i="26" s="1"/>
  <c r="A3086" i="26" s="1"/>
  <c r="A3087" i="26" s="1"/>
  <c r="A3088" i="26" s="1"/>
  <c r="A3089" i="26" s="1"/>
  <c r="A3090" i="26" s="1"/>
  <c r="A3091" i="26" s="1"/>
  <c r="A3092" i="26" s="1"/>
  <c r="A3093" i="26" s="1"/>
  <c r="A3094" i="26" s="1"/>
  <c r="A3095" i="26" s="1"/>
  <c r="A3096" i="26" s="1"/>
  <c r="A3097" i="26" s="1"/>
  <c r="A3098" i="26" s="1"/>
  <c r="A3099" i="26" s="1"/>
  <c r="A3100" i="26" s="1"/>
  <c r="A3101" i="26" s="1"/>
  <c r="A3102" i="26" s="1"/>
  <c r="A3103" i="26" s="1"/>
  <c r="A3104" i="26" s="1"/>
  <c r="A3105" i="26" s="1"/>
  <c r="A3106" i="26" s="1"/>
  <c r="A3107" i="26" s="1"/>
  <c r="A3108" i="26" s="1"/>
  <c r="A3109" i="26" s="1"/>
  <c r="A3110" i="26" s="1"/>
  <c r="A3111" i="26" s="1"/>
  <c r="A3112" i="26" s="1"/>
  <c r="A3113" i="26" s="1"/>
  <c r="A3114" i="26" s="1"/>
  <c r="A3115" i="26" s="1"/>
  <c r="A3116" i="26" s="1"/>
  <c r="A3117" i="26" s="1"/>
  <c r="A3118" i="26" s="1"/>
  <c r="A3119" i="26" s="1"/>
  <c r="A3120" i="26" s="1"/>
  <c r="A3121" i="26" s="1"/>
  <c r="A3122" i="26" s="1"/>
  <c r="A3123" i="26" s="1"/>
  <c r="A3124" i="26" s="1"/>
  <c r="A3125" i="26" s="1"/>
  <c r="A3126" i="26" s="1"/>
  <c r="A3127" i="26" s="1"/>
  <c r="A3128" i="26" s="1"/>
  <c r="A3129" i="26" s="1"/>
  <c r="A3130" i="26" s="1"/>
  <c r="A3131" i="26" s="1"/>
  <c r="A3132" i="26" s="1"/>
  <c r="A3133" i="26" s="1"/>
  <c r="A3134" i="26" s="1"/>
  <c r="A3135" i="26" s="1"/>
  <c r="A3136" i="26" s="1"/>
  <c r="A3137" i="26" s="1"/>
  <c r="A3138" i="26" s="1"/>
  <c r="A3139" i="26" s="1"/>
  <c r="A3140" i="26" s="1"/>
  <c r="A3141" i="26" s="1"/>
  <c r="A3142" i="26" s="1"/>
  <c r="A3143" i="26" s="1"/>
  <c r="A3144" i="26" s="1"/>
  <c r="A3145" i="26" s="1"/>
  <c r="A3146" i="26" s="1"/>
  <c r="A3147" i="26" s="1"/>
  <c r="A3148" i="26" s="1"/>
  <c r="A3149" i="26" s="1"/>
  <c r="A3150" i="26" s="1"/>
  <c r="A3151" i="26" s="1"/>
  <c r="A3152" i="26" s="1"/>
  <c r="A3153" i="26" s="1"/>
  <c r="A3154" i="26" s="1"/>
  <c r="A3155" i="26" s="1"/>
  <c r="A3156" i="26" s="1"/>
  <c r="A3157" i="26" s="1"/>
  <c r="A3158" i="26" s="1"/>
  <c r="A3159" i="26" s="1"/>
  <c r="A3160" i="26" s="1"/>
  <c r="A3161" i="26" s="1"/>
  <c r="A3162" i="26" s="1"/>
  <c r="A3163" i="26" s="1"/>
  <c r="A3164" i="26" s="1"/>
  <c r="A3165" i="26" s="1"/>
  <c r="A3166" i="26" s="1"/>
  <c r="A3167" i="26" s="1"/>
  <c r="A3168" i="26" s="1"/>
  <c r="A3169" i="26" s="1"/>
  <c r="A3170" i="26" s="1"/>
  <c r="A3171" i="26" s="1"/>
  <c r="A3172" i="26" s="1"/>
  <c r="A3173" i="26" s="1"/>
  <c r="A3174" i="26" s="1"/>
  <c r="A3175" i="26" s="1"/>
  <c r="A3176" i="26" s="1"/>
  <c r="A3177" i="26" s="1"/>
  <c r="A3178" i="26" s="1"/>
  <c r="A3179" i="26" s="1"/>
  <c r="A3180" i="26" s="1"/>
  <c r="A3181" i="26" s="1"/>
  <c r="A3182" i="26" s="1"/>
  <c r="A3183" i="26" s="1"/>
  <c r="A3184" i="26" s="1"/>
  <c r="A3185" i="26" s="1"/>
  <c r="A3186" i="26" s="1"/>
  <c r="A3187" i="26" s="1"/>
  <c r="A3188" i="26" s="1"/>
  <c r="A3189" i="26" s="1"/>
  <c r="A3190" i="26" s="1"/>
  <c r="A3191" i="26" s="1"/>
  <c r="A3192" i="26" s="1"/>
  <c r="A3193" i="26" s="1"/>
  <c r="A3194" i="26" s="1"/>
  <c r="A3195" i="26" s="1"/>
  <c r="A3196" i="26" s="1"/>
  <c r="A3197" i="26" s="1"/>
  <c r="A3198" i="26" s="1"/>
  <c r="A3199" i="26" s="1"/>
  <c r="A3200" i="26" s="1"/>
  <c r="A3201" i="26" s="1"/>
  <c r="A3202" i="26" s="1"/>
  <c r="A3203" i="26" s="1"/>
  <c r="A3204" i="26" s="1"/>
  <c r="A3205" i="26" s="1"/>
  <c r="A3206" i="26" s="1"/>
  <c r="A3207" i="26" s="1"/>
  <c r="A3208" i="26" s="1"/>
  <c r="A3209" i="26" s="1"/>
  <c r="A3210" i="26" s="1"/>
  <c r="A3211" i="26" s="1"/>
  <c r="A3212" i="26" s="1"/>
  <c r="A3213" i="26" s="1"/>
  <c r="A3214" i="26" s="1"/>
  <c r="A3215" i="26" s="1"/>
  <c r="A3216" i="26" s="1"/>
  <c r="A3217" i="26" s="1"/>
  <c r="A3218" i="26" s="1"/>
  <c r="A3219" i="26" s="1"/>
  <c r="A3220" i="26" s="1"/>
  <c r="A3221" i="26" s="1"/>
  <c r="A3222" i="26" s="1"/>
  <c r="A3223" i="26" s="1"/>
  <c r="A3224" i="26" s="1"/>
  <c r="A3225" i="26" s="1"/>
  <c r="A3226" i="26" s="1"/>
  <c r="A3227" i="26" s="1"/>
  <c r="A3228" i="26" s="1"/>
  <c r="A3229" i="26" s="1"/>
  <c r="A3230" i="26" s="1"/>
  <c r="A3231" i="26" s="1"/>
  <c r="A3232" i="26" s="1"/>
  <c r="A3233" i="26" s="1"/>
  <c r="A3234" i="26" s="1"/>
  <c r="A3235" i="26" s="1"/>
  <c r="A3236" i="26" s="1"/>
  <c r="A3237" i="26" s="1"/>
  <c r="A3238" i="26" s="1"/>
  <c r="A3239" i="26" s="1"/>
  <c r="A3240" i="26" s="1"/>
  <c r="A3241" i="26" s="1"/>
  <c r="A3242" i="26" s="1"/>
  <c r="A3243" i="26" s="1"/>
  <c r="A3244" i="26" s="1"/>
  <c r="A3245" i="26" s="1"/>
  <c r="A3246" i="26" s="1"/>
  <c r="A3247" i="26" s="1"/>
  <c r="A3248" i="26" s="1"/>
  <c r="A3249" i="26" s="1"/>
  <c r="A3250" i="26" s="1"/>
  <c r="A3251" i="26" s="1"/>
  <c r="A3252" i="26" s="1"/>
  <c r="A3253" i="26" s="1"/>
  <c r="A3254" i="26" s="1"/>
  <c r="A3255" i="26" s="1"/>
  <c r="A3256" i="26" s="1"/>
  <c r="A3257" i="26" s="1"/>
  <c r="A3258" i="26" s="1"/>
  <c r="A3259" i="26" s="1"/>
  <c r="A3260" i="26" s="1"/>
  <c r="A3261" i="26" s="1"/>
  <c r="A3262" i="26" s="1"/>
  <c r="A3263" i="26" s="1"/>
  <c r="A3264" i="26" s="1"/>
  <c r="A3265" i="26" s="1"/>
  <c r="A3266" i="26" s="1"/>
  <c r="A3267" i="26" s="1"/>
  <c r="A3268" i="26" s="1"/>
  <c r="A3269" i="26" s="1"/>
  <c r="A3270" i="26" s="1"/>
  <c r="A3271" i="26" s="1"/>
  <c r="A3272" i="26" s="1"/>
  <c r="A3273" i="26" s="1"/>
  <c r="A3274" i="26" s="1"/>
  <c r="A3275" i="26" s="1"/>
  <c r="A3276" i="26" s="1"/>
  <c r="A3277" i="26" s="1"/>
  <c r="A3278" i="26" s="1"/>
  <c r="A3279" i="26" s="1"/>
  <c r="A3280" i="26" s="1"/>
  <c r="A3281" i="26" s="1"/>
  <c r="A3282" i="26" s="1"/>
  <c r="A3283" i="26" s="1"/>
  <c r="A3284" i="26" s="1"/>
  <c r="A3285" i="26" s="1"/>
  <c r="A3286" i="26" s="1"/>
  <c r="A3287" i="26" s="1"/>
  <c r="A3288" i="26" s="1"/>
  <c r="A3289" i="26" s="1"/>
  <c r="A3290" i="26" s="1"/>
  <c r="A3291" i="26" s="1"/>
  <c r="A3292" i="26" s="1"/>
  <c r="A3293" i="26" s="1"/>
  <c r="A3294" i="26" s="1"/>
  <c r="A3295" i="26" s="1"/>
  <c r="A3296" i="26" s="1"/>
  <c r="A3297" i="26" s="1"/>
  <c r="A3298" i="26" s="1"/>
  <c r="A3299" i="26" s="1"/>
  <c r="A3300" i="26" s="1"/>
  <c r="A3301" i="26" s="1"/>
  <c r="A3302" i="26" s="1"/>
  <c r="A3303" i="26" s="1"/>
  <c r="A3304" i="26" s="1"/>
  <c r="A3305" i="26" s="1"/>
  <c r="A3306" i="26" s="1"/>
  <c r="A3307" i="26" s="1"/>
  <c r="A3308" i="26" s="1"/>
  <c r="A3309" i="26" s="1"/>
  <c r="A3310" i="26" s="1"/>
  <c r="A3311" i="26" s="1"/>
  <c r="A3312" i="26" s="1"/>
  <c r="A3313" i="26" s="1"/>
  <c r="A3314" i="26" s="1"/>
  <c r="A3315" i="26" s="1"/>
  <c r="A3316" i="26" s="1"/>
  <c r="A3317" i="26" s="1"/>
  <c r="A3318" i="26" s="1"/>
  <c r="A3319" i="26" s="1"/>
  <c r="A3320" i="26" s="1"/>
  <c r="A3321" i="26" s="1"/>
  <c r="A3322" i="26" s="1"/>
  <c r="A3323" i="26" s="1"/>
  <c r="A3324" i="26" s="1"/>
  <c r="A3325" i="26" s="1"/>
  <c r="A3326" i="26" s="1"/>
  <c r="A3327" i="26" s="1"/>
  <c r="A3328" i="26" s="1"/>
  <c r="A3329" i="26" s="1"/>
  <c r="A3330" i="26" s="1"/>
  <c r="A3331" i="26" s="1"/>
  <c r="A3332" i="26" s="1"/>
  <c r="A3333" i="26" s="1"/>
  <c r="A3334" i="26" s="1"/>
  <c r="A3335" i="26" s="1"/>
  <c r="A3336" i="26" s="1"/>
  <c r="A3337" i="26" s="1"/>
  <c r="A3338" i="26" s="1"/>
  <c r="A3339" i="26" s="1"/>
  <c r="A3340" i="26" s="1"/>
  <c r="A3341" i="26" s="1"/>
  <c r="A3342" i="26" s="1"/>
  <c r="A3343" i="26" s="1"/>
  <c r="A3344" i="26" s="1"/>
  <c r="A3345" i="26" s="1"/>
  <c r="A3346" i="26" s="1"/>
  <c r="A3347" i="26" s="1"/>
  <c r="A3348" i="26" s="1"/>
  <c r="A3349" i="26" s="1"/>
  <c r="A3350" i="26" s="1"/>
  <c r="A3351" i="26" s="1"/>
  <c r="A3352" i="26" s="1"/>
  <c r="A3353" i="26" s="1"/>
  <c r="A3354" i="26" s="1"/>
  <c r="A3355" i="26" s="1"/>
  <c r="A3356" i="26" s="1"/>
  <c r="A3357" i="26" s="1"/>
  <c r="A3358" i="26" s="1"/>
  <c r="A3359" i="26" s="1"/>
  <c r="A3360" i="26" s="1"/>
  <c r="A3361" i="26" s="1"/>
  <c r="A3362" i="26" s="1"/>
  <c r="A3363" i="26" s="1"/>
  <c r="A3364" i="26" s="1"/>
  <c r="A3365" i="26" s="1"/>
  <c r="A3366" i="26" s="1"/>
  <c r="A3367" i="26" s="1"/>
  <c r="A3368" i="26" s="1"/>
  <c r="A3369" i="26" s="1"/>
  <c r="A3370" i="26" s="1"/>
  <c r="A3371" i="26" s="1"/>
  <c r="A3372" i="26" s="1"/>
  <c r="A3373" i="26" s="1"/>
  <c r="A3374" i="26" s="1"/>
  <c r="A3375" i="26" s="1"/>
  <c r="A3376" i="26" s="1"/>
  <c r="A3377" i="26" s="1"/>
  <c r="A3378" i="26" s="1"/>
  <c r="A3379" i="26" s="1"/>
  <c r="A3380" i="26" s="1"/>
  <c r="A3381" i="26" s="1"/>
  <c r="A3382" i="26" s="1"/>
  <c r="A3383" i="26" s="1"/>
  <c r="A3384" i="26" s="1"/>
  <c r="A3385" i="26" s="1"/>
  <c r="A3386" i="26" s="1"/>
  <c r="A3387" i="26" s="1"/>
  <c r="A3388" i="26" s="1"/>
  <c r="A3389" i="26" s="1"/>
  <c r="A3390" i="26" s="1"/>
  <c r="A3391" i="26" s="1"/>
  <c r="A3392" i="26" s="1"/>
  <c r="A3393" i="26" s="1"/>
  <c r="A3394" i="26" s="1"/>
  <c r="A3395" i="26" s="1"/>
  <c r="A3396" i="26" s="1"/>
  <c r="A3397" i="26" s="1"/>
  <c r="A3398" i="26" s="1"/>
  <c r="A3399" i="26" s="1"/>
  <c r="A3400" i="26" s="1"/>
  <c r="A3401" i="26" s="1"/>
  <c r="A3402" i="26" s="1"/>
  <c r="A3403" i="26" s="1"/>
  <c r="A3404" i="26" s="1"/>
  <c r="A3405" i="26" s="1"/>
  <c r="A3406" i="26" s="1"/>
  <c r="A3407" i="26" s="1"/>
  <c r="A3408" i="26" s="1"/>
  <c r="A3409" i="26" s="1"/>
  <c r="A3410" i="26" s="1"/>
  <c r="A3411" i="26" s="1"/>
  <c r="A3412" i="26" s="1"/>
  <c r="A3413" i="26" s="1"/>
  <c r="A3414" i="26" s="1"/>
  <c r="A3415" i="26" s="1"/>
  <c r="A3416" i="26" s="1"/>
  <c r="A3417" i="26" s="1"/>
  <c r="A3418" i="26" s="1"/>
  <c r="A3419" i="26" s="1"/>
  <c r="A3420" i="26" s="1"/>
  <c r="A3421" i="26" s="1"/>
  <c r="A3422" i="26" s="1"/>
  <c r="A3423" i="26" s="1"/>
  <c r="A3424" i="26" s="1"/>
  <c r="A3425" i="26" s="1"/>
  <c r="A3426" i="26" s="1"/>
  <c r="A3427" i="26" s="1"/>
  <c r="A3428" i="26" s="1"/>
  <c r="A3429" i="26" s="1"/>
  <c r="A3430" i="26" s="1"/>
  <c r="A3431" i="26" s="1"/>
  <c r="A3432" i="26" s="1"/>
  <c r="A3433" i="26" s="1"/>
  <c r="A3434" i="26" s="1"/>
  <c r="A3435" i="26" s="1"/>
  <c r="A3436" i="26" s="1"/>
  <c r="A3437" i="26" s="1"/>
  <c r="A3438" i="26" s="1"/>
  <c r="A3439" i="26" s="1"/>
  <c r="A3440" i="26" s="1"/>
  <c r="A3441" i="26" s="1"/>
  <c r="A3442" i="26" s="1"/>
  <c r="A3443" i="26" s="1"/>
  <c r="A3444" i="26" s="1"/>
  <c r="A3445" i="26" s="1"/>
  <c r="A3446" i="26" s="1"/>
  <c r="A3447" i="26" s="1"/>
  <c r="A3448" i="26" s="1"/>
  <c r="A3449" i="26" s="1"/>
  <c r="A3450" i="26" s="1"/>
  <c r="A3451" i="26" s="1"/>
  <c r="A3452" i="26" s="1"/>
  <c r="A3453" i="26" s="1"/>
  <c r="A3454" i="26" s="1"/>
  <c r="A3455" i="26" s="1"/>
  <c r="A3456" i="26" s="1"/>
  <c r="A3457" i="26" s="1"/>
  <c r="A3458" i="26" s="1"/>
  <c r="A3459" i="26" s="1"/>
  <c r="A3460" i="26" s="1"/>
  <c r="A3461" i="26" s="1"/>
  <c r="A3462" i="26" s="1"/>
  <c r="A3463" i="26" s="1"/>
  <c r="A3464" i="26" s="1"/>
  <c r="A3465" i="26" s="1"/>
  <c r="A3466" i="26" s="1"/>
  <c r="A3467" i="26" s="1"/>
  <c r="A3468" i="26" s="1"/>
  <c r="A3469" i="26" s="1"/>
  <c r="A3470" i="26" s="1"/>
  <c r="A3471" i="26" s="1"/>
  <c r="A3472" i="26" s="1"/>
  <c r="A3473" i="26" s="1"/>
  <c r="A3474" i="26" s="1"/>
  <c r="A3475" i="26" s="1"/>
  <c r="A3476" i="26" s="1"/>
  <c r="A3477" i="26" s="1"/>
  <c r="A3478" i="26" s="1"/>
  <c r="A3479" i="26" s="1"/>
  <c r="A3480" i="26" s="1"/>
  <c r="A3481" i="26" s="1"/>
  <c r="A3482" i="26" s="1"/>
  <c r="A3483" i="26" s="1"/>
  <c r="A3484" i="26" s="1"/>
  <c r="A3485" i="26" s="1"/>
  <c r="A3486" i="26" s="1"/>
  <c r="A3487" i="26" s="1"/>
  <c r="A3488" i="26" s="1"/>
  <c r="A3489" i="26" s="1"/>
  <c r="A3490" i="26" s="1"/>
  <c r="A3491" i="26" s="1"/>
  <c r="A3492" i="26" s="1"/>
  <c r="A3493" i="26" s="1"/>
  <c r="A3494" i="26" s="1"/>
  <c r="A3495" i="26" s="1"/>
  <c r="A3496" i="26" s="1"/>
  <c r="A3497" i="26" s="1"/>
  <c r="A3498" i="26" s="1"/>
  <c r="A3499" i="26" s="1"/>
  <c r="A3500" i="26" s="1"/>
  <c r="A3501" i="26" s="1"/>
  <c r="A3502" i="26" s="1"/>
  <c r="A3503" i="26" s="1"/>
  <c r="A3504" i="26" s="1"/>
  <c r="A3505" i="26" s="1"/>
  <c r="A3506" i="26" s="1"/>
  <c r="A3507" i="26" s="1"/>
  <c r="A3508" i="26" s="1"/>
  <c r="A3509" i="26" s="1"/>
  <c r="A3510" i="26" s="1"/>
  <c r="A3511" i="26" s="1"/>
  <c r="A3512" i="26" s="1"/>
  <c r="A3513" i="26" s="1"/>
  <c r="A3514" i="26" s="1"/>
  <c r="A3515" i="26" s="1"/>
  <c r="A3516" i="26" s="1"/>
  <c r="A3517" i="26" s="1"/>
  <c r="A3518" i="26" s="1"/>
  <c r="A3519" i="26" s="1"/>
  <c r="A3520" i="26" s="1"/>
  <c r="A3521" i="26" s="1"/>
  <c r="A3522" i="26" s="1"/>
  <c r="A3523" i="26" s="1"/>
  <c r="A3524" i="26" s="1"/>
  <c r="A3525" i="26" s="1"/>
  <c r="A3526" i="26" s="1"/>
  <c r="A3527" i="26" s="1"/>
  <c r="A3528" i="26" s="1"/>
  <c r="A3529" i="26" s="1"/>
  <c r="A3530" i="26" s="1"/>
  <c r="A3531" i="26" s="1"/>
  <c r="A3532" i="26" s="1"/>
  <c r="A3533" i="26" s="1"/>
  <c r="A3534" i="26" s="1"/>
  <c r="A3535" i="26" s="1"/>
  <c r="A3536" i="26" s="1"/>
  <c r="A3537" i="26" s="1"/>
  <c r="A3538" i="26" s="1"/>
  <c r="A3539" i="26" s="1"/>
  <c r="A3540" i="26" s="1"/>
  <c r="A3541" i="26" s="1"/>
  <c r="A3542" i="26" s="1"/>
  <c r="A3543" i="26" s="1"/>
  <c r="A3544" i="26" s="1"/>
  <c r="A3545" i="26" s="1"/>
  <c r="A3546" i="26" s="1"/>
  <c r="A3547" i="26" s="1"/>
  <c r="A3548" i="26" s="1"/>
  <c r="A3549" i="26" s="1"/>
  <c r="A3550" i="26" s="1"/>
  <c r="A3551" i="26" s="1"/>
  <c r="A3552" i="26" s="1"/>
  <c r="A3553" i="26" s="1"/>
  <c r="A3554" i="26" s="1"/>
  <c r="A3555" i="26" s="1"/>
  <c r="A3556" i="26" s="1"/>
  <c r="A3557" i="26" s="1"/>
  <c r="A3558" i="26" s="1"/>
  <c r="A3559" i="26" s="1"/>
  <c r="A3560" i="26" s="1"/>
  <c r="A3561" i="26" s="1"/>
  <c r="A3562" i="26" s="1"/>
  <c r="A3563" i="26" s="1"/>
  <c r="A3564" i="26" s="1"/>
  <c r="A3565" i="26" s="1"/>
  <c r="A3566" i="26" s="1"/>
  <c r="A3567" i="26" s="1"/>
  <c r="A3568" i="26" s="1"/>
  <c r="A3569" i="26" s="1"/>
  <c r="A3570" i="26" s="1"/>
  <c r="A3571" i="26" s="1"/>
  <c r="A3572" i="26" s="1"/>
  <c r="A3573" i="26" s="1"/>
  <c r="A3574" i="26" s="1"/>
  <c r="A3575" i="26" s="1"/>
  <c r="A3576" i="26" s="1"/>
  <c r="A3577" i="26" s="1"/>
  <c r="A3578" i="26" s="1"/>
  <c r="A3579" i="26" s="1"/>
  <c r="A3580" i="26" s="1"/>
  <c r="A3581" i="26" s="1"/>
  <c r="A3582" i="26" s="1"/>
  <c r="A3583" i="26" s="1"/>
  <c r="A3584" i="26" s="1"/>
  <c r="A3585" i="26" s="1"/>
  <c r="A3586" i="26" s="1"/>
  <c r="A3587" i="26" s="1"/>
  <c r="A3588" i="26" s="1"/>
  <c r="A3589" i="26" s="1"/>
  <c r="A3590" i="26" s="1"/>
  <c r="A3591" i="26" s="1"/>
  <c r="A3592" i="26" s="1"/>
  <c r="A3593" i="26" s="1"/>
  <c r="A3594" i="26" s="1"/>
  <c r="A3595" i="26" s="1"/>
  <c r="A3596" i="26" s="1"/>
  <c r="A3597" i="26" s="1"/>
  <c r="A3598" i="26" s="1"/>
  <c r="A3599" i="26" s="1"/>
  <c r="A3600" i="26" s="1"/>
  <c r="A3601" i="26" s="1"/>
  <c r="A3602" i="26" s="1"/>
  <c r="A3603" i="26" s="1"/>
  <c r="A3604" i="26" s="1"/>
  <c r="A3605" i="26" s="1"/>
  <c r="A3606" i="26" s="1"/>
  <c r="A3607" i="26" s="1"/>
  <c r="A3608" i="26" s="1"/>
  <c r="A3609" i="26" s="1"/>
  <c r="A3610" i="26" s="1"/>
  <c r="A3611" i="26" s="1"/>
  <c r="A3612" i="26" s="1"/>
  <c r="A3613" i="26" s="1"/>
  <c r="A3614" i="26" s="1"/>
  <c r="A3615" i="26" s="1"/>
  <c r="A3616" i="26" s="1"/>
  <c r="A3617" i="26" s="1"/>
  <c r="A3618" i="26" s="1"/>
  <c r="A3619" i="26" s="1"/>
  <c r="A3620" i="26" s="1"/>
  <c r="A3621" i="26" s="1"/>
  <c r="A3622" i="26" s="1"/>
  <c r="A3623" i="26" s="1"/>
  <c r="A3624" i="26" s="1"/>
  <c r="A3625" i="26" s="1"/>
  <c r="A3626" i="26" s="1"/>
  <c r="A3627" i="26" s="1"/>
  <c r="A3628" i="26" s="1"/>
  <c r="A3629" i="26" s="1"/>
  <c r="A3630" i="26" s="1"/>
  <c r="A3631" i="26" s="1"/>
  <c r="A3632" i="26" s="1"/>
  <c r="A3633" i="26" s="1"/>
  <c r="A3634" i="26" s="1"/>
  <c r="A3635" i="26" s="1"/>
  <c r="A3636" i="26" s="1"/>
  <c r="A3637" i="26" s="1"/>
  <c r="A3638" i="26" s="1"/>
  <c r="A3639" i="26" s="1"/>
  <c r="A3640" i="26" s="1"/>
  <c r="A3641" i="26" s="1"/>
  <c r="A3642" i="26" s="1"/>
  <c r="A3643" i="26" s="1"/>
  <c r="A3644" i="26" s="1"/>
  <c r="A3645" i="26" s="1"/>
  <c r="A3646" i="26" s="1"/>
  <c r="A3647" i="26" s="1"/>
  <c r="A3648" i="26" s="1"/>
  <c r="A3649" i="26" s="1"/>
  <c r="A3650" i="26" s="1"/>
  <c r="A3651" i="26" s="1"/>
  <c r="A3652" i="26" s="1"/>
  <c r="A3653" i="26" s="1"/>
  <c r="A3654" i="26" s="1"/>
  <c r="A3655" i="26" s="1"/>
  <c r="A3656" i="26" s="1"/>
  <c r="A3657" i="26" s="1"/>
  <c r="A3658" i="26" s="1"/>
  <c r="A3659" i="26" s="1"/>
  <c r="A3660" i="26" s="1"/>
  <c r="A3661" i="26" s="1"/>
  <c r="A3662" i="26" s="1"/>
  <c r="A3663" i="26" s="1"/>
  <c r="A3664" i="26" s="1"/>
  <c r="A3665" i="26" s="1"/>
  <c r="A3666" i="26" s="1"/>
  <c r="A3667" i="26" s="1"/>
  <c r="A3668" i="26" s="1"/>
  <c r="A3669" i="26" s="1"/>
  <c r="A3670" i="26" s="1"/>
  <c r="A3671" i="26" s="1"/>
  <c r="A3672" i="26" s="1"/>
  <c r="A3673" i="26" s="1"/>
  <c r="A3674" i="26" s="1"/>
  <c r="A3675" i="26" s="1"/>
  <c r="A3676" i="26" s="1"/>
  <c r="A3677" i="26" s="1"/>
  <c r="A3678" i="26" s="1"/>
  <c r="A3679" i="26" s="1"/>
  <c r="A3680" i="26" s="1"/>
  <c r="A3681" i="26" s="1"/>
  <c r="A3682" i="26" s="1"/>
  <c r="A3683" i="26" s="1"/>
  <c r="A3684" i="26" s="1"/>
  <c r="A3685" i="26" s="1"/>
  <c r="A3686" i="26" s="1"/>
  <c r="A3687" i="26" s="1"/>
  <c r="A3688" i="26" s="1"/>
  <c r="A3689" i="26" s="1"/>
  <c r="A3690" i="26" s="1"/>
  <c r="A3691" i="26" s="1"/>
  <c r="A3692" i="26" s="1"/>
  <c r="A3693" i="26" s="1"/>
  <c r="A3694" i="26" s="1"/>
  <c r="A3695" i="26" s="1"/>
  <c r="A3696" i="26" s="1"/>
  <c r="A3697" i="26" s="1"/>
  <c r="A3698" i="26" s="1"/>
  <c r="A3699" i="26" s="1"/>
  <c r="A3700" i="26" s="1"/>
  <c r="A3701" i="26" s="1"/>
  <c r="A3702" i="26" s="1"/>
  <c r="A3703" i="26" s="1"/>
  <c r="A3704" i="26" s="1"/>
  <c r="A3705" i="26" s="1"/>
  <c r="A3706" i="26" s="1"/>
  <c r="A3707" i="26" s="1"/>
  <c r="A3708" i="26" s="1"/>
  <c r="A3709" i="26" s="1"/>
  <c r="A3710" i="26" s="1"/>
  <c r="A3711" i="26" s="1"/>
  <c r="A3712" i="26" s="1"/>
  <c r="A3713" i="26" s="1"/>
  <c r="A3714" i="26" s="1"/>
  <c r="A3715" i="26" s="1"/>
  <c r="A3716" i="26" s="1"/>
  <c r="A3717" i="26" s="1"/>
  <c r="A3718" i="26" s="1"/>
  <c r="A3719" i="26" s="1"/>
  <c r="A3720" i="26" s="1"/>
  <c r="A3721" i="26" s="1"/>
  <c r="A3722" i="26" s="1"/>
  <c r="A3723" i="26" s="1"/>
  <c r="A3724" i="26" s="1"/>
  <c r="A3725" i="26" s="1"/>
  <c r="A3726" i="26" s="1"/>
  <c r="A3727" i="26" s="1"/>
  <c r="A3728" i="26" s="1"/>
  <c r="A3729" i="26" s="1"/>
  <c r="A3730" i="26" s="1"/>
  <c r="A3731" i="26" s="1"/>
  <c r="A3732" i="26" s="1"/>
  <c r="A3733" i="26" s="1"/>
  <c r="A3734" i="26" s="1"/>
  <c r="A3735" i="26" s="1"/>
  <c r="A3736" i="26" s="1"/>
  <c r="A3737" i="26" s="1"/>
  <c r="A3738" i="26" s="1"/>
  <c r="A3739" i="26" s="1"/>
  <c r="A3740" i="26" s="1"/>
  <c r="A3741" i="26" s="1"/>
  <c r="A3742" i="26" s="1"/>
  <c r="A3743" i="26" s="1"/>
  <c r="A3744" i="26" s="1"/>
  <c r="A3745" i="26" s="1"/>
  <c r="A3746" i="26" s="1"/>
  <c r="A3747" i="26" s="1"/>
  <c r="A3748" i="26" s="1"/>
  <c r="A3749" i="26" s="1"/>
  <c r="A3750" i="26" s="1"/>
  <c r="A3751" i="26" s="1"/>
  <c r="A3752" i="26" s="1"/>
  <c r="A3753" i="26" s="1"/>
  <c r="A3754" i="26" s="1"/>
  <c r="A3755" i="26" s="1"/>
  <c r="A3756" i="26" s="1"/>
  <c r="A3757" i="26" s="1"/>
  <c r="A3758" i="26" s="1"/>
  <c r="A3759" i="26" s="1"/>
  <c r="A3760" i="26" s="1"/>
  <c r="A3761" i="26" s="1"/>
  <c r="A3762" i="26" s="1"/>
  <c r="A3763" i="26" s="1"/>
  <c r="A3764" i="26" s="1"/>
  <c r="A3765" i="26" s="1"/>
  <c r="A3766" i="26" s="1"/>
  <c r="A3767" i="26" s="1"/>
  <c r="A3768" i="26" s="1"/>
  <c r="A3769" i="26" s="1"/>
  <c r="A3770" i="26" s="1"/>
  <c r="A3771" i="26" s="1"/>
  <c r="A3772" i="26" s="1"/>
  <c r="A3773" i="26" s="1"/>
  <c r="A3774" i="26" s="1"/>
  <c r="A3775" i="26" s="1"/>
  <c r="A3776" i="26" s="1"/>
  <c r="A3777" i="26" s="1"/>
  <c r="A3778" i="26" s="1"/>
  <c r="A3779" i="26" s="1"/>
  <c r="A3780" i="26" s="1"/>
  <c r="A3781" i="26" s="1"/>
  <c r="A3782" i="26" s="1"/>
  <c r="A3783" i="26" s="1"/>
  <c r="A3784" i="26" s="1"/>
  <c r="A3785" i="26" s="1"/>
  <c r="A3786" i="26" s="1"/>
  <c r="A3787" i="26" s="1"/>
  <c r="A3788" i="26" s="1"/>
  <c r="A3789" i="26" s="1"/>
  <c r="A3790" i="26" s="1"/>
  <c r="A3791" i="26" s="1"/>
  <c r="A3792" i="26" s="1"/>
  <c r="A3793" i="26" s="1"/>
  <c r="A3794" i="26" s="1"/>
  <c r="A3795" i="26" s="1"/>
  <c r="A3796" i="26" s="1"/>
  <c r="A3797" i="26" s="1"/>
  <c r="A3798" i="26" s="1"/>
  <c r="A3799" i="26" s="1"/>
  <c r="A3800" i="26" s="1"/>
  <c r="A3801" i="26" s="1"/>
  <c r="A3802" i="26" s="1"/>
  <c r="A3803" i="26" s="1"/>
  <c r="A3804" i="26" s="1"/>
  <c r="A3805" i="26" s="1"/>
  <c r="A3806" i="26" s="1"/>
  <c r="A3807" i="26" s="1"/>
  <c r="A3808" i="26" s="1"/>
  <c r="A3809" i="26" s="1"/>
  <c r="A3810" i="26" s="1"/>
  <c r="A3811" i="26" s="1"/>
  <c r="A3812" i="26" s="1"/>
  <c r="A3813" i="26" s="1"/>
  <c r="A3814" i="26" s="1"/>
  <c r="A3815" i="26" s="1"/>
  <c r="A3816" i="26" s="1"/>
  <c r="A3817" i="26" s="1"/>
  <c r="A3818" i="26" s="1"/>
  <c r="A3819" i="26" s="1"/>
  <c r="A3820" i="26" s="1"/>
  <c r="A3821" i="26" s="1"/>
  <c r="A3822" i="26" s="1"/>
  <c r="A3823" i="26" s="1"/>
  <c r="A3824" i="26" s="1"/>
  <c r="A3825" i="26" s="1"/>
  <c r="A3826" i="26" s="1"/>
  <c r="A3827" i="26" s="1"/>
  <c r="A3828" i="26" s="1"/>
  <c r="A3829" i="26" s="1"/>
  <c r="A3830" i="26" s="1"/>
  <c r="A3831" i="26" s="1"/>
  <c r="A3832" i="26" s="1"/>
  <c r="A3833" i="26" s="1"/>
  <c r="A3834" i="26" s="1"/>
  <c r="A3835" i="26" s="1"/>
  <c r="A3836" i="26" s="1"/>
  <c r="A3837" i="26" s="1"/>
  <c r="A3838" i="26" s="1"/>
  <c r="A3839" i="26" s="1"/>
  <c r="A3840" i="26" s="1"/>
  <c r="A3841" i="26" s="1"/>
  <c r="A3842" i="26" s="1"/>
  <c r="A3843" i="26" s="1"/>
  <c r="A3844" i="26" s="1"/>
  <c r="A3845" i="26" s="1"/>
  <c r="A3846" i="26" s="1"/>
  <c r="A3847" i="26" s="1"/>
  <c r="A3848" i="26" s="1"/>
  <c r="A3849" i="26" s="1"/>
  <c r="A3850" i="26" s="1"/>
  <c r="A3851" i="26" s="1"/>
  <c r="A3852" i="26" s="1"/>
  <c r="A3853" i="26" s="1"/>
  <c r="A3854" i="26" s="1"/>
  <c r="A3855" i="26" s="1"/>
  <c r="A3856" i="26" s="1"/>
  <c r="A3857" i="26" s="1"/>
  <c r="A3858" i="26" s="1"/>
  <c r="A3859" i="26" s="1"/>
  <c r="A3860" i="26" s="1"/>
  <c r="A3861" i="26" s="1"/>
  <c r="A3862" i="26" s="1"/>
  <c r="A3863" i="26" s="1"/>
  <c r="A3864" i="26" s="1"/>
  <c r="A3865" i="26" s="1"/>
  <c r="A3866" i="26" s="1"/>
  <c r="A3867" i="26" s="1"/>
  <c r="A3868" i="26" s="1"/>
  <c r="A3869" i="26" s="1"/>
  <c r="A3870" i="26" s="1"/>
  <c r="A3871" i="26" s="1"/>
  <c r="A3872" i="26" s="1"/>
  <c r="A3873" i="26" s="1"/>
  <c r="A3874" i="26" s="1"/>
  <c r="A3875" i="26" s="1"/>
  <c r="A3876" i="26" s="1"/>
  <c r="A3877" i="26" s="1"/>
  <c r="A3878" i="26" s="1"/>
  <c r="A3879" i="26" s="1"/>
  <c r="A3880" i="26" s="1"/>
  <c r="A3881" i="26" s="1"/>
  <c r="A3882" i="26" s="1"/>
  <c r="A3883" i="26" s="1"/>
  <c r="A3884" i="26" s="1"/>
  <c r="A3885" i="26" s="1"/>
  <c r="A3886" i="26" s="1"/>
  <c r="A3887" i="26" s="1"/>
  <c r="A3888" i="26" s="1"/>
  <c r="A3889" i="26" s="1"/>
  <c r="A3890" i="26" s="1"/>
  <c r="A3891" i="26" s="1"/>
  <c r="A3892" i="26" s="1"/>
  <c r="A3893" i="26" s="1"/>
  <c r="A3894" i="26" s="1"/>
  <c r="A3895" i="26" s="1"/>
  <c r="A3896" i="26" s="1"/>
  <c r="A3897" i="26" s="1"/>
  <c r="A3898" i="26" s="1"/>
  <c r="A3899" i="26" s="1"/>
  <c r="A3900" i="26" s="1"/>
  <c r="A3901" i="26" s="1"/>
  <c r="A3902" i="26" s="1"/>
  <c r="A3903" i="26" s="1"/>
  <c r="A3904" i="26" s="1"/>
  <c r="A3905" i="26" s="1"/>
  <c r="A3906" i="26" s="1"/>
  <c r="A3907" i="26" s="1"/>
  <c r="A3908" i="26" s="1"/>
  <c r="A3909" i="26" s="1"/>
  <c r="A3910" i="26" s="1"/>
  <c r="A3911" i="26" s="1"/>
  <c r="A3912" i="26" s="1"/>
  <c r="A3913" i="26" s="1"/>
  <c r="A3914" i="26" s="1"/>
  <c r="A3915" i="26" s="1"/>
  <c r="A3916" i="26" s="1"/>
  <c r="A3917" i="26" s="1"/>
  <c r="A3918" i="26" s="1"/>
  <c r="A3919" i="26" s="1"/>
  <c r="A3920" i="26" s="1"/>
  <c r="A3921" i="26" s="1"/>
  <c r="A3922" i="26" s="1"/>
  <c r="A3923" i="26" s="1"/>
  <c r="A3924" i="26" s="1"/>
  <c r="A3925" i="26" s="1"/>
  <c r="A3926" i="26" s="1"/>
  <c r="A3927" i="26" s="1"/>
  <c r="A3928" i="26" s="1"/>
  <c r="A3929" i="26" s="1"/>
  <c r="A3930" i="26" s="1"/>
  <c r="A3931" i="26" s="1"/>
  <c r="A3932" i="26" s="1"/>
  <c r="A3933" i="26" s="1"/>
  <c r="A3934" i="26" s="1"/>
  <c r="A3935" i="26" s="1"/>
  <c r="A3936" i="26" s="1"/>
  <c r="A3937" i="26" s="1"/>
  <c r="A3938" i="26" s="1"/>
  <c r="A3939" i="26" s="1"/>
  <c r="A3940" i="26" s="1"/>
  <c r="A3941" i="26" s="1"/>
  <c r="A3942" i="26" s="1"/>
  <c r="A3943" i="26" s="1"/>
  <c r="A3944" i="26" s="1"/>
  <c r="A3945" i="26" s="1"/>
  <c r="A3946" i="26" s="1"/>
  <c r="A3947" i="26" s="1"/>
  <c r="A3948" i="26" s="1"/>
  <c r="A3949" i="26" s="1"/>
  <c r="A3950" i="26" s="1"/>
  <c r="A3951" i="26" s="1"/>
  <c r="A3952" i="26" s="1"/>
  <c r="A3953" i="26" s="1"/>
  <c r="A3954" i="26" s="1"/>
  <c r="A3955" i="26" s="1"/>
  <c r="A3956" i="26" s="1"/>
  <c r="A3957" i="26" s="1"/>
  <c r="A3958" i="26" s="1"/>
  <c r="A3959" i="26" s="1"/>
  <c r="A3960" i="26" s="1"/>
  <c r="A3961" i="26" s="1"/>
  <c r="A3962" i="26" s="1"/>
  <c r="A3963" i="26" s="1"/>
  <c r="A3964" i="26" s="1"/>
  <c r="A3965" i="26" s="1"/>
  <c r="A3966" i="26" s="1"/>
  <c r="A3967" i="26" s="1"/>
  <c r="A3968" i="26" s="1"/>
  <c r="A3969" i="26" s="1"/>
  <c r="A3970" i="26" s="1"/>
  <c r="A3971" i="26" s="1"/>
  <c r="A3972" i="26" s="1"/>
  <c r="A3973" i="26" s="1"/>
  <c r="A3974" i="26" s="1"/>
  <c r="A3975" i="26" s="1"/>
  <c r="A3976" i="26" s="1"/>
  <c r="A3977" i="26" s="1"/>
  <c r="A3978" i="26" s="1"/>
  <c r="A3979" i="26" s="1"/>
  <c r="A3980" i="26" s="1"/>
  <c r="A3981" i="26" s="1"/>
  <c r="A3982" i="26" s="1"/>
  <c r="A3983" i="26" s="1"/>
  <c r="A3984" i="26" s="1"/>
  <c r="A3985" i="26" s="1"/>
  <c r="A3986" i="26" s="1"/>
  <c r="A3987" i="26" s="1"/>
  <c r="A3988" i="26" s="1"/>
  <c r="A3989" i="26" s="1"/>
  <c r="A3990" i="26" s="1"/>
  <c r="A3991" i="26" s="1"/>
  <c r="A3992" i="26" s="1"/>
  <c r="A3993" i="26" s="1"/>
  <c r="A3994" i="26" s="1"/>
  <c r="A3995" i="26" s="1"/>
  <c r="A3996" i="26" s="1"/>
  <c r="A3997" i="26" s="1"/>
  <c r="A3998" i="26" s="1"/>
  <c r="A3999" i="26" s="1"/>
  <c r="A4000" i="26" s="1"/>
  <c r="A4001" i="26" s="1"/>
  <c r="A4002" i="26" s="1"/>
  <c r="A4003" i="26" s="1"/>
  <c r="A4004" i="26" s="1"/>
  <c r="A4005" i="26" s="1"/>
  <c r="A4006" i="26" s="1"/>
  <c r="A4007" i="26" s="1"/>
  <c r="A4008" i="26" s="1"/>
  <c r="A4009" i="26" s="1"/>
  <c r="A4010" i="26" s="1"/>
  <c r="A4011" i="26" s="1"/>
  <c r="A4012" i="26" s="1"/>
  <c r="A4013" i="26" s="1"/>
  <c r="A4014" i="26" s="1"/>
  <c r="A4015" i="26" s="1"/>
  <c r="A4016" i="26" s="1"/>
  <c r="A4017" i="26" s="1"/>
  <c r="A4018" i="26" s="1"/>
  <c r="A4019" i="26" s="1"/>
  <c r="A4020" i="26" s="1"/>
  <c r="A4021" i="26" s="1"/>
  <c r="A4022" i="26" s="1"/>
  <c r="A4023" i="26" s="1"/>
  <c r="A4024" i="26" s="1"/>
  <c r="A4025" i="26" s="1"/>
  <c r="A4026" i="26" s="1"/>
  <c r="A4027" i="26" s="1"/>
  <c r="A4028" i="26" s="1"/>
  <c r="A4029" i="26" s="1"/>
  <c r="A4030" i="26" s="1"/>
  <c r="A4031" i="26" s="1"/>
  <c r="A4032" i="26" s="1"/>
  <c r="A4033" i="26" s="1"/>
  <c r="A4034" i="26" s="1"/>
  <c r="A4035" i="26" s="1"/>
  <c r="A4036" i="26" s="1"/>
  <c r="A4037" i="26" s="1"/>
  <c r="A4038" i="26" s="1"/>
  <c r="A4039" i="26" s="1"/>
  <c r="A4040" i="26" s="1"/>
  <c r="A4041" i="26" s="1"/>
  <c r="A4042" i="26" s="1"/>
  <c r="A4043" i="26" s="1"/>
  <c r="A4044" i="26" s="1"/>
  <c r="A4045" i="26" s="1"/>
  <c r="A4046" i="26" s="1"/>
  <c r="A4047" i="26" s="1"/>
  <c r="A4048" i="26" s="1"/>
  <c r="A4049" i="26" s="1"/>
  <c r="A4050" i="26" s="1"/>
  <c r="A4051" i="26" s="1"/>
  <c r="A4052" i="26" s="1"/>
  <c r="A4053" i="26" s="1"/>
  <c r="A4054" i="26" s="1"/>
  <c r="A4055" i="26" s="1"/>
  <c r="A4056" i="26" s="1"/>
  <c r="A4057" i="26" s="1"/>
  <c r="A4058" i="26" s="1"/>
  <c r="A4059" i="26" s="1"/>
  <c r="A4060" i="26" s="1"/>
  <c r="A4061" i="26" s="1"/>
  <c r="A4062" i="26" s="1"/>
  <c r="A4063" i="26" s="1"/>
  <c r="A4064" i="26" s="1"/>
  <c r="A4065" i="26" s="1"/>
  <c r="A4066" i="26" s="1"/>
  <c r="A4067" i="26" s="1"/>
  <c r="A4068" i="26" s="1"/>
  <c r="A4069" i="26" s="1"/>
  <c r="A4070" i="26" s="1"/>
  <c r="A4071" i="26" s="1"/>
  <c r="A4072" i="26" s="1"/>
  <c r="A4073" i="26" s="1"/>
  <c r="A4074" i="26" s="1"/>
  <c r="A4075" i="26" s="1"/>
  <c r="A4076" i="26" s="1"/>
  <c r="A4077" i="26" s="1"/>
  <c r="A4078" i="26" s="1"/>
  <c r="A4079" i="26" s="1"/>
  <c r="A4080" i="26" s="1"/>
  <c r="A4081" i="26" s="1"/>
  <c r="A4082" i="26" s="1"/>
  <c r="A4083" i="26" s="1"/>
  <c r="A4084" i="26" s="1"/>
  <c r="A4085" i="26" s="1"/>
  <c r="A4086" i="26" s="1"/>
  <c r="A4087" i="26" s="1"/>
  <c r="A4088" i="26" s="1"/>
  <c r="A4089" i="26" s="1"/>
  <c r="A4090" i="26" s="1"/>
  <c r="A4091" i="26" s="1"/>
  <c r="A4092" i="26" s="1"/>
  <c r="A4093" i="26" s="1"/>
  <c r="A4094" i="26" s="1"/>
  <c r="A4095" i="26" s="1"/>
  <c r="A4096" i="26" s="1"/>
  <c r="A4097" i="26" s="1"/>
  <c r="A4098" i="26" s="1"/>
  <c r="A4099" i="26" s="1"/>
  <c r="A4100" i="26" s="1"/>
  <c r="A4101" i="26" s="1"/>
  <c r="A4102" i="26" s="1"/>
  <c r="A4103" i="26" s="1"/>
  <c r="A4104" i="26" s="1"/>
  <c r="A4105" i="26" s="1"/>
  <c r="A4106" i="26" s="1"/>
  <c r="A4107" i="26" s="1"/>
  <c r="A4108" i="26" s="1"/>
  <c r="A4109" i="26" s="1"/>
  <c r="A4110" i="26" s="1"/>
  <c r="A4111" i="26" s="1"/>
  <c r="A4112" i="26" s="1"/>
  <c r="A4113" i="26" s="1"/>
  <c r="A4114" i="26" s="1"/>
  <c r="A4115" i="26" s="1"/>
  <c r="A4116" i="26" s="1"/>
  <c r="A4117" i="26" s="1"/>
  <c r="A4118" i="26" s="1"/>
  <c r="A4119" i="26" s="1"/>
  <c r="A4120" i="26" s="1"/>
  <c r="A4121" i="26" s="1"/>
  <c r="A4122" i="26" s="1"/>
  <c r="A4123" i="26" s="1"/>
  <c r="A4124" i="26" s="1"/>
  <c r="A4125" i="26" s="1"/>
  <c r="A4126" i="26" s="1"/>
  <c r="A4127" i="26" s="1"/>
  <c r="A4128" i="26" s="1"/>
  <c r="A4129" i="26" s="1"/>
  <c r="A4130" i="26" s="1"/>
  <c r="A4131" i="26" s="1"/>
  <c r="A4132" i="26" s="1"/>
  <c r="A4133" i="26" s="1"/>
  <c r="A4134" i="26" s="1"/>
  <c r="A4135" i="26" s="1"/>
  <c r="A4136" i="26" s="1"/>
  <c r="A4137" i="26" s="1"/>
  <c r="A4138" i="26" s="1"/>
  <c r="A4139" i="26" s="1"/>
  <c r="A4140" i="26" s="1"/>
  <c r="A4141" i="26" s="1"/>
  <c r="A4142" i="26" s="1"/>
  <c r="A4143" i="26" s="1"/>
  <c r="A4144" i="26" s="1"/>
  <c r="A4145" i="26" s="1"/>
  <c r="A4146" i="26" s="1"/>
  <c r="A4147" i="26" s="1"/>
  <c r="A4148" i="26" s="1"/>
  <c r="A4149" i="26" s="1"/>
  <c r="A4150" i="26" s="1"/>
  <c r="A4151" i="26" s="1"/>
  <c r="A4152" i="26" s="1"/>
  <c r="A4153" i="26" s="1"/>
  <c r="A4154" i="26" s="1"/>
  <c r="A4155" i="26" s="1"/>
  <c r="A4156" i="26" s="1"/>
  <c r="A4157" i="26" s="1"/>
  <c r="A4158" i="26" s="1"/>
  <c r="A4159" i="26" s="1"/>
  <c r="A4160" i="26" s="1"/>
  <c r="A4161" i="26" s="1"/>
  <c r="A4162" i="26" s="1"/>
  <c r="A4163" i="26" s="1"/>
  <c r="A4164" i="26" s="1"/>
  <c r="A4165" i="26" s="1"/>
  <c r="A4166" i="26" s="1"/>
  <c r="A4167" i="26" s="1"/>
  <c r="A4168" i="26" s="1"/>
  <c r="A4169" i="26" s="1"/>
  <c r="A4170" i="26" s="1"/>
  <c r="A4171" i="26" s="1"/>
  <c r="A4172" i="26" s="1"/>
  <c r="A4173" i="26" s="1"/>
  <c r="A4174" i="26" s="1"/>
  <c r="A4175" i="26" s="1"/>
  <c r="A4176" i="26" s="1"/>
  <c r="A4177" i="26" s="1"/>
  <c r="A4178" i="26" s="1"/>
  <c r="A4179" i="26" s="1"/>
  <c r="A4180" i="26" s="1"/>
  <c r="A4181" i="26" s="1"/>
  <c r="A4182" i="26" s="1"/>
  <c r="A4183" i="26" s="1"/>
  <c r="A4184" i="26" s="1"/>
  <c r="A4185" i="26" s="1"/>
  <c r="A4186" i="26" s="1"/>
  <c r="A4187" i="26" s="1"/>
  <c r="A4188" i="26" s="1"/>
  <c r="A4189" i="26" s="1"/>
  <c r="A4190" i="26" s="1"/>
  <c r="A4191" i="26" s="1"/>
  <c r="A4192" i="26" s="1"/>
  <c r="A4193" i="26" s="1"/>
  <c r="A4194" i="26" s="1"/>
  <c r="A4195" i="26" s="1"/>
  <c r="A4196" i="26" s="1"/>
  <c r="A4197" i="26" s="1"/>
  <c r="A4198" i="26" s="1"/>
  <c r="A4199" i="26" s="1"/>
  <c r="A4200" i="26" s="1"/>
  <c r="A4201" i="26" s="1"/>
  <c r="A4202" i="26" s="1"/>
  <c r="A4203" i="26" s="1"/>
  <c r="A4204" i="26" s="1"/>
  <c r="A4205" i="26" s="1"/>
  <c r="A4206" i="26" s="1"/>
  <c r="A4207" i="26" s="1"/>
  <c r="A4208" i="26" s="1"/>
  <c r="A4209" i="26" s="1"/>
  <c r="A4210" i="26" s="1"/>
  <c r="A4211" i="26" s="1"/>
  <c r="A4212" i="26" s="1"/>
  <c r="A4213" i="26" s="1"/>
  <c r="A4214" i="26" s="1"/>
  <c r="A4215" i="26" s="1"/>
  <c r="A4216" i="26" s="1"/>
  <c r="A4217" i="26" s="1"/>
  <c r="A4218" i="26" s="1"/>
  <c r="A4219" i="26" s="1"/>
  <c r="A4220" i="26" s="1"/>
  <c r="A4221" i="26" s="1"/>
  <c r="A4222" i="26" s="1"/>
  <c r="A4223" i="26" s="1"/>
  <c r="A4224" i="26" s="1"/>
  <c r="A4225" i="26" s="1"/>
  <c r="A4226" i="26" s="1"/>
  <c r="A4227" i="26" s="1"/>
  <c r="A4228" i="26" s="1"/>
  <c r="A4229" i="26" s="1"/>
  <c r="A4230" i="26" s="1"/>
  <c r="A4231" i="26" s="1"/>
  <c r="A4232" i="26" s="1"/>
  <c r="A4233" i="26" s="1"/>
  <c r="A4234" i="26" s="1"/>
  <c r="A4235" i="26" s="1"/>
  <c r="A4236" i="26" s="1"/>
  <c r="A4237" i="26" s="1"/>
  <c r="A4238" i="26" s="1"/>
  <c r="A4239" i="26" s="1"/>
  <c r="A4240" i="26" s="1"/>
  <c r="A4241" i="26" s="1"/>
  <c r="A4242" i="26" s="1"/>
  <c r="A4243" i="26" s="1"/>
  <c r="A4244" i="26" s="1"/>
  <c r="A4245" i="26" s="1"/>
  <c r="A4246" i="26" s="1"/>
  <c r="A4247" i="26" s="1"/>
  <c r="A4248" i="26" s="1"/>
  <c r="A4249" i="26" s="1"/>
  <c r="A4250" i="26" s="1"/>
  <c r="A4251" i="26" s="1"/>
  <c r="A4252" i="26" s="1"/>
  <c r="A4253" i="26" s="1"/>
  <c r="A4254" i="26" s="1"/>
  <c r="A4255" i="26" s="1"/>
  <c r="A4256" i="26" s="1"/>
  <c r="A4257" i="26" s="1"/>
  <c r="A4258" i="26" s="1"/>
  <c r="A4259" i="26" s="1"/>
  <c r="A4260" i="26" s="1"/>
  <c r="A4261" i="26" s="1"/>
  <c r="A4262" i="26" s="1"/>
  <c r="A4263" i="26" s="1"/>
  <c r="A4264" i="26" s="1"/>
  <c r="A4265" i="26" s="1"/>
  <c r="A4266" i="26" s="1"/>
  <c r="A4267" i="26" s="1"/>
  <c r="A4268" i="26" s="1"/>
  <c r="A4269" i="26" s="1"/>
  <c r="A4270" i="26" s="1"/>
  <c r="A4271" i="26" s="1"/>
  <c r="A4272" i="26" s="1"/>
  <c r="A4273" i="26" s="1"/>
  <c r="A4274" i="26" s="1"/>
  <c r="A4275" i="26" s="1"/>
  <c r="A4276" i="26" s="1"/>
  <c r="A4277" i="26" s="1"/>
  <c r="A4278" i="26" s="1"/>
  <c r="A4279" i="26" s="1"/>
  <c r="A4280" i="26" s="1"/>
  <c r="A4281" i="26" s="1"/>
  <c r="A4282" i="26" s="1"/>
  <c r="A4283" i="26" s="1"/>
  <c r="A4284" i="26" s="1"/>
  <c r="A4285" i="26" s="1"/>
  <c r="A4286" i="26" s="1"/>
  <c r="A4287" i="26" s="1"/>
  <c r="A4288" i="26" s="1"/>
  <c r="A4289" i="26" s="1"/>
  <c r="A4290" i="26" s="1"/>
  <c r="A4291" i="26" s="1"/>
  <c r="A4292" i="26" s="1"/>
  <c r="A4293" i="26" s="1"/>
  <c r="A4294" i="26" s="1"/>
  <c r="A4295" i="26" s="1"/>
  <c r="A4296" i="26" s="1"/>
  <c r="A4297" i="26" s="1"/>
  <c r="A4298" i="26" s="1"/>
  <c r="A4299" i="26" s="1"/>
  <c r="A4300" i="26" s="1"/>
  <c r="A4301" i="26" s="1"/>
  <c r="A4302" i="26" s="1"/>
  <c r="A4303" i="26" s="1"/>
  <c r="A4304" i="26" s="1"/>
  <c r="A4305" i="26" s="1"/>
  <c r="A4306" i="26" s="1"/>
  <c r="A4307" i="26" s="1"/>
  <c r="A4308" i="26" s="1"/>
  <c r="A4309" i="26" s="1"/>
  <c r="A4310" i="26" s="1"/>
  <c r="A4311" i="26" s="1"/>
  <c r="A4312" i="26" s="1"/>
  <c r="A4313" i="26" s="1"/>
  <c r="A4314" i="26" s="1"/>
  <c r="A4315" i="26" s="1"/>
  <c r="A4316" i="26" s="1"/>
  <c r="A4317" i="26" s="1"/>
  <c r="A4318" i="26" s="1"/>
  <c r="A4319" i="26" s="1"/>
  <c r="A4320" i="26" s="1"/>
  <c r="A4321" i="26" s="1"/>
  <c r="A4322" i="26" s="1"/>
  <c r="A4323" i="26" s="1"/>
  <c r="A4324" i="26" s="1"/>
  <c r="A4325" i="26" s="1"/>
  <c r="A4326" i="26" s="1"/>
  <c r="A4327" i="26" s="1"/>
  <c r="A4328" i="26" s="1"/>
  <c r="A4329" i="26" s="1"/>
  <c r="A4330" i="26" s="1"/>
  <c r="A4331" i="26" s="1"/>
  <c r="A4332" i="26" s="1"/>
  <c r="A4333" i="26" s="1"/>
  <c r="A4334" i="26" s="1"/>
  <c r="A4335" i="26" s="1"/>
  <c r="A4336" i="26" s="1"/>
  <c r="A4337" i="26" s="1"/>
  <c r="A4338" i="26" s="1"/>
  <c r="A4339" i="26" s="1"/>
  <c r="A4340" i="26" s="1"/>
  <c r="A4341" i="26" s="1"/>
  <c r="A4342" i="26" s="1"/>
  <c r="A4343" i="26" s="1"/>
  <c r="A4344" i="26" s="1"/>
  <c r="A4345" i="26" s="1"/>
  <c r="A4346" i="26" s="1"/>
  <c r="A4347" i="26" s="1"/>
  <c r="A4348" i="26" s="1"/>
  <c r="A4349" i="26" s="1"/>
  <c r="A4350" i="26" s="1"/>
  <c r="A4351" i="26" s="1"/>
  <c r="A4352" i="26" s="1"/>
  <c r="A4353" i="26" s="1"/>
  <c r="A4354" i="26" s="1"/>
  <c r="A4355" i="26" s="1"/>
  <c r="A4356" i="26" s="1"/>
  <c r="A4357" i="26" s="1"/>
  <c r="A4358" i="26" s="1"/>
  <c r="A4359" i="26" s="1"/>
  <c r="A4360" i="26" s="1"/>
  <c r="A4361" i="26" s="1"/>
  <c r="A4362" i="26" s="1"/>
  <c r="A4363" i="26" s="1"/>
  <c r="A4364" i="26" s="1"/>
  <c r="A4365" i="26" s="1"/>
  <c r="A4366" i="26" s="1"/>
  <c r="A4367" i="26" s="1"/>
  <c r="A4368" i="26" s="1"/>
  <c r="A4369" i="26" s="1"/>
  <c r="A4370" i="26" s="1"/>
  <c r="A4371" i="26" s="1"/>
  <c r="A4372" i="26" s="1"/>
  <c r="A4373" i="26" s="1"/>
  <c r="A4374" i="26" s="1"/>
  <c r="A4375" i="26" s="1"/>
  <c r="A4376" i="26" s="1"/>
  <c r="A4377" i="26" s="1"/>
  <c r="A4378" i="26" s="1"/>
  <c r="A4379" i="26" s="1"/>
  <c r="A4380" i="26" s="1"/>
  <c r="A4381" i="26" s="1"/>
  <c r="B2" i="25"/>
  <c r="B3" i="25"/>
  <c r="B12" i="25"/>
  <c r="C12" i="25"/>
  <c r="B13" i="25"/>
  <c r="C13" i="25" s="1"/>
  <c r="B14" i="25"/>
  <c r="C14" i="25" s="1"/>
  <c r="B15" i="25"/>
  <c r="C15" i="25" s="1"/>
  <c r="C16" i="25"/>
  <c r="B22" i="25"/>
  <c r="C22" i="25"/>
  <c r="C21" i="25" s="1"/>
  <c r="D22" i="25"/>
  <c r="D21" i="25" s="1"/>
  <c r="E22" i="25"/>
  <c r="E21" i="25" s="1"/>
  <c r="H23" i="25"/>
  <c r="J23" i="25"/>
  <c r="H24" i="25"/>
  <c r="J24" i="25"/>
  <c r="H25" i="25"/>
  <c r="J25" i="25"/>
  <c r="C26" i="25"/>
  <c r="D26" i="25"/>
  <c r="F26" i="25"/>
  <c r="G26" i="25"/>
  <c r="B27" i="25"/>
  <c r="C27" i="25"/>
  <c r="D27" i="25"/>
  <c r="E27" i="25"/>
  <c r="F27" i="25"/>
  <c r="G27" i="25"/>
  <c r="B2" i="24"/>
  <c r="B3" i="24"/>
  <c r="B5" i="24"/>
  <c r="F26" i="24" s="1"/>
  <c r="B12" i="24"/>
  <c r="C12" i="24" s="1"/>
  <c r="B13" i="24"/>
  <c r="B14" i="24"/>
  <c r="B15" i="24"/>
  <c r="C15" i="24" s="1"/>
  <c r="B16" i="24"/>
  <c r="H22" i="24"/>
  <c r="J22" i="24"/>
  <c r="H23" i="24"/>
  <c r="J23" i="24"/>
  <c r="H24" i="24"/>
  <c r="J24" i="24"/>
  <c r="H25" i="24"/>
  <c r="J25" i="24"/>
  <c r="B2" i="23"/>
  <c r="B3" i="23"/>
  <c r="B5" i="23"/>
  <c r="D27" i="23" s="1"/>
  <c r="B12" i="23"/>
  <c r="B13" i="23"/>
  <c r="C13" i="23"/>
  <c r="B14" i="23"/>
  <c r="B15" i="23"/>
  <c r="H22" i="23"/>
  <c r="J22" i="23"/>
  <c r="H23" i="23"/>
  <c r="J23" i="23"/>
  <c r="H24" i="23"/>
  <c r="J24" i="23"/>
  <c r="H25" i="23"/>
  <c r="J25" i="23"/>
  <c r="G27" i="23"/>
  <c r="B2" i="22"/>
  <c r="B3" i="22"/>
  <c r="B12" i="22"/>
  <c r="C12" i="22" s="1"/>
  <c r="B14" i="22"/>
  <c r="C14" i="22" s="1"/>
  <c r="B15" i="22"/>
  <c r="C15" i="22" s="1"/>
  <c r="B16" i="22"/>
  <c r="C16" i="22" s="1"/>
  <c r="B17" i="22"/>
  <c r="C17" i="22" s="1"/>
  <c r="B21" i="22"/>
  <c r="C21" i="22"/>
  <c r="D21" i="22"/>
  <c r="H22" i="22"/>
  <c r="J22" i="22"/>
  <c r="H23" i="22"/>
  <c r="G5" i="22" s="1"/>
  <c r="J23" i="22"/>
  <c r="H24" i="22"/>
  <c r="J24" i="22"/>
  <c r="H25" i="22"/>
  <c r="G3" i="22" s="1"/>
  <c r="J25" i="22"/>
  <c r="C26" i="22"/>
  <c r="D26" i="22"/>
  <c r="E26" i="22"/>
  <c r="F26" i="22"/>
  <c r="G26" i="22"/>
  <c r="B27" i="22"/>
  <c r="C27" i="22"/>
  <c r="D27" i="22"/>
  <c r="E27" i="22"/>
  <c r="F27" i="22"/>
  <c r="G27" i="22"/>
  <c r="B2" i="21"/>
  <c r="B3" i="21"/>
  <c r="C12" i="21"/>
  <c r="D17" i="21" s="1"/>
  <c r="B13" i="21"/>
  <c r="C13" i="21"/>
  <c r="B14" i="21"/>
  <c r="C14" i="21"/>
  <c r="B15" i="21"/>
  <c r="C15" i="21"/>
  <c r="B16" i="21"/>
  <c r="C16" i="21"/>
  <c r="B17" i="21"/>
  <c r="C17" i="21"/>
  <c r="C21" i="21"/>
  <c r="D21" i="21"/>
  <c r="E21" i="21"/>
  <c r="F21" i="21"/>
  <c r="G21" i="21"/>
  <c r="H22" i="21"/>
  <c r="J22" i="21"/>
  <c r="F23" i="21"/>
  <c r="H23" i="21"/>
  <c r="J23" i="21"/>
  <c r="H24" i="21"/>
  <c r="J24" i="21"/>
  <c r="H25" i="21"/>
  <c r="J25" i="21"/>
  <c r="B26" i="21"/>
  <c r="C26" i="21"/>
  <c r="D26" i="21"/>
  <c r="E26" i="21"/>
  <c r="F26" i="21"/>
  <c r="G26" i="21"/>
  <c r="B27" i="21"/>
  <c r="C27" i="21"/>
  <c r="D27" i="21"/>
  <c r="E27" i="21"/>
  <c r="F27" i="21"/>
  <c r="G27" i="21"/>
  <c r="B2" i="20"/>
  <c r="B3" i="20"/>
  <c r="B4" i="20"/>
  <c r="B5" i="20"/>
  <c r="C27" i="20" s="1"/>
  <c r="B6" i="20"/>
  <c r="B7" i="20"/>
  <c r="B8" i="20"/>
  <c r="B12" i="20"/>
  <c r="B13" i="20"/>
  <c r="B14" i="20"/>
  <c r="B15" i="20"/>
  <c r="B16" i="20"/>
  <c r="H22" i="20"/>
  <c r="J22" i="20"/>
  <c r="C23" i="20"/>
  <c r="F23" i="20"/>
  <c r="G24" i="20"/>
  <c r="H24" i="20" s="1"/>
  <c r="J24" i="20"/>
  <c r="H25" i="20"/>
  <c r="J25" i="20"/>
  <c r="B4" i="19"/>
  <c r="B5" i="19"/>
  <c r="C17" i="19" s="1"/>
  <c r="B6" i="19"/>
  <c r="D26" i="19" s="1"/>
  <c r="B7" i="19"/>
  <c r="C26" i="19" s="1"/>
  <c r="B8" i="19"/>
  <c r="C16" i="19"/>
  <c r="B22" i="19"/>
  <c r="C22" i="19"/>
  <c r="D22" i="19"/>
  <c r="G22" i="19"/>
  <c r="F23" i="19"/>
  <c r="H23" i="19" s="1"/>
  <c r="J23" i="19"/>
  <c r="H24" i="19"/>
  <c r="J24" i="19"/>
  <c r="H25" i="19"/>
  <c r="J25" i="19"/>
  <c r="F26" i="19"/>
  <c r="B2" i="18"/>
  <c r="B3" i="18"/>
  <c r="B4" i="18"/>
  <c r="B5" i="18"/>
  <c r="F21" i="18" s="1"/>
  <c r="B6" i="18"/>
  <c r="C26" i="18" s="1"/>
  <c r="B7" i="18"/>
  <c r="B12" i="18"/>
  <c r="B13" i="18"/>
  <c r="B14" i="18"/>
  <c r="B15" i="18"/>
  <c r="B16" i="18"/>
  <c r="C16" i="18"/>
  <c r="H22" i="18"/>
  <c r="J22" i="18"/>
  <c r="F23" i="18"/>
  <c r="H23" i="18" s="1"/>
  <c r="J23" i="18"/>
  <c r="H24" i="18"/>
  <c r="J24" i="18"/>
  <c r="H25" i="18"/>
  <c r="J25" i="18"/>
  <c r="B2" i="17"/>
  <c r="B3" i="17"/>
  <c r="B4" i="17"/>
  <c r="B5" i="17"/>
  <c r="D26" i="17" s="1"/>
  <c r="J26" i="17" s="1"/>
  <c r="B6" i="17"/>
  <c r="B12" i="17"/>
  <c r="B13" i="17"/>
  <c r="C13" i="17"/>
  <c r="B14" i="17"/>
  <c r="B15" i="17"/>
  <c r="C15" i="17"/>
  <c r="B16" i="17"/>
  <c r="B17" i="17"/>
  <c r="C21" i="17"/>
  <c r="H22" i="17"/>
  <c r="J22" i="17"/>
  <c r="C23" i="17"/>
  <c r="E23" i="17"/>
  <c r="G23" i="17"/>
  <c r="H24" i="17"/>
  <c r="J24" i="17"/>
  <c r="H25" i="17"/>
  <c r="J25" i="17"/>
  <c r="C26" i="17"/>
  <c r="C27" i="17"/>
  <c r="E27" i="17"/>
  <c r="B2" i="16"/>
  <c r="B3" i="16"/>
  <c r="B12" i="16"/>
  <c r="B17" i="16" s="1"/>
  <c r="C12" i="16"/>
  <c r="B13" i="16"/>
  <c r="C13" i="16"/>
  <c r="B14" i="16"/>
  <c r="C14" i="16"/>
  <c r="B15" i="16"/>
  <c r="C15" i="16"/>
  <c r="B16" i="16"/>
  <c r="C16" i="16"/>
  <c r="C17" i="16"/>
  <c r="B22" i="16"/>
  <c r="B21" i="16" s="1"/>
  <c r="C22" i="16"/>
  <c r="C21" i="16" s="1"/>
  <c r="D22" i="16"/>
  <c r="F22" i="16"/>
  <c r="G22" i="16"/>
  <c r="G21" i="16"/>
  <c r="C23" i="16"/>
  <c r="D23" i="16"/>
  <c r="F23" i="16"/>
  <c r="G23" i="16"/>
  <c r="H24" i="16"/>
  <c r="J24" i="16"/>
  <c r="H25" i="16"/>
  <c r="J25" i="16"/>
  <c r="B26" i="16"/>
  <c r="C26" i="16"/>
  <c r="D26" i="16"/>
  <c r="E26" i="16"/>
  <c r="F26" i="16"/>
  <c r="G26" i="16"/>
  <c r="B27" i="16"/>
  <c r="C27" i="16"/>
  <c r="D27" i="16"/>
  <c r="E27" i="16"/>
  <c r="F27" i="16"/>
  <c r="G27" i="16"/>
  <c r="B2" i="15"/>
  <c r="B3" i="15"/>
  <c r="B12" i="15"/>
  <c r="C12" i="15"/>
  <c r="B13" i="15"/>
  <c r="C13" i="15"/>
  <c r="B14" i="15"/>
  <c r="C14" i="15"/>
  <c r="B15" i="15"/>
  <c r="C15" i="15"/>
  <c r="B16" i="15"/>
  <c r="C16" i="15"/>
  <c r="B17" i="15"/>
  <c r="C17" i="15"/>
  <c r="F21" i="15"/>
  <c r="B22" i="15"/>
  <c r="C22" i="15"/>
  <c r="D22" i="15"/>
  <c r="D21" i="15" s="1"/>
  <c r="E22" i="15"/>
  <c r="E21" i="15" s="1"/>
  <c r="G22" i="15"/>
  <c r="G21" i="15" s="1"/>
  <c r="D23" i="15"/>
  <c r="J23" i="15" s="1"/>
  <c r="F23" i="15"/>
  <c r="H24" i="15"/>
  <c r="J24" i="15"/>
  <c r="H25" i="15"/>
  <c r="J25" i="15"/>
  <c r="B26" i="15"/>
  <c r="C26" i="15"/>
  <c r="D26" i="15"/>
  <c r="F26" i="15"/>
  <c r="B27" i="15"/>
  <c r="C27" i="15"/>
  <c r="D27" i="15"/>
  <c r="E27" i="15"/>
  <c r="F27" i="15"/>
  <c r="G27" i="15"/>
  <c r="B5" i="14"/>
  <c r="D21" i="14" s="1"/>
  <c r="B6" i="14"/>
  <c r="E26" i="14" s="1"/>
  <c r="B7" i="14"/>
  <c r="B12" i="14"/>
  <c r="B13" i="14"/>
  <c r="C13" i="14"/>
  <c r="B14" i="14"/>
  <c r="B15" i="14"/>
  <c r="B16" i="14"/>
  <c r="C21" i="14"/>
  <c r="H22" i="14"/>
  <c r="J22" i="14"/>
  <c r="F23" i="14"/>
  <c r="H23" i="14" s="1"/>
  <c r="J23" i="14"/>
  <c r="H24" i="14"/>
  <c r="J24" i="14"/>
  <c r="H25" i="14"/>
  <c r="J25" i="14"/>
  <c r="B2" i="13"/>
  <c r="B3" i="13"/>
  <c r="B4" i="13"/>
  <c r="B5" i="13"/>
  <c r="F21" i="13"/>
  <c r="B6" i="13"/>
  <c r="E27" i="13" s="1"/>
  <c r="B12" i="13"/>
  <c r="B13" i="13"/>
  <c r="B14" i="13"/>
  <c r="B15" i="13"/>
  <c r="B16" i="13"/>
  <c r="B17" i="13"/>
  <c r="G21" i="13"/>
  <c r="B22" i="13"/>
  <c r="C22" i="13"/>
  <c r="D22" i="13"/>
  <c r="F22" i="13"/>
  <c r="H24" i="13"/>
  <c r="J24" i="13"/>
  <c r="H25" i="13"/>
  <c r="J25" i="13"/>
  <c r="H26" i="13"/>
  <c r="J26" i="13"/>
  <c r="B27" i="13"/>
  <c r="B12" i="12"/>
  <c r="C12" i="12"/>
  <c r="B13" i="12"/>
  <c r="C13" i="12"/>
  <c r="B14" i="12"/>
  <c r="C14" i="12"/>
  <c r="B15" i="12"/>
  <c r="C15" i="12"/>
  <c r="B16" i="12"/>
  <c r="C16" i="12"/>
  <c r="B17" i="12"/>
  <c r="C17" i="12"/>
  <c r="E21" i="12"/>
  <c r="F21" i="12"/>
  <c r="G21" i="12"/>
  <c r="B22" i="12"/>
  <c r="C22" i="12"/>
  <c r="C21" i="12" s="1"/>
  <c r="D22" i="12"/>
  <c r="D21" i="12" s="1"/>
  <c r="H23" i="12"/>
  <c r="J23" i="12"/>
  <c r="H24" i="12"/>
  <c r="J24" i="12"/>
  <c r="H25" i="12"/>
  <c r="J25" i="12"/>
  <c r="H26" i="12"/>
  <c r="J26" i="12"/>
  <c r="B27" i="12"/>
  <c r="C27" i="12"/>
  <c r="D27" i="12"/>
  <c r="E27" i="12"/>
  <c r="F27" i="12"/>
  <c r="G27" i="12"/>
  <c r="B2" i="11"/>
  <c r="B3" i="11"/>
  <c r="B4" i="11"/>
  <c r="B5" i="11"/>
  <c r="D27" i="11" s="1"/>
  <c r="B6" i="11"/>
  <c r="C21" i="11" s="1"/>
  <c r="B12" i="11"/>
  <c r="B13" i="11"/>
  <c r="B14" i="11"/>
  <c r="C14" i="11" s="1"/>
  <c r="B15" i="11"/>
  <c r="B17" i="11"/>
  <c r="H22" i="11"/>
  <c r="J22" i="11"/>
  <c r="D23" i="11"/>
  <c r="E23" i="11"/>
  <c r="F23" i="11"/>
  <c r="G23" i="11"/>
  <c r="F24" i="11"/>
  <c r="G24" i="11"/>
  <c r="J24" i="11"/>
  <c r="H25" i="11"/>
  <c r="J25" i="11"/>
  <c r="H26" i="11"/>
  <c r="J26" i="11"/>
  <c r="B2" i="10"/>
  <c r="B3" i="10"/>
  <c r="B4" i="10"/>
  <c r="B5" i="10"/>
  <c r="C16" i="10" s="1"/>
  <c r="B6" i="10"/>
  <c r="B12" i="10"/>
  <c r="B13" i="10"/>
  <c r="B14" i="10"/>
  <c r="B15" i="10"/>
  <c r="B16" i="10"/>
  <c r="B17" i="10"/>
  <c r="F21" i="10"/>
  <c r="B22" i="10"/>
  <c r="C22" i="10"/>
  <c r="J22" i="10" s="1"/>
  <c r="B23" i="10"/>
  <c r="F23" i="10"/>
  <c r="F24" i="10"/>
  <c r="H24" i="10" s="1"/>
  <c r="J24" i="10"/>
  <c r="H25" i="10"/>
  <c r="J25" i="10"/>
  <c r="H26" i="10"/>
  <c r="J26" i="10"/>
  <c r="C27" i="10"/>
  <c r="F27" i="10"/>
  <c r="T13" i="7"/>
  <c r="U13" i="7" s="1"/>
  <c r="V13" i="7" s="1"/>
  <c r="Z13" i="7"/>
  <c r="T14" i="7"/>
  <c r="U14" i="7" s="1"/>
  <c r="V14" i="7" s="1"/>
  <c r="Z14" i="7"/>
  <c r="T15" i="7"/>
  <c r="U15" i="7" s="1"/>
  <c r="V15" i="7" s="1"/>
  <c r="Z15" i="7"/>
  <c r="T16" i="7"/>
  <c r="U16" i="7"/>
  <c r="V16" i="7" s="1"/>
  <c r="Z16" i="7"/>
  <c r="T17" i="7"/>
  <c r="U17" i="7" s="1"/>
  <c r="V17" i="7" s="1"/>
  <c r="Z17" i="7"/>
  <c r="T18" i="7"/>
  <c r="U18" i="7" s="1"/>
  <c r="V18" i="7" s="1"/>
  <c r="Z18" i="7"/>
  <c r="T19" i="7"/>
  <c r="U19" i="7" s="1"/>
  <c r="V19" i="7" s="1"/>
  <c r="Z19" i="7"/>
  <c r="T20" i="7"/>
  <c r="U20" i="7" s="1"/>
  <c r="V20" i="7" s="1"/>
  <c r="Z20" i="7"/>
  <c r="T21" i="7"/>
  <c r="U21" i="7" s="1"/>
  <c r="V21" i="7" s="1"/>
  <c r="Z21" i="7"/>
  <c r="T22" i="7"/>
  <c r="U22" i="7" s="1"/>
  <c r="V22" i="7" s="1"/>
  <c r="Z22" i="7"/>
  <c r="T23" i="7"/>
  <c r="U23" i="7" s="1"/>
  <c r="V23" i="7" s="1"/>
  <c r="Z23" i="7"/>
  <c r="T24" i="7"/>
  <c r="U24" i="7" s="1"/>
  <c r="V24" i="7" s="1"/>
  <c r="Z24" i="7"/>
  <c r="T25" i="7"/>
  <c r="U25" i="7" s="1"/>
  <c r="V25" i="7" s="1"/>
  <c r="Z25" i="7"/>
  <c r="T27" i="7"/>
  <c r="Z27" i="7"/>
  <c r="T28" i="7"/>
  <c r="Z28" i="7"/>
  <c r="T29" i="7"/>
  <c r="Z29" i="7"/>
  <c r="T30" i="7"/>
  <c r="Z30" i="7"/>
  <c r="T31" i="7"/>
  <c r="Z31" i="7"/>
  <c r="T32" i="7"/>
  <c r="Z32" i="7"/>
  <c r="T33" i="7"/>
  <c r="Z33" i="7"/>
  <c r="T34" i="7"/>
  <c r="Z34" i="7"/>
  <c r="T35" i="7"/>
  <c r="Z35" i="7"/>
  <c r="T36" i="7"/>
  <c r="Z36" i="7"/>
  <c r="T37" i="7"/>
  <c r="Z37" i="7"/>
  <c r="T38" i="7"/>
  <c r="Z38" i="7"/>
  <c r="T39" i="7"/>
  <c r="Z39" i="7"/>
  <c r="Z41" i="7"/>
  <c r="Z42" i="7"/>
  <c r="Z43" i="7"/>
  <c r="Z44" i="7"/>
  <c r="Z45" i="7"/>
  <c r="Z46" i="7"/>
  <c r="Z47" i="7"/>
  <c r="Z48" i="7"/>
  <c r="Z49" i="7"/>
  <c r="Z50" i="7"/>
  <c r="Z51" i="7"/>
  <c r="Z52" i="7"/>
  <c r="Z53" i="7"/>
  <c r="Z55" i="7"/>
  <c r="Z56" i="7"/>
  <c r="Z57" i="7"/>
  <c r="Z58" i="7"/>
  <c r="Z59" i="7"/>
  <c r="Z60" i="7"/>
  <c r="Z61" i="7"/>
  <c r="Z62" i="7"/>
  <c r="Z63" i="7"/>
  <c r="Z64" i="7"/>
  <c r="Z65" i="7"/>
  <c r="Z66" i="7"/>
  <c r="Z67" i="7"/>
  <c r="Z69" i="7"/>
  <c r="Z70" i="7"/>
  <c r="Z71" i="7"/>
  <c r="Z72" i="7"/>
  <c r="Z73" i="7"/>
  <c r="Z74" i="7"/>
  <c r="Z75" i="7"/>
  <c r="Z76" i="7"/>
  <c r="Z77" i="7"/>
  <c r="Z78" i="7"/>
  <c r="Z79" i="7"/>
  <c r="Z80" i="7"/>
  <c r="Z81" i="7"/>
  <c r="Z83" i="7"/>
  <c r="Z84" i="7"/>
  <c r="Z85" i="7"/>
  <c r="Z86" i="7"/>
  <c r="Z87" i="7"/>
  <c r="Z88" i="7"/>
  <c r="Z89" i="7"/>
  <c r="Z90" i="7"/>
  <c r="Z91" i="7"/>
  <c r="Z92" i="7"/>
  <c r="Z93" i="7"/>
  <c r="Z94" i="7"/>
  <c r="Z95" i="7"/>
  <c r="S96" i="7"/>
  <c r="T97" i="7"/>
  <c r="U97" i="7" s="1"/>
  <c r="V97" i="7" s="1"/>
  <c r="Z97" i="7"/>
  <c r="T98" i="7"/>
  <c r="U98" i="7" s="1"/>
  <c r="V98" i="7" s="1"/>
  <c r="Z98" i="7"/>
  <c r="T99" i="7"/>
  <c r="U99" i="7" s="1"/>
  <c r="V99" i="7" s="1"/>
  <c r="Z99" i="7"/>
  <c r="T100" i="7"/>
  <c r="U100" i="7" s="1"/>
  <c r="V100" i="7" s="1"/>
  <c r="Z100" i="7"/>
  <c r="T101" i="7"/>
  <c r="U101" i="7" s="1"/>
  <c r="V101" i="7" s="1"/>
  <c r="Z101" i="7"/>
  <c r="T102" i="7"/>
  <c r="U102" i="7" s="1"/>
  <c r="V102" i="7" s="1"/>
  <c r="Z102" i="7"/>
  <c r="T103" i="7"/>
  <c r="U103" i="7" s="1"/>
  <c r="V103" i="7" s="1"/>
  <c r="Z103" i="7"/>
  <c r="T104" i="7"/>
  <c r="U104" i="7" s="1"/>
  <c r="V104" i="7" s="1"/>
  <c r="Z104" i="7"/>
  <c r="T105" i="7"/>
  <c r="U105" i="7" s="1"/>
  <c r="V105" i="7" s="1"/>
  <c r="Z105" i="7"/>
  <c r="T106" i="7"/>
  <c r="U106" i="7" s="1"/>
  <c r="V106" i="7" s="1"/>
  <c r="Z106" i="7"/>
  <c r="T107" i="7"/>
  <c r="U107" i="7"/>
  <c r="V107" i="7" s="1"/>
  <c r="Z107" i="7"/>
  <c r="T108" i="7"/>
  <c r="U108" i="7" s="1"/>
  <c r="V108" i="7" s="1"/>
  <c r="Z108" i="7"/>
  <c r="T109" i="7"/>
  <c r="U109" i="7" s="1"/>
  <c r="V109" i="7" s="1"/>
  <c r="Z109" i="7"/>
  <c r="T111" i="7"/>
  <c r="Z111" i="7"/>
  <c r="T112" i="7"/>
  <c r="Z112" i="7"/>
  <c r="T113" i="7"/>
  <c r="Z113" i="7"/>
  <c r="T114" i="7"/>
  <c r="Z114" i="7"/>
  <c r="T115" i="7"/>
  <c r="Z115" i="7"/>
  <c r="T116" i="7"/>
  <c r="Z116" i="7"/>
  <c r="T117" i="7"/>
  <c r="Z117" i="7"/>
  <c r="T118" i="7"/>
  <c r="Z118" i="7"/>
  <c r="T119" i="7"/>
  <c r="Z119" i="7"/>
  <c r="T120" i="7"/>
  <c r="Z120" i="7"/>
  <c r="T121" i="7"/>
  <c r="Z121" i="7"/>
  <c r="T122" i="7"/>
  <c r="Z122" i="7"/>
  <c r="T123" i="7"/>
  <c r="Z123" i="7"/>
  <c r="Z125" i="7"/>
  <c r="Z126" i="7"/>
  <c r="Z127" i="7"/>
  <c r="Z128" i="7"/>
  <c r="Z129" i="7"/>
  <c r="Z130" i="7"/>
  <c r="Z131" i="7"/>
  <c r="Z132" i="7"/>
  <c r="Z133" i="7"/>
  <c r="Z134" i="7"/>
  <c r="Z135" i="7"/>
  <c r="Z136" i="7"/>
  <c r="Z137" i="7"/>
  <c r="Z139" i="7"/>
  <c r="Z140" i="7"/>
  <c r="Z141" i="7"/>
  <c r="Z142" i="7"/>
  <c r="Z143" i="7"/>
  <c r="Z144" i="7"/>
  <c r="Z145" i="7"/>
  <c r="Z146" i="7"/>
  <c r="Z147" i="7"/>
  <c r="Z148" i="7"/>
  <c r="Z149" i="7"/>
  <c r="Z150" i="7"/>
  <c r="Z151" i="7"/>
  <c r="Z153" i="7"/>
  <c r="Z154" i="7"/>
  <c r="Z155" i="7"/>
  <c r="Z156" i="7"/>
  <c r="Z157" i="7"/>
  <c r="Z158" i="7"/>
  <c r="Z159" i="7"/>
  <c r="Z160" i="7"/>
  <c r="Z161" i="7"/>
  <c r="Z162" i="7"/>
  <c r="Z163" i="7"/>
  <c r="Z164" i="7"/>
  <c r="Z165" i="7"/>
  <c r="Z167" i="7"/>
  <c r="Z168" i="7"/>
  <c r="Z169" i="7"/>
  <c r="Z170" i="7"/>
  <c r="Z171" i="7"/>
  <c r="Z172" i="7"/>
  <c r="Z173" i="7"/>
  <c r="Z174" i="7"/>
  <c r="Z175" i="7"/>
  <c r="Z176" i="7"/>
  <c r="Z177" i="7"/>
  <c r="Z178" i="7"/>
  <c r="Z179" i="7"/>
  <c r="S180" i="7"/>
  <c r="T181" i="7"/>
  <c r="U181" i="7" s="1"/>
  <c r="V181" i="7" s="1"/>
  <c r="Z181" i="7"/>
  <c r="T182" i="7"/>
  <c r="U182" i="7" s="1"/>
  <c r="V182" i="7" s="1"/>
  <c r="Z182" i="7"/>
  <c r="T183" i="7"/>
  <c r="U183" i="7" s="1"/>
  <c r="V183" i="7" s="1"/>
  <c r="Z183" i="7"/>
  <c r="T184" i="7"/>
  <c r="U184" i="7" s="1"/>
  <c r="V184" i="7" s="1"/>
  <c r="Z184" i="7"/>
  <c r="T185" i="7"/>
  <c r="U185" i="7" s="1"/>
  <c r="V185" i="7" s="1"/>
  <c r="Z185" i="7"/>
  <c r="T186" i="7"/>
  <c r="U186" i="7" s="1"/>
  <c r="V186" i="7" s="1"/>
  <c r="Z186" i="7"/>
  <c r="T187" i="7"/>
  <c r="U187" i="7" s="1"/>
  <c r="V187" i="7" s="1"/>
  <c r="Z187" i="7"/>
  <c r="T188" i="7"/>
  <c r="U188" i="7" s="1"/>
  <c r="V188" i="7" s="1"/>
  <c r="Z188" i="7"/>
  <c r="T189" i="7"/>
  <c r="U189" i="7" s="1"/>
  <c r="V189" i="7" s="1"/>
  <c r="Z189" i="7"/>
  <c r="T190" i="7"/>
  <c r="U190" i="7" s="1"/>
  <c r="V190" i="7" s="1"/>
  <c r="Z190" i="7"/>
  <c r="T191" i="7"/>
  <c r="U191" i="7" s="1"/>
  <c r="V191" i="7" s="1"/>
  <c r="Z191" i="7"/>
  <c r="T192" i="7"/>
  <c r="U192" i="7" s="1"/>
  <c r="V192" i="7" s="1"/>
  <c r="Z192" i="7"/>
  <c r="T193" i="7"/>
  <c r="U193" i="7" s="1"/>
  <c r="V193" i="7" s="1"/>
  <c r="Z193" i="7"/>
  <c r="T195" i="7"/>
  <c r="Z195" i="7"/>
  <c r="T196" i="7"/>
  <c r="Z196" i="7"/>
  <c r="T197" i="7"/>
  <c r="Z197" i="7"/>
  <c r="T198" i="7"/>
  <c r="Z198" i="7"/>
  <c r="T199" i="7"/>
  <c r="Z199" i="7"/>
  <c r="T200" i="7"/>
  <c r="Z200" i="7"/>
  <c r="T201" i="7"/>
  <c r="Z201" i="7"/>
  <c r="T202" i="7"/>
  <c r="Z202" i="7"/>
  <c r="T203" i="7"/>
  <c r="Z203" i="7"/>
  <c r="T204" i="7"/>
  <c r="Z204" i="7"/>
  <c r="T205" i="7"/>
  <c r="Z205" i="7"/>
  <c r="T206" i="7"/>
  <c r="Z206" i="7"/>
  <c r="T207" i="7"/>
  <c r="Z207" i="7"/>
  <c r="Z209" i="7"/>
  <c r="Z210" i="7"/>
  <c r="Z211" i="7"/>
  <c r="Z212" i="7"/>
  <c r="Z213" i="7"/>
  <c r="Z214" i="7"/>
  <c r="Z215" i="7"/>
  <c r="Z216" i="7"/>
  <c r="Z217" i="7"/>
  <c r="Z218" i="7"/>
  <c r="Z219" i="7"/>
  <c r="Z220" i="7"/>
  <c r="Z221" i="7"/>
  <c r="Z223" i="7"/>
  <c r="Z224" i="7"/>
  <c r="Z225" i="7"/>
  <c r="Z226" i="7"/>
  <c r="Z227" i="7"/>
  <c r="Z228" i="7"/>
  <c r="Z229" i="7"/>
  <c r="Z230" i="7"/>
  <c r="Z231" i="7"/>
  <c r="Z232" i="7"/>
  <c r="Z233" i="7"/>
  <c r="Z234" i="7"/>
  <c r="Z235" i="7"/>
  <c r="Z237" i="7"/>
  <c r="Z238" i="7"/>
  <c r="Z239" i="7"/>
  <c r="Z240" i="7"/>
  <c r="Z241" i="7"/>
  <c r="Z242" i="7"/>
  <c r="Z243" i="7"/>
  <c r="Z244" i="7"/>
  <c r="Z245" i="7"/>
  <c r="Z246" i="7"/>
  <c r="Z247" i="7"/>
  <c r="Z248" i="7"/>
  <c r="Z249" i="7"/>
  <c r="Z251" i="7"/>
  <c r="Z252" i="7"/>
  <c r="Z253" i="7"/>
  <c r="Z254" i="7"/>
  <c r="Z255" i="7"/>
  <c r="Z256" i="7"/>
  <c r="Z257" i="7"/>
  <c r="Z258" i="7"/>
  <c r="Z259" i="7"/>
  <c r="Z260" i="7"/>
  <c r="Z261" i="7"/>
  <c r="Z262" i="7"/>
  <c r="Z263" i="7"/>
  <c r="S264" i="7"/>
  <c r="T265" i="7"/>
  <c r="U265" i="7" s="1"/>
  <c r="V265" i="7" s="1"/>
  <c r="Z265" i="7"/>
  <c r="T266" i="7"/>
  <c r="U266" i="7" s="1"/>
  <c r="V266" i="7" s="1"/>
  <c r="Z266" i="7"/>
  <c r="T267" i="7"/>
  <c r="U267" i="7" s="1"/>
  <c r="V267" i="7" s="1"/>
  <c r="Z267" i="7"/>
  <c r="T268" i="7"/>
  <c r="U268" i="7" s="1"/>
  <c r="V268" i="7" s="1"/>
  <c r="Z268" i="7"/>
  <c r="T269" i="7"/>
  <c r="U269" i="7" s="1"/>
  <c r="V269" i="7" s="1"/>
  <c r="Z269" i="7"/>
  <c r="T270" i="7"/>
  <c r="U270" i="7" s="1"/>
  <c r="V270" i="7" s="1"/>
  <c r="Z270" i="7"/>
  <c r="T271" i="7"/>
  <c r="U271" i="7" s="1"/>
  <c r="V271" i="7" s="1"/>
  <c r="Z271" i="7"/>
  <c r="T272" i="7"/>
  <c r="U272" i="7" s="1"/>
  <c r="V272" i="7" s="1"/>
  <c r="Z272" i="7"/>
  <c r="T273" i="7"/>
  <c r="U273" i="7" s="1"/>
  <c r="V273" i="7" s="1"/>
  <c r="Z273" i="7"/>
  <c r="T275" i="7"/>
  <c r="Z275" i="7"/>
  <c r="T276" i="7"/>
  <c r="Z276" i="7"/>
  <c r="T277" i="7"/>
  <c r="Z277" i="7"/>
  <c r="T278" i="7"/>
  <c r="Z278" i="7"/>
  <c r="T279" i="7"/>
  <c r="Z279" i="7"/>
  <c r="T280" i="7"/>
  <c r="Z280" i="7"/>
  <c r="T281" i="7"/>
  <c r="Z281" i="7"/>
  <c r="T282" i="7"/>
  <c r="Z282" i="7"/>
  <c r="T283" i="7"/>
  <c r="Z283" i="7"/>
  <c r="Z285" i="7"/>
  <c r="Z286" i="7"/>
  <c r="Z287" i="7"/>
  <c r="Z288" i="7"/>
  <c r="Z289" i="7"/>
  <c r="Z290" i="7"/>
  <c r="Z291" i="7"/>
  <c r="Z292" i="7"/>
  <c r="Z293" i="7"/>
  <c r="T295" i="7"/>
  <c r="Z295" i="7"/>
  <c r="T296" i="7"/>
  <c r="Z296" i="7"/>
  <c r="T297" i="7"/>
  <c r="Z297" i="7"/>
  <c r="T298" i="7"/>
  <c r="Z298" i="7"/>
  <c r="T299" i="7"/>
  <c r="Z299" i="7"/>
  <c r="T300" i="7"/>
  <c r="Z300" i="7"/>
  <c r="T301" i="7"/>
  <c r="Z301" i="7"/>
  <c r="T302" i="7"/>
  <c r="Z302" i="7"/>
  <c r="T303" i="7"/>
  <c r="Z303" i="7"/>
  <c r="Z305" i="7"/>
  <c r="Z306" i="7"/>
  <c r="Z307" i="7"/>
  <c r="Z308" i="7"/>
  <c r="Z309" i="7"/>
  <c r="Z310" i="7"/>
  <c r="Z311" i="7"/>
  <c r="Z312" i="7"/>
  <c r="Z313" i="7"/>
  <c r="Z315" i="7"/>
  <c r="Z316" i="7"/>
  <c r="Z317" i="7"/>
  <c r="Z318" i="7"/>
  <c r="Z319" i="7"/>
  <c r="Z320" i="7"/>
  <c r="Z321" i="7"/>
  <c r="Z322" i="7"/>
  <c r="Z323" i="7"/>
  <c r="S324" i="7"/>
  <c r="R325" i="7"/>
  <c r="Z325" i="7"/>
  <c r="R326" i="7"/>
  <c r="T326" i="7" s="1"/>
  <c r="U326" i="7" s="1"/>
  <c r="V326" i="7" s="1"/>
  <c r="Z326" i="7"/>
  <c r="S327" i="7"/>
  <c r="J328" i="7"/>
  <c r="Z328" i="7"/>
  <c r="J329" i="7"/>
  <c r="Z329" i="7"/>
  <c r="J330" i="7"/>
  <c r="Z330" i="7"/>
  <c r="V13" i="6"/>
  <c r="W13" i="6" s="1"/>
  <c r="X13" i="6" s="1"/>
  <c r="V14" i="6"/>
  <c r="W14" i="6" s="1"/>
  <c r="X14" i="6" s="1"/>
  <c r="V15" i="6"/>
  <c r="W15" i="6" s="1"/>
  <c r="X15" i="6" s="1"/>
  <c r="V16" i="6"/>
  <c r="W16" i="6" s="1"/>
  <c r="X16" i="6" s="1"/>
  <c r="V17" i="6"/>
  <c r="W17" i="6" s="1"/>
  <c r="X17" i="6" s="1"/>
  <c r="V18" i="6"/>
  <c r="W18" i="6" s="1"/>
  <c r="X18" i="6" s="1"/>
  <c r="V19" i="6"/>
  <c r="W19" i="6" s="1"/>
  <c r="X19" i="6" s="1"/>
  <c r="V20" i="6"/>
  <c r="W20" i="6" s="1"/>
  <c r="X20" i="6" s="1"/>
  <c r="V21" i="6"/>
  <c r="W21" i="6" s="1"/>
  <c r="X21" i="6" s="1"/>
  <c r="V22" i="6"/>
  <c r="W22" i="6" s="1"/>
  <c r="X22" i="6" s="1"/>
  <c r="V23" i="6"/>
  <c r="W23" i="6" s="1"/>
  <c r="X23" i="6" s="1"/>
  <c r="V25" i="6"/>
  <c r="W25" i="6" s="1"/>
  <c r="X25" i="6" s="1"/>
  <c r="V26" i="6"/>
  <c r="W26" i="6" s="1"/>
  <c r="X26" i="6" s="1"/>
  <c r="V27" i="6"/>
  <c r="W27" i="6" s="1"/>
  <c r="X27" i="6" s="1"/>
  <c r="V28" i="6"/>
  <c r="W28" i="6" s="1"/>
  <c r="X28" i="6" s="1"/>
  <c r="V29" i="6"/>
  <c r="W29" i="6" s="1"/>
  <c r="X29" i="6" s="1"/>
  <c r="V30" i="6"/>
  <c r="W30" i="6" s="1"/>
  <c r="X30" i="6" s="1"/>
  <c r="V31" i="6"/>
  <c r="W31" i="6" s="1"/>
  <c r="X31" i="6" s="1"/>
  <c r="V32" i="6"/>
  <c r="W32" i="6" s="1"/>
  <c r="X32" i="6" s="1"/>
  <c r="V33" i="6"/>
  <c r="W33" i="6"/>
  <c r="X33" i="6" s="1"/>
  <c r="V34" i="6"/>
  <c r="W34" i="6" s="1"/>
  <c r="X34" i="6" s="1"/>
  <c r="V35" i="6"/>
  <c r="W35" i="6" s="1"/>
  <c r="X35" i="6" s="1"/>
  <c r="V37" i="6"/>
  <c r="W37" i="6" s="1"/>
  <c r="X37" i="6" s="1"/>
  <c r="V38" i="6"/>
  <c r="W38" i="6" s="1"/>
  <c r="X38" i="6" s="1"/>
  <c r="V39" i="6"/>
  <c r="W39" i="6" s="1"/>
  <c r="X39" i="6" s="1"/>
  <c r="V40" i="6"/>
  <c r="W40" i="6" s="1"/>
  <c r="X40" i="6" s="1"/>
  <c r="V41" i="6"/>
  <c r="W41" i="6" s="1"/>
  <c r="X41" i="6" s="1"/>
  <c r="V42" i="6"/>
  <c r="W42" i="6" s="1"/>
  <c r="X42" i="6" s="1"/>
  <c r="V43" i="6"/>
  <c r="W43" i="6" s="1"/>
  <c r="X43" i="6" s="1"/>
  <c r="V44" i="6"/>
  <c r="W44" i="6" s="1"/>
  <c r="X44" i="6" s="1"/>
  <c r="V45" i="6"/>
  <c r="W45" i="6" s="1"/>
  <c r="X45" i="6" s="1"/>
  <c r="V46" i="6"/>
  <c r="W46" i="6" s="1"/>
  <c r="X46" i="6" s="1"/>
  <c r="V47" i="6"/>
  <c r="W47" i="6" s="1"/>
  <c r="X47" i="6" s="1"/>
  <c r="V49" i="6"/>
  <c r="W49" i="6" s="1"/>
  <c r="X49" i="6" s="1"/>
  <c r="V50" i="6"/>
  <c r="W50" i="6" s="1"/>
  <c r="X50" i="6" s="1"/>
  <c r="V51" i="6"/>
  <c r="W51" i="6" s="1"/>
  <c r="X51" i="6" s="1"/>
  <c r="V52" i="6"/>
  <c r="W52" i="6" s="1"/>
  <c r="X52" i="6" s="1"/>
  <c r="V53" i="6"/>
  <c r="W53" i="6" s="1"/>
  <c r="X53" i="6" s="1"/>
  <c r="V54" i="6"/>
  <c r="W54" i="6" s="1"/>
  <c r="X54" i="6" s="1"/>
  <c r="V55" i="6"/>
  <c r="W55" i="6" s="1"/>
  <c r="X55" i="6" s="1"/>
  <c r="V56" i="6"/>
  <c r="W56" i="6" s="1"/>
  <c r="X56" i="6" s="1"/>
  <c r="V57" i="6"/>
  <c r="W57" i="6" s="1"/>
  <c r="X57" i="6" s="1"/>
  <c r="V58" i="6"/>
  <c r="W58" i="6" s="1"/>
  <c r="X58" i="6" s="1"/>
  <c r="V59" i="6"/>
  <c r="W59" i="6" s="1"/>
  <c r="X59" i="6" s="1"/>
  <c r="V61" i="6"/>
  <c r="W61" i="6" s="1"/>
  <c r="V62" i="6"/>
  <c r="W62" i="6" s="1"/>
  <c r="V63" i="6"/>
  <c r="W63" i="6" s="1"/>
  <c r="V64" i="6"/>
  <c r="W64" i="6" s="1"/>
  <c r="V65" i="6"/>
  <c r="W65" i="6" s="1"/>
  <c r="V66" i="6"/>
  <c r="W66" i="6" s="1"/>
  <c r="V67" i="6"/>
  <c r="W67" i="6" s="1"/>
  <c r="V68" i="6"/>
  <c r="W68" i="6" s="1"/>
  <c r="V69" i="6"/>
  <c r="W69" i="6" s="1"/>
  <c r="V70" i="6"/>
  <c r="W70" i="6"/>
  <c r="V71" i="6"/>
  <c r="W71" i="6" s="1"/>
  <c r="V85" i="6"/>
  <c r="V86" i="6"/>
  <c r="V87" i="6"/>
  <c r="V88" i="6"/>
  <c r="V89" i="6"/>
  <c r="V90" i="6"/>
  <c r="V91" i="6"/>
  <c r="V92" i="6"/>
  <c r="V93" i="6"/>
  <c r="V94" i="6"/>
  <c r="V95" i="6"/>
  <c r="U144" i="6"/>
  <c r="V145" i="6"/>
  <c r="W145" i="6" s="1"/>
  <c r="X145" i="6" s="1"/>
  <c r="V146" i="6"/>
  <c r="W146" i="6"/>
  <c r="X146" i="6" s="1"/>
  <c r="V147" i="6"/>
  <c r="W147" i="6" s="1"/>
  <c r="X147" i="6" s="1"/>
  <c r="V148" i="6"/>
  <c r="W148" i="6" s="1"/>
  <c r="X148" i="6" s="1"/>
  <c r="V149" i="6"/>
  <c r="W149" i="6" s="1"/>
  <c r="X149" i="6" s="1"/>
  <c r="V150" i="6"/>
  <c r="W150" i="6" s="1"/>
  <c r="X150" i="6" s="1"/>
  <c r="V151" i="6"/>
  <c r="W151" i="6" s="1"/>
  <c r="X151" i="6"/>
  <c r="V152" i="6"/>
  <c r="W152" i="6" s="1"/>
  <c r="X152" i="6" s="1"/>
  <c r="V153" i="6"/>
  <c r="W153" i="6" s="1"/>
  <c r="X153" i="6" s="1"/>
  <c r="V154" i="6"/>
  <c r="W154" i="6" s="1"/>
  <c r="X154" i="6" s="1"/>
  <c r="V155" i="6"/>
  <c r="W155" i="6" s="1"/>
  <c r="X155" i="6" s="1"/>
  <c r="V157" i="6"/>
  <c r="W157" i="6" s="1"/>
  <c r="X157" i="6" s="1"/>
  <c r="V158" i="6"/>
  <c r="W158" i="6" s="1"/>
  <c r="X158" i="6" s="1"/>
  <c r="V159" i="6"/>
  <c r="W159" i="6" s="1"/>
  <c r="X159" i="6" s="1"/>
  <c r="V160" i="6"/>
  <c r="W160" i="6" s="1"/>
  <c r="X160" i="6" s="1"/>
  <c r="V161" i="6"/>
  <c r="W161" i="6" s="1"/>
  <c r="X161" i="6" s="1"/>
  <c r="V162" i="6"/>
  <c r="W162" i="6" s="1"/>
  <c r="X162" i="6" s="1"/>
  <c r="V163" i="6"/>
  <c r="W163" i="6" s="1"/>
  <c r="X163" i="6" s="1"/>
  <c r="V164" i="6"/>
  <c r="W164" i="6" s="1"/>
  <c r="X164" i="6" s="1"/>
  <c r="V165" i="6"/>
  <c r="W165" i="6" s="1"/>
  <c r="X165" i="6" s="1"/>
  <c r="V166" i="6"/>
  <c r="W166" i="6" s="1"/>
  <c r="X166" i="6" s="1"/>
  <c r="V167" i="6"/>
  <c r="W167" i="6" s="1"/>
  <c r="X167" i="6" s="1"/>
  <c r="V169" i="6"/>
  <c r="W169" i="6" s="1"/>
  <c r="X169" i="6" s="1"/>
  <c r="V170" i="6"/>
  <c r="W170" i="6" s="1"/>
  <c r="X170" i="6" s="1"/>
  <c r="V171" i="6"/>
  <c r="W171" i="6" s="1"/>
  <c r="X171" i="6" s="1"/>
  <c r="V172" i="6"/>
  <c r="W172" i="6" s="1"/>
  <c r="X172" i="6" s="1"/>
  <c r="V173" i="6"/>
  <c r="W173" i="6" s="1"/>
  <c r="X173" i="6" s="1"/>
  <c r="V174" i="6"/>
  <c r="W174" i="6"/>
  <c r="X174" i="6" s="1"/>
  <c r="V175" i="6"/>
  <c r="W175" i="6" s="1"/>
  <c r="X175" i="6" s="1"/>
  <c r="V176" i="6"/>
  <c r="W176" i="6" s="1"/>
  <c r="X176" i="6" s="1"/>
  <c r="V177" i="6"/>
  <c r="W177" i="6" s="1"/>
  <c r="X177" i="6" s="1"/>
  <c r="V178" i="6"/>
  <c r="W178" i="6" s="1"/>
  <c r="X178" i="6" s="1"/>
  <c r="V179" i="6"/>
  <c r="W179" i="6" s="1"/>
  <c r="X179" i="6" s="1"/>
  <c r="V181" i="6"/>
  <c r="W181" i="6" s="1"/>
  <c r="X181" i="6" s="1"/>
  <c r="V182" i="6"/>
  <c r="W182" i="6" s="1"/>
  <c r="X182" i="6" s="1"/>
  <c r="V183" i="6"/>
  <c r="W183" i="6" s="1"/>
  <c r="X183" i="6" s="1"/>
  <c r="V184" i="6"/>
  <c r="W184" i="6" s="1"/>
  <c r="X184" i="6" s="1"/>
  <c r="V185" i="6"/>
  <c r="W185" i="6" s="1"/>
  <c r="X185" i="6" s="1"/>
  <c r="V186" i="6"/>
  <c r="W186" i="6" s="1"/>
  <c r="X186" i="6" s="1"/>
  <c r="V187" i="6"/>
  <c r="W187" i="6" s="1"/>
  <c r="X187" i="6" s="1"/>
  <c r="V188" i="6"/>
  <c r="W188" i="6" s="1"/>
  <c r="X188" i="6" s="1"/>
  <c r="V189" i="6"/>
  <c r="W189" i="6"/>
  <c r="X189" i="6" s="1"/>
  <c r="V190" i="6"/>
  <c r="W190" i="6" s="1"/>
  <c r="X190" i="6" s="1"/>
  <c r="V191" i="6"/>
  <c r="W191" i="6" s="1"/>
  <c r="X191" i="6" s="1"/>
  <c r="V193" i="6"/>
  <c r="W193" i="6" s="1"/>
  <c r="V194" i="6"/>
  <c r="W194" i="6" s="1"/>
  <c r="V195" i="6"/>
  <c r="W195" i="6" s="1"/>
  <c r="V196" i="6"/>
  <c r="W196" i="6" s="1"/>
  <c r="V197" i="6"/>
  <c r="W197" i="6" s="1"/>
  <c r="V198" i="6"/>
  <c r="W198" i="6" s="1"/>
  <c r="V199" i="6"/>
  <c r="W199" i="6" s="1"/>
  <c r="V200" i="6"/>
  <c r="W200" i="6" s="1"/>
  <c r="V201" i="6"/>
  <c r="W201" i="6" s="1"/>
  <c r="V202" i="6"/>
  <c r="W202" i="6" s="1"/>
  <c r="V203" i="6"/>
  <c r="W203" i="6" s="1"/>
  <c r="V217" i="6"/>
  <c r="V218" i="6"/>
  <c r="V219" i="6"/>
  <c r="V220" i="6"/>
  <c r="V221" i="6"/>
  <c r="V222" i="6"/>
  <c r="V223" i="6"/>
  <c r="V224" i="6"/>
  <c r="V225" i="6"/>
  <c r="V226" i="6"/>
  <c r="V227" i="6"/>
  <c r="U276" i="6"/>
  <c r="V277" i="6"/>
  <c r="W277" i="6" s="1"/>
  <c r="X277" i="6" s="1"/>
  <c r="V278" i="6"/>
  <c r="W278" i="6" s="1"/>
  <c r="X278" i="6" s="1"/>
  <c r="V279" i="6"/>
  <c r="W279" i="6" s="1"/>
  <c r="X279" i="6" s="1"/>
  <c r="V280" i="6"/>
  <c r="W280" i="6" s="1"/>
  <c r="X280" i="6" s="1"/>
  <c r="V281" i="6"/>
  <c r="W281" i="6" s="1"/>
  <c r="X281" i="6" s="1"/>
  <c r="V282" i="6"/>
  <c r="W282" i="6" s="1"/>
  <c r="X282" i="6" s="1"/>
  <c r="V283" i="6"/>
  <c r="W283" i="6" s="1"/>
  <c r="X283" i="6" s="1"/>
  <c r="V284" i="6"/>
  <c r="W284" i="6" s="1"/>
  <c r="X284" i="6" s="1"/>
  <c r="V285" i="6"/>
  <c r="W285" i="6" s="1"/>
  <c r="X285" i="6" s="1"/>
  <c r="V287" i="6"/>
  <c r="W287" i="6" s="1"/>
  <c r="X287" i="6" s="1"/>
  <c r="V288" i="6"/>
  <c r="W288" i="6" s="1"/>
  <c r="X288" i="6" s="1"/>
  <c r="V289" i="6"/>
  <c r="W289" i="6" s="1"/>
  <c r="X289" i="6" s="1"/>
  <c r="V290" i="6"/>
  <c r="W290" i="6" s="1"/>
  <c r="X290" i="6" s="1"/>
  <c r="V291" i="6"/>
  <c r="W291" i="6" s="1"/>
  <c r="X291" i="6" s="1"/>
  <c r="V292" i="6"/>
  <c r="W292" i="6" s="1"/>
  <c r="X292" i="6" s="1"/>
  <c r="V293" i="6"/>
  <c r="W293" i="6" s="1"/>
  <c r="X293" i="6" s="1"/>
  <c r="V294" i="6"/>
  <c r="W294" i="6" s="1"/>
  <c r="X294" i="6" s="1"/>
  <c r="V295" i="6"/>
  <c r="W295" i="6" s="1"/>
  <c r="X295" i="6" s="1"/>
  <c r="V297" i="6"/>
  <c r="W297" i="6" s="1"/>
  <c r="X297" i="6" s="1"/>
  <c r="V298" i="6"/>
  <c r="W298" i="6" s="1"/>
  <c r="X298" i="6" s="1"/>
  <c r="V299" i="6"/>
  <c r="W299" i="6" s="1"/>
  <c r="X299" i="6" s="1"/>
  <c r="V300" i="6"/>
  <c r="W300" i="6" s="1"/>
  <c r="X300" i="6" s="1"/>
  <c r="V301" i="6"/>
  <c r="W301" i="6" s="1"/>
  <c r="X301" i="6" s="1"/>
  <c r="V302" i="6"/>
  <c r="W302" i="6" s="1"/>
  <c r="X302" i="6" s="1"/>
  <c r="V303" i="6"/>
  <c r="W303" i="6" s="1"/>
  <c r="X303" i="6" s="1"/>
  <c r="V304" i="6"/>
  <c r="W304" i="6" s="1"/>
  <c r="X304" i="6" s="1"/>
  <c r="V305" i="6"/>
  <c r="W305" i="6" s="1"/>
  <c r="X305" i="6" s="1"/>
  <c r="V307" i="6"/>
  <c r="W307" i="6" s="1"/>
  <c r="X307" i="6" s="1"/>
  <c r="V308" i="6"/>
  <c r="W308" i="6" s="1"/>
  <c r="X308" i="6" s="1"/>
  <c r="V309" i="6"/>
  <c r="W309" i="6" s="1"/>
  <c r="X309" i="6" s="1"/>
  <c r="V310" i="6"/>
  <c r="W310" i="6" s="1"/>
  <c r="X310" i="6" s="1"/>
  <c r="V311" i="6"/>
  <c r="W311" i="6" s="1"/>
  <c r="X311" i="6" s="1"/>
  <c r="V312" i="6"/>
  <c r="W312" i="6" s="1"/>
  <c r="X312" i="6" s="1"/>
  <c r="V313" i="6"/>
  <c r="W313" i="6" s="1"/>
  <c r="X313" i="6" s="1"/>
  <c r="V314" i="6"/>
  <c r="W314" i="6" s="1"/>
  <c r="X314" i="6" s="1"/>
  <c r="V315" i="6"/>
  <c r="W315" i="6" s="1"/>
  <c r="X315" i="6" s="1"/>
  <c r="V317" i="6"/>
  <c r="W317" i="6" s="1"/>
  <c r="V318" i="6"/>
  <c r="W318" i="6" s="1"/>
  <c r="V319" i="6"/>
  <c r="W319" i="6" s="1"/>
  <c r="V320" i="6"/>
  <c r="W320" i="6" s="1"/>
  <c r="V321" i="6"/>
  <c r="W321" i="6" s="1"/>
  <c r="V322" i="6"/>
  <c r="W322" i="6" s="1"/>
  <c r="V323" i="6"/>
  <c r="W323" i="6" s="1"/>
  <c r="V324" i="6"/>
  <c r="W324" i="6" s="1"/>
  <c r="V325" i="6"/>
  <c r="W325" i="6" s="1"/>
  <c r="V337" i="6"/>
  <c r="V338" i="6"/>
  <c r="V339" i="6"/>
  <c r="V340" i="6"/>
  <c r="V341" i="6"/>
  <c r="V342" i="6"/>
  <c r="V343" i="6"/>
  <c r="V344" i="6"/>
  <c r="V345" i="6"/>
  <c r="U386" i="6"/>
  <c r="V387" i="6"/>
  <c r="W387" i="6" s="1"/>
  <c r="X387" i="6" s="1"/>
  <c r="V388" i="6"/>
  <c r="W388" i="6" s="1"/>
  <c r="X388" i="6" s="1"/>
  <c r="V389" i="6"/>
  <c r="W389" i="6" s="1"/>
  <c r="X389" i="6" s="1"/>
  <c r="V390" i="6"/>
  <c r="W390" i="6" s="1"/>
  <c r="X390" i="6" s="1"/>
  <c r="V391" i="6"/>
  <c r="W391" i="6" s="1"/>
  <c r="X391" i="6" s="1"/>
  <c r="V392" i="6"/>
  <c r="W392" i="6" s="1"/>
  <c r="X392" i="6" s="1"/>
  <c r="V393" i="6"/>
  <c r="W393" i="6" s="1"/>
  <c r="X393" i="6" s="1"/>
  <c r="V394" i="6"/>
  <c r="W394" i="6" s="1"/>
  <c r="X394" i="6" s="1"/>
  <c r="V395" i="6"/>
  <c r="W395" i="6" s="1"/>
  <c r="X395" i="6" s="1"/>
  <c r="V397" i="6"/>
  <c r="W397" i="6" s="1"/>
  <c r="X397" i="6" s="1"/>
  <c r="V398" i="6"/>
  <c r="W398" i="6" s="1"/>
  <c r="X398" i="6" s="1"/>
  <c r="V399" i="6"/>
  <c r="W399" i="6" s="1"/>
  <c r="X399" i="6" s="1"/>
  <c r="V400" i="6"/>
  <c r="W400" i="6" s="1"/>
  <c r="X400" i="6" s="1"/>
  <c r="V401" i="6"/>
  <c r="W401" i="6" s="1"/>
  <c r="X401" i="6" s="1"/>
  <c r="V402" i="6"/>
  <c r="W402" i="6" s="1"/>
  <c r="X402" i="6" s="1"/>
  <c r="V403" i="6"/>
  <c r="W403" i="6" s="1"/>
  <c r="X403" i="6" s="1"/>
  <c r="V404" i="6"/>
  <c r="W404" i="6" s="1"/>
  <c r="X404" i="6" s="1"/>
  <c r="V405" i="6"/>
  <c r="W405" i="6" s="1"/>
  <c r="X405" i="6" s="1"/>
  <c r="V407" i="6"/>
  <c r="W407" i="6" s="1"/>
  <c r="X407" i="6" s="1"/>
  <c r="V408" i="6"/>
  <c r="W408" i="6" s="1"/>
  <c r="X408" i="6" s="1"/>
  <c r="V409" i="6"/>
  <c r="W409" i="6" s="1"/>
  <c r="X409" i="6" s="1"/>
  <c r="V410" i="6"/>
  <c r="W410" i="6" s="1"/>
  <c r="X410" i="6" s="1"/>
  <c r="V411" i="6"/>
  <c r="W411" i="6" s="1"/>
  <c r="X411" i="6" s="1"/>
  <c r="V412" i="6"/>
  <c r="W412" i="6" s="1"/>
  <c r="X412" i="6" s="1"/>
  <c r="V413" i="6"/>
  <c r="W413" i="6" s="1"/>
  <c r="X413" i="6" s="1"/>
  <c r="V414" i="6"/>
  <c r="W414" i="6" s="1"/>
  <c r="X414" i="6" s="1"/>
  <c r="V415" i="6"/>
  <c r="W415" i="6" s="1"/>
  <c r="X415" i="6" s="1"/>
  <c r="V417" i="6"/>
  <c r="W417" i="6" s="1"/>
  <c r="X417" i="6" s="1"/>
  <c r="V418" i="6"/>
  <c r="W418" i="6" s="1"/>
  <c r="X418" i="6" s="1"/>
  <c r="V419" i="6"/>
  <c r="W419" i="6" s="1"/>
  <c r="X419" i="6" s="1"/>
  <c r="V420" i="6"/>
  <c r="W420" i="6" s="1"/>
  <c r="X420" i="6" s="1"/>
  <c r="V421" i="6"/>
  <c r="W421" i="6" s="1"/>
  <c r="X421" i="6" s="1"/>
  <c r="V422" i="6"/>
  <c r="W422" i="6" s="1"/>
  <c r="X422" i="6" s="1"/>
  <c r="V423" i="6"/>
  <c r="W423" i="6" s="1"/>
  <c r="X423" i="6" s="1"/>
  <c r="V424" i="6"/>
  <c r="W424" i="6" s="1"/>
  <c r="X424" i="6" s="1"/>
  <c r="V425" i="6"/>
  <c r="W425" i="6" s="1"/>
  <c r="X425" i="6" s="1"/>
  <c r="V427" i="6"/>
  <c r="W427" i="6" s="1"/>
  <c r="V428" i="6"/>
  <c r="W428" i="6" s="1"/>
  <c r="X428" i="6" s="1"/>
  <c r="X438" i="6" s="1"/>
  <c r="V429" i="6"/>
  <c r="W429" i="6" s="1"/>
  <c r="X429" i="6" s="1"/>
  <c r="X439" i="6" s="1"/>
  <c r="V430" i="6"/>
  <c r="W430" i="6" s="1"/>
  <c r="X430" i="6" s="1"/>
  <c r="X440" i="6" s="1"/>
  <c r="V431" i="6"/>
  <c r="W431" i="6" s="1"/>
  <c r="X431" i="6" s="1"/>
  <c r="X441" i="6" s="1"/>
  <c r="V432" i="6"/>
  <c r="W432" i="6" s="1"/>
  <c r="X432" i="6" s="1"/>
  <c r="X442" i="6" s="1"/>
  <c r="V433" i="6"/>
  <c r="W433" i="6" s="1"/>
  <c r="V434" i="6"/>
  <c r="W434" i="6" s="1"/>
  <c r="X434" i="6" s="1"/>
  <c r="X444" i="6" s="1"/>
  <c r="V435" i="6"/>
  <c r="W435" i="6" s="1"/>
  <c r="X435" i="6" s="1"/>
  <c r="X445" i="6" s="1"/>
  <c r="V447" i="6"/>
  <c r="V448" i="6"/>
  <c r="V449" i="6"/>
  <c r="V450" i="6"/>
  <c r="V451" i="6"/>
  <c r="V452" i="6"/>
  <c r="V453" i="6"/>
  <c r="V454" i="6"/>
  <c r="V455" i="6"/>
  <c r="V467" i="6"/>
  <c r="V468" i="6"/>
  <c r="V469" i="6"/>
  <c r="V470" i="6"/>
  <c r="V471" i="6"/>
  <c r="V472" i="6"/>
  <c r="V473" i="6"/>
  <c r="V474" i="6"/>
  <c r="V475" i="6"/>
  <c r="U496" i="6"/>
  <c r="V497" i="6"/>
  <c r="W497" i="6" s="1"/>
  <c r="X497" i="6" s="1"/>
  <c r="V498" i="6"/>
  <c r="W498" i="6" s="1"/>
  <c r="X498" i="6" s="1"/>
  <c r="U499" i="6"/>
  <c r="T504" i="6"/>
  <c r="V13" i="5"/>
  <c r="W13" i="5" s="1"/>
  <c r="X13" i="5" s="1"/>
  <c r="V14" i="5"/>
  <c r="W14" i="5" s="1"/>
  <c r="X14" i="5" s="1"/>
  <c r="V15" i="5"/>
  <c r="W15" i="5" s="1"/>
  <c r="X15" i="5" s="1"/>
  <c r="V16" i="5"/>
  <c r="W16" i="5" s="1"/>
  <c r="X16" i="5" s="1"/>
  <c r="V17" i="5"/>
  <c r="W17" i="5" s="1"/>
  <c r="X17" i="5" s="1"/>
  <c r="V18" i="5"/>
  <c r="W18" i="5" s="1"/>
  <c r="X18" i="5" s="1"/>
  <c r="V19" i="5"/>
  <c r="W19" i="5" s="1"/>
  <c r="X19" i="5" s="1"/>
  <c r="V20" i="5"/>
  <c r="W20" i="5" s="1"/>
  <c r="X20" i="5" s="1"/>
  <c r="V21" i="5"/>
  <c r="W21" i="5" s="1"/>
  <c r="X21" i="5" s="1"/>
  <c r="V22" i="5"/>
  <c r="W22" i="5" s="1"/>
  <c r="X22" i="5" s="1"/>
  <c r="V23" i="5"/>
  <c r="W23" i="5" s="1"/>
  <c r="X23" i="5" s="1"/>
  <c r="V25" i="5"/>
  <c r="W25" i="5" s="1"/>
  <c r="X25" i="5" s="1"/>
  <c r="V26" i="5"/>
  <c r="W26" i="5" s="1"/>
  <c r="X26" i="5" s="1"/>
  <c r="V27" i="5"/>
  <c r="W27" i="5" s="1"/>
  <c r="X27" i="5" s="1"/>
  <c r="V28" i="5"/>
  <c r="W28" i="5" s="1"/>
  <c r="X28" i="5" s="1"/>
  <c r="V29" i="5"/>
  <c r="W29" i="5" s="1"/>
  <c r="X29" i="5" s="1"/>
  <c r="V30" i="5"/>
  <c r="W30" i="5" s="1"/>
  <c r="X30" i="5" s="1"/>
  <c r="V31" i="5"/>
  <c r="W31" i="5" s="1"/>
  <c r="X31" i="5" s="1"/>
  <c r="V32" i="5"/>
  <c r="W32" i="5" s="1"/>
  <c r="X32" i="5" s="1"/>
  <c r="V33" i="5"/>
  <c r="W33" i="5" s="1"/>
  <c r="X33" i="5" s="1"/>
  <c r="V34" i="5"/>
  <c r="W34" i="5" s="1"/>
  <c r="X34" i="5" s="1"/>
  <c r="V35" i="5"/>
  <c r="W35" i="5" s="1"/>
  <c r="X35" i="5" s="1"/>
  <c r="V37" i="5"/>
  <c r="W37" i="5" s="1"/>
  <c r="X37" i="5" s="1"/>
  <c r="V38" i="5"/>
  <c r="W38" i="5" s="1"/>
  <c r="X38" i="5" s="1"/>
  <c r="V39" i="5"/>
  <c r="W39" i="5" s="1"/>
  <c r="X39" i="5" s="1"/>
  <c r="V40" i="5"/>
  <c r="W40" i="5" s="1"/>
  <c r="X40" i="5" s="1"/>
  <c r="V41" i="5"/>
  <c r="W41" i="5" s="1"/>
  <c r="X41" i="5" s="1"/>
  <c r="V42" i="5"/>
  <c r="W42" i="5" s="1"/>
  <c r="X42" i="5" s="1"/>
  <c r="V43" i="5"/>
  <c r="W43" i="5" s="1"/>
  <c r="X43" i="5" s="1"/>
  <c r="V44" i="5"/>
  <c r="W44" i="5" s="1"/>
  <c r="X44" i="5" s="1"/>
  <c r="V45" i="5"/>
  <c r="W45" i="5" s="1"/>
  <c r="X45" i="5" s="1"/>
  <c r="V46" i="5"/>
  <c r="W46" i="5" s="1"/>
  <c r="X46" i="5" s="1"/>
  <c r="V47" i="5"/>
  <c r="W47" i="5" s="1"/>
  <c r="X47" i="5" s="1"/>
  <c r="V49" i="5"/>
  <c r="W49" i="5" s="1"/>
  <c r="X49" i="5" s="1"/>
  <c r="V50" i="5"/>
  <c r="W50" i="5" s="1"/>
  <c r="X50" i="5" s="1"/>
  <c r="V51" i="5"/>
  <c r="W51" i="5" s="1"/>
  <c r="X51" i="5" s="1"/>
  <c r="V52" i="5"/>
  <c r="W52" i="5" s="1"/>
  <c r="X52" i="5" s="1"/>
  <c r="V53" i="5"/>
  <c r="W53" i="5" s="1"/>
  <c r="X53" i="5" s="1"/>
  <c r="V54" i="5"/>
  <c r="W54" i="5" s="1"/>
  <c r="X54" i="5" s="1"/>
  <c r="V55" i="5"/>
  <c r="W55" i="5" s="1"/>
  <c r="X55" i="5" s="1"/>
  <c r="V56" i="5"/>
  <c r="W56" i="5" s="1"/>
  <c r="X56" i="5" s="1"/>
  <c r="V57" i="5"/>
  <c r="W57" i="5" s="1"/>
  <c r="X57" i="5" s="1"/>
  <c r="V58" i="5"/>
  <c r="W58" i="5" s="1"/>
  <c r="X58" i="5" s="1"/>
  <c r="V59" i="5"/>
  <c r="W59" i="5" s="1"/>
  <c r="X59" i="5" s="1"/>
  <c r="V61" i="5"/>
  <c r="W61" i="5" s="1"/>
  <c r="V62" i="5"/>
  <c r="W62" i="5" s="1"/>
  <c r="V63" i="5"/>
  <c r="W63" i="5" s="1"/>
  <c r="V64" i="5"/>
  <c r="W64" i="5" s="1"/>
  <c r="V65" i="5"/>
  <c r="W65" i="5" s="1"/>
  <c r="V66" i="5"/>
  <c r="W66" i="5" s="1"/>
  <c r="V67" i="5"/>
  <c r="W67" i="5" s="1"/>
  <c r="V68" i="5"/>
  <c r="W68" i="5" s="1"/>
  <c r="V69" i="5"/>
  <c r="W69" i="5" s="1"/>
  <c r="V70" i="5"/>
  <c r="W70" i="5" s="1"/>
  <c r="V71" i="5"/>
  <c r="W71" i="5" s="1"/>
  <c r="V85" i="5"/>
  <c r="V86" i="5"/>
  <c r="V87" i="5"/>
  <c r="V88" i="5"/>
  <c r="V89" i="5"/>
  <c r="V90" i="5"/>
  <c r="V91" i="5"/>
  <c r="V92" i="5"/>
  <c r="V93" i="5"/>
  <c r="V94" i="5"/>
  <c r="V95" i="5"/>
  <c r="V145" i="5"/>
  <c r="W145" i="5" s="1"/>
  <c r="X145" i="5" s="1"/>
  <c r="V146" i="5"/>
  <c r="W146" i="5" s="1"/>
  <c r="X146" i="5" s="1"/>
  <c r="V147" i="5"/>
  <c r="W147" i="5" s="1"/>
  <c r="X147" i="5" s="1"/>
  <c r="V148" i="5"/>
  <c r="W148" i="5" s="1"/>
  <c r="X148" i="5" s="1"/>
  <c r="V149" i="5"/>
  <c r="W149" i="5" s="1"/>
  <c r="X149" i="5" s="1"/>
  <c r="V150" i="5"/>
  <c r="W150" i="5" s="1"/>
  <c r="X150" i="5" s="1"/>
  <c r="V151" i="5"/>
  <c r="W151" i="5" s="1"/>
  <c r="X151" i="5" s="1"/>
  <c r="V152" i="5"/>
  <c r="W152" i="5" s="1"/>
  <c r="X152" i="5" s="1"/>
  <c r="V153" i="5"/>
  <c r="W153" i="5" s="1"/>
  <c r="X153" i="5" s="1"/>
  <c r="V154" i="5"/>
  <c r="W154" i="5" s="1"/>
  <c r="X154" i="5" s="1"/>
  <c r="V155" i="5"/>
  <c r="W155" i="5" s="1"/>
  <c r="X155" i="5" s="1"/>
  <c r="V157" i="5"/>
  <c r="W157" i="5" s="1"/>
  <c r="X157" i="5" s="1"/>
  <c r="V158" i="5"/>
  <c r="W158" i="5" s="1"/>
  <c r="X158" i="5" s="1"/>
  <c r="V159" i="5"/>
  <c r="W159" i="5" s="1"/>
  <c r="X159" i="5" s="1"/>
  <c r="V160" i="5"/>
  <c r="W160" i="5" s="1"/>
  <c r="X160" i="5" s="1"/>
  <c r="V161" i="5"/>
  <c r="W161" i="5" s="1"/>
  <c r="X161" i="5" s="1"/>
  <c r="V162" i="5"/>
  <c r="W162" i="5" s="1"/>
  <c r="X162" i="5" s="1"/>
  <c r="V163" i="5"/>
  <c r="W163" i="5" s="1"/>
  <c r="X163" i="5" s="1"/>
  <c r="V164" i="5"/>
  <c r="W164" i="5" s="1"/>
  <c r="X164" i="5" s="1"/>
  <c r="V165" i="5"/>
  <c r="W165" i="5" s="1"/>
  <c r="X165" i="5" s="1"/>
  <c r="V166" i="5"/>
  <c r="W166" i="5" s="1"/>
  <c r="X166" i="5" s="1"/>
  <c r="V167" i="5"/>
  <c r="W167" i="5" s="1"/>
  <c r="X167" i="5" s="1"/>
  <c r="V169" i="5"/>
  <c r="W169" i="5" s="1"/>
  <c r="X169" i="5" s="1"/>
  <c r="V170" i="5"/>
  <c r="W170" i="5" s="1"/>
  <c r="X170" i="5" s="1"/>
  <c r="V171" i="5"/>
  <c r="W171" i="5" s="1"/>
  <c r="X171" i="5" s="1"/>
  <c r="V172" i="5"/>
  <c r="W172" i="5" s="1"/>
  <c r="X172" i="5" s="1"/>
  <c r="V173" i="5"/>
  <c r="W173" i="5" s="1"/>
  <c r="X173" i="5" s="1"/>
  <c r="V174" i="5"/>
  <c r="W174" i="5" s="1"/>
  <c r="X174" i="5" s="1"/>
  <c r="V175" i="5"/>
  <c r="W175" i="5" s="1"/>
  <c r="X175" i="5" s="1"/>
  <c r="V176" i="5"/>
  <c r="W176" i="5" s="1"/>
  <c r="X176" i="5" s="1"/>
  <c r="V177" i="5"/>
  <c r="W177" i="5" s="1"/>
  <c r="X177" i="5" s="1"/>
  <c r="V178" i="5"/>
  <c r="W178" i="5" s="1"/>
  <c r="X178" i="5" s="1"/>
  <c r="V179" i="5"/>
  <c r="W179" i="5" s="1"/>
  <c r="X179" i="5" s="1"/>
  <c r="V181" i="5"/>
  <c r="W181" i="5" s="1"/>
  <c r="X181" i="5" s="1"/>
  <c r="V182" i="5"/>
  <c r="W182" i="5" s="1"/>
  <c r="X182" i="5" s="1"/>
  <c r="V183" i="5"/>
  <c r="W183" i="5" s="1"/>
  <c r="X183" i="5" s="1"/>
  <c r="V184" i="5"/>
  <c r="W184" i="5" s="1"/>
  <c r="X184" i="5" s="1"/>
  <c r="V185" i="5"/>
  <c r="W185" i="5" s="1"/>
  <c r="X185" i="5" s="1"/>
  <c r="V186" i="5"/>
  <c r="W186" i="5" s="1"/>
  <c r="X186" i="5" s="1"/>
  <c r="V187" i="5"/>
  <c r="W187" i="5" s="1"/>
  <c r="X187" i="5" s="1"/>
  <c r="V188" i="5"/>
  <c r="W188" i="5" s="1"/>
  <c r="X188" i="5" s="1"/>
  <c r="V189" i="5"/>
  <c r="W189" i="5" s="1"/>
  <c r="X189" i="5" s="1"/>
  <c r="V190" i="5"/>
  <c r="W190" i="5" s="1"/>
  <c r="X190" i="5" s="1"/>
  <c r="V191" i="5"/>
  <c r="W191" i="5" s="1"/>
  <c r="X191" i="5" s="1"/>
  <c r="V193" i="5"/>
  <c r="W193" i="5" s="1"/>
  <c r="V194" i="5"/>
  <c r="W194" i="5" s="1"/>
  <c r="V195" i="5"/>
  <c r="W195" i="5" s="1"/>
  <c r="V196" i="5"/>
  <c r="W196" i="5" s="1"/>
  <c r="V197" i="5"/>
  <c r="W197" i="5" s="1"/>
  <c r="V198" i="5"/>
  <c r="W198" i="5" s="1"/>
  <c r="V199" i="5"/>
  <c r="W199" i="5" s="1"/>
  <c r="V200" i="5"/>
  <c r="W200" i="5" s="1"/>
  <c r="V201" i="5"/>
  <c r="W201" i="5" s="1"/>
  <c r="V202" i="5"/>
  <c r="W202" i="5" s="1"/>
  <c r="V203" i="5"/>
  <c r="W203" i="5" s="1"/>
  <c r="V217" i="5"/>
  <c r="V218" i="5"/>
  <c r="V219" i="5"/>
  <c r="V220" i="5"/>
  <c r="V221" i="5"/>
  <c r="V222" i="5"/>
  <c r="V223" i="5"/>
  <c r="V224" i="5"/>
  <c r="V225" i="5"/>
  <c r="V226" i="5"/>
  <c r="V227" i="5"/>
  <c r="V277" i="5"/>
  <c r="W277" i="5" s="1"/>
  <c r="X277" i="5" s="1"/>
  <c r="V278" i="5"/>
  <c r="W278" i="5" s="1"/>
  <c r="X278" i="5" s="1"/>
  <c r="V279" i="5"/>
  <c r="W279" i="5" s="1"/>
  <c r="X279" i="5" s="1"/>
  <c r="V280" i="5"/>
  <c r="W280" i="5" s="1"/>
  <c r="X280" i="5" s="1"/>
  <c r="V281" i="5"/>
  <c r="W281" i="5" s="1"/>
  <c r="X281" i="5" s="1"/>
  <c r="V282" i="5"/>
  <c r="W282" i="5" s="1"/>
  <c r="X282" i="5" s="1"/>
  <c r="V283" i="5"/>
  <c r="W283" i="5" s="1"/>
  <c r="X283" i="5" s="1"/>
  <c r="V284" i="5"/>
  <c r="W284" i="5" s="1"/>
  <c r="X284" i="5" s="1"/>
  <c r="V285" i="5"/>
  <c r="W285" i="5" s="1"/>
  <c r="X285" i="5" s="1"/>
  <c r="V287" i="5"/>
  <c r="W287" i="5" s="1"/>
  <c r="X287" i="5" s="1"/>
  <c r="V288" i="5"/>
  <c r="W288" i="5" s="1"/>
  <c r="X288" i="5" s="1"/>
  <c r="V289" i="5"/>
  <c r="W289" i="5" s="1"/>
  <c r="X289" i="5" s="1"/>
  <c r="V290" i="5"/>
  <c r="W290" i="5" s="1"/>
  <c r="X290" i="5" s="1"/>
  <c r="V291" i="5"/>
  <c r="W291" i="5" s="1"/>
  <c r="X291" i="5" s="1"/>
  <c r="V292" i="5"/>
  <c r="W292" i="5" s="1"/>
  <c r="X292" i="5" s="1"/>
  <c r="V293" i="5"/>
  <c r="W293" i="5" s="1"/>
  <c r="X293" i="5" s="1"/>
  <c r="V294" i="5"/>
  <c r="W294" i="5" s="1"/>
  <c r="X294" i="5" s="1"/>
  <c r="V295" i="5"/>
  <c r="W295" i="5" s="1"/>
  <c r="X295" i="5" s="1"/>
  <c r="V297" i="5"/>
  <c r="W297" i="5" s="1"/>
  <c r="X297" i="5" s="1"/>
  <c r="V298" i="5"/>
  <c r="W298" i="5" s="1"/>
  <c r="X298" i="5" s="1"/>
  <c r="V299" i="5"/>
  <c r="W299" i="5" s="1"/>
  <c r="X299" i="5" s="1"/>
  <c r="V300" i="5"/>
  <c r="W300" i="5" s="1"/>
  <c r="X300" i="5" s="1"/>
  <c r="V301" i="5"/>
  <c r="W301" i="5" s="1"/>
  <c r="X301" i="5" s="1"/>
  <c r="V302" i="5"/>
  <c r="W302" i="5" s="1"/>
  <c r="X302" i="5" s="1"/>
  <c r="V303" i="5"/>
  <c r="W303" i="5" s="1"/>
  <c r="X303" i="5" s="1"/>
  <c r="V304" i="5"/>
  <c r="W304" i="5" s="1"/>
  <c r="X304" i="5" s="1"/>
  <c r="V305" i="5"/>
  <c r="W305" i="5" s="1"/>
  <c r="X305" i="5" s="1"/>
  <c r="V307" i="5"/>
  <c r="W307" i="5" s="1"/>
  <c r="X307" i="5" s="1"/>
  <c r="V308" i="5"/>
  <c r="W308" i="5" s="1"/>
  <c r="X308" i="5" s="1"/>
  <c r="V309" i="5"/>
  <c r="W309" i="5" s="1"/>
  <c r="X309" i="5" s="1"/>
  <c r="V310" i="5"/>
  <c r="W310" i="5" s="1"/>
  <c r="X310" i="5" s="1"/>
  <c r="V311" i="5"/>
  <c r="W311" i="5" s="1"/>
  <c r="X311" i="5" s="1"/>
  <c r="V312" i="5"/>
  <c r="W312" i="5" s="1"/>
  <c r="X312" i="5" s="1"/>
  <c r="V313" i="5"/>
  <c r="W313" i="5" s="1"/>
  <c r="X313" i="5" s="1"/>
  <c r="V314" i="5"/>
  <c r="W314" i="5" s="1"/>
  <c r="X314" i="5" s="1"/>
  <c r="V315" i="5"/>
  <c r="W315" i="5" s="1"/>
  <c r="X315" i="5" s="1"/>
  <c r="V317" i="5"/>
  <c r="W317" i="5" s="1"/>
  <c r="V318" i="5"/>
  <c r="W318" i="5" s="1"/>
  <c r="V319" i="5"/>
  <c r="W319" i="5" s="1"/>
  <c r="V320" i="5"/>
  <c r="W320" i="5" s="1"/>
  <c r="V321" i="5"/>
  <c r="W321" i="5" s="1"/>
  <c r="V322" i="5"/>
  <c r="W322" i="5" s="1"/>
  <c r="V323" i="5"/>
  <c r="W323" i="5" s="1"/>
  <c r="V324" i="5"/>
  <c r="W324" i="5" s="1"/>
  <c r="V325" i="5"/>
  <c r="W325" i="5" s="1"/>
  <c r="V337" i="5"/>
  <c r="V338" i="5"/>
  <c r="V339" i="5"/>
  <c r="V340" i="5"/>
  <c r="V341" i="5"/>
  <c r="V342" i="5"/>
  <c r="V343" i="5"/>
  <c r="V344" i="5"/>
  <c r="V345" i="5"/>
  <c r="V387" i="5"/>
  <c r="W387" i="5" s="1"/>
  <c r="X387" i="5" s="1"/>
  <c r="V388" i="5"/>
  <c r="W388" i="5" s="1"/>
  <c r="X388" i="5" s="1"/>
  <c r="V389" i="5"/>
  <c r="W389" i="5" s="1"/>
  <c r="X389" i="5" s="1"/>
  <c r="V390" i="5"/>
  <c r="W390" i="5" s="1"/>
  <c r="X390" i="5" s="1"/>
  <c r="V391" i="5"/>
  <c r="W391" i="5" s="1"/>
  <c r="X391" i="5" s="1"/>
  <c r="V392" i="5"/>
  <c r="W392" i="5" s="1"/>
  <c r="X392" i="5" s="1"/>
  <c r="V393" i="5"/>
  <c r="W393" i="5" s="1"/>
  <c r="X393" i="5" s="1"/>
  <c r="V394" i="5"/>
  <c r="W394" i="5" s="1"/>
  <c r="X394" i="5" s="1"/>
  <c r="V395" i="5"/>
  <c r="W395" i="5" s="1"/>
  <c r="X395" i="5" s="1"/>
  <c r="V397" i="5"/>
  <c r="W397" i="5" s="1"/>
  <c r="X397" i="5" s="1"/>
  <c r="V398" i="5"/>
  <c r="W398" i="5" s="1"/>
  <c r="X398" i="5" s="1"/>
  <c r="V399" i="5"/>
  <c r="W399" i="5" s="1"/>
  <c r="X399" i="5" s="1"/>
  <c r="V400" i="5"/>
  <c r="W400" i="5" s="1"/>
  <c r="X400" i="5" s="1"/>
  <c r="V401" i="5"/>
  <c r="W401" i="5" s="1"/>
  <c r="X401" i="5" s="1"/>
  <c r="V402" i="5"/>
  <c r="W402" i="5" s="1"/>
  <c r="X402" i="5" s="1"/>
  <c r="V403" i="5"/>
  <c r="W403" i="5" s="1"/>
  <c r="X403" i="5" s="1"/>
  <c r="V404" i="5"/>
  <c r="W404" i="5" s="1"/>
  <c r="X404" i="5" s="1"/>
  <c r="V405" i="5"/>
  <c r="W405" i="5" s="1"/>
  <c r="X405" i="5" s="1"/>
  <c r="V407" i="5"/>
  <c r="W407" i="5" s="1"/>
  <c r="X407" i="5" s="1"/>
  <c r="V408" i="5"/>
  <c r="W408" i="5" s="1"/>
  <c r="X408" i="5" s="1"/>
  <c r="V409" i="5"/>
  <c r="W409" i="5" s="1"/>
  <c r="X409" i="5" s="1"/>
  <c r="V410" i="5"/>
  <c r="W410" i="5" s="1"/>
  <c r="X410" i="5" s="1"/>
  <c r="V411" i="5"/>
  <c r="W411" i="5" s="1"/>
  <c r="X411" i="5" s="1"/>
  <c r="V412" i="5"/>
  <c r="W412" i="5" s="1"/>
  <c r="X412" i="5" s="1"/>
  <c r="V413" i="5"/>
  <c r="W413" i="5" s="1"/>
  <c r="X413" i="5" s="1"/>
  <c r="V414" i="5"/>
  <c r="W414" i="5"/>
  <c r="X414" i="5" s="1"/>
  <c r="V415" i="5"/>
  <c r="W415" i="5" s="1"/>
  <c r="X415" i="5" s="1"/>
  <c r="V417" i="5"/>
  <c r="W417" i="5" s="1"/>
  <c r="X417" i="5" s="1"/>
  <c r="V418" i="5"/>
  <c r="W418" i="5"/>
  <c r="X418" i="5" s="1"/>
  <c r="V419" i="5"/>
  <c r="W419" i="5" s="1"/>
  <c r="X419" i="5" s="1"/>
  <c r="V420" i="5"/>
  <c r="W420" i="5" s="1"/>
  <c r="X420" i="5" s="1"/>
  <c r="V421" i="5"/>
  <c r="W421" i="5"/>
  <c r="X421" i="5" s="1"/>
  <c r="V422" i="5"/>
  <c r="W422" i="5" s="1"/>
  <c r="X422" i="5" s="1"/>
  <c r="V423" i="5"/>
  <c r="W423" i="5" s="1"/>
  <c r="X423" i="5" s="1"/>
  <c r="V424" i="5"/>
  <c r="W424" i="5" s="1"/>
  <c r="X424" i="5" s="1"/>
  <c r="V425" i="5"/>
  <c r="W425" i="5" s="1"/>
  <c r="X425" i="5" s="1"/>
  <c r="V427" i="5"/>
  <c r="W427" i="5" s="1"/>
  <c r="X427" i="5" s="1"/>
  <c r="X437" i="5" s="1"/>
  <c r="V428" i="5"/>
  <c r="W428" i="5" s="1"/>
  <c r="X428" i="5" s="1"/>
  <c r="X438" i="5" s="1"/>
  <c r="V429" i="5"/>
  <c r="W429" i="5"/>
  <c r="X429" i="5" s="1"/>
  <c r="X439" i="5" s="1"/>
  <c r="V430" i="5"/>
  <c r="W430" i="5" s="1"/>
  <c r="X430" i="5" s="1"/>
  <c r="X440" i="5" s="1"/>
  <c r="V431" i="5"/>
  <c r="W431" i="5" s="1"/>
  <c r="X431" i="5" s="1"/>
  <c r="X441" i="5" s="1"/>
  <c r="V432" i="5"/>
  <c r="W432" i="5" s="1"/>
  <c r="X432" i="5" s="1"/>
  <c r="X442" i="5" s="1"/>
  <c r="V433" i="5"/>
  <c r="W433" i="5" s="1"/>
  <c r="V434" i="5"/>
  <c r="W434" i="5" s="1"/>
  <c r="X434" i="5" s="1"/>
  <c r="X444" i="5" s="1"/>
  <c r="V435" i="5"/>
  <c r="W435" i="5" s="1"/>
  <c r="X435" i="5" s="1"/>
  <c r="X445" i="5" s="1"/>
  <c r="V447" i="5"/>
  <c r="V448" i="5"/>
  <c r="V449" i="5"/>
  <c r="V450" i="5"/>
  <c r="V451" i="5"/>
  <c r="V452" i="5"/>
  <c r="V453" i="5"/>
  <c r="V454" i="5"/>
  <c r="V455" i="5"/>
  <c r="V467" i="5"/>
  <c r="V468" i="5"/>
  <c r="V469" i="5"/>
  <c r="V470" i="5"/>
  <c r="V471" i="5"/>
  <c r="V472" i="5"/>
  <c r="V473" i="5"/>
  <c r="V474" i="5"/>
  <c r="V475" i="5"/>
  <c r="V497" i="5"/>
  <c r="W497" i="5" s="1"/>
  <c r="X497" i="5" s="1"/>
  <c r="V498" i="5"/>
  <c r="W498" i="5" s="1"/>
  <c r="X498" i="5" s="1"/>
  <c r="T504" i="5"/>
  <c r="V13" i="2"/>
  <c r="W13" i="2" s="1"/>
  <c r="X13" i="2" s="1"/>
  <c r="V14" i="2"/>
  <c r="W14" i="2" s="1"/>
  <c r="X14" i="2" s="1"/>
  <c r="V15" i="2"/>
  <c r="W15" i="2" s="1"/>
  <c r="X15" i="2" s="1"/>
  <c r="V16" i="2"/>
  <c r="W16" i="2" s="1"/>
  <c r="X16" i="2" s="1"/>
  <c r="V17" i="2"/>
  <c r="W17" i="2" s="1"/>
  <c r="X17" i="2" s="1"/>
  <c r="V18" i="2"/>
  <c r="W18" i="2" s="1"/>
  <c r="X18" i="2" s="1"/>
  <c r="V19" i="2"/>
  <c r="W19" i="2" s="1"/>
  <c r="X19" i="2" s="1"/>
  <c r="V20" i="2"/>
  <c r="W20" i="2" s="1"/>
  <c r="X20" i="2" s="1"/>
  <c r="V21" i="2"/>
  <c r="W21" i="2" s="1"/>
  <c r="X21" i="2" s="1"/>
  <c r="V22" i="2"/>
  <c r="W22" i="2" s="1"/>
  <c r="X22" i="2" s="1"/>
  <c r="V23" i="2"/>
  <c r="W23" i="2" s="1"/>
  <c r="X23" i="2" s="1"/>
  <c r="V25" i="2"/>
  <c r="W25" i="2" s="1"/>
  <c r="X25" i="2" s="1"/>
  <c r="V26" i="2"/>
  <c r="W26" i="2" s="1"/>
  <c r="X26" i="2" s="1"/>
  <c r="V27" i="2"/>
  <c r="W27" i="2" s="1"/>
  <c r="X27" i="2" s="1"/>
  <c r="V28" i="2"/>
  <c r="W28" i="2" s="1"/>
  <c r="X28" i="2" s="1"/>
  <c r="V29" i="2"/>
  <c r="W29" i="2" s="1"/>
  <c r="X29" i="2" s="1"/>
  <c r="V30" i="2"/>
  <c r="W30" i="2" s="1"/>
  <c r="X30" i="2" s="1"/>
  <c r="V31" i="2"/>
  <c r="W31" i="2" s="1"/>
  <c r="X31" i="2" s="1"/>
  <c r="V32" i="2"/>
  <c r="W32" i="2" s="1"/>
  <c r="X32" i="2" s="1"/>
  <c r="V33" i="2"/>
  <c r="W33" i="2" s="1"/>
  <c r="X33" i="2" s="1"/>
  <c r="V34" i="2"/>
  <c r="W34" i="2" s="1"/>
  <c r="X34" i="2" s="1"/>
  <c r="V35" i="2"/>
  <c r="W35" i="2" s="1"/>
  <c r="X35" i="2" s="1"/>
  <c r="V37" i="2"/>
  <c r="W37" i="2" s="1"/>
  <c r="X37" i="2" s="1"/>
  <c r="V38" i="2"/>
  <c r="W38" i="2" s="1"/>
  <c r="X38" i="2" s="1"/>
  <c r="V39" i="2"/>
  <c r="W39" i="2" s="1"/>
  <c r="X39" i="2" s="1"/>
  <c r="V40" i="2"/>
  <c r="W40" i="2" s="1"/>
  <c r="X40" i="2" s="1"/>
  <c r="V41" i="2"/>
  <c r="W41" i="2" s="1"/>
  <c r="X41" i="2" s="1"/>
  <c r="V42" i="2"/>
  <c r="W42" i="2" s="1"/>
  <c r="X42" i="2" s="1"/>
  <c r="V43" i="2"/>
  <c r="W43" i="2" s="1"/>
  <c r="X43" i="2" s="1"/>
  <c r="V44" i="2"/>
  <c r="W44" i="2" s="1"/>
  <c r="X44" i="2" s="1"/>
  <c r="V45" i="2"/>
  <c r="W45" i="2" s="1"/>
  <c r="X45" i="2" s="1"/>
  <c r="V46" i="2"/>
  <c r="W46" i="2" s="1"/>
  <c r="X46" i="2" s="1"/>
  <c r="V47" i="2"/>
  <c r="W47" i="2" s="1"/>
  <c r="X47" i="2" s="1"/>
  <c r="V49" i="2"/>
  <c r="W49" i="2" s="1"/>
  <c r="X49" i="2" s="1"/>
  <c r="V50" i="2"/>
  <c r="W50" i="2" s="1"/>
  <c r="X50" i="2" s="1"/>
  <c r="V51" i="2"/>
  <c r="W51" i="2" s="1"/>
  <c r="X51" i="2" s="1"/>
  <c r="V52" i="2"/>
  <c r="W52" i="2" s="1"/>
  <c r="X52" i="2" s="1"/>
  <c r="V53" i="2"/>
  <c r="W53" i="2" s="1"/>
  <c r="X53" i="2" s="1"/>
  <c r="V54" i="2"/>
  <c r="W54" i="2" s="1"/>
  <c r="X54" i="2" s="1"/>
  <c r="V55" i="2"/>
  <c r="W55" i="2" s="1"/>
  <c r="X55" i="2" s="1"/>
  <c r="V56" i="2"/>
  <c r="W56" i="2" s="1"/>
  <c r="X56" i="2" s="1"/>
  <c r="V57" i="2"/>
  <c r="W57" i="2" s="1"/>
  <c r="X57" i="2" s="1"/>
  <c r="V58" i="2"/>
  <c r="W58" i="2" s="1"/>
  <c r="X58" i="2" s="1"/>
  <c r="V59" i="2"/>
  <c r="W59" i="2" s="1"/>
  <c r="X59" i="2" s="1"/>
  <c r="V61" i="2"/>
  <c r="W61" i="2" s="1"/>
  <c r="V62" i="2"/>
  <c r="W62" i="2" s="1"/>
  <c r="V63" i="2"/>
  <c r="W63" i="2" s="1"/>
  <c r="V64" i="2"/>
  <c r="W64" i="2" s="1"/>
  <c r="V65" i="2"/>
  <c r="W65" i="2" s="1"/>
  <c r="V66" i="2"/>
  <c r="W66" i="2" s="1"/>
  <c r="V67" i="2"/>
  <c r="W67" i="2" s="1"/>
  <c r="V68" i="2"/>
  <c r="W68" i="2" s="1"/>
  <c r="V69" i="2"/>
  <c r="W69" i="2" s="1"/>
  <c r="V70" i="2"/>
  <c r="W70" i="2" s="1"/>
  <c r="V71" i="2"/>
  <c r="W71" i="2" s="1"/>
  <c r="V85" i="2"/>
  <c r="V86" i="2"/>
  <c r="V87" i="2"/>
  <c r="V88" i="2"/>
  <c r="V89" i="2"/>
  <c r="V90" i="2"/>
  <c r="V91" i="2"/>
  <c r="V92" i="2"/>
  <c r="V93" i="2"/>
  <c r="V94" i="2"/>
  <c r="V95" i="2"/>
  <c r="V145" i="2"/>
  <c r="W145" i="2" s="1"/>
  <c r="X145" i="2" s="1"/>
  <c r="V146" i="2"/>
  <c r="W146" i="2" s="1"/>
  <c r="X146" i="2" s="1"/>
  <c r="V147" i="2"/>
  <c r="W147" i="2" s="1"/>
  <c r="X147" i="2" s="1"/>
  <c r="V148" i="2"/>
  <c r="W148" i="2" s="1"/>
  <c r="X148" i="2" s="1"/>
  <c r="V149" i="2"/>
  <c r="W149" i="2" s="1"/>
  <c r="X149" i="2" s="1"/>
  <c r="V150" i="2"/>
  <c r="W150" i="2" s="1"/>
  <c r="X150" i="2" s="1"/>
  <c r="V151" i="2"/>
  <c r="W151" i="2" s="1"/>
  <c r="X151" i="2" s="1"/>
  <c r="V152" i="2"/>
  <c r="W152" i="2" s="1"/>
  <c r="X152" i="2" s="1"/>
  <c r="V153" i="2"/>
  <c r="W153" i="2" s="1"/>
  <c r="X153" i="2" s="1"/>
  <c r="V154" i="2"/>
  <c r="W154" i="2" s="1"/>
  <c r="X154" i="2" s="1"/>
  <c r="V155" i="2"/>
  <c r="W155" i="2" s="1"/>
  <c r="X155" i="2" s="1"/>
  <c r="V157" i="2"/>
  <c r="W157" i="2" s="1"/>
  <c r="X157" i="2" s="1"/>
  <c r="V158" i="2"/>
  <c r="W158" i="2" s="1"/>
  <c r="X158" i="2" s="1"/>
  <c r="V159" i="2"/>
  <c r="W159" i="2" s="1"/>
  <c r="X159" i="2" s="1"/>
  <c r="V160" i="2"/>
  <c r="W160" i="2" s="1"/>
  <c r="X160" i="2" s="1"/>
  <c r="V161" i="2"/>
  <c r="W161" i="2" s="1"/>
  <c r="X161" i="2" s="1"/>
  <c r="V162" i="2"/>
  <c r="W162" i="2" s="1"/>
  <c r="X162" i="2" s="1"/>
  <c r="V163" i="2"/>
  <c r="W163" i="2" s="1"/>
  <c r="X163" i="2" s="1"/>
  <c r="V164" i="2"/>
  <c r="W164" i="2" s="1"/>
  <c r="X164" i="2" s="1"/>
  <c r="V165" i="2"/>
  <c r="W165" i="2" s="1"/>
  <c r="X165" i="2" s="1"/>
  <c r="V166" i="2"/>
  <c r="W166" i="2" s="1"/>
  <c r="X166" i="2" s="1"/>
  <c r="V167" i="2"/>
  <c r="W167" i="2" s="1"/>
  <c r="X167" i="2" s="1"/>
  <c r="V169" i="2"/>
  <c r="W169" i="2" s="1"/>
  <c r="X169" i="2" s="1"/>
  <c r="V170" i="2"/>
  <c r="W170" i="2" s="1"/>
  <c r="X170" i="2" s="1"/>
  <c r="V171" i="2"/>
  <c r="W171" i="2" s="1"/>
  <c r="X171" i="2" s="1"/>
  <c r="V172" i="2"/>
  <c r="W172" i="2" s="1"/>
  <c r="X172" i="2" s="1"/>
  <c r="V173" i="2"/>
  <c r="W173" i="2" s="1"/>
  <c r="X173" i="2" s="1"/>
  <c r="V174" i="2"/>
  <c r="W174" i="2" s="1"/>
  <c r="X174" i="2" s="1"/>
  <c r="V175" i="2"/>
  <c r="W175" i="2" s="1"/>
  <c r="X175" i="2" s="1"/>
  <c r="V176" i="2"/>
  <c r="W176" i="2" s="1"/>
  <c r="X176" i="2" s="1"/>
  <c r="V177" i="2"/>
  <c r="W177" i="2" s="1"/>
  <c r="X177" i="2" s="1"/>
  <c r="V178" i="2"/>
  <c r="W178" i="2" s="1"/>
  <c r="X178" i="2" s="1"/>
  <c r="V179" i="2"/>
  <c r="W179" i="2" s="1"/>
  <c r="X179" i="2" s="1"/>
  <c r="V181" i="2"/>
  <c r="W181" i="2" s="1"/>
  <c r="X181" i="2" s="1"/>
  <c r="V182" i="2"/>
  <c r="W182" i="2" s="1"/>
  <c r="X182" i="2" s="1"/>
  <c r="V183" i="2"/>
  <c r="W183" i="2" s="1"/>
  <c r="X183" i="2" s="1"/>
  <c r="V184" i="2"/>
  <c r="W184" i="2" s="1"/>
  <c r="X184" i="2" s="1"/>
  <c r="V185" i="2"/>
  <c r="W185" i="2" s="1"/>
  <c r="X185" i="2" s="1"/>
  <c r="V186" i="2"/>
  <c r="W186" i="2" s="1"/>
  <c r="X186" i="2" s="1"/>
  <c r="V187" i="2"/>
  <c r="W187" i="2" s="1"/>
  <c r="X187" i="2" s="1"/>
  <c r="V188" i="2"/>
  <c r="W188" i="2" s="1"/>
  <c r="X188" i="2" s="1"/>
  <c r="V189" i="2"/>
  <c r="W189" i="2" s="1"/>
  <c r="X189" i="2" s="1"/>
  <c r="V190" i="2"/>
  <c r="W190" i="2" s="1"/>
  <c r="X190" i="2" s="1"/>
  <c r="V191" i="2"/>
  <c r="W191" i="2" s="1"/>
  <c r="X191" i="2" s="1"/>
  <c r="V193" i="2"/>
  <c r="W193" i="2" s="1"/>
  <c r="V194" i="2"/>
  <c r="W194" i="2" s="1"/>
  <c r="V195" i="2"/>
  <c r="W195" i="2" s="1"/>
  <c r="V196" i="2"/>
  <c r="W196" i="2" s="1"/>
  <c r="V197" i="2"/>
  <c r="W197" i="2" s="1"/>
  <c r="V198" i="2"/>
  <c r="W198" i="2" s="1"/>
  <c r="V199" i="2"/>
  <c r="W199" i="2" s="1"/>
  <c r="V200" i="2"/>
  <c r="W200" i="2" s="1"/>
  <c r="V201" i="2"/>
  <c r="W201" i="2" s="1"/>
  <c r="V202" i="2"/>
  <c r="W202" i="2" s="1"/>
  <c r="V203" i="2"/>
  <c r="W203" i="2" s="1"/>
  <c r="V217" i="2"/>
  <c r="V218" i="2"/>
  <c r="V219" i="2"/>
  <c r="V220" i="2"/>
  <c r="V221" i="2"/>
  <c r="V222" i="2"/>
  <c r="V223" i="2"/>
  <c r="V224" i="2"/>
  <c r="V225" i="2"/>
  <c r="V226" i="2"/>
  <c r="V227" i="2"/>
  <c r="V277" i="2"/>
  <c r="W277" i="2" s="1"/>
  <c r="X277" i="2" s="1"/>
  <c r="V278" i="2"/>
  <c r="W278" i="2" s="1"/>
  <c r="X278" i="2" s="1"/>
  <c r="V279" i="2"/>
  <c r="W279" i="2" s="1"/>
  <c r="X279" i="2" s="1"/>
  <c r="V280" i="2"/>
  <c r="W280" i="2" s="1"/>
  <c r="X280" i="2" s="1"/>
  <c r="V281" i="2"/>
  <c r="W281" i="2" s="1"/>
  <c r="X281" i="2" s="1"/>
  <c r="V282" i="2"/>
  <c r="W282" i="2" s="1"/>
  <c r="X282" i="2" s="1"/>
  <c r="V283" i="2"/>
  <c r="W283" i="2" s="1"/>
  <c r="X283" i="2" s="1"/>
  <c r="V284" i="2"/>
  <c r="W284" i="2" s="1"/>
  <c r="X284" i="2" s="1"/>
  <c r="V285" i="2"/>
  <c r="W285" i="2" s="1"/>
  <c r="X285" i="2" s="1"/>
  <c r="V287" i="2"/>
  <c r="W287" i="2" s="1"/>
  <c r="X287" i="2" s="1"/>
  <c r="V288" i="2"/>
  <c r="W288" i="2" s="1"/>
  <c r="X288" i="2" s="1"/>
  <c r="V289" i="2"/>
  <c r="W289" i="2" s="1"/>
  <c r="X289" i="2" s="1"/>
  <c r="V290" i="2"/>
  <c r="W290" i="2" s="1"/>
  <c r="X290" i="2" s="1"/>
  <c r="V291" i="2"/>
  <c r="W291" i="2" s="1"/>
  <c r="X291" i="2" s="1"/>
  <c r="V292" i="2"/>
  <c r="W292" i="2" s="1"/>
  <c r="X292" i="2" s="1"/>
  <c r="V293" i="2"/>
  <c r="W293" i="2" s="1"/>
  <c r="X293" i="2" s="1"/>
  <c r="V294" i="2"/>
  <c r="W294" i="2" s="1"/>
  <c r="X294" i="2" s="1"/>
  <c r="V295" i="2"/>
  <c r="W295" i="2" s="1"/>
  <c r="X295" i="2" s="1"/>
  <c r="V297" i="2"/>
  <c r="W297" i="2" s="1"/>
  <c r="X297" i="2" s="1"/>
  <c r="V298" i="2"/>
  <c r="W298" i="2" s="1"/>
  <c r="X298" i="2" s="1"/>
  <c r="V299" i="2"/>
  <c r="W299" i="2" s="1"/>
  <c r="X299" i="2" s="1"/>
  <c r="V300" i="2"/>
  <c r="W300" i="2" s="1"/>
  <c r="X300" i="2" s="1"/>
  <c r="V301" i="2"/>
  <c r="W301" i="2" s="1"/>
  <c r="X301" i="2" s="1"/>
  <c r="V302" i="2"/>
  <c r="W302" i="2" s="1"/>
  <c r="X302" i="2" s="1"/>
  <c r="V303" i="2"/>
  <c r="W303" i="2" s="1"/>
  <c r="X303" i="2" s="1"/>
  <c r="V304" i="2"/>
  <c r="W304" i="2" s="1"/>
  <c r="X304" i="2" s="1"/>
  <c r="V305" i="2"/>
  <c r="W305" i="2" s="1"/>
  <c r="X305" i="2" s="1"/>
  <c r="V307" i="2"/>
  <c r="W307" i="2" s="1"/>
  <c r="X307" i="2" s="1"/>
  <c r="V308" i="2"/>
  <c r="W308" i="2" s="1"/>
  <c r="X308" i="2" s="1"/>
  <c r="V309" i="2"/>
  <c r="W309" i="2" s="1"/>
  <c r="X309" i="2" s="1"/>
  <c r="V310" i="2"/>
  <c r="W310" i="2" s="1"/>
  <c r="X310" i="2" s="1"/>
  <c r="V311" i="2"/>
  <c r="W311" i="2" s="1"/>
  <c r="X311" i="2" s="1"/>
  <c r="V312" i="2"/>
  <c r="W312" i="2" s="1"/>
  <c r="X312" i="2" s="1"/>
  <c r="V313" i="2"/>
  <c r="W313" i="2" s="1"/>
  <c r="X313" i="2" s="1"/>
  <c r="V314" i="2"/>
  <c r="W314" i="2" s="1"/>
  <c r="X314" i="2" s="1"/>
  <c r="V315" i="2"/>
  <c r="W315" i="2" s="1"/>
  <c r="X315" i="2" s="1"/>
  <c r="V317" i="2"/>
  <c r="W317" i="2" s="1"/>
  <c r="V318" i="2"/>
  <c r="W318" i="2" s="1"/>
  <c r="V319" i="2"/>
  <c r="W319" i="2" s="1"/>
  <c r="V320" i="2"/>
  <c r="W320" i="2" s="1"/>
  <c r="V321" i="2"/>
  <c r="W321" i="2" s="1"/>
  <c r="V322" i="2"/>
  <c r="W322" i="2" s="1"/>
  <c r="V323" i="2"/>
  <c r="W323" i="2" s="1"/>
  <c r="V324" i="2"/>
  <c r="W324" i="2" s="1"/>
  <c r="V325" i="2"/>
  <c r="W325" i="2" s="1"/>
  <c r="V337" i="2"/>
  <c r="V338" i="2"/>
  <c r="V339" i="2"/>
  <c r="V340" i="2"/>
  <c r="V341" i="2"/>
  <c r="V342" i="2"/>
  <c r="V343" i="2"/>
  <c r="V344" i="2"/>
  <c r="V345" i="2"/>
  <c r="V387" i="2"/>
  <c r="W387" i="2" s="1"/>
  <c r="X387" i="2" s="1"/>
  <c r="V388" i="2"/>
  <c r="W388" i="2" s="1"/>
  <c r="X388" i="2" s="1"/>
  <c r="V389" i="2"/>
  <c r="W389" i="2" s="1"/>
  <c r="X389" i="2" s="1"/>
  <c r="V390" i="2"/>
  <c r="W390" i="2" s="1"/>
  <c r="X390" i="2" s="1"/>
  <c r="V391" i="2"/>
  <c r="W391" i="2" s="1"/>
  <c r="X391" i="2" s="1"/>
  <c r="V392" i="2"/>
  <c r="W392" i="2" s="1"/>
  <c r="X392" i="2" s="1"/>
  <c r="V393" i="2"/>
  <c r="W393" i="2" s="1"/>
  <c r="X393" i="2" s="1"/>
  <c r="V394" i="2"/>
  <c r="W394" i="2" s="1"/>
  <c r="X394" i="2" s="1"/>
  <c r="V395" i="2"/>
  <c r="W395" i="2" s="1"/>
  <c r="X395" i="2" s="1"/>
  <c r="V397" i="2"/>
  <c r="W397" i="2" s="1"/>
  <c r="X397" i="2" s="1"/>
  <c r="V398" i="2"/>
  <c r="W398" i="2" s="1"/>
  <c r="X398" i="2" s="1"/>
  <c r="V399" i="2"/>
  <c r="W399" i="2" s="1"/>
  <c r="X399" i="2" s="1"/>
  <c r="V400" i="2"/>
  <c r="W400" i="2" s="1"/>
  <c r="X400" i="2" s="1"/>
  <c r="V401" i="2"/>
  <c r="W401" i="2" s="1"/>
  <c r="X401" i="2" s="1"/>
  <c r="V402" i="2"/>
  <c r="W402" i="2" s="1"/>
  <c r="X402" i="2" s="1"/>
  <c r="V403" i="2"/>
  <c r="W403" i="2" s="1"/>
  <c r="X403" i="2" s="1"/>
  <c r="V404" i="2"/>
  <c r="W404" i="2" s="1"/>
  <c r="X404" i="2" s="1"/>
  <c r="V405" i="2"/>
  <c r="W405" i="2" s="1"/>
  <c r="X405" i="2" s="1"/>
  <c r="V407" i="2"/>
  <c r="W407" i="2" s="1"/>
  <c r="X407" i="2" s="1"/>
  <c r="V408" i="2"/>
  <c r="W408" i="2" s="1"/>
  <c r="X408" i="2" s="1"/>
  <c r="V409" i="2"/>
  <c r="W409" i="2" s="1"/>
  <c r="X409" i="2" s="1"/>
  <c r="V410" i="2"/>
  <c r="W410" i="2" s="1"/>
  <c r="X410" i="2" s="1"/>
  <c r="V411" i="2"/>
  <c r="W411" i="2" s="1"/>
  <c r="X411" i="2" s="1"/>
  <c r="V412" i="2"/>
  <c r="W412" i="2" s="1"/>
  <c r="X412" i="2" s="1"/>
  <c r="V413" i="2"/>
  <c r="W413" i="2" s="1"/>
  <c r="X413" i="2" s="1"/>
  <c r="V414" i="2"/>
  <c r="W414" i="2" s="1"/>
  <c r="X414" i="2" s="1"/>
  <c r="V415" i="2"/>
  <c r="W415" i="2" s="1"/>
  <c r="X415" i="2" s="1"/>
  <c r="V417" i="2"/>
  <c r="W417" i="2" s="1"/>
  <c r="X417" i="2" s="1"/>
  <c r="V418" i="2"/>
  <c r="W418" i="2" s="1"/>
  <c r="X418" i="2" s="1"/>
  <c r="V419" i="2"/>
  <c r="W419" i="2" s="1"/>
  <c r="X419" i="2" s="1"/>
  <c r="V420" i="2"/>
  <c r="W420" i="2" s="1"/>
  <c r="X420" i="2" s="1"/>
  <c r="V421" i="2"/>
  <c r="W421" i="2" s="1"/>
  <c r="X421" i="2" s="1"/>
  <c r="V422" i="2"/>
  <c r="W422" i="2" s="1"/>
  <c r="X422" i="2" s="1"/>
  <c r="V423" i="2"/>
  <c r="W423" i="2" s="1"/>
  <c r="X423" i="2" s="1"/>
  <c r="V424" i="2"/>
  <c r="W424" i="2" s="1"/>
  <c r="X424" i="2" s="1"/>
  <c r="V425" i="2"/>
  <c r="W425" i="2" s="1"/>
  <c r="X425" i="2" s="1"/>
  <c r="V427" i="2"/>
  <c r="W427" i="2" s="1"/>
  <c r="V428" i="2"/>
  <c r="W428" i="2" s="1"/>
  <c r="X428" i="2" s="1"/>
  <c r="X438" i="2" s="1"/>
  <c r="V429" i="2"/>
  <c r="W429" i="2" s="1"/>
  <c r="X429" i="2" s="1"/>
  <c r="X439" i="2" s="1"/>
  <c r="V430" i="2"/>
  <c r="W430" i="2" s="1"/>
  <c r="X430" i="2" s="1"/>
  <c r="X440" i="2" s="1"/>
  <c r="V431" i="2"/>
  <c r="W431" i="2" s="1"/>
  <c r="X431" i="2" s="1"/>
  <c r="X441" i="2" s="1"/>
  <c r="V432" i="2"/>
  <c r="W432" i="2" s="1"/>
  <c r="X432" i="2" s="1"/>
  <c r="X442" i="2" s="1"/>
  <c r="V433" i="2"/>
  <c r="W433" i="2" s="1"/>
  <c r="X433" i="2" s="1"/>
  <c r="V434" i="2"/>
  <c r="W434" i="2" s="1"/>
  <c r="X434" i="2" s="1"/>
  <c r="X444" i="2" s="1"/>
  <c r="V435" i="2"/>
  <c r="W435" i="2" s="1"/>
  <c r="X435" i="2" s="1"/>
  <c r="X445" i="2" s="1"/>
  <c r="V447" i="2"/>
  <c r="V448" i="2"/>
  <c r="V449" i="2"/>
  <c r="V450" i="2"/>
  <c r="V451" i="2"/>
  <c r="V452" i="2"/>
  <c r="V453" i="2"/>
  <c r="V454" i="2"/>
  <c r="V455" i="2"/>
  <c r="V467" i="2"/>
  <c r="V468" i="2"/>
  <c r="V469" i="2"/>
  <c r="V470" i="2"/>
  <c r="V471" i="2"/>
  <c r="V472" i="2"/>
  <c r="V473" i="2"/>
  <c r="V474" i="2"/>
  <c r="V475" i="2"/>
  <c r="T497" i="2"/>
  <c r="V497" i="2" s="1"/>
  <c r="W497" i="2" s="1"/>
  <c r="X497" i="2" s="1"/>
  <c r="T498" i="2"/>
  <c r="T504" i="2" s="1"/>
  <c r="C3" i="9"/>
  <c r="B16" i="9" s="1"/>
  <c r="C4" i="9"/>
  <c r="C16" i="9" s="1"/>
  <c r="C6" i="9"/>
  <c r="C7" i="9"/>
  <c r="E16" i="9" s="1"/>
  <c r="A17" i="9"/>
  <c r="A18" i="9" s="1"/>
  <c r="A19" i="9" s="1"/>
  <c r="A20" i="9" s="1"/>
  <c r="A21" i="9" s="1"/>
  <c r="A22" i="9" s="1"/>
  <c r="A23" i="9" s="1"/>
  <c r="A24" i="9" s="1"/>
  <c r="A25" i="9" s="1"/>
  <c r="A26" i="9" s="1"/>
  <c r="A27" i="9" s="1"/>
  <c r="A28" i="9" s="1"/>
  <c r="A29" i="9" s="1"/>
  <c r="A30" i="9" s="1"/>
  <c r="A31" i="9" s="1"/>
  <c r="A32" i="9" s="1"/>
  <c r="A33" i="9" s="1"/>
  <c r="B58" i="9"/>
  <c r="B59" i="9"/>
  <c r="B60" i="9"/>
  <c r="M80" i="9"/>
  <c r="F17" i="8"/>
  <c r="G23" i="8"/>
  <c r="G32" i="8"/>
  <c r="G33" i="8"/>
  <c r="H41" i="8"/>
  <c r="H42" i="8"/>
  <c r="H43" i="8"/>
  <c r="H44" i="8"/>
  <c r="B21" i="12"/>
  <c r="C21" i="15"/>
  <c r="C15" i="14"/>
  <c r="E21" i="17"/>
  <c r="G27" i="18"/>
  <c r="C21" i="20"/>
  <c r="D27" i="10"/>
  <c r="C15" i="10"/>
  <c r="B27" i="11"/>
  <c r="D21" i="11"/>
  <c r="G27" i="17"/>
  <c r="F26" i="17"/>
  <c r="F21" i="20"/>
  <c r="G23" i="13"/>
  <c r="E27" i="19"/>
  <c r="B21" i="14"/>
  <c r="D26" i="24"/>
  <c r="J22" i="19"/>
  <c r="G27" i="10"/>
  <c r="B21" i="10"/>
  <c r="B27" i="10"/>
  <c r="J27" i="10" s="1"/>
  <c r="E27" i="10"/>
  <c r="D21" i="10"/>
  <c r="G21" i="10"/>
  <c r="H22" i="13"/>
  <c r="G21" i="11"/>
  <c r="B21" i="11"/>
  <c r="F27" i="17"/>
  <c r="D27" i="13"/>
  <c r="C12" i="13"/>
  <c r="D21" i="13"/>
  <c r="F27" i="13"/>
  <c r="J23" i="17"/>
  <c r="C16" i="13"/>
  <c r="R332" i="7" l="1"/>
  <c r="AM444" i="6"/>
  <c r="AM409" i="6"/>
  <c r="AO403" i="6"/>
  <c r="B27" i="20"/>
  <c r="J26" i="15"/>
  <c r="C15" i="20"/>
  <c r="J27" i="21"/>
  <c r="B21" i="17"/>
  <c r="C27" i="11"/>
  <c r="B27" i="23"/>
  <c r="C15" i="13"/>
  <c r="C13" i="13" s="1"/>
  <c r="B21" i="23"/>
  <c r="J21" i="23" s="1"/>
  <c r="F26" i="18"/>
  <c r="E27" i="23"/>
  <c r="G27" i="20"/>
  <c r="C21" i="13"/>
  <c r="C15" i="18"/>
  <c r="E21" i="20"/>
  <c r="C13" i="20"/>
  <c r="D21" i="23"/>
  <c r="G27" i="24"/>
  <c r="C27" i="23"/>
  <c r="G21" i="20"/>
  <c r="J26" i="21"/>
  <c r="J26" i="22"/>
  <c r="G26" i="23"/>
  <c r="D26" i="20"/>
  <c r="F27" i="20"/>
  <c r="C21" i="23"/>
  <c r="C14" i="10"/>
  <c r="C17" i="13"/>
  <c r="H27" i="15"/>
  <c r="H23" i="15"/>
  <c r="H26" i="16"/>
  <c r="AK491" i="5"/>
  <c r="AK467" i="5"/>
  <c r="AK435" i="5"/>
  <c r="AK419" i="5"/>
  <c r="AK387" i="5"/>
  <c r="AK363" i="5"/>
  <c r="AK323" i="5"/>
  <c r="AK299" i="5"/>
  <c r="AK275" i="5"/>
  <c r="AK243" i="5"/>
  <c r="AK219" i="5"/>
  <c r="AK187" i="5"/>
  <c r="AK163" i="5"/>
  <c r="AK488" i="5"/>
  <c r="AK460" i="5"/>
  <c r="AK422" i="5"/>
  <c r="AK364" i="5"/>
  <c r="AK334" i="5"/>
  <c r="AK308" i="5"/>
  <c r="AK268" i="5"/>
  <c r="AK244" i="5"/>
  <c r="AK206" i="5"/>
  <c r="AK170" i="5"/>
  <c r="AK492" i="5"/>
  <c r="AK442" i="5"/>
  <c r="AK392" i="5"/>
  <c r="AK354" i="5"/>
  <c r="AK292" i="5"/>
  <c r="AK258" i="5"/>
  <c r="AK230" i="5"/>
  <c r="AK200" i="5"/>
  <c r="AK158" i="5"/>
  <c r="AK497" i="5"/>
  <c r="AK489" i="5"/>
  <c r="AK481" i="5"/>
  <c r="AK473" i="5"/>
  <c r="AK465" i="5"/>
  <c r="AK457" i="5"/>
  <c r="AK449" i="5"/>
  <c r="AK441" i="5"/>
  <c r="AK433" i="5"/>
  <c r="AK425" i="5"/>
  <c r="AK417" i="5"/>
  <c r="AK409" i="5"/>
  <c r="AK401" i="5"/>
  <c r="AK393" i="5"/>
  <c r="AK385" i="5"/>
  <c r="AK377" i="5"/>
  <c r="AK369" i="5"/>
  <c r="AK361" i="5"/>
  <c r="AK353" i="5"/>
  <c r="AK345" i="5"/>
  <c r="AK337" i="5"/>
  <c r="AK329" i="5"/>
  <c r="AK321" i="5"/>
  <c r="AK313" i="5"/>
  <c r="AK305" i="5"/>
  <c r="AK297" i="5"/>
  <c r="AK289" i="5"/>
  <c r="AK281" i="5"/>
  <c r="AK273" i="5"/>
  <c r="AK265" i="5"/>
  <c r="AK257" i="5"/>
  <c r="AK249" i="5"/>
  <c r="AK241" i="5"/>
  <c r="AK233" i="5"/>
  <c r="AK225" i="5"/>
  <c r="AK217" i="5"/>
  <c r="AK209" i="5"/>
  <c r="AK201" i="5"/>
  <c r="AK193" i="5"/>
  <c r="AK185" i="5"/>
  <c r="AK177" i="5"/>
  <c r="AK169" i="5"/>
  <c r="AK161" i="5"/>
  <c r="AK153" i="5"/>
  <c r="AK145" i="5"/>
  <c r="AK484" i="5"/>
  <c r="AK470" i="5"/>
  <c r="AK458" i="5"/>
  <c r="AK434" i="5"/>
  <c r="AK420" i="5"/>
  <c r="AK404" i="5"/>
  <c r="AK380" i="5"/>
  <c r="AK360" i="5"/>
  <c r="AK342" i="5"/>
  <c r="AK332" i="5"/>
  <c r="AK320" i="5"/>
  <c r="AK304" i="5"/>
  <c r="AK280" i="5"/>
  <c r="AK262" i="5"/>
  <c r="AK232" i="5"/>
  <c r="AK218" i="5"/>
  <c r="AK202" i="5"/>
  <c r="AK176" i="5"/>
  <c r="AK166" i="5"/>
  <c r="AK146" i="5"/>
  <c r="AK490" i="5"/>
  <c r="AK454" i="5"/>
  <c r="AK438" i="5"/>
  <c r="AK410" i="5"/>
  <c r="AK388" i="5"/>
  <c r="AK372" i="5"/>
  <c r="AK348" i="5"/>
  <c r="AK310" i="5"/>
  <c r="AK290" i="5"/>
  <c r="AK272" i="5"/>
  <c r="AK254" i="5"/>
  <c r="AK238" i="5"/>
  <c r="AK220" i="5"/>
  <c r="AK196" i="5"/>
  <c r="AK184" i="5"/>
  <c r="AK152" i="5"/>
  <c r="AK501" i="5"/>
  <c r="AK475" i="5"/>
  <c r="AK443" i="5"/>
  <c r="AK411" i="5"/>
  <c r="AK379" i="5"/>
  <c r="AK347" i="5"/>
  <c r="AK331" i="5"/>
  <c r="AK291" i="5"/>
  <c r="AK259" i="5"/>
  <c r="AK235" i="5"/>
  <c r="AK203" i="5"/>
  <c r="AK171" i="5"/>
  <c r="AK147" i="5"/>
  <c r="AK472" i="5"/>
  <c r="AK440" i="5"/>
  <c r="AK390" i="5"/>
  <c r="AK350" i="5"/>
  <c r="AK322" i="5"/>
  <c r="AK288" i="5"/>
  <c r="AK222" i="5"/>
  <c r="AK178" i="5"/>
  <c r="AK154" i="5"/>
  <c r="AK462" i="5"/>
  <c r="AK418" i="5"/>
  <c r="AK374" i="5"/>
  <c r="AK318" i="5"/>
  <c r="AK274" i="5"/>
  <c r="AK242" i="5"/>
  <c r="AK495" i="5"/>
  <c r="AK487" i="5"/>
  <c r="AK479" i="5"/>
  <c r="AK471" i="5"/>
  <c r="AK463" i="5"/>
  <c r="AK455" i="5"/>
  <c r="AK447" i="5"/>
  <c r="AK439" i="5"/>
  <c r="AK431" i="5"/>
  <c r="AK423" i="5"/>
  <c r="AK415" i="5"/>
  <c r="AK407" i="5"/>
  <c r="AK399" i="5"/>
  <c r="AK391" i="5"/>
  <c r="AK383" i="5"/>
  <c r="AK375" i="5"/>
  <c r="AK367" i="5"/>
  <c r="AK359" i="5"/>
  <c r="AK351" i="5"/>
  <c r="AK343" i="5"/>
  <c r="AK335" i="5"/>
  <c r="AK327" i="5"/>
  <c r="AK319" i="5"/>
  <c r="AK311" i="5"/>
  <c r="AK303" i="5"/>
  <c r="AK295" i="5"/>
  <c r="AK287" i="5"/>
  <c r="AK279" i="5"/>
  <c r="AK271" i="5"/>
  <c r="AK263" i="5"/>
  <c r="AK255" i="5"/>
  <c r="AK247" i="5"/>
  <c r="AK239" i="5"/>
  <c r="AK231" i="5"/>
  <c r="AK223" i="5"/>
  <c r="AK215" i="5"/>
  <c r="AK207" i="5"/>
  <c r="AK199" i="5"/>
  <c r="AK191" i="5"/>
  <c r="AK183" i="5"/>
  <c r="AK175" i="5"/>
  <c r="AK167" i="5"/>
  <c r="AK159" i="5"/>
  <c r="AK151" i="5"/>
  <c r="AK502" i="5"/>
  <c r="AK478" i="5"/>
  <c r="AK468" i="5"/>
  <c r="AK450" i="5"/>
  <c r="AK430" i="5"/>
  <c r="AK414" i="5"/>
  <c r="AK402" i="5"/>
  <c r="AK378" i="5"/>
  <c r="AK358" i="5"/>
  <c r="AK340" i="5"/>
  <c r="AK328" i="5"/>
  <c r="AK314" i="5"/>
  <c r="AK300" i="5"/>
  <c r="AK278" i="5"/>
  <c r="AK256" i="5"/>
  <c r="AK226" i="5"/>
  <c r="AK212" i="5"/>
  <c r="AK198" i="5"/>
  <c r="AK174" i="5"/>
  <c r="AK162" i="5"/>
  <c r="AK500" i="5"/>
  <c r="AK482" i="5"/>
  <c r="AK452" i="5"/>
  <c r="AK432" i="5"/>
  <c r="AK400" i="5"/>
  <c r="AK384" i="5"/>
  <c r="AK370" i="5"/>
  <c r="AK344" i="5"/>
  <c r="AK302" i="5"/>
  <c r="AK284" i="5"/>
  <c r="AK266" i="5"/>
  <c r="AK248" i="5"/>
  <c r="AK236" i="5"/>
  <c r="AK214" i="5"/>
  <c r="AK194" i="5"/>
  <c r="AK182" i="5"/>
  <c r="AK150" i="5"/>
  <c r="AK483" i="5"/>
  <c r="AK459" i="5"/>
  <c r="AK451" i="5"/>
  <c r="AK427" i="5"/>
  <c r="AK403" i="5"/>
  <c r="AK395" i="5"/>
  <c r="AK371" i="5"/>
  <c r="AK355" i="5"/>
  <c r="AK339" i="5"/>
  <c r="AK315" i="5"/>
  <c r="AK307" i="5"/>
  <c r="AK283" i="5"/>
  <c r="AK267" i="5"/>
  <c r="AK251" i="5"/>
  <c r="AK227" i="5"/>
  <c r="AK211" i="5"/>
  <c r="AK195" i="5"/>
  <c r="AK179" i="5"/>
  <c r="AK155" i="5"/>
  <c r="AK408" i="5"/>
  <c r="AK188" i="5"/>
  <c r="AK493" i="5"/>
  <c r="AK485" i="5"/>
  <c r="AK477" i="5"/>
  <c r="AK469" i="5"/>
  <c r="AK461" i="5"/>
  <c r="AK453" i="5"/>
  <c r="AK445" i="5"/>
  <c r="AK437" i="5"/>
  <c r="AK429" i="5"/>
  <c r="AK421" i="5"/>
  <c r="AK413" i="5"/>
  <c r="AK405" i="5"/>
  <c r="AK397" i="5"/>
  <c r="AK389" i="5"/>
  <c r="AK381" i="5"/>
  <c r="AK373" i="5"/>
  <c r="AK365" i="5"/>
  <c r="AK357" i="5"/>
  <c r="AK349" i="5"/>
  <c r="AK341" i="5"/>
  <c r="AK333" i="5"/>
  <c r="AK325" i="5"/>
  <c r="AK317" i="5"/>
  <c r="AK309" i="5"/>
  <c r="AK301" i="5"/>
  <c r="AK293" i="5"/>
  <c r="AK285" i="5"/>
  <c r="AK277" i="5"/>
  <c r="AK269" i="5"/>
  <c r="AK261" i="5"/>
  <c r="AK253" i="5"/>
  <c r="AK245" i="5"/>
  <c r="AK237" i="5"/>
  <c r="AK229" i="5"/>
  <c r="AK221" i="5"/>
  <c r="AK213" i="5"/>
  <c r="AK205" i="5"/>
  <c r="AK197" i="5"/>
  <c r="AK189" i="5"/>
  <c r="AK181" i="5"/>
  <c r="AK173" i="5"/>
  <c r="AK165" i="5"/>
  <c r="AK157" i="5"/>
  <c r="AK149" i="5"/>
  <c r="AK498" i="5"/>
  <c r="AK474" i="5"/>
  <c r="AK464" i="5"/>
  <c r="AK444" i="5"/>
  <c r="AK428" i="5"/>
  <c r="AK412" i="5"/>
  <c r="AK394" i="5"/>
  <c r="AK368" i="5"/>
  <c r="AK352" i="5"/>
  <c r="AK338" i="5"/>
  <c r="AK324" i="5"/>
  <c r="AK312" i="5"/>
  <c r="AK294" i="5"/>
  <c r="AK270" i="5"/>
  <c r="AK250" i="5"/>
  <c r="AK224" i="5"/>
  <c r="AK210" i="5"/>
  <c r="AK186" i="5"/>
  <c r="AK172" i="5"/>
  <c r="AK160" i="5"/>
  <c r="AK494" i="5"/>
  <c r="AK480" i="5"/>
  <c r="AK448" i="5"/>
  <c r="AK424" i="5"/>
  <c r="AK398" i="5"/>
  <c r="AK382" i="5"/>
  <c r="AK362" i="5"/>
  <c r="AK330" i="5"/>
  <c r="AK298" i="5"/>
  <c r="AK282" i="5"/>
  <c r="AK260" i="5"/>
  <c r="AK246" i="5"/>
  <c r="AK234" i="5"/>
  <c r="AK208" i="5"/>
  <c r="AK190" i="5"/>
  <c r="AK164" i="5"/>
  <c r="AK148" i="5"/>
  <c r="G21" i="14"/>
  <c r="G26" i="14"/>
  <c r="B26" i="19"/>
  <c r="F27" i="18"/>
  <c r="J22" i="12"/>
  <c r="C27" i="14"/>
  <c r="C12" i="18"/>
  <c r="H22" i="12"/>
  <c r="AO424" i="6"/>
  <c r="F21" i="11"/>
  <c r="AM488" i="6"/>
  <c r="B13" i="22"/>
  <c r="C13" i="22" s="1"/>
  <c r="D17" i="22" s="1"/>
  <c r="G21" i="18"/>
  <c r="D21" i="18"/>
  <c r="J21" i="12"/>
  <c r="E21" i="11"/>
  <c r="H21" i="11" s="1"/>
  <c r="H27" i="12"/>
  <c r="J27" i="16"/>
  <c r="J26" i="16"/>
  <c r="H23" i="16"/>
  <c r="B17" i="25"/>
  <c r="C17" i="25" s="1"/>
  <c r="D17" i="25" s="1"/>
  <c r="F27" i="11"/>
  <c r="AM425" i="6"/>
  <c r="B26" i="18"/>
  <c r="E21" i="18"/>
  <c r="H21" i="12"/>
  <c r="D17" i="12"/>
  <c r="J22" i="13"/>
  <c r="E21" i="14"/>
  <c r="H21" i="14" s="1"/>
  <c r="I24" i="14" s="1"/>
  <c r="D26" i="18"/>
  <c r="C14" i="18"/>
  <c r="B17" i="20"/>
  <c r="C17" i="20" s="1"/>
  <c r="C12" i="20"/>
  <c r="H21" i="21"/>
  <c r="I24" i="21" s="1"/>
  <c r="J21" i="22"/>
  <c r="C14" i="23"/>
  <c r="C16" i="23"/>
  <c r="B17" i="23"/>
  <c r="C17" i="23" s="1"/>
  <c r="J21" i="11"/>
  <c r="J27" i="23"/>
  <c r="H21" i="20"/>
  <c r="H26" i="17"/>
  <c r="AM474" i="6"/>
  <c r="AO478" i="6"/>
  <c r="AM477" i="6"/>
  <c r="C15" i="11"/>
  <c r="C13" i="11" s="1"/>
  <c r="C17" i="11"/>
  <c r="AO459" i="6"/>
  <c r="AO414" i="6"/>
  <c r="H22" i="16"/>
  <c r="E26" i="19"/>
  <c r="C27" i="13"/>
  <c r="J27" i="13" s="1"/>
  <c r="G27" i="13"/>
  <c r="H27" i="13" s="1"/>
  <c r="B26" i="20"/>
  <c r="C26" i="20"/>
  <c r="G27" i="11"/>
  <c r="G67" i="9"/>
  <c r="H23" i="10"/>
  <c r="E27" i="11"/>
  <c r="J27" i="11" s="1"/>
  <c r="C12" i="17"/>
  <c r="D27" i="20"/>
  <c r="J27" i="20" s="1"/>
  <c r="B21" i="20"/>
  <c r="E26" i="24"/>
  <c r="B21" i="13"/>
  <c r="C14" i="13"/>
  <c r="D17" i="13" s="1"/>
  <c r="C12" i="11"/>
  <c r="AM501" i="6"/>
  <c r="AO488" i="6"/>
  <c r="AO401" i="6"/>
  <c r="E27" i="14"/>
  <c r="C27" i="18"/>
  <c r="C12" i="10"/>
  <c r="C13" i="10"/>
  <c r="D17" i="10" s="1"/>
  <c r="AM14" i="2" s="1"/>
  <c r="AO389" i="6"/>
  <c r="D26" i="23"/>
  <c r="J26" i="23" s="1"/>
  <c r="C15" i="19"/>
  <c r="E26" i="18"/>
  <c r="E23" i="13"/>
  <c r="C23" i="13" s="1"/>
  <c r="F26" i="20"/>
  <c r="G27" i="19"/>
  <c r="C17" i="10"/>
  <c r="G26" i="20"/>
  <c r="G26" i="19"/>
  <c r="D27" i="17"/>
  <c r="E21" i="10"/>
  <c r="J23" i="10"/>
  <c r="C21" i="10"/>
  <c r="C23" i="11"/>
  <c r="J23" i="11" s="1"/>
  <c r="C16" i="11"/>
  <c r="B16" i="11"/>
  <c r="J27" i="12"/>
  <c r="J27" i="15"/>
  <c r="H26" i="15"/>
  <c r="J22" i="16"/>
  <c r="H23" i="17"/>
  <c r="G21" i="17"/>
  <c r="B17" i="18"/>
  <c r="C17" i="18" s="1"/>
  <c r="E26" i="20"/>
  <c r="D21" i="20"/>
  <c r="H21" i="22"/>
  <c r="I24" i="22" s="1"/>
  <c r="C15" i="23"/>
  <c r="C12" i="23"/>
  <c r="C13" i="24"/>
  <c r="H22" i="15"/>
  <c r="H24" i="11"/>
  <c r="H22" i="19"/>
  <c r="E27" i="20"/>
  <c r="H23" i="20"/>
  <c r="C16" i="20"/>
  <c r="C14" i="20"/>
  <c r="H27" i="21"/>
  <c r="H26" i="21"/>
  <c r="J21" i="21"/>
  <c r="H27" i="22"/>
  <c r="H26" i="22"/>
  <c r="H27" i="25"/>
  <c r="J26" i="25"/>
  <c r="J22" i="25"/>
  <c r="X433" i="6"/>
  <c r="X443" i="6" s="1"/>
  <c r="B69" i="9"/>
  <c r="G68" i="9"/>
  <c r="AL482" i="6"/>
  <c r="AL474" i="6"/>
  <c r="AL425" i="6"/>
  <c r="H23" i="11"/>
  <c r="AM337" i="2"/>
  <c r="AN337" i="2" s="1"/>
  <c r="AM348" i="2"/>
  <c r="AN348" i="2" s="1"/>
  <c r="Z348" i="2" s="1"/>
  <c r="AO317" i="2"/>
  <c r="AO290" i="2"/>
  <c r="AM374" i="2"/>
  <c r="AN374" i="2" s="1"/>
  <c r="Z374" i="2" s="1"/>
  <c r="AM384" i="2"/>
  <c r="AO338" i="2"/>
  <c r="AM283" i="2"/>
  <c r="AM297" i="2"/>
  <c r="I24" i="12"/>
  <c r="AL317" i="2" s="1"/>
  <c r="AM301" i="2"/>
  <c r="AO307" i="2"/>
  <c r="AM379" i="2"/>
  <c r="AL288" i="2"/>
  <c r="X433" i="5"/>
  <c r="X443" i="5" s="1"/>
  <c r="AL498" i="6"/>
  <c r="AO498" i="6"/>
  <c r="AM498" i="6"/>
  <c r="AL501" i="6"/>
  <c r="AL403" i="6"/>
  <c r="X443" i="2"/>
  <c r="AO474" i="6"/>
  <c r="AM389" i="6"/>
  <c r="D27" i="19"/>
  <c r="AM487" i="6"/>
  <c r="D21" i="19"/>
  <c r="AL494" i="6"/>
  <c r="AM422" i="6"/>
  <c r="AL404" i="6"/>
  <c r="AL447" i="6"/>
  <c r="AL450" i="6"/>
  <c r="AM433" i="6"/>
  <c r="AM398" i="6"/>
  <c r="AO434" i="6"/>
  <c r="AM423" i="6"/>
  <c r="AO453" i="6"/>
  <c r="F21" i="24"/>
  <c r="H26" i="25"/>
  <c r="B27" i="14"/>
  <c r="D27" i="14"/>
  <c r="C21" i="19"/>
  <c r="B21" i="15"/>
  <c r="B17" i="24"/>
  <c r="C17" i="24" s="1"/>
  <c r="B27" i="19"/>
  <c r="B21" i="25"/>
  <c r="H21" i="25" s="1"/>
  <c r="G26" i="18"/>
  <c r="D26" i="14"/>
  <c r="J23" i="16"/>
  <c r="D21" i="16"/>
  <c r="J21" i="16" s="1"/>
  <c r="D27" i="18"/>
  <c r="C13" i="18"/>
  <c r="C13" i="19"/>
  <c r="C14" i="19"/>
  <c r="J27" i="22"/>
  <c r="G26" i="24"/>
  <c r="C16" i="24"/>
  <c r="C21" i="24"/>
  <c r="AL479" i="6"/>
  <c r="AL464" i="6"/>
  <c r="AO501" i="6"/>
  <c r="AM464" i="6"/>
  <c r="AM403" i="6"/>
  <c r="AO464" i="6"/>
  <c r="T325" i="7"/>
  <c r="U325" i="7" s="1"/>
  <c r="V325" i="7" s="1"/>
  <c r="J27" i="25"/>
  <c r="AM413" i="6"/>
  <c r="AL430" i="6"/>
  <c r="AO493" i="6"/>
  <c r="AM481" i="6"/>
  <c r="AL500" i="6"/>
  <c r="AO484" i="6"/>
  <c r="AO415" i="6"/>
  <c r="AO483" i="6"/>
  <c r="AL448" i="6"/>
  <c r="AO417" i="6"/>
  <c r="AO480" i="6"/>
  <c r="AO437" i="6"/>
  <c r="AL405" i="6"/>
  <c r="AL435" i="6"/>
  <c r="AO400" i="6"/>
  <c r="B27" i="24"/>
  <c r="H22" i="25"/>
  <c r="G27" i="14"/>
  <c r="C14" i="14"/>
  <c r="F21" i="14"/>
  <c r="E27" i="18"/>
  <c r="H27" i="18" s="1"/>
  <c r="J22" i="15"/>
  <c r="AL471" i="6"/>
  <c r="C17" i="14"/>
  <c r="H22" i="10"/>
  <c r="B17" i="14"/>
  <c r="B21" i="18"/>
  <c r="C21" i="18"/>
  <c r="C27" i="19"/>
  <c r="D27" i="24"/>
  <c r="C26" i="24"/>
  <c r="AL488" i="6"/>
  <c r="H27" i="16"/>
  <c r="AM462" i="6"/>
  <c r="AO468" i="6"/>
  <c r="AL428" i="6"/>
  <c r="AO411" i="6"/>
  <c r="AM475" i="6"/>
  <c r="AM442" i="6"/>
  <c r="AM407" i="6"/>
  <c r="AM472" i="6"/>
  <c r="AM408" i="6"/>
  <c r="AM432" i="6"/>
  <c r="AO458" i="6"/>
  <c r="AO427" i="6"/>
  <c r="AM391" i="6"/>
  <c r="B21" i="24"/>
  <c r="E27" i="24"/>
  <c r="H21" i="16"/>
  <c r="AO490" i="6"/>
  <c r="F27" i="14"/>
  <c r="C12" i="14"/>
  <c r="C16" i="14"/>
  <c r="B27" i="18"/>
  <c r="J23" i="20"/>
  <c r="C27" i="24"/>
  <c r="B26" i="24"/>
  <c r="C14" i="24"/>
  <c r="D21" i="24"/>
  <c r="I24" i="16"/>
  <c r="AM500" i="6"/>
  <c r="AO405" i="6"/>
  <c r="AM483" i="6"/>
  <c r="AO435" i="6"/>
  <c r="AO451" i="6"/>
  <c r="AO448" i="6"/>
  <c r="AO421" i="6"/>
  <c r="AL441" i="6"/>
  <c r="AL480" i="6"/>
  <c r="AL484" i="6"/>
  <c r="AL389" i="6"/>
  <c r="AO425" i="6"/>
  <c r="AO445" i="6"/>
  <c r="J21" i="20"/>
  <c r="C16" i="17"/>
  <c r="C14" i="17"/>
  <c r="D17" i="15"/>
  <c r="C12" i="19"/>
  <c r="B21" i="19"/>
  <c r="G21" i="19"/>
  <c r="H27" i="10"/>
  <c r="AM447" i="6"/>
  <c r="AM419" i="6"/>
  <c r="AM469" i="6"/>
  <c r="AO500" i="6"/>
  <c r="AM405" i="6"/>
  <c r="AM484" i="6"/>
  <c r="AL483" i="6"/>
  <c r="AO455" i="6"/>
  <c r="AM497" i="6"/>
  <c r="AL462" i="6"/>
  <c r="AM480" i="6"/>
  <c r="AM435" i="6"/>
  <c r="AM448" i="6"/>
  <c r="AM429" i="6"/>
  <c r="AM428" i="6"/>
  <c r="AO447" i="6"/>
  <c r="AO492" i="6"/>
  <c r="AM489" i="6"/>
  <c r="H27" i="23"/>
  <c r="D17" i="16"/>
  <c r="D21" i="17"/>
  <c r="F21" i="17"/>
  <c r="B27" i="17"/>
  <c r="C17" i="17"/>
  <c r="G69" i="9"/>
  <c r="F27" i="24"/>
  <c r="B59" i="8"/>
  <c r="A4382" i="26"/>
  <c r="A4383" i="26" s="1"/>
  <c r="A4384" i="26" s="1"/>
  <c r="A4385" i="26" s="1"/>
  <c r="A4386" i="26" s="1"/>
  <c r="A4387" i="26" s="1"/>
  <c r="A4388" i="26" s="1"/>
  <c r="A4389" i="26" s="1"/>
  <c r="A4390" i="26" s="1"/>
  <c r="A4391" i="26" s="1"/>
  <c r="A4392" i="26" s="1"/>
  <c r="A4393" i="26" s="1"/>
  <c r="A4394" i="26" s="1"/>
  <c r="A4395" i="26" s="1"/>
  <c r="A4396" i="26" s="1"/>
  <c r="A4397" i="26" s="1"/>
  <c r="A4398" i="26" s="1"/>
  <c r="A4399" i="26" s="1"/>
  <c r="A4400" i="26" s="1"/>
  <c r="A4401" i="26" s="1"/>
  <c r="A4402" i="26" s="1"/>
  <c r="A4403" i="26" s="1"/>
  <c r="A4404" i="26" s="1"/>
  <c r="A4405" i="26" s="1"/>
  <c r="A4406" i="26" s="1"/>
  <c r="A4407" i="26" s="1"/>
  <c r="A4408" i="26" s="1"/>
  <c r="A4409" i="26" s="1"/>
  <c r="A4410" i="26" s="1"/>
  <c r="A4411" i="26" s="1"/>
  <c r="A4412" i="26" s="1"/>
  <c r="A4413" i="26" s="1"/>
  <c r="A4414" i="26" s="1"/>
  <c r="A4415" i="26" s="1"/>
  <c r="A4416" i="26" s="1"/>
  <c r="A4417" i="26" s="1"/>
  <c r="A4418" i="26" s="1"/>
  <c r="A4419" i="26" s="1"/>
  <c r="A4420" i="26" s="1"/>
  <c r="A4421" i="26" s="1"/>
  <c r="A4422" i="26" s="1"/>
  <c r="A4423" i="26" s="1"/>
  <c r="A4424" i="26" s="1"/>
  <c r="A4425" i="26" s="1"/>
  <c r="A4426" i="26" s="1"/>
  <c r="A4427" i="26" s="1"/>
  <c r="A4428" i="26" s="1"/>
  <c r="A4429" i="26" s="1"/>
  <c r="A4430" i="26" s="1"/>
  <c r="A4431" i="26" s="1"/>
  <c r="A4432" i="26" s="1"/>
  <c r="A4433" i="26" s="1"/>
  <c r="A4434" i="26" s="1"/>
  <c r="A4435" i="26" s="1"/>
  <c r="A4436" i="26" s="1"/>
  <c r="A4437" i="26" s="1"/>
  <c r="A4438" i="26" s="1"/>
  <c r="A4439" i="26" s="1"/>
  <c r="A4440" i="26" s="1"/>
  <c r="A4441" i="26" s="1"/>
  <c r="A4442" i="26" s="1"/>
  <c r="A4443" i="26" s="1"/>
  <c r="A4444" i="26" s="1"/>
  <c r="A4445" i="26" s="1"/>
  <c r="A4446" i="26" s="1"/>
  <c r="A4447" i="26" s="1"/>
  <c r="A4448" i="26" s="1"/>
  <c r="A4449" i="26" s="1"/>
  <c r="A4450" i="26" s="1"/>
  <c r="A4451" i="26" s="1"/>
  <c r="A4452" i="26" s="1"/>
  <c r="A4453" i="26" s="1"/>
  <c r="A4454" i="26" s="1"/>
  <c r="A4455" i="26" s="1"/>
  <c r="A4456" i="26" s="1"/>
  <c r="A4457" i="26" s="1"/>
  <c r="A4458" i="26" s="1"/>
  <c r="A4459" i="26" s="1"/>
  <c r="A4460" i="26" s="1"/>
  <c r="A4461" i="26" s="1"/>
  <c r="A4462" i="26" s="1"/>
  <c r="A4463" i="26" s="1"/>
  <c r="A4464" i="26" s="1"/>
  <c r="A4465" i="26" s="1"/>
  <c r="A4466" i="26" s="1"/>
  <c r="A4467" i="26" s="1"/>
  <c r="A4468" i="26" s="1"/>
  <c r="A4469" i="26" s="1"/>
  <c r="A4470" i="26" s="1"/>
  <c r="A4471" i="26" s="1"/>
  <c r="A4472" i="26" s="1"/>
  <c r="A4473" i="26" s="1"/>
  <c r="A4474" i="26" s="1"/>
  <c r="A4475" i="26" s="1"/>
  <c r="A4476" i="26" s="1"/>
  <c r="A4477" i="26" s="1"/>
  <c r="A4478" i="26" s="1"/>
  <c r="A4479" i="26" s="1"/>
  <c r="A4480" i="26" s="1"/>
  <c r="A4481" i="26" s="1"/>
  <c r="A4482" i="26" s="1"/>
  <c r="A4483" i="26" s="1"/>
  <c r="A4484" i="26" s="1"/>
  <c r="A4485" i="26" s="1"/>
  <c r="A4486" i="26" s="1"/>
  <c r="A4487" i="26" s="1"/>
  <c r="A4488" i="26" s="1"/>
  <c r="A4489" i="26" s="1"/>
  <c r="A4490" i="26" s="1"/>
  <c r="A4491" i="26" s="1"/>
  <c r="A4492" i="26" s="1"/>
  <c r="A4493" i="26" s="1"/>
  <c r="A4494" i="26" s="1"/>
  <c r="A4495" i="26" s="1"/>
  <c r="A4496" i="26" s="1"/>
  <c r="A4497" i="26" s="1"/>
  <c r="A4498" i="26" s="1"/>
  <c r="A4499" i="26" s="1"/>
  <c r="A4500" i="26" s="1"/>
  <c r="A4501" i="26" s="1"/>
  <c r="A4502" i="26" s="1"/>
  <c r="A4503" i="26" s="1"/>
  <c r="A4504" i="26" s="1"/>
  <c r="A4505" i="26" s="1"/>
  <c r="A4506" i="26" s="1"/>
  <c r="A4507" i="26" s="1"/>
  <c r="A4508" i="26" s="1"/>
  <c r="A4509" i="26" s="1"/>
  <c r="A4510" i="26" s="1"/>
  <c r="A4511" i="26" s="1"/>
  <c r="A4512" i="26" s="1"/>
  <c r="A4513" i="26" s="1"/>
  <c r="A4514" i="26" s="1"/>
  <c r="A4515" i="26" s="1"/>
  <c r="A4516" i="26" s="1"/>
  <c r="A4517" i="26" s="1"/>
  <c r="A4518" i="26" s="1"/>
  <c r="A4519" i="26" s="1"/>
  <c r="A4520" i="26" s="1"/>
  <c r="A4521" i="26" s="1"/>
  <c r="A4522" i="26" s="1"/>
  <c r="A4523" i="26" s="1"/>
  <c r="A4524" i="26" s="1"/>
  <c r="A4525" i="26" s="1"/>
  <c r="A4526" i="26" s="1"/>
  <c r="A4527" i="26" s="1"/>
  <c r="A4528" i="26" s="1"/>
  <c r="A4529" i="26" s="1"/>
  <c r="A4530" i="26" s="1"/>
  <c r="A4531" i="26" s="1"/>
  <c r="A4532" i="26" s="1"/>
  <c r="A4533" i="26" s="1"/>
  <c r="A4534" i="26" s="1"/>
  <c r="A4535" i="26" s="1"/>
  <c r="A4536" i="26" s="1"/>
  <c r="A4537" i="26" s="1"/>
  <c r="A4538" i="26" s="1"/>
  <c r="A4539" i="26" s="1"/>
  <c r="A4540" i="26" s="1"/>
  <c r="A4541" i="26" s="1"/>
  <c r="A4542" i="26" s="1"/>
  <c r="A4543" i="26" s="1"/>
  <c r="A4544" i="26" s="1"/>
  <c r="A4545" i="26" s="1"/>
  <c r="A4546" i="26" s="1"/>
  <c r="A4547" i="26" s="1"/>
  <c r="A4548" i="26" s="1"/>
  <c r="A4549" i="26" s="1"/>
  <c r="A4550" i="26" s="1"/>
  <c r="A4551" i="26" s="1"/>
  <c r="A4552" i="26" s="1"/>
  <c r="A4553" i="26" s="1"/>
  <c r="A4554" i="26" s="1"/>
  <c r="A4555" i="26" s="1"/>
  <c r="A4556" i="26" s="1"/>
  <c r="A4557" i="26" s="1"/>
  <c r="A4558" i="26" s="1"/>
  <c r="A4559" i="26" s="1"/>
  <c r="A4560" i="26" s="1"/>
  <c r="A4561" i="26" s="1"/>
  <c r="A4562" i="26" s="1"/>
  <c r="A4563" i="26" s="1"/>
  <c r="A4564" i="26" s="1"/>
  <c r="A4565" i="26" s="1"/>
  <c r="A4566" i="26" s="1"/>
  <c r="A4567" i="26" s="1"/>
  <c r="A4568" i="26" s="1"/>
  <c r="A4569" i="26" s="1"/>
  <c r="A4570" i="26" s="1"/>
  <c r="A4571" i="26" s="1"/>
  <c r="A4572" i="26" s="1"/>
  <c r="A4573" i="26" s="1"/>
  <c r="A4574" i="26" s="1"/>
  <c r="A4575" i="26" s="1"/>
  <c r="A4576" i="26" s="1"/>
  <c r="A4577" i="26" s="1"/>
  <c r="A4578" i="26" s="1"/>
  <c r="A4579" i="26" s="1"/>
  <c r="A4580" i="26" s="1"/>
  <c r="A4581" i="26" s="1"/>
  <c r="A4582" i="26" s="1"/>
  <c r="A4583" i="26" s="1"/>
  <c r="A4584" i="26" s="1"/>
  <c r="A4585" i="26" s="1"/>
  <c r="A4586" i="26" s="1"/>
  <c r="A4587" i="26" s="1"/>
  <c r="A4588" i="26" s="1"/>
  <c r="A4589" i="26" s="1"/>
  <c r="A4590" i="26" s="1"/>
  <c r="A4591" i="26" s="1"/>
  <c r="A4592" i="26" s="1"/>
  <c r="A4593" i="26" s="1"/>
  <c r="A4594" i="26" s="1"/>
  <c r="A4595" i="26" s="1"/>
  <c r="A4596" i="26" s="1"/>
  <c r="A4597" i="26" s="1"/>
  <c r="A4598" i="26" s="1"/>
  <c r="A4599" i="26" s="1"/>
  <c r="A4600" i="26" s="1"/>
  <c r="A4601" i="26" s="1"/>
  <c r="A4602" i="26" s="1"/>
  <c r="A4603" i="26" s="1"/>
  <c r="A4604" i="26" s="1"/>
  <c r="A4605" i="26" s="1"/>
  <c r="A4606" i="26" s="1"/>
  <c r="A4607" i="26" s="1"/>
  <c r="A4608" i="26" s="1"/>
  <c r="A4609" i="26" s="1"/>
  <c r="A4610" i="26" s="1"/>
  <c r="A4611" i="26" s="1"/>
  <c r="A4612" i="26" s="1"/>
  <c r="A4613" i="26" s="1"/>
  <c r="A4614" i="26" s="1"/>
  <c r="A4615" i="26" s="1"/>
  <c r="A4616" i="26" s="1"/>
  <c r="A4617" i="26" s="1"/>
  <c r="A4618" i="26" s="1"/>
  <c r="A4619" i="26" s="1"/>
  <c r="A4620" i="26" s="1"/>
  <c r="A4621" i="26" s="1"/>
  <c r="A4622" i="26" s="1"/>
  <c r="A4623" i="26" s="1"/>
  <c r="A4624" i="26" s="1"/>
  <c r="A4625" i="26" s="1"/>
  <c r="A4626" i="26" s="1"/>
  <c r="A4627" i="26" s="1"/>
  <c r="A4628" i="26" s="1"/>
  <c r="A4629" i="26" s="1"/>
  <c r="A4630" i="26" s="1"/>
  <c r="A4631" i="26" s="1"/>
  <c r="A4632" i="26" s="1"/>
  <c r="A4633" i="26" s="1"/>
  <c r="A4634" i="26" s="1"/>
  <c r="A4635" i="26" s="1"/>
  <c r="A4636" i="26" s="1"/>
  <c r="A4637" i="26" s="1"/>
  <c r="A4638" i="26" s="1"/>
  <c r="A4639" i="26" s="1"/>
  <c r="A4640" i="26" s="1"/>
  <c r="A4641" i="26" s="1"/>
  <c r="A4642" i="26" s="1"/>
  <c r="A4643" i="26" s="1"/>
  <c r="A4644" i="26" s="1"/>
  <c r="A4645" i="26" s="1"/>
  <c r="A4646" i="26" s="1"/>
  <c r="A4647" i="26" s="1"/>
  <c r="A4648" i="26" s="1"/>
  <c r="A4649" i="26" s="1"/>
  <c r="A4650" i="26" s="1"/>
  <c r="A4651" i="26" s="1"/>
  <c r="A4652" i="26" s="1"/>
  <c r="A4653" i="26" s="1"/>
  <c r="A4654" i="26" s="1"/>
  <c r="A4655" i="26" s="1"/>
  <c r="A4656" i="26" s="1"/>
  <c r="A4657" i="26" s="1"/>
  <c r="A4658" i="26" s="1"/>
  <c r="A4659" i="26" s="1"/>
  <c r="A4660" i="26" s="1"/>
  <c r="A4661" i="26" s="1"/>
  <c r="A4662" i="26" s="1"/>
  <c r="A4663" i="26" s="1"/>
  <c r="A4664" i="26" s="1"/>
  <c r="A4665" i="26" s="1"/>
  <c r="A4666" i="26" s="1"/>
  <c r="A4667" i="26" s="1"/>
  <c r="A4668" i="26" s="1"/>
  <c r="A4669" i="26" s="1"/>
  <c r="A4670" i="26" s="1"/>
  <c r="A4671" i="26" s="1"/>
  <c r="A4672" i="26" s="1"/>
  <c r="A4673" i="26" s="1"/>
  <c r="A4674" i="26" s="1"/>
  <c r="A4675" i="26" s="1"/>
  <c r="A4676" i="26" s="1"/>
  <c r="A4677" i="26" s="1"/>
  <c r="A4678" i="26" s="1"/>
  <c r="A4679" i="26" s="1"/>
  <c r="A4680" i="26" s="1"/>
  <c r="A4681" i="26" s="1"/>
  <c r="A4682" i="26" s="1"/>
  <c r="A4683" i="26" s="1"/>
  <c r="A4684" i="26" s="1"/>
  <c r="A4685" i="26" s="1"/>
  <c r="A4686" i="26" s="1"/>
  <c r="A4687" i="26" s="1"/>
  <c r="A4688" i="26" s="1"/>
  <c r="A4689" i="26" s="1"/>
  <c r="A4690" i="26" s="1"/>
  <c r="A4691" i="26" s="1"/>
  <c r="A4692" i="26" s="1"/>
  <c r="A4693" i="26" s="1"/>
  <c r="A4694" i="26" s="1"/>
  <c r="A4695" i="26" s="1"/>
  <c r="A4696" i="26" s="1"/>
  <c r="A4697" i="26" s="1"/>
  <c r="A4698" i="26" s="1"/>
  <c r="A4699" i="26" s="1"/>
  <c r="A4700" i="26" s="1"/>
  <c r="A4701" i="26" s="1"/>
  <c r="A4702" i="26" s="1"/>
  <c r="A4703" i="26" s="1"/>
  <c r="A4704" i="26" s="1"/>
  <c r="A4705" i="26" s="1"/>
  <c r="A4706" i="26" s="1"/>
  <c r="A4707" i="26" s="1"/>
  <c r="A4708" i="26" s="1"/>
  <c r="A4709" i="26" s="1"/>
  <c r="A4710" i="26" s="1"/>
  <c r="A4711" i="26" s="1"/>
  <c r="A4712" i="26" s="1"/>
  <c r="A4713" i="26" s="1"/>
  <c r="A4714" i="26" s="1"/>
  <c r="A4715" i="26" s="1"/>
  <c r="A4716" i="26" s="1"/>
  <c r="A4717" i="26" s="1"/>
  <c r="A4718" i="26" s="1"/>
  <c r="A4719" i="26" s="1"/>
  <c r="A4720" i="26" s="1"/>
  <c r="A4721" i="26" s="1"/>
  <c r="A4722" i="26" s="1"/>
  <c r="A4723" i="26" s="1"/>
  <c r="A4724" i="26" s="1"/>
  <c r="A4725" i="26" s="1"/>
  <c r="A4726" i="26" s="1"/>
  <c r="A4727" i="26" s="1"/>
  <c r="A4728" i="26" s="1"/>
  <c r="A4729" i="26" s="1"/>
  <c r="A4730" i="26" s="1"/>
  <c r="A4731" i="26" s="1"/>
  <c r="A4732" i="26" s="1"/>
  <c r="A4733" i="26" s="1"/>
  <c r="A4734" i="26" s="1"/>
  <c r="A4735" i="26" s="1"/>
  <c r="A4736" i="26" s="1"/>
  <c r="A4737" i="26" s="1"/>
  <c r="A4738" i="26" s="1"/>
  <c r="A4739" i="26" s="1"/>
  <c r="A4740" i="26" s="1"/>
  <c r="A4741" i="26" s="1"/>
  <c r="A4742" i="26" s="1"/>
  <c r="A4743" i="26" s="1"/>
  <c r="A4744" i="26" s="1"/>
  <c r="A4745" i="26" s="1"/>
  <c r="A4746" i="26" s="1"/>
  <c r="A4747" i="26" s="1"/>
  <c r="A4748" i="26" s="1"/>
  <c r="A4749" i="26" s="1"/>
  <c r="A4750" i="26" s="1"/>
  <c r="A4751" i="26" s="1"/>
  <c r="A4752" i="26" s="1"/>
  <c r="A4753" i="26" s="1"/>
  <c r="A4754" i="26" s="1"/>
  <c r="A4755" i="26" s="1"/>
  <c r="A4756" i="26" s="1"/>
  <c r="A4757" i="26" s="1"/>
  <c r="A4758" i="26" s="1"/>
  <c r="A4759" i="26" s="1"/>
  <c r="A4760" i="26" s="1"/>
  <c r="A4761" i="26" s="1"/>
  <c r="A4762" i="26" s="1"/>
  <c r="A4763" i="26" s="1"/>
  <c r="A4764" i="26" s="1"/>
  <c r="A4765" i="26" s="1"/>
  <c r="A4766" i="26" s="1"/>
  <c r="A4767" i="26" s="1"/>
  <c r="A4768" i="26" s="1"/>
  <c r="A4769" i="26" s="1"/>
  <c r="A4770" i="26" s="1"/>
  <c r="A4771" i="26" s="1"/>
  <c r="A4772" i="26" s="1"/>
  <c r="A4773" i="26" s="1"/>
  <c r="A4774" i="26" s="1"/>
  <c r="A4775" i="26" s="1"/>
  <c r="A4776" i="26" s="1"/>
  <c r="A4777" i="26" s="1"/>
  <c r="A4778" i="26" s="1"/>
  <c r="A4779" i="26" s="1"/>
  <c r="A4780" i="26" s="1"/>
  <c r="A4781" i="26" s="1"/>
  <c r="A4782" i="26" s="1"/>
  <c r="A4783" i="26" s="1"/>
  <c r="A4784" i="26" s="1"/>
  <c r="A4785" i="26" s="1"/>
  <c r="A4786" i="26" s="1"/>
  <c r="A4787" i="26" s="1"/>
  <c r="A4788" i="26" s="1"/>
  <c r="A4789" i="26" s="1"/>
  <c r="A4790" i="26" s="1"/>
  <c r="A4791" i="26" s="1"/>
  <c r="A4792" i="26" s="1"/>
  <c r="A4793" i="26" s="1"/>
  <c r="A4794" i="26" s="1"/>
  <c r="A4795" i="26" s="1"/>
  <c r="A4796" i="26" s="1"/>
  <c r="A4797" i="26" s="1"/>
  <c r="A4798" i="26" s="1"/>
  <c r="A4799" i="26" s="1"/>
  <c r="A4800" i="26" s="1"/>
  <c r="A4801" i="26" s="1"/>
  <c r="A4802" i="26" s="1"/>
  <c r="A4803" i="26" s="1"/>
  <c r="A4804" i="26" s="1"/>
  <c r="A4805" i="26" s="1"/>
  <c r="A4806" i="26" s="1"/>
  <c r="A4807" i="26" s="1"/>
  <c r="A4808" i="26" s="1"/>
  <c r="A4809" i="26" s="1"/>
  <c r="A4810" i="26" s="1"/>
  <c r="A4811" i="26" s="1"/>
  <c r="A4812" i="26" s="1"/>
  <c r="A4813" i="26" s="1"/>
  <c r="A4814" i="26" s="1"/>
  <c r="A4815" i="26" s="1"/>
  <c r="A4816" i="26" s="1"/>
  <c r="A4817" i="26" s="1"/>
  <c r="A4818" i="26" s="1"/>
  <c r="A4819" i="26" s="1"/>
  <c r="A4820" i="26" s="1"/>
  <c r="A4821" i="26" s="1"/>
  <c r="A4822" i="26" s="1"/>
  <c r="A4823" i="26" s="1"/>
  <c r="A4824" i="26" s="1"/>
  <c r="A4825" i="26" s="1"/>
  <c r="A4826" i="26" s="1"/>
  <c r="A4827" i="26" s="1"/>
  <c r="A4828" i="26" s="1"/>
  <c r="A4829" i="26" s="1"/>
  <c r="A4830" i="26" s="1"/>
  <c r="A4831" i="26" s="1"/>
  <c r="A4832" i="26" s="1"/>
  <c r="A4833" i="26" s="1"/>
  <c r="A4834" i="26" s="1"/>
  <c r="A4835" i="26" s="1"/>
  <c r="A4836" i="26" s="1"/>
  <c r="A4837" i="26" s="1"/>
  <c r="A4838" i="26" s="1"/>
  <c r="A4839" i="26" s="1"/>
  <c r="A4840" i="26" s="1"/>
  <c r="A4841" i="26" s="1"/>
  <c r="A4842" i="26" s="1"/>
  <c r="A4843" i="26" s="1"/>
  <c r="A4844" i="26" s="1"/>
  <c r="A4845" i="26" s="1"/>
  <c r="A4846" i="26" s="1"/>
  <c r="A4847" i="26" s="1"/>
  <c r="A4848" i="26" s="1"/>
  <c r="A4849" i="26" s="1"/>
  <c r="A4850" i="26" s="1"/>
  <c r="A4851" i="26" s="1"/>
  <c r="A4852" i="26" s="1"/>
  <c r="A4853" i="26" s="1"/>
  <c r="A4854" i="26" s="1"/>
  <c r="A4855" i="26" s="1"/>
  <c r="A4856" i="26" s="1"/>
  <c r="A4857" i="26" s="1"/>
  <c r="A4858" i="26" s="1"/>
  <c r="A4859" i="26" s="1"/>
  <c r="A4860" i="26" s="1"/>
  <c r="A4861" i="26" s="1"/>
  <c r="A4862" i="26" s="1"/>
  <c r="A4863" i="26" s="1"/>
  <c r="A4864" i="26" s="1"/>
  <c r="A4865" i="26" s="1"/>
  <c r="A4866" i="26" s="1"/>
  <c r="A4867" i="26" s="1"/>
  <c r="A4868" i="26" s="1"/>
  <c r="A4869" i="26" s="1"/>
  <c r="A4870" i="26" s="1"/>
  <c r="A4871" i="26" s="1"/>
  <c r="A4872" i="26" s="1"/>
  <c r="A4873" i="26" s="1"/>
  <c r="A4874" i="26" s="1"/>
  <c r="A4875" i="26" s="1"/>
  <c r="A4876" i="26" s="1"/>
  <c r="A4877" i="26" s="1"/>
  <c r="A4878" i="26" s="1"/>
  <c r="A4879" i="26" s="1"/>
  <c r="A4880" i="26" s="1"/>
  <c r="A4881" i="26" s="1"/>
  <c r="A4882" i="26" s="1"/>
  <c r="A4883" i="26" s="1"/>
  <c r="A4884" i="26" s="1"/>
  <c r="A4885" i="26" s="1"/>
  <c r="A4886" i="26" s="1"/>
  <c r="A4887" i="26" s="1"/>
  <c r="A4888" i="26" s="1"/>
  <c r="A4889" i="26" s="1"/>
  <c r="A4890" i="26" s="1"/>
  <c r="A4891" i="26" s="1"/>
  <c r="A4892" i="26" s="1"/>
  <c r="A4893" i="26" s="1"/>
  <c r="A4894" i="26" s="1"/>
  <c r="A4895" i="26" s="1"/>
  <c r="A4896" i="26" s="1"/>
  <c r="A4897" i="26" s="1"/>
  <c r="A4898" i="26" s="1"/>
  <c r="A4899" i="26" s="1"/>
  <c r="A4900" i="26" s="1"/>
  <c r="A4901" i="26" s="1"/>
  <c r="A4902" i="26" s="1"/>
  <c r="A4903" i="26" s="1"/>
  <c r="A4904" i="26" s="1"/>
  <c r="A4905" i="26" s="1"/>
  <c r="A4906" i="26" s="1"/>
  <c r="A4907" i="26" s="1"/>
  <c r="A4908" i="26" s="1"/>
  <c r="A4909" i="26" s="1"/>
  <c r="A4910" i="26" s="1"/>
  <c r="A4911" i="26" s="1"/>
  <c r="A4912" i="26" s="1"/>
  <c r="A4913" i="26" s="1"/>
  <c r="A4914" i="26" s="1"/>
  <c r="A4915" i="26" s="1"/>
  <c r="A4916" i="26" s="1"/>
  <c r="A4917" i="26" s="1"/>
  <c r="A4918" i="26" s="1"/>
  <c r="A4919" i="26" s="1"/>
  <c r="A4920" i="26" s="1"/>
  <c r="A4921" i="26" s="1"/>
  <c r="A4922" i="26" s="1"/>
  <c r="A4923" i="26" s="1"/>
  <c r="A4924" i="26" s="1"/>
  <c r="A4925" i="26" s="1"/>
  <c r="A4926" i="26" s="1"/>
  <c r="A4927" i="26" s="1"/>
  <c r="A4928" i="26" s="1"/>
  <c r="A4929" i="26" s="1"/>
  <c r="A4930" i="26" s="1"/>
  <c r="A4931" i="26" s="1"/>
  <c r="A4932" i="26" s="1"/>
  <c r="A4933" i="26" s="1"/>
  <c r="A4934" i="26" s="1"/>
  <c r="A4935" i="26" s="1"/>
  <c r="A4936" i="26" s="1"/>
  <c r="A4937" i="26" s="1"/>
  <c r="A4938" i="26" s="1"/>
  <c r="A4939" i="26" s="1"/>
  <c r="A4940" i="26" s="1"/>
  <c r="A4941" i="26" s="1"/>
  <c r="A4942" i="26" s="1"/>
  <c r="A4943" i="26" s="1"/>
  <c r="A4944" i="26" s="1"/>
  <c r="A4945" i="26" s="1"/>
  <c r="A4946" i="26" s="1"/>
  <c r="A4947" i="26" s="1"/>
  <c r="A4948" i="26" s="1"/>
  <c r="A4949" i="26" s="1"/>
  <c r="A4950" i="26" s="1"/>
  <c r="A4951" i="26" s="1"/>
  <c r="A4952" i="26" s="1"/>
  <c r="A4953" i="26" s="1"/>
  <c r="A4954" i="26" s="1"/>
  <c r="A4955" i="26" s="1"/>
  <c r="A4956" i="26" s="1"/>
  <c r="A4957" i="26" s="1"/>
  <c r="A4958" i="26" s="1"/>
  <c r="A4959" i="26" s="1"/>
  <c r="A4960" i="26" s="1"/>
  <c r="A4961" i="26" s="1"/>
  <c r="A4962" i="26" s="1"/>
  <c r="A4963" i="26" s="1"/>
  <c r="A4964" i="26" s="1"/>
  <c r="A4965" i="26" s="1"/>
  <c r="A4966" i="26" s="1"/>
  <c r="A4967" i="26" s="1"/>
  <c r="A4968" i="26" s="1"/>
  <c r="A4969" i="26" s="1"/>
  <c r="A4970" i="26" s="1"/>
  <c r="A4971" i="26" s="1"/>
  <c r="A4972" i="26" s="1"/>
  <c r="A4973" i="26" s="1"/>
  <c r="A4974" i="26" s="1"/>
  <c r="A4975" i="26" s="1"/>
  <c r="A4976" i="26" s="1"/>
  <c r="A4977" i="26" s="1"/>
  <c r="A4978" i="26" s="1"/>
  <c r="A4979" i="26" s="1"/>
  <c r="A4980" i="26" s="1"/>
  <c r="A4981" i="26" s="1"/>
  <c r="A4982" i="26" s="1"/>
  <c r="A4983" i="26" s="1"/>
  <c r="A4984" i="26" s="1"/>
  <c r="A4985" i="26" s="1"/>
  <c r="A4986" i="26" s="1"/>
  <c r="A4987" i="26" s="1"/>
  <c r="A4988" i="26" s="1"/>
  <c r="A4989" i="26" s="1"/>
  <c r="A4990" i="26" s="1"/>
  <c r="A4991" i="26" s="1"/>
  <c r="A4992" i="26" s="1"/>
  <c r="A4993" i="26" s="1"/>
  <c r="A4994" i="26" s="1"/>
  <c r="A4995" i="26" s="1"/>
  <c r="A4996" i="26" s="1"/>
  <c r="A4997" i="26" s="1"/>
  <c r="A4998" i="26" s="1"/>
  <c r="A4999" i="26" s="1"/>
  <c r="A5000" i="26" s="1"/>
  <c r="A5001" i="26" s="1"/>
  <c r="A5002" i="26" s="1"/>
  <c r="A5003" i="26" s="1"/>
  <c r="A5004" i="26" s="1"/>
  <c r="A5005" i="26" s="1"/>
  <c r="A5006" i="26" s="1"/>
  <c r="A5007" i="26" s="1"/>
  <c r="A5008" i="26" s="1"/>
  <c r="A5009" i="26" s="1"/>
  <c r="A5010" i="26" s="1"/>
  <c r="A5011" i="26" s="1"/>
  <c r="A5012" i="26" s="1"/>
  <c r="A5013" i="26" s="1"/>
  <c r="A5014" i="26" s="1"/>
  <c r="A5015" i="26" s="1"/>
  <c r="A5016" i="26" s="1"/>
  <c r="A5017" i="26" s="1"/>
  <c r="A5018" i="26" s="1"/>
  <c r="A5019" i="26" s="1"/>
  <c r="A5020" i="26" s="1"/>
  <c r="A5021" i="26" s="1"/>
  <c r="A5022" i="26" s="1"/>
  <c r="A5023" i="26" s="1"/>
  <c r="A5024" i="26" s="1"/>
  <c r="A5025" i="26" s="1"/>
  <c r="A5026" i="26" s="1"/>
  <c r="A5027" i="26" s="1"/>
  <c r="A5028" i="26" s="1"/>
  <c r="A5029" i="26" s="1"/>
  <c r="A5030" i="26" s="1"/>
  <c r="A5031" i="26" s="1"/>
  <c r="A5032" i="26" s="1"/>
  <c r="A5033" i="26" s="1"/>
  <c r="A5034" i="26" s="1"/>
  <c r="A5035" i="26" s="1"/>
  <c r="A5036" i="26" s="1"/>
  <c r="A5037" i="26" s="1"/>
  <c r="A5038" i="26" s="1"/>
  <c r="A5039" i="26" s="1"/>
  <c r="A5040" i="26" s="1"/>
  <c r="A5041" i="26" s="1"/>
  <c r="A5042" i="26" s="1"/>
  <c r="A5043" i="26" s="1"/>
  <c r="A5044" i="26" s="1"/>
  <c r="A5045" i="26" s="1"/>
  <c r="A5046" i="26" s="1"/>
  <c r="A5047" i="26" s="1"/>
  <c r="A5048" i="26" s="1"/>
  <c r="A5049" i="26" s="1"/>
  <c r="A5050" i="26" s="1"/>
  <c r="A5051" i="26" s="1"/>
  <c r="A5052" i="26" s="1"/>
  <c r="A5053" i="26" s="1"/>
  <c r="A5054" i="26" s="1"/>
  <c r="A5055" i="26" s="1"/>
  <c r="A5056" i="26" s="1"/>
  <c r="A5057" i="26" s="1"/>
  <c r="A5058" i="26" s="1"/>
  <c r="A5059" i="26" s="1"/>
  <c r="A5060" i="26" s="1"/>
  <c r="A5061" i="26" s="1"/>
  <c r="A5062" i="26" s="1"/>
  <c r="A5063" i="26" s="1"/>
  <c r="A5064" i="26" s="1"/>
  <c r="A5065" i="26" s="1"/>
  <c r="A5066" i="26" s="1"/>
  <c r="A5067" i="26" s="1"/>
  <c r="A5068" i="26" s="1"/>
  <c r="A5069" i="26" s="1"/>
  <c r="A5070" i="26" s="1"/>
  <c r="A5071" i="26" s="1"/>
  <c r="A5072" i="26" s="1"/>
  <c r="A5073" i="26" s="1"/>
  <c r="A5074" i="26" s="1"/>
  <c r="A5075" i="26" s="1"/>
  <c r="A5076" i="26" s="1"/>
  <c r="A5077" i="26" s="1"/>
  <c r="A5078" i="26" s="1"/>
  <c r="A5079" i="26" s="1"/>
  <c r="A5080" i="26" s="1"/>
  <c r="A5081" i="26" s="1"/>
  <c r="A5082" i="26" s="1"/>
  <c r="A5083" i="26" s="1"/>
  <c r="A5084" i="26" s="1"/>
  <c r="A5085" i="26" s="1"/>
  <c r="A5086" i="26" s="1"/>
  <c r="A5087" i="26" s="1"/>
  <c r="A5088" i="26" s="1"/>
  <c r="A5089" i="26" s="1"/>
  <c r="A5090" i="26" s="1"/>
  <c r="A5091" i="26" s="1"/>
  <c r="A5092" i="26" s="1"/>
  <c r="A5093" i="26" s="1"/>
  <c r="A5094" i="26" s="1"/>
  <c r="A5095" i="26" s="1"/>
  <c r="A5096" i="26" s="1"/>
  <c r="A5097" i="26" s="1"/>
  <c r="A5098" i="26" s="1"/>
  <c r="A5099" i="26" s="1"/>
  <c r="A5100" i="26" s="1"/>
  <c r="A5101" i="26" s="1"/>
  <c r="A5102" i="26" s="1"/>
  <c r="A5103" i="26" s="1"/>
  <c r="A5104" i="26" s="1"/>
  <c r="A5105" i="26" s="1"/>
  <c r="A5106" i="26" s="1"/>
  <c r="A5107" i="26" s="1"/>
  <c r="A5108" i="26" s="1"/>
  <c r="A5109" i="26" s="1"/>
  <c r="A5110" i="26" s="1"/>
  <c r="A5111" i="26" s="1"/>
  <c r="A5112" i="26" s="1"/>
  <c r="A5113" i="26" s="1"/>
  <c r="A5114" i="26" s="1"/>
  <c r="A5115" i="26" s="1"/>
  <c r="A5116" i="26" s="1"/>
  <c r="A5117" i="26" s="1"/>
  <c r="A5118" i="26" s="1"/>
  <c r="A5119" i="26" s="1"/>
  <c r="A5120" i="26" s="1"/>
  <c r="A5121" i="26" s="1"/>
  <c r="A5122" i="26" s="1"/>
  <c r="A5123" i="26" s="1"/>
  <c r="A5124" i="26" s="1"/>
  <c r="A5125" i="26" s="1"/>
  <c r="A5126" i="26" s="1"/>
  <c r="A5127" i="26" s="1"/>
  <c r="A5128" i="26" s="1"/>
  <c r="A5129" i="26" s="1"/>
  <c r="A5130" i="26" s="1"/>
  <c r="A5131" i="26" s="1"/>
  <c r="A5132" i="26" s="1"/>
  <c r="A5133" i="26" s="1"/>
  <c r="A5134" i="26" s="1"/>
  <c r="A5135" i="26" s="1"/>
  <c r="A5136" i="26" s="1"/>
  <c r="A5137" i="26" s="1"/>
  <c r="A5138" i="26" s="1"/>
  <c r="A5139" i="26" s="1"/>
  <c r="A5140" i="26" s="1"/>
  <c r="A5141" i="26" s="1"/>
  <c r="A5142" i="26" s="1"/>
  <c r="A5143" i="26" s="1"/>
  <c r="A5144" i="26" s="1"/>
  <c r="A5145" i="26" s="1"/>
  <c r="A5146" i="26" s="1"/>
  <c r="A5147" i="26" s="1"/>
  <c r="A5148" i="26" s="1"/>
  <c r="A5149" i="26" s="1"/>
  <c r="A5150" i="26" s="1"/>
  <c r="A5151" i="26" s="1"/>
  <c r="A5152" i="26" s="1"/>
  <c r="A5153" i="26" s="1"/>
  <c r="A5154" i="26" s="1"/>
  <c r="A5155" i="26" s="1"/>
  <c r="A5156" i="26" s="1"/>
  <c r="A5157" i="26" s="1"/>
  <c r="A5158" i="26" s="1"/>
  <c r="A5159" i="26" s="1"/>
  <c r="A5160" i="26" s="1"/>
  <c r="A5161" i="26" s="1"/>
  <c r="A5162" i="26" s="1"/>
  <c r="A5163" i="26" s="1"/>
  <c r="A5164" i="26" s="1"/>
  <c r="A5165" i="26" s="1"/>
  <c r="A5166" i="26" s="1"/>
  <c r="A5167" i="26" s="1"/>
  <c r="A5168" i="26" s="1"/>
  <c r="A5169" i="26" s="1"/>
  <c r="A5170" i="26" s="1"/>
  <c r="A5171" i="26" s="1"/>
  <c r="A5172" i="26" s="1"/>
  <c r="A5173" i="26" s="1"/>
  <c r="A5174" i="26" s="1"/>
  <c r="A5175" i="26" s="1"/>
  <c r="A5176" i="26" s="1"/>
  <c r="A5177" i="26" s="1"/>
  <c r="A5178" i="26" s="1"/>
  <c r="A5179" i="26" s="1"/>
  <c r="A5180" i="26" s="1"/>
  <c r="A5181" i="26" s="1"/>
  <c r="A5182" i="26" s="1"/>
  <c r="A5183" i="26" s="1"/>
  <c r="A5184" i="26" s="1"/>
  <c r="A5185" i="26" s="1"/>
  <c r="A5186" i="26" s="1"/>
  <c r="A5187" i="26" s="1"/>
  <c r="A5188" i="26" s="1"/>
  <c r="A5189" i="26" s="1"/>
  <c r="A5190" i="26" s="1"/>
  <c r="A5191" i="26" s="1"/>
  <c r="A5192" i="26" s="1"/>
  <c r="A5193" i="26" s="1"/>
  <c r="A5194" i="26" s="1"/>
  <c r="A5195" i="26" s="1"/>
  <c r="A5196" i="26" s="1"/>
  <c r="A5197" i="26" s="1"/>
  <c r="A5198" i="26" s="1"/>
  <c r="A5199" i="26" s="1"/>
  <c r="A5200" i="26" s="1"/>
  <c r="A5201" i="26" s="1"/>
  <c r="A5202" i="26" s="1"/>
  <c r="A5203" i="26" s="1"/>
  <c r="A5204" i="26" s="1"/>
  <c r="A5205" i="26" s="1"/>
  <c r="A5206" i="26" s="1"/>
  <c r="A5207" i="26" s="1"/>
  <c r="A5208" i="26" s="1"/>
  <c r="A5209" i="26" s="1"/>
  <c r="A5210" i="26" s="1"/>
  <c r="A5211" i="26" s="1"/>
  <c r="A5212" i="26" s="1"/>
  <c r="A5213" i="26" s="1"/>
  <c r="A5214" i="26" s="1"/>
  <c r="A5215" i="26" s="1"/>
  <c r="A5216" i="26" s="1"/>
  <c r="A5217" i="26" s="1"/>
  <c r="A5218" i="26" s="1"/>
  <c r="A5219" i="26" s="1"/>
  <c r="A5220" i="26" s="1"/>
  <c r="A5221" i="26" s="1"/>
  <c r="A5222" i="26" s="1"/>
  <c r="A5223" i="26" s="1"/>
  <c r="A5224" i="26" s="1"/>
  <c r="A5225" i="26" s="1"/>
  <c r="A5226" i="26" s="1"/>
  <c r="A5227" i="26" s="1"/>
  <c r="A5228" i="26" s="1"/>
  <c r="A5229" i="26" s="1"/>
  <c r="A5230" i="26" s="1"/>
  <c r="A5231" i="26" s="1"/>
  <c r="A5232" i="26" s="1"/>
  <c r="A5233" i="26" s="1"/>
  <c r="A5234" i="26" s="1"/>
  <c r="A5235" i="26" s="1"/>
  <c r="A5236" i="26" s="1"/>
  <c r="A5237" i="26" s="1"/>
  <c r="A5238" i="26" s="1"/>
  <c r="A5239" i="26" s="1"/>
  <c r="A5240" i="26" s="1"/>
  <c r="A5241" i="26" s="1"/>
  <c r="A5242" i="26" s="1"/>
  <c r="A5243" i="26" s="1"/>
  <c r="A5244" i="26" s="1"/>
  <c r="A5245" i="26" s="1"/>
  <c r="A5246" i="26" s="1"/>
  <c r="A5247" i="26" s="1"/>
  <c r="A5248" i="26" s="1"/>
  <c r="A5249" i="26" s="1"/>
  <c r="A5250" i="26" s="1"/>
  <c r="A5251" i="26" s="1"/>
  <c r="A5252" i="26" s="1"/>
  <c r="A5253" i="26" s="1"/>
  <c r="A5254" i="26" s="1"/>
  <c r="A5255" i="26" s="1"/>
  <c r="A5256" i="26" s="1"/>
  <c r="A5257" i="26" s="1"/>
  <c r="A5258" i="26" s="1"/>
  <c r="A5259" i="26" s="1"/>
  <c r="A5260" i="26" s="1"/>
  <c r="A5261" i="26" s="1"/>
  <c r="A5262" i="26" s="1"/>
  <c r="A5263" i="26" s="1"/>
  <c r="A5264" i="26" s="1"/>
  <c r="A5265" i="26" s="1"/>
  <c r="A5266" i="26" s="1"/>
  <c r="A5267" i="26" s="1"/>
  <c r="A5268" i="26" s="1"/>
  <c r="A5269" i="26" s="1"/>
  <c r="A5270" i="26" s="1"/>
  <c r="A5271" i="26" s="1"/>
  <c r="A5272" i="26" s="1"/>
  <c r="A5273" i="26" s="1"/>
  <c r="A5274" i="26" s="1"/>
  <c r="A5275" i="26" s="1"/>
  <c r="A5276" i="26" s="1"/>
  <c r="A5277" i="26" s="1"/>
  <c r="A5278" i="26" s="1"/>
  <c r="A5279" i="26" s="1"/>
  <c r="A5280" i="26" s="1"/>
  <c r="A5281" i="26" s="1"/>
  <c r="A5282" i="26" s="1"/>
  <c r="A5283" i="26" s="1"/>
  <c r="A5284" i="26" s="1"/>
  <c r="A5285" i="26" s="1"/>
  <c r="A5286" i="26" s="1"/>
  <c r="A5287" i="26" s="1"/>
  <c r="A5288" i="26" s="1"/>
  <c r="A5289" i="26" s="1"/>
  <c r="A5290" i="26" s="1"/>
  <c r="A5291" i="26" s="1"/>
  <c r="A5292" i="26" s="1"/>
  <c r="A5293" i="26" s="1"/>
  <c r="A5294" i="26" s="1"/>
  <c r="A5295" i="26" s="1"/>
  <c r="A5296" i="26" s="1"/>
  <c r="A5297" i="26" s="1"/>
  <c r="A5298" i="26" s="1"/>
  <c r="A5299" i="26" s="1"/>
  <c r="A5300" i="26" s="1"/>
  <c r="A5301" i="26" s="1"/>
  <c r="A5302" i="26" s="1"/>
  <c r="A5303" i="26" s="1"/>
  <c r="A5304" i="26" s="1"/>
  <c r="A5305" i="26" s="1"/>
  <c r="A5306" i="26" s="1"/>
  <c r="A5307" i="26" s="1"/>
  <c r="A5308" i="26" s="1"/>
  <c r="A5309" i="26" s="1"/>
  <c r="A5310" i="26" s="1"/>
  <c r="A5311" i="26" s="1"/>
  <c r="A5312" i="26" s="1"/>
  <c r="A5313" i="26" s="1"/>
  <c r="A5314" i="26" s="1"/>
  <c r="A5315" i="26" s="1"/>
  <c r="A5316" i="26" s="1"/>
  <c r="A5317" i="26" s="1"/>
  <c r="A5318" i="26" s="1"/>
  <c r="A5319" i="26" s="1"/>
  <c r="A5320" i="26" s="1"/>
  <c r="A5321" i="26" s="1"/>
  <c r="A5322" i="26" s="1"/>
  <c r="A5323" i="26" s="1"/>
  <c r="A5324" i="26" s="1"/>
  <c r="A5325" i="26" s="1"/>
  <c r="A5326" i="26" s="1"/>
  <c r="A5327" i="26" s="1"/>
  <c r="A5328" i="26" s="1"/>
  <c r="A5329" i="26" s="1"/>
  <c r="A5330" i="26" s="1"/>
  <c r="A5331" i="26" s="1"/>
  <c r="A5332" i="26" s="1"/>
  <c r="A5333" i="26" s="1"/>
  <c r="A5334" i="26" s="1"/>
  <c r="A5335" i="26" s="1"/>
  <c r="A5336" i="26" s="1"/>
  <c r="A5337" i="26" s="1"/>
  <c r="A5338" i="26" s="1"/>
  <c r="A5339" i="26" s="1"/>
  <c r="A5340" i="26" s="1"/>
  <c r="A5341" i="26" s="1"/>
  <c r="A5342" i="26" s="1"/>
  <c r="A5343" i="26" s="1"/>
  <c r="A5344" i="26" s="1"/>
  <c r="A5345" i="26" s="1"/>
  <c r="A5346" i="26" s="1"/>
  <c r="A5347" i="26" s="1"/>
  <c r="A5348" i="26" s="1"/>
  <c r="A5349" i="26" s="1"/>
  <c r="A5350" i="26" s="1"/>
  <c r="A5351" i="26" s="1"/>
  <c r="A5352" i="26" s="1"/>
  <c r="A5353" i="26" s="1"/>
  <c r="A5354" i="26" s="1"/>
  <c r="A5355" i="26" s="1"/>
  <c r="A5356" i="26" s="1"/>
  <c r="A5357" i="26" s="1"/>
  <c r="A5358" i="26" s="1"/>
  <c r="A5359" i="26" s="1"/>
  <c r="A5360" i="26" s="1"/>
  <c r="A5361" i="26" s="1"/>
  <c r="A5362" i="26" s="1"/>
  <c r="A5363" i="26" s="1"/>
  <c r="A5364" i="26" s="1"/>
  <c r="A5365" i="26" s="1"/>
  <c r="A5366" i="26" s="1"/>
  <c r="A5367" i="26" s="1"/>
  <c r="A5368" i="26" s="1"/>
  <c r="A5369" i="26" s="1"/>
  <c r="A5370" i="26" s="1"/>
  <c r="A5371" i="26" s="1"/>
  <c r="A5372" i="26" s="1"/>
  <c r="A5373" i="26" s="1"/>
  <c r="A5374" i="26" s="1"/>
  <c r="A5375" i="26" s="1"/>
  <c r="A5376" i="26" s="1"/>
  <c r="A5377" i="26" s="1"/>
  <c r="A5378" i="26" s="1"/>
  <c r="A5379" i="26" s="1"/>
  <c r="A5380" i="26" s="1"/>
  <c r="A5381" i="26" s="1"/>
  <c r="A5382" i="26" s="1"/>
  <c r="A5383" i="26" s="1"/>
  <c r="A5384" i="26" s="1"/>
  <c r="A5385" i="26" s="1"/>
  <c r="A5386" i="26" s="1"/>
  <c r="A5387" i="26" s="1"/>
  <c r="A5388" i="26" s="1"/>
  <c r="A5389" i="26" s="1"/>
  <c r="A5390" i="26" s="1"/>
  <c r="A5391" i="26" s="1"/>
  <c r="A5392" i="26" s="1"/>
  <c r="A5393" i="26" s="1"/>
  <c r="A5394" i="26" s="1"/>
  <c r="A5395" i="26" s="1"/>
  <c r="A5396" i="26" s="1"/>
  <c r="A5397" i="26" s="1"/>
  <c r="A5398" i="26" s="1"/>
  <c r="A5399" i="26" s="1"/>
  <c r="A5400" i="26" s="1"/>
  <c r="A5401" i="26" s="1"/>
  <c r="A5402" i="26" s="1"/>
  <c r="A5403" i="26" s="1"/>
  <c r="A5404" i="26" s="1"/>
  <c r="A5405" i="26" s="1"/>
  <c r="A5406" i="26" s="1"/>
  <c r="A5407" i="26" s="1"/>
  <c r="A5408" i="26" s="1"/>
  <c r="A5409" i="26" s="1"/>
  <c r="A5410" i="26" s="1"/>
  <c r="A5411" i="26" s="1"/>
  <c r="A5412" i="26" s="1"/>
  <c r="A5413" i="26" s="1"/>
  <c r="A5414" i="26" s="1"/>
  <c r="A5415" i="26" s="1"/>
  <c r="A5416" i="26" s="1"/>
  <c r="A5417" i="26" s="1"/>
  <c r="A5418" i="26" s="1"/>
  <c r="A5419" i="26" s="1"/>
  <c r="A5420" i="26" s="1"/>
  <c r="A5421" i="26" s="1"/>
  <c r="A5422" i="26" s="1"/>
  <c r="A5423" i="26" s="1"/>
  <c r="A5424" i="26" s="1"/>
  <c r="A5425" i="26" s="1"/>
  <c r="A5426" i="26" s="1"/>
  <c r="A5427" i="26" s="1"/>
  <c r="A5428" i="26" s="1"/>
  <c r="A5429" i="26" s="1"/>
  <c r="A5430" i="26" s="1"/>
  <c r="A5431" i="26" s="1"/>
  <c r="A5432" i="26" s="1"/>
  <c r="A5433" i="26" s="1"/>
  <c r="A5434" i="26" s="1"/>
  <c r="A5435" i="26" s="1"/>
  <c r="A5436" i="26" s="1"/>
  <c r="A5437" i="26" s="1"/>
  <c r="A5438" i="26" s="1"/>
  <c r="A5439" i="26" s="1"/>
  <c r="A5440" i="26" s="1"/>
  <c r="A5441" i="26" s="1"/>
  <c r="A5442" i="26" s="1"/>
  <c r="A5443" i="26" s="1"/>
  <c r="A5444" i="26" s="1"/>
  <c r="A5445" i="26" s="1"/>
  <c r="A5446" i="26" s="1"/>
  <c r="A5447" i="26" s="1"/>
  <c r="A5448" i="26" s="1"/>
  <c r="A5449" i="26" s="1"/>
  <c r="A5450" i="26" s="1"/>
  <c r="A5451" i="26" s="1"/>
  <c r="A5452" i="26" s="1"/>
  <c r="A5453" i="26" s="1"/>
  <c r="A5454" i="26" s="1"/>
  <c r="A5455" i="26" s="1"/>
  <c r="A5456" i="26" s="1"/>
  <c r="A5457" i="26" s="1"/>
  <c r="A5458" i="26" s="1"/>
  <c r="A5459" i="26" s="1"/>
  <c r="A5460" i="26" s="1"/>
  <c r="A5461" i="26" s="1"/>
  <c r="A5462" i="26" s="1"/>
  <c r="A5463" i="26" s="1"/>
  <c r="A5464" i="26" s="1"/>
  <c r="A5465" i="26" s="1"/>
  <c r="A5466" i="26" s="1"/>
  <c r="A5467" i="26" s="1"/>
  <c r="A5468" i="26" s="1"/>
  <c r="A5469" i="26" s="1"/>
  <c r="A5470" i="26" s="1"/>
  <c r="A5471" i="26" s="1"/>
  <c r="A5472" i="26" s="1"/>
  <c r="A5473" i="26" s="1"/>
  <c r="A5474" i="26" s="1"/>
  <c r="A5475" i="26" s="1"/>
  <c r="A5476" i="26" s="1"/>
  <c r="A5477" i="26" s="1"/>
  <c r="A5478" i="26" s="1"/>
  <c r="A5479" i="26" s="1"/>
  <c r="A5480" i="26" s="1"/>
  <c r="A5481" i="26" s="1"/>
  <c r="A5482" i="26" s="1"/>
  <c r="A5483" i="26" s="1"/>
  <c r="A5484" i="26" s="1"/>
  <c r="A5485" i="26" s="1"/>
  <c r="A5486" i="26" s="1"/>
  <c r="A5487" i="26" s="1"/>
  <c r="A5488" i="26" s="1"/>
  <c r="A5489" i="26" s="1"/>
  <c r="A5490" i="26" s="1"/>
  <c r="A5491" i="26" s="1"/>
  <c r="A5492" i="26" s="1"/>
  <c r="A5493" i="26" s="1"/>
  <c r="A5494" i="26" s="1"/>
  <c r="A5495" i="26" s="1"/>
  <c r="A5496" i="26" s="1"/>
  <c r="A5497" i="26" s="1"/>
  <c r="A5498" i="26" s="1"/>
  <c r="A5499" i="26" s="1"/>
  <c r="A5500" i="26" s="1"/>
  <c r="A5501" i="26" s="1"/>
  <c r="A5502" i="26" s="1"/>
  <c r="A5503" i="26" s="1"/>
  <c r="A5504" i="26" s="1"/>
  <c r="A5505" i="26" s="1"/>
  <c r="A5506" i="26" s="1"/>
  <c r="A5507" i="26" s="1"/>
  <c r="A5508" i="26" s="1"/>
  <c r="A5509" i="26" s="1"/>
  <c r="A5510" i="26" s="1"/>
  <c r="A5511" i="26" s="1"/>
  <c r="A5512" i="26" s="1"/>
  <c r="A5513" i="26" s="1"/>
  <c r="A5514" i="26" s="1"/>
  <c r="A5515" i="26" s="1"/>
  <c r="A5516" i="26" s="1"/>
  <c r="A5517" i="26" s="1"/>
  <c r="A5518" i="26" s="1"/>
  <c r="A5519" i="26" s="1"/>
  <c r="A5520" i="26" s="1"/>
  <c r="A5521" i="26" s="1"/>
  <c r="A5522" i="26" s="1"/>
  <c r="A5523" i="26" s="1"/>
  <c r="A5524" i="26" s="1"/>
  <c r="A5525" i="26" s="1"/>
  <c r="A5526" i="26" s="1"/>
  <c r="A5527" i="26" s="1"/>
  <c r="A5528" i="26" s="1"/>
  <c r="A5529" i="26" s="1"/>
  <c r="A5530" i="26" s="1"/>
  <c r="A5531" i="26" s="1"/>
  <c r="A5532" i="26" s="1"/>
  <c r="A5533" i="26" s="1"/>
  <c r="A5534" i="26" s="1"/>
  <c r="A5535" i="26" s="1"/>
  <c r="A5536" i="26" s="1"/>
  <c r="A5537" i="26" s="1"/>
  <c r="A5538" i="26" s="1"/>
  <c r="A5539" i="26" s="1"/>
  <c r="A5540" i="26" s="1"/>
  <c r="A5541" i="26" s="1"/>
  <c r="A5542" i="26" s="1"/>
  <c r="A5543" i="26" s="1"/>
  <c r="A5544" i="26" s="1"/>
  <c r="A5545" i="26" s="1"/>
  <c r="A5546" i="26" s="1"/>
  <c r="A5547" i="26" s="1"/>
  <c r="A5548" i="26" s="1"/>
  <c r="A5549" i="26" s="1"/>
  <c r="A5550" i="26" s="1"/>
  <c r="A5551" i="26" s="1"/>
  <c r="A5552" i="26" s="1"/>
  <c r="A5553" i="26" s="1"/>
  <c r="A5554" i="26" s="1"/>
  <c r="A5555" i="26" s="1"/>
  <c r="A5556" i="26" s="1"/>
  <c r="A5557" i="26" s="1"/>
  <c r="A5558" i="26" s="1"/>
  <c r="A5559" i="26" s="1"/>
  <c r="A5560" i="26" s="1"/>
  <c r="A5561" i="26" s="1"/>
  <c r="A5562" i="26" s="1"/>
  <c r="A5563" i="26" s="1"/>
  <c r="A5564" i="26" s="1"/>
  <c r="A5565" i="26" s="1"/>
  <c r="A5566" i="26" s="1"/>
  <c r="A5567" i="26" s="1"/>
  <c r="A5568" i="26" s="1"/>
  <c r="A5569" i="26" s="1"/>
  <c r="A5570" i="26" s="1"/>
  <c r="A5571" i="26" s="1"/>
  <c r="A5572" i="26" s="1"/>
  <c r="A5573" i="26" s="1"/>
  <c r="A5574" i="26" s="1"/>
  <c r="A5575" i="26" s="1"/>
  <c r="A5576" i="26" s="1"/>
  <c r="A5577" i="26" s="1"/>
  <c r="A5578" i="26" s="1"/>
  <c r="A5579" i="26" s="1"/>
  <c r="A5580" i="26" s="1"/>
  <c r="A5581" i="26" s="1"/>
  <c r="A5582" i="26" s="1"/>
  <c r="A5583" i="26" s="1"/>
  <c r="A5584" i="26" s="1"/>
  <c r="A5585" i="26" s="1"/>
  <c r="A5586" i="26" s="1"/>
  <c r="A5587" i="26" s="1"/>
  <c r="A5588" i="26" s="1"/>
  <c r="A5589" i="26" s="1"/>
  <c r="A5590" i="26" s="1"/>
  <c r="A5591" i="26" s="1"/>
  <c r="A5592" i="26" s="1"/>
  <c r="A5593" i="26" s="1"/>
  <c r="A5594" i="26" s="1"/>
  <c r="A5595" i="26" s="1"/>
  <c r="A5596" i="26" s="1"/>
  <c r="A5597" i="26" s="1"/>
  <c r="A5598" i="26" s="1"/>
  <c r="A5599" i="26" s="1"/>
  <c r="A5600" i="26" s="1"/>
  <c r="A5601" i="26" s="1"/>
  <c r="A5602" i="26" s="1"/>
  <c r="A5603" i="26" s="1"/>
  <c r="A5604" i="26" s="1"/>
  <c r="A5605" i="26" s="1"/>
  <c r="A5606" i="26" s="1"/>
  <c r="A5607" i="26" s="1"/>
  <c r="A5608" i="26" s="1"/>
  <c r="A5609" i="26" s="1"/>
  <c r="A5610" i="26" s="1"/>
  <c r="A5611" i="26" s="1"/>
  <c r="A5612" i="26" s="1"/>
  <c r="A5613" i="26" s="1"/>
  <c r="A5614" i="26" s="1"/>
  <c r="A5615" i="26" s="1"/>
  <c r="A5616" i="26" s="1"/>
  <c r="A5617" i="26" s="1"/>
  <c r="A5618" i="26" s="1"/>
  <c r="A5619" i="26" s="1"/>
  <c r="A5620" i="26" s="1"/>
  <c r="A5621" i="26" s="1"/>
  <c r="A5622" i="26" s="1"/>
  <c r="A5623" i="26" s="1"/>
  <c r="A5624" i="26" s="1"/>
  <c r="A5625" i="26" s="1"/>
  <c r="A5626" i="26" s="1"/>
  <c r="A5627" i="26" s="1"/>
  <c r="A5628" i="26" s="1"/>
  <c r="A5629" i="26" s="1"/>
  <c r="A5630" i="26" s="1"/>
  <c r="A5631" i="26" s="1"/>
  <c r="A5632" i="26" s="1"/>
  <c r="A5633" i="26" s="1"/>
  <c r="A5634" i="26" s="1"/>
  <c r="A5635" i="26" s="1"/>
  <c r="A5636" i="26" s="1"/>
  <c r="A5637" i="26" s="1"/>
  <c r="A5638" i="26" s="1"/>
  <c r="A5639" i="26" s="1"/>
  <c r="A5640" i="26" s="1"/>
  <c r="A5641" i="26" s="1"/>
  <c r="A5642" i="26" s="1"/>
  <c r="A5643" i="26" s="1"/>
  <c r="A5644" i="26" s="1"/>
  <c r="A5645" i="26" s="1"/>
  <c r="A5646" i="26" s="1"/>
  <c r="A5647" i="26" s="1"/>
  <c r="A5648" i="26" s="1"/>
  <c r="A5649" i="26" s="1"/>
  <c r="A5650" i="26" s="1"/>
  <c r="A5651" i="26" s="1"/>
  <c r="A5652" i="26" s="1"/>
  <c r="A5653" i="26" s="1"/>
  <c r="A5654" i="26" s="1"/>
  <c r="A5655" i="26" s="1"/>
  <c r="A5656" i="26" s="1"/>
  <c r="A5657" i="26" s="1"/>
  <c r="A5658" i="26" s="1"/>
  <c r="A5659" i="26" s="1"/>
  <c r="A5660" i="26" s="1"/>
  <c r="A5661" i="26" s="1"/>
  <c r="A5662" i="26" s="1"/>
  <c r="A5663" i="26" s="1"/>
  <c r="A5664" i="26" s="1"/>
  <c r="A5665" i="26" s="1"/>
  <c r="A5666" i="26" s="1"/>
  <c r="A5667" i="26" s="1"/>
  <c r="A5668" i="26" s="1"/>
  <c r="A5669" i="26" s="1"/>
  <c r="A5670" i="26" s="1"/>
  <c r="A5671" i="26" s="1"/>
  <c r="A5672" i="26" s="1"/>
  <c r="A5673" i="26" s="1"/>
  <c r="A5674" i="26" s="1"/>
  <c r="A5675" i="26" s="1"/>
  <c r="A5676" i="26" s="1"/>
  <c r="A5677" i="26" s="1"/>
  <c r="A5678" i="26" s="1"/>
  <c r="A5679" i="26" s="1"/>
  <c r="A5680" i="26" s="1"/>
  <c r="A5681" i="26" s="1"/>
  <c r="A5682" i="26" s="1"/>
  <c r="A5683" i="26" s="1"/>
  <c r="A5684" i="26" s="1"/>
  <c r="A5685" i="26" s="1"/>
  <c r="A5686" i="26" s="1"/>
  <c r="A5687" i="26" s="1"/>
  <c r="A5688" i="26" s="1"/>
  <c r="A5689" i="26" s="1"/>
  <c r="A5690" i="26" s="1"/>
  <c r="A5691" i="26" s="1"/>
  <c r="A5692" i="26" s="1"/>
  <c r="A5693" i="26" s="1"/>
  <c r="A5694" i="26" s="1"/>
  <c r="A5695" i="26" s="1"/>
  <c r="A5696" i="26" s="1"/>
  <c r="A5697" i="26" s="1"/>
  <c r="A5698" i="26" s="1"/>
  <c r="A5699" i="26" s="1"/>
  <c r="A5700" i="26" s="1"/>
  <c r="A5701" i="26" s="1"/>
  <c r="A5702" i="26" s="1"/>
  <c r="A5703" i="26" s="1"/>
  <c r="A5704" i="26" s="1"/>
  <c r="A5705" i="26" s="1"/>
  <c r="A5706" i="26" s="1"/>
  <c r="A5707" i="26" s="1"/>
  <c r="A5708" i="26" s="1"/>
  <c r="A5709" i="26" s="1"/>
  <c r="A5710" i="26" s="1"/>
  <c r="A5711" i="26" s="1"/>
  <c r="A5712" i="26" s="1"/>
  <c r="A5713" i="26" s="1"/>
  <c r="A5714" i="26" s="1"/>
  <c r="A5715" i="26" s="1"/>
  <c r="A5716" i="26" s="1"/>
  <c r="A5717" i="26" s="1"/>
  <c r="A5718" i="26" s="1"/>
  <c r="A5719" i="26" s="1"/>
  <c r="A5720" i="26" s="1"/>
  <c r="A5721" i="26" s="1"/>
  <c r="A5722" i="26" s="1"/>
  <c r="A5723" i="26" s="1"/>
  <c r="A5724" i="26" s="1"/>
  <c r="A5725" i="26" s="1"/>
  <c r="A5726" i="26" s="1"/>
  <c r="A5727" i="26" s="1"/>
  <c r="A5728" i="26" s="1"/>
  <c r="A5729" i="26" s="1"/>
  <c r="A5730" i="26" s="1"/>
  <c r="A5731" i="26" s="1"/>
  <c r="A5732" i="26" s="1"/>
  <c r="A5733" i="26" s="1"/>
  <c r="A5734" i="26" s="1"/>
  <c r="A5735" i="26" s="1"/>
  <c r="A5736" i="26" s="1"/>
  <c r="A5737" i="26" s="1"/>
  <c r="A5738" i="26" s="1"/>
  <c r="A5739" i="26" s="1"/>
  <c r="A5740" i="26" s="1"/>
  <c r="A5741" i="26" s="1"/>
  <c r="A5742" i="26" s="1"/>
  <c r="A5743" i="26" s="1"/>
  <c r="A5744" i="26" s="1"/>
  <c r="A5745" i="26" s="1"/>
  <c r="A5746" i="26" s="1"/>
  <c r="A5747" i="26" s="1"/>
  <c r="A5748" i="26" s="1"/>
  <c r="A5749" i="26" s="1"/>
  <c r="A5750" i="26" s="1"/>
  <c r="A5751" i="26" s="1"/>
  <c r="A5752" i="26" s="1"/>
  <c r="A5753" i="26" s="1"/>
  <c r="A5754" i="26" s="1"/>
  <c r="A5755" i="26" s="1"/>
  <c r="A5756" i="26" s="1"/>
  <c r="A5757" i="26" s="1"/>
  <c r="A5758" i="26" s="1"/>
  <c r="A5759" i="26" s="1"/>
  <c r="A5760" i="26" s="1"/>
  <c r="A5761" i="26" s="1"/>
  <c r="A5762" i="26" s="1"/>
  <c r="A5763" i="26" s="1"/>
  <c r="A5764" i="26" s="1"/>
  <c r="A5765" i="26" s="1"/>
  <c r="A5766" i="26" s="1"/>
  <c r="A5767" i="26" s="1"/>
  <c r="A5768" i="26" s="1"/>
  <c r="A5769" i="26" s="1"/>
  <c r="A5770" i="26" s="1"/>
  <c r="A5771" i="26" s="1"/>
  <c r="A5772" i="26" s="1"/>
  <c r="A5773" i="26" s="1"/>
  <c r="A5774" i="26" s="1"/>
  <c r="A5775" i="26" s="1"/>
  <c r="A5776" i="26" s="1"/>
  <c r="A5777" i="26" s="1"/>
  <c r="A5778" i="26" s="1"/>
  <c r="A5779" i="26" s="1"/>
  <c r="A5780" i="26" s="1"/>
  <c r="A5781" i="26" s="1"/>
  <c r="A5782" i="26" s="1"/>
  <c r="A5783" i="26" s="1"/>
  <c r="A5784" i="26" s="1"/>
  <c r="A5785" i="26" s="1"/>
  <c r="A5786" i="26" s="1"/>
  <c r="A5787" i="26" s="1"/>
  <c r="A5788" i="26" s="1"/>
  <c r="A5789" i="26" s="1"/>
  <c r="A5790" i="26" s="1"/>
  <c r="A5791" i="26" s="1"/>
  <c r="A5792" i="26" s="1"/>
  <c r="A5793" i="26" s="1"/>
  <c r="A5794" i="26" s="1"/>
  <c r="A5795" i="26" s="1"/>
  <c r="A5796" i="26" s="1"/>
  <c r="A5797" i="26" s="1"/>
  <c r="A5798" i="26" s="1"/>
  <c r="A5799" i="26" s="1"/>
  <c r="A5800" i="26" s="1"/>
  <c r="A5801" i="26" s="1"/>
  <c r="A5802" i="26" s="1"/>
  <c r="A5803" i="26" s="1"/>
  <c r="A5804" i="26" s="1"/>
  <c r="A5805" i="26" s="1"/>
  <c r="A5806" i="26" s="1"/>
  <c r="A5807" i="26" s="1"/>
  <c r="A5808" i="26" s="1"/>
  <c r="A5809" i="26" s="1"/>
  <c r="A5810" i="26" s="1"/>
  <c r="A5811" i="26" s="1"/>
  <c r="A5812" i="26" s="1"/>
  <c r="A5813" i="26" s="1"/>
  <c r="A5814" i="26" s="1"/>
  <c r="A5815" i="26" s="1"/>
  <c r="A5816" i="26" s="1"/>
  <c r="A5817" i="26" s="1"/>
  <c r="A5818" i="26" s="1"/>
  <c r="A5819" i="26" s="1"/>
  <c r="A5820" i="26" s="1"/>
  <c r="A5821" i="26" s="1"/>
  <c r="A5822" i="26" s="1"/>
  <c r="A5823" i="26" s="1"/>
  <c r="A5824" i="26" s="1"/>
  <c r="A5825" i="26" s="1"/>
  <c r="A5826" i="26" s="1"/>
  <c r="A5827" i="26" s="1"/>
  <c r="A5828" i="26" s="1"/>
  <c r="A5829" i="26" s="1"/>
  <c r="A5830" i="26" s="1"/>
  <c r="A5831" i="26" s="1"/>
  <c r="A5832" i="26" s="1"/>
  <c r="A5833" i="26" s="1"/>
  <c r="A5834" i="26" s="1"/>
  <c r="A5835" i="26" s="1"/>
  <c r="A5836" i="26" s="1"/>
  <c r="A5837" i="26" s="1"/>
  <c r="A5838" i="26" s="1"/>
  <c r="A5839" i="26" s="1"/>
  <c r="A5840" i="26" s="1"/>
  <c r="A5841" i="26" s="1"/>
  <c r="A5842" i="26" s="1"/>
  <c r="A5843" i="26" s="1"/>
  <c r="A5844" i="26" s="1"/>
  <c r="A5845" i="26" s="1"/>
  <c r="A5846" i="26" s="1"/>
  <c r="A5847" i="26" s="1"/>
  <c r="A5848" i="26" s="1"/>
  <c r="A5849" i="26" s="1"/>
  <c r="A5850" i="26" s="1"/>
  <c r="A5851" i="26" s="1"/>
  <c r="A5852" i="26" s="1"/>
  <c r="A5853" i="26" s="1"/>
  <c r="A5854" i="26" s="1"/>
  <c r="A5855" i="26" s="1"/>
  <c r="A5856" i="26" s="1"/>
  <c r="A5857" i="26" s="1"/>
  <c r="A5858" i="26" s="1"/>
  <c r="A5859" i="26" s="1"/>
  <c r="A5860" i="26" s="1"/>
  <c r="A5861" i="26" s="1"/>
  <c r="A5862" i="26" s="1"/>
  <c r="A5863" i="26" s="1"/>
  <c r="A5864" i="26" s="1"/>
  <c r="A5865" i="26" s="1"/>
  <c r="A5866" i="26" s="1"/>
  <c r="A5867" i="26" s="1"/>
  <c r="A5868" i="26" s="1"/>
  <c r="A5869" i="26" s="1"/>
  <c r="A5870" i="26" s="1"/>
  <c r="A5871" i="26" s="1"/>
  <c r="A5872" i="26" s="1"/>
  <c r="A5873" i="26" s="1"/>
  <c r="A5874" i="26" s="1"/>
  <c r="A5875" i="26" s="1"/>
  <c r="A5876" i="26" s="1"/>
  <c r="A5877" i="26" s="1"/>
  <c r="A5878" i="26" s="1"/>
  <c r="A5879" i="26" s="1"/>
  <c r="A5880" i="26" s="1"/>
  <c r="A5881" i="26" s="1"/>
  <c r="A5882" i="26" s="1"/>
  <c r="A5883" i="26" s="1"/>
  <c r="A5884" i="26" s="1"/>
  <c r="A5885" i="26" s="1"/>
  <c r="A5886" i="26" s="1"/>
  <c r="A5887" i="26" s="1"/>
  <c r="A5888" i="26" s="1"/>
  <c r="A5889" i="26" s="1"/>
  <c r="A5890" i="26" s="1"/>
  <c r="A5891" i="26" s="1"/>
  <c r="A5892" i="26" s="1"/>
  <c r="A5893" i="26" s="1"/>
  <c r="A5894" i="26" s="1"/>
  <c r="A5895" i="26" s="1"/>
  <c r="A5896" i="26" s="1"/>
  <c r="A5897" i="26" s="1"/>
  <c r="A5898" i="26" s="1"/>
  <c r="A5899" i="26" s="1"/>
  <c r="A5900" i="26" s="1"/>
  <c r="A5901" i="26" s="1"/>
  <c r="A5902" i="26" s="1"/>
  <c r="A5903" i="26" s="1"/>
  <c r="A5904" i="26" s="1"/>
  <c r="A5905" i="26" s="1"/>
  <c r="A5906" i="26" s="1"/>
  <c r="A5907" i="26" s="1"/>
  <c r="A5908" i="26" s="1"/>
  <c r="A5909" i="26" s="1"/>
  <c r="A5910" i="26" s="1"/>
  <c r="A5911" i="26" s="1"/>
  <c r="A5912" i="26" s="1"/>
  <c r="A5913" i="26" s="1"/>
  <c r="A5914" i="26" s="1"/>
  <c r="A5915" i="26" s="1"/>
  <c r="A5916" i="26" s="1"/>
  <c r="A5917" i="26" s="1"/>
  <c r="A5918" i="26" s="1"/>
  <c r="A5919" i="26" s="1"/>
  <c r="A5920" i="26" s="1"/>
  <c r="A5921" i="26" s="1"/>
  <c r="A5922" i="26" s="1"/>
  <c r="A5923" i="26" s="1"/>
  <c r="A5924" i="26" s="1"/>
  <c r="A5925" i="26" s="1"/>
  <c r="A5926" i="26" s="1"/>
  <c r="A5927" i="26" s="1"/>
  <c r="A5928" i="26" s="1"/>
  <c r="A5929" i="26" s="1"/>
  <c r="A5930" i="26" s="1"/>
  <c r="A5931" i="26" s="1"/>
  <c r="A5932" i="26" s="1"/>
  <c r="A5933" i="26" s="1"/>
  <c r="A5934" i="26" s="1"/>
  <c r="A5935" i="26" s="1"/>
  <c r="A5936" i="26" s="1"/>
  <c r="A5937" i="26" s="1"/>
  <c r="A5938" i="26" s="1"/>
  <c r="A5939" i="26" s="1"/>
  <c r="A5940" i="26" s="1"/>
  <c r="A5941" i="26" s="1"/>
  <c r="A5942" i="26" s="1"/>
  <c r="A5943" i="26" s="1"/>
  <c r="A5944" i="26" s="1"/>
  <c r="A5945" i="26" s="1"/>
  <c r="A5946" i="26" s="1"/>
  <c r="A5947" i="26" s="1"/>
  <c r="A5948" i="26" s="1"/>
  <c r="A5949" i="26" s="1"/>
  <c r="A5950" i="26" s="1"/>
  <c r="A5951" i="26" s="1"/>
  <c r="A5952" i="26" s="1"/>
  <c r="A5953" i="26" s="1"/>
  <c r="A5954" i="26" s="1"/>
  <c r="A5955" i="26" s="1"/>
  <c r="A5956" i="26" s="1"/>
  <c r="A5957" i="26" s="1"/>
  <c r="A5958" i="26" s="1"/>
  <c r="A5959" i="26" s="1"/>
  <c r="A5960" i="26" s="1"/>
  <c r="A5961" i="26" s="1"/>
  <c r="A5962" i="26" s="1"/>
  <c r="A5963" i="26" s="1"/>
  <c r="A5964" i="26" s="1"/>
  <c r="A5965" i="26" s="1"/>
  <c r="A5966" i="26" s="1"/>
  <c r="A5967" i="26" s="1"/>
  <c r="A5968" i="26" s="1"/>
  <c r="A5969" i="26" s="1"/>
  <c r="A5970" i="26" s="1"/>
  <c r="A5971" i="26" s="1"/>
  <c r="A5972" i="26" s="1"/>
  <c r="A5973" i="26" s="1"/>
  <c r="A5974" i="26" s="1"/>
  <c r="A5975" i="26" s="1"/>
  <c r="A5976" i="26" s="1"/>
  <c r="A5977" i="26" s="1"/>
  <c r="A5978" i="26" s="1"/>
  <c r="A5979" i="26" s="1"/>
  <c r="A5980" i="26" s="1"/>
  <c r="A5981" i="26" s="1"/>
  <c r="A5982" i="26" s="1"/>
  <c r="A5983" i="26" s="1"/>
  <c r="A5984" i="26" s="1"/>
  <c r="A5985" i="26" s="1"/>
  <c r="A5986" i="26" s="1"/>
  <c r="A5987" i="26" s="1"/>
  <c r="A5988" i="26" s="1"/>
  <c r="A5989" i="26" s="1"/>
  <c r="A5990" i="26" s="1"/>
  <c r="A5991" i="26" s="1"/>
  <c r="A5992" i="26" s="1"/>
  <c r="A5993" i="26" s="1"/>
  <c r="A5994" i="26" s="1"/>
  <c r="A5995" i="26" s="1"/>
  <c r="A5996" i="26" s="1"/>
  <c r="A5997" i="26" s="1"/>
  <c r="A5998" i="26" s="1"/>
  <c r="A5999" i="26" s="1"/>
  <c r="A6000" i="26" s="1"/>
  <c r="A6001" i="26" s="1"/>
  <c r="A6002" i="26" s="1"/>
  <c r="A6003" i="26" s="1"/>
  <c r="A6004" i="26" s="1"/>
  <c r="A6005" i="26" s="1"/>
  <c r="A6006" i="26" s="1"/>
  <c r="A6007" i="26" s="1"/>
  <c r="A6008" i="26" s="1"/>
  <c r="A6009" i="26" s="1"/>
  <c r="A6010" i="26" s="1"/>
  <c r="A6011" i="26" s="1"/>
  <c r="A6012" i="26" s="1"/>
  <c r="A6013" i="26" s="1"/>
  <c r="A6014" i="26" s="1"/>
  <c r="A6015" i="26" s="1"/>
  <c r="A6016" i="26" s="1"/>
  <c r="A6017" i="26" s="1"/>
  <c r="A6018" i="26" s="1"/>
  <c r="A6019" i="26" s="1"/>
  <c r="A6020" i="26" s="1"/>
  <c r="A6021" i="26" s="1"/>
  <c r="A6022" i="26" s="1"/>
  <c r="A6023" i="26" s="1"/>
  <c r="A6024" i="26" s="1"/>
  <c r="A6025" i="26" s="1"/>
  <c r="A6026" i="26" s="1"/>
  <c r="A6027" i="26" s="1"/>
  <c r="A6028" i="26" s="1"/>
  <c r="A6029" i="26" s="1"/>
  <c r="A6030" i="26" s="1"/>
  <c r="A6031" i="26" s="1"/>
  <c r="A6032" i="26" s="1"/>
  <c r="A6033" i="26" s="1"/>
  <c r="A6034" i="26" s="1"/>
  <c r="A6035" i="26" s="1"/>
  <c r="A6036" i="26" s="1"/>
  <c r="A6037" i="26" s="1"/>
  <c r="A6038" i="26" s="1"/>
  <c r="A6039" i="26" s="1"/>
  <c r="A6040" i="26" s="1"/>
  <c r="A6041" i="26" s="1"/>
  <c r="A6042" i="26" s="1"/>
  <c r="A6043" i="26" s="1"/>
  <c r="A6044" i="26" s="1"/>
  <c r="A6045" i="26" s="1"/>
  <c r="A6046" i="26" s="1"/>
  <c r="A6047" i="26" s="1"/>
  <c r="A6048" i="26" s="1"/>
  <c r="A6049" i="26" s="1"/>
  <c r="A6050" i="26" s="1"/>
  <c r="A6051" i="26" s="1"/>
  <c r="A6052" i="26" s="1"/>
  <c r="A6053" i="26" s="1"/>
  <c r="A6054" i="26" s="1"/>
  <c r="A6055" i="26" s="1"/>
  <c r="A6056" i="26" s="1"/>
  <c r="A6057" i="26" s="1"/>
  <c r="A6058" i="26" s="1"/>
  <c r="A6059" i="26" s="1"/>
  <c r="A6060" i="26" s="1"/>
  <c r="A6061" i="26" s="1"/>
  <c r="A6062" i="26" s="1"/>
  <c r="A6063" i="26" s="1"/>
  <c r="A6064" i="26" s="1"/>
  <c r="A6065" i="26" s="1"/>
  <c r="A6066" i="26" s="1"/>
  <c r="A6067" i="26" s="1"/>
  <c r="A6068" i="26" s="1"/>
  <c r="A6069" i="26" s="1"/>
  <c r="A6070" i="26" s="1"/>
  <c r="A6071" i="26" s="1"/>
  <c r="A6072" i="26" s="1"/>
  <c r="A6073" i="26" s="1"/>
  <c r="A6074" i="26" s="1"/>
  <c r="A6075" i="26" s="1"/>
  <c r="A6076" i="26" s="1"/>
  <c r="A6077" i="26" s="1"/>
  <c r="A6078" i="26" s="1"/>
  <c r="A6079" i="26" s="1"/>
  <c r="A6080" i="26" s="1"/>
  <c r="A6081" i="26" s="1"/>
  <c r="A6082" i="26" s="1"/>
  <c r="A6083" i="26" s="1"/>
  <c r="A6084" i="26" s="1"/>
  <c r="A6085" i="26" s="1"/>
  <c r="A6086" i="26" s="1"/>
  <c r="A6087" i="26" s="1"/>
  <c r="A6088" i="26" s="1"/>
  <c r="A6089" i="26" s="1"/>
  <c r="A6090" i="26" s="1"/>
  <c r="A6091" i="26" s="1"/>
  <c r="A6092" i="26" s="1"/>
  <c r="A6093" i="26" s="1"/>
  <c r="A6094" i="26" s="1"/>
  <c r="A6095" i="26" s="1"/>
  <c r="A6096" i="26" s="1"/>
  <c r="A6097" i="26" s="1"/>
  <c r="A6098" i="26" s="1"/>
  <c r="A6099" i="26" s="1"/>
  <c r="A6100" i="26" s="1"/>
  <c r="A6101" i="26" s="1"/>
  <c r="A6102" i="26" s="1"/>
  <c r="A6103" i="26" s="1"/>
  <c r="A6104" i="26" s="1"/>
  <c r="A6105" i="26" s="1"/>
  <c r="A6106" i="26" s="1"/>
  <c r="A6107" i="26" s="1"/>
  <c r="A6108" i="26" s="1"/>
  <c r="A6109" i="26" s="1"/>
  <c r="A6110" i="26" s="1"/>
  <c r="A6111" i="26" s="1"/>
  <c r="A6112" i="26" s="1"/>
  <c r="A6113" i="26" s="1"/>
  <c r="A6114" i="26" s="1"/>
  <c r="A6115" i="26" s="1"/>
  <c r="A6116" i="26" s="1"/>
  <c r="A6117" i="26" s="1"/>
  <c r="A6118" i="26" s="1"/>
  <c r="A6119" i="26" s="1"/>
  <c r="A6120" i="26" s="1"/>
  <c r="A6121" i="26" s="1"/>
  <c r="A6122" i="26" s="1"/>
  <c r="A6123" i="26" s="1"/>
  <c r="A6124" i="26" s="1"/>
  <c r="A6125" i="26" s="1"/>
  <c r="A6126" i="26" s="1"/>
  <c r="A6127" i="26" s="1"/>
  <c r="A6128" i="26" s="1"/>
  <c r="A6129" i="26" s="1"/>
  <c r="A6130" i="26" s="1"/>
  <c r="A6131" i="26" s="1"/>
  <c r="A6132" i="26" s="1"/>
  <c r="A6133" i="26" s="1"/>
  <c r="A6134" i="26" s="1"/>
  <c r="A6135" i="26" s="1"/>
  <c r="A6136" i="26" s="1"/>
  <c r="A6137" i="26" s="1"/>
  <c r="A6138" i="26" s="1"/>
  <c r="A6139" i="26" s="1"/>
  <c r="A6140" i="26" s="1"/>
  <c r="A6141" i="26" s="1"/>
  <c r="A6142" i="26" s="1"/>
  <c r="A6143" i="26" s="1"/>
  <c r="A6144" i="26" s="1"/>
  <c r="A6145" i="26" s="1"/>
  <c r="A6146" i="26" s="1"/>
  <c r="A6147" i="26" s="1"/>
  <c r="A6148" i="26" s="1"/>
  <c r="A6149" i="26" s="1"/>
  <c r="A6150" i="26" s="1"/>
  <c r="A6151" i="26" s="1"/>
  <c r="A6152" i="26" s="1"/>
  <c r="A6153" i="26" s="1"/>
  <c r="A6154" i="26" s="1"/>
  <c r="A6155" i="26" s="1"/>
  <c r="A6156" i="26" s="1"/>
  <c r="A6157" i="26" s="1"/>
  <c r="A6158" i="26" s="1"/>
  <c r="A6159" i="26" s="1"/>
  <c r="A6160" i="26" s="1"/>
  <c r="A6161" i="26" s="1"/>
  <c r="A6162" i="26" s="1"/>
  <c r="A6163" i="26" s="1"/>
  <c r="A6164" i="26" s="1"/>
  <c r="A6165" i="26" s="1"/>
  <c r="A6166" i="26" s="1"/>
  <c r="A6167" i="26" s="1"/>
  <c r="A6168" i="26" s="1"/>
  <c r="A6169" i="26" s="1"/>
  <c r="A6170" i="26" s="1"/>
  <c r="A6171" i="26" s="1"/>
  <c r="A6172" i="26" s="1"/>
  <c r="A6173" i="26" s="1"/>
  <c r="A6174" i="26" s="1"/>
  <c r="A6175" i="26" s="1"/>
  <c r="A6176" i="26" s="1"/>
  <c r="A6177" i="26" s="1"/>
  <c r="A6178" i="26" s="1"/>
  <c r="A6179" i="26" s="1"/>
  <c r="A6180" i="26" s="1"/>
  <c r="A6181" i="26" s="1"/>
  <c r="A6182" i="26" s="1"/>
  <c r="A6183" i="26" s="1"/>
  <c r="A6184" i="26" s="1"/>
  <c r="A6185" i="26" s="1"/>
  <c r="A6186" i="26" s="1"/>
  <c r="A6187" i="26" s="1"/>
  <c r="A6188" i="26" s="1"/>
  <c r="A6189" i="26" s="1"/>
  <c r="A6190" i="26" s="1"/>
  <c r="A6191" i="26" s="1"/>
  <c r="A6192" i="26" s="1"/>
  <c r="A6193" i="26" s="1"/>
  <c r="A6194" i="26" s="1"/>
  <c r="A6195" i="26" s="1"/>
  <c r="A6196" i="26" s="1"/>
  <c r="A6197" i="26" s="1"/>
  <c r="A6198" i="26" s="1"/>
  <c r="A6199" i="26" s="1"/>
  <c r="A6200" i="26" s="1"/>
  <c r="A6201" i="26" s="1"/>
  <c r="A6202" i="26" s="1"/>
  <c r="A6203" i="26" s="1"/>
  <c r="A6204" i="26" s="1"/>
  <c r="A6205" i="26" s="1"/>
  <c r="A6206" i="26" s="1"/>
  <c r="A6207" i="26" s="1"/>
  <c r="A6208" i="26" s="1"/>
  <c r="A6209" i="26" s="1"/>
  <c r="A6210" i="26" s="1"/>
  <c r="A6211" i="26" s="1"/>
  <c r="A6212" i="26" s="1"/>
  <c r="A6213" i="26" s="1"/>
  <c r="A6214" i="26" s="1"/>
  <c r="A6215" i="26" s="1"/>
  <c r="A6216" i="26" s="1"/>
  <c r="A6217" i="26" s="1"/>
  <c r="A6218" i="26" s="1"/>
  <c r="A6219" i="26" s="1"/>
  <c r="A6220" i="26" s="1"/>
  <c r="A6221" i="26" s="1"/>
  <c r="A6222" i="26" s="1"/>
  <c r="A6223" i="26" s="1"/>
  <c r="A6224" i="26" s="1"/>
  <c r="A6225" i="26" s="1"/>
  <c r="A6226" i="26" s="1"/>
  <c r="A6227" i="26" s="1"/>
  <c r="A6228" i="26" s="1"/>
  <c r="A6229" i="26" s="1"/>
  <c r="A6230" i="26" s="1"/>
  <c r="A6231" i="26" s="1"/>
  <c r="A6232" i="26" s="1"/>
  <c r="A6233" i="26" s="1"/>
  <c r="A6234" i="26" s="1"/>
  <c r="A6235" i="26" s="1"/>
  <c r="A6236" i="26" s="1"/>
  <c r="A6237" i="26" s="1"/>
  <c r="A6238" i="26" s="1"/>
  <c r="A6239" i="26" s="1"/>
  <c r="A6240" i="26" s="1"/>
  <c r="A6241" i="26" s="1"/>
  <c r="A6242" i="26" s="1"/>
  <c r="A6243" i="26" s="1"/>
  <c r="A6244" i="26" s="1"/>
  <c r="A6245" i="26" s="1"/>
  <c r="A6246" i="26" s="1"/>
  <c r="A6247" i="26" s="1"/>
  <c r="A6248" i="26" s="1"/>
  <c r="A6249" i="26" s="1"/>
  <c r="A6250" i="26" s="1"/>
  <c r="A6251" i="26" s="1"/>
  <c r="A6252" i="26" s="1"/>
  <c r="A6253" i="26" s="1"/>
  <c r="A6254" i="26" s="1"/>
  <c r="A6255" i="26" s="1"/>
  <c r="A6256" i="26" s="1"/>
  <c r="A6257" i="26" s="1"/>
  <c r="A6258" i="26" s="1"/>
  <c r="A6259" i="26" s="1"/>
  <c r="A6260" i="26" s="1"/>
  <c r="A6261" i="26" s="1"/>
  <c r="A6262" i="26" s="1"/>
  <c r="A6263" i="26" s="1"/>
  <c r="A6264" i="26" s="1"/>
  <c r="A6265" i="26" s="1"/>
  <c r="A6266" i="26" s="1"/>
  <c r="A6267" i="26" s="1"/>
  <c r="A6268" i="26" s="1"/>
  <c r="A6269" i="26" s="1"/>
  <c r="A6270" i="26" s="1"/>
  <c r="A6271" i="26" s="1"/>
  <c r="A6272" i="26" s="1"/>
  <c r="A6273" i="26" s="1"/>
  <c r="A6274" i="26" s="1"/>
  <c r="A6275" i="26" s="1"/>
  <c r="A6276" i="26" s="1"/>
  <c r="A6277" i="26" s="1"/>
  <c r="A6278" i="26" s="1"/>
  <c r="A6279" i="26" s="1"/>
  <c r="A6280" i="26" s="1"/>
  <c r="A6281" i="26" s="1"/>
  <c r="A6282" i="26" s="1"/>
  <c r="A6283" i="26" s="1"/>
  <c r="A6284" i="26" s="1"/>
  <c r="A6285" i="26" s="1"/>
  <c r="A6286" i="26" s="1"/>
  <c r="A6287" i="26" s="1"/>
  <c r="A6288" i="26" s="1"/>
  <c r="A6289" i="26" s="1"/>
  <c r="A6290" i="26" s="1"/>
  <c r="A6291" i="26" s="1"/>
  <c r="A6292" i="26" s="1"/>
  <c r="A6293" i="26" s="1"/>
  <c r="A6294" i="26" s="1"/>
  <c r="A6295" i="26" s="1"/>
  <c r="A6296" i="26" s="1"/>
  <c r="A6297" i="26" s="1"/>
  <c r="A6298" i="26" s="1"/>
  <c r="A6299" i="26" s="1"/>
  <c r="A6300" i="26" s="1"/>
  <c r="A6301" i="26" s="1"/>
  <c r="A6302" i="26" s="1"/>
  <c r="A6303" i="26" s="1"/>
  <c r="A6304" i="26" s="1"/>
  <c r="A6305" i="26" s="1"/>
  <c r="A6306" i="26" s="1"/>
  <c r="A6307" i="26" s="1"/>
  <c r="A6308" i="26" s="1"/>
  <c r="A6309" i="26" s="1"/>
  <c r="A6310" i="26" s="1"/>
  <c r="A6311" i="26" s="1"/>
  <c r="A6312" i="26" s="1"/>
  <c r="A6313" i="26" s="1"/>
  <c r="A6314" i="26" s="1"/>
  <c r="A6315" i="26" s="1"/>
  <c r="A6316" i="26" s="1"/>
  <c r="A6317" i="26" s="1"/>
  <c r="A6318" i="26" s="1"/>
  <c r="A6319" i="26" s="1"/>
  <c r="A6320" i="26" s="1"/>
  <c r="A6321" i="26" s="1"/>
  <c r="A6322" i="26" s="1"/>
  <c r="A6323" i="26" s="1"/>
  <c r="A6324" i="26" s="1"/>
  <c r="A6325" i="26" s="1"/>
  <c r="A6326" i="26" s="1"/>
  <c r="A6327" i="26" s="1"/>
  <c r="A6328" i="26" s="1"/>
  <c r="A6329" i="26" s="1"/>
  <c r="A6330" i="26" s="1"/>
  <c r="A6331" i="26" s="1"/>
  <c r="A6332" i="26" s="1"/>
  <c r="A6333" i="26" s="1"/>
  <c r="A6334" i="26" s="1"/>
  <c r="A6335" i="26" s="1"/>
  <c r="A6336" i="26" s="1"/>
  <c r="A6337" i="26" s="1"/>
  <c r="A6338" i="26" s="1"/>
  <c r="A6339" i="26" s="1"/>
  <c r="A6340" i="26" s="1"/>
  <c r="A6341" i="26" s="1"/>
  <c r="A6342" i="26" s="1"/>
  <c r="A6343" i="26" s="1"/>
  <c r="A6344" i="26" s="1"/>
  <c r="A6345" i="26" s="1"/>
  <c r="A6346" i="26" s="1"/>
  <c r="A6347" i="26" s="1"/>
  <c r="A6348" i="26" s="1"/>
  <c r="A6349" i="26" s="1"/>
  <c r="A6350" i="26" s="1"/>
  <c r="A6351" i="26" s="1"/>
  <c r="A6352" i="26" s="1"/>
  <c r="A6353" i="26" s="1"/>
  <c r="A6354" i="26" s="1"/>
  <c r="A6355" i="26" s="1"/>
  <c r="A6356" i="26" s="1"/>
  <c r="A6357" i="26" s="1"/>
  <c r="A6358" i="26" s="1"/>
  <c r="A6359" i="26" s="1"/>
  <c r="A6360" i="26" s="1"/>
  <c r="A6361" i="26" s="1"/>
  <c r="A6362" i="26" s="1"/>
  <c r="A6363" i="26" s="1"/>
  <c r="A6364" i="26" s="1"/>
  <c r="A6365" i="26" s="1"/>
  <c r="A6366" i="26" s="1"/>
  <c r="A6367" i="26" s="1"/>
  <c r="A6368" i="26" s="1"/>
  <c r="A6369" i="26" s="1"/>
  <c r="A6370" i="26" s="1"/>
  <c r="A6371" i="26" s="1"/>
  <c r="A6372" i="26" s="1"/>
  <c r="A6373" i="26" s="1"/>
  <c r="A6374" i="26" s="1"/>
  <c r="A6375" i="26" s="1"/>
  <c r="A6376" i="26" s="1"/>
  <c r="A6377" i="26" s="1"/>
  <c r="A6378" i="26" s="1"/>
  <c r="A6379" i="26" s="1"/>
  <c r="A6380" i="26" s="1"/>
  <c r="A6381" i="26" s="1"/>
  <c r="A6382" i="26" s="1"/>
  <c r="A6383" i="26" s="1"/>
  <c r="A6384" i="26" s="1"/>
  <c r="A6385" i="26" s="1"/>
  <c r="A6386" i="26" s="1"/>
  <c r="A6387" i="26" s="1"/>
  <c r="A6388" i="26" s="1"/>
  <c r="A6389" i="26" s="1"/>
  <c r="A6390" i="26" s="1"/>
  <c r="A6391" i="26" s="1"/>
  <c r="A6392" i="26" s="1"/>
  <c r="A6393" i="26" s="1"/>
  <c r="A6394" i="26" s="1"/>
  <c r="A6395" i="26" s="1"/>
  <c r="A6396" i="26" s="1"/>
  <c r="A6397" i="26" s="1"/>
  <c r="A6398" i="26" s="1"/>
  <c r="A6399" i="26" s="1"/>
  <c r="A6400" i="26" s="1"/>
  <c r="A6401" i="26" s="1"/>
  <c r="A6402" i="26" s="1"/>
  <c r="A6403" i="26" s="1"/>
  <c r="A6404" i="26" s="1"/>
  <c r="A6405" i="26" s="1"/>
  <c r="A6406" i="26" s="1"/>
  <c r="A6407" i="26" s="1"/>
  <c r="A6408" i="26" s="1"/>
  <c r="A6409" i="26" s="1"/>
  <c r="A6410" i="26" s="1"/>
  <c r="A6411" i="26" s="1"/>
  <c r="A6412" i="26" s="1"/>
  <c r="A6413" i="26" s="1"/>
  <c r="A6414" i="26" s="1"/>
  <c r="A6415" i="26" s="1"/>
  <c r="A6416" i="26" s="1"/>
  <c r="A6417" i="26" s="1"/>
  <c r="A6418" i="26" s="1"/>
  <c r="A6419" i="26" s="1"/>
  <c r="A6420" i="26" s="1"/>
  <c r="A6421" i="26" s="1"/>
  <c r="A6422" i="26" s="1"/>
  <c r="A6423" i="26" s="1"/>
  <c r="A6424" i="26" s="1"/>
  <c r="A6425" i="26" s="1"/>
  <c r="A6426" i="26" s="1"/>
  <c r="A6427" i="26" s="1"/>
  <c r="A6428" i="26" s="1"/>
  <c r="A6429" i="26" s="1"/>
  <c r="A6430" i="26" s="1"/>
  <c r="A6431" i="26" s="1"/>
  <c r="A6432" i="26" s="1"/>
  <c r="A6433" i="26" s="1"/>
  <c r="A6434" i="26" s="1"/>
  <c r="A6435" i="26" s="1"/>
  <c r="A6436" i="26" s="1"/>
  <c r="A6437" i="26" s="1"/>
  <c r="A6438" i="26" s="1"/>
  <c r="A6439" i="26" s="1"/>
  <c r="A6440" i="26" s="1"/>
  <c r="A6441" i="26" s="1"/>
  <c r="A6442" i="26" s="1"/>
  <c r="A6443" i="26" s="1"/>
  <c r="A6444" i="26" s="1"/>
  <c r="A6445" i="26" s="1"/>
  <c r="A6446" i="26" s="1"/>
  <c r="A6447" i="26" s="1"/>
  <c r="A6448" i="26" s="1"/>
  <c r="A6449" i="26" s="1"/>
  <c r="A6450" i="26" s="1"/>
  <c r="A6451" i="26" s="1"/>
  <c r="A6452" i="26" s="1"/>
  <c r="A6453" i="26" s="1"/>
  <c r="A6454" i="26" s="1"/>
  <c r="A6455" i="26" s="1"/>
  <c r="A6456" i="26" s="1"/>
  <c r="A6457" i="26" s="1"/>
  <c r="A6458" i="26" s="1"/>
  <c r="A6459" i="26" s="1"/>
  <c r="A6460" i="26" s="1"/>
  <c r="A6461" i="26" s="1"/>
  <c r="A6462" i="26" s="1"/>
  <c r="A6463" i="26" s="1"/>
  <c r="A6464" i="26" s="1"/>
  <c r="A6465" i="26" s="1"/>
  <c r="A6466" i="26" s="1"/>
  <c r="A6467" i="26" s="1"/>
  <c r="A6468" i="26" s="1"/>
  <c r="A6469" i="26" s="1"/>
  <c r="A6470" i="26" s="1"/>
  <c r="A6471" i="26" s="1"/>
  <c r="A6472" i="26" s="1"/>
  <c r="A6473" i="26" s="1"/>
  <c r="A6474" i="26" s="1"/>
  <c r="A6475" i="26" s="1"/>
  <c r="A6476" i="26" s="1"/>
  <c r="A6477" i="26" s="1"/>
  <c r="A6478" i="26" s="1"/>
  <c r="A6479" i="26" s="1"/>
  <c r="A6480" i="26" s="1"/>
  <c r="A6481" i="26" s="1"/>
  <c r="A6482" i="26" s="1"/>
  <c r="A6483" i="26" s="1"/>
  <c r="A6484" i="26" s="1"/>
  <c r="A6485" i="26" s="1"/>
  <c r="A6486" i="26" s="1"/>
  <c r="A6487" i="26" s="1"/>
  <c r="A6488" i="26" s="1"/>
  <c r="A6489" i="26" s="1"/>
  <c r="A6490" i="26" s="1"/>
  <c r="A6491" i="26" s="1"/>
  <c r="A6492" i="26" s="1"/>
  <c r="A6493" i="26" s="1"/>
  <c r="A6494" i="26" s="1"/>
  <c r="A6495" i="26" s="1"/>
  <c r="A6496" i="26" s="1"/>
  <c r="A6497" i="26" s="1"/>
  <c r="A6498" i="26" s="1"/>
  <c r="A6499" i="26" s="1"/>
  <c r="A6500" i="26" s="1"/>
  <c r="A6501" i="26" s="1"/>
  <c r="A6502" i="26" s="1"/>
  <c r="A6503" i="26" s="1"/>
  <c r="A6504" i="26" s="1"/>
  <c r="A6505" i="26" s="1"/>
  <c r="A6506" i="26" s="1"/>
  <c r="A6507" i="26" s="1"/>
  <c r="A6508" i="26" s="1"/>
  <c r="A6509" i="26" s="1"/>
  <c r="A6510" i="26" s="1"/>
  <c r="A6511" i="26" s="1"/>
  <c r="A6512" i="26" s="1"/>
  <c r="A6513" i="26" s="1"/>
  <c r="A6514" i="26" s="1"/>
  <c r="A6515" i="26" s="1"/>
  <c r="A6516" i="26" s="1"/>
  <c r="A6517" i="26" s="1"/>
  <c r="A6518" i="26" s="1"/>
  <c r="A6519" i="26" s="1"/>
  <c r="A6520" i="26" s="1"/>
  <c r="A6521" i="26" s="1"/>
  <c r="A6522" i="26" s="1"/>
  <c r="A6523" i="26" s="1"/>
  <c r="A6524" i="26" s="1"/>
  <c r="A6525" i="26" s="1"/>
  <c r="A6526" i="26" s="1"/>
  <c r="A6527" i="26" s="1"/>
  <c r="A6528" i="26" s="1"/>
  <c r="A6529" i="26" s="1"/>
  <c r="A6530" i="26" s="1"/>
  <c r="A6531" i="26" s="1"/>
  <c r="A6532" i="26" s="1"/>
  <c r="A6533" i="26" s="1"/>
  <c r="A6534" i="26" s="1"/>
  <c r="A6535" i="26" s="1"/>
  <c r="A6536" i="26" s="1"/>
  <c r="A6537" i="26" s="1"/>
  <c r="A6538" i="26" s="1"/>
  <c r="A6539" i="26" s="1"/>
  <c r="A6540" i="26" s="1"/>
  <c r="A6541" i="26" s="1"/>
  <c r="A6542" i="26" s="1"/>
  <c r="A6543" i="26" s="1"/>
  <c r="A6544" i="26" s="1"/>
  <c r="A6545" i="26" s="1"/>
  <c r="A6546" i="26" s="1"/>
  <c r="A6547" i="26" s="1"/>
  <c r="A6548" i="26" s="1"/>
  <c r="A6549" i="26" s="1"/>
  <c r="A6550" i="26" s="1"/>
  <c r="A6551" i="26" s="1"/>
  <c r="A6552" i="26" s="1"/>
  <c r="A6553" i="26" s="1"/>
  <c r="A6554" i="26" s="1"/>
  <c r="A6555" i="26" s="1"/>
  <c r="A6556" i="26" s="1"/>
  <c r="A6557" i="26" s="1"/>
  <c r="A6558" i="26" s="1"/>
  <c r="A6559" i="26" s="1"/>
  <c r="A6560" i="26" s="1"/>
  <c r="A6561" i="26" s="1"/>
  <c r="A6562" i="26" s="1"/>
  <c r="A6563" i="26" s="1"/>
  <c r="A6564" i="26" s="1"/>
  <c r="A6565" i="26" s="1"/>
  <c r="A6566" i="26" s="1"/>
  <c r="A6567" i="26" s="1"/>
  <c r="A6568" i="26" s="1"/>
  <c r="A6569" i="26" s="1"/>
  <c r="A6570" i="26" s="1"/>
  <c r="A6571" i="26" s="1"/>
  <c r="A6572" i="26" s="1"/>
  <c r="A6573" i="26" s="1"/>
  <c r="A6574" i="26" s="1"/>
  <c r="A6575" i="26" s="1"/>
  <c r="A6576" i="26" s="1"/>
  <c r="A6577" i="26" s="1"/>
  <c r="A6578" i="26" s="1"/>
  <c r="A6579" i="26" s="1"/>
  <c r="A6580" i="26" s="1"/>
  <c r="A6581" i="26" s="1"/>
  <c r="A6582" i="26" s="1"/>
  <c r="A6583" i="26" s="1"/>
  <c r="A6584" i="26" s="1"/>
  <c r="A6585" i="26" s="1"/>
  <c r="A6586" i="26" s="1"/>
  <c r="A6587" i="26" s="1"/>
  <c r="A6588" i="26" s="1"/>
  <c r="A6589" i="26" s="1"/>
  <c r="A6590" i="26" s="1"/>
  <c r="A6591" i="26" s="1"/>
  <c r="A6592" i="26" s="1"/>
  <c r="A6593" i="26" s="1"/>
  <c r="A6594" i="26" s="1"/>
  <c r="A6595" i="26" s="1"/>
  <c r="A6596" i="26" s="1"/>
  <c r="A6597" i="26" s="1"/>
  <c r="A6598" i="26" s="1"/>
  <c r="A6599" i="26" s="1"/>
  <c r="A6600" i="26" s="1"/>
  <c r="A6601" i="26" s="1"/>
  <c r="A6602" i="26" s="1"/>
  <c r="A6603" i="26" s="1"/>
  <c r="A6604" i="26" s="1"/>
  <c r="A6605" i="26" s="1"/>
  <c r="A6606" i="26" s="1"/>
  <c r="A6607" i="26" s="1"/>
  <c r="A6608" i="26" s="1"/>
  <c r="A6609" i="26" s="1"/>
  <c r="A6610" i="26" s="1"/>
  <c r="A6611" i="26" s="1"/>
  <c r="A6612" i="26" s="1"/>
  <c r="A6613" i="26" s="1"/>
  <c r="A6614" i="26" s="1"/>
  <c r="A6615" i="26" s="1"/>
  <c r="A6616" i="26" s="1"/>
  <c r="A6617" i="26" s="1"/>
  <c r="A6618" i="26" s="1"/>
  <c r="A6619" i="26" s="1"/>
  <c r="A6620" i="26" s="1"/>
  <c r="A6621" i="26" s="1"/>
  <c r="A6622" i="26" s="1"/>
  <c r="A6623" i="26" s="1"/>
  <c r="A6624" i="26" s="1"/>
  <c r="A6625" i="26" s="1"/>
  <c r="A6626" i="26" s="1"/>
  <c r="A6627" i="26" s="1"/>
  <c r="A6628" i="26" s="1"/>
  <c r="A6629" i="26" s="1"/>
  <c r="A6630" i="26" s="1"/>
  <c r="A6631" i="26" s="1"/>
  <c r="A6632" i="26" s="1"/>
  <c r="A6633" i="26" s="1"/>
  <c r="A6634" i="26" s="1"/>
  <c r="A6635" i="26" s="1"/>
  <c r="A6636" i="26" s="1"/>
  <c r="A6637" i="26" s="1"/>
  <c r="A6638" i="26" s="1"/>
  <c r="A6639" i="26" s="1"/>
  <c r="A6640" i="26" s="1"/>
  <c r="A6641" i="26" s="1"/>
  <c r="A6642" i="26" s="1"/>
  <c r="A6643" i="26" s="1"/>
  <c r="A6644" i="26" s="1"/>
  <c r="A6645" i="26" s="1"/>
  <c r="A6646" i="26" s="1"/>
  <c r="A6647" i="26" s="1"/>
  <c r="A6648" i="26" s="1"/>
  <c r="A6649" i="26" s="1"/>
  <c r="A6650" i="26" s="1"/>
  <c r="A6651" i="26" s="1"/>
  <c r="A6652" i="26" s="1"/>
  <c r="A6653" i="26" s="1"/>
  <c r="A6654" i="26" s="1"/>
  <c r="A6655" i="26" s="1"/>
  <c r="A6656" i="26" s="1"/>
  <c r="A6657" i="26" s="1"/>
  <c r="A6658" i="26" s="1"/>
  <c r="A6659" i="26" s="1"/>
  <c r="A6660" i="26" s="1"/>
  <c r="A6661" i="26" s="1"/>
  <c r="A6662" i="26" s="1"/>
  <c r="A6663" i="26" s="1"/>
  <c r="A6664" i="26" s="1"/>
  <c r="A6665" i="26" s="1"/>
  <c r="A6666" i="26" s="1"/>
  <c r="A6667" i="26" s="1"/>
  <c r="A6668" i="26" s="1"/>
  <c r="A6669" i="26" s="1"/>
  <c r="A6670" i="26" s="1"/>
  <c r="A6671" i="26" s="1"/>
  <c r="A6672" i="26" s="1"/>
  <c r="A6673" i="26" s="1"/>
  <c r="A6674" i="26" s="1"/>
  <c r="A6675" i="26" s="1"/>
  <c r="A6676" i="26" s="1"/>
  <c r="A6677" i="26" s="1"/>
  <c r="A6678" i="26" s="1"/>
  <c r="A6679" i="26" s="1"/>
  <c r="A6680" i="26" s="1"/>
  <c r="A6681" i="26" s="1"/>
  <c r="A6682" i="26" s="1"/>
  <c r="A6683" i="26" s="1"/>
  <c r="A6684" i="26" s="1"/>
  <c r="A6685" i="26" s="1"/>
  <c r="A6686" i="26" s="1"/>
  <c r="A6687" i="26" s="1"/>
  <c r="A6688" i="26" s="1"/>
  <c r="A6689" i="26" s="1"/>
  <c r="A6690" i="26" s="1"/>
  <c r="A6691" i="26" s="1"/>
  <c r="A6692" i="26" s="1"/>
  <c r="A6693" i="26" s="1"/>
  <c r="A6694" i="26" s="1"/>
  <c r="A6695" i="26" s="1"/>
  <c r="A6696" i="26" s="1"/>
  <c r="A6697" i="26" s="1"/>
  <c r="A6698" i="26" s="1"/>
  <c r="A6699" i="26" s="1"/>
  <c r="A6700" i="26" s="1"/>
  <c r="A6701" i="26" s="1"/>
  <c r="A6702" i="26" s="1"/>
  <c r="A6703" i="26" s="1"/>
  <c r="A6704" i="26" s="1"/>
  <c r="A6705" i="26" s="1"/>
  <c r="A6706" i="26" s="1"/>
  <c r="A6707" i="26" s="1"/>
  <c r="A6708" i="26" s="1"/>
  <c r="A6709" i="26" s="1"/>
  <c r="A6710" i="26" s="1"/>
  <c r="A6711" i="26" s="1"/>
  <c r="A6712" i="26" s="1"/>
  <c r="A6713" i="26" s="1"/>
  <c r="A6714" i="26" s="1"/>
  <c r="A6715" i="26" s="1"/>
  <c r="A6716" i="26" s="1"/>
  <c r="A6717" i="26" s="1"/>
  <c r="A6718" i="26" s="1"/>
  <c r="A6719" i="26" s="1"/>
  <c r="A6720" i="26" s="1"/>
  <c r="A6721" i="26" s="1"/>
  <c r="A6722" i="26" s="1"/>
  <c r="A6723" i="26" s="1"/>
  <c r="A6724" i="26" s="1"/>
  <c r="A6725" i="26" s="1"/>
  <c r="A6726" i="26" s="1"/>
  <c r="A6727" i="26" s="1"/>
  <c r="A6728" i="26" s="1"/>
  <c r="A6729" i="26" s="1"/>
  <c r="A6730" i="26" s="1"/>
  <c r="A6731" i="26" s="1"/>
  <c r="A6732" i="26" s="1"/>
  <c r="A6733" i="26" s="1"/>
  <c r="A6734" i="26" s="1"/>
  <c r="A6735" i="26" s="1"/>
  <c r="A6736" i="26" s="1"/>
  <c r="A6737" i="26" s="1"/>
  <c r="A6738" i="26" s="1"/>
  <c r="A6739" i="26" s="1"/>
  <c r="A6740" i="26" s="1"/>
  <c r="A6741" i="26" s="1"/>
  <c r="A6742" i="26" s="1"/>
  <c r="A6743" i="26" s="1"/>
  <c r="A6744" i="26" s="1"/>
  <c r="A6745" i="26" s="1"/>
  <c r="A6746" i="26" s="1"/>
  <c r="A6747" i="26" s="1"/>
  <c r="A6748" i="26" s="1"/>
  <c r="A6749" i="26" s="1"/>
  <c r="A6750" i="26" s="1"/>
  <c r="A6751" i="26" s="1"/>
  <c r="A6752" i="26" s="1"/>
  <c r="A6753" i="26" s="1"/>
  <c r="A6754" i="26" s="1"/>
  <c r="A6755" i="26" s="1"/>
  <c r="A6756" i="26" s="1"/>
  <c r="A6757" i="26" s="1"/>
  <c r="A6758" i="26" s="1"/>
  <c r="A6759" i="26" s="1"/>
  <c r="A6760" i="26" s="1"/>
  <c r="A6761" i="26" s="1"/>
  <c r="A6762" i="26" s="1"/>
  <c r="A6763" i="26" s="1"/>
  <c r="A6764" i="26" s="1"/>
  <c r="A6765" i="26" s="1"/>
  <c r="A6766" i="26" s="1"/>
  <c r="A6767" i="26" s="1"/>
  <c r="A6768" i="26" s="1"/>
  <c r="A6769" i="26" s="1"/>
  <c r="A6770" i="26" s="1"/>
  <c r="A6771" i="26" s="1"/>
  <c r="A6772" i="26" s="1"/>
  <c r="A6773" i="26" s="1"/>
  <c r="A6774" i="26" s="1"/>
  <c r="A6775" i="26" s="1"/>
  <c r="A6776" i="26" s="1"/>
  <c r="A6777" i="26" s="1"/>
  <c r="A6778" i="26" s="1"/>
  <c r="A6779" i="26" s="1"/>
  <c r="A6780" i="26" s="1"/>
  <c r="A6781" i="26" s="1"/>
  <c r="A6782" i="26" s="1"/>
  <c r="A6783" i="26" s="1"/>
  <c r="A6784" i="26" s="1"/>
  <c r="A6785" i="26" s="1"/>
  <c r="A6786" i="26" s="1"/>
  <c r="A6787" i="26" s="1"/>
  <c r="A6788" i="26" s="1"/>
  <c r="A6789" i="26" s="1"/>
  <c r="A6790" i="26" s="1"/>
  <c r="A6791" i="26" s="1"/>
  <c r="A6792" i="26" s="1"/>
  <c r="A6793" i="26" s="1"/>
  <c r="A6794" i="26" s="1"/>
  <c r="A6795" i="26" s="1"/>
  <c r="A6796" i="26" s="1"/>
  <c r="A6797" i="26" s="1"/>
  <c r="A6798" i="26" s="1"/>
  <c r="A6799" i="26" s="1"/>
  <c r="A6800" i="26" s="1"/>
  <c r="A6801" i="26" s="1"/>
  <c r="A6802" i="26" s="1"/>
  <c r="A6803" i="26" s="1"/>
  <c r="A6804" i="26" s="1"/>
  <c r="A6805" i="26" s="1"/>
  <c r="A6806" i="26" s="1"/>
  <c r="A6807" i="26" s="1"/>
  <c r="A6808" i="26" s="1"/>
  <c r="A6809" i="26" s="1"/>
  <c r="A6810" i="26" s="1"/>
  <c r="A6811" i="26" s="1"/>
  <c r="A6812" i="26" s="1"/>
  <c r="A6813" i="26" s="1"/>
  <c r="A6814" i="26" s="1"/>
  <c r="A6815" i="26" s="1"/>
  <c r="A6816" i="26" s="1"/>
  <c r="A6817" i="26" s="1"/>
  <c r="A6818" i="26" s="1"/>
  <c r="A6819" i="26" s="1"/>
  <c r="A6820" i="26" s="1"/>
  <c r="A6821" i="26" s="1"/>
  <c r="A6822" i="26" s="1"/>
  <c r="A6823" i="26" s="1"/>
  <c r="A6824" i="26" s="1"/>
  <c r="A6825" i="26" s="1"/>
  <c r="A6826" i="26" s="1"/>
  <c r="A6827" i="26" s="1"/>
  <c r="A6828" i="26" s="1"/>
  <c r="A6829" i="26" s="1"/>
  <c r="A6830" i="26" s="1"/>
  <c r="A6831" i="26" s="1"/>
  <c r="A6832" i="26" s="1"/>
  <c r="A6833" i="26" s="1"/>
  <c r="A6834" i="26" s="1"/>
  <c r="A6835" i="26" s="1"/>
  <c r="A6836" i="26" s="1"/>
  <c r="A6837" i="26" s="1"/>
  <c r="A6838" i="26" s="1"/>
  <c r="A6839" i="26" s="1"/>
  <c r="A6840" i="26" s="1"/>
  <c r="A6841" i="26" s="1"/>
  <c r="A6842" i="26" s="1"/>
  <c r="A6843" i="26" s="1"/>
  <c r="A6844" i="26" s="1"/>
  <c r="A6845" i="26" s="1"/>
  <c r="A6846" i="26" s="1"/>
  <c r="A6847" i="26" s="1"/>
  <c r="A6848" i="26" s="1"/>
  <c r="A6849" i="26" s="1"/>
  <c r="A6850" i="26" s="1"/>
  <c r="A6851" i="26" s="1"/>
  <c r="A6852" i="26" s="1"/>
  <c r="A6853" i="26" s="1"/>
  <c r="A6854" i="26" s="1"/>
  <c r="A6855" i="26" s="1"/>
  <c r="A6856" i="26" s="1"/>
  <c r="A6857" i="26" s="1"/>
  <c r="A6858" i="26" s="1"/>
  <c r="A6859" i="26" s="1"/>
  <c r="A6860" i="26" s="1"/>
  <c r="A6861" i="26" s="1"/>
  <c r="A6862" i="26" s="1"/>
  <c r="A6863" i="26" s="1"/>
  <c r="A6864" i="26" s="1"/>
  <c r="A6865" i="26" s="1"/>
  <c r="A6866" i="26" s="1"/>
  <c r="A6867" i="26" s="1"/>
  <c r="A6868" i="26" s="1"/>
  <c r="A6869" i="26" s="1"/>
  <c r="A6870" i="26" s="1"/>
  <c r="A6871" i="26" s="1"/>
  <c r="A6872" i="26" s="1"/>
  <c r="A6873" i="26" s="1"/>
  <c r="A6874" i="26" s="1"/>
  <c r="A6875" i="26" s="1"/>
  <c r="A6876" i="26" s="1"/>
  <c r="A6877" i="26" s="1"/>
  <c r="A6878" i="26" s="1"/>
  <c r="A6879" i="26" s="1"/>
  <c r="A6880" i="26" s="1"/>
  <c r="A6881" i="26" s="1"/>
  <c r="A6882" i="26" s="1"/>
  <c r="A6883" i="26" s="1"/>
  <c r="A6884" i="26" s="1"/>
  <c r="A6885" i="26" s="1"/>
  <c r="A6886" i="26" s="1"/>
  <c r="A6887" i="26" s="1"/>
  <c r="A6888" i="26" s="1"/>
  <c r="A6889" i="26" s="1"/>
  <c r="A6890" i="26" s="1"/>
  <c r="A6891" i="26" s="1"/>
  <c r="A6892" i="26" s="1"/>
  <c r="A6893" i="26" s="1"/>
  <c r="A6894" i="26" s="1"/>
  <c r="A6895" i="26" s="1"/>
  <c r="A6896" i="26" s="1"/>
  <c r="A6897" i="26" s="1"/>
  <c r="A6898" i="26" s="1"/>
  <c r="A6899" i="26" s="1"/>
  <c r="A6900" i="26" s="1"/>
  <c r="A6901" i="26" s="1"/>
  <c r="A6902" i="26" s="1"/>
  <c r="A6903" i="26" s="1"/>
  <c r="A6904" i="26" s="1"/>
  <c r="A6905" i="26" s="1"/>
  <c r="A6906" i="26" s="1"/>
  <c r="A6907" i="26" s="1"/>
  <c r="A6908" i="26" s="1"/>
  <c r="A6909" i="26" s="1"/>
  <c r="A6910" i="26" s="1"/>
  <c r="A6911" i="26" s="1"/>
  <c r="A6912" i="26" s="1"/>
  <c r="A6913" i="26" s="1"/>
  <c r="A6914" i="26" s="1"/>
  <c r="A6915" i="26" s="1"/>
  <c r="A6916" i="26" s="1"/>
  <c r="A6917" i="26" s="1"/>
  <c r="A6918" i="26" s="1"/>
  <c r="A6919" i="26" s="1"/>
  <c r="A6920" i="26" s="1"/>
  <c r="A6921" i="26" s="1"/>
  <c r="A6922" i="26" s="1"/>
  <c r="A6923" i="26" s="1"/>
  <c r="A6924" i="26" s="1"/>
  <c r="A6925" i="26" s="1"/>
  <c r="A6926" i="26" s="1"/>
  <c r="A6927" i="26" s="1"/>
  <c r="A6928" i="26" s="1"/>
  <c r="A6929" i="26" s="1"/>
  <c r="A6930" i="26" s="1"/>
  <c r="A6931" i="26" s="1"/>
  <c r="A6932" i="26" s="1"/>
  <c r="A6933" i="26" s="1"/>
  <c r="A6934" i="26" s="1"/>
  <c r="A6935" i="26" s="1"/>
  <c r="A6936" i="26" s="1"/>
  <c r="A6937" i="26" s="1"/>
  <c r="A6938" i="26" s="1"/>
  <c r="A6939" i="26" s="1"/>
  <c r="A6940" i="26" s="1"/>
  <c r="A6941" i="26" s="1"/>
  <c r="A6942" i="26" s="1"/>
  <c r="A6943" i="26" s="1"/>
  <c r="A6944" i="26" s="1"/>
  <c r="A6945" i="26" s="1"/>
  <c r="A6946" i="26" s="1"/>
  <c r="A6947" i="26" s="1"/>
  <c r="A6948" i="26" s="1"/>
  <c r="A6949" i="26" s="1"/>
  <c r="A6950" i="26" s="1"/>
  <c r="A6951" i="26" s="1"/>
  <c r="A6952" i="26" s="1"/>
  <c r="A6953" i="26" s="1"/>
  <c r="A6954" i="26" s="1"/>
  <c r="A6955" i="26" s="1"/>
  <c r="A6956" i="26" s="1"/>
  <c r="A6957" i="26" s="1"/>
  <c r="A6958" i="26" s="1"/>
  <c r="A6959" i="26" s="1"/>
  <c r="A6960" i="26" s="1"/>
  <c r="A6961" i="26" s="1"/>
  <c r="A6962" i="26" s="1"/>
  <c r="A6963" i="26" s="1"/>
  <c r="A6964" i="26" s="1"/>
  <c r="A6965" i="26" s="1"/>
  <c r="A6966" i="26" s="1"/>
  <c r="A6967" i="26" s="1"/>
  <c r="A6968" i="26" s="1"/>
  <c r="A6969" i="26" s="1"/>
  <c r="A6970" i="26" s="1"/>
  <c r="A6971" i="26" s="1"/>
  <c r="A6972" i="26" s="1"/>
  <c r="A6973" i="26" s="1"/>
  <c r="A6974" i="26" s="1"/>
  <c r="A6975" i="26" s="1"/>
  <c r="A6976" i="26" s="1"/>
  <c r="A6977" i="26" s="1"/>
  <c r="A6978" i="26" s="1"/>
  <c r="A6979" i="26" s="1"/>
  <c r="A6980" i="26" s="1"/>
  <c r="A6981" i="26" s="1"/>
  <c r="A6982" i="26" s="1"/>
  <c r="A6983" i="26" s="1"/>
  <c r="A6984" i="26" s="1"/>
  <c r="A6985" i="26" s="1"/>
  <c r="A6986" i="26" s="1"/>
  <c r="A6987" i="26" s="1"/>
  <c r="A6988" i="26" s="1"/>
  <c r="A6989" i="26" s="1"/>
  <c r="A6990" i="26" s="1"/>
  <c r="A6991" i="26" s="1"/>
  <c r="A6992" i="26" s="1"/>
  <c r="A6993" i="26" s="1"/>
  <c r="A6994" i="26" s="1"/>
  <c r="A6995" i="26" s="1"/>
  <c r="A6996" i="26" s="1"/>
  <c r="A6997" i="26" s="1"/>
  <c r="A6998" i="26" s="1"/>
  <c r="A6999" i="26" s="1"/>
  <c r="A7000" i="26" s="1"/>
  <c r="A7001" i="26" s="1"/>
  <c r="A7002" i="26" s="1"/>
  <c r="A7003" i="26" s="1"/>
  <c r="A7004" i="26" s="1"/>
  <c r="A7005" i="26" s="1"/>
  <c r="A7006" i="26" s="1"/>
  <c r="A7007" i="26" s="1"/>
  <c r="A7008" i="26" s="1"/>
  <c r="A7009" i="26" s="1"/>
  <c r="A7010" i="26" s="1"/>
  <c r="A7011" i="26" s="1"/>
  <c r="A7012" i="26" s="1"/>
  <c r="A7013" i="26" s="1"/>
  <c r="A7014" i="26" s="1"/>
  <c r="A7015" i="26" s="1"/>
  <c r="A7016" i="26" s="1"/>
  <c r="A7017" i="26" s="1"/>
  <c r="A7018" i="26" s="1"/>
  <c r="A7019" i="26" s="1"/>
  <c r="A7020" i="26" s="1"/>
  <c r="A7021" i="26" s="1"/>
  <c r="A7022" i="26" s="1"/>
  <c r="A7023" i="26" s="1"/>
  <c r="A7024" i="26" s="1"/>
  <c r="A7025" i="26" s="1"/>
  <c r="A7026" i="26" s="1"/>
  <c r="A7027" i="26" s="1"/>
  <c r="A7028" i="26" s="1"/>
  <c r="A7029" i="26" s="1"/>
  <c r="A7030" i="26" s="1"/>
  <c r="A7031" i="26" s="1"/>
  <c r="A7032" i="26" s="1"/>
  <c r="A7033" i="26" s="1"/>
  <c r="A7034" i="26" s="1"/>
  <c r="A7035" i="26" s="1"/>
  <c r="A7036" i="26" s="1"/>
  <c r="A7037" i="26" s="1"/>
  <c r="A7038" i="26" s="1"/>
  <c r="A7039" i="26" s="1"/>
  <c r="A7040" i="26" s="1"/>
  <c r="A7041" i="26" s="1"/>
  <c r="A7042" i="26" s="1"/>
  <c r="A7043" i="26" s="1"/>
  <c r="A7044" i="26" s="1"/>
  <c r="A7045" i="26" s="1"/>
  <c r="A7046" i="26" s="1"/>
  <c r="A7047" i="26" s="1"/>
  <c r="A7048" i="26" s="1"/>
  <c r="A7049" i="26" s="1"/>
  <c r="A7050" i="26" s="1"/>
  <c r="A7051" i="26" s="1"/>
  <c r="A7052" i="26" s="1"/>
  <c r="A7053" i="26" s="1"/>
  <c r="A7054" i="26" s="1"/>
  <c r="A7055" i="26" s="1"/>
  <c r="A7056" i="26" s="1"/>
  <c r="A7057" i="26" s="1"/>
  <c r="A7058" i="26" s="1"/>
  <c r="A7059" i="26" s="1"/>
  <c r="A7060" i="26" s="1"/>
  <c r="A7061" i="26" s="1"/>
  <c r="A7062" i="26" s="1"/>
  <c r="A7063" i="26" s="1"/>
  <c r="A7064" i="26" s="1"/>
  <c r="A7065" i="26" s="1"/>
  <c r="A7066" i="26" s="1"/>
  <c r="A7067" i="26" s="1"/>
  <c r="A7068" i="26" s="1"/>
  <c r="A7069" i="26" s="1"/>
  <c r="A7070" i="26" s="1"/>
  <c r="A7071" i="26" s="1"/>
  <c r="A7072" i="26" s="1"/>
  <c r="A7073" i="26" s="1"/>
  <c r="A7074" i="26" s="1"/>
  <c r="A7075" i="26" s="1"/>
  <c r="A7076" i="26" s="1"/>
  <c r="A7077" i="26" s="1"/>
  <c r="A7078" i="26" s="1"/>
  <c r="A7079" i="26" s="1"/>
  <c r="A7080" i="26" s="1"/>
  <c r="A7081" i="26" s="1"/>
  <c r="A7082" i="26" s="1"/>
  <c r="A7083" i="26" s="1"/>
  <c r="A7084" i="26" s="1"/>
  <c r="A7085" i="26" s="1"/>
  <c r="A7086" i="26" s="1"/>
  <c r="A7087" i="26" s="1"/>
  <c r="A7088" i="26" s="1"/>
  <c r="A7089" i="26" s="1"/>
  <c r="A7090" i="26" s="1"/>
  <c r="A7091" i="26" s="1"/>
  <c r="A7092" i="26" s="1"/>
  <c r="A7093" i="26" s="1"/>
  <c r="A7094" i="26" s="1"/>
  <c r="A7095" i="26" s="1"/>
  <c r="A7096" i="26" s="1"/>
  <c r="A7097" i="26" s="1"/>
  <c r="A7098" i="26" s="1"/>
  <c r="A7099" i="26" s="1"/>
  <c r="A7100" i="26" s="1"/>
  <c r="A7101" i="26" s="1"/>
  <c r="A7102" i="26" s="1"/>
  <c r="A7103" i="26" s="1"/>
  <c r="A7104" i="26" s="1"/>
  <c r="A7105" i="26" s="1"/>
  <c r="A7106" i="26" s="1"/>
  <c r="A7107" i="26" s="1"/>
  <c r="A7108" i="26" s="1"/>
  <c r="A7109" i="26" s="1"/>
  <c r="A7110" i="26" s="1"/>
  <c r="A7111" i="26" s="1"/>
  <c r="A7112" i="26" s="1"/>
  <c r="A7113" i="26" s="1"/>
  <c r="A7114" i="26" s="1"/>
  <c r="A7115" i="26" s="1"/>
  <c r="A7116" i="26" s="1"/>
  <c r="A7117" i="26" s="1"/>
  <c r="A7118" i="26" s="1"/>
  <c r="A7119" i="26" s="1"/>
  <c r="A7120" i="26" s="1"/>
  <c r="A7121" i="26" s="1"/>
  <c r="A7122" i="26" s="1"/>
  <c r="A7123" i="26" s="1"/>
  <c r="A7124" i="26" s="1"/>
  <c r="A7125" i="26" s="1"/>
  <c r="A7126" i="26" s="1"/>
  <c r="A7127" i="26" s="1"/>
  <c r="A7128" i="26" s="1"/>
  <c r="A7129" i="26" s="1"/>
  <c r="A7130" i="26" s="1"/>
  <c r="A7131" i="26" s="1"/>
  <c r="A7132" i="26" s="1"/>
  <c r="A7133" i="26" s="1"/>
  <c r="A7134" i="26" s="1"/>
  <c r="A7135" i="26" s="1"/>
  <c r="A7136" i="26" s="1"/>
  <c r="A7137" i="26" s="1"/>
  <c r="A7138" i="26" s="1"/>
  <c r="A7139" i="26" s="1"/>
  <c r="A7140" i="26" s="1"/>
  <c r="A7141" i="26" s="1"/>
  <c r="A7142" i="26" s="1"/>
  <c r="A7143" i="26" s="1"/>
  <c r="A7144" i="26" s="1"/>
  <c r="A7145" i="26" s="1"/>
  <c r="A7146" i="26" s="1"/>
  <c r="A7147" i="26" s="1"/>
  <c r="A7148" i="26" s="1"/>
  <c r="A7149" i="26" s="1"/>
  <c r="A7150" i="26" s="1"/>
  <c r="A7151" i="26" s="1"/>
  <c r="A7152" i="26" s="1"/>
  <c r="A7153" i="26" s="1"/>
  <c r="A7154" i="26" s="1"/>
  <c r="A7155" i="26" s="1"/>
  <c r="A7156" i="26" s="1"/>
  <c r="A7157" i="26" s="1"/>
  <c r="A7158" i="26" s="1"/>
  <c r="A7159" i="26" s="1"/>
  <c r="A7160" i="26" s="1"/>
  <c r="A7161" i="26" s="1"/>
  <c r="A7162" i="26" s="1"/>
  <c r="A7163" i="26" s="1"/>
  <c r="A7164" i="26" s="1"/>
  <c r="A7165" i="26" s="1"/>
  <c r="A7166" i="26" s="1"/>
  <c r="A7167" i="26" s="1"/>
  <c r="A7168" i="26" s="1"/>
  <c r="A7169" i="26" s="1"/>
  <c r="A7170" i="26" s="1"/>
  <c r="A7171" i="26" s="1"/>
  <c r="A7172" i="26" s="1"/>
  <c r="A7173" i="26" s="1"/>
  <c r="A7174" i="26" s="1"/>
  <c r="A7175" i="26" s="1"/>
  <c r="A7176" i="26" s="1"/>
  <c r="A7177" i="26" s="1"/>
  <c r="A7178" i="26" s="1"/>
  <c r="A7179" i="26" s="1"/>
  <c r="A7180" i="26" s="1"/>
  <c r="A7181" i="26" s="1"/>
  <c r="A7182" i="26" s="1"/>
  <c r="A7183" i="26" s="1"/>
  <c r="A7184" i="26" s="1"/>
  <c r="A7185" i="26" s="1"/>
  <c r="A7186" i="26" s="1"/>
  <c r="A7187" i="26" s="1"/>
  <c r="A7188" i="26" s="1"/>
  <c r="A7189" i="26" s="1"/>
  <c r="A7190" i="26" s="1"/>
  <c r="A7191" i="26" s="1"/>
  <c r="A7192" i="26" s="1"/>
  <c r="A7193" i="26" s="1"/>
  <c r="A7194" i="26" s="1"/>
  <c r="A7195" i="26" s="1"/>
  <c r="A7196" i="26" s="1"/>
  <c r="A7197" i="26" s="1"/>
  <c r="A7198" i="26" s="1"/>
  <c r="A7199" i="26" s="1"/>
  <c r="A7200" i="26" s="1"/>
  <c r="A7201" i="26" s="1"/>
  <c r="A7202" i="26" s="1"/>
  <c r="A7203" i="26" s="1"/>
  <c r="A7204" i="26" s="1"/>
  <c r="A7205" i="26" s="1"/>
  <c r="A7206" i="26" s="1"/>
  <c r="A7207" i="26" s="1"/>
  <c r="A7208" i="26" s="1"/>
  <c r="A7209" i="26" s="1"/>
  <c r="A7210" i="26" s="1"/>
  <c r="A7211" i="26" s="1"/>
  <c r="A7212" i="26" s="1"/>
  <c r="A7213" i="26" s="1"/>
  <c r="A7214" i="26" s="1"/>
  <c r="A7215" i="26" s="1"/>
  <c r="A7216" i="26" s="1"/>
  <c r="A7217" i="26" s="1"/>
  <c r="A7218" i="26" s="1"/>
  <c r="A7219" i="26" s="1"/>
  <c r="A7220" i="26" s="1"/>
  <c r="A7221" i="26" s="1"/>
  <c r="A7222" i="26" s="1"/>
  <c r="A7223" i="26" s="1"/>
  <c r="A7224" i="26" s="1"/>
  <c r="A7225" i="26" s="1"/>
  <c r="A7226" i="26" s="1"/>
  <c r="A7227" i="26" s="1"/>
  <c r="A7228" i="26" s="1"/>
  <c r="A7229" i="26" s="1"/>
  <c r="A7230" i="26" s="1"/>
  <c r="A7231" i="26" s="1"/>
  <c r="A7232" i="26" s="1"/>
  <c r="A7233" i="26" s="1"/>
  <c r="A7234" i="26" s="1"/>
  <c r="A7235" i="26" s="1"/>
  <c r="A7236" i="26" s="1"/>
  <c r="A7237" i="26" s="1"/>
  <c r="A7238" i="26" s="1"/>
  <c r="A7239" i="26" s="1"/>
  <c r="A7240" i="26" s="1"/>
  <c r="A7241" i="26" s="1"/>
  <c r="A7242" i="26" s="1"/>
  <c r="A7243" i="26" s="1"/>
  <c r="A7244" i="26" s="1"/>
  <c r="A7245" i="26" s="1"/>
  <c r="A7246" i="26" s="1"/>
  <c r="A7247" i="26" s="1"/>
  <c r="A7248" i="26" s="1"/>
  <c r="A7249" i="26" s="1"/>
  <c r="A7250" i="26" s="1"/>
  <c r="A7251" i="26" s="1"/>
  <c r="A7252" i="26" s="1"/>
  <c r="A7253" i="26" s="1"/>
  <c r="A7254" i="26" s="1"/>
  <c r="A7255" i="26" s="1"/>
  <c r="A7256" i="26" s="1"/>
  <c r="A7257" i="26" s="1"/>
  <c r="A7258" i="26" s="1"/>
  <c r="A7259" i="26" s="1"/>
  <c r="A7260" i="26" s="1"/>
  <c r="A7261" i="26" s="1"/>
  <c r="A7262" i="26" s="1"/>
  <c r="A7263" i="26" s="1"/>
  <c r="A7264" i="26" s="1"/>
  <c r="A7265" i="26" s="1"/>
  <c r="A7266" i="26" s="1"/>
  <c r="A7267" i="26" s="1"/>
  <c r="A7268" i="26" s="1"/>
  <c r="A7269" i="26" s="1"/>
  <c r="A7270" i="26" s="1"/>
  <c r="A7271" i="26" s="1"/>
  <c r="A7272" i="26" s="1"/>
  <c r="A7273" i="26" s="1"/>
  <c r="A7274" i="26" s="1"/>
  <c r="A7275" i="26" s="1"/>
  <c r="A7276" i="26" s="1"/>
  <c r="A7277" i="26" s="1"/>
  <c r="A7278" i="26" s="1"/>
  <c r="A7279" i="26" s="1"/>
  <c r="A7280" i="26" s="1"/>
  <c r="A7281" i="26" s="1"/>
  <c r="A7282" i="26" s="1"/>
  <c r="A7283" i="26" s="1"/>
  <c r="A7284" i="26" s="1"/>
  <c r="A7285" i="26" s="1"/>
  <c r="A7286" i="26" s="1"/>
  <c r="A7287" i="26" s="1"/>
  <c r="A7288" i="26" s="1"/>
  <c r="A7289" i="26" s="1"/>
  <c r="A7290" i="26" s="1"/>
  <c r="A7291" i="26" s="1"/>
  <c r="A7292" i="26" s="1"/>
  <c r="A7293" i="26" s="1"/>
  <c r="A7294" i="26" s="1"/>
  <c r="A7295" i="26" s="1"/>
  <c r="A7296" i="26" s="1"/>
  <c r="A7297" i="26" s="1"/>
  <c r="A7298" i="26" s="1"/>
  <c r="A7299" i="26" s="1"/>
  <c r="A7300" i="26" s="1"/>
  <c r="A7301" i="26" s="1"/>
  <c r="A7302" i="26" s="1"/>
  <c r="A7303" i="26" s="1"/>
  <c r="A7304" i="26" s="1"/>
  <c r="A7305" i="26" s="1"/>
  <c r="A7306" i="26" s="1"/>
  <c r="A7307" i="26" s="1"/>
  <c r="A7308" i="26" s="1"/>
  <c r="A7309" i="26" s="1"/>
  <c r="A7310" i="26" s="1"/>
  <c r="A7311" i="26" s="1"/>
  <c r="A7312" i="26" s="1"/>
  <c r="A7313" i="26" s="1"/>
  <c r="A7314" i="26" s="1"/>
  <c r="A7315" i="26" s="1"/>
  <c r="A7316" i="26" s="1"/>
  <c r="A7317" i="26" s="1"/>
  <c r="A7318" i="26" s="1"/>
  <c r="A7319" i="26" s="1"/>
  <c r="A7320" i="26" s="1"/>
  <c r="A7321" i="26" s="1"/>
  <c r="A7322" i="26" s="1"/>
  <c r="A7323" i="26" s="1"/>
  <c r="A7324" i="26" s="1"/>
  <c r="A7325" i="26" s="1"/>
  <c r="A7326" i="26" s="1"/>
  <c r="A7327" i="26" s="1"/>
  <c r="A7328" i="26" s="1"/>
  <c r="A7329" i="26" s="1"/>
  <c r="A7330" i="26" s="1"/>
  <c r="A7331" i="26" s="1"/>
  <c r="A7332" i="26" s="1"/>
  <c r="A7333" i="26" s="1"/>
  <c r="A7334" i="26" s="1"/>
  <c r="A7335" i="26" s="1"/>
  <c r="A7336" i="26" s="1"/>
  <c r="A7337" i="26" s="1"/>
  <c r="A7338" i="26" s="1"/>
  <c r="A7339" i="26" s="1"/>
  <c r="A7340" i="26" s="1"/>
  <c r="A7341" i="26" s="1"/>
  <c r="A7342" i="26" s="1"/>
  <c r="A7343" i="26" s="1"/>
  <c r="A7344" i="26" s="1"/>
  <c r="A7345" i="26" s="1"/>
  <c r="A7346" i="26" s="1"/>
  <c r="A7347" i="26" s="1"/>
  <c r="A7348" i="26" s="1"/>
  <c r="A7349" i="26" s="1"/>
  <c r="A7350" i="26" s="1"/>
  <c r="A7351" i="26" s="1"/>
  <c r="A7352" i="26" s="1"/>
  <c r="A7353" i="26" s="1"/>
  <c r="A7354" i="26" s="1"/>
  <c r="A7355" i="26" s="1"/>
  <c r="A7356" i="26" s="1"/>
  <c r="A7357" i="26" s="1"/>
  <c r="A7358" i="26" s="1"/>
  <c r="A7359" i="26" s="1"/>
  <c r="A7360" i="26" s="1"/>
  <c r="A7361" i="26" s="1"/>
  <c r="A7362" i="26" s="1"/>
  <c r="A7363" i="26" s="1"/>
  <c r="A7364" i="26" s="1"/>
  <c r="A7365" i="26" s="1"/>
  <c r="A7366" i="26" s="1"/>
  <c r="A7367" i="26" s="1"/>
  <c r="A7368" i="26" s="1"/>
  <c r="A7369" i="26" s="1"/>
  <c r="A7370" i="26" s="1"/>
  <c r="A7371" i="26" s="1"/>
  <c r="A7372" i="26" s="1"/>
  <c r="A7373" i="26" s="1"/>
  <c r="A7374" i="26" s="1"/>
  <c r="A7375" i="26" s="1"/>
  <c r="A7376" i="26" s="1"/>
  <c r="A7377" i="26" s="1"/>
  <c r="A7378" i="26" s="1"/>
  <c r="A7379" i="26" s="1"/>
  <c r="A7380" i="26" s="1"/>
  <c r="A7381" i="26" s="1"/>
  <c r="A7382" i="26" s="1"/>
  <c r="A7383" i="26" s="1"/>
  <c r="A7384" i="26" s="1"/>
  <c r="A7385" i="26" s="1"/>
  <c r="A7386" i="26" s="1"/>
  <c r="A7387" i="26" s="1"/>
  <c r="A7388" i="26" s="1"/>
  <c r="A7389" i="26" s="1"/>
  <c r="A7390" i="26" s="1"/>
  <c r="A7391" i="26" s="1"/>
  <c r="A7392" i="26" s="1"/>
  <c r="A7393" i="26" s="1"/>
  <c r="A7394" i="26" s="1"/>
  <c r="A7395" i="26" s="1"/>
  <c r="A7396" i="26" s="1"/>
  <c r="A7397" i="26" s="1"/>
  <c r="A7398" i="26" s="1"/>
  <c r="A7399" i="26" s="1"/>
  <c r="A7400" i="26" s="1"/>
  <c r="A7401" i="26" s="1"/>
  <c r="A7402" i="26" s="1"/>
  <c r="A7403" i="26" s="1"/>
  <c r="A7404" i="26" s="1"/>
  <c r="A7405" i="26" s="1"/>
  <c r="A7406" i="26" s="1"/>
  <c r="A7407" i="26" s="1"/>
  <c r="A7408" i="26" s="1"/>
  <c r="A7409" i="26" s="1"/>
  <c r="A7410" i="26" s="1"/>
  <c r="A7411" i="26" s="1"/>
  <c r="A7412" i="26" s="1"/>
  <c r="A7413" i="26" s="1"/>
  <c r="A7414" i="26" s="1"/>
  <c r="A7415" i="26" s="1"/>
  <c r="A7416" i="26" s="1"/>
  <c r="A7417" i="26" s="1"/>
  <c r="A7418" i="26" s="1"/>
  <c r="A7419" i="26" s="1"/>
  <c r="A7420" i="26" s="1"/>
  <c r="A7421" i="26" s="1"/>
  <c r="A7422" i="26" s="1"/>
  <c r="A7423" i="26" s="1"/>
  <c r="A7424" i="26" s="1"/>
  <c r="A7425" i="26" s="1"/>
  <c r="A7426" i="26" s="1"/>
  <c r="A7427" i="26" s="1"/>
  <c r="A7428" i="26" s="1"/>
  <c r="A7429" i="26" s="1"/>
  <c r="A7430" i="26" s="1"/>
  <c r="A7431" i="26" s="1"/>
  <c r="A7432" i="26" s="1"/>
  <c r="A7433" i="26" s="1"/>
  <c r="A7434" i="26" s="1"/>
  <c r="A7435" i="26" s="1"/>
  <c r="A7436" i="26" s="1"/>
  <c r="A7437" i="26" s="1"/>
  <c r="A7438" i="26" s="1"/>
  <c r="A7439" i="26" s="1"/>
  <c r="A7440" i="26" s="1"/>
  <c r="A7441" i="26" s="1"/>
  <c r="A7442" i="26" s="1"/>
  <c r="A7443" i="26" s="1"/>
  <c r="A7444" i="26" s="1"/>
  <c r="A7445" i="26" s="1"/>
  <c r="A7446" i="26" s="1"/>
  <c r="A7447" i="26" s="1"/>
  <c r="A7448" i="26" s="1"/>
  <c r="A7449" i="26" s="1"/>
  <c r="A7450" i="26" s="1"/>
  <c r="A7451" i="26" s="1"/>
  <c r="A7452" i="26" s="1"/>
  <c r="A7453" i="26" s="1"/>
  <c r="A7454" i="26" s="1"/>
  <c r="A7455" i="26" s="1"/>
  <c r="A7456" i="26" s="1"/>
  <c r="A7457" i="26" s="1"/>
  <c r="A7458" i="26" s="1"/>
  <c r="A7459" i="26" s="1"/>
  <c r="A7460" i="26" s="1"/>
  <c r="A7461" i="26" s="1"/>
  <c r="A7462" i="26" s="1"/>
  <c r="A7463" i="26" s="1"/>
  <c r="A7464" i="26" s="1"/>
  <c r="A7465" i="26" s="1"/>
  <c r="A7466" i="26" s="1"/>
  <c r="A7467" i="26" s="1"/>
  <c r="A7468" i="26" s="1"/>
  <c r="A7469" i="26" s="1"/>
  <c r="A7470" i="26" s="1"/>
  <c r="A7471" i="26" s="1"/>
  <c r="A7472" i="26" s="1"/>
  <c r="A7473" i="26" s="1"/>
  <c r="A7474" i="26" s="1"/>
  <c r="A7475" i="26" s="1"/>
  <c r="A7476" i="26" s="1"/>
  <c r="A7477" i="26" s="1"/>
  <c r="A7478" i="26" s="1"/>
  <c r="A7479" i="26" s="1"/>
  <c r="A7480" i="26" s="1"/>
  <c r="A7481" i="26" s="1"/>
  <c r="A7482" i="26" s="1"/>
  <c r="A7483" i="26" s="1"/>
  <c r="A7484" i="26" s="1"/>
  <c r="A7485" i="26" s="1"/>
  <c r="A7486" i="26" s="1"/>
  <c r="A7487" i="26" s="1"/>
  <c r="A7488" i="26" s="1"/>
  <c r="A7489" i="26" s="1"/>
  <c r="A7490" i="26" s="1"/>
  <c r="A7491" i="26" s="1"/>
  <c r="A7492" i="26" s="1"/>
  <c r="A7493" i="26" s="1"/>
  <c r="A7494" i="26" s="1"/>
  <c r="A7495" i="26" s="1"/>
  <c r="A7496" i="26" s="1"/>
  <c r="A7497" i="26" s="1"/>
  <c r="A7498" i="26" s="1"/>
  <c r="A7499" i="26" s="1"/>
  <c r="A7500" i="26" s="1"/>
  <c r="A7501" i="26" s="1"/>
  <c r="A7502" i="26" s="1"/>
  <c r="A7503" i="26" s="1"/>
  <c r="A7504" i="26" s="1"/>
  <c r="A7505" i="26" s="1"/>
  <c r="A7506" i="26" s="1"/>
  <c r="A7507" i="26" s="1"/>
  <c r="A7508" i="26" s="1"/>
  <c r="A7509" i="26" s="1"/>
  <c r="A7510" i="26" s="1"/>
  <c r="A7511" i="26" s="1"/>
  <c r="A7512" i="26" s="1"/>
  <c r="A7513" i="26" s="1"/>
  <c r="A7514" i="26" s="1"/>
  <c r="A7515" i="26" s="1"/>
  <c r="A7516" i="26" s="1"/>
  <c r="A7517" i="26" s="1"/>
  <c r="A7518" i="26" s="1"/>
  <c r="A7519" i="26" s="1"/>
  <c r="A7520" i="26" s="1"/>
  <c r="A7521" i="26" s="1"/>
  <c r="A7522" i="26" s="1"/>
  <c r="A7523" i="26" s="1"/>
  <c r="A7524" i="26" s="1"/>
  <c r="A7525" i="26" s="1"/>
  <c r="A7526" i="26" s="1"/>
  <c r="A7527" i="26" s="1"/>
  <c r="A7528" i="26" s="1"/>
  <c r="A7529" i="26" s="1"/>
  <c r="A7530" i="26" s="1"/>
  <c r="A7531" i="26" s="1"/>
  <c r="A7532" i="26" s="1"/>
  <c r="A7533" i="26" s="1"/>
  <c r="A7534" i="26" s="1"/>
  <c r="A7535" i="26" s="1"/>
  <c r="A7536" i="26" s="1"/>
  <c r="A7537" i="26" s="1"/>
  <c r="A7538" i="26" s="1"/>
  <c r="A7539" i="26" s="1"/>
  <c r="A7540" i="26" s="1"/>
  <c r="A7541" i="26" s="1"/>
  <c r="A7542" i="26" s="1"/>
  <c r="A7543" i="26" s="1"/>
  <c r="A7544" i="26" s="1"/>
  <c r="A7545" i="26" s="1"/>
  <c r="A7546" i="26" s="1"/>
  <c r="A7547" i="26" s="1"/>
  <c r="A7548" i="26" s="1"/>
  <c r="A7549" i="26" s="1"/>
  <c r="A7550" i="26" s="1"/>
  <c r="A7551" i="26" s="1"/>
  <c r="A7552" i="26" s="1"/>
  <c r="A7553" i="26" s="1"/>
  <c r="A7554" i="26" s="1"/>
  <c r="A7555" i="26" s="1"/>
  <c r="A7556" i="26" s="1"/>
  <c r="A7557" i="26" s="1"/>
  <c r="A7558" i="26" s="1"/>
  <c r="A7559" i="26" s="1"/>
  <c r="A7560" i="26" s="1"/>
  <c r="A7561" i="26" s="1"/>
  <c r="A7562" i="26" s="1"/>
  <c r="A7563" i="26" s="1"/>
  <c r="A7564" i="26" s="1"/>
  <c r="A7565" i="26" s="1"/>
  <c r="A7566" i="26" s="1"/>
  <c r="A7567" i="26" s="1"/>
  <c r="A7568" i="26" s="1"/>
  <c r="A7569" i="26" s="1"/>
  <c r="A7570" i="26" s="1"/>
  <c r="A7571" i="26" s="1"/>
  <c r="A7572" i="26" s="1"/>
  <c r="A7573" i="26" s="1"/>
  <c r="A7574" i="26" s="1"/>
  <c r="A7575" i="26" s="1"/>
  <c r="A7576" i="26" s="1"/>
  <c r="A7577" i="26" s="1"/>
  <c r="A7578" i="26" s="1"/>
  <c r="A7579" i="26" s="1"/>
  <c r="A7580" i="26" s="1"/>
  <c r="A7581" i="26" s="1"/>
  <c r="A7582" i="26" s="1"/>
  <c r="A7583" i="26" s="1"/>
  <c r="A7584" i="26" s="1"/>
  <c r="A7585" i="26" s="1"/>
  <c r="A7586" i="26" s="1"/>
  <c r="A7587" i="26" s="1"/>
  <c r="A7588" i="26" s="1"/>
  <c r="A7589" i="26" s="1"/>
  <c r="A7590" i="26" s="1"/>
  <c r="A7591" i="26" s="1"/>
  <c r="A7592" i="26" s="1"/>
  <c r="A7593" i="26" s="1"/>
  <c r="A7594" i="26" s="1"/>
  <c r="A7595" i="26" s="1"/>
  <c r="A7596" i="26" s="1"/>
  <c r="A7597" i="26" s="1"/>
  <c r="A7598" i="26" s="1"/>
  <c r="A7599" i="26" s="1"/>
  <c r="A7600" i="26" s="1"/>
  <c r="A7601" i="26" s="1"/>
  <c r="A7602" i="26" s="1"/>
  <c r="A7603" i="26" s="1"/>
  <c r="A7604" i="26" s="1"/>
  <c r="A7605" i="26" s="1"/>
  <c r="A7606" i="26" s="1"/>
  <c r="A7607" i="26" s="1"/>
  <c r="A7608" i="26" s="1"/>
  <c r="A7609" i="26" s="1"/>
  <c r="A7610" i="26" s="1"/>
  <c r="A7611" i="26" s="1"/>
  <c r="A7612" i="26" s="1"/>
  <c r="A7613" i="26" s="1"/>
  <c r="A7614" i="26" s="1"/>
  <c r="A7615" i="26" s="1"/>
  <c r="A7616" i="26" s="1"/>
  <c r="A7617" i="26" s="1"/>
  <c r="A7618" i="26" s="1"/>
  <c r="A7619" i="26" s="1"/>
  <c r="A7620" i="26" s="1"/>
  <c r="A7621" i="26" s="1"/>
  <c r="A7622" i="26" s="1"/>
  <c r="A7623" i="26" s="1"/>
  <c r="A7624" i="26" s="1"/>
  <c r="A7625" i="26" s="1"/>
  <c r="A7626" i="26" s="1"/>
  <c r="A7627" i="26" s="1"/>
  <c r="A7628" i="26" s="1"/>
  <c r="A7629" i="26" s="1"/>
  <c r="A7630" i="26" s="1"/>
  <c r="A7631" i="26" s="1"/>
  <c r="A7632" i="26" s="1"/>
  <c r="A7633" i="26" s="1"/>
  <c r="A7634" i="26" s="1"/>
  <c r="A7635" i="26" s="1"/>
  <c r="A7636" i="26" s="1"/>
  <c r="A7637" i="26" s="1"/>
  <c r="A7638" i="26" s="1"/>
  <c r="A7639" i="26" s="1"/>
  <c r="A7640" i="26" s="1"/>
  <c r="A7641" i="26" s="1"/>
  <c r="A7642" i="26" s="1"/>
  <c r="A7643" i="26" s="1"/>
  <c r="A7644" i="26" s="1"/>
  <c r="A7645" i="26" s="1"/>
  <c r="A7646" i="26" s="1"/>
  <c r="A7647" i="26" s="1"/>
  <c r="A7648" i="26" s="1"/>
  <c r="A7649" i="26" s="1"/>
  <c r="A7650" i="26" s="1"/>
  <c r="A7651" i="26" s="1"/>
  <c r="A7652" i="26" s="1"/>
  <c r="A7653" i="26" s="1"/>
  <c r="A7654" i="26" s="1"/>
  <c r="A7655" i="26" s="1"/>
  <c r="A7656" i="26" s="1"/>
  <c r="A7657" i="26" s="1"/>
  <c r="A7658" i="26" s="1"/>
  <c r="A7659" i="26" s="1"/>
  <c r="A7660" i="26" s="1"/>
  <c r="A7661" i="26" s="1"/>
  <c r="A7662" i="26" s="1"/>
  <c r="A7663" i="26" s="1"/>
  <c r="A7664" i="26" s="1"/>
  <c r="A7665" i="26" s="1"/>
  <c r="A7666" i="26" s="1"/>
  <c r="A7667" i="26" s="1"/>
  <c r="A7668" i="26" s="1"/>
  <c r="A7669" i="26" s="1"/>
  <c r="A7670" i="26" s="1"/>
  <c r="A7671" i="26" s="1"/>
  <c r="A7672" i="26" s="1"/>
  <c r="A7673" i="26" s="1"/>
  <c r="A7674" i="26" s="1"/>
  <c r="A7675" i="26" s="1"/>
  <c r="A7676" i="26" s="1"/>
  <c r="A7677" i="26" s="1"/>
  <c r="A7678" i="26" s="1"/>
  <c r="A7679" i="26" s="1"/>
  <c r="A7680" i="26" s="1"/>
  <c r="A7681" i="26" s="1"/>
  <c r="A7682" i="26" s="1"/>
  <c r="A7683" i="26" s="1"/>
  <c r="A7684" i="26" s="1"/>
  <c r="A7685" i="26" s="1"/>
  <c r="A7686" i="26" s="1"/>
  <c r="A7687" i="26" s="1"/>
  <c r="A7688" i="26" s="1"/>
  <c r="A7689" i="26" s="1"/>
  <c r="A7690" i="26" s="1"/>
  <c r="A7691" i="26" s="1"/>
  <c r="A7692" i="26" s="1"/>
  <c r="A7693" i="26" s="1"/>
  <c r="A7694" i="26" s="1"/>
  <c r="A7695" i="26" s="1"/>
  <c r="A7696" i="26" s="1"/>
  <c r="A7697" i="26" s="1"/>
  <c r="A7698" i="26" s="1"/>
  <c r="A7699" i="26" s="1"/>
  <c r="A7700" i="26" s="1"/>
  <c r="A7701" i="26" s="1"/>
  <c r="A7702" i="26" s="1"/>
  <c r="A7703" i="26" s="1"/>
  <c r="A7704" i="26" s="1"/>
  <c r="A7705" i="26" s="1"/>
  <c r="A7706" i="26" s="1"/>
  <c r="A7707" i="26" s="1"/>
  <c r="A7708" i="26" s="1"/>
  <c r="A7709" i="26" s="1"/>
  <c r="A7710" i="26" s="1"/>
  <c r="A7711" i="26" s="1"/>
  <c r="A7712" i="26" s="1"/>
  <c r="A7713" i="26" s="1"/>
  <c r="A7714" i="26" s="1"/>
  <c r="A7715" i="26" s="1"/>
  <c r="A7716" i="26" s="1"/>
  <c r="A7717" i="26" s="1"/>
  <c r="A7718" i="26" s="1"/>
  <c r="A7719" i="26" s="1"/>
  <c r="A7720" i="26" s="1"/>
  <c r="A7721" i="26" s="1"/>
  <c r="A7722" i="26" s="1"/>
  <c r="A7723" i="26" s="1"/>
  <c r="A7724" i="26" s="1"/>
  <c r="A7725" i="26" s="1"/>
  <c r="A7726" i="26" s="1"/>
  <c r="A7727" i="26" s="1"/>
  <c r="A7728" i="26" s="1"/>
  <c r="A7729" i="26" s="1"/>
  <c r="A7730" i="26" s="1"/>
  <c r="A7731" i="26" s="1"/>
  <c r="A7732" i="26" s="1"/>
  <c r="A7733" i="26" s="1"/>
  <c r="A7734" i="26" s="1"/>
  <c r="A7735" i="26" s="1"/>
  <c r="A7736" i="26" s="1"/>
  <c r="A7737" i="26" s="1"/>
  <c r="A7738" i="26" s="1"/>
  <c r="A7739" i="26" s="1"/>
  <c r="A7740" i="26" s="1"/>
  <c r="A7741" i="26" s="1"/>
  <c r="A7742" i="26" s="1"/>
  <c r="A7743" i="26" s="1"/>
  <c r="A7744" i="26" s="1"/>
  <c r="A7745" i="26" s="1"/>
  <c r="A7746" i="26" s="1"/>
  <c r="A7747" i="26" s="1"/>
  <c r="A7748" i="26" s="1"/>
  <c r="A7749" i="26" s="1"/>
  <c r="A7750" i="26" s="1"/>
  <c r="A7751" i="26" s="1"/>
  <c r="A7752" i="26" s="1"/>
  <c r="A7753" i="26" s="1"/>
  <c r="A7754" i="26" s="1"/>
  <c r="A7755" i="26" s="1"/>
  <c r="A7756" i="26" s="1"/>
  <c r="A7757" i="26" s="1"/>
  <c r="A7758" i="26" s="1"/>
  <c r="A7759" i="26" s="1"/>
  <c r="A7760" i="26" s="1"/>
  <c r="A7761" i="26" s="1"/>
  <c r="A7762" i="26" s="1"/>
  <c r="A7763" i="26" s="1"/>
  <c r="A7764" i="26" s="1"/>
  <c r="A7765" i="26" s="1"/>
  <c r="A7766" i="26" s="1"/>
  <c r="A7767" i="26" s="1"/>
  <c r="A7768" i="26" s="1"/>
  <c r="A7769" i="26" s="1"/>
  <c r="A7770" i="26" s="1"/>
  <c r="A7771" i="26" s="1"/>
  <c r="A7772" i="26" s="1"/>
  <c r="A7773" i="26" s="1"/>
  <c r="A7774" i="26" s="1"/>
  <c r="A7775" i="26" s="1"/>
  <c r="A7776" i="26" s="1"/>
  <c r="A7777" i="26" s="1"/>
  <c r="A7778" i="26" s="1"/>
  <c r="A7779" i="26" s="1"/>
  <c r="A7780" i="26" s="1"/>
  <c r="A7781" i="26" s="1"/>
  <c r="A7782" i="26" s="1"/>
  <c r="A7783" i="26" s="1"/>
  <c r="A7784" i="26" s="1"/>
  <c r="A7785" i="26" s="1"/>
  <c r="A7786" i="26" s="1"/>
  <c r="A7787" i="26" s="1"/>
  <c r="A7788" i="26" s="1"/>
  <c r="A7789" i="26" s="1"/>
  <c r="A7790" i="26" s="1"/>
  <c r="A7791" i="26" s="1"/>
  <c r="A7792" i="26" s="1"/>
  <c r="A7793" i="26" s="1"/>
  <c r="A7794" i="26" s="1"/>
  <c r="A7795" i="26" s="1"/>
  <c r="A7796" i="26" s="1"/>
  <c r="A7797" i="26" s="1"/>
  <c r="A7798" i="26" s="1"/>
  <c r="A7799" i="26" s="1"/>
  <c r="A7800" i="26" s="1"/>
  <c r="A7801" i="26" s="1"/>
  <c r="A7802" i="26" s="1"/>
  <c r="A7803" i="26" s="1"/>
  <c r="A7804" i="26" s="1"/>
  <c r="A7805" i="26" s="1"/>
  <c r="A7806" i="26" s="1"/>
  <c r="A7807" i="26" s="1"/>
  <c r="A7808" i="26" s="1"/>
  <c r="A7809" i="26" s="1"/>
  <c r="A7810" i="26" s="1"/>
  <c r="A7811" i="26" s="1"/>
  <c r="A7812" i="26" s="1"/>
  <c r="A7813" i="26" s="1"/>
  <c r="A7814" i="26" s="1"/>
  <c r="A7815" i="26" s="1"/>
  <c r="A7816" i="26" s="1"/>
  <c r="A7817" i="26" s="1"/>
  <c r="A7818" i="26" s="1"/>
  <c r="A7819" i="26" s="1"/>
  <c r="A7820" i="26" s="1"/>
  <c r="A7821" i="26" s="1"/>
  <c r="A7822" i="26" s="1"/>
  <c r="A7823" i="26" s="1"/>
  <c r="A7824" i="26" s="1"/>
  <c r="A7825" i="26" s="1"/>
  <c r="A7826" i="26" s="1"/>
  <c r="A7827" i="26" s="1"/>
  <c r="A7828" i="26" s="1"/>
  <c r="A7829" i="26" s="1"/>
  <c r="A7830" i="26" s="1"/>
  <c r="A7831" i="26" s="1"/>
  <c r="A7832" i="26" s="1"/>
  <c r="A7833" i="26" s="1"/>
  <c r="A7834" i="26" s="1"/>
  <c r="A7835" i="26" s="1"/>
  <c r="A7836" i="26" s="1"/>
  <c r="A7837" i="26" s="1"/>
  <c r="A7838" i="26" s="1"/>
  <c r="A7839" i="26" s="1"/>
  <c r="A7840" i="26" s="1"/>
  <c r="A7841" i="26" s="1"/>
  <c r="A7842" i="26" s="1"/>
  <c r="A7843" i="26" s="1"/>
  <c r="A7844" i="26" s="1"/>
  <c r="A7845" i="26" s="1"/>
  <c r="A7846" i="26" s="1"/>
  <c r="A7847" i="26" s="1"/>
  <c r="A7848" i="26" s="1"/>
  <c r="A7849" i="26" s="1"/>
  <c r="A7850" i="26" s="1"/>
  <c r="A7851" i="26" s="1"/>
  <c r="A7852" i="26" s="1"/>
  <c r="A7853" i="26" s="1"/>
  <c r="A7854" i="26" s="1"/>
  <c r="A7855" i="26" s="1"/>
  <c r="A7856" i="26" s="1"/>
  <c r="A7857" i="26" s="1"/>
  <c r="A7858" i="26" s="1"/>
  <c r="A7859" i="26" s="1"/>
  <c r="A7860" i="26" s="1"/>
  <c r="A7861" i="26" s="1"/>
  <c r="A7862" i="26" s="1"/>
  <c r="A7863" i="26" s="1"/>
  <c r="A7864" i="26" s="1"/>
  <c r="A7865" i="26" s="1"/>
  <c r="A7866" i="26" s="1"/>
  <c r="A7867" i="26" s="1"/>
  <c r="A7868" i="26" s="1"/>
  <c r="A7869" i="26" s="1"/>
  <c r="A7870" i="26" s="1"/>
  <c r="A7871" i="26" s="1"/>
  <c r="A7872" i="26" s="1"/>
  <c r="A7873" i="26" s="1"/>
  <c r="A7874" i="26" s="1"/>
  <c r="A7875" i="26" s="1"/>
  <c r="A7876" i="26" s="1"/>
  <c r="A7877" i="26" s="1"/>
  <c r="A7878" i="26" s="1"/>
  <c r="A7879" i="26" s="1"/>
  <c r="A7880" i="26" s="1"/>
  <c r="A7881" i="26" s="1"/>
  <c r="A7882" i="26" s="1"/>
  <c r="A7883" i="26" s="1"/>
  <c r="A7884" i="26" s="1"/>
  <c r="A7885" i="26" s="1"/>
  <c r="A7886" i="26" s="1"/>
  <c r="A7887" i="26" s="1"/>
  <c r="A7888" i="26" s="1"/>
  <c r="A7889" i="26" s="1"/>
  <c r="A7890" i="26" s="1"/>
  <c r="A7891" i="26" s="1"/>
  <c r="A7892" i="26" s="1"/>
  <c r="A7893" i="26" s="1"/>
  <c r="A7894" i="26" s="1"/>
  <c r="A7895" i="26" s="1"/>
  <c r="A7896" i="26" s="1"/>
  <c r="A7897" i="26" s="1"/>
  <c r="A7898" i="26" s="1"/>
  <c r="A7899" i="26" s="1"/>
  <c r="A7900" i="26" s="1"/>
  <c r="A7901" i="26" s="1"/>
  <c r="A7902" i="26" s="1"/>
  <c r="A7903" i="26" s="1"/>
  <c r="A7904" i="26" s="1"/>
  <c r="A7905" i="26" s="1"/>
  <c r="A7906" i="26" s="1"/>
  <c r="A7907" i="26" s="1"/>
  <c r="A7908" i="26" s="1"/>
  <c r="A7909" i="26" s="1"/>
  <c r="A7910" i="26" s="1"/>
  <c r="A7911" i="26" s="1"/>
  <c r="A7912" i="26" s="1"/>
  <c r="A7913" i="26" s="1"/>
  <c r="A7914" i="26" s="1"/>
  <c r="A7915" i="26" s="1"/>
  <c r="A7916" i="26" s="1"/>
  <c r="A7917" i="26" s="1"/>
  <c r="A7918" i="26" s="1"/>
  <c r="A7919" i="26" s="1"/>
  <c r="A7920" i="26" s="1"/>
  <c r="A7921" i="26" s="1"/>
  <c r="A7922" i="26" s="1"/>
  <c r="A7923" i="26" s="1"/>
  <c r="A7924" i="26" s="1"/>
  <c r="A7925" i="26" s="1"/>
  <c r="A7926" i="26" s="1"/>
  <c r="A7927" i="26" s="1"/>
  <c r="A7928" i="26" s="1"/>
  <c r="A7929" i="26" s="1"/>
  <c r="A7930" i="26" s="1"/>
  <c r="A7931" i="26" s="1"/>
  <c r="A7932" i="26" s="1"/>
  <c r="A7933" i="26" s="1"/>
  <c r="A7934" i="26" s="1"/>
  <c r="A7935" i="26" s="1"/>
  <c r="A7936" i="26" s="1"/>
  <c r="A7937" i="26" s="1"/>
  <c r="A7938" i="26" s="1"/>
  <c r="A7939" i="26" s="1"/>
  <c r="A7940" i="26" s="1"/>
  <c r="A7941" i="26" s="1"/>
  <c r="A7942" i="26" s="1"/>
  <c r="A7943" i="26" s="1"/>
  <c r="A7944" i="26" s="1"/>
  <c r="A7945" i="26" s="1"/>
  <c r="A7946" i="26" s="1"/>
  <c r="A7947" i="26" s="1"/>
  <c r="A7948" i="26" s="1"/>
  <c r="A7949" i="26" s="1"/>
  <c r="A7950" i="26" s="1"/>
  <c r="A7951" i="26" s="1"/>
  <c r="A7952" i="26" s="1"/>
  <c r="A7953" i="26" s="1"/>
  <c r="A7954" i="26" s="1"/>
  <c r="A7955" i="26" s="1"/>
  <c r="A7956" i="26" s="1"/>
  <c r="A7957" i="26" s="1"/>
  <c r="A7958" i="26" s="1"/>
  <c r="A7959" i="26" s="1"/>
  <c r="A7960" i="26" s="1"/>
  <c r="A7961" i="26" s="1"/>
  <c r="A7962" i="26" s="1"/>
  <c r="A7963" i="26" s="1"/>
  <c r="A7964" i="26" s="1"/>
  <c r="A7965" i="26" s="1"/>
  <c r="A7966" i="26" s="1"/>
  <c r="A7967" i="26" s="1"/>
  <c r="A7968" i="26" s="1"/>
  <c r="A7969" i="26" s="1"/>
  <c r="A7970" i="26" s="1"/>
  <c r="A7971" i="26" s="1"/>
  <c r="A7972" i="26" s="1"/>
  <c r="A7973" i="26" s="1"/>
  <c r="A7974" i="26" s="1"/>
  <c r="A7975" i="26" s="1"/>
  <c r="A7976" i="26" s="1"/>
  <c r="A7977" i="26" s="1"/>
  <c r="A7978" i="26" s="1"/>
  <c r="A7979" i="26" s="1"/>
  <c r="A7980" i="26" s="1"/>
  <c r="A7981" i="26" s="1"/>
  <c r="A7982" i="26" s="1"/>
  <c r="A7983" i="26" s="1"/>
  <c r="A7984" i="26" s="1"/>
  <c r="A7985" i="26" s="1"/>
  <c r="A7986" i="26" s="1"/>
  <c r="A7987" i="26" s="1"/>
  <c r="A7988" i="26" s="1"/>
  <c r="A7989" i="26" s="1"/>
  <c r="A7990" i="26" s="1"/>
  <c r="A7991" i="26" s="1"/>
  <c r="A7992" i="26" s="1"/>
  <c r="A7993" i="26" s="1"/>
  <c r="A7994" i="26" s="1"/>
  <c r="A7995" i="26" s="1"/>
  <c r="A7996" i="26" s="1"/>
  <c r="A7997" i="26" s="1"/>
  <c r="A7998" i="26" s="1"/>
  <c r="A7999" i="26" s="1"/>
  <c r="A8000" i="26" s="1"/>
  <c r="A8001" i="26" s="1"/>
  <c r="A8002" i="26" s="1"/>
  <c r="A8003" i="26" s="1"/>
  <c r="A8004" i="26" s="1"/>
  <c r="A8005" i="26" s="1"/>
  <c r="A8006" i="26" s="1"/>
  <c r="A8007" i="26" s="1"/>
  <c r="A8008" i="26" s="1"/>
  <c r="A8009" i="26" s="1"/>
  <c r="A8010" i="26" s="1"/>
  <c r="A8011" i="26" s="1"/>
  <c r="A8012" i="26" s="1"/>
  <c r="A8013" i="26" s="1"/>
  <c r="A8014" i="26" s="1"/>
  <c r="A8015" i="26" s="1"/>
  <c r="A8016" i="26" s="1"/>
  <c r="A8017" i="26" s="1"/>
  <c r="A8018" i="26" s="1"/>
  <c r="A8019" i="26" s="1"/>
  <c r="A8020" i="26" s="1"/>
  <c r="A8021" i="26" s="1"/>
  <c r="A8022" i="26" s="1"/>
  <c r="A8023" i="26" s="1"/>
  <c r="A8024" i="26" s="1"/>
  <c r="A8025" i="26" s="1"/>
  <c r="A8026" i="26" s="1"/>
  <c r="A8027" i="26" s="1"/>
  <c r="A8028" i="26" s="1"/>
  <c r="A8029" i="26" s="1"/>
  <c r="A8030" i="26" s="1"/>
  <c r="A8031" i="26" s="1"/>
  <c r="A8032" i="26" s="1"/>
  <c r="A8033" i="26" s="1"/>
  <c r="A8034" i="26" s="1"/>
  <c r="A8035" i="26" s="1"/>
  <c r="A8036" i="26" s="1"/>
  <c r="A8037" i="26" s="1"/>
  <c r="A8038" i="26" s="1"/>
  <c r="A8039" i="26" s="1"/>
  <c r="A8040" i="26" s="1"/>
  <c r="A8041" i="26" s="1"/>
  <c r="A8042" i="26" s="1"/>
  <c r="A8043" i="26" s="1"/>
  <c r="A8044" i="26" s="1"/>
  <c r="A8045" i="26" s="1"/>
  <c r="A8046" i="26" s="1"/>
  <c r="A8047" i="26" s="1"/>
  <c r="A8048" i="26" s="1"/>
  <c r="A8049" i="26" s="1"/>
  <c r="A8050" i="26" s="1"/>
  <c r="A8051" i="26" s="1"/>
  <c r="A8052" i="26" s="1"/>
  <c r="A8053" i="26" s="1"/>
  <c r="A8054" i="26" s="1"/>
  <c r="A8055" i="26" s="1"/>
  <c r="A8056" i="26" s="1"/>
  <c r="A8057" i="26" s="1"/>
  <c r="A8058" i="26" s="1"/>
  <c r="A8059" i="26" s="1"/>
  <c r="A8060" i="26" s="1"/>
  <c r="A8061" i="26" s="1"/>
  <c r="A8062" i="26" s="1"/>
  <c r="A8063" i="26" s="1"/>
  <c r="A8064" i="26" s="1"/>
  <c r="A8065" i="26" s="1"/>
  <c r="A8066" i="26" s="1"/>
  <c r="A8067" i="26" s="1"/>
  <c r="A8068" i="26" s="1"/>
  <c r="A8069" i="26" s="1"/>
  <c r="A8070" i="26" s="1"/>
  <c r="A8071" i="26" s="1"/>
  <c r="A8072" i="26" s="1"/>
  <c r="A8073" i="26" s="1"/>
  <c r="A8074" i="26" s="1"/>
  <c r="A8075" i="26" s="1"/>
  <c r="A8076" i="26" s="1"/>
  <c r="A8077" i="26" s="1"/>
  <c r="A8078" i="26" s="1"/>
  <c r="A8079" i="26" s="1"/>
  <c r="A8080" i="26" s="1"/>
  <c r="A8081" i="26" s="1"/>
  <c r="A8082" i="26" s="1"/>
  <c r="A8083" i="26" s="1"/>
  <c r="A8084" i="26" s="1"/>
  <c r="A8085" i="26" s="1"/>
  <c r="A8086" i="26" s="1"/>
  <c r="A8087" i="26" s="1"/>
  <c r="A8088" i="26" s="1"/>
  <c r="A8089" i="26" s="1"/>
  <c r="A8090" i="26" s="1"/>
  <c r="A8091" i="26" s="1"/>
  <c r="A8092" i="26" s="1"/>
  <c r="A8093" i="26" s="1"/>
  <c r="A8094" i="26" s="1"/>
  <c r="A8095" i="26" s="1"/>
  <c r="A8096" i="26" s="1"/>
  <c r="A8097" i="26" s="1"/>
  <c r="A8098" i="26" s="1"/>
  <c r="A8099" i="26" s="1"/>
  <c r="A8100" i="26" s="1"/>
  <c r="A8101" i="26" s="1"/>
  <c r="A8102" i="26" s="1"/>
  <c r="A8103" i="26" s="1"/>
  <c r="A8104" i="26" s="1"/>
  <c r="A8105" i="26" s="1"/>
  <c r="A8106" i="26" s="1"/>
  <c r="A8107" i="26" s="1"/>
  <c r="A8108" i="26" s="1"/>
  <c r="A8109" i="26" s="1"/>
  <c r="A8110" i="26" s="1"/>
  <c r="A8111" i="26" s="1"/>
  <c r="A8112" i="26" s="1"/>
  <c r="A8113" i="26" s="1"/>
  <c r="A8114" i="26" s="1"/>
  <c r="A8115" i="26" s="1"/>
  <c r="A8116" i="26" s="1"/>
  <c r="A8117" i="26" s="1"/>
  <c r="A8118" i="26" s="1"/>
  <c r="A8119" i="26" s="1"/>
  <c r="A8120" i="26" s="1"/>
  <c r="A8121" i="26" s="1"/>
  <c r="A8122" i="26" s="1"/>
  <c r="A8123" i="26" s="1"/>
  <c r="A8124" i="26" s="1"/>
  <c r="A8125" i="26" s="1"/>
  <c r="A8126" i="26" s="1"/>
  <c r="A8127" i="26" s="1"/>
  <c r="A8128" i="26" s="1"/>
  <c r="A8129" i="26" s="1"/>
  <c r="A8130" i="26" s="1"/>
  <c r="A8131" i="26" s="1"/>
  <c r="A8132" i="26" s="1"/>
  <c r="A8133" i="26" s="1"/>
  <c r="A8134" i="26" s="1"/>
  <c r="A8135" i="26" s="1"/>
  <c r="A8136" i="26" s="1"/>
  <c r="A8137" i="26" s="1"/>
  <c r="A8138" i="26" s="1"/>
  <c r="A8139" i="26" s="1"/>
  <c r="A8140" i="26" s="1"/>
  <c r="A8141" i="26" s="1"/>
  <c r="A8142" i="26" s="1"/>
  <c r="A8143" i="26" s="1"/>
  <c r="A8144" i="26" s="1"/>
  <c r="A8145" i="26" s="1"/>
  <c r="A8146" i="26" s="1"/>
  <c r="A8147" i="26" s="1"/>
  <c r="A8148" i="26" s="1"/>
  <c r="A8149" i="26" s="1"/>
  <c r="A8150" i="26" s="1"/>
  <c r="A8151" i="26" s="1"/>
  <c r="A8152" i="26" s="1"/>
  <c r="A8153" i="26" s="1"/>
  <c r="A8154" i="26" s="1"/>
  <c r="A8155" i="26" s="1"/>
  <c r="A8156" i="26" s="1"/>
  <c r="A8157" i="26" s="1"/>
  <c r="A8158" i="26" s="1"/>
  <c r="A8159" i="26" s="1"/>
  <c r="A8160" i="26" s="1"/>
  <c r="A8161" i="26" s="1"/>
  <c r="A8162" i="26" s="1"/>
  <c r="A8163" i="26" s="1"/>
  <c r="A8164" i="26" s="1"/>
  <c r="A8165" i="26" s="1"/>
  <c r="A8166" i="26" s="1"/>
  <c r="A8167" i="26" s="1"/>
  <c r="A8168" i="26" s="1"/>
  <c r="A8169" i="26" s="1"/>
  <c r="A8170" i="26" s="1"/>
  <c r="A8171" i="26" s="1"/>
  <c r="A8172" i="26" s="1"/>
  <c r="A8173" i="26" s="1"/>
  <c r="A8174" i="26" s="1"/>
  <c r="A8175" i="26" s="1"/>
  <c r="A8176" i="26" s="1"/>
  <c r="A8177" i="26" s="1"/>
  <c r="A8178" i="26" s="1"/>
  <c r="A8179" i="26" s="1"/>
  <c r="A8180" i="26" s="1"/>
  <c r="A8181" i="26" s="1"/>
  <c r="A8182" i="26" s="1"/>
  <c r="A8183" i="26" s="1"/>
  <c r="A8184" i="26" s="1"/>
  <c r="A8185" i="26" s="1"/>
  <c r="A8186" i="26" s="1"/>
  <c r="A8187" i="26" s="1"/>
  <c r="A8188" i="26" s="1"/>
  <c r="A8189" i="26" s="1"/>
  <c r="A8190" i="26" s="1"/>
  <c r="A8191" i="26" s="1"/>
  <c r="A8192" i="26" s="1"/>
  <c r="A8193" i="26" s="1"/>
  <c r="A8194" i="26" s="1"/>
  <c r="A8195" i="26" s="1"/>
  <c r="A8196" i="26" s="1"/>
  <c r="A8197" i="26" s="1"/>
  <c r="A8198" i="26" s="1"/>
  <c r="A8199" i="26" s="1"/>
  <c r="A8200" i="26" s="1"/>
  <c r="A8201" i="26" s="1"/>
  <c r="A8202" i="26" s="1"/>
  <c r="A8203" i="26" s="1"/>
  <c r="A8204" i="26" s="1"/>
  <c r="A8205" i="26" s="1"/>
  <c r="A8206" i="26" s="1"/>
  <c r="A8207" i="26" s="1"/>
  <c r="A8208" i="26" s="1"/>
  <c r="A8209" i="26" s="1"/>
  <c r="A8210" i="26" s="1"/>
  <c r="A8211" i="26" s="1"/>
  <c r="A8212" i="26" s="1"/>
  <c r="A8213" i="26" s="1"/>
  <c r="A8214" i="26" s="1"/>
  <c r="A8215" i="26" s="1"/>
  <c r="A8216" i="26" s="1"/>
  <c r="A8217" i="26" s="1"/>
  <c r="A8218" i="26" s="1"/>
  <c r="A8219" i="26" s="1"/>
  <c r="A8220" i="26" s="1"/>
  <c r="A8221" i="26" s="1"/>
  <c r="A8222" i="26" s="1"/>
  <c r="A8223" i="26" s="1"/>
  <c r="A8224" i="26" s="1"/>
  <c r="A8225" i="26" s="1"/>
  <c r="A8226" i="26" s="1"/>
  <c r="A8227" i="26" s="1"/>
  <c r="A8228" i="26" s="1"/>
  <c r="A8229" i="26" s="1"/>
  <c r="A8230" i="26" s="1"/>
  <c r="A8231" i="26" s="1"/>
  <c r="A8232" i="26" s="1"/>
  <c r="A8233" i="26" s="1"/>
  <c r="A8234" i="26" s="1"/>
  <c r="A8235" i="26" s="1"/>
  <c r="A8236" i="26" s="1"/>
  <c r="A8237" i="26" s="1"/>
  <c r="A8238" i="26" s="1"/>
  <c r="A8239" i="26" s="1"/>
  <c r="A8240" i="26" s="1"/>
  <c r="A8241" i="26" s="1"/>
  <c r="A8242" i="26" s="1"/>
  <c r="A8243" i="26" s="1"/>
  <c r="A8244" i="26" s="1"/>
  <c r="A8245" i="26" s="1"/>
  <c r="A8246" i="26" s="1"/>
  <c r="A8247" i="26" s="1"/>
  <c r="A8248" i="26" s="1"/>
  <c r="A8249" i="26" s="1"/>
  <c r="A8250" i="26" s="1"/>
  <c r="A8251" i="26" s="1"/>
  <c r="A8252" i="26" s="1"/>
  <c r="A8253" i="26" s="1"/>
  <c r="A8254" i="26" s="1"/>
  <c r="A8255" i="26" s="1"/>
  <c r="A8256" i="26" s="1"/>
  <c r="A8257" i="26" s="1"/>
  <c r="A8258" i="26" s="1"/>
  <c r="A8259" i="26" s="1"/>
  <c r="A8260" i="26" s="1"/>
  <c r="A8261" i="26" s="1"/>
  <c r="A8262" i="26" s="1"/>
  <c r="A8263" i="26" s="1"/>
  <c r="A8264" i="26" s="1"/>
  <c r="A8265" i="26" s="1"/>
  <c r="A8266" i="26" s="1"/>
  <c r="A8267" i="26" s="1"/>
  <c r="A8268" i="26" s="1"/>
  <c r="A8269" i="26" s="1"/>
  <c r="A8270" i="26" s="1"/>
  <c r="A8271" i="26" s="1"/>
  <c r="A8272" i="26" s="1"/>
  <c r="A8273" i="26" s="1"/>
  <c r="A8274" i="26" s="1"/>
  <c r="A8275" i="26" s="1"/>
  <c r="A8276" i="26" s="1"/>
  <c r="A8277" i="26" s="1"/>
  <c r="A8278" i="26" s="1"/>
  <c r="A8279" i="26" s="1"/>
  <c r="A8280" i="26" s="1"/>
  <c r="A8281" i="26" s="1"/>
  <c r="A8282" i="26" s="1"/>
  <c r="A8283" i="26" s="1"/>
  <c r="A8284" i="26" s="1"/>
  <c r="A8285" i="26" s="1"/>
  <c r="A8286" i="26" s="1"/>
  <c r="A8287" i="26" s="1"/>
  <c r="A8288" i="26" s="1"/>
  <c r="A8289" i="26" s="1"/>
  <c r="A8290" i="26" s="1"/>
  <c r="A8291" i="26" s="1"/>
  <c r="A8292" i="26" s="1"/>
  <c r="A8293" i="26" s="1"/>
  <c r="A8294" i="26" s="1"/>
  <c r="A8295" i="26" s="1"/>
  <c r="A8296" i="26" s="1"/>
  <c r="A8297" i="26" s="1"/>
  <c r="A8298" i="26" s="1"/>
  <c r="A8299" i="26" s="1"/>
  <c r="A8300" i="26" s="1"/>
  <c r="A8301" i="26" s="1"/>
  <c r="A8302" i="26" s="1"/>
  <c r="A8303" i="26" s="1"/>
  <c r="A8304" i="26" s="1"/>
  <c r="A8305" i="26" s="1"/>
  <c r="A8306" i="26" s="1"/>
  <c r="A8307" i="26" s="1"/>
  <c r="A8308" i="26" s="1"/>
  <c r="A8309" i="26" s="1"/>
  <c r="A8310" i="26" s="1"/>
  <c r="A8311" i="26" s="1"/>
  <c r="A8312" i="26" s="1"/>
  <c r="A8313" i="26" s="1"/>
  <c r="A8314" i="26" s="1"/>
  <c r="A8315" i="26" s="1"/>
  <c r="A8316" i="26" s="1"/>
  <c r="A8317" i="26" s="1"/>
  <c r="A8318" i="26" s="1"/>
  <c r="A8319" i="26" s="1"/>
  <c r="A8320" i="26" s="1"/>
  <c r="A8321" i="26" s="1"/>
  <c r="A8322" i="26" s="1"/>
  <c r="A8323" i="26" s="1"/>
  <c r="A8324" i="26" s="1"/>
  <c r="A8325" i="26" s="1"/>
  <c r="A8326" i="26" s="1"/>
  <c r="A8327" i="26" s="1"/>
  <c r="A8328" i="26" s="1"/>
  <c r="A8329" i="26" s="1"/>
  <c r="A8330" i="26" s="1"/>
  <c r="A8331" i="26" s="1"/>
  <c r="A8332" i="26" s="1"/>
  <c r="A8333" i="26" s="1"/>
  <c r="A8334" i="26" s="1"/>
  <c r="A8335" i="26" s="1"/>
  <c r="A8336" i="26" s="1"/>
  <c r="A8337" i="26" s="1"/>
  <c r="A8338" i="26" s="1"/>
  <c r="A8339" i="26" s="1"/>
  <c r="A8340" i="26" s="1"/>
  <c r="A8341" i="26" s="1"/>
  <c r="A8342" i="26" s="1"/>
  <c r="A8343" i="26" s="1"/>
  <c r="A8344" i="26" s="1"/>
  <c r="A8345" i="26" s="1"/>
  <c r="A8346" i="26" s="1"/>
  <c r="A8347" i="26" s="1"/>
  <c r="A8348" i="26" s="1"/>
  <c r="A8349" i="26" s="1"/>
  <c r="A8350" i="26" s="1"/>
  <c r="A8351" i="26" s="1"/>
  <c r="A8352" i="26" s="1"/>
  <c r="A8353" i="26" s="1"/>
  <c r="A8354" i="26" s="1"/>
  <c r="A8355" i="26" s="1"/>
  <c r="A8356" i="26" s="1"/>
  <c r="A8357" i="26" s="1"/>
  <c r="A8358" i="26" s="1"/>
  <c r="A8359" i="26" s="1"/>
  <c r="A8360" i="26" s="1"/>
  <c r="A8361" i="26" s="1"/>
  <c r="A8362" i="26" s="1"/>
  <c r="A8363" i="26" s="1"/>
  <c r="A8364" i="26" s="1"/>
  <c r="A8365" i="26" s="1"/>
  <c r="A8366" i="26" s="1"/>
  <c r="A8367" i="26" s="1"/>
  <c r="A8368" i="26" s="1"/>
  <c r="A8369" i="26" s="1"/>
  <c r="A8370" i="26" s="1"/>
  <c r="A8371" i="26" s="1"/>
  <c r="A8372" i="26" s="1"/>
  <c r="A8373" i="26" s="1"/>
  <c r="A8374" i="26" s="1"/>
  <c r="A8375" i="26" s="1"/>
  <c r="A8376" i="26" s="1"/>
  <c r="A8377" i="26" s="1"/>
  <c r="A8378" i="26" s="1"/>
  <c r="A8379" i="26" s="1"/>
  <c r="A8380" i="26" s="1"/>
  <c r="A8381" i="26" s="1"/>
  <c r="A8382" i="26" s="1"/>
  <c r="A8383" i="26" s="1"/>
  <c r="A8384" i="26" s="1"/>
  <c r="A8385" i="26" s="1"/>
  <c r="A8386" i="26" s="1"/>
  <c r="A8387" i="26" s="1"/>
  <c r="A8388" i="26" s="1"/>
  <c r="A8389" i="26" s="1"/>
  <c r="A8390" i="26" s="1"/>
  <c r="A8391" i="26" s="1"/>
  <c r="A8392" i="26" s="1"/>
  <c r="A8393" i="26" s="1"/>
  <c r="A8394" i="26" s="1"/>
  <c r="A8395" i="26" s="1"/>
  <c r="A8396" i="26" s="1"/>
  <c r="A8397" i="26" s="1"/>
  <c r="A8398" i="26" s="1"/>
  <c r="A8399" i="26" s="1"/>
  <c r="A8400" i="26" s="1"/>
  <c r="A8401" i="26" s="1"/>
  <c r="A8402" i="26" s="1"/>
  <c r="A8403" i="26" s="1"/>
  <c r="A8404" i="26" s="1"/>
  <c r="A8405" i="26" s="1"/>
  <c r="A8406" i="26" s="1"/>
  <c r="A8407" i="26" s="1"/>
  <c r="A8408" i="26" s="1"/>
  <c r="A8409" i="26" s="1"/>
  <c r="A8410" i="26" s="1"/>
  <c r="A8411" i="26" s="1"/>
  <c r="A8412" i="26" s="1"/>
  <c r="A8413" i="26" s="1"/>
  <c r="A8414" i="26" s="1"/>
  <c r="A8415" i="26" s="1"/>
  <c r="A8416" i="26" s="1"/>
  <c r="A8417" i="26" s="1"/>
  <c r="A8418" i="26" s="1"/>
  <c r="A8419" i="26" s="1"/>
  <c r="A8420" i="26" s="1"/>
  <c r="A8421" i="26" s="1"/>
  <c r="A8422" i="26" s="1"/>
  <c r="A8423" i="26" s="1"/>
  <c r="A8424" i="26" s="1"/>
  <c r="A8425" i="26" s="1"/>
  <c r="A8426" i="26" s="1"/>
  <c r="A8427" i="26" s="1"/>
  <c r="A8428" i="26" s="1"/>
  <c r="A8429" i="26" s="1"/>
  <c r="A8430" i="26" s="1"/>
  <c r="A8431" i="26" s="1"/>
  <c r="A8432" i="26" s="1"/>
  <c r="A8433" i="26" s="1"/>
  <c r="A8434" i="26" s="1"/>
  <c r="A8435" i="26" s="1"/>
  <c r="A8436" i="26" s="1"/>
  <c r="A8437" i="26" s="1"/>
  <c r="A8438" i="26" s="1"/>
  <c r="A8439" i="26" s="1"/>
  <c r="A8440" i="26" s="1"/>
  <c r="A8441" i="26" s="1"/>
  <c r="A8442" i="26" s="1"/>
  <c r="A8443" i="26" s="1"/>
  <c r="A8444" i="26" s="1"/>
  <c r="A8445" i="26" s="1"/>
  <c r="A8446" i="26" s="1"/>
  <c r="A8447" i="26" s="1"/>
  <c r="A8448" i="26" s="1"/>
  <c r="A8449" i="26" s="1"/>
  <c r="A8450" i="26" s="1"/>
  <c r="A8451" i="26" s="1"/>
  <c r="A8452" i="26" s="1"/>
  <c r="A8453" i="26" s="1"/>
  <c r="A8454" i="26" s="1"/>
  <c r="A8455" i="26" s="1"/>
  <c r="A8456" i="26" s="1"/>
  <c r="A8457" i="26" s="1"/>
  <c r="A8458" i="26" s="1"/>
  <c r="A8459" i="26" s="1"/>
  <c r="A8460" i="26" s="1"/>
  <c r="A8461" i="26" s="1"/>
  <c r="A8462" i="26" s="1"/>
  <c r="A8463" i="26" s="1"/>
  <c r="A8464" i="26" s="1"/>
  <c r="A8465" i="26" s="1"/>
  <c r="A8466" i="26" s="1"/>
  <c r="A8467" i="26" s="1"/>
  <c r="A8468" i="26" s="1"/>
  <c r="A8469" i="26" s="1"/>
  <c r="A8470" i="26" s="1"/>
  <c r="A8471" i="26" s="1"/>
  <c r="A8472" i="26" s="1"/>
  <c r="A8473" i="26" s="1"/>
  <c r="A8474" i="26" s="1"/>
  <c r="A8475" i="26" s="1"/>
  <c r="A8476" i="26" s="1"/>
  <c r="A8477" i="26" s="1"/>
  <c r="A8478" i="26" s="1"/>
  <c r="A8479" i="26" s="1"/>
  <c r="A8480" i="26" s="1"/>
  <c r="A8481" i="26" s="1"/>
  <c r="A8482" i="26" s="1"/>
  <c r="A8483" i="26" s="1"/>
  <c r="A8484" i="26" s="1"/>
  <c r="A8485" i="26" s="1"/>
  <c r="A8486" i="26" s="1"/>
  <c r="A8487" i="26" s="1"/>
  <c r="A8488" i="26" s="1"/>
  <c r="A8489" i="26" s="1"/>
  <c r="A8490" i="26" s="1"/>
  <c r="A8491" i="26" s="1"/>
  <c r="A8492" i="26" s="1"/>
  <c r="A8493" i="26" s="1"/>
  <c r="A8494" i="26" s="1"/>
  <c r="A8495" i="26" s="1"/>
  <c r="A8496" i="26" s="1"/>
  <c r="A8497" i="26" s="1"/>
  <c r="A8498" i="26" s="1"/>
  <c r="A8499" i="26" s="1"/>
  <c r="A8500" i="26" s="1"/>
  <c r="A8501" i="26" s="1"/>
  <c r="A8502" i="26" s="1"/>
  <c r="A8503" i="26" s="1"/>
  <c r="A8504" i="26" s="1"/>
  <c r="A8505" i="26" s="1"/>
  <c r="A8506" i="26" s="1"/>
  <c r="A8507" i="26" s="1"/>
  <c r="A8508" i="26" s="1"/>
  <c r="A8509" i="26" s="1"/>
  <c r="A8510" i="26" s="1"/>
  <c r="A8511" i="26" s="1"/>
  <c r="A8512" i="26" s="1"/>
  <c r="A8513" i="26" s="1"/>
  <c r="A8514" i="26" s="1"/>
  <c r="A8515" i="26" s="1"/>
  <c r="A8516" i="26" s="1"/>
  <c r="A8517" i="26" s="1"/>
  <c r="A8518" i="26" s="1"/>
  <c r="A8519" i="26" s="1"/>
  <c r="A8520" i="26" s="1"/>
  <c r="A8521" i="26" s="1"/>
  <c r="A8522" i="26" s="1"/>
  <c r="A8523" i="26" s="1"/>
  <c r="A8524" i="26" s="1"/>
  <c r="A8525" i="26" s="1"/>
  <c r="A8526" i="26" s="1"/>
  <c r="A8527" i="26" s="1"/>
  <c r="A8528" i="26" s="1"/>
  <c r="A8529" i="26" s="1"/>
  <c r="A8530" i="26" s="1"/>
  <c r="A8531" i="26" s="1"/>
  <c r="A8532" i="26" s="1"/>
  <c r="A8533" i="26" s="1"/>
  <c r="A8534" i="26" s="1"/>
  <c r="A8535" i="26" s="1"/>
  <c r="A8536" i="26" s="1"/>
  <c r="A8537" i="26" s="1"/>
  <c r="A8538" i="26" s="1"/>
  <c r="A8539" i="26" s="1"/>
  <c r="A8540" i="26" s="1"/>
  <c r="A8541" i="26" s="1"/>
  <c r="A8542" i="26" s="1"/>
  <c r="A8543" i="26" s="1"/>
  <c r="A8544" i="26" s="1"/>
  <c r="A8545" i="26" s="1"/>
  <c r="A8546" i="26" s="1"/>
  <c r="A8547" i="26" s="1"/>
  <c r="A8548" i="26" s="1"/>
  <c r="A8549" i="26" s="1"/>
  <c r="A8550" i="26" s="1"/>
  <c r="A8551" i="26" s="1"/>
  <c r="A8552" i="26" s="1"/>
  <c r="A8553" i="26" s="1"/>
  <c r="A8554" i="26" s="1"/>
  <c r="A8555" i="26" s="1"/>
  <c r="A8556" i="26" s="1"/>
  <c r="A8557" i="26" s="1"/>
  <c r="A8558" i="26" s="1"/>
  <c r="A8559" i="26" s="1"/>
  <c r="A8560" i="26" s="1"/>
  <c r="A8561" i="26" s="1"/>
  <c r="A8562" i="26" s="1"/>
  <c r="A8563" i="26" s="1"/>
  <c r="A8564" i="26" s="1"/>
  <c r="A8565" i="26" s="1"/>
  <c r="A8566" i="26" s="1"/>
  <c r="A8567" i="26" s="1"/>
  <c r="A8568" i="26" s="1"/>
  <c r="A8569" i="26" s="1"/>
  <c r="A8570" i="26" s="1"/>
  <c r="A8571" i="26" s="1"/>
  <c r="A8572" i="26" s="1"/>
  <c r="A8573" i="26" s="1"/>
  <c r="A8574" i="26" s="1"/>
  <c r="A8575" i="26" s="1"/>
  <c r="A8576" i="26" s="1"/>
  <c r="A8577" i="26" s="1"/>
  <c r="A8578" i="26" s="1"/>
  <c r="A8579" i="26" s="1"/>
  <c r="A8580" i="26" s="1"/>
  <c r="A8581" i="26" s="1"/>
  <c r="A8582" i="26" s="1"/>
  <c r="A8583" i="26" s="1"/>
  <c r="A8584" i="26" s="1"/>
  <c r="A8585" i="26" s="1"/>
  <c r="A8586" i="26" s="1"/>
  <c r="A8587" i="26" s="1"/>
  <c r="A8588" i="26" s="1"/>
  <c r="A8589" i="26" s="1"/>
  <c r="A8590" i="26" s="1"/>
  <c r="A8591" i="26" s="1"/>
  <c r="A8592" i="26" s="1"/>
  <c r="A8593" i="26" s="1"/>
  <c r="A8594" i="26" s="1"/>
  <c r="A8595" i="26" s="1"/>
  <c r="A8596" i="26" s="1"/>
  <c r="A8597" i="26" s="1"/>
  <c r="A8598" i="26" s="1"/>
  <c r="A8599" i="26" s="1"/>
  <c r="A8600" i="26" s="1"/>
  <c r="A8601" i="26" s="1"/>
  <c r="A8602" i="26" s="1"/>
  <c r="A8603" i="26" s="1"/>
  <c r="A8604" i="26" s="1"/>
  <c r="A8605" i="26" s="1"/>
  <c r="A8606" i="26" s="1"/>
  <c r="A8607" i="26" s="1"/>
  <c r="A8608" i="26" s="1"/>
  <c r="A8609" i="26" s="1"/>
  <c r="A8610" i="26" s="1"/>
  <c r="A8611" i="26" s="1"/>
  <c r="A8612" i="26" s="1"/>
  <c r="A8613" i="26" s="1"/>
  <c r="A8614" i="26" s="1"/>
  <c r="A8615" i="26" s="1"/>
  <c r="A8616" i="26" s="1"/>
  <c r="A8617" i="26" s="1"/>
  <c r="A8618" i="26" s="1"/>
  <c r="A8619" i="26" s="1"/>
  <c r="A8620" i="26" s="1"/>
  <c r="A8621" i="26" s="1"/>
  <c r="A8622" i="26" s="1"/>
  <c r="A8623" i="26" s="1"/>
  <c r="A8624" i="26" s="1"/>
  <c r="A8625" i="26" s="1"/>
  <c r="A8626" i="26" s="1"/>
  <c r="A8627" i="26" s="1"/>
  <c r="A8628" i="26" s="1"/>
  <c r="A8629" i="26" s="1"/>
  <c r="A8630" i="26" s="1"/>
  <c r="A8631" i="26" s="1"/>
  <c r="A8632" i="26" s="1"/>
  <c r="A8633" i="26" s="1"/>
  <c r="A8634" i="26" s="1"/>
  <c r="A8635" i="26" s="1"/>
  <c r="A8636" i="26" s="1"/>
  <c r="A8637" i="26" s="1"/>
  <c r="A8638" i="26" s="1"/>
  <c r="A8639" i="26" s="1"/>
  <c r="A8640" i="26" s="1"/>
  <c r="A8641" i="26" s="1"/>
  <c r="A8642" i="26" s="1"/>
  <c r="A8643" i="26" s="1"/>
  <c r="A8644" i="26" s="1"/>
  <c r="A8645" i="26" s="1"/>
  <c r="A8646" i="26" s="1"/>
  <c r="A8647" i="26" s="1"/>
  <c r="A8648" i="26" s="1"/>
  <c r="A8649" i="26" s="1"/>
  <c r="A8650" i="26" s="1"/>
  <c r="A8651" i="26" s="1"/>
  <c r="A8652" i="26" s="1"/>
  <c r="A8653" i="26" s="1"/>
  <c r="A8654" i="26" s="1"/>
  <c r="A8655" i="26" s="1"/>
  <c r="A8656" i="26" s="1"/>
  <c r="A8657" i="26" s="1"/>
  <c r="A8658" i="26" s="1"/>
  <c r="A8659" i="26" s="1"/>
  <c r="A8660" i="26" s="1"/>
  <c r="A8661" i="26" s="1"/>
  <c r="A8662" i="26" s="1"/>
  <c r="A8663" i="26" s="1"/>
  <c r="A8664" i="26" s="1"/>
  <c r="A8665" i="26" s="1"/>
  <c r="A8666" i="26" s="1"/>
  <c r="A8667" i="26" s="1"/>
  <c r="A8668" i="26" s="1"/>
  <c r="A8669" i="26" s="1"/>
  <c r="A8670" i="26" s="1"/>
  <c r="A8671" i="26" s="1"/>
  <c r="A8672" i="26" s="1"/>
  <c r="A8673" i="26" s="1"/>
  <c r="A8674" i="26" s="1"/>
  <c r="A8675" i="26" s="1"/>
  <c r="A8676" i="26" s="1"/>
  <c r="A8677" i="26" s="1"/>
  <c r="A8678" i="26" s="1"/>
  <c r="A8679" i="26" s="1"/>
  <c r="A8680" i="26" s="1"/>
  <c r="A8681" i="26" s="1"/>
  <c r="A8682" i="26" s="1"/>
  <c r="A8683" i="26" s="1"/>
  <c r="A8684" i="26" s="1"/>
  <c r="A8685" i="26" s="1"/>
  <c r="A8686" i="26" s="1"/>
  <c r="A8687" i="26" s="1"/>
  <c r="A8688" i="26" s="1"/>
  <c r="A8689" i="26" s="1"/>
  <c r="A8690" i="26" s="1"/>
  <c r="A8691" i="26" s="1"/>
  <c r="A8692" i="26" s="1"/>
  <c r="A8693" i="26" s="1"/>
  <c r="A8694" i="26" s="1"/>
  <c r="A8695" i="26" s="1"/>
  <c r="A8696" i="26" s="1"/>
  <c r="A8697" i="26" s="1"/>
  <c r="A8698" i="26" s="1"/>
  <c r="A8699" i="26" s="1"/>
  <c r="A8700" i="26" s="1"/>
  <c r="A8701" i="26" s="1"/>
  <c r="A8702" i="26" s="1"/>
  <c r="A8703" i="26" s="1"/>
  <c r="A8704" i="26" s="1"/>
  <c r="A8705" i="26" s="1"/>
  <c r="A8706" i="26" s="1"/>
  <c r="A8707" i="26" s="1"/>
  <c r="A8708" i="26" s="1"/>
  <c r="A8709" i="26" s="1"/>
  <c r="A8710" i="26" s="1"/>
  <c r="A8711" i="26" s="1"/>
  <c r="A8712" i="26" s="1"/>
  <c r="A8713" i="26" s="1"/>
  <c r="A8714" i="26" s="1"/>
  <c r="A8715" i="26" s="1"/>
  <c r="A8716" i="26" s="1"/>
  <c r="A8717" i="26" s="1"/>
  <c r="A8718" i="26" s="1"/>
  <c r="A8719" i="26" s="1"/>
  <c r="A8720" i="26" s="1"/>
  <c r="A8721" i="26" s="1"/>
  <c r="A8722" i="26" s="1"/>
  <c r="A8723" i="26" s="1"/>
  <c r="A8724" i="26" s="1"/>
  <c r="A8725" i="26" s="1"/>
  <c r="A8726" i="26" s="1"/>
  <c r="A8727" i="26" s="1"/>
  <c r="A8728" i="26" s="1"/>
  <c r="A8729" i="26" s="1"/>
  <c r="A8730" i="26" s="1"/>
  <c r="A8731" i="26" s="1"/>
  <c r="A8732" i="26" s="1"/>
  <c r="A8733" i="26" s="1"/>
  <c r="A8734" i="26" s="1"/>
  <c r="A8735" i="26" s="1"/>
  <c r="A8736" i="26" s="1"/>
  <c r="A8737" i="26" s="1"/>
  <c r="A8738" i="26" s="1"/>
  <c r="A8739" i="26" s="1"/>
  <c r="A8740" i="26" s="1"/>
  <c r="A8741" i="26" s="1"/>
  <c r="A8742" i="26" s="1"/>
  <c r="A8743" i="26" s="1"/>
  <c r="A8744" i="26" s="1"/>
  <c r="A8745" i="26" s="1"/>
  <c r="A8746" i="26" s="1"/>
  <c r="A8747" i="26" s="1"/>
  <c r="A8748" i="26" s="1"/>
  <c r="A8749" i="26" s="1"/>
  <c r="A8750" i="26" s="1"/>
  <c r="A8751" i="26" s="1"/>
  <c r="A8752" i="26" s="1"/>
  <c r="A8753" i="26" s="1"/>
  <c r="A8754" i="26" s="1"/>
  <c r="A8755" i="26" s="1"/>
  <c r="A8756" i="26" s="1"/>
  <c r="A8757" i="26" s="1"/>
  <c r="A8758" i="26" s="1"/>
  <c r="A8759" i="26" s="1"/>
  <c r="A8760" i="26" s="1"/>
  <c r="A8761" i="26" s="1"/>
  <c r="V498" i="2"/>
  <c r="W498" i="2" s="1"/>
  <c r="X498" i="2" s="1"/>
  <c r="G66" i="9"/>
  <c r="AO440" i="6"/>
  <c r="AM440" i="6"/>
  <c r="AO438" i="6"/>
  <c r="AL438" i="6"/>
  <c r="AL473" i="6"/>
  <c r="AO473" i="6"/>
  <c r="AM473" i="6"/>
  <c r="X427" i="6"/>
  <c r="X437" i="6" s="1"/>
  <c r="AM288" i="2"/>
  <c r="AN288" i="2" s="1"/>
  <c r="AO379" i="2"/>
  <c r="AL307" i="2"/>
  <c r="AM307" i="2"/>
  <c r="AN307" i="2" s="1"/>
  <c r="AO301" i="2"/>
  <c r="AM468" i="6"/>
  <c r="AL393" i="6"/>
  <c r="AM393" i="6"/>
  <c r="AO393" i="6"/>
  <c r="AL493" i="6"/>
  <c r="AM493" i="6"/>
  <c r="AL411" i="6"/>
  <c r="AL394" i="6"/>
  <c r="AM394" i="6"/>
  <c r="AO394" i="6"/>
  <c r="AL401" i="6"/>
  <c r="AM401" i="6"/>
  <c r="AL459" i="6"/>
  <c r="AM459" i="6"/>
  <c r="AL424" i="6"/>
  <c r="AM424" i="6"/>
  <c r="AL457" i="6"/>
  <c r="AO457" i="6"/>
  <c r="AM457" i="6"/>
  <c r="AL390" i="6"/>
  <c r="AM390" i="6"/>
  <c r="AO390" i="6"/>
  <c r="AL478" i="6"/>
  <c r="AM478" i="6"/>
  <c r="AL477" i="6"/>
  <c r="AO477" i="6"/>
  <c r="AL414" i="6"/>
  <c r="AM414" i="6"/>
  <c r="AM482" i="6"/>
  <c r="AO482" i="6"/>
  <c r="AL444" i="6"/>
  <c r="AO444" i="6"/>
  <c r="AO409" i="6"/>
  <c r="AL409" i="6"/>
  <c r="AL392" i="6"/>
  <c r="AM392" i="6"/>
  <c r="AO392" i="6"/>
  <c r="AL440" i="6"/>
  <c r="AM338" i="2"/>
  <c r="AN338" i="2" s="1"/>
  <c r="AM314" i="2"/>
  <c r="AN314" i="2" s="1"/>
  <c r="AO462" i="6"/>
  <c r="AM420" i="6"/>
  <c r="AL420" i="6"/>
  <c r="AO420" i="6"/>
  <c r="AM455" i="6"/>
  <c r="AL455" i="6"/>
  <c r="AM461" i="6"/>
  <c r="AO461" i="6"/>
  <c r="AL461" i="6"/>
  <c r="AL443" i="6"/>
  <c r="AO443" i="6"/>
  <c r="AM443" i="6"/>
  <c r="AO475" i="6"/>
  <c r="AL475" i="6"/>
  <c r="AL407" i="6"/>
  <c r="AO407" i="6"/>
  <c r="AO472" i="6"/>
  <c r="AL472" i="6"/>
  <c r="AL439" i="6"/>
  <c r="AO439" i="6"/>
  <c r="AM439" i="6"/>
  <c r="AO408" i="6"/>
  <c r="AL460" i="6"/>
  <c r="AM460" i="6"/>
  <c r="AO460" i="6"/>
  <c r="AL432" i="6"/>
  <c r="AM397" i="6"/>
  <c r="AL397" i="6"/>
  <c r="AO397" i="6"/>
  <c r="AM458" i="6"/>
  <c r="AL458" i="6"/>
  <c r="AM427" i="6"/>
  <c r="AL427" i="6"/>
  <c r="AM438" i="6"/>
  <c r="AL413" i="6"/>
  <c r="AO413" i="6"/>
  <c r="AO471" i="6"/>
  <c r="AL415" i="6"/>
  <c r="AM415" i="6"/>
  <c r="AM449" i="6"/>
  <c r="AL470" i="6"/>
  <c r="AO470" i="6"/>
  <c r="AM470" i="6"/>
  <c r="AL445" i="6"/>
  <c r="AM445" i="6"/>
  <c r="AO319" i="2"/>
  <c r="AO361" i="2"/>
  <c r="AO350" i="2"/>
  <c r="AO385" i="2"/>
  <c r="AL329" i="2"/>
  <c r="AL337" i="2"/>
  <c r="AM289" i="2"/>
  <c r="AN289" i="2" s="1"/>
  <c r="AO335" i="2"/>
  <c r="AO302" i="2"/>
  <c r="AO297" i="2"/>
  <c r="AO381" i="2"/>
  <c r="AO321" i="2"/>
  <c r="AM345" i="2"/>
  <c r="AN345" i="2" s="1"/>
  <c r="AO314" i="2"/>
  <c r="AM363" i="2"/>
  <c r="AN363" i="2" s="1"/>
  <c r="AO428" i="6"/>
  <c r="AO487" i="6"/>
  <c r="AL487" i="6"/>
  <c r="AM421" i="6"/>
  <c r="AL421" i="6"/>
  <c r="AO494" i="6"/>
  <c r="AM494" i="6"/>
  <c r="AM491" i="6"/>
  <c r="AO491" i="6"/>
  <c r="AL491" i="6"/>
  <c r="AL387" i="6"/>
  <c r="AM387" i="6"/>
  <c r="AO387" i="6"/>
  <c r="AL412" i="6"/>
  <c r="AM412" i="6"/>
  <c r="AO412" i="6"/>
  <c r="AM404" i="6"/>
  <c r="AO404" i="6"/>
  <c r="AL481" i="6"/>
  <c r="AO481" i="6"/>
  <c r="AM450" i="6"/>
  <c r="AO450" i="6"/>
  <c r="AL467" i="6"/>
  <c r="AM467" i="6"/>
  <c r="AO467" i="6"/>
  <c r="AO433" i="6"/>
  <c r="AL433" i="6"/>
  <c r="AL465" i="6"/>
  <c r="AM465" i="6"/>
  <c r="AO465" i="6"/>
  <c r="AL434" i="6"/>
  <c r="AM434" i="6"/>
  <c r="AL399" i="6"/>
  <c r="AO399" i="6"/>
  <c r="AM399" i="6"/>
  <c r="AO423" i="6"/>
  <c r="AL423" i="6"/>
  <c r="AL388" i="6"/>
  <c r="AO388" i="6"/>
  <c r="AM388" i="6"/>
  <c r="AO418" i="6"/>
  <c r="AM418" i="6"/>
  <c r="X427" i="2"/>
  <c r="X437" i="2" s="1"/>
  <c r="L79" i="9"/>
  <c r="AM317" i="2"/>
  <c r="AN317" i="2" s="1"/>
  <c r="Z317" i="2" s="1"/>
  <c r="AO374" i="2"/>
  <c r="AO337" i="2"/>
  <c r="AL338" i="2"/>
  <c r="AM381" i="2"/>
  <c r="AO351" i="2"/>
  <c r="AO348" i="2"/>
  <c r="AO313" i="2"/>
  <c r="AM479" i="6"/>
  <c r="AO479" i="6"/>
  <c r="AL452" i="6"/>
  <c r="AO452" i="6"/>
  <c r="AM452" i="6"/>
  <c r="AM410" i="6"/>
  <c r="AO410" i="6"/>
  <c r="AL410" i="6"/>
  <c r="AO391" i="6"/>
  <c r="AM490" i="6"/>
  <c r="AL418" i="6"/>
  <c r="J21" i="14"/>
  <c r="BY19" i="5"/>
  <c r="CD19" i="5" s="1"/>
  <c r="BY70" i="5"/>
  <c r="CD70" i="5" s="1"/>
  <c r="BY121" i="5"/>
  <c r="CD121" i="5" s="1"/>
  <c r="BY38" i="5"/>
  <c r="CD38" i="5" s="1"/>
  <c r="BY115" i="5"/>
  <c r="CD115" i="5" s="1"/>
  <c r="BY57" i="5"/>
  <c r="CD57" i="5" s="1"/>
  <c r="BY44" i="5"/>
  <c r="CD44" i="5" s="1"/>
  <c r="BY25" i="5"/>
  <c r="CD25" i="5" s="1"/>
  <c r="BY124" i="5"/>
  <c r="CD124" i="5" s="1"/>
  <c r="BY51" i="5"/>
  <c r="CD51" i="5" s="1"/>
  <c r="BY134" i="5"/>
  <c r="CD134" i="5" s="1"/>
  <c r="BY87" i="5"/>
  <c r="CD87" i="5" s="1"/>
  <c r="BY81" i="5"/>
  <c r="CD81" i="5" s="1"/>
  <c r="BY92" i="5"/>
  <c r="CD92" i="5" s="1"/>
  <c r="BY68" i="5"/>
  <c r="CD68" i="5" s="1"/>
  <c r="BY93" i="5"/>
  <c r="CD93" i="5" s="1"/>
  <c r="BY33" i="5"/>
  <c r="CD33" i="5" s="1"/>
  <c r="BY69" i="5"/>
  <c r="CD69" i="5" s="1"/>
  <c r="BY49" i="5"/>
  <c r="CD49" i="5" s="1"/>
  <c r="BY137" i="5"/>
  <c r="CD137" i="5" s="1"/>
  <c r="BY73" i="5"/>
  <c r="CD73" i="5" s="1"/>
  <c r="BY20" i="5"/>
  <c r="CD20" i="5" s="1"/>
  <c r="BY41" i="5"/>
  <c r="CD41" i="5" s="1"/>
  <c r="BY52" i="5"/>
  <c r="CD52" i="5" s="1"/>
  <c r="BY86" i="5"/>
  <c r="CD86" i="5" s="1"/>
  <c r="BY15" i="5"/>
  <c r="CD15" i="5" s="1"/>
  <c r="BY17" i="5"/>
  <c r="CD17" i="5" s="1"/>
  <c r="BY112" i="5"/>
  <c r="CD112" i="5" s="1"/>
  <c r="BY80" i="5"/>
  <c r="CD80" i="5" s="1"/>
  <c r="BY34" i="5"/>
  <c r="CD34" i="5" s="1"/>
  <c r="BY82" i="5"/>
  <c r="CD82" i="5" s="1"/>
  <c r="BY133" i="5"/>
  <c r="CD133" i="5" s="1"/>
  <c r="BY75" i="5"/>
  <c r="CD75" i="5" s="1"/>
  <c r="BY23" i="5"/>
  <c r="CD23" i="5" s="1"/>
  <c r="BY103" i="5"/>
  <c r="CD103" i="5" s="1"/>
  <c r="BY127" i="5"/>
  <c r="CD127" i="5" s="1"/>
  <c r="BY104" i="5"/>
  <c r="CD104" i="5" s="1"/>
  <c r="BY39" i="5"/>
  <c r="CD39" i="5" s="1"/>
  <c r="BY74" i="5"/>
  <c r="CD74" i="5" s="1"/>
  <c r="BY65" i="5"/>
  <c r="CD65" i="5" s="1"/>
  <c r="BY21" i="5"/>
  <c r="CD21" i="5" s="1"/>
  <c r="BY142" i="5"/>
  <c r="CD142" i="5" s="1"/>
  <c r="BY123" i="5"/>
  <c r="CD123" i="5" s="1"/>
  <c r="BY59" i="5"/>
  <c r="CD59" i="5" s="1"/>
  <c r="BY27" i="5"/>
  <c r="CD27" i="5" s="1"/>
  <c r="BY122" i="5"/>
  <c r="CD122" i="5" s="1"/>
  <c r="BY45" i="5"/>
  <c r="CD45" i="5" s="1"/>
  <c r="BY119" i="5"/>
  <c r="CD119" i="5" s="1"/>
  <c r="BY37" i="5"/>
  <c r="CD37" i="5" s="1"/>
  <c r="BY26" i="5"/>
  <c r="CD26" i="5" s="1"/>
  <c r="BY129" i="5"/>
  <c r="CD129" i="5" s="1"/>
  <c r="BY101" i="5"/>
  <c r="CD101" i="5" s="1"/>
  <c r="BY135" i="5"/>
  <c r="CD135" i="5" s="1"/>
  <c r="BY18" i="5"/>
  <c r="CD18" i="5" s="1"/>
  <c r="BY76" i="5"/>
  <c r="CD76" i="5" s="1"/>
  <c r="BY89" i="5"/>
  <c r="CD89" i="5" s="1"/>
  <c r="BY109" i="5"/>
  <c r="CD109" i="5" s="1"/>
  <c r="BY110" i="5"/>
  <c r="CD110" i="5" s="1"/>
  <c r="BY107" i="5"/>
  <c r="CD107" i="5" s="1"/>
  <c r="BY67" i="5"/>
  <c r="CD67" i="5" s="1"/>
  <c r="BY139" i="5"/>
  <c r="CD139" i="5" s="1"/>
  <c r="BY99" i="5"/>
  <c r="CD99" i="5" s="1"/>
  <c r="BY95" i="5"/>
  <c r="CD95" i="5" s="1"/>
  <c r="BY100" i="5"/>
  <c r="CD100" i="5" s="1"/>
  <c r="BY140" i="5"/>
  <c r="CD140" i="5" s="1"/>
  <c r="BY131" i="5"/>
  <c r="CD131" i="5" s="1"/>
  <c r="BY50" i="5"/>
  <c r="CD50" i="5" s="1"/>
  <c r="BY58" i="5"/>
  <c r="CD58" i="5" s="1"/>
  <c r="BY32" i="5"/>
  <c r="CD32" i="5" s="1"/>
  <c r="BY136" i="5"/>
  <c r="CD136" i="5" s="1"/>
  <c r="BY14" i="5"/>
  <c r="CD14" i="5" s="1"/>
  <c r="BY35" i="5"/>
  <c r="CD35" i="5" s="1"/>
  <c r="BY79" i="5"/>
  <c r="CD79" i="5" s="1"/>
  <c r="BY85" i="5"/>
  <c r="CD85" i="5" s="1"/>
  <c r="BY126" i="5"/>
  <c r="CD126" i="5" s="1"/>
  <c r="BY102" i="5"/>
  <c r="CD102" i="5" s="1"/>
  <c r="BY118" i="5"/>
  <c r="CD118" i="5" s="1"/>
  <c r="BY22" i="5"/>
  <c r="CD22" i="5" s="1"/>
  <c r="BY13" i="5"/>
  <c r="CD13" i="5" s="1"/>
  <c r="BY90" i="5"/>
  <c r="CD90" i="5" s="1"/>
  <c r="BY91" i="5"/>
  <c r="CD91" i="5" s="1"/>
  <c r="BY16" i="5"/>
  <c r="CD16" i="5" s="1"/>
  <c r="BY28" i="5"/>
  <c r="CD28" i="5" s="1"/>
  <c r="BY71" i="5"/>
  <c r="CD71" i="5" s="1"/>
  <c r="BY53" i="5"/>
  <c r="CD53" i="5" s="1"/>
  <c r="BY63" i="5"/>
  <c r="CD63" i="5" s="1"/>
  <c r="BY111" i="5"/>
  <c r="CD111" i="5" s="1"/>
  <c r="BY98" i="5"/>
  <c r="CD98" i="5" s="1"/>
  <c r="BY40" i="5"/>
  <c r="CD40" i="5" s="1"/>
  <c r="BY106" i="5"/>
  <c r="CD106" i="5" s="1"/>
  <c r="BY31" i="5"/>
  <c r="CD31" i="5" s="1"/>
  <c r="BY141" i="5"/>
  <c r="CD141" i="5" s="1"/>
  <c r="BY56" i="5"/>
  <c r="CD56" i="5" s="1"/>
  <c r="BY143" i="5"/>
  <c r="CD143" i="5" s="1"/>
  <c r="BY125" i="5"/>
  <c r="CD125" i="5" s="1"/>
  <c r="BY54" i="5"/>
  <c r="CD54" i="5" s="1"/>
  <c r="BY64" i="5"/>
  <c r="CD64" i="5" s="1"/>
  <c r="BY128" i="5"/>
  <c r="CD128" i="5" s="1"/>
  <c r="BY97" i="5"/>
  <c r="CD97" i="5" s="1"/>
  <c r="BY46" i="5"/>
  <c r="CD46" i="5" s="1"/>
  <c r="BY78" i="5"/>
  <c r="CD78" i="5" s="1"/>
  <c r="BY77" i="5"/>
  <c r="CD77" i="5" s="1"/>
  <c r="BY117" i="5"/>
  <c r="CD117" i="5" s="1"/>
  <c r="BY47" i="5"/>
  <c r="CD47" i="5" s="1"/>
  <c r="BY116" i="5"/>
  <c r="CD116" i="5" s="1"/>
  <c r="BY83" i="5"/>
  <c r="CD83" i="5" s="1"/>
  <c r="BY61" i="5"/>
  <c r="CD61" i="5" s="1"/>
  <c r="BY30" i="5"/>
  <c r="CD30" i="5" s="1"/>
  <c r="BY138" i="5"/>
  <c r="CD138" i="5" s="1"/>
  <c r="BY42" i="5"/>
  <c r="CD42" i="5" s="1"/>
  <c r="BY114" i="5"/>
  <c r="CD114" i="5" s="1"/>
  <c r="BY88" i="5"/>
  <c r="CD88" i="5" s="1"/>
  <c r="BY29" i="5"/>
  <c r="CD29" i="5" s="1"/>
  <c r="BY66" i="5"/>
  <c r="CD66" i="5" s="1"/>
  <c r="BY94" i="5"/>
  <c r="CD94" i="5" s="1"/>
  <c r="BY43" i="5"/>
  <c r="CD43" i="5" s="1"/>
  <c r="BY62" i="5"/>
  <c r="CD62" i="5" s="1"/>
  <c r="BY130" i="5"/>
  <c r="CD130" i="5" s="1"/>
  <c r="BY105" i="5"/>
  <c r="CD105" i="5" s="1"/>
  <c r="BY113" i="5"/>
  <c r="CD113" i="5" s="1"/>
  <c r="BY55" i="5"/>
  <c r="CD55" i="5" s="1"/>
  <c r="D16" i="9"/>
  <c r="F17" i="9" s="1"/>
  <c r="F16" i="9"/>
  <c r="G16" i="9"/>
  <c r="B61" i="9"/>
  <c r="BQ13" i="2"/>
  <c r="AM282" i="5" l="1"/>
  <c r="AM338" i="5"/>
  <c r="AM307" i="5"/>
  <c r="AM314" i="5"/>
  <c r="AM279" i="5"/>
  <c r="AM343" i="5"/>
  <c r="AO375" i="5"/>
  <c r="AO291" i="5"/>
  <c r="AO304" i="5"/>
  <c r="AO360" i="5"/>
  <c r="AP360" i="5" s="1"/>
  <c r="AO337" i="5"/>
  <c r="AO364" i="5"/>
  <c r="G70" i="9"/>
  <c r="AM360" i="5"/>
  <c r="AM364" i="5"/>
  <c r="AO338" i="5"/>
  <c r="AM337" i="5"/>
  <c r="AL355" i="5"/>
  <c r="H21" i="23"/>
  <c r="J21" i="13"/>
  <c r="AO293" i="5"/>
  <c r="AM344" i="5"/>
  <c r="AO314" i="5"/>
  <c r="AM311" i="5"/>
  <c r="AM304" i="5"/>
  <c r="AP418" i="6"/>
  <c r="AP467" i="6"/>
  <c r="AP491" i="6"/>
  <c r="AP413" i="6"/>
  <c r="AP439" i="6"/>
  <c r="AP420" i="6"/>
  <c r="AP444" i="6"/>
  <c r="AP393" i="6"/>
  <c r="AP412" i="6"/>
  <c r="AP443" i="6"/>
  <c r="AP410" i="6"/>
  <c r="AP388" i="6"/>
  <c r="AP428" i="6"/>
  <c r="AP335" i="2"/>
  <c r="AP385" i="2"/>
  <c r="AP470" i="6"/>
  <c r="AP408" i="6"/>
  <c r="AP482" i="6"/>
  <c r="AP477" i="6"/>
  <c r="AP390" i="6"/>
  <c r="AP457" i="6"/>
  <c r="AP394" i="6"/>
  <c r="AP438" i="6"/>
  <c r="H27" i="24"/>
  <c r="H21" i="10"/>
  <c r="I24" i="10" s="1"/>
  <c r="AP391" i="6"/>
  <c r="AP387" i="6"/>
  <c r="AP407" i="6"/>
  <c r="AP461" i="6"/>
  <c r="AP440" i="6"/>
  <c r="AP452" i="6"/>
  <c r="AP423" i="6"/>
  <c r="AP481" i="6"/>
  <c r="AP479" i="6"/>
  <c r="AP399" i="6"/>
  <c r="AP465" i="6"/>
  <c r="AP433" i="6"/>
  <c r="AP450" i="6"/>
  <c r="AP404" i="6"/>
  <c r="AP494" i="6"/>
  <c r="AP487" i="6"/>
  <c r="AP381" i="2"/>
  <c r="AP471" i="6"/>
  <c r="AP397" i="6"/>
  <c r="AP460" i="6"/>
  <c r="AP472" i="6"/>
  <c r="AP475" i="6"/>
  <c r="AP462" i="6"/>
  <c r="AP392" i="6"/>
  <c r="AP409" i="6"/>
  <c r="AP379" i="2"/>
  <c r="AP473" i="6"/>
  <c r="D17" i="18"/>
  <c r="AL298" i="5"/>
  <c r="AO294" i="5"/>
  <c r="AM352" i="5"/>
  <c r="AO301" i="5"/>
  <c r="AM333" i="5"/>
  <c r="AO365" i="5"/>
  <c r="AM315" i="5"/>
  <c r="AO328" i="5"/>
  <c r="AM383" i="5"/>
  <c r="AO331" i="5"/>
  <c r="AO348" i="5"/>
  <c r="AM320" i="5"/>
  <c r="AM380" i="5"/>
  <c r="AO281" i="5"/>
  <c r="AO313" i="5"/>
  <c r="AM345" i="5"/>
  <c r="AM292" i="5"/>
  <c r="AL299" i="5"/>
  <c r="AM312" i="5"/>
  <c r="AM368" i="5"/>
  <c r="AL277" i="5"/>
  <c r="AM341" i="5"/>
  <c r="AM373" i="5"/>
  <c r="AL284" i="5"/>
  <c r="AO384" i="5"/>
  <c r="AM278" i="5"/>
  <c r="AM295" i="5"/>
  <c r="AO327" i="5"/>
  <c r="AM359" i="5"/>
  <c r="AM318" i="5"/>
  <c r="AO322" i="5"/>
  <c r="AO347" i="5"/>
  <c r="AL372" i="5"/>
  <c r="AO332" i="5"/>
  <c r="AM321" i="5"/>
  <c r="AO353" i="5"/>
  <c r="AO385" i="5"/>
  <c r="AM354" i="5"/>
  <c r="AO308" i="5"/>
  <c r="AM323" i="5"/>
  <c r="AO362" i="5"/>
  <c r="AO324" i="5"/>
  <c r="AM285" i="5"/>
  <c r="AO317" i="5"/>
  <c r="AO349" i="5"/>
  <c r="AM381" i="5"/>
  <c r="AO283" i="5"/>
  <c r="AM355" i="5"/>
  <c r="AO302" i="5"/>
  <c r="AM300" i="5"/>
  <c r="AO358" i="5"/>
  <c r="AM303" i="5"/>
  <c r="AM335" i="5"/>
  <c r="AO374" i="5"/>
  <c r="AM350" i="5"/>
  <c r="AM379" i="5"/>
  <c r="AM280" i="5"/>
  <c r="AM297" i="5"/>
  <c r="AM329" i="5"/>
  <c r="AM334" i="5"/>
  <c r="AO363" i="5"/>
  <c r="AO350" i="5"/>
  <c r="AM317" i="5"/>
  <c r="AM349" i="5"/>
  <c r="AO334" i="5"/>
  <c r="AO280" i="5"/>
  <c r="AO285" i="5"/>
  <c r="AO379" i="5"/>
  <c r="AL362" i="5"/>
  <c r="AM358" i="5"/>
  <c r="AO329" i="5"/>
  <c r="AO335" i="5"/>
  <c r="AM347" i="5"/>
  <c r="AL347" i="5"/>
  <c r="AM308" i="5"/>
  <c r="AM327" i="5"/>
  <c r="AO359" i="5"/>
  <c r="AL313" i="5"/>
  <c r="AO315" i="5"/>
  <c r="AL294" i="5"/>
  <c r="AL292" i="5"/>
  <c r="AM287" i="5"/>
  <c r="AM328" i="5"/>
  <c r="AO372" i="5"/>
  <c r="AM331" i="5"/>
  <c r="AO368" i="5"/>
  <c r="AL323" i="5"/>
  <c r="AM281" i="5"/>
  <c r="AM372" i="5"/>
  <c r="AM294" i="5"/>
  <c r="AO383" i="5"/>
  <c r="AM313" i="5"/>
  <c r="AL281" i="5"/>
  <c r="AO298" i="5"/>
  <c r="AO320" i="5"/>
  <c r="AO345" i="5"/>
  <c r="AO299" i="5"/>
  <c r="AO312" i="5"/>
  <c r="AO373" i="5"/>
  <c r="AM301" i="5"/>
  <c r="AL315" i="5"/>
  <c r="AL384" i="5"/>
  <c r="AO292" i="5"/>
  <c r="AL330" i="5"/>
  <c r="AO28" i="2"/>
  <c r="AL350" i="5"/>
  <c r="D17" i="19"/>
  <c r="D17" i="20"/>
  <c r="AM324" i="6" s="1"/>
  <c r="AN324" i="6" s="1"/>
  <c r="Z324" i="6" s="1"/>
  <c r="I24" i="11"/>
  <c r="AL266" i="2" s="1"/>
  <c r="J21" i="10"/>
  <c r="H26" i="18"/>
  <c r="I24" i="20"/>
  <c r="AM66" i="2"/>
  <c r="AN66" i="2" s="1"/>
  <c r="Z66" i="2" s="1"/>
  <c r="AL280" i="5"/>
  <c r="AP468" i="6"/>
  <c r="AL314" i="2"/>
  <c r="H27" i="20"/>
  <c r="H21" i="13"/>
  <c r="AM340" i="5"/>
  <c r="I24" i="25"/>
  <c r="D17" i="23"/>
  <c r="D17" i="11"/>
  <c r="H26" i="23"/>
  <c r="H26" i="19"/>
  <c r="AL315" i="6"/>
  <c r="AL380" i="6"/>
  <c r="AO382" i="6"/>
  <c r="AM381" i="6"/>
  <c r="AM318" i="6"/>
  <c r="AN318" i="6" s="1"/>
  <c r="Z318" i="6" s="1"/>
  <c r="AM343" i="6"/>
  <c r="AN343" i="6" s="1"/>
  <c r="AM323" i="6"/>
  <c r="AN323" i="6" s="1"/>
  <c r="Z323" i="6" s="1"/>
  <c r="AO322" i="6"/>
  <c r="J23" i="13"/>
  <c r="H23" i="13"/>
  <c r="AM46" i="2"/>
  <c r="AN46" i="2" s="1"/>
  <c r="Z46" i="2" s="1"/>
  <c r="AL331" i="5"/>
  <c r="H26" i="20"/>
  <c r="AL367" i="5"/>
  <c r="AL307" i="5"/>
  <c r="AL381" i="5"/>
  <c r="AL304" i="5"/>
  <c r="AM37" i="2"/>
  <c r="AN37" i="2" s="1"/>
  <c r="Z37" i="2" s="1"/>
  <c r="AL317" i="5"/>
  <c r="AL285" i="5"/>
  <c r="AL352" i="5"/>
  <c r="J26" i="18"/>
  <c r="AL343" i="5"/>
  <c r="J21" i="25"/>
  <c r="AO288" i="5"/>
  <c r="AL328" i="5"/>
  <c r="AL325" i="5"/>
  <c r="AL351" i="5"/>
  <c r="AL290" i="5"/>
  <c r="J27" i="18"/>
  <c r="AP490" i="6"/>
  <c r="J26" i="19"/>
  <c r="H27" i="11"/>
  <c r="AL365" i="5"/>
  <c r="AL382" i="5"/>
  <c r="AL314" i="5"/>
  <c r="AL345" i="5"/>
  <c r="AM75" i="2"/>
  <c r="AN75" i="2" s="1"/>
  <c r="Z75" i="2" s="1"/>
  <c r="AM62" i="2"/>
  <c r="AN62" i="2" s="1"/>
  <c r="Z62" i="2" s="1"/>
  <c r="AL337" i="5"/>
  <c r="AL360" i="5"/>
  <c r="AL301" i="5"/>
  <c r="AL363" i="5"/>
  <c r="AL383" i="5"/>
  <c r="AM55" i="2"/>
  <c r="AN55" i="2" s="1"/>
  <c r="Z55" i="2" s="1"/>
  <c r="AL334" i="5"/>
  <c r="J26" i="20"/>
  <c r="AL312" i="5"/>
  <c r="AL278" i="5"/>
  <c r="AL377" i="5"/>
  <c r="AL359" i="5"/>
  <c r="AL371" i="5"/>
  <c r="AL300" i="5"/>
  <c r="AL321" i="5"/>
  <c r="AL295" i="5"/>
  <c r="AL291" i="5"/>
  <c r="AL353" i="2"/>
  <c r="AL358" i="5"/>
  <c r="AL364" i="5"/>
  <c r="AL375" i="5"/>
  <c r="AM125" i="2"/>
  <c r="AN125" i="2" s="1"/>
  <c r="Z125" i="2" s="1"/>
  <c r="AM97" i="2"/>
  <c r="AN97" i="2" s="1"/>
  <c r="Z97" i="2" s="1"/>
  <c r="AL327" i="5"/>
  <c r="AL322" i="5"/>
  <c r="AL374" i="2"/>
  <c r="AL333" i="5"/>
  <c r="AL301" i="2"/>
  <c r="AL379" i="2"/>
  <c r="AL368" i="5"/>
  <c r="AL369" i="5"/>
  <c r="AL349" i="5"/>
  <c r="AL344" i="5"/>
  <c r="AL329" i="5"/>
  <c r="AL320" i="5"/>
  <c r="AL353" i="5"/>
  <c r="AL358" i="2"/>
  <c r="AL379" i="5"/>
  <c r="AO89" i="2"/>
  <c r="AL335" i="5"/>
  <c r="AL374" i="5"/>
  <c r="AL380" i="5"/>
  <c r="AL373" i="5"/>
  <c r="AL279" i="5"/>
  <c r="AM339" i="5"/>
  <c r="AL338" i="5"/>
  <c r="AL308" i="5"/>
  <c r="AP411" i="6"/>
  <c r="AL453" i="6"/>
  <c r="AO432" i="6"/>
  <c r="AM411" i="6"/>
  <c r="AL468" i="6"/>
  <c r="AL490" i="6"/>
  <c r="AL391" i="6"/>
  <c r="AL398" i="6"/>
  <c r="AL375" i="6"/>
  <c r="AM471" i="6"/>
  <c r="AL408" i="6"/>
  <c r="AO442" i="6"/>
  <c r="AP498" i="6"/>
  <c r="AM453" i="6"/>
  <c r="AO398" i="6"/>
  <c r="AM430" i="6"/>
  <c r="AL442" i="6"/>
  <c r="AO430" i="6"/>
  <c r="AO330" i="5"/>
  <c r="AO325" i="5"/>
  <c r="AM290" i="2"/>
  <c r="AN290" i="2" s="1"/>
  <c r="AM25" i="2"/>
  <c r="AN25" i="2" s="1"/>
  <c r="Z25" i="2" s="1"/>
  <c r="AO288" i="2"/>
  <c r="AP488" i="6"/>
  <c r="AM65" i="2"/>
  <c r="AN65" i="2" s="1"/>
  <c r="Z65" i="2" s="1"/>
  <c r="AM53" i="2"/>
  <c r="AN53" i="2" s="1"/>
  <c r="Z53" i="2" s="1"/>
  <c r="AP400" i="6"/>
  <c r="AP403" i="6"/>
  <c r="AP417" i="6"/>
  <c r="J26" i="24"/>
  <c r="H26" i="24"/>
  <c r="AM463" i="6"/>
  <c r="AO463" i="6"/>
  <c r="AL463" i="6"/>
  <c r="H21" i="18"/>
  <c r="J21" i="18"/>
  <c r="I24" i="23"/>
  <c r="J27" i="24"/>
  <c r="AO441" i="6"/>
  <c r="AM441" i="6"/>
  <c r="D17" i="24"/>
  <c r="H27" i="14"/>
  <c r="J27" i="14"/>
  <c r="AL502" i="6"/>
  <c r="AM502" i="6"/>
  <c r="AO502" i="6"/>
  <c r="AL373" i="2"/>
  <c r="AO373" i="2"/>
  <c r="AM373" i="2"/>
  <c r="AN373" i="2" s="1"/>
  <c r="Z373" i="2" s="1"/>
  <c r="AO383" i="2"/>
  <c r="AL383" i="2"/>
  <c r="AM383" i="2"/>
  <c r="AO349" i="2"/>
  <c r="AM349" i="2"/>
  <c r="AN349" i="2" s="1"/>
  <c r="Z349" i="2" s="1"/>
  <c r="AL349" i="2"/>
  <c r="AM354" i="2"/>
  <c r="AN354" i="2" s="1"/>
  <c r="Z354" i="2" s="1"/>
  <c r="AL354" i="2"/>
  <c r="AO354" i="2"/>
  <c r="AM382" i="2"/>
  <c r="AL382" i="2"/>
  <c r="AO382" i="2"/>
  <c r="AM365" i="2"/>
  <c r="AN365" i="2" s="1"/>
  <c r="AO365" i="2"/>
  <c r="AL365" i="2"/>
  <c r="AL297" i="2"/>
  <c r="AO283" i="2"/>
  <c r="AL283" i="2"/>
  <c r="AO384" i="2"/>
  <c r="AL384" i="2"/>
  <c r="AL290" i="2"/>
  <c r="AM277" i="2"/>
  <c r="AL277" i="2"/>
  <c r="AO277" i="2"/>
  <c r="AM360" i="2"/>
  <c r="AN360" i="2" s="1"/>
  <c r="AO360" i="2"/>
  <c r="AL360" i="2"/>
  <c r="AO310" i="2"/>
  <c r="AL310" i="2"/>
  <c r="AM310" i="2"/>
  <c r="AN310" i="2" s="1"/>
  <c r="AO279" i="2"/>
  <c r="AL279" i="2"/>
  <c r="AM279" i="2"/>
  <c r="AL348" i="2"/>
  <c r="AM322" i="2"/>
  <c r="AN322" i="2" s="1"/>
  <c r="Z322" i="2" s="1"/>
  <c r="AO322" i="2"/>
  <c r="AL322" i="2"/>
  <c r="AL287" i="2"/>
  <c r="AM287" i="2"/>
  <c r="AN287" i="2" s="1"/>
  <c r="AO287" i="2"/>
  <c r="AL332" i="2"/>
  <c r="AM332" i="2"/>
  <c r="AO332" i="2"/>
  <c r="AL298" i="2"/>
  <c r="AO298" i="2"/>
  <c r="AM298" i="2"/>
  <c r="AL344" i="2"/>
  <c r="AM344" i="2"/>
  <c r="AN344" i="2" s="1"/>
  <c r="AO344" i="2"/>
  <c r="AM364" i="2"/>
  <c r="AN364" i="2" s="1"/>
  <c r="AO364" i="2"/>
  <c r="AL364" i="2"/>
  <c r="AL330" i="2"/>
  <c r="AM330" i="2"/>
  <c r="AO330" i="2"/>
  <c r="AO123" i="2"/>
  <c r="AP500" i="6"/>
  <c r="AP480" i="6"/>
  <c r="AL497" i="6"/>
  <c r="AO497" i="6"/>
  <c r="D17" i="14"/>
  <c r="AL400" i="6"/>
  <c r="AM400" i="6"/>
  <c r="AL437" i="6"/>
  <c r="AM437" i="6"/>
  <c r="AM417" i="6"/>
  <c r="AL417" i="6"/>
  <c r="AL451" i="6"/>
  <c r="AM451" i="6"/>
  <c r="AL489" i="6"/>
  <c r="AO489" i="6"/>
  <c r="J21" i="15"/>
  <c r="H21" i="15"/>
  <c r="AL402" i="6"/>
  <c r="AM402" i="6"/>
  <c r="AO402" i="6"/>
  <c r="AL454" i="6"/>
  <c r="AO454" i="6"/>
  <c r="AM454" i="6"/>
  <c r="AL431" i="6"/>
  <c r="AM431" i="6"/>
  <c r="AO431" i="6"/>
  <c r="AL357" i="2"/>
  <c r="AO357" i="2"/>
  <c r="AM357" i="2"/>
  <c r="AN357" i="2" s="1"/>
  <c r="AL381" i="2"/>
  <c r="AL320" i="2"/>
  <c r="AM320" i="2"/>
  <c r="AN320" i="2" s="1"/>
  <c r="Z320" i="2" s="1"/>
  <c r="AO320" i="2"/>
  <c r="AL281" i="2"/>
  <c r="AM281" i="2"/>
  <c r="AO281" i="2"/>
  <c r="AO328" i="2"/>
  <c r="AL328" i="2"/>
  <c r="AM328" i="2"/>
  <c r="AO339" i="2"/>
  <c r="AL339" i="2"/>
  <c r="AM339" i="2"/>
  <c r="AN339" i="2" s="1"/>
  <c r="AM323" i="2"/>
  <c r="AN323" i="2" s="1"/>
  <c r="Z323" i="2" s="1"/>
  <c r="AL323" i="2"/>
  <c r="AO323" i="2"/>
  <c r="AM327" i="2"/>
  <c r="AL327" i="2"/>
  <c r="AO327" i="2"/>
  <c r="AM358" i="2"/>
  <c r="AN358" i="2" s="1"/>
  <c r="AO358" i="2"/>
  <c r="AL321" i="2"/>
  <c r="AM321" i="2"/>
  <c r="AN321" i="2" s="1"/>
  <c r="Z321" i="2" s="1"/>
  <c r="AM385" i="2"/>
  <c r="AL385" i="2"/>
  <c r="AM361" i="2"/>
  <c r="AN361" i="2" s="1"/>
  <c r="AL361" i="2"/>
  <c r="AM291" i="2"/>
  <c r="AN291" i="2" s="1"/>
  <c r="AL291" i="2"/>
  <c r="AO291" i="2"/>
  <c r="AM378" i="2"/>
  <c r="AL378" i="2"/>
  <c r="AO378" i="2"/>
  <c r="AO369" i="2"/>
  <c r="AM369" i="2"/>
  <c r="AN369" i="2" s="1"/>
  <c r="Z369" i="2" s="1"/>
  <c r="AL369" i="2"/>
  <c r="AL368" i="2"/>
  <c r="AM368" i="2"/>
  <c r="AN368" i="2" s="1"/>
  <c r="Z368" i="2" s="1"/>
  <c r="AO368" i="2"/>
  <c r="AL294" i="2"/>
  <c r="AM294" i="2"/>
  <c r="AN294" i="2" s="1"/>
  <c r="AO294" i="2"/>
  <c r="AM351" i="2"/>
  <c r="AN351" i="2" s="1"/>
  <c r="Z351" i="2" s="1"/>
  <c r="AL351" i="2"/>
  <c r="AM284" i="2"/>
  <c r="AO284" i="2"/>
  <c r="AL284" i="2"/>
  <c r="AL318" i="2"/>
  <c r="AO318" i="2"/>
  <c r="AM318" i="2"/>
  <c r="AN318" i="2" s="1"/>
  <c r="Z318" i="2" s="1"/>
  <c r="AO293" i="2"/>
  <c r="AM293" i="2"/>
  <c r="AN293" i="2" s="1"/>
  <c r="AL293" i="2"/>
  <c r="AO343" i="2"/>
  <c r="AM343" i="2"/>
  <c r="AN343" i="2" s="1"/>
  <c r="AL343" i="2"/>
  <c r="AO380" i="2"/>
  <c r="AM380" i="2"/>
  <c r="AL380" i="2"/>
  <c r="AM304" i="2"/>
  <c r="AL304" i="2"/>
  <c r="AO304" i="2"/>
  <c r="AL227" i="2"/>
  <c r="AL159" i="2"/>
  <c r="AL190" i="2"/>
  <c r="AL249" i="2"/>
  <c r="AL188" i="2"/>
  <c r="AL253" i="2"/>
  <c r="AL251" i="2"/>
  <c r="AL154" i="2"/>
  <c r="AL206" i="2"/>
  <c r="AL162" i="2"/>
  <c r="AM262" i="2"/>
  <c r="AN262" i="2" s="1"/>
  <c r="Z262" i="2" s="1"/>
  <c r="AL198" i="2"/>
  <c r="AL239" i="2"/>
  <c r="AL268" i="2"/>
  <c r="AL151" i="2"/>
  <c r="AL232" i="2"/>
  <c r="AM201" i="2"/>
  <c r="AN201" i="2" s="1"/>
  <c r="Z201" i="2" s="1"/>
  <c r="AL191" i="2"/>
  <c r="AL247" i="2"/>
  <c r="AL200" i="2"/>
  <c r="AL193" i="2"/>
  <c r="AM13" i="2"/>
  <c r="AP401" i="6"/>
  <c r="AP425" i="6"/>
  <c r="AP451" i="6"/>
  <c r="H21" i="24"/>
  <c r="J21" i="24"/>
  <c r="AL492" i="6"/>
  <c r="AM492" i="6"/>
  <c r="AL449" i="6"/>
  <c r="AO449" i="6"/>
  <c r="AL485" i="6"/>
  <c r="AO485" i="6"/>
  <c r="AM485" i="6"/>
  <c r="AL429" i="6"/>
  <c r="AO429" i="6"/>
  <c r="AL422" i="6"/>
  <c r="AO422" i="6"/>
  <c r="AM395" i="6"/>
  <c r="AO395" i="6"/>
  <c r="AL395" i="6"/>
  <c r="AL299" i="2"/>
  <c r="AO299" i="2"/>
  <c r="AM299" i="2"/>
  <c r="AO289" i="2"/>
  <c r="AL289" i="2"/>
  <c r="AO285" i="2"/>
  <c r="AM285" i="2"/>
  <c r="AL285" i="2"/>
  <c r="AO309" i="2"/>
  <c r="AL309" i="2"/>
  <c r="AM309" i="2"/>
  <c r="AN309" i="2" s="1"/>
  <c r="AM375" i="2"/>
  <c r="AN375" i="2" s="1"/>
  <c r="Z375" i="2" s="1"/>
  <c r="AL375" i="2"/>
  <c r="AO375" i="2"/>
  <c r="AO308" i="2"/>
  <c r="AM308" i="2"/>
  <c r="AN308" i="2" s="1"/>
  <c r="AL308" i="2"/>
  <c r="AO300" i="2"/>
  <c r="AL300" i="2"/>
  <c r="AM300" i="2"/>
  <c r="AM377" i="2"/>
  <c r="AO377" i="2"/>
  <c r="AL377" i="2"/>
  <c r="AM312" i="2"/>
  <c r="AN312" i="2" s="1"/>
  <c r="AL312" i="2"/>
  <c r="AO312" i="2"/>
  <c r="AL302" i="2"/>
  <c r="AM302" i="2"/>
  <c r="AM350" i="2"/>
  <c r="AN350" i="2" s="1"/>
  <c r="Z350" i="2" s="1"/>
  <c r="AL350" i="2"/>
  <c r="AL319" i="2"/>
  <c r="AM319" i="2"/>
  <c r="AN319" i="2" s="1"/>
  <c r="Z319" i="2" s="1"/>
  <c r="AO362" i="2"/>
  <c r="AL362" i="2"/>
  <c r="AM362" i="2"/>
  <c r="AN362" i="2" s="1"/>
  <c r="AO347" i="2"/>
  <c r="AL347" i="2"/>
  <c r="AM347" i="2"/>
  <c r="AN347" i="2" s="1"/>
  <c r="Z347" i="2" s="1"/>
  <c r="AO324" i="2"/>
  <c r="AL324" i="2"/>
  <c r="AM324" i="2"/>
  <c r="AN324" i="2" s="1"/>
  <c r="Z324" i="2" s="1"/>
  <c r="AM295" i="2"/>
  <c r="AN295" i="2" s="1"/>
  <c r="AL295" i="2"/>
  <c r="AO295" i="2"/>
  <c r="AO282" i="2"/>
  <c r="AL282" i="2"/>
  <c r="AM282" i="2"/>
  <c r="AL335" i="2"/>
  <c r="AM335" i="2"/>
  <c r="AM305" i="2"/>
  <c r="AO305" i="2"/>
  <c r="AL305" i="2"/>
  <c r="AL341" i="2"/>
  <c r="AM341" i="2"/>
  <c r="AN341" i="2" s="1"/>
  <c r="AO341" i="2"/>
  <c r="AO372" i="2"/>
  <c r="AL372" i="2"/>
  <c r="AM372" i="2"/>
  <c r="AN372" i="2" s="1"/>
  <c r="Z372" i="2" s="1"/>
  <c r="AM331" i="2"/>
  <c r="AO331" i="2"/>
  <c r="AL331" i="2"/>
  <c r="AM342" i="2"/>
  <c r="AN342" i="2" s="1"/>
  <c r="AO342" i="2"/>
  <c r="AL342" i="2"/>
  <c r="AL325" i="2"/>
  <c r="AO325" i="2"/>
  <c r="AM325" i="2"/>
  <c r="AN325" i="2" s="1"/>
  <c r="Z325" i="2" s="1"/>
  <c r="AO37" i="2"/>
  <c r="AO31" i="2"/>
  <c r="AO109" i="2"/>
  <c r="AM357" i="5"/>
  <c r="AO309" i="5"/>
  <c r="AO361" i="5"/>
  <c r="AO340" i="5"/>
  <c r="AO378" i="5"/>
  <c r="AO287" i="5"/>
  <c r="AO318" i="5"/>
  <c r="AO319" i="5"/>
  <c r="AO305" i="5"/>
  <c r="AO278" i="5"/>
  <c r="AO303" i="5"/>
  <c r="AO289" i="5"/>
  <c r="AM342" i="5"/>
  <c r="AO469" i="6"/>
  <c r="AL469" i="6"/>
  <c r="AL419" i="6"/>
  <c r="AO419" i="6"/>
  <c r="AO495" i="6"/>
  <c r="AM495" i="6"/>
  <c r="AL495" i="6"/>
  <c r="J26" i="14"/>
  <c r="H26" i="14"/>
  <c r="H27" i="19"/>
  <c r="J27" i="19"/>
  <c r="AM313" i="2"/>
  <c r="AN313" i="2" s="1"/>
  <c r="AL313" i="2"/>
  <c r="AM329" i="2"/>
  <c r="AO329" i="2"/>
  <c r="AM311" i="2"/>
  <c r="AN311" i="2" s="1"/>
  <c r="AO311" i="2"/>
  <c r="AL311" i="2"/>
  <c r="AL280" i="2"/>
  <c r="AO280" i="2"/>
  <c r="AM280" i="2"/>
  <c r="AM303" i="2"/>
  <c r="AL303" i="2"/>
  <c r="AO303" i="2"/>
  <c r="AL370" i="2"/>
  <c r="AM370" i="2"/>
  <c r="AN370" i="2" s="1"/>
  <c r="Z370" i="2" s="1"/>
  <c r="AO370" i="2"/>
  <c r="AO345" i="2"/>
  <c r="AL345" i="2"/>
  <c r="AM292" i="2"/>
  <c r="AN292" i="2" s="1"/>
  <c r="AL292" i="2"/>
  <c r="AO292" i="2"/>
  <c r="AM353" i="2"/>
  <c r="AN353" i="2" s="1"/>
  <c r="Z353" i="2" s="1"/>
  <c r="AO353" i="2"/>
  <c r="AM359" i="2"/>
  <c r="AN359" i="2" s="1"/>
  <c r="AL359" i="2"/>
  <c r="AO359" i="2"/>
  <c r="AM278" i="2"/>
  <c r="AL278" i="2"/>
  <c r="AO278" i="2"/>
  <c r="AM340" i="2"/>
  <c r="AN340" i="2" s="1"/>
  <c r="AO340" i="2"/>
  <c r="AL340" i="2"/>
  <c r="AO355" i="2"/>
  <c r="AM355" i="2"/>
  <c r="AN355" i="2" s="1"/>
  <c r="Z355" i="2" s="1"/>
  <c r="AL355" i="2"/>
  <c r="AO363" i="2"/>
  <c r="AL363" i="2"/>
  <c r="AM371" i="2"/>
  <c r="AN371" i="2" s="1"/>
  <c r="Z371" i="2" s="1"/>
  <c r="AL371" i="2"/>
  <c r="AO371" i="2"/>
  <c r="AL367" i="2"/>
  <c r="AM367" i="2"/>
  <c r="AN367" i="2" s="1"/>
  <c r="Z367" i="2" s="1"/>
  <c r="AO367" i="2"/>
  <c r="AO352" i="2"/>
  <c r="AM352" i="2"/>
  <c r="AN352" i="2" s="1"/>
  <c r="Z352" i="2" s="1"/>
  <c r="AL352" i="2"/>
  <c r="AL333" i="2"/>
  <c r="AO333" i="2"/>
  <c r="AM333" i="2"/>
  <c r="AM334" i="2"/>
  <c r="AO334" i="2"/>
  <c r="AL334" i="2"/>
  <c r="AM315" i="2"/>
  <c r="AN315" i="2" s="1"/>
  <c r="AO315" i="2"/>
  <c r="AL315" i="2"/>
  <c r="AM121" i="2"/>
  <c r="AN121" i="2" s="1"/>
  <c r="Z121" i="2" s="1"/>
  <c r="AM92" i="2"/>
  <c r="AN92" i="2" s="1"/>
  <c r="Z92" i="2" s="1"/>
  <c r="AO92" i="2"/>
  <c r="AO101" i="2"/>
  <c r="AM101" i="2"/>
  <c r="AN101" i="2" s="1"/>
  <c r="Z101" i="2" s="1"/>
  <c r="AO77" i="2"/>
  <c r="AM77" i="2"/>
  <c r="AN77" i="2" s="1"/>
  <c r="Z77" i="2" s="1"/>
  <c r="AM38" i="2"/>
  <c r="AN38" i="2" s="1"/>
  <c r="Z38" i="2" s="1"/>
  <c r="AO38" i="2"/>
  <c r="AM126" i="2"/>
  <c r="AN126" i="2" s="1"/>
  <c r="Z126" i="2" s="1"/>
  <c r="AO126" i="2"/>
  <c r="AM103" i="2"/>
  <c r="AN103" i="2" s="1"/>
  <c r="Z103" i="2" s="1"/>
  <c r="AO328" i="6"/>
  <c r="AO367" i="6"/>
  <c r="AO351" i="5"/>
  <c r="AO342" i="5"/>
  <c r="AM351" i="5"/>
  <c r="AL289" i="5"/>
  <c r="AO15" i="2"/>
  <c r="AO105" i="2"/>
  <c r="AM105" i="2"/>
  <c r="AN105" i="2" s="1"/>
  <c r="Z105" i="2" s="1"/>
  <c r="AM91" i="2"/>
  <c r="AN91" i="2" s="1"/>
  <c r="Z91" i="2" s="1"/>
  <c r="AM142" i="2"/>
  <c r="AO279" i="5"/>
  <c r="AM309" i="5"/>
  <c r="AM378" i="6"/>
  <c r="AO140" i="2"/>
  <c r="AM34" i="2"/>
  <c r="AN34" i="2" s="1"/>
  <c r="Z34" i="2" s="1"/>
  <c r="AM27" i="2"/>
  <c r="AN27" i="2" s="1"/>
  <c r="Z27" i="2" s="1"/>
  <c r="AM111" i="2"/>
  <c r="AN111" i="2" s="1"/>
  <c r="Z111" i="2" s="1"/>
  <c r="AM330" i="5"/>
  <c r="AO30" i="2"/>
  <c r="AO32" i="2"/>
  <c r="AM19" i="2"/>
  <c r="AM56" i="2"/>
  <c r="AN56" i="2" s="1"/>
  <c r="Z56" i="2" s="1"/>
  <c r="AM28" i="2"/>
  <c r="AN28" i="2" s="1"/>
  <c r="Z28" i="2" s="1"/>
  <c r="AO44" i="2"/>
  <c r="AL291" i="6"/>
  <c r="AL340" i="5"/>
  <c r="AM305" i="5"/>
  <c r="AM291" i="6"/>
  <c r="AN291" i="6" s="1"/>
  <c r="Z291" i="6" s="1"/>
  <c r="J21" i="17"/>
  <c r="H21" i="17"/>
  <c r="AP492" i="6"/>
  <c r="AP437" i="6"/>
  <c r="AO46" i="2"/>
  <c r="AM69" i="2"/>
  <c r="AN69" i="2" s="1"/>
  <c r="Z69" i="2" s="1"/>
  <c r="AM135" i="2"/>
  <c r="AO135" i="2"/>
  <c r="AO119" i="2"/>
  <c r="AM119" i="2"/>
  <c r="AN119" i="2" s="1"/>
  <c r="Z119" i="2" s="1"/>
  <c r="AM51" i="2"/>
  <c r="AN51" i="2" s="1"/>
  <c r="Z51" i="2" s="1"/>
  <c r="AO51" i="2"/>
  <c r="AO73" i="2"/>
  <c r="AM73" i="2"/>
  <c r="AN73" i="2" s="1"/>
  <c r="Z73" i="2" s="1"/>
  <c r="AM79" i="2"/>
  <c r="AN79" i="2" s="1"/>
  <c r="Z79" i="2" s="1"/>
  <c r="AO79" i="2"/>
  <c r="AP455" i="6"/>
  <c r="AO78" i="2"/>
  <c r="AM78" i="2"/>
  <c r="AN78" i="2" s="1"/>
  <c r="Z78" i="2" s="1"/>
  <c r="AO90" i="2"/>
  <c r="AM90" i="2"/>
  <c r="AN90" i="2" s="1"/>
  <c r="Z90" i="2" s="1"/>
  <c r="AO88" i="2"/>
  <c r="AM88" i="2"/>
  <c r="AN88" i="2" s="1"/>
  <c r="Z88" i="2" s="1"/>
  <c r="AO57" i="2"/>
  <c r="AM57" i="2"/>
  <c r="AN57" i="2" s="1"/>
  <c r="Z57" i="2" s="1"/>
  <c r="AO87" i="2"/>
  <c r="AM87" i="2"/>
  <c r="AN87" i="2" s="1"/>
  <c r="Z87" i="2" s="1"/>
  <c r="AM116" i="2"/>
  <c r="AN116" i="2" s="1"/>
  <c r="Z116" i="2" s="1"/>
  <c r="AO116" i="2"/>
  <c r="AM137" i="2"/>
  <c r="AO137" i="2"/>
  <c r="AM95" i="2"/>
  <c r="AN95" i="2" s="1"/>
  <c r="Z95" i="2" s="1"/>
  <c r="AO95" i="2"/>
  <c r="I24" i="13"/>
  <c r="AM212" i="2"/>
  <c r="AO213" i="2"/>
  <c r="AO169" i="2"/>
  <c r="AM205" i="2"/>
  <c r="AO243" i="2"/>
  <c r="AP483" i="6"/>
  <c r="AP389" i="6"/>
  <c r="AP421" i="6"/>
  <c r="AP453" i="6"/>
  <c r="AP435" i="6"/>
  <c r="AM63" i="2"/>
  <c r="AN63" i="2" s="1"/>
  <c r="Z63" i="2" s="1"/>
  <c r="AO70" i="2"/>
  <c r="AO55" i="2"/>
  <c r="AO16" i="2"/>
  <c r="AM83" i="2"/>
  <c r="AN83" i="2" s="1"/>
  <c r="Z83" i="2" s="1"/>
  <c r="AM146" i="2"/>
  <c r="AM246" i="2"/>
  <c r="AN246" i="2" s="1"/>
  <c r="Z246" i="2" s="1"/>
  <c r="AM162" i="2"/>
  <c r="AO351" i="6"/>
  <c r="AL361" i="6"/>
  <c r="AL309" i="6"/>
  <c r="AO299" i="6"/>
  <c r="AL362" i="6"/>
  <c r="AL277" i="6"/>
  <c r="AO370" i="5"/>
  <c r="AL370" i="5"/>
  <c r="AM370" i="5"/>
  <c r="AM284" i="5"/>
  <c r="AO284" i="5"/>
  <c r="AM283" i="5"/>
  <c r="AL283" i="5"/>
  <c r="AO307" i="5"/>
  <c r="AO354" i="5"/>
  <c r="AL354" i="5"/>
  <c r="AO343" i="5"/>
  <c r="AM384" i="5"/>
  <c r="AM365" i="5"/>
  <c r="AM362" i="5"/>
  <c r="AL332" i="5"/>
  <c r="AM332" i="5"/>
  <c r="AO371" i="5"/>
  <c r="AM371" i="5"/>
  <c r="AO65" i="2"/>
  <c r="AO64" i="2"/>
  <c r="AM104" i="2"/>
  <c r="AN104" i="2" s="1"/>
  <c r="Z104" i="2" s="1"/>
  <c r="AO104" i="2"/>
  <c r="AO22" i="2"/>
  <c r="AM22" i="2"/>
  <c r="AO81" i="2"/>
  <c r="AM81" i="2"/>
  <c r="AN81" i="2" s="1"/>
  <c r="Z81" i="2" s="1"/>
  <c r="AM18" i="2"/>
  <c r="AO18" i="2"/>
  <c r="AM136" i="2"/>
  <c r="AM109" i="2"/>
  <c r="AN109" i="2" s="1"/>
  <c r="Z109" i="2" s="1"/>
  <c r="AL318" i="6"/>
  <c r="AM308" i="6"/>
  <c r="AN308" i="6" s="1"/>
  <c r="AM385" i="5"/>
  <c r="AL385" i="5"/>
  <c r="AM369" i="5"/>
  <c r="AO369" i="5"/>
  <c r="AL342" i="5"/>
  <c r="AL318" i="5"/>
  <c r="AM290" i="5"/>
  <c r="AM289" i="5"/>
  <c r="AO290" i="5"/>
  <c r="AL303" i="5"/>
  <c r="AL287" i="5"/>
  <c r="AO142" i="2"/>
  <c r="AM141" i="2"/>
  <c r="AO91" i="2"/>
  <c r="AO99" i="2"/>
  <c r="AO59" i="2"/>
  <c r="AL309" i="5"/>
  <c r="AL357" i="5"/>
  <c r="AO127" i="2"/>
  <c r="AO43" i="2"/>
  <c r="AO27" i="2"/>
  <c r="AM20" i="2"/>
  <c r="AM30" i="2"/>
  <c r="AN30" i="2" s="1"/>
  <c r="Z30" i="2" s="1"/>
  <c r="AM32" i="2"/>
  <c r="AN32" i="2" s="1"/>
  <c r="Z32" i="2" s="1"/>
  <c r="AM59" i="2"/>
  <c r="AN59" i="2" s="1"/>
  <c r="Z59" i="2" s="1"/>
  <c r="AO58" i="2"/>
  <c r="AM64" i="2"/>
  <c r="AN64" i="2" s="1"/>
  <c r="Z64" i="2" s="1"/>
  <c r="AO69" i="2"/>
  <c r="AM49" i="2"/>
  <c r="AN49" i="2" s="1"/>
  <c r="Z49" i="2" s="1"/>
  <c r="AO332" i="6"/>
  <c r="AO63" i="2"/>
  <c r="AO103" i="2"/>
  <c r="AM21" i="2"/>
  <c r="AM45" i="2"/>
  <c r="AN45" i="2" s="1"/>
  <c r="Z45" i="2" s="1"/>
  <c r="AO136" i="2"/>
  <c r="AO106" i="2"/>
  <c r="AM16" i="2"/>
  <c r="AO23" i="2"/>
  <c r="AM44" i="2"/>
  <c r="AN44" i="2" s="1"/>
  <c r="Z44" i="2" s="1"/>
  <c r="AM317" i="6"/>
  <c r="AN317" i="6" s="1"/>
  <c r="Z317" i="6" s="1"/>
  <c r="AM378" i="5"/>
  <c r="AM277" i="5"/>
  <c r="AL361" i="5"/>
  <c r="AL305" i="5"/>
  <c r="AM357" i="6"/>
  <c r="AN357" i="6" s="1"/>
  <c r="AP447" i="6"/>
  <c r="AM35" i="2"/>
  <c r="AN35" i="2" s="1"/>
  <c r="Z35" i="2" s="1"/>
  <c r="AO35" i="2"/>
  <c r="AO42" i="2"/>
  <c r="AM42" i="2"/>
  <c r="AN42" i="2" s="1"/>
  <c r="Z42" i="2" s="1"/>
  <c r="AM131" i="2"/>
  <c r="AN131" i="2" s="1"/>
  <c r="Z131" i="2" s="1"/>
  <c r="AO131" i="2"/>
  <c r="AO86" i="2"/>
  <c r="AM86" i="2"/>
  <c r="AN86" i="2" s="1"/>
  <c r="Z86" i="2" s="1"/>
  <c r="AM143" i="2"/>
  <c r="AO143" i="2"/>
  <c r="AM80" i="2"/>
  <c r="AN80" i="2" s="1"/>
  <c r="Z80" i="2" s="1"/>
  <c r="AO80" i="2"/>
  <c r="AM130" i="2"/>
  <c r="AN130" i="2" s="1"/>
  <c r="Z130" i="2" s="1"/>
  <c r="AO130" i="2"/>
  <c r="AO17" i="2"/>
  <c r="AM17" i="2"/>
  <c r="AO242" i="2"/>
  <c r="AM195" i="2"/>
  <c r="AN195" i="2" s="1"/>
  <c r="Z195" i="2" s="1"/>
  <c r="AO197" i="2"/>
  <c r="AM210" i="2"/>
  <c r="AM193" i="2"/>
  <c r="AN193" i="2" s="1"/>
  <c r="Z193" i="2" s="1"/>
  <c r="AO230" i="2"/>
  <c r="AM171" i="2"/>
  <c r="AO221" i="2"/>
  <c r="AM211" i="2"/>
  <c r="AO167" i="2"/>
  <c r="AM274" i="2"/>
  <c r="AM154" i="2"/>
  <c r="AM245" i="2"/>
  <c r="AN245" i="2" s="1"/>
  <c r="Z245" i="2" s="1"/>
  <c r="AM200" i="2"/>
  <c r="AN200" i="2" s="1"/>
  <c r="Z200" i="2" s="1"/>
  <c r="AM152" i="2"/>
  <c r="AM198" i="2"/>
  <c r="AN198" i="2" s="1"/>
  <c r="Z198" i="2" s="1"/>
  <c r="AO187" i="2"/>
  <c r="AO257" i="2"/>
  <c r="AM260" i="2"/>
  <c r="AN260" i="2" s="1"/>
  <c r="Z260" i="2" s="1"/>
  <c r="AO202" i="2"/>
  <c r="AO256" i="2"/>
  <c r="AM225" i="2"/>
  <c r="AN225" i="2" s="1"/>
  <c r="Z225" i="2" s="1"/>
  <c r="AM248" i="2"/>
  <c r="AN248" i="2" s="1"/>
  <c r="Z248" i="2" s="1"/>
  <c r="AM166" i="2"/>
  <c r="AM250" i="2"/>
  <c r="AN250" i="2" s="1"/>
  <c r="Z250" i="2" s="1"/>
  <c r="AM236" i="2"/>
  <c r="AN236" i="2" s="1"/>
  <c r="Z236" i="2" s="1"/>
  <c r="AM181" i="2"/>
  <c r="AN181" i="2" s="1"/>
  <c r="AO269" i="2"/>
  <c r="AO159" i="2"/>
  <c r="AO199" i="2"/>
  <c r="AM229" i="2"/>
  <c r="AN229" i="2" s="1"/>
  <c r="Z229" i="2" s="1"/>
  <c r="AO185" i="2"/>
  <c r="AM149" i="2"/>
  <c r="AM191" i="2"/>
  <c r="AN191" i="2" s="1"/>
  <c r="AO178" i="2"/>
  <c r="AM207" i="2"/>
  <c r="AM230" i="2"/>
  <c r="AN230" i="2" s="1"/>
  <c r="Z230" i="2" s="1"/>
  <c r="AM215" i="2"/>
  <c r="AM221" i="2"/>
  <c r="AN221" i="2" s="1"/>
  <c r="Z221" i="2" s="1"/>
  <c r="AO217" i="2"/>
  <c r="AM167" i="2"/>
  <c r="AM258" i="2"/>
  <c r="AN258" i="2" s="1"/>
  <c r="Z258" i="2" s="1"/>
  <c r="AO150" i="2"/>
  <c r="AO245" i="2"/>
  <c r="AM176" i="2"/>
  <c r="AO158" i="2"/>
  <c r="AO248" i="2"/>
  <c r="AM253" i="2"/>
  <c r="AN253" i="2" s="1"/>
  <c r="Z253" i="2" s="1"/>
  <c r="AO250" i="2"/>
  <c r="AM226" i="2"/>
  <c r="AN226" i="2" s="1"/>
  <c r="Z226" i="2" s="1"/>
  <c r="AM188" i="2"/>
  <c r="AN188" i="2" s="1"/>
  <c r="AO223" i="2"/>
  <c r="AO249" i="2"/>
  <c r="AO273" i="2"/>
  <c r="AO214" i="2"/>
  <c r="AM159" i="2"/>
  <c r="AM227" i="2"/>
  <c r="AN227" i="2" s="1"/>
  <c r="Z227" i="2" s="1"/>
  <c r="AO266" i="2"/>
  <c r="AO183" i="2"/>
  <c r="AO149" i="2"/>
  <c r="AO255" i="2"/>
  <c r="AM182" i="2"/>
  <c r="AN182" i="2" s="1"/>
  <c r="AM267" i="2"/>
  <c r="AM222" i="2"/>
  <c r="AN222" i="2" s="1"/>
  <c r="Z222" i="2" s="1"/>
  <c r="AM261" i="2"/>
  <c r="AN261" i="2" s="1"/>
  <c r="Z261" i="2" s="1"/>
  <c r="AO148" i="2"/>
  <c r="AM206" i="2"/>
  <c r="AO194" i="2"/>
  <c r="AO193" i="2"/>
  <c r="AM177" i="2"/>
  <c r="AO274" i="2"/>
  <c r="AO154" i="2"/>
  <c r="AM235" i="2"/>
  <c r="AN235" i="2" s="1"/>
  <c r="Z235" i="2" s="1"/>
  <c r="AO176" i="2"/>
  <c r="AO174" i="2"/>
  <c r="AM254" i="2"/>
  <c r="AN254" i="2" s="1"/>
  <c r="Z254" i="2" s="1"/>
  <c r="AO196" i="2"/>
  <c r="AM231" i="2"/>
  <c r="AN231" i="2" s="1"/>
  <c r="Z231" i="2" s="1"/>
  <c r="AO251" i="2"/>
  <c r="AM164" i="2"/>
  <c r="AO188" i="2"/>
  <c r="AM218" i="2"/>
  <c r="AN218" i="2" s="1"/>
  <c r="Z218" i="2" s="1"/>
  <c r="AM265" i="2"/>
  <c r="AO190" i="2"/>
  <c r="AM269" i="2"/>
  <c r="AO184" i="2"/>
  <c r="AO227" i="2"/>
  <c r="AO229" i="2"/>
  <c r="AO224" i="2"/>
  <c r="AO182" i="2"/>
  <c r="AM213" i="2"/>
  <c r="AM232" i="2"/>
  <c r="AN232" i="2" s="1"/>
  <c r="Z232" i="2" s="1"/>
  <c r="AM148" i="2"/>
  <c r="AO207" i="2"/>
  <c r="AO206" i="2"/>
  <c r="AM194" i="2"/>
  <c r="AN194" i="2" s="1"/>
  <c r="Z194" i="2" s="1"/>
  <c r="AO171" i="2"/>
  <c r="AO211" i="2"/>
  <c r="AM217" i="2"/>
  <c r="AN217" i="2" s="1"/>
  <c r="Z217" i="2" s="1"/>
  <c r="AO177" i="2"/>
  <c r="AO258" i="2"/>
  <c r="AM150" i="2"/>
  <c r="AO200" i="2"/>
  <c r="AO152" i="2"/>
  <c r="AO238" i="2"/>
  <c r="AM187" i="2"/>
  <c r="AN187" i="2" s="1"/>
  <c r="AO235" i="2"/>
  <c r="AM257" i="2"/>
  <c r="AN257" i="2" s="1"/>
  <c r="Z257" i="2" s="1"/>
  <c r="AM203" i="2"/>
  <c r="AN203" i="2" s="1"/>
  <c r="Z203" i="2" s="1"/>
  <c r="AO162" i="2"/>
  <c r="AO246" i="2"/>
  <c r="AM234" i="2"/>
  <c r="AN234" i="2" s="1"/>
  <c r="Z234" i="2" s="1"/>
  <c r="AM256" i="2"/>
  <c r="AN256" i="2" s="1"/>
  <c r="Z256" i="2" s="1"/>
  <c r="AO225" i="2"/>
  <c r="AM251" i="2"/>
  <c r="AN251" i="2" s="1"/>
  <c r="Z251" i="2" s="1"/>
  <c r="AO166" i="2"/>
  <c r="AO253" i="2"/>
  <c r="AO226" i="2"/>
  <c r="AO164" i="2"/>
  <c r="AM223" i="2"/>
  <c r="AN223" i="2" s="1"/>
  <c r="Z223" i="2" s="1"/>
  <c r="AO236" i="2"/>
  <c r="AM249" i="2"/>
  <c r="AN249" i="2" s="1"/>
  <c r="Z249" i="2" s="1"/>
  <c r="AM273" i="2"/>
  <c r="AO265" i="2"/>
  <c r="AM190" i="2"/>
  <c r="AN190" i="2" s="1"/>
  <c r="AM214" i="2"/>
  <c r="AM184" i="2"/>
  <c r="AN184" i="2" s="1"/>
  <c r="AM199" i="2"/>
  <c r="AN199" i="2" s="1"/>
  <c r="Z199" i="2" s="1"/>
  <c r="AM266" i="2"/>
  <c r="AP424" i="6"/>
  <c r="AP434" i="6"/>
  <c r="AM82" i="2"/>
  <c r="AN82" i="2" s="1"/>
  <c r="Z82" i="2" s="1"/>
  <c r="AO82" i="2"/>
  <c r="AM133" i="2"/>
  <c r="AO133" i="2"/>
  <c r="AM112" i="2"/>
  <c r="AN112" i="2" s="1"/>
  <c r="Z112" i="2" s="1"/>
  <c r="AO112" i="2"/>
  <c r="AO68" i="2"/>
  <c r="AM68" i="2"/>
  <c r="AN68" i="2" s="1"/>
  <c r="Z68" i="2" s="1"/>
  <c r="AM52" i="2"/>
  <c r="AN52" i="2" s="1"/>
  <c r="Z52" i="2" s="1"/>
  <c r="AO52" i="2"/>
  <c r="AO94" i="2"/>
  <c r="AM94" i="2"/>
  <c r="AN94" i="2" s="1"/>
  <c r="Z94" i="2" s="1"/>
  <c r="AM54" i="2"/>
  <c r="AN54" i="2" s="1"/>
  <c r="Z54" i="2" s="1"/>
  <c r="AO54" i="2"/>
  <c r="AM219" i="2"/>
  <c r="AN219" i="2" s="1"/>
  <c r="Z219" i="2" s="1"/>
  <c r="AO222" i="2"/>
  <c r="AO191" i="2"/>
  <c r="AO165" i="2"/>
  <c r="AO175" i="2"/>
  <c r="H21" i="19"/>
  <c r="J21" i="19"/>
  <c r="AP414" i="6"/>
  <c r="AP448" i="6"/>
  <c r="AO66" i="2"/>
  <c r="AO21" i="2"/>
  <c r="AM100" i="2"/>
  <c r="AN100" i="2" s="1"/>
  <c r="Z100" i="2" s="1"/>
  <c r="AO100" i="2"/>
  <c r="AO124" i="2"/>
  <c r="AM124" i="2"/>
  <c r="AN124" i="2" s="1"/>
  <c r="Z124" i="2" s="1"/>
  <c r="AP458" i="6"/>
  <c r="AO147" i="2"/>
  <c r="AO241" i="2"/>
  <c r="AM208" i="2"/>
  <c r="AO372" i="6"/>
  <c r="AM314" i="6"/>
  <c r="AN314" i="6" s="1"/>
  <c r="AL379" i="6"/>
  <c r="AL338" i="6"/>
  <c r="AM349" i="6"/>
  <c r="AN349" i="6" s="1"/>
  <c r="Z349" i="6" s="1"/>
  <c r="AL283" i="6"/>
  <c r="AM307" i="6"/>
  <c r="AN307" i="6" s="1"/>
  <c r="AO49" i="2"/>
  <c r="AO323" i="5"/>
  <c r="AM299" i="5"/>
  <c r="AO321" i="5"/>
  <c r="AO300" i="5"/>
  <c r="AO310" i="5"/>
  <c r="AM310" i="5"/>
  <c r="AL310" i="5"/>
  <c r="AM377" i="5"/>
  <c r="AO377" i="5"/>
  <c r="AO333" i="5"/>
  <c r="AM374" i="5"/>
  <c r="AL297" i="5"/>
  <c r="AO297" i="5"/>
  <c r="AL282" i="5"/>
  <c r="AO282" i="5"/>
  <c r="AM324" i="5"/>
  <c r="AL324" i="5"/>
  <c r="AL293" i="5"/>
  <c r="AM293" i="5"/>
  <c r="AM322" i="5"/>
  <c r="AO311" i="5"/>
  <c r="AL311" i="5"/>
  <c r="AO367" i="5"/>
  <c r="AM367" i="5"/>
  <c r="AM26" i="2"/>
  <c r="AN26" i="2" s="1"/>
  <c r="Z26" i="2" s="1"/>
  <c r="AO26" i="2"/>
  <c r="AM115" i="2"/>
  <c r="AN115" i="2" s="1"/>
  <c r="Z115" i="2" s="1"/>
  <c r="AO115" i="2"/>
  <c r="AO53" i="2"/>
  <c r="AO74" i="2"/>
  <c r="AM74" i="2"/>
  <c r="AN74" i="2" s="1"/>
  <c r="Z74" i="2" s="1"/>
  <c r="AO110" i="2"/>
  <c r="AM110" i="2"/>
  <c r="AN110" i="2" s="1"/>
  <c r="Z110" i="2" s="1"/>
  <c r="AM31" i="2"/>
  <c r="AN31" i="2" s="1"/>
  <c r="Z31" i="2" s="1"/>
  <c r="AM107" i="2"/>
  <c r="AN107" i="2" s="1"/>
  <c r="Z107" i="2" s="1"/>
  <c r="AM290" i="6"/>
  <c r="AN290" i="6" s="1"/>
  <c r="Z290" i="6" s="1"/>
  <c r="AO359" i="6"/>
  <c r="AO285" i="6"/>
  <c r="D17" i="17"/>
  <c r="AO41" i="2"/>
  <c r="AM288" i="5"/>
  <c r="AL288" i="5"/>
  <c r="AO339" i="5"/>
  <c r="AL339" i="5"/>
  <c r="AM325" i="5"/>
  <c r="AM319" i="5"/>
  <c r="AL319" i="5"/>
  <c r="AO352" i="5"/>
  <c r="AM98" i="2"/>
  <c r="AN98" i="2" s="1"/>
  <c r="Z98" i="2" s="1"/>
  <c r="AO141" i="2"/>
  <c r="AM129" i="2"/>
  <c r="AN129" i="2" s="1"/>
  <c r="Z129" i="2" s="1"/>
  <c r="AM99" i="2"/>
  <c r="AN99" i="2" s="1"/>
  <c r="Z99" i="2" s="1"/>
  <c r="AO355" i="5"/>
  <c r="AO357" i="5"/>
  <c r="AM312" i="6"/>
  <c r="AN312" i="6" s="1"/>
  <c r="AM127" i="2"/>
  <c r="AN127" i="2" s="1"/>
  <c r="Z127" i="2" s="1"/>
  <c r="AO61" i="2"/>
  <c r="AM41" i="2"/>
  <c r="AN41" i="2" s="1"/>
  <c r="Z41" i="2" s="1"/>
  <c r="AM139" i="2"/>
  <c r="AM15" i="2"/>
  <c r="AM39" i="2"/>
  <c r="AN39" i="2" s="1"/>
  <c r="Z39" i="2" s="1"/>
  <c r="AM85" i="2"/>
  <c r="AN85" i="2" s="1"/>
  <c r="Z85" i="2" s="1"/>
  <c r="AM122" i="2"/>
  <c r="AN122" i="2" s="1"/>
  <c r="Z122" i="2" s="1"/>
  <c r="AO139" i="2"/>
  <c r="AO19" i="2"/>
  <c r="AM58" i="2"/>
  <c r="AN58" i="2" s="1"/>
  <c r="Z58" i="2" s="1"/>
  <c r="AO114" i="2"/>
  <c r="AO25" i="2"/>
  <c r="AO45" i="2"/>
  <c r="AO97" i="2"/>
  <c r="AO107" i="2"/>
  <c r="AO75" i="2"/>
  <c r="AO14" i="2"/>
  <c r="AO83" i="2"/>
  <c r="AM70" i="2"/>
  <c r="AN70" i="2" s="1"/>
  <c r="Z70" i="2" s="1"/>
  <c r="AL378" i="5"/>
  <c r="AO277" i="5"/>
  <c r="AM361" i="5"/>
  <c r="AL330" i="6"/>
  <c r="J27" i="17"/>
  <c r="H27" i="17"/>
  <c r="AP464" i="6"/>
  <c r="AO56" i="2"/>
  <c r="AM114" i="2"/>
  <c r="AN114" i="2" s="1"/>
  <c r="Z114" i="2" s="1"/>
  <c r="AM102" i="2"/>
  <c r="AN102" i="2" s="1"/>
  <c r="Z102" i="2" s="1"/>
  <c r="AO102" i="2"/>
  <c r="AO40" i="2"/>
  <c r="AM40" i="2"/>
  <c r="AN40" i="2" s="1"/>
  <c r="Z40" i="2" s="1"/>
  <c r="AO47" i="2"/>
  <c r="AM47" i="2"/>
  <c r="AN47" i="2" s="1"/>
  <c r="Z47" i="2" s="1"/>
  <c r="AO33" i="2"/>
  <c r="AM33" i="2"/>
  <c r="AN33" i="2" s="1"/>
  <c r="Z33" i="2" s="1"/>
  <c r="AM128" i="2"/>
  <c r="AN128" i="2" s="1"/>
  <c r="Z128" i="2" s="1"/>
  <c r="AO128" i="2"/>
  <c r="AP427" i="6"/>
  <c r="AP501" i="6"/>
  <c r="AP459" i="6"/>
  <c r="AM76" i="2"/>
  <c r="AN76" i="2" s="1"/>
  <c r="Z76" i="2" s="1"/>
  <c r="AO76" i="2"/>
  <c r="AO29" i="2"/>
  <c r="AM29" i="2"/>
  <c r="AN29" i="2" s="1"/>
  <c r="Z29" i="2" s="1"/>
  <c r="AO134" i="2"/>
  <c r="AM134" i="2"/>
  <c r="AO138" i="2"/>
  <c r="AM138" i="2"/>
  <c r="AM117" i="2"/>
  <c r="AN117" i="2" s="1"/>
  <c r="Z117" i="2" s="1"/>
  <c r="AO117" i="2"/>
  <c r="AO50" i="2"/>
  <c r="AM50" i="2"/>
  <c r="AN50" i="2" s="1"/>
  <c r="Z50" i="2" s="1"/>
  <c r="AO118" i="2"/>
  <c r="AM118" i="2"/>
  <c r="AN118" i="2" s="1"/>
  <c r="Z118" i="2" s="1"/>
  <c r="AO232" i="2"/>
  <c r="AM178" i="2"/>
  <c r="AO271" i="2"/>
  <c r="AM160" i="2"/>
  <c r="AM185" i="2"/>
  <c r="AN185" i="2" s="1"/>
  <c r="AP415" i="6"/>
  <c r="AP445" i="6"/>
  <c r="AP478" i="6"/>
  <c r="AP493" i="6"/>
  <c r="AP405" i="6"/>
  <c r="AM89" i="2"/>
  <c r="AN89" i="2" s="1"/>
  <c r="Z89" i="2" s="1"/>
  <c r="AM113" i="2"/>
  <c r="AN113" i="2" s="1"/>
  <c r="Z113" i="2" s="1"/>
  <c r="AO113" i="2"/>
  <c r="AO125" i="2"/>
  <c r="AM106" i="2"/>
  <c r="AN106" i="2" s="1"/>
  <c r="Z106" i="2" s="1"/>
  <c r="AM23" i="2"/>
  <c r="AO62" i="2"/>
  <c r="AP474" i="6"/>
  <c r="AO263" i="2"/>
  <c r="AM174" i="2"/>
  <c r="AP484" i="6"/>
  <c r="AM301" i="6"/>
  <c r="AN301" i="6" s="1"/>
  <c r="AO319" i="6"/>
  <c r="AL297" i="6"/>
  <c r="AM302" i="6"/>
  <c r="AN302" i="6" s="1"/>
  <c r="AL305" i="6"/>
  <c r="AO20" i="2"/>
  <c r="AM291" i="5"/>
  <c r="AO295" i="5"/>
  <c r="AM353" i="5"/>
  <c r="AM298" i="5"/>
  <c r="AO344" i="5"/>
  <c r="AL302" i="5"/>
  <c r="AM302" i="5"/>
  <c r="AM382" i="5"/>
  <c r="AO382" i="5"/>
  <c r="AO341" i="5"/>
  <c r="AL341" i="5"/>
  <c r="AO380" i="5"/>
  <c r="AM363" i="5"/>
  <c r="AM348" i="5"/>
  <c r="AL348" i="5"/>
  <c r="AM375" i="5"/>
  <c r="AO381" i="5"/>
  <c r="G17" i="9"/>
  <c r="C17" i="9"/>
  <c r="E17" i="9"/>
  <c r="B17" i="9"/>
  <c r="AP295" i="5" l="1"/>
  <c r="AB295" i="5" s="1"/>
  <c r="AP277" i="5"/>
  <c r="AB277" i="5" s="1"/>
  <c r="AP355" i="5"/>
  <c r="AB355" i="5" s="1"/>
  <c r="AP282" i="5"/>
  <c r="AB282" i="5" s="1"/>
  <c r="AP133" i="2"/>
  <c r="AB133" i="2" s="1"/>
  <c r="AP174" i="2"/>
  <c r="AB174" i="2" s="1"/>
  <c r="AP214" i="2"/>
  <c r="AB214" i="2" s="1"/>
  <c r="AP354" i="5"/>
  <c r="AB354" i="5" s="1"/>
  <c r="AP370" i="5"/>
  <c r="AB370" i="5" s="1"/>
  <c r="AP137" i="2"/>
  <c r="AB137" i="2" s="1"/>
  <c r="AP279" i="5"/>
  <c r="AB279" i="5" s="1"/>
  <c r="AP334" i="2"/>
  <c r="AB334" i="2" s="1"/>
  <c r="AP289" i="5"/>
  <c r="AB289" i="5" s="1"/>
  <c r="AP377" i="2"/>
  <c r="AB377" i="2" s="1"/>
  <c r="AP285" i="2"/>
  <c r="AB285" i="2" s="1"/>
  <c r="AP489" i="6"/>
  <c r="AB489" i="6" s="1"/>
  <c r="AP432" i="6"/>
  <c r="AB432" i="6" s="1"/>
  <c r="AP288" i="5"/>
  <c r="AB288" i="5" s="1"/>
  <c r="AP334" i="5"/>
  <c r="AB334" i="5" s="1"/>
  <c r="AP302" i="5"/>
  <c r="AB302" i="5" s="1"/>
  <c r="AP362" i="5"/>
  <c r="AB362" i="5" s="1"/>
  <c r="AP384" i="5"/>
  <c r="AB384" i="5" s="1"/>
  <c r="AP314" i="5"/>
  <c r="AB314" i="5" s="1"/>
  <c r="AP337" i="5"/>
  <c r="AB337" i="5" s="1"/>
  <c r="AP344" i="5"/>
  <c r="AP139" i="2"/>
  <c r="AB139" i="2" s="1"/>
  <c r="AP352" i="5"/>
  <c r="AB352" i="5" s="1"/>
  <c r="AP333" i="5"/>
  <c r="AB333" i="5" s="1"/>
  <c r="AP147" i="2"/>
  <c r="AB147" i="2" s="1"/>
  <c r="AP175" i="2"/>
  <c r="AB175" i="2" s="1"/>
  <c r="AP162" i="2"/>
  <c r="AB162" i="2" s="1"/>
  <c r="AP211" i="2"/>
  <c r="AB211" i="2" s="1"/>
  <c r="AP207" i="2"/>
  <c r="AP176" i="2"/>
  <c r="AB176" i="2" s="1"/>
  <c r="AP148" i="2"/>
  <c r="AB148" i="2" s="1"/>
  <c r="AP266" i="2"/>
  <c r="AB266" i="2" s="1"/>
  <c r="AP273" i="2"/>
  <c r="AB273" i="2" s="1"/>
  <c r="AP158" i="2"/>
  <c r="AB158" i="2" s="1"/>
  <c r="AP167" i="2"/>
  <c r="AB167" i="2" s="1"/>
  <c r="AP143" i="2"/>
  <c r="AB143" i="2" s="1"/>
  <c r="AP142" i="2"/>
  <c r="AB142" i="2" s="1"/>
  <c r="AP369" i="5"/>
  <c r="AB369" i="5" s="1"/>
  <c r="AP18" i="2"/>
  <c r="AB18" i="2" s="1"/>
  <c r="AP307" i="5"/>
  <c r="AB307" i="5" s="1"/>
  <c r="AP140" i="2"/>
  <c r="AB140" i="2" s="1"/>
  <c r="AP15" i="2"/>
  <c r="AB15" i="2" s="1"/>
  <c r="AP351" i="5"/>
  <c r="AB351" i="5" s="1"/>
  <c r="AP495" i="6"/>
  <c r="AB495" i="6" s="1"/>
  <c r="AP469" i="6"/>
  <c r="AB469" i="6" s="1"/>
  <c r="AP303" i="5"/>
  <c r="AB303" i="5" s="1"/>
  <c r="AP318" i="5"/>
  <c r="AB318" i="5" s="1"/>
  <c r="AP361" i="5"/>
  <c r="AB361" i="5" s="1"/>
  <c r="AP282" i="2"/>
  <c r="AB282" i="2" s="1"/>
  <c r="AP422" i="6"/>
  <c r="AB422" i="6" s="1"/>
  <c r="AP380" i="2"/>
  <c r="AB380" i="2" s="1"/>
  <c r="AP378" i="2"/>
  <c r="AB378" i="2" s="1"/>
  <c r="AP431" i="6"/>
  <c r="AB431" i="6" s="1"/>
  <c r="AP454" i="6"/>
  <c r="AB454" i="6" s="1"/>
  <c r="AP441" i="6"/>
  <c r="AB441" i="6" s="1"/>
  <c r="AP430" i="6"/>
  <c r="AB430" i="6" s="1"/>
  <c r="AP345" i="5"/>
  <c r="AB345" i="5" s="1"/>
  <c r="AP372" i="5"/>
  <c r="AB372" i="5" s="1"/>
  <c r="AP335" i="5"/>
  <c r="AB335" i="5" s="1"/>
  <c r="AP379" i="5"/>
  <c r="AB379" i="5" s="1"/>
  <c r="AP317" i="5"/>
  <c r="AB317" i="5" s="1"/>
  <c r="AP353" i="5"/>
  <c r="AB353" i="5" s="1"/>
  <c r="AP347" i="5"/>
  <c r="AB347" i="5" s="1"/>
  <c r="AP327" i="5"/>
  <c r="AB327" i="5" s="1"/>
  <c r="AP328" i="5"/>
  <c r="AB328" i="5" s="1"/>
  <c r="AP301" i="5"/>
  <c r="AB301" i="5" s="1"/>
  <c r="AP138" i="2"/>
  <c r="AB138" i="2" s="1"/>
  <c r="AP14" i="2"/>
  <c r="AB14" i="2" s="1"/>
  <c r="AP367" i="5"/>
  <c r="AB367" i="5" s="1"/>
  <c r="AP164" i="2"/>
  <c r="AB164" i="2" s="1"/>
  <c r="AP150" i="2"/>
  <c r="AB150" i="2" s="1"/>
  <c r="AP178" i="2"/>
  <c r="AB178" i="2" s="1"/>
  <c r="AP17" i="2"/>
  <c r="AB17" i="2" s="1"/>
  <c r="AP340" i="5"/>
  <c r="AB340" i="5" s="1"/>
  <c r="AP330" i="5"/>
  <c r="AB330" i="5" s="1"/>
  <c r="AP299" i="5"/>
  <c r="AB299" i="5" s="1"/>
  <c r="AP359" i="5"/>
  <c r="AB359" i="5" s="1"/>
  <c r="AP363" i="5"/>
  <c r="AB363" i="5" s="1"/>
  <c r="AP349" i="5"/>
  <c r="AB349" i="5" s="1"/>
  <c r="AP385" i="5"/>
  <c r="AB385" i="5" s="1"/>
  <c r="AP375" i="5"/>
  <c r="AB375" i="5" s="1"/>
  <c r="AP382" i="5"/>
  <c r="AB382" i="5" s="1"/>
  <c r="AP271" i="2"/>
  <c r="AB271" i="2" s="1"/>
  <c r="AP339" i="5"/>
  <c r="AB339" i="5" s="1"/>
  <c r="AP311" i="5"/>
  <c r="AB311" i="5" s="1"/>
  <c r="AP297" i="5"/>
  <c r="AB297" i="5" s="1"/>
  <c r="AP377" i="5"/>
  <c r="AB377" i="5" s="1"/>
  <c r="AP310" i="5"/>
  <c r="AB310" i="5" s="1"/>
  <c r="AP323" i="5"/>
  <c r="AB323" i="5" s="1"/>
  <c r="AP165" i="2"/>
  <c r="AB165" i="2" s="1"/>
  <c r="AP171" i="2"/>
  <c r="AB171" i="2" s="1"/>
  <c r="AP159" i="2"/>
  <c r="AB159" i="2" s="1"/>
  <c r="AP136" i="2"/>
  <c r="AB136" i="2" s="1"/>
  <c r="AP22" i="2"/>
  <c r="AB22" i="2" s="1"/>
  <c r="AP343" i="5"/>
  <c r="AB343" i="5" s="1"/>
  <c r="AP169" i="2"/>
  <c r="AB169" i="2" s="1"/>
  <c r="AP278" i="2"/>
  <c r="AB278" i="2" s="1"/>
  <c r="AP280" i="2"/>
  <c r="AB280" i="2" s="1"/>
  <c r="AP419" i="6"/>
  <c r="AB419" i="6" s="1"/>
  <c r="AP278" i="5"/>
  <c r="AB278" i="5" s="1"/>
  <c r="AP287" i="5"/>
  <c r="AB287" i="5" s="1"/>
  <c r="AP309" i="5"/>
  <c r="AB309" i="5" s="1"/>
  <c r="AP331" i="2"/>
  <c r="AB331" i="2" s="1"/>
  <c r="AP485" i="6"/>
  <c r="AB485" i="6" s="1"/>
  <c r="AP328" i="2"/>
  <c r="AB328" i="2" s="1"/>
  <c r="AP283" i="2"/>
  <c r="AP383" i="2"/>
  <c r="AB383" i="2" s="1"/>
  <c r="AP502" i="6"/>
  <c r="AB502" i="6" s="1"/>
  <c r="AP292" i="5"/>
  <c r="AB292" i="5" s="1"/>
  <c r="AP373" i="5"/>
  <c r="AB373" i="5" s="1"/>
  <c r="AP320" i="5"/>
  <c r="AB320" i="5" s="1"/>
  <c r="AP383" i="5"/>
  <c r="AB383" i="5" s="1"/>
  <c r="AP315" i="5"/>
  <c r="AB315" i="5" s="1"/>
  <c r="AP329" i="5"/>
  <c r="AB329" i="5" s="1"/>
  <c r="AP285" i="5"/>
  <c r="AB285" i="5" s="1"/>
  <c r="AP358" i="5"/>
  <c r="AB358" i="5" s="1"/>
  <c r="AP283" i="5"/>
  <c r="AB283" i="5" s="1"/>
  <c r="AP308" i="5"/>
  <c r="AB308" i="5" s="1"/>
  <c r="AP322" i="5"/>
  <c r="AB322" i="5" s="1"/>
  <c r="AP313" i="5"/>
  <c r="AB313" i="5" s="1"/>
  <c r="AP348" i="5"/>
  <c r="AB348" i="5" s="1"/>
  <c r="AP293" i="5"/>
  <c r="AB293" i="5" s="1"/>
  <c r="AP304" i="5"/>
  <c r="AB304" i="5" s="1"/>
  <c r="AP341" i="5"/>
  <c r="AB341" i="5" s="1"/>
  <c r="AP19" i="2"/>
  <c r="AB19" i="2" s="1"/>
  <c r="AP321" i="5"/>
  <c r="AB321" i="5" s="1"/>
  <c r="AP206" i="2"/>
  <c r="AB206" i="2" s="1"/>
  <c r="AP274" i="2"/>
  <c r="AB274" i="2" s="1"/>
  <c r="AP290" i="5"/>
  <c r="AB290" i="5" s="1"/>
  <c r="AP371" i="5"/>
  <c r="AB371" i="5" s="1"/>
  <c r="AP284" i="5"/>
  <c r="AB284" i="5" s="1"/>
  <c r="AP342" i="5"/>
  <c r="AB342" i="5" s="1"/>
  <c r="AP319" i="5"/>
  <c r="AB319" i="5" s="1"/>
  <c r="AP449" i="6"/>
  <c r="AB449" i="6" s="1"/>
  <c r="AP284" i="2"/>
  <c r="AB284" i="2" s="1"/>
  <c r="AP330" i="2"/>
  <c r="AB330" i="2" s="1"/>
  <c r="AP332" i="2"/>
  <c r="AB332" i="2" s="1"/>
  <c r="AP279" i="2"/>
  <c r="AB279" i="2" s="1"/>
  <c r="AP384" i="2"/>
  <c r="AB384" i="2" s="1"/>
  <c r="AP463" i="6"/>
  <c r="AB463" i="6" s="1"/>
  <c r="AP398" i="6"/>
  <c r="AB398" i="6" s="1"/>
  <c r="AP381" i="5"/>
  <c r="AB381" i="5" s="1"/>
  <c r="AP380" i="5"/>
  <c r="AB380" i="5" s="1"/>
  <c r="AP20" i="2"/>
  <c r="AB20" i="2" s="1"/>
  <c r="AP134" i="2"/>
  <c r="AB134" i="2" s="1"/>
  <c r="AP357" i="5"/>
  <c r="AB357" i="5" s="1"/>
  <c r="AP141" i="2"/>
  <c r="AB141" i="2" s="1"/>
  <c r="AP300" i="5"/>
  <c r="AB300" i="5" s="1"/>
  <c r="AP21" i="2"/>
  <c r="AB21" i="2" s="1"/>
  <c r="AP265" i="2"/>
  <c r="AB265" i="2" s="1"/>
  <c r="AP166" i="2"/>
  <c r="AB166" i="2" s="1"/>
  <c r="AP152" i="2"/>
  <c r="AB152" i="2" s="1"/>
  <c r="AP177" i="2"/>
  <c r="AB177" i="2" s="1"/>
  <c r="AP154" i="2"/>
  <c r="AB154" i="2" s="1"/>
  <c r="AP149" i="2"/>
  <c r="AB149" i="2" s="1"/>
  <c r="AP269" i="2"/>
  <c r="AB269" i="2" s="1"/>
  <c r="AP23" i="2"/>
  <c r="AB23" i="2" s="1"/>
  <c r="AP16" i="2"/>
  <c r="AB16" i="2" s="1"/>
  <c r="AP213" i="2"/>
  <c r="AB213" i="2" s="1"/>
  <c r="AP135" i="2"/>
  <c r="AB135" i="2" s="1"/>
  <c r="AP333" i="2"/>
  <c r="AB333" i="2" s="1"/>
  <c r="AP329" i="2"/>
  <c r="AB329" i="2" s="1"/>
  <c r="AP305" i="5"/>
  <c r="AB305" i="5" s="1"/>
  <c r="AP378" i="5"/>
  <c r="AB378" i="5" s="1"/>
  <c r="AP395" i="6"/>
  <c r="AB395" i="6" s="1"/>
  <c r="AP429" i="6"/>
  <c r="AB429" i="6" s="1"/>
  <c r="AP327" i="2"/>
  <c r="AB327" i="2" s="1"/>
  <c r="AP281" i="2"/>
  <c r="AB281" i="2" s="1"/>
  <c r="AP402" i="6"/>
  <c r="AB402" i="6" s="1"/>
  <c r="AP497" i="6"/>
  <c r="AB497" i="6" s="1"/>
  <c r="AP382" i="2"/>
  <c r="AB382" i="2" s="1"/>
  <c r="AP325" i="5"/>
  <c r="AB325" i="5" s="1"/>
  <c r="AP442" i="6"/>
  <c r="AB442" i="6" s="1"/>
  <c r="AP312" i="5"/>
  <c r="AB312" i="5" s="1"/>
  <c r="AP298" i="5"/>
  <c r="AB298" i="5" s="1"/>
  <c r="AP368" i="5"/>
  <c r="AB368" i="5" s="1"/>
  <c r="AP280" i="5"/>
  <c r="AB280" i="5" s="1"/>
  <c r="AP350" i="5"/>
  <c r="AB350" i="5" s="1"/>
  <c r="AP374" i="5"/>
  <c r="AB374" i="5" s="1"/>
  <c r="AP324" i="5"/>
  <c r="AB324" i="5" s="1"/>
  <c r="AP332" i="5"/>
  <c r="AB332" i="5" s="1"/>
  <c r="AP281" i="5"/>
  <c r="AB281" i="5" s="1"/>
  <c r="AP331" i="5"/>
  <c r="AB331" i="5" s="1"/>
  <c r="AP365" i="5"/>
  <c r="AB365" i="5" s="1"/>
  <c r="AP294" i="5"/>
  <c r="AB294" i="5" s="1"/>
  <c r="AP338" i="5"/>
  <c r="AB338" i="5" s="1"/>
  <c r="AP364" i="5"/>
  <c r="AB364" i="5" s="1"/>
  <c r="AP291" i="5"/>
  <c r="AB291" i="5" s="1"/>
  <c r="AB344" i="5"/>
  <c r="AB478" i="6"/>
  <c r="AB448" i="6"/>
  <c r="AB424" i="6"/>
  <c r="AB207" i="2"/>
  <c r="AB421" i="6"/>
  <c r="AB480" i="6"/>
  <c r="AB392" i="6"/>
  <c r="AB381" i="2"/>
  <c r="AB450" i="6"/>
  <c r="AB423" i="6"/>
  <c r="AB391" i="6"/>
  <c r="AB335" i="2"/>
  <c r="AB444" i="6"/>
  <c r="AB458" i="6"/>
  <c r="AB389" i="6"/>
  <c r="AB455" i="6"/>
  <c r="AB500" i="6"/>
  <c r="AB400" i="6"/>
  <c r="AB498" i="6"/>
  <c r="AB468" i="6"/>
  <c r="AB462" i="6"/>
  <c r="AB460" i="6"/>
  <c r="AB433" i="6"/>
  <c r="AB452" i="6"/>
  <c r="AB457" i="6"/>
  <c r="AB408" i="6"/>
  <c r="AB412" i="6"/>
  <c r="AB420" i="6"/>
  <c r="AB467" i="6"/>
  <c r="AB474" i="6"/>
  <c r="AB405" i="6"/>
  <c r="AB415" i="6"/>
  <c r="AB459" i="6"/>
  <c r="AB447" i="6"/>
  <c r="AB435" i="6"/>
  <c r="AB483" i="6"/>
  <c r="AB437" i="6"/>
  <c r="AB451" i="6"/>
  <c r="AB379" i="2"/>
  <c r="AB397" i="6"/>
  <c r="AB494" i="6"/>
  <c r="AB465" i="6"/>
  <c r="AB440" i="6"/>
  <c r="AB390" i="6"/>
  <c r="AB470" i="6"/>
  <c r="AB388" i="6"/>
  <c r="AB439" i="6"/>
  <c r="AB418" i="6"/>
  <c r="AB427" i="6"/>
  <c r="AB401" i="6"/>
  <c r="AB403" i="6"/>
  <c r="AB488" i="6"/>
  <c r="AB472" i="6"/>
  <c r="AB479" i="6"/>
  <c r="AB461" i="6"/>
  <c r="AB394" i="6"/>
  <c r="AB482" i="6"/>
  <c r="AB443" i="6"/>
  <c r="AB491" i="6"/>
  <c r="AB445" i="6"/>
  <c r="AB464" i="6"/>
  <c r="AB414" i="6"/>
  <c r="AB283" i="2"/>
  <c r="AB411" i="6"/>
  <c r="AB490" i="6"/>
  <c r="AB473" i="6"/>
  <c r="AB487" i="6"/>
  <c r="AB360" i="5"/>
  <c r="AB407" i="6"/>
  <c r="AB428" i="6"/>
  <c r="AB484" i="6"/>
  <c r="AB493" i="6"/>
  <c r="AB501" i="6"/>
  <c r="AB434" i="6"/>
  <c r="AB453" i="6"/>
  <c r="AB492" i="6"/>
  <c r="AB425" i="6"/>
  <c r="AB417" i="6"/>
  <c r="AB409" i="6"/>
  <c r="AB475" i="6"/>
  <c r="AB471" i="6"/>
  <c r="AB404" i="6"/>
  <c r="AB399" i="6"/>
  <c r="AB481" i="6"/>
  <c r="AB387" i="6"/>
  <c r="AB438" i="6"/>
  <c r="AB477" i="6"/>
  <c r="AB385" i="2"/>
  <c r="AB410" i="6"/>
  <c r="AB393" i="6"/>
  <c r="AB413" i="6"/>
  <c r="AL124" i="2"/>
  <c r="AL83" i="2"/>
  <c r="AL15" i="2"/>
  <c r="AL51" i="2"/>
  <c r="AL20" i="2"/>
  <c r="AL99" i="2"/>
  <c r="AL91" i="2"/>
  <c r="AL59" i="2"/>
  <c r="AL136" i="2"/>
  <c r="AL141" i="2"/>
  <c r="AL101" i="2"/>
  <c r="AL37" i="2"/>
  <c r="AL135" i="2"/>
  <c r="AL79" i="2"/>
  <c r="AL88" i="2"/>
  <c r="AL137" i="2"/>
  <c r="AL104" i="2"/>
  <c r="AL18" i="2"/>
  <c r="AL130" i="2"/>
  <c r="AL17" i="2"/>
  <c r="AL66" i="2"/>
  <c r="AL53" i="2"/>
  <c r="AL114" i="2"/>
  <c r="AL47" i="2"/>
  <c r="AL134" i="2"/>
  <c r="AL50" i="2"/>
  <c r="AL97" i="2"/>
  <c r="AL106" i="2"/>
  <c r="AL23" i="2"/>
  <c r="AL16" i="2"/>
  <c r="AL62" i="2"/>
  <c r="AL55" i="2"/>
  <c r="AL19" i="2"/>
  <c r="AL139" i="2"/>
  <c r="AL32" i="2"/>
  <c r="AL14" i="2"/>
  <c r="AL105" i="2"/>
  <c r="AL38" i="2"/>
  <c r="AL73" i="2"/>
  <c r="AL90" i="2"/>
  <c r="AL57" i="2"/>
  <c r="AL95" i="2"/>
  <c r="AL81" i="2"/>
  <c r="AL86" i="2"/>
  <c r="AL112" i="2"/>
  <c r="AL75" i="2"/>
  <c r="AL33" i="2"/>
  <c r="AL76" i="2"/>
  <c r="AL117" i="2"/>
  <c r="AL49" i="2"/>
  <c r="AL54" i="2"/>
  <c r="AL125" i="2"/>
  <c r="AL89" i="2"/>
  <c r="AL25" i="2"/>
  <c r="AL107" i="2"/>
  <c r="AL27" i="2"/>
  <c r="AL30" i="2"/>
  <c r="AL93" i="2"/>
  <c r="AL92" i="2"/>
  <c r="AL126" i="2"/>
  <c r="AL69" i="2"/>
  <c r="AL119" i="2"/>
  <c r="AL78" i="2"/>
  <c r="AL87" i="2"/>
  <c r="AL44" i="2"/>
  <c r="AL64" i="2"/>
  <c r="AL22" i="2"/>
  <c r="AL109" i="2"/>
  <c r="AL42" i="2"/>
  <c r="AL131" i="2"/>
  <c r="AL143" i="2"/>
  <c r="AL80" i="2"/>
  <c r="AL82" i="2"/>
  <c r="AL133" i="2"/>
  <c r="AL52" i="2"/>
  <c r="AL94" i="2"/>
  <c r="AL100" i="2"/>
  <c r="AL26" i="2"/>
  <c r="AL110" i="2"/>
  <c r="AL102" i="2"/>
  <c r="AL40" i="2"/>
  <c r="AL138" i="2"/>
  <c r="AL118" i="2"/>
  <c r="AL113" i="2"/>
  <c r="AL45" i="2"/>
  <c r="AL115" i="2"/>
  <c r="AL28" i="2"/>
  <c r="AL63" i="2"/>
  <c r="AL21" i="2"/>
  <c r="AL67" i="2"/>
  <c r="AL127" i="2"/>
  <c r="AL58" i="2"/>
  <c r="AL41" i="2"/>
  <c r="AL142" i="2"/>
  <c r="AL77" i="2"/>
  <c r="AL103" i="2"/>
  <c r="AL46" i="2"/>
  <c r="AL116" i="2"/>
  <c r="AL70" i="2"/>
  <c r="AL65" i="2"/>
  <c r="AL35" i="2"/>
  <c r="AL68" i="2"/>
  <c r="AL74" i="2"/>
  <c r="AL31" i="2"/>
  <c r="AL56" i="2"/>
  <c r="AL128" i="2"/>
  <c r="AL29" i="2"/>
  <c r="AL173" i="2"/>
  <c r="AL155" i="2"/>
  <c r="AL195" i="2"/>
  <c r="AL244" i="2"/>
  <c r="AL178" i="2"/>
  <c r="AL207" i="2"/>
  <c r="AL245" i="2"/>
  <c r="AL194" i="2"/>
  <c r="AL274" i="2"/>
  <c r="AL235" i="2"/>
  <c r="AL263" i="2"/>
  <c r="AL215" i="2"/>
  <c r="AL238" i="2"/>
  <c r="AL220" i="2"/>
  <c r="AL250" i="2"/>
  <c r="AL172" i="2"/>
  <c r="AL218" i="2"/>
  <c r="AL181" i="2"/>
  <c r="AL157" i="2"/>
  <c r="AL209" i="2"/>
  <c r="AL167" i="2"/>
  <c r="AL176" i="2"/>
  <c r="AL149" i="2"/>
  <c r="AL182" i="2"/>
  <c r="AL222" i="2"/>
  <c r="AL230" i="2"/>
  <c r="AL187" i="2"/>
  <c r="AL171" i="2"/>
  <c r="AL150" i="2"/>
  <c r="AL174" i="2"/>
  <c r="AL246" i="2"/>
  <c r="AL217" i="2"/>
  <c r="AL256" i="2"/>
  <c r="AL248" i="2"/>
  <c r="AL226" i="2"/>
  <c r="AL223" i="2"/>
  <c r="AL273" i="2"/>
  <c r="AL269" i="2"/>
  <c r="AL184" i="2"/>
  <c r="AL229" i="2"/>
  <c r="AL148" i="2"/>
  <c r="AL258" i="2"/>
  <c r="AL185" i="2"/>
  <c r="AL255" i="2"/>
  <c r="AL186" i="2"/>
  <c r="AL213" i="2"/>
  <c r="AL211" i="2"/>
  <c r="AL257" i="2"/>
  <c r="AL221" i="2"/>
  <c r="AL152" i="2"/>
  <c r="AL179" i="2"/>
  <c r="AL177" i="2"/>
  <c r="AL225" i="2"/>
  <c r="AL166" i="2"/>
  <c r="AL164" i="2"/>
  <c r="AL236" i="2"/>
  <c r="AL265" i="2"/>
  <c r="AL214" i="2"/>
  <c r="AL199" i="2"/>
  <c r="AK139" i="5"/>
  <c r="AK116" i="5"/>
  <c r="AK26" i="5"/>
  <c r="AK56" i="5"/>
  <c r="AK104" i="5"/>
  <c r="AK64" i="5"/>
  <c r="AK130" i="5"/>
  <c r="AK27" i="5"/>
  <c r="AK40" i="5"/>
  <c r="AK80" i="5"/>
  <c r="AK140" i="5"/>
  <c r="AK138" i="5"/>
  <c r="AK70" i="5"/>
  <c r="AK131" i="5"/>
  <c r="AK135" i="5"/>
  <c r="AK69" i="5"/>
  <c r="AK39" i="5"/>
  <c r="AK81" i="5"/>
  <c r="AK21" i="5"/>
  <c r="AK109" i="5"/>
  <c r="AK78" i="5"/>
  <c r="AK122" i="5"/>
  <c r="AK63" i="5"/>
  <c r="AL363" i="6"/>
  <c r="AL382" i="6"/>
  <c r="AL324" i="6"/>
  <c r="AL347" i="6"/>
  <c r="AL377" i="6"/>
  <c r="AL329" i="6"/>
  <c r="AL300" i="6"/>
  <c r="AL341" i="6"/>
  <c r="AL321" i="6"/>
  <c r="AL369" i="6"/>
  <c r="AL325" i="6"/>
  <c r="AL368" i="6"/>
  <c r="AL374" i="6"/>
  <c r="AL350" i="6"/>
  <c r="AL339" i="6"/>
  <c r="AL323" i="6"/>
  <c r="AL287" i="6"/>
  <c r="AL280" i="6"/>
  <c r="AL345" i="6"/>
  <c r="AL333" i="6"/>
  <c r="AL384" i="6"/>
  <c r="AL310" i="6"/>
  <c r="AL360" i="6"/>
  <c r="AL365" i="6"/>
  <c r="AL358" i="6"/>
  <c r="AL311" i="6"/>
  <c r="AL335" i="6"/>
  <c r="AL295" i="6"/>
  <c r="AL370" i="6"/>
  <c r="AL327" i="6"/>
  <c r="AL292" i="6"/>
  <c r="AL303" i="6"/>
  <c r="AL372" i="6"/>
  <c r="AL355" i="6"/>
  <c r="AL348" i="6"/>
  <c r="AL373" i="6"/>
  <c r="AL353" i="6"/>
  <c r="AL357" i="6"/>
  <c r="AL317" i="6"/>
  <c r="AO320" i="6"/>
  <c r="AL301" i="6"/>
  <c r="AO341" i="6"/>
  <c r="AL285" i="6"/>
  <c r="AM359" i="6"/>
  <c r="AN359" i="6" s="1"/>
  <c r="AM352" i="6"/>
  <c r="AN352" i="6" s="1"/>
  <c r="Z352" i="6" s="1"/>
  <c r="AM283" i="6"/>
  <c r="AN283" i="6" s="1"/>
  <c r="AL284" i="6"/>
  <c r="AL298" i="6"/>
  <c r="AO348" i="6"/>
  <c r="AO314" i="6"/>
  <c r="AL289" i="6"/>
  <c r="AL328" i="6"/>
  <c r="AL312" i="6"/>
  <c r="AO308" i="6"/>
  <c r="AL354" i="6"/>
  <c r="AO304" i="6"/>
  <c r="AL342" i="6"/>
  <c r="AM334" i="6"/>
  <c r="AN334" i="6" s="1"/>
  <c r="Z334" i="6" s="1"/>
  <c r="AM309" i="6"/>
  <c r="AN309" i="6" s="1"/>
  <c r="AM361" i="6"/>
  <c r="AN361" i="6" s="1"/>
  <c r="AL383" i="6"/>
  <c r="AO357" i="6"/>
  <c r="AO317" i="6"/>
  <c r="AM350" i="6"/>
  <c r="AN350" i="6" s="1"/>
  <c r="Z350" i="6" s="1"/>
  <c r="AM367" i="6"/>
  <c r="AN367" i="6" s="1"/>
  <c r="Z367" i="6" s="1"/>
  <c r="AM328" i="6"/>
  <c r="AN328" i="6" s="1"/>
  <c r="Z328" i="6" s="1"/>
  <c r="AL378" i="6"/>
  <c r="AM365" i="6"/>
  <c r="AN365" i="6" s="1"/>
  <c r="AM344" i="6"/>
  <c r="AN344" i="6" s="1"/>
  <c r="AO279" i="6"/>
  <c r="AO345" i="6"/>
  <c r="AO325" i="6"/>
  <c r="AM353" i="6"/>
  <c r="AN353" i="6" s="1"/>
  <c r="Z353" i="6" s="1"/>
  <c r="AM385" i="6"/>
  <c r="AO369" i="6"/>
  <c r="AL279" i="6"/>
  <c r="AL331" i="6"/>
  <c r="AM330" i="6"/>
  <c r="AN330" i="6" s="1"/>
  <c r="Z330" i="6" s="1"/>
  <c r="AO377" i="6"/>
  <c r="AM355" i="6"/>
  <c r="AN355" i="6" s="1"/>
  <c r="Z355" i="6" s="1"/>
  <c r="AM327" i="6"/>
  <c r="AN327" i="6" s="1"/>
  <c r="Z327" i="6" s="1"/>
  <c r="AO292" i="6"/>
  <c r="AO321" i="6"/>
  <c r="AO379" i="6"/>
  <c r="AM382" i="6"/>
  <c r="AO380" i="6"/>
  <c r="AO303" i="6"/>
  <c r="AM373" i="6"/>
  <c r="AN373" i="6" s="1"/>
  <c r="Z373" i="6" s="1"/>
  <c r="AM335" i="6"/>
  <c r="AN335" i="6" s="1"/>
  <c r="Z335" i="6" s="1"/>
  <c r="AM370" i="6"/>
  <c r="AN370" i="6" s="1"/>
  <c r="Z370" i="6" s="1"/>
  <c r="AO291" i="6"/>
  <c r="AM374" i="6"/>
  <c r="AN374" i="6" s="1"/>
  <c r="Z374" i="6" s="1"/>
  <c r="AM303" i="6"/>
  <c r="AN303" i="6" s="1"/>
  <c r="AM340" i="6"/>
  <c r="AN340" i="6" s="1"/>
  <c r="AM287" i="6"/>
  <c r="AN287" i="6" s="1"/>
  <c r="Z287" i="6" s="1"/>
  <c r="AM331" i="6"/>
  <c r="AN331" i="6" s="1"/>
  <c r="Z331" i="6" s="1"/>
  <c r="AM329" i="6"/>
  <c r="AN329" i="6" s="1"/>
  <c r="Z329" i="6" s="1"/>
  <c r="AO354" i="6"/>
  <c r="AM360" i="6"/>
  <c r="AN360" i="6" s="1"/>
  <c r="AO364" i="6"/>
  <c r="AM368" i="6"/>
  <c r="AN368" i="6" s="1"/>
  <c r="Z368" i="6" s="1"/>
  <c r="AM364" i="6"/>
  <c r="AN364" i="6" s="1"/>
  <c r="AM384" i="6"/>
  <c r="AM325" i="6"/>
  <c r="AN325" i="6" s="1"/>
  <c r="Z325" i="6" s="1"/>
  <c r="AM371" i="6"/>
  <c r="AN371" i="6" s="1"/>
  <c r="Z371" i="6" s="1"/>
  <c r="AO344" i="6"/>
  <c r="AM380" i="6"/>
  <c r="AM375" i="6"/>
  <c r="AN375" i="6" s="1"/>
  <c r="Z375" i="6" s="1"/>
  <c r="AO280" i="6"/>
  <c r="AO373" i="6"/>
  <c r="AO338" i="6"/>
  <c r="AM280" i="6"/>
  <c r="AN280" i="6" s="1"/>
  <c r="AM297" i="6"/>
  <c r="AN297" i="6" s="1"/>
  <c r="AO323" i="6"/>
  <c r="AM321" i="6"/>
  <c r="AN321" i="6" s="1"/>
  <c r="Z321" i="6" s="1"/>
  <c r="AO312" i="6"/>
  <c r="AO353" i="6"/>
  <c r="AO362" i="6"/>
  <c r="AM282" i="6"/>
  <c r="AN282" i="6" s="1"/>
  <c r="AO297" i="6"/>
  <c r="AM345" i="6"/>
  <c r="AN345" i="6" s="1"/>
  <c r="AM339" i="6"/>
  <c r="AN339" i="6" s="1"/>
  <c r="AM322" i="6"/>
  <c r="AN322" i="6" s="1"/>
  <c r="Z322" i="6" s="1"/>
  <c r="AM313" i="6"/>
  <c r="AN313" i="6" s="1"/>
  <c r="AO340" i="6"/>
  <c r="AM300" i="6"/>
  <c r="AN300" i="6" s="1"/>
  <c r="AO327" i="6"/>
  <c r="AO307" i="6"/>
  <c r="AO347" i="6"/>
  <c r="AO310" i="6"/>
  <c r="AM338" i="6"/>
  <c r="AN338" i="6" s="1"/>
  <c r="AO374" i="6"/>
  <c r="AO355" i="6"/>
  <c r="AM294" i="6"/>
  <c r="AN294" i="6" s="1"/>
  <c r="Z294" i="6" s="1"/>
  <c r="AO337" i="6"/>
  <c r="AM332" i="6"/>
  <c r="AN332" i="6" s="1"/>
  <c r="Z332" i="6" s="1"/>
  <c r="AO371" i="6"/>
  <c r="AM358" i="6"/>
  <c r="AN358" i="6" s="1"/>
  <c r="AO363" i="6"/>
  <c r="AO329" i="6"/>
  <c r="AM342" i="6"/>
  <c r="AN342" i="6" s="1"/>
  <c r="AO339" i="6"/>
  <c r="AM362" i="6"/>
  <c r="AN362" i="6" s="1"/>
  <c r="AO278" i="6"/>
  <c r="AO324" i="6"/>
  <c r="AM337" i="6"/>
  <c r="AN337" i="6" s="1"/>
  <c r="AO331" i="6"/>
  <c r="AM299" i="6"/>
  <c r="AN299" i="6" s="1"/>
  <c r="AM315" i="6"/>
  <c r="AN315" i="6" s="1"/>
  <c r="AO294" i="6"/>
  <c r="AM354" i="6"/>
  <c r="AN354" i="6" s="1"/>
  <c r="Z354" i="6" s="1"/>
  <c r="AO370" i="6"/>
  <c r="AM292" i="6"/>
  <c r="AN292" i="6" s="1"/>
  <c r="Z292" i="6" s="1"/>
  <c r="AO282" i="6"/>
  <c r="AM369" i="6"/>
  <c r="AN369" i="6" s="1"/>
  <c r="Z369" i="6" s="1"/>
  <c r="AO315" i="6"/>
  <c r="AM347" i="6"/>
  <c r="AN347" i="6" s="1"/>
  <c r="Z347" i="6" s="1"/>
  <c r="AO378" i="6"/>
  <c r="AM278" i="6"/>
  <c r="AN278" i="6" s="1"/>
  <c r="AM295" i="6"/>
  <c r="AN295" i="6" s="1"/>
  <c r="Z295" i="6" s="1"/>
  <c r="AM377" i="6"/>
  <c r="AO313" i="6"/>
  <c r="AO375" i="6"/>
  <c r="AO368" i="6"/>
  <c r="AM305" i="6"/>
  <c r="AN305" i="6" s="1"/>
  <c r="AM288" i="6"/>
  <c r="AN288" i="6" s="1"/>
  <c r="Z288" i="6" s="1"/>
  <c r="AL319" i="6"/>
  <c r="AO335" i="6"/>
  <c r="AL344" i="6"/>
  <c r="AL302" i="6"/>
  <c r="AL288" i="6"/>
  <c r="AL320" i="6"/>
  <c r="AM319" i="6"/>
  <c r="AN319" i="6" s="1"/>
  <c r="Z319" i="6" s="1"/>
  <c r="AO385" i="6"/>
  <c r="AM285" i="6"/>
  <c r="AN285" i="6" s="1"/>
  <c r="AO290" i="6"/>
  <c r="AO352" i="6"/>
  <c r="AO349" i="6"/>
  <c r="AO284" i="6"/>
  <c r="AM298" i="6"/>
  <c r="AN298" i="6" s="1"/>
  <c r="AM348" i="6"/>
  <c r="AN348" i="6" s="1"/>
  <c r="Z348" i="6" s="1"/>
  <c r="AL381" i="6"/>
  <c r="AM289" i="6"/>
  <c r="AN289" i="6" s="1"/>
  <c r="Z289" i="6" s="1"/>
  <c r="AM341" i="6"/>
  <c r="AN341" i="6" s="1"/>
  <c r="AL367" i="6"/>
  <c r="AO350" i="6"/>
  <c r="AL293" i="6"/>
  <c r="AL308" i="6"/>
  <c r="AM277" i="6"/>
  <c r="AN277" i="6" s="1"/>
  <c r="AL304" i="6"/>
  <c r="AL322" i="6"/>
  <c r="AO334" i="6"/>
  <c r="AO309" i="6"/>
  <c r="AM351" i="6"/>
  <c r="AN351" i="6" s="1"/>
  <c r="Z351" i="6" s="1"/>
  <c r="AO383" i="6"/>
  <c r="AO287" i="6"/>
  <c r="AL282" i="6"/>
  <c r="AM281" i="6"/>
  <c r="AN281" i="6" s="1"/>
  <c r="AL371" i="6"/>
  <c r="AO311" i="6"/>
  <c r="AO298" i="6"/>
  <c r="AO333" i="6"/>
  <c r="AO342" i="6"/>
  <c r="AM333" i="6"/>
  <c r="AN333" i="6" s="1"/>
  <c r="Z333" i="6" s="1"/>
  <c r="AM279" i="6"/>
  <c r="AN279" i="6" s="1"/>
  <c r="AO295" i="6"/>
  <c r="AO305" i="6"/>
  <c r="AL352" i="6"/>
  <c r="AL340" i="6"/>
  <c r="AL364" i="6"/>
  <c r="AO302" i="6"/>
  <c r="AO288" i="6"/>
  <c r="AM320" i="6"/>
  <c r="AN320" i="6" s="1"/>
  <c r="Z320" i="6" s="1"/>
  <c r="AO301" i="6"/>
  <c r="AO360" i="6"/>
  <c r="AO300" i="6"/>
  <c r="AL385" i="6"/>
  <c r="AL359" i="6"/>
  <c r="AL290" i="6"/>
  <c r="AL307" i="6"/>
  <c r="AO283" i="6"/>
  <c r="AL349" i="6"/>
  <c r="AM284" i="6"/>
  <c r="AN284" i="6" s="1"/>
  <c r="AM379" i="6"/>
  <c r="AL314" i="6"/>
  <c r="AM372" i="6"/>
  <c r="AN372" i="6" s="1"/>
  <c r="Z372" i="6" s="1"/>
  <c r="AO289" i="6"/>
  <c r="AO330" i="6"/>
  <c r="AO281" i="6"/>
  <c r="AO293" i="6"/>
  <c r="AO343" i="6"/>
  <c r="AM293" i="6"/>
  <c r="AN293" i="6" s="1"/>
  <c r="Z293" i="6" s="1"/>
  <c r="AO318" i="6"/>
  <c r="AO277" i="6"/>
  <c r="AM304" i="6"/>
  <c r="AN304" i="6" s="1"/>
  <c r="AL299" i="6"/>
  <c r="AL334" i="6"/>
  <c r="AO361" i="6"/>
  <c r="AL351" i="6"/>
  <c r="AM383" i="6"/>
  <c r="AL332" i="6"/>
  <c r="AL343" i="6"/>
  <c r="AL281" i="6"/>
  <c r="AO384" i="6"/>
  <c r="AL337" i="6"/>
  <c r="AO365" i="6"/>
  <c r="AM311" i="6"/>
  <c r="AN311" i="6" s="1"/>
  <c r="AM363" i="6"/>
  <c r="AN363" i="6" s="1"/>
  <c r="AO381" i="6"/>
  <c r="AO358" i="6"/>
  <c r="AM310" i="6"/>
  <c r="AN310" i="6" s="1"/>
  <c r="AL294" i="6"/>
  <c r="AL278" i="6"/>
  <c r="AL313" i="6"/>
  <c r="AK93" i="5"/>
  <c r="AK133" i="5"/>
  <c r="AK119" i="5"/>
  <c r="AK58" i="5"/>
  <c r="AK71" i="5"/>
  <c r="AK47" i="5"/>
  <c r="AK57" i="5"/>
  <c r="AK16" i="5"/>
  <c r="AK83" i="5"/>
  <c r="AK32" i="5"/>
  <c r="AK44" i="5"/>
  <c r="AK41" i="5"/>
  <c r="AK74" i="5"/>
  <c r="AK76" i="5"/>
  <c r="AK14" i="5"/>
  <c r="AL14" i="5" s="1"/>
  <c r="AK31" i="5"/>
  <c r="AK61" i="5"/>
  <c r="AK51" i="5"/>
  <c r="AK99" i="5"/>
  <c r="AK73" i="5"/>
  <c r="AK91" i="5"/>
  <c r="AK20" i="5"/>
  <c r="AK30" i="5"/>
  <c r="AK38" i="5"/>
  <c r="AK137" i="5"/>
  <c r="AK127" i="5"/>
  <c r="AK101" i="5"/>
  <c r="AK35" i="5"/>
  <c r="AK98" i="5"/>
  <c r="AK88" i="5"/>
  <c r="AK142" i="5"/>
  <c r="AK106" i="5"/>
  <c r="AK66" i="5"/>
  <c r="AK118" i="5"/>
  <c r="AK134" i="5"/>
  <c r="AK17" i="5"/>
  <c r="AK123" i="5"/>
  <c r="AK107" i="5"/>
  <c r="AK126" i="5"/>
  <c r="AK125" i="5"/>
  <c r="AK114" i="5"/>
  <c r="AK92" i="5"/>
  <c r="AK22" i="5"/>
  <c r="AK29" i="5"/>
  <c r="AK33" i="5"/>
  <c r="AK89" i="5"/>
  <c r="AK15" i="5"/>
  <c r="AK128" i="5"/>
  <c r="AK25" i="5"/>
  <c r="AK52" i="5"/>
  <c r="AK65" i="5"/>
  <c r="AK67" i="5"/>
  <c r="AK102" i="5"/>
  <c r="AK141" i="5"/>
  <c r="AK43" i="5"/>
  <c r="AK110" i="5"/>
  <c r="AK143" i="5"/>
  <c r="AK86" i="5"/>
  <c r="AK53" i="5"/>
  <c r="AK68" i="5"/>
  <c r="AK82" i="5"/>
  <c r="AK45" i="5"/>
  <c r="AK95" i="5"/>
  <c r="AK28" i="5"/>
  <c r="AK97" i="5"/>
  <c r="AK94" i="5"/>
  <c r="AK34" i="5"/>
  <c r="AK19" i="5"/>
  <c r="AK62" i="5"/>
  <c r="AK37" i="5"/>
  <c r="AK23" i="5"/>
  <c r="AK42" i="5"/>
  <c r="AK87" i="5"/>
  <c r="AK112" i="5"/>
  <c r="AK59" i="5"/>
  <c r="AK100" i="5"/>
  <c r="AK90" i="5"/>
  <c r="AK46" i="5"/>
  <c r="AK113" i="5"/>
  <c r="AK85" i="5"/>
  <c r="AK77" i="5"/>
  <c r="AK75" i="5"/>
  <c r="AK121" i="5"/>
  <c r="AK49" i="5"/>
  <c r="AK103" i="5"/>
  <c r="AK129" i="5"/>
  <c r="AK50" i="5"/>
  <c r="AK111" i="5"/>
  <c r="AK117" i="5"/>
  <c r="AK105" i="5"/>
  <c r="AK18" i="5"/>
  <c r="AK124" i="5"/>
  <c r="AK115" i="5"/>
  <c r="AK79" i="5"/>
  <c r="AK55" i="5"/>
  <c r="AK136" i="5"/>
  <c r="AK54" i="5"/>
  <c r="AK13" i="5"/>
  <c r="AO13" i="5" s="1"/>
  <c r="AO155" i="2"/>
  <c r="AM244" i="2"/>
  <c r="AN244" i="2" s="1"/>
  <c r="Z244" i="2" s="1"/>
  <c r="AO220" i="2"/>
  <c r="AM247" i="2"/>
  <c r="AN247" i="2" s="1"/>
  <c r="Z247" i="2" s="1"/>
  <c r="AM157" i="2"/>
  <c r="AO239" i="2"/>
  <c r="AM173" i="2"/>
  <c r="AM268" i="2"/>
  <c r="AM255" i="2"/>
  <c r="AN255" i="2" s="1"/>
  <c r="Z255" i="2" s="1"/>
  <c r="AM209" i="2"/>
  <c r="AM172" i="2"/>
  <c r="AM220" i="2"/>
  <c r="AN220" i="2" s="1"/>
  <c r="Z220" i="2" s="1"/>
  <c r="AM155" i="2"/>
  <c r="AO244" i="2"/>
  <c r="AM93" i="2"/>
  <c r="AN93" i="2" s="1"/>
  <c r="Z93" i="2" s="1"/>
  <c r="AM179" i="2"/>
  <c r="AO195" i="2"/>
  <c r="AO215" i="2"/>
  <c r="AO247" i="2"/>
  <c r="AO209" i="2"/>
  <c r="AO172" i="2"/>
  <c r="AO198" i="2"/>
  <c r="AO186" i="2"/>
  <c r="AO157" i="2"/>
  <c r="AO218" i="2"/>
  <c r="AO173" i="2"/>
  <c r="AO268" i="2"/>
  <c r="AO13" i="2"/>
  <c r="AL13" i="2"/>
  <c r="AM67" i="2"/>
  <c r="AN67" i="2" s="1"/>
  <c r="Z67" i="2" s="1"/>
  <c r="AM186" i="2"/>
  <c r="AN186" i="2" s="1"/>
  <c r="AO181" i="2"/>
  <c r="AM239" i="2"/>
  <c r="AN239" i="2" s="1"/>
  <c r="Z239" i="2" s="1"/>
  <c r="AO179" i="2"/>
  <c r="AO151" i="2"/>
  <c r="AM238" i="2"/>
  <c r="AN238" i="2" s="1"/>
  <c r="Z238" i="2" s="1"/>
  <c r="AM151" i="2"/>
  <c r="AM263" i="2"/>
  <c r="AN263" i="2" s="1"/>
  <c r="Z263" i="2" s="1"/>
  <c r="AO93" i="2"/>
  <c r="AO67" i="2"/>
  <c r="AL43" i="2"/>
  <c r="AM43" i="2"/>
  <c r="AN43" i="2" s="1"/>
  <c r="Z43" i="2" s="1"/>
  <c r="AL183" i="2"/>
  <c r="AM183" i="2"/>
  <c r="AN183" i="2" s="1"/>
  <c r="AL205" i="2"/>
  <c r="AO205" i="2"/>
  <c r="AL271" i="2"/>
  <c r="AM271" i="2"/>
  <c r="AL267" i="2"/>
  <c r="AO267" i="2"/>
  <c r="AL212" i="2"/>
  <c r="AO212" i="2"/>
  <c r="AO145" i="2"/>
  <c r="AL145" i="2"/>
  <c r="AL272" i="2"/>
  <c r="AM272" i="2"/>
  <c r="AO272" i="2"/>
  <c r="AL233" i="2"/>
  <c r="AM233" i="2"/>
  <c r="AN233" i="2" s="1"/>
  <c r="Z233" i="2" s="1"/>
  <c r="AO233" i="2"/>
  <c r="AL196" i="2"/>
  <c r="AM196" i="2"/>
  <c r="AN196" i="2" s="1"/>
  <c r="Z196" i="2" s="1"/>
  <c r="AL158" i="2"/>
  <c r="AM158" i="2"/>
  <c r="AL146" i="2"/>
  <c r="AO146" i="2"/>
  <c r="AL123" i="2"/>
  <c r="AM123" i="2"/>
  <c r="AN123" i="2" s="1"/>
  <c r="Z123" i="2" s="1"/>
  <c r="AO121" i="2"/>
  <c r="AL121" i="2"/>
  <c r="AL122" i="2"/>
  <c r="AO122" i="2"/>
  <c r="AO111" i="2"/>
  <c r="AL111" i="2"/>
  <c r="AO98" i="2"/>
  <c r="AL98" i="2"/>
  <c r="I24" i="24"/>
  <c r="AL201" i="2"/>
  <c r="AO201" i="2"/>
  <c r="AL170" i="2"/>
  <c r="AO170" i="2"/>
  <c r="AM170" i="2"/>
  <c r="AL261" i="2"/>
  <c r="AO261" i="2"/>
  <c r="AL260" i="2"/>
  <c r="AO260" i="2"/>
  <c r="AL259" i="2"/>
  <c r="AM259" i="2"/>
  <c r="AN259" i="2" s="1"/>
  <c r="Z259" i="2" s="1"/>
  <c r="AO259" i="2"/>
  <c r="AL262" i="2"/>
  <c r="AO262" i="2"/>
  <c r="AL237" i="2"/>
  <c r="AM237" i="2"/>
  <c r="AN237" i="2" s="1"/>
  <c r="Z237" i="2" s="1"/>
  <c r="AO237" i="2"/>
  <c r="AL189" i="2"/>
  <c r="AM189" i="2"/>
  <c r="AN189" i="2" s="1"/>
  <c r="AO189" i="2"/>
  <c r="I24" i="15"/>
  <c r="AM140" i="2"/>
  <c r="AL140" i="2"/>
  <c r="AL85" i="2"/>
  <c r="AO85" i="2"/>
  <c r="I24" i="18"/>
  <c r="AL77" i="6" s="1"/>
  <c r="AL34" i="2"/>
  <c r="AO34" i="2"/>
  <c r="AO71" i="2"/>
  <c r="AL71" i="2"/>
  <c r="AM71" i="2"/>
  <c r="AN71" i="2" s="1"/>
  <c r="Z71" i="2" s="1"/>
  <c r="AL175" i="2"/>
  <c r="AM175" i="2"/>
  <c r="AM224" i="2"/>
  <c r="AN224" i="2" s="1"/>
  <c r="Z224" i="2" s="1"/>
  <c r="AL224" i="2"/>
  <c r="AL197" i="2"/>
  <c r="AM197" i="2"/>
  <c r="AN197" i="2" s="1"/>
  <c r="Z197" i="2" s="1"/>
  <c r="AL169" i="2"/>
  <c r="AM169" i="2"/>
  <c r="AL275" i="2"/>
  <c r="AM275" i="2"/>
  <c r="AO275" i="2"/>
  <c r="AL203" i="2"/>
  <c r="AO203" i="2"/>
  <c r="AL254" i="2"/>
  <c r="AO254" i="2"/>
  <c r="AL241" i="2"/>
  <c r="AM241" i="2"/>
  <c r="AN241" i="2" s="1"/>
  <c r="Z241" i="2" s="1"/>
  <c r="AM147" i="2"/>
  <c r="AL147" i="2"/>
  <c r="AL163" i="2"/>
  <c r="AO163" i="2"/>
  <c r="AM163" i="2"/>
  <c r="AL39" i="2"/>
  <c r="AO39" i="2"/>
  <c r="AM145" i="2"/>
  <c r="AM61" i="2"/>
  <c r="AN61" i="2" s="1"/>
  <c r="Z61" i="2" s="1"/>
  <c r="AL61" i="2"/>
  <c r="AL129" i="2"/>
  <c r="AO129" i="2"/>
  <c r="AL242" i="2"/>
  <c r="AM242" i="2"/>
  <c r="AN242" i="2" s="1"/>
  <c r="Z242" i="2" s="1"/>
  <c r="AL243" i="2"/>
  <c r="AM243" i="2"/>
  <c r="AN243" i="2" s="1"/>
  <c r="Z243" i="2" s="1"/>
  <c r="AL165" i="2"/>
  <c r="AM165" i="2"/>
  <c r="AL160" i="2"/>
  <c r="AO160" i="2"/>
  <c r="AL210" i="2"/>
  <c r="AO210" i="2"/>
  <c r="AL219" i="2"/>
  <c r="AO219" i="2"/>
  <c r="AL208" i="2"/>
  <c r="AO208" i="2"/>
  <c r="AL270" i="2"/>
  <c r="AO270" i="2"/>
  <c r="AM270" i="2"/>
  <c r="AL202" i="2"/>
  <c r="AM202" i="2"/>
  <c r="AN202" i="2" s="1"/>
  <c r="Z202" i="2" s="1"/>
  <c r="AL161" i="2"/>
  <c r="AO161" i="2"/>
  <c r="AM161" i="2"/>
  <c r="AL153" i="2"/>
  <c r="AO153" i="2"/>
  <c r="AM153" i="2"/>
  <c r="AL234" i="2"/>
  <c r="AO234" i="2"/>
  <c r="AL231" i="2"/>
  <c r="AO231" i="2"/>
  <c r="AL458" i="2"/>
  <c r="AM458" i="2"/>
  <c r="AO458" i="2"/>
  <c r="AO444" i="2"/>
  <c r="AL444" i="2"/>
  <c r="AM444" i="2"/>
  <c r="AL421" i="2"/>
  <c r="AO421" i="2"/>
  <c r="AM421" i="2"/>
  <c r="AO419" i="2"/>
  <c r="AM419" i="2"/>
  <c r="AL419" i="2"/>
  <c r="AO437" i="2"/>
  <c r="AL437" i="2"/>
  <c r="AM437" i="2"/>
  <c r="AO473" i="2"/>
  <c r="AL473" i="2"/>
  <c r="AM473" i="2"/>
  <c r="AO449" i="2"/>
  <c r="AM449" i="2"/>
  <c r="AL449" i="2"/>
  <c r="AL482" i="2"/>
  <c r="AO482" i="2"/>
  <c r="AM482" i="2"/>
  <c r="AL445" i="2"/>
  <c r="AO445" i="2"/>
  <c r="AM445" i="2"/>
  <c r="AO430" i="2"/>
  <c r="AM430" i="2"/>
  <c r="AL430" i="2"/>
  <c r="AL498" i="2"/>
  <c r="AM498" i="2"/>
  <c r="AO498" i="2"/>
  <c r="AO395" i="2"/>
  <c r="AL395" i="2"/>
  <c r="AM395" i="2"/>
  <c r="AM399" i="2"/>
  <c r="AL399" i="2"/>
  <c r="AO399" i="2"/>
  <c r="AL465" i="2"/>
  <c r="AM465" i="2"/>
  <c r="AO465" i="2"/>
  <c r="AM493" i="2"/>
  <c r="AL493" i="2"/>
  <c r="AO493" i="2"/>
  <c r="AM479" i="2"/>
  <c r="AO479" i="2"/>
  <c r="AL479" i="2"/>
  <c r="AM455" i="2"/>
  <c r="AO455" i="2"/>
  <c r="AL455" i="2"/>
  <c r="AO420" i="2"/>
  <c r="AM420" i="2"/>
  <c r="AL420" i="2"/>
  <c r="AM462" i="2"/>
  <c r="AL462" i="2"/>
  <c r="AO462" i="2"/>
  <c r="AO389" i="2"/>
  <c r="AM389" i="2"/>
  <c r="AL389" i="2"/>
  <c r="AO501" i="2"/>
  <c r="AM501" i="2"/>
  <c r="AL501" i="2"/>
  <c r="AM442" i="2"/>
  <c r="AO442" i="2"/>
  <c r="AL442" i="2"/>
  <c r="AO464" i="2"/>
  <c r="AM464" i="2"/>
  <c r="AL464" i="2"/>
  <c r="AO474" i="2"/>
  <c r="AM474" i="2"/>
  <c r="AL474" i="2"/>
  <c r="AM452" i="2"/>
  <c r="AO452" i="2"/>
  <c r="AL452" i="2"/>
  <c r="AM463" i="2"/>
  <c r="AO463" i="2"/>
  <c r="AL463" i="2"/>
  <c r="AM502" i="2"/>
  <c r="AL502" i="2"/>
  <c r="AO502" i="2"/>
  <c r="AL484" i="2"/>
  <c r="AO484" i="2"/>
  <c r="AM484" i="2"/>
  <c r="AL478" i="2"/>
  <c r="AO478" i="2"/>
  <c r="AM478" i="2"/>
  <c r="AO448" i="2"/>
  <c r="AM448" i="2"/>
  <c r="AL448" i="2"/>
  <c r="AM492" i="2"/>
  <c r="AL492" i="2"/>
  <c r="AO492" i="2"/>
  <c r="AO485" i="2"/>
  <c r="AM485" i="2"/>
  <c r="AL485" i="2"/>
  <c r="AL475" i="2"/>
  <c r="AO475" i="2"/>
  <c r="AM475" i="2"/>
  <c r="AO497" i="2"/>
  <c r="AL497" i="2"/>
  <c r="AM497" i="2"/>
  <c r="AO401" i="2"/>
  <c r="AL401" i="2"/>
  <c r="AM401" i="2"/>
  <c r="AO422" i="2"/>
  <c r="AL422" i="2"/>
  <c r="AM422" i="2"/>
  <c r="AM459" i="2"/>
  <c r="AO459" i="2"/>
  <c r="AL459" i="2"/>
  <c r="AM461" i="2"/>
  <c r="AO461" i="2"/>
  <c r="AL461" i="2"/>
  <c r="AO489" i="2"/>
  <c r="AM489" i="2"/>
  <c r="AL489" i="2"/>
  <c r="I24" i="17"/>
  <c r="AL483" i="2"/>
  <c r="AO483" i="2"/>
  <c r="AM483" i="2"/>
  <c r="AM403" i="2"/>
  <c r="AO403" i="2"/>
  <c r="AL403" i="2"/>
  <c r="AO494" i="2"/>
  <c r="AL494" i="2"/>
  <c r="AM494" i="2"/>
  <c r="AO470" i="2"/>
  <c r="AL470" i="2"/>
  <c r="AM470" i="2"/>
  <c r="AM438" i="2"/>
  <c r="AO438" i="2"/>
  <c r="AL438" i="2"/>
  <c r="AM414" i="2"/>
  <c r="AO414" i="2"/>
  <c r="AL414" i="2"/>
  <c r="AM457" i="2"/>
  <c r="AO457" i="2"/>
  <c r="AL457" i="2"/>
  <c r="AO390" i="2"/>
  <c r="AL390" i="2"/>
  <c r="AM390" i="2"/>
  <c r="AO404" i="2"/>
  <c r="AM404" i="2"/>
  <c r="AL404" i="2"/>
  <c r="AO425" i="2"/>
  <c r="AM425" i="2"/>
  <c r="AL425" i="2"/>
  <c r="AM468" i="2"/>
  <c r="AL468" i="2"/>
  <c r="AO468" i="2"/>
  <c r="AL393" i="2"/>
  <c r="AO393" i="2"/>
  <c r="AM393" i="2"/>
  <c r="AM441" i="2"/>
  <c r="AL441" i="2"/>
  <c r="AO441" i="2"/>
  <c r="AL427" i="2"/>
  <c r="AM427" i="2"/>
  <c r="AO427" i="2"/>
  <c r="AO423" i="2"/>
  <c r="AM423" i="2"/>
  <c r="AL423" i="2"/>
  <c r="AL394" i="2"/>
  <c r="AM394" i="2"/>
  <c r="AO394" i="2"/>
  <c r="AO477" i="2"/>
  <c r="AM477" i="2"/>
  <c r="AL477" i="2"/>
  <c r="AL402" i="2"/>
  <c r="AO402" i="2"/>
  <c r="AM402" i="2"/>
  <c r="AL439" i="2"/>
  <c r="AO439" i="2"/>
  <c r="AM439" i="2"/>
  <c r="AM405" i="2"/>
  <c r="AL405" i="2"/>
  <c r="AO405" i="2"/>
  <c r="AO500" i="2"/>
  <c r="AM500" i="2"/>
  <c r="AL500" i="2"/>
  <c r="AM447" i="2"/>
  <c r="AO447" i="2"/>
  <c r="AL447" i="2"/>
  <c r="AM453" i="2"/>
  <c r="AL453" i="2"/>
  <c r="AO453" i="2"/>
  <c r="AM481" i="2"/>
  <c r="AO481" i="2"/>
  <c r="AL481" i="2"/>
  <c r="AO451" i="2"/>
  <c r="AM451" i="2"/>
  <c r="AL451" i="2"/>
  <c r="AM480" i="2"/>
  <c r="AO480" i="2"/>
  <c r="AL480" i="2"/>
  <c r="AO440" i="2"/>
  <c r="AL440" i="2"/>
  <c r="AM440" i="2"/>
  <c r="AO490" i="2"/>
  <c r="AL490" i="2"/>
  <c r="AM490" i="2"/>
  <c r="AM472" i="2"/>
  <c r="AO472" i="2"/>
  <c r="AL472" i="2"/>
  <c r="AO392" i="2"/>
  <c r="AL392" i="2"/>
  <c r="AM392" i="2"/>
  <c r="AL409" i="2"/>
  <c r="AO409" i="2"/>
  <c r="AM409" i="2"/>
  <c r="AM412" i="2"/>
  <c r="AO412" i="2"/>
  <c r="AL412" i="2"/>
  <c r="AL487" i="2"/>
  <c r="AO487" i="2"/>
  <c r="AM487" i="2"/>
  <c r="AL471" i="2"/>
  <c r="AO471" i="2"/>
  <c r="AM471" i="2"/>
  <c r="AO469" i="2"/>
  <c r="AL469" i="2"/>
  <c r="AM469" i="2"/>
  <c r="AM488" i="2"/>
  <c r="AO488" i="2"/>
  <c r="AL488" i="2"/>
  <c r="AM388" i="2"/>
  <c r="AL388" i="2"/>
  <c r="AO388" i="2"/>
  <c r="AM431" i="2"/>
  <c r="AL431" i="2"/>
  <c r="AO431" i="2"/>
  <c r="AM391" i="2"/>
  <c r="AL391" i="2"/>
  <c r="AO391" i="2"/>
  <c r="I24" i="19"/>
  <c r="AO434" i="2"/>
  <c r="AM434" i="2"/>
  <c r="AL434" i="2"/>
  <c r="AM411" i="2"/>
  <c r="AO411" i="2"/>
  <c r="AL411" i="2"/>
  <c r="AL450" i="2"/>
  <c r="AM450" i="2"/>
  <c r="AO450" i="2"/>
  <c r="AM413" i="2"/>
  <c r="AL413" i="2"/>
  <c r="AO413" i="2"/>
  <c r="AM495" i="2"/>
  <c r="AL495" i="2"/>
  <c r="AO495" i="2"/>
  <c r="AL432" i="2"/>
  <c r="AO432" i="2"/>
  <c r="AM432" i="2"/>
  <c r="AL460" i="2"/>
  <c r="AM460" i="2"/>
  <c r="AO460" i="2"/>
  <c r="AM400" i="2"/>
  <c r="AO400" i="2"/>
  <c r="AL400" i="2"/>
  <c r="AO435" i="2"/>
  <c r="AM435" i="2"/>
  <c r="AL435" i="2"/>
  <c r="AO397" i="2"/>
  <c r="AM397" i="2"/>
  <c r="AL397" i="2"/>
  <c r="AL491" i="2"/>
  <c r="AO491" i="2"/>
  <c r="AM491" i="2"/>
  <c r="AM418" i="2"/>
  <c r="AO418" i="2"/>
  <c r="AL418" i="2"/>
  <c r="AO467" i="2"/>
  <c r="AL467" i="2"/>
  <c r="AM467" i="2"/>
  <c r="AO433" i="2"/>
  <c r="AL433" i="2"/>
  <c r="AM433" i="2"/>
  <c r="AL387" i="2"/>
  <c r="AM387" i="2"/>
  <c r="AO387" i="2"/>
  <c r="AL424" i="2"/>
  <c r="AO424" i="2"/>
  <c r="AM424" i="2"/>
  <c r="AO417" i="2"/>
  <c r="AL417" i="2"/>
  <c r="AM417" i="2"/>
  <c r="AL407" i="2"/>
  <c r="AM407" i="2"/>
  <c r="AO407" i="2"/>
  <c r="AO415" i="2"/>
  <c r="AL415" i="2"/>
  <c r="AM415" i="2"/>
  <c r="AO443" i="2"/>
  <c r="AM443" i="2"/>
  <c r="AL443" i="2"/>
  <c r="AO429" i="2"/>
  <c r="AL429" i="2"/>
  <c r="AM429" i="2"/>
  <c r="AM428" i="2"/>
  <c r="AO428" i="2"/>
  <c r="AL428" i="2"/>
  <c r="AM410" i="2"/>
  <c r="AO410" i="2"/>
  <c r="AL410" i="2"/>
  <c r="AM398" i="2"/>
  <c r="AL398" i="2"/>
  <c r="AO398" i="2"/>
  <c r="AM408" i="2"/>
  <c r="AO408" i="2"/>
  <c r="AL408" i="2"/>
  <c r="AM454" i="2"/>
  <c r="AO454" i="2"/>
  <c r="AL454" i="2"/>
  <c r="D17" i="9"/>
  <c r="AP424" i="2" l="1"/>
  <c r="AB424" i="2" s="1"/>
  <c r="AP418" i="2"/>
  <c r="AB418" i="2" s="1"/>
  <c r="AP495" i="2"/>
  <c r="AB495" i="2" s="1"/>
  <c r="AP481" i="2"/>
  <c r="AB481" i="2" s="1"/>
  <c r="AP393" i="2"/>
  <c r="AB393" i="2" s="1"/>
  <c r="AP461" i="2"/>
  <c r="AB461" i="2" s="1"/>
  <c r="AP492" i="2"/>
  <c r="AB492" i="2" s="1"/>
  <c r="AP502" i="2"/>
  <c r="AB502" i="2" s="1"/>
  <c r="AP462" i="2"/>
  <c r="AB462" i="2" s="1"/>
  <c r="AP419" i="2"/>
  <c r="AB419" i="2" s="1"/>
  <c r="AP153" i="2"/>
  <c r="AB153" i="2" s="1"/>
  <c r="AP205" i="2"/>
  <c r="AB205" i="2" s="1"/>
  <c r="AP157" i="2"/>
  <c r="AB157" i="2" s="1"/>
  <c r="AP408" i="2"/>
  <c r="AB408" i="2" s="1"/>
  <c r="AP443" i="2"/>
  <c r="AB443" i="2" s="1"/>
  <c r="AP407" i="2"/>
  <c r="AB407" i="2" s="1"/>
  <c r="AP409" i="2"/>
  <c r="AB409" i="2" s="1"/>
  <c r="AP392" i="2"/>
  <c r="AB392" i="2" s="1"/>
  <c r="AP427" i="2"/>
  <c r="AB427" i="2" s="1"/>
  <c r="AP390" i="2"/>
  <c r="AB390" i="2" s="1"/>
  <c r="AP438" i="2"/>
  <c r="AB438" i="2" s="1"/>
  <c r="AP470" i="2"/>
  <c r="AB470" i="2" s="1"/>
  <c r="AP483" i="2"/>
  <c r="AB483" i="2" s="1"/>
  <c r="AP497" i="2"/>
  <c r="AB497" i="2" s="1"/>
  <c r="AP448" i="2"/>
  <c r="AB448" i="2" s="1"/>
  <c r="AP420" i="2"/>
  <c r="AB420" i="2" s="1"/>
  <c r="AP498" i="2"/>
  <c r="AB498" i="2" s="1"/>
  <c r="AP437" i="2"/>
  <c r="AB437" i="2" s="1"/>
  <c r="AP163" i="2"/>
  <c r="AB163" i="2" s="1"/>
  <c r="AP272" i="2"/>
  <c r="AB272" i="2" s="1"/>
  <c r="AP145" i="2"/>
  <c r="AB145" i="2" s="1"/>
  <c r="AP151" i="2"/>
  <c r="AB151" i="2" s="1"/>
  <c r="AP268" i="2"/>
  <c r="AB268" i="2" s="1"/>
  <c r="AP423" i="2"/>
  <c r="AB423" i="2" s="1"/>
  <c r="AP501" i="2"/>
  <c r="AB501" i="2" s="1"/>
  <c r="AP445" i="2"/>
  <c r="AB445" i="2" s="1"/>
  <c r="AP209" i="2"/>
  <c r="AB209" i="2" s="1"/>
  <c r="AP454" i="2"/>
  <c r="AB454" i="2" s="1"/>
  <c r="AP428" i="2"/>
  <c r="AB428" i="2" s="1"/>
  <c r="AP429" i="2"/>
  <c r="AB429" i="2" s="1"/>
  <c r="AP417" i="2"/>
  <c r="AB417" i="2" s="1"/>
  <c r="AP387" i="2"/>
  <c r="AB387" i="2" s="1"/>
  <c r="AP467" i="2"/>
  <c r="AB467" i="2" s="1"/>
  <c r="AP435" i="2"/>
  <c r="AB435" i="2" s="1"/>
  <c r="AP460" i="2"/>
  <c r="AB460" i="2" s="1"/>
  <c r="AP432" i="2"/>
  <c r="AB432" i="2" s="1"/>
  <c r="AP450" i="2"/>
  <c r="AB450" i="2" s="1"/>
  <c r="AP411" i="2"/>
  <c r="AB411" i="2" s="1"/>
  <c r="AP434" i="2"/>
  <c r="AB434" i="2" s="1"/>
  <c r="AP388" i="2"/>
  <c r="AB388" i="2" s="1"/>
  <c r="AP488" i="2"/>
  <c r="AB488" i="2" s="1"/>
  <c r="AP469" i="2"/>
  <c r="AB469" i="2" s="1"/>
  <c r="AP412" i="2"/>
  <c r="AB412" i="2" s="1"/>
  <c r="AP440" i="2"/>
  <c r="AB440" i="2" s="1"/>
  <c r="AP480" i="2"/>
  <c r="AB480" i="2" s="1"/>
  <c r="AP451" i="2"/>
  <c r="AB451" i="2" s="1"/>
  <c r="AP453" i="2"/>
  <c r="AB453" i="2" s="1"/>
  <c r="AP447" i="2"/>
  <c r="AB447" i="2" s="1"/>
  <c r="AP500" i="2"/>
  <c r="AB500" i="2" s="1"/>
  <c r="AP402" i="2"/>
  <c r="AB402" i="2" s="1"/>
  <c r="AP477" i="2"/>
  <c r="AB477" i="2" s="1"/>
  <c r="AP468" i="2"/>
  <c r="AB468" i="2" s="1"/>
  <c r="AP404" i="2"/>
  <c r="AB404" i="2" s="1"/>
  <c r="AP414" i="2"/>
  <c r="AB414" i="2" s="1"/>
  <c r="AP403" i="2"/>
  <c r="AB403" i="2" s="1"/>
  <c r="AP489" i="2"/>
  <c r="AB489" i="2" s="1"/>
  <c r="AP401" i="2"/>
  <c r="AB401" i="2" s="1"/>
  <c r="AP484" i="2"/>
  <c r="AB484" i="2" s="1"/>
  <c r="AP464" i="2"/>
  <c r="AB464" i="2" s="1"/>
  <c r="AP479" i="2"/>
  <c r="AB479" i="2" s="1"/>
  <c r="AP430" i="2"/>
  <c r="AB430" i="2" s="1"/>
  <c r="AP473" i="2"/>
  <c r="AB473" i="2" s="1"/>
  <c r="AP421" i="2"/>
  <c r="AB421" i="2" s="1"/>
  <c r="AP444" i="2"/>
  <c r="AB444" i="2" s="1"/>
  <c r="AP208" i="2"/>
  <c r="AB208" i="2" s="1"/>
  <c r="AP210" i="2"/>
  <c r="AB210" i="2" s="1"/>
  <c r="AP170" i="2"/>
  <c r="AB170" i="2" s="1"/>
  <c r="AP212" i="2"/>
  <c r="AB212" i="2" s="1"/>
  <c r="AP179" i="2"/>
  <c r="AB179" i="2" s="1"/>
  <c r="AP173" i="2"/>
  <c r="AB173" i="2" s="1"/>
  <c r="AP215" i="2"/>
  <c r="AB215" i="2" s="1"/>
  <c r="AP13" i="5"/>
  <c r="AB13" i="5" s="1"/>
  <c r="AP415" i="2"/>
  <c r="AB415" i="2" s="1"/>
  <c r="AP400" i="2"/>
  <c r="AB400" i="2" s="1"/>
  <c r="AP391" i="2"/>
  <c r="AB391" i="2" s="1"/>
  <c r="AP471" i="2"/>
  <c r="AB471" i="2" s="1"/>
  <c r="AP441" i="2"/>
  <c r="AB441" i="2" s="1"/>
  <c r="AP494" i="2"/>
  <c r="AB494" i="2" s="1"/>
  <c r="AP463" i="2"/>
  <c r="AB463" i="2" s="1"/>
  <c r="AP442" i="2"/>
  <c r="AB442" i="2" s="1"/>
  <c r="AP493" i="2"/>
  <c r="AB493" i="2" s="1"/>
  <c r="AP395" i="2"/>
  <c r="AB395" i="2" s="1"/>
  <c r="AP270" i="2"/>
  <c r="AB270" i="2" s="1"/>
  <c r="AP160" i="2"/>
  <c r="AB160" i="2" s="1"/>
  <c r="AP146" i="2"/>
  <c r="AB146" i="2" s="1"/>
  <c r="AP267" i="2"/>
  <c r="AB267" i="2" s="1"/>
  <c r="AP13" i="2"/>
  <c r="AB13" i="2" s="1"/>
  <c r="AP398" i="2"/>
  <c r="AB398" i="2" s="1"/>
  <c r="AP410" i="2"/>
  <c r="AB410" i="2" s="1"/>
  <c r="AP433" i="2"/>
  <c r="AB433" i="2" s="1"/>
  <c r="AP491" i="2"/>
  <c r="AB491" i="2" s="1"/>
  <c r="AP397" i="2"/>
  <c r="AB397" i="2" s="1"/>
  <c r="AP413" i="2"/>
  <c r="AB413" i="2" s="1"/>
  <c r="AP431" i="2"/>
  <c r="AB431" i="2" s="1"/>
  <c r="AP487" i="2"/>
  <c r="AB487" i="2" s="1"/>
  <c r="AP472" i="2"/>
  <c r="AB472" i="2" s="1"/>
  <c r="AP490" i="2"/>
  <c r="AP405" i="2"/>
  <c r="AB405" i="2" s="1"/>
  <c r="AP439" i="2"/>
  <c r="AB439" i="2" s="1"/>
  <c r="AP394" i="2"/>
  <c r="AB394" i="2" s="1"/>
  <c r="AP425" i="2"/>
  <c r="AB425" i="2" s="1"/>
  <c r="AP457" i="2"/>
  <c r="AB457" i="2" s="1"/>
  <c r="AP459" i="2"/>
  <c r="AB459" i="2" s="1"/>
  <c r="AP422" i="2"/>
  <c r="AB422" i="2" s="1"/>
  <c r="AP475" i="2"/>
  <c r="AB475" i="2" s="1"/>
  <c r="AP485" i="2"/>
  <c r="AB485" i="2" s="1"/>
  <c r="AP478" i="2"/>
  <c r="AB478" i="2" s="1"/>
  <c r="AP452" i="2"/>
  <c r="AB452" i="2" s="1"/>
  <c r="AP474" i="2"/>
  <c r="AB474" i="2" s="1"/>
  <c r="AP389" i="2"/>
  <c r="AB389" i="2" s="1"/>
  <c r="AP455" i="2"/>
  <c r="AB455" i="2" s="1"/>
  <c r="AP465" i="2"/>
  <c r="AB465" i="2" s="1"/>
  <c r="AP399" i="2"/>
  <c r="AB399" i="2" s="1"/>
  <c r="AP482" i="2"/>
  <c r="AB482" i="2" s="1"/>
  <c r="AP449" i="2"/>
  <c r="AB449" i="2" s="1"/>
  <c r="AP458" i="2"/>
  <c r="AB458" i="2" s="1"/>
  <c r="AP161" i="2"/>
  <c r="AB161" i="2" s="1"/>
  <c r="AP275" i="2"/>
  <c r="AB275" i="2" s="1"/>
  <c r="AP172" i="2"/>
  <c r="AB172" i="2" s="1"/>
  <c r="AP155" i="2"/>
  <c r="AB155" i="2" s="1"/>
  <c r="AB490" i="2"/>
  <c r="AL63" i="5"/>
  <c r="AL21" i="5"/>
  <c r="AL135" i="5"/>
  <c r="AL140" i="5"/>
  <c r="AL130" i="5"/>
  <c r="AL26" i="5"/>
  <c r="AM136" i="5"/>
  <c r="AM105" i="5"/>
  <c r="AL129" i="5"/>
  <c r="AO49" i="5"/>
  <c r="AM46" i="5"/>
  <c r="AM42" i="5"/>
  <c r="AM94" i="5"/>
  <c r="AN94" i="5" s="1"/>
  <c r="Z94" i="5" s="1"/>
  <c r="AM28" i="5"/>
  <c r="AL110" i="5"/>
  <c r="AO141" i="5"/>
  <c r="AL89" i="5"/>
  <c r="AL92" i="5"/>
  <c r="AM118" i="5"/>
  <c r="AN118" i="5" s="1"/>
  <c r="Z118" i="5" s="1"/>
  <c r="AM106" i="5"/>
  <c r="AO127" i="5"/>
  <c r="AO38" i="5"/>
  <c r="AM20" i="5"/>
  <c r="AO51" i="5"/>
  <c r="AL31" i="5"/>
  <c r="AM32" i="5"/>
  <c r="AL122" i="5"/>
  <c r="AL81" i="5"/>
  <c r="AL131" i="5"/>
  <c r="AM80" i="5"/>
  <c r="AL64" i="5"/>
  <c r="AL116" i="5"/>
  <c r="AO78" i="5"/>
  <c r="AM39" i="5"/>
  <c r="AL70" i="5"/>
  <c r="AM40" i="5"/>
  <c r="AM104" i="5"/>
  <c r="AO139" i="5"/>
  <c r="AM55" i="5"/>
  <c r="AM18" i="5"/>
  <c r="AM117" i="5"/>
  <c r="AN117" i="5" s="1"/>
  <c r="Z117" i="5" s="1"/>
  <c r="AL77" i="5"/>
  <c r="AO87" i="5"/>
  <c r="AL23" i="5"/>
  <c r="AL97" i="5"/>
  <c r="AM95" i="5"/>
  <c r="AN95" i="5" s="1"/>
  <c r="Z95" i="5" s="1"/>
  <c r="AO82" i="5"/>
  <c r="AM98" i="5"/>
  <c r="AL101" i="5"/>
  <c r="AO137" i="5"/>
  <c r="AO99" i="5"/>
  <c r="AL61" i="5"/>
  <c r="AO44" i="5"/>
  <c r="AO57" i="5"/>
  <c r="AO93" i="5"/>
  <c r="AM109" i="5"/>
  <c r="AN109" i="5" s="1"/>
  <c r="Z109" i="5" s="1"/>
  <c r="AM69" i="5"/>
  <c r="AN69" i="5" s="1"/>
  <c r="Z69" i="5" s="1"/>
  <c r="AO138" i="5"/>
  <c r="AL27" i="5"/>
  <c r="AL56" i="5"/>
  <c r="AO70" i="5"/>
  <c r="AM78" i="5"/>
  <c r="AL109" i="5"/>
  <c r="AM81" i="5"/>
  <c r="AO116" i="5"/>
  <c r="AO140" i="5"/>
  <c r="AM116" i="5"/>
  <c r="AN116" i="5" s="1"/>
  <c r="Z116" i="5" s="1"/>
  <c r="AO135" i="5"/>
  <c r="AM63" i="5"/>
  <c r="AN63" i="5" s="1"/>
  <c r="Z63" i="5" s="1"/>
  <c r="AM139" i="5"/>
  <c r="AM138" i="5"/>
  <c r="AM131" i="5"/>
  <c r="AO64" i="5"/>
  <c r="AO131" i="5"/>
  <c r="AM56" i="5"/>
  <c r="AO109" i="5"/>
  <c r="AL40" i="5"/>
  <c r="AL39" i="5"/>
  <c r="AO40" i="5"/>
  <c r="AO56" i="5"/>
  <c r="AL138" i="5"/>
  <c r="AL139" i="5"/>
  <c r="AO39" i="5"/>
  <c r="AM122" i="5"/>
  <c r="AO122" i="5"/>
  <c r="AO26" i="5"/>
  <c r="AM26" i="5"/>
  <c r="AO21" i="5"/>
  <c r="AM140" i="5"/>
  <c r="AM64" i="5"/>
  <c r="AN64" i="5" s="1"/>
  <c r="Z64" i="5" s="1"/>
  <c r="AM21" i="5"/>
  <c r="AM27" i="5"/>
  <c r="AL78" i="5"/>
  <c r="AL69" i="5"/>
  <c r="AM70" i="5"/>
  <c r="AN70" i="5" s="1"/>
  <c r="Z70" i="5" s="1"/>
  <c r="AO27" i="5"/>
  <c r="AL80" i="5"/>
  <c r="AM130" i="5"/>
  <c r="AO80" i="5"/>
  <c r="AO81" i="5"/>
  <c r="AO104" i="5"/>
  <c r="AL104" i="5"/>
  <c r="AO130" i="5"/>
  <c r="AM135" i="5"/>
  <c r="AO69" i="5"/>
  <c r="AO63" i="5"/>
  <c r="AO110" i="5"/>
  <c r="AO61" i="5"/>
  <c r="AO14" i="5"/>
  <c r="AM101" i="5"/>
  <c r="AO101" i="5"/>
  <c r="AM61" i="5"/>
  <c r="AN61" i="5" s="1"/>
  <c r="Z61" i="5" s="1"/>
  <c r="AM110" i="5"/>
  <c r="AN110" i="5" s="1"/>
  <c r="Z110" i="5" s="1"/>
  <c r="AM14" i="5"/>
  <c r="AM129" i="5"/>
  <c r="AM23" i="5"/>
  <c r="AO23" i="5"/>
  <c r="AO129" i="5"/>
  <c r="AO77" i="5"/>
  <c r="AM97" i="5"/>
  <c r="AO31" i="5"/>
  <c r="AM77" i="5"/>
  <c r="AM92" i="5"/>
  <c r="AN92" i="5" s="1"/>
  <c r="Z92" i="5" s="1"/>
  <c r="AO89" i="5"/>
  <c r="AM31" i="5"/>
  <c r="AM89" i="5"/>
  <c r="AN89" i="5" s="1"/>
  <c r="Z89" i="5" s="1"/>
  <c r="AO97" i="5"/>
  <c r="AO92" i="5"/>
  <c r="AL136" i="5"/>
  <c r="AO136" i="5"/>
  <c r="AL62" i="5"/>
  <c r="AO62" i="5"/>
  <c r="AM62" i="5"/>
  <c r="AN62" i="5" s="1"/>
  <c r="Z62" i="5" s="1"/>
  <c r="AL34" i="5"/>
  <c r="AM34" i="5"/>
  <c r="AO34" i="5"/>
  <c r="AO95" i="5"/>
  <c r="AL95" i="5"/>
  <c r="AM82" i="5"/>
  <c r="AL82" i="5"/>
  <c r="AM53" i="5"/>
  <c r="AO53" i="5"/>
  <c r="AL53" i="5"/>
  <c r="AL143" i="5"/>
  <c r="AO143" i="5"/>
  <c r="AM143" i="5"/>
  <c r="AO43" i="5"/>
  <c r="AM43" i="5"/>
  <c r="AL43" i="5"/>
  <c r="AL102" i="5"/>
  <c r="AM102" i="5"/>
  <c r="AO102" i="5"/>
  <c r="AL65" i="5"/>
  <c r="AM65" i="5"/>
  <c r="AN65" i="5" s="1"/>
  <c r="Z65" i="5" s="1"/>
  <c r="AO65" i="5"/>
  <c r="AL25" i="5"/>
  <c r="AM25" i="5"/>
  <c r="AO25" i="5"/>
  <c r="AM128" i="5"/>
  <c r="AL128" i="5"/>
  <c r="AO128" i="5"/>
  <c r="AL29" i="5"/>
  <c r="AM29" i="5"/>
  <c r="AO29" i="5"/>
  <c r="AO125" i="5"/>
  <c r="AL125" i="5"/>
  <c r="AM125" i="5"/>
  <c r="AL107" i="5"/>
  <c r="AO107" i="5"/>
  <c r="AM107" i="5"/>
  <c r="AL17" i="5"/>
  <c r="AM17" i="5"/>
  <c r="AO17" i="5"/>
  <c r="AO118" i="5"/>
  <c r="AL118" i="5"/>
  <c r="AO106" i="5"/>
  <c r="AL106" i="5"/>
  <c r="AL88" i="5"/>
  <c r="AM88" i="5"/>
  <c r="AN88" i="5" s="1"/>
  <c r="Z88" i="5" s="1"/>
  <c r="AO88" i="5"/>
  <c r="AM35" i="5"/>
  <c r="AO35" i="5"/>
  <c r="AL35" i="5"/>
  <c r="AL127" i="5"/>
  <c r="AM127" i="5"/>
  <c r="AM38" i="5"/>
  <c r="AL38" i="5"/>
  <c r="AO73" i="5"/>
  <c r="AM73" i="5"/>
  <c r="AL73" i="5"/>
  <c r="AM51" i="5"/>
  <c r="AL51" i="5"/>
  <c r="AL76" i="5"/>
  <c r="AO76" i="5"/>
  <c r="AM76" i="5"/>
  <c r="AO41" i="5"/>
  <c r="AL41" i="5"/>
  <c r="AM41" i="5"/>
  <c r="AO32" i="5"/>
  <c r="AL32" i="5"/>
  <c r="AO16" i="5"/>
  <c r="AL16" i="5"/>
  <c r="AM16" i="5"/>
  <c r="AO47" i="5"/>
  <c r="AM47" i="5"/>
  <c r="AL47" i="5"/>
  <c r="AL58" i="5"/>
  <c r="AM58" i="5"/>
  <c r="AO58" i="5"/>
  <c r="AL133" i="5"/>
  <c r="AM133" i="5"/>
  <c r="AO133" i="5"/>
  <c r="AM79" i="5"/>
  <c r="AO79" i="5"/>
  <c r="AL79" i="5"/>
  <c r="AM124" i="5"/>
  <c r="AO124" i="5"/>
  <c r="AL124" i="5"/>
  <c r="AO105" i="5"/>
  <c r="AL105" i="5"/>
  <c r="AM111" i="5"/>
  <c r="AN111" i="5" s="1"/>
  <c r="Z111" i="5" s="1"/>
  <c r="AO111" i="5"/>
  <c r="AL111" i="5"/>
  <c r="AM49" i="5"/>
  <c r="AL49" i="5"/>
  <c r="AO75" i="5"/>
  <c r="AL75" i="5"/>
  <c r="AM75" i="5"/>
  <c r="AL85" i="5"/>
  <c r="AO85" i="5"/>
  <c r="AM85" i="5"/>
  <c r="AN85" i="5" s="1"/>
  <c r="Z85" i="5" s="1"/>
  <c r="AO46" i="5"/>
  <c r="AL46" i="5"/>
  <c r="AL100" i="5"/>
  <c r="AO100" i="5"/>
  <c r="AM100" i="5"/>
  <c r="AM112" i="5"/>
  <c r="AN112" i="5" s="1"/>
  <c r="Z112" i="5" s="1"/>
  <c r="AL112" i="5"/>
  <c r="AO112" i="5"/>
  <c r="AM54" i="5"/>
  <c r="AL54" i="5"/>
  <c r="AO54" i="5"/>
  <c r="AM37" i="5"/>
  <c r="AO37" i="5"/>
  <c r="AL37" i="5"/>
  <c r="AL19" i="5"/>
  <c r="AM19" i="5"/>
  <c r="AO19" i="5"/>
  <c r="AL94" i="5"/>
  <c r="AO94" i="5"/>
  <c r="AO28" i="5"/>
  <c r="AL28" i="5"/>
  <c r="AL45" i="5"/>
  <c r="AM45" i="5"/>
  <c r="AO45" i="5"/>
  <c r="AL68" i="5"/>
  <c r="AO68" i="5"/>
  <c r="AM68" i="5"/>
  <c r="AN68" i="5" s="1"/>
  <c r="Z68" i="5" s="1"/>
  <c r="AO86" i="5"/>
  <c r="AL86" i="5"/>
  <c r="AM86" i="5"/>
  <c r="AN86" i="5" s="1"/>
  <c r="Z86" i="5" s="1"/>
  <c r="AL141" i="5"/>
  <c r="AM141" i="5"/>
  <c r="AO67" i="5"/>
  <c r="AM67" i="5"/>
  <c r="AN67" i="5" s="1"/>
  <c r="Z67" i="5" s="1"/>
  <c r="AL67" i="5"/>
  <c r="AO52" i="5"/>
  <c r="AM52" i="5"/>
  <c r="AL52" i="5"/>
  <c r="AM15" i="5"/>
  <c r="AL15" i="5"/>
  <c r="AO15" i="5"/>
  <c r="AL33" i="5"/>
  <c r="AO33" i="5"/>
  <c r="AM33" i="5"/>
  <c r="AM22" i="5"/>
  <c r="AL22" i="5"/>
  <c r="AO22" i="5"/>
  <c r="AO114" i="5"/>
  <c r="AL114" i="5"/>
  <c r="AM114" i="5"/>
  <c r="AN114" i="5" s="1"/>
  <c r="Z114" i="5" s="1"/>
  <c r="AO126" i="5"/>
  <c r="AM126" i="5"/>
  <c r="AL126" i="5"/>
  <c r="AL123" i="5"/>
  <c r="AO123" i="5"/>
  <c r="AM123" i="5"/>
  <c r="AL134" i="5"/>
  <c r="AM134" i="5"/>
  <c r="AO134" i="5"/>
  <c r="AL66" i="5"/>
  <c r="AM66" i="5"/>
  <c r="AN66" i="5" s="1"/>
  <c r="Z66" i="5" s="1"/>
  <c r="AO66" i="5"/>
  <c r="AM142" i="5"/>
  <c r="AO142" i="5"/>
  <c r="AL142" i="5"/>
  <c r="AL98" i="5"/>
  <c r="AO98" i="5"/>
  <c r="AL137" i="5"/>
  <c r="AM137" i="5"/>
  <c r="AO20" i="5"/>
  <c r="AL20" i="5"/>
  <c r="AM91" i="5"/>
  <c r="AN91" i="5" s="1"/>
  <c r="Z91" i="5" s="1"/>
  <c r="AL91" i="5"/>
  <c r="AO91" i="5"/>
  <c r="AM99" i="5"/>
  <c r="AL99" i="5"/>
  <c r="AL74" i="5"/>
  <c r="AM74" i="5"/>
  <c r="AO74" i="5"/>
  <c r="AL44" i="5"/>
  <c r="AM44" i="5"/>
  <c r="AL83" i="5"/>
  <c r="AO83" i="5"/>
  <c r="AM83" i="5"/>
  <c r="AM57" i="5"/>
  <c r="AL57" i="5"/>
  <c r="AO71" i="5"/>
  <c r="AM71" i="5"/>
  <c r="AN71" i="5" s="1"/>
  <c r="Z71" i="5" s="1"/>
  <c r="AL71" i="5"/>
  <c r="AO119" i="5"/>
  <c r="AM119" i="5"/>
  <c r="AN119" i="5" s="1"/>
  <c r="Z119" i="5" s="1"/>
  <c r="AL119" i="5"/>
  <c r="AM93" i="5"/>
  <c r="AN93" i="5" s="1"/>
  <c r="Z93" i="5" s="1"/>
  <c r="AL93" i="5"/>
  <c r="AL55" i="5"/>
  <c r="AO55" i="5"/>
  <c r="AM115" i="5"/>
  <c r="AN115" i="5" s="1"/>
  <c r="Z115" i="5" s="1"/>
  <c r="AL115" i="5"/>
  <c r="AO115" i="5"/>
  <c r="AL18" i="5"/>
  <c r="AO18" i="5"/>
  <c r="AL117" i="5"/>
  <c r="AO117" i="5"/>
  <c r="AL50" i="5"/>
  <c r="AO50" i="5"/>
  <c r="AM50" i="5"/>
  <c r="AO103" i="5"/>
  <c r="AL103" i="5"/>
  <c r="AM103" i="5"/>
  <c r="AM121" i="5"/>
  <c r="AO121" i="5"/>
  <c r="AL121" i="5"/>
  <c r="AO113" i="5"/>
  <c r="AM113" i="5"/>
  <c r="AN113" i="5" s="1"/>
  <c r="Z113" i="5" s="1"/>
  <c r="AL113" i="5"/>
  <c r="AM90" i="5"/>
  <c r="AN90" i="5" s="1"/>
  <c r="Z90" i="5" s="1"/>
  <c r="AL90" i="5"/>
  <c r="AO90" i="5"/>
  <c r="AO59" i="5"/>
  <c r="AL59" i="5"/>
  <c r="AM59" i="5"/>
  <c r="AM87" i="5"/>
  <c r="AN87" i="5" s="1"/>
  <c r="Z87" i="5" s="1"/>
  <c r="AL87" i="5"/>
  <c r="AL42" i="5"/>
  <c r="AO42" i="5"/>
  <c r="AM30" i="5"/>
  <c r="AO30" i="5"/>
  <c r="AL30" i="5"/>
  <c r="AL13" i="5"/>
  <c r="AM13" i="5"/>
  <c r="AL18" i="6"/>
  <c r="AM18" i="6"/>
  <c r="AO18" i="6"/>
  <c r="AO86" i="6"/>
  <c r="AM86" i="6"/>
  <c r="AN86" i="6" s="1"/>
  <c r="Z86" i="6" s="1"/>
  <c r="AL86" i="6"/>
  <c r="AO49" i="6"/>
  <c r="AL49" i="6"/>
  <c r="AM49" i="6"/>
  <c r="AM52" i="6"/>
  <c r="AL52" i="6"/>
  <c r="AO52" i="6"/>
  <c r="AO53" i="6"/>
  <c r="AM53" i="6"/>
  <c r="AL53" i="6"/>
  <c r="AL26" i="6"/>
  <c r="AO26" i="6"/>
  <c r="AM26" i="6"/>
  <c r="AM51" i="6"/>
  <c r="AO51" i="6"/>
  <c r="AL51" i="6"/>
  <c r="AM28" i="6"/>
  <c r="AL28" i="6"/>
  <c r="AO28" i="6"/>
  <c r="AM54" i="6"/>
  <c r="AL54" i="6"/>
  <c r="AO54" i="6"/>
  <c r="AM33" i="6"/>
  <c r="AO33" i="6"/>
  <c r="AL33" i="6"/>
  <c r="AM13" i="6"/>
  <c r="AL13" i="6"/>
  <c r="AO13" i="6"/>
  <c r="AO128" i="6"/>
  <c r="AL128" i="6"/>
  <c r="AM128" i="6"/>
  <c r="AM102" i="6"/>
  <c r="AO102" i="6"/>
  <c r="AL102" i="6"/>
  <c r="AM75" i="6"/>
  <c r="AO75" i="6"/>
  <c r="AL75" i="6"/>
  <c r="AL73" i="6"/>
  <c r="AO73" i="6"/>
  <c r="AM73" i="6"/>
  <c r="AM126" i="6"/>
  <c r="AO126" i="6"/>
  <c r="AL126" i="6"/>
  <c r="AL67" i="6"/>
  <c r="AM67" i="6"/>
  <c r="AO67" i="6"/>
  <c r="AO121" i="6"/>
  <c r="AM121" i="6"/>
  <c r="AL121" i="6"/>
  <c r="AO134" i="6"/>
  <c r="AL134" i="6"/>
  <c r="AM134" i="6"/>
  <c r="AL38" i="6"/>
  <c r="AO38" i="6"/>
  <c r="AM38" i="6"/>
  <c r="AL103" i="6"/>
  <c r="AM103" i="6"/>
  <c r="AO103" i="6"/>
  <c r="AO109" i="6"/>
  <c r="AM109" i="6"/>
  <c r="AN109" i="6" s="1"/>
  <c r="Z109" i="6" s="1"/>
  <c r="AL109" i="6"/>
  <c r="AO19" i="6"/>
  <c r="AL19" i="6"/>
  <c r="AM19" i="6"/>
  <c r="AM80" i="6"/>
  <c r="AL80" i="6"/>
  <c r="AO80" i="6"/>
  <c r="AM101" i="6"/>
  <c r="AO101" i="6"/>
  <c r="AL101" i="6"/>
  <c r="AO76" i="6"/>
  <c r="AM76" i="6"/>
  <c r="AL76" i="6"/>
  <c r="AL45" i="6"/>
  <c r="AO45" i="6"/>
  <c r="AM45" i="6"/>
  <c r="AM89" i="6"/>
  <c r="AN89" i="6" s="1"/>
  <c r="Z89" i="6" s="1"/>
  <c r="AO89" i="6"/>
  <c r="AL89" i="6"/>
  <c r="AM77" i="6"/>
  <c r="AO77" i="6"/>
  <c r="AM133" i="6"/>
  <c r="AO133" i="6"/>
  <c r="AL133" i="6"/>
  <c r="AL107" i="6"/>
  <c r="AO107" i="6"/>
  <c r="AM107" i="6"/>
  <c r="AM184" i="5"/>
  <c r="AN184" i="5" s="1"/>
  <c r="AL184" i="5"/>
  <c r="AO184" i="5"/>
  <c r="AL256" i="5"/>
  <c r="AM256" i="5"/>
  <c r="AN256" i="5" s="1"/>
  <c r="Z256" i="5" s="1"/>
  <c r="AO256" i="5"/>
  <c r="AL222" i="5"/>
  <c r="AO222" i="5"/>
  <c r="AM222" i="5"/>
  <c r="AN222" i="5" s="1"/>
  <c r="Z222" i="5" s="1"/>
  <c r="AL221" i="5"/>
  <c r="AM221" i="5"/>
  <c r="AN221" i="5" s="1"/>
  <c r="Z221" i="5" s="1"/>
  <c r="AO221" i="5"/>
  <c r="AL236" i="5"/>
  <c r="AM236" i="5"/>
  <c r="AN236" i="5" s="1"/>
  <c r="Z236" i="5" s="1"/>
  <c r="AO236" i="5"/>
  <c r="AL182" i="5"/>
  <c r="AO182" i="5"/>
  <c r="AM182" i="5"/>
  <c r="AN182" i="5" s="1"/>
  <c r="AM151" i="5"/>
  <c r="AL151" i="5"/>
  <c r="AO151" i="5"/>
  <c r="AL229" i="5"/>
  <c r="AO229" i="5"/>
  <c r="AM229" i="5"/>
  <c r="AN229" i="5" s="1"/>
  <c r="Z229" i="5" s="1"/>
  <c r="AL196" i="5"/>
  <c r="AO196" i="5"/>
  <c r="AM196" i="5"/>
  <c r="AN196" i="5" s="1"/>
  <c r="Z196" i="5" s="1"/>
  <c r="AL268" i="5"/>
  <c r="AO268" i="5"/>
  <c r="AM268" i="5"/>
  <c r="AL153" i="5"/>
  <c r="AM153" i="5"/>
  <c r="AO153" i="5"/>
  <c r="AL239" i="5"/>
  <c r="AO239" i="5"/>
  <c r="AM239" i="5"/>
  <c r="AN239" i="5" s="1"/>
  <c r="Z239" i="5" s="1"/>
  <c r="AL250" i="5"/>
  <c r="AO250" i="5"/>
  <c r="AM250" i="5"/>
  <c r="AN250" i="5" s="1"/>
  <c r="Z250" i="5" s="1"/>
  <c r="AL183" i="5"/>
  <c r="AM183" i="5"/>
  <c r="AN183" i="5" s="1"/>
  <c r="AO183" i="5"/>
  <c r="AL273" i="5"/>
  <c r="AO273" i="5"/>
  <c r="AM273" i="5"/>
  <c r="AL270" i="5"/>
  <c r="AM270" i="5"/>
  <c r="AO270" i="5"/>
  <c r="AM211" i="5"/>
  <c r="AL211" i="5"/>
  <c r="AO211" i="5"/>
  <c r="AL177" i="5"/>
  <c r="AM177" i="5"/>
  <c r="AN177" i="5" s="1"/>
  <c r="Z177" i="5" s="1"/>
  <c r="AO177" i="5"/>
  <c r="AL202" i="5"/>
  <c r="AO202" i="5"/>
  <c r="AM202" i="5"/>
  <c r="AN202" i="5" s="1"/>
  <c r="Z202" i="5" s="1"/>
  <c r="AL237" i="5"/>
  <c r="AM237" i="5"/>
  <c r="AN237" i="5" s="1"/>
  <c r="Z237" i="5" s="1"/>
  <c r="AO237" i="5"/>
  <c r="AL197" i="5"/>
  <c r="AO197" i="5"/>
  <c r="AM197" i="5"/>
  <c r="AN197" i="5" s="1"/>
  <c r="Z197" i="5" s="1"/>
  <c r="AL267" i="5"/>
  <c r="AO267" i="5"/>
  <c r="AM267" i="5"/>
  <c r="AL230" i="5"/>
  <c r="AO230" i="5"/>
  <c r="AM230" i="5"/>
  <c r="AN230" i="5" s="1"/>
  <c r="Z230" i="5" s="1"/>
  <c r="AL220" i="5"/>
  <c r="AM220" i="5"/>
  <c r="AN220" i="5" s="1"/>
  <c r="Z220" i="5" s="1"/>
  <c r="AO220" i="5"/>
  <c r="AL242" i="5"/>
  <c r="AO242" i="5"/>
  <c r="AM242" i="5"/>
  <c r="AN242" i="5" s="1"/>
  <c r="Z242" i="5" s="1"/>
  <c r="AL170" i="5"/>
  <c r="AO170" i="5"/>
  <c r="AM170" i="5"/>
  <c r="AN170" i="5" s="1"/>
  <c r="Z170" i="5" s="1"/>
  <c r="AL176" i="5"/>
  <c r="AM176" i="5"/>
  <c r="AN176" i="5" s="1"/>
  <c r="Z176" i="5" s="1"/>
  <c r="AO176" i="5"/>
  <c r="AL190" i="5"/>
  <c r="AM190" i="5"/>
  <c r="AN190" i="5" s="1"/>
  <c r="AO190" i="5"/>
  <c r="AL259" i="5"/>
  <c r="AM259" i="5"/>
  <c r="AN259" i="5" s="1"/>
  <c r="Z259" i="5" s="1"/>
  <c r="AO259" i="5"/>
  <c r="AO113" i="6"/>
  <c r="AM113" i="6"/>
  <c r="AN113" i="6" s="1"/>
  <c r="Z113" i="6" s="1"/>
  <c r="AL113" i="6"/>
  <c r="AO143" i="6"/>
  <c r="AM143" i="6"/>
  <c r="AL143" i="6"/>
  <c r="AO141" i="6"/>
  <c r="AL141" i="6"/>
  <c r="AM141" i="6"/>
  <c r="AO92" i="6"/>
  <c r="AM92" i="6"/>
  <c r="AN92" i="6" s="1"/>
  <c r="Z92" i="6" s="1"/>
  <c r="AL92" i="6"/>
  <c r="AM58" i="6"/>
  <c r="AO58" i="6"/>
  <c r="AL58" i="6"/>
  <c r="AL56" i="6"/>
  <c r="AO56" i="6"/>
  <c r="AM56" i="6"/>
  <c r="AO61" i="6"/>
  <c r="AM61" i="6"/>
  <c r="AL61" i="6"/>
  <c r="AO16" i="6"/>
  <c r="AM16" i="6"/>
  <c r="AL16" i="6"/>
  <c r="AL136" i="6"/>
  <c r="AM136" i="6"/>
  <c r="AO136" i="6"/>
  <c r="AO124" i="6"/>
  <c r="AL124" i="6"/>
  <c r="AM124" i="6"/>
  <c r="AO15" i="6"/>
  <c r="AM15" i="6"/>
  <c r="AL15" i="6"/>
  <c r="AM50" i="6"/>
  <c r="AL50" i="6"/>
  <c r="AO50" i="6"/>
  <c r="AL64" i="6"/>
  <c r="AM64" i="6"/>
  <c r="AO64" i="6"/>
  <c r="AO70" i="6"/>
  <c r="AL70" i="6"/>
  <c r="AM70" i="6"/>
  <c r="AL123" i="6"/>
  <c r="AO123" i="6"/>
  <c r="AM123" i="6"/>
  <c r="AO21" i="6"/>
  <c r="AL21" i="6"/>
  <c r="AM21" i="6"/>
  <c r="AO98" i="6"/>
  <c r="AM98" i="6"/>
  <c r="AL98" i="6"/>
  <c r="AM115" i="6"/>
  <c r="AN115" i="6" s="1"/>
  <c r="Z115" i="6" s="1"/>
  <c r="AL115" i="6"/>
  <c r="AO115" i="6"/>
  <c r="AM122" i="6"/>
  <c r="AL122" i="6"/>
  <c r="AO122" i="6"/>
  <c r="AO99" i="6"/>
  <c r="AL99" i="6"/>
  <c r="AM99" i="6"/>
  <c r="AL59" i="6"/>
  <c r="AM59" i="6"/>
  <c r="AO59" i="6"/>
  <c r="AM42" i="6"/>
  <c r="AO42" i="6"/>
  <c r="AL42" i="6"/>
  <c r="AO131" i="6"/>
  <c r="AL131" i="6"/>
  <c r="AM131" i="6"/>
  <c r="AM118" i="6"/>
  <c r="AN118" i="6" s="1"/>
  <c r="Z118" i="6" s="1"/>
  <c r="AO118" i="6"/>
  <c r="AL118" i="6"/>
  <c r="AL47" i="6"/>
  <c r="AM47" i="6"/>
  <c r="AO47" i="6"/>
  <c r="AM22" i="6"/>
  <c r="AO22" i="6"/>
  <c r="AL22" i="6"/>
  <c r="AL79" i="6"/>
  <c r="AO79" i="6"/>
  <c r="AM79" i="6"/>
  <c r="AO130" i="6"/>
  <c r="AM130" i="6"/>
  <c r="AL130" i="6"/>
  <c r="AM104" i="6"/>
  <c r="AO104" i="6"/>
  <c r="AL104" i="6"/>
  <c r="AL172" i="5"/>
  <c r="AO172" i="5"/>
  <c r="AM172" i="5"/>
  <c r="AN172" i="5" s="1"/>
  <c r="Z172" i="5" s="1"/>
  <c r="AL247" i="5"/>
  <c r="AO247" i="5"/>
  <c r="AM247" i="5"/>
  <c r="AN247" i="5" s="1"/>
  <c r="Z247" i="5" s="1"/>
  <c r="AL210" i="5"/>
  <c r="AO210" i="5"/>
  <c r="AM210" i="5"/>
  <c r="AL148" i="5"/>
  <c r="AM148" i="5"/>
  <c r="AO148" i="5"/>
  <c r="AL157" i="5"/>
  <c r="AM157" i="5"/>
  <c r="AO157" i="5"/>
  <c r="AL246" i="5"/>
  <c r="AO246" i="5"/>
  <c r="AM246" i="5"/>
  <c r="AN246" i="5" s="1"/>
  <c r="Z246" i="5" s="1"/>
  <c r="AL173" i="5"/>
  <c r="AM173" i="5"/>
  <c r="AN173" i="5" s="1"/>
  <c r="Z173" i="5" s="1"/>
  <c r="AO173" i="5"/>
  <c r="AL219" i="5"/>
  <c r="AO219" i="5"/>
  <c r="AM219" i="5"/>
  <c r="AN219" i="5" s="1"/>
  <c r="Z219" i="5" s="1"/>
  <c r="AL165" i="5"/>
  <c r="AO165" i="5"/>
  <c r="AM165" i="5"/>
  <c r="AL251" i="5"/>
  <c r="AO251" i="5"/>
  <c r="AM251" i="5"/>
  <c r="AN251" i="5" s="1"/>
  <c r="Z251" i="5" s="1"/>
  <c r="AL169" i="5"/>
  <c r="AM169" i="5"/>
  <c r="AN169" i="5" s="1"/>
  <c r="Z169" i="5" s="1"/>
  <c r="AO169" i="5"/>
  <c r="AL218" i="5"/>
  <c r="AM218" i="5"/>
  <c r="AN218" i="5" s="1"/>
  <c r="Z218" i="5" s="1"/>
  <c r="AO218" i="5"/>
  <c r="AL205" i="5"/>
  <c r="AO205" i="5"/>
  <c r="AM205" i="5"/>
  <c r="AL198" i="5"/>
  <c r="AO198" i="5"/>
  <c r="AM198" i="5"/>
  <c r="AN198" i="5" s="1"/>
  <c r="Z198" i="5" s="1"/>
  <c r="AL225" i="5"/>
  <c r="AM225" i="5"/>
  <c r="AN225" i="5" s="1"/>
  <c r="Z225" i="5" s="1"/>
  <c r="AO225" i="5"/>
  <c r="AL212" i="5"/>
  <c r="AO212" i="5"/>
  <c r="AM212" i="5"/>
  <c r="AO189" i="5"/>
  <c r="AM189" i="5"/>
  <c r="AN189" i="5" s="1"/>
  <c r="AL189" i="5"/>
  <c r="AL179" i="5"/>
  <c r="AO179" i="5"/>
  <c r="AM179" i="5"/>
  <c r="AN179" i="5" s="1"/>
  <c r="Z179" i="5" s="1"/>
  <c r="AL253" i="5"/>
  <c r="AM253" i="5"/>
  <c r="AN253" i="5" s="1"/>
  <c r="Z253" i="5" s="1"/>
  <c r="AO253" i="5"/>
  <c r="AL235" i="5"/>
  <c r="AO235" i="5"/>
  <c r="AM235" i="5"/>
  <c r="AN235" i="5" s="1"/>
  <c r="Z235" i="5" s="1"/>
  <c r="AL271" i="5"/>
  <c r="AO271" i="5"/>
  <c r="AM271" i="5"/>
  <c r="AL227" i="5"/>
  <c r="AM227" i="5"/>
  <c r="AN227" i="5" s="1"/>
  <c r="Z227" i="5" s="1"/>
  <c r="AO227" i="5"/>
  <c r="AL159" i="5"/>
  <c r="AM159" i="5"/>
  <c r="AO159" i="5"/>
  <c r="AM155" i="5"/>
  <c r="AL155" i="5"/>
  <c r="AO155" i="5"/>
  <c r="AO166" i="5"/>
  <c r="AL166" i="5"/>
  <c r="AM166" i="5"/>
  <c r="AL162" i="5"/>
  <c r="AO162" i="5"/>
  <c r="AM162" i="5"/>
  <c r="AL265" i="5"/>
  <c r="AM265" i="5"/>
  <c r="AO265" i="5"/>
  <c r="AL233" i="5"/>
  <c r="AO233" i="5"/>
  <c r="AM233" i="5"/>
  <c r="AN233" i="5" s="1"/>
  <c r="Z233" i="5" s="1"/>
  <c r="AL171" i="5"/>
  <c r="AM171" i="5"/>
  <c r="AN171" i="5" s="1"/>
  <c r="Z171" i="5" s="1"/>
  <c r="AO171" i="5"/>
  <c r="AL194" i="5"/>
  <c r="AO194" i="5"/>
  <c r="AM194" i="5"/>
  <c r="AN194" i="5" s="1"/>
  <c r="Z194" i="5" s="1"/>
  <c r="AM135" i="6"/>
  <c r="AL135" i="6"/>
  <c r="AO135" i="6"/>
  <c r="AM30" i="6"/>
  <c r="AO30" i="6"/>
  <c r="AL30" i="6"/>
  <c r="AO138" i="6"/>
  <c r="AL138" i="6"/>
  <c r="AM138" i="6"/>
  <c r="AO97" i="6"/>
  <c r="AL97" i="6"/>
  <c r="AM97" i="6"/>
  <c r="AL57" i="6"/>
  <c r="AO57" i="6"/>
  <c r="AM57" i="6"/>
  <c r="AM25" i="6"/>
  <c r="AL25" i="6"/>
  <c r="AO25" i="6"/>
  <c r="AO81" i="6"/>
  <c r="AL81" i="6"/>
  <c r="AM81" i="6"/>
  <c r="AM106" i="6"/>
  <c r="AO106" i="6"/>
  <c r="AL106" i="6"/>
  <c r="AO17" i="6"/>
  <c r="AM17" i="6"/>
  <c r="AL17" i="6"/>
  <c r="AL88" i="6"/>
  <c r="AM88" i="6"/>
  <c r="AN88" i="6" s="1"/>
  <c r="Z88" i="6" s="1"/>
  <c r="AO88" i="6"/>
  <c r="AL34" i="6"/>
  <c r="AO34" i="6"/>
  <c r="AM34" i="6"/>
  <c r="AL78" i="6"/>
  <c r="AO78" i="6"/>
  <c r="AM78" i="6"/>
  <c r="AL119" i="6"/>
  <c r="AO119" i="6"/>
  <c r="AM119" i="6"/>
  <c r="AN119" i="6" s="1"/>
  <c r="Z119" i="6" s="1"/>
  <c r="AO117" i="6"/>
  <c r="AM117" i="6"/>
  <c r="AN117" i="6" s="1"/>
  <c r="Z117" i="6" s="1"/>
  <c r="AL117" i="6"/>
  <c r="AO20" i="6"/>
  <c r="AL20" i="6"/>
  <c r="AM20" i="6"/>
  <c r="AL62" i="6"/>
  <c r="AM62" i="6"/>
  <c r="AO62" i="6"/>
  <c r="AO71" i="6"/>
  <c r="AL71" i="6"/>
  <c r="AM71" i="6"/>
  <c r="AL125" i="6"/>
  <c r="AO125" i="6"/>
  <c r="AM125" i="6"/>
  <c r="AL93" i="6"/>
  <c r="AO93" i="6"/>
  <c r="AM93" i="6"/>
  <c r="AN93" i="6" s="1"/>
  <c r="Z93" i="6" s="1"/>
  <c r="AO69" i="6"/>
  <c r="AL69" i="6"/>
  <c r="AM69" i="6"/>
  <c r="AO127" i="6"/>
  <c r="AL127" i="6"/>
  <c r="AM127" i="6"/>
  <c r="AO74" i="6"/>
  <c r="AM74" i="6"/>
  <c r="AL74" i="6"/>
  <c r="AL27" i="6"/>
  <c r="AO27" i="6"/>
  <c r="AM27" i="6"/>
  <c r="AM142" i="6"/>
  <c r="AO142" i="6"/>
  <c r="AL142" i="6"/>
  <c r="AL90" i="6"/>
  <c r="AM90" i="6"/>
  <c r="AN90" i="6" s="1"/>
  <c r="Z90" i="6" s="1"/>
  <c r="AO90" i="6"/>
  <c r="AM35" i="6"/>
  <c r="AO35" i="6"/>
  <c r="AL35" i="6"/>
  <c r="AM68" i="6"/>
  <c r="AO68" i="6"/>
  <c r="AL68" i="6"/>
  <c r="AL129" i="6"/>
  <c r="AO129" i="6"/>
  <c r="AM129" i="6"/>
  <c r="AM39" i="6"/>
  <c r="AL39" i="6"/>
  <c r="AO39" i="6"/>
  <c r="AO114" i="6"/>
  <c r="AM114" i="6"/>
  <c r="AN114" i="6" s="1"/>
  <c r="Z114" i="6" s="1"/>
  <c r="AL114" i="6"/>
  <c r="AL206" i="5"/>
  <c r="AO206" i="5"/>
  <c r="AM206" i="5"/>
  <c r="AL238" i="5"/>
  <c r="AM238" i="5"/>
  <c r="AN238" i="5" s="1"/>
  <c r="Z238" i="5" s="1"/>
  <c r="AO238" i="5"/>
  <c r="AL234" i="5"/>
  <c r="AO234" i="5"/>
  <c r="AM234" i="5"/>
  <c r="AN234" i="5" s="1"/>
  <c r="Z234" i="5" s="1"/>
  <c r="AL274" i="5"/>
  <c r="AM274" i="5"/>
  <c r="AO274" i="5"/>
  <c r="AL161" i="5"/>
  <c r="AO161" i="5"/>
  <c r="AM161" i="5"/>
  <c r="AL257" i="5"/>
  <c r="AO257" i="5"/>
  <c r="AM257" i="5"/>
  <c r="AN257" i="5" s="1"/>
  <c r="Z257" i="5" s="1"/>
  <c r="AL200" i="5"/>
  <c r="AO200" i="5"/>
  <c r="AM200" i="5"/>
  <c r="AN200" i="5" s="1"/>
  <c r="Z200" i="5" s="1"/>
  <c r="AL167" i="5"/>
  <c r="AO167" i="5"/>
  <c r="AM167" i="5"/>
  <c r="AL263" i="5"/>
  <c r="AM263" i="5"/>
  <c r="AN263" i="5" s="1"/>
  <c r="Z263" i="5" s="1"/>
  <c r="AO263" i="5"/>
  <c r="AL226" i="5"/>
  <c r="AM226" i="5"/>
  <c r="AN226" i="5" s="1"/>
  <c r="Z226" i="5" s="1"/>
  <c r="AO226" i="5"/>
  <c r="AL260" i="5"/>
  <c r="AM260" i="5"/>
  <c r="AN260" i="5" s="1"/>
  <c r="Z260" i="5" s="1"/>
  <c r="AO260" i="5"/>
  <c r="AL195" i="5"/>
  <c r="AM195" i="5"/>
  <c r="AN195" i="5" s="1"/>
  <c r="Z195" i="5" s="1"/>
  <c r="AO195" i="5"/>
  <c r="AL175" i="5"/>
  <c r="AM175" i="5"/>
  <c r="AN175" i="5" s="1"/>
  <c r="Z175" i="5" s="1"/>
  <c r="AO175" i="5"/>
  <c r="AL255" i="5"/>
  <c r="AO255" i="5"/>
  <c r="AM255" i="5"/>
  <c r="AN255" i="5" s="1"/>
  <c r="Z255" i="5" s="1"/>
  <c r="AL203" i="5"/>
  <c r="AM203" i="5"/>
  <c r="AN203" i="5" s="1"/>
  <c r="Z203" i="5" s="1"/>
  <c r="AO203" i="5"/>
  <c r="AL223" i="5"/>
  <c r="AO223" i="5"/>
  <c r="AM223" i="5"/>
  <c r="AN223" i="5" s="1"/>
  <c r="Z223" i="5" s="1"/>
  <c r="AL160" i="5"/>
  <c r="AO160" i="5"/>
  <c r="AM160" i="5"/>
  <c r="AL181" i="5"/>
  <c r="AO181" i="5"/>
  <c r="AM181" i="5"/>
  <c r="AN181" i="5" s="1"/>
  <c r="AL272" i="5"/>
  <c r="AO272" i="5"/>
  <c r="AM272" i="5"/>
  <c r="AL149" i="5"/>
  <c r="AM149" i="5"/>
  <c r="AO149" i="5"/>
  <c r="AL248" i="5"/>
  <c r="AM248" i="5"/>
  <c r="AN248" i="5" s="1"/>
  <c r="Z248" i="5" s="1"/>
  <c r="AO248" i="5"/>
  <c r="AM191" i="5"/>
  <c r="AN191" i="5" s="1"/>
  <c r="AO191" i="5"/>
  <c r="AL191" i="5"/>
  <c r="AL214" i="5"/>
  <c r="AM214" i="5"/>
  <c r="AO214" i="5"/>
  <c r="AL174" i="5"/>
  <c r="AO174" i="5"/>
  <c r="AM174" i="5"/>
  <c r="AN174" i="5" s="1"/>
  <c r="Z174" i="5" s="1"/>
  <c r="AL178" i="5"/>
  <c r="AO178" i="5"/>
  <c r="AM178" i="5"/>
  <c r="AN178" i="5" s="1"/>
  <c r="Z178" i="5" s="1"/>
  <c r="AM261" i="5"/>
  <c r="AN261" i="5" s="1"/>
  <c r="Z261" i="5" s="1"/>
  <c r="AL261" i="5"/>
  <c r="AO261" i="5"/>
  <c r="AL244" i="5"/>
  <c r="AM244" i="5"/>
  <c r="AN244" i="5" s="1"/>
  <c r="Z244" i="5" s="1"/>
  <c r="AO244" i="5"/>
  <c r="AL164" i="5"/>
  <c r="AO164" i="5"/>
  <c r="AM164" i="5"/>
  <c r="AL209" i="5"/>
  <c r="AO209" i="5"/>
  <c r="AM209" i="5"/>
  <c r="AL269" i="5"/>
  <c r="AM269" i="5"/>
  <c r="AO269" i="5"/>
  <c r="AL215" i="5"/>
  <c r="AO215" i="5"/>
  <c r="AM215" i="5"/>
  <c r="AM66" i="6"/>
  <c r="AO66" i="6"/>
  <c r="AL66" i="6"/>
  <c r="AO37" i="6"/>
  <c r="AL37" i="6"/>
  <c r="AM37" i="6"/>
  <c r="AO55" i="6"/>
  <c r="AL55" i="6"/>
  <c r="AM55" i="6"/>
  <c r="AM46" i="6"/>
  <c r="AO46" i="6"/>
  <c r="AL46" i="6"/>
  <c r="AO31" i="6"/>
  <c r="AM31" i="6"/>
  <c r="AL31" i="6"/>
  <c r="AM83" i="6"/>
  <c r="AO83" i="6"/>
  <c r="AL83" i="6"/>
  <c r="AM95" i="6"/>
  <c r="AN95" i="6" s="1"/>
  <c r="Z95" i="6" s="1"/>
  <c r="AO95" i="6"/>
  <c r="AL95" i="6"/>
  <c r="AO85" i="6"/>
  <c r="AL85" i="6"/>
  <c r="AM85" i="6"/>
  <c r="AN85" i="6" s="1"/>
  <c r="Z85" i="6" s="1"/>
  <c r="AM82" i="6"/>
  <c r="AO82" i="6"/>
  <c r="AL82" i="6"/>
  <c r="AM44" i="6"/>
  <c r="AL44" i="6"/>
  <c r="AO44" i="6"/>
  <c r="AO43" i="6"/>
  <c r="AL43" i="6"/>
  <c r="AM43" i="6"/>
  <c r="AO137" i="6"/>
  <c r="AL137" i="6"/>
  <c r="AM137" i="6"/>
  <c r="AM139" i="6"/>
  <c r="AL139" i="6"/>
  <c r="AO139" i="6"/>
  <c r="AO100" i="6"/>
  <c r="AM100" i="6"/>
  <c r="AL100" i="6"/>
  <c r="AM140" i="6"/>
  <c r="AL140" i="6"/>
  <c r="AO140" i="6"/>
  <c r="AO94" i="6"/>
  <c r="AM94" i="6"/>
  <c r="AN94" i="6" s="1"/>
  <c r="Z94" i="6" s="1"/>
  <c r="AL94" i="6"/>
  <c r="AO111" i="6"/>
  <c r="AM111" i="6"/>
  <c r="AN111" i="6" s="1"/>
  <c r="Z111" i="6" s="1"/>
  <c r="AL111" i="6"/>
  <c r="AL40" i="6"/>
  <c r="AO40" i="6"/>
  <c r="AM40" i="6"/>
  <c r="AM112" i="6"/>
  <c r="AN112" i="6" s="1"/>
  <c r="Z112" i="6" s="1"/>
  <c r="AL112" i="6"/>
  <c r="AO112" i="6"/>
  <c r="AL41" i="6"/>
  <c r="AM41" i="6"/>
  <c r="AO41" i="6"/>
  <c r="AO91" i="6"/>
  <c r="AL91" i="6"/>
  <c r="AM91" i="6"/>
  <c r="AN91" i="6" s="1"/>
  <c r="Z91" i="6" s="1"/>
  <c r="AL65" i="6"/>
  <c r="AO65" i="6"/>
  <c r="AM65" i="6"/>
  <c r="AL105" i="6"/>
  <c r="AO105" i="6"/>
  <c r="AM105" i="6"/>
  <c r="AM23" i="6"/>
  <c r="AO23" i="6"/>
  <c r="AL23" i="6"/>
  <c r="AO110" i="6"/>
  <c r="AL110" i="6"/>
  <c r="AM110" i="6"/>
  <c r="AN110" i="6" s="1"/>
  <c r="Z110" i="6" s="1"/>
  <c r="AL116" i="6"/>
  <c r="AO116" i="6"/>
  <c r="AM116" i="6"/>
  <c r="AN116" i="6" s="1"/>
  <c r="Z116" i="6" s="1"/>
  <c r="AO63" i="6"/>
  <c r="AL63" i="6"/>
  <c r="AM63" i="6"/>
  <c r="AL14" i="6"/>
  <c r="AM14" i="6"/>
  <c r="AO14" i="6"/>
  <c r="AM29" i="6"/>
  <c r="AO29" i="6"/>
  <c r="AL29" i="6"/>
  <c r="AO32" i="6"/>
  <c r="AL32" i="6"/>
  <c r="AM32" i="6"/>
  <c r="AM87" i="6"/>
  <c r="AN87" i="6" s="1"/>
  <c r="Z87" i="6" s="1"/>
  <c r="AO87" i="6"/>
  <c r="AL87" i="6"/>
  <c r="AL217" i="5"/>
  <c r="AO217" i="5"/>
  <c r="AM217" i="5"/>
  <c r="AN217" i="5" s="1"/>
  <c r="Z217" i="5" s="1"/>
  <c r="AL224" i="5"/>
  <c r="AM224" i="5"/>
  <c r="AN224" i="5" s="1"/>
  <c r="Z224" i="5" s="1"/>
  <c r="AO224" i="5"/>
  <c r="AL208" i="5"/>
  <c r="AO208" i="5"/>
  <c r="AM208" i="5"/>
  <c r="AL275" i="5"/>
  <c r="AO275" i="5"/>
  <c r="AM275" i="5"/>
  <c r="AL245" i="5"/>
  <c r="AM245" i="5"/>
  <c r="AN245" i="5" s="1"/>
  <c r="Z245" i="5" s="1"/>
  <c r="AO245" i="5"/>
  <c r="AL152" i="5"/>
  <c r="AM152" i="5"/>
  <c r="AO152" i="5"/>
  <c r="AL188" i="5"/>
  <c r="AO188" i="5"/>
  <c r="AM188" i="5"/>
  <c r="AN188" i="5" s="1"/>
  <c r="AM258" i="5"/>
  <c r="AN258" i="5" s="1"/>
  <c r="Z258" i="5" s="1"/>
  <c r="AL258" i="5"/>
  <c r="AO258" i="5"/>
  <c r="AL232" i="5"/>
  <c r="AM232" i="5"/>
  <c r="AN232" i="5" s="1"/>
  <c r="Z232" i="5" s="1"/>
  <c r="AO232" i="5"/>
  <c r="AL158" i="5"/>
  <c r="AO158" i="5"/>
  <c r="AM158" i="5"/>
  <c r="AL249" i="5"/>
  <c r="AM249" i="5"/>
  <c r="AN249" i="5" s="1"/>
  <c r="Z249" i="5" s="1"/>
  <c r="AO249" i="5"/>
  <c r="AL163" i="5"/>
  <c r="AM163" i="5"/>
  <c r="AO163" i="5"/>
  <c r="AL147" i="5"/>
  <c r="AM147" i="5"/>
  <c r="AO147" i="5"/>
  <c r="AL241" i="5"/>
  <c r="AO241" i="5"/>
  <c r="AM241" i="5"/>
  <c r="AN241" i="5" s="1"/>
  <c r="Z241" i="5" s="1"/>
  <c r="AL146" i="5"/>
  <c r="AM146" i="5"/>
  <c r="AO146" i="5"/>
  <c r="AL231" i="5"/>
  <c r="AM231" i="5"/>
  <c r="AN231" i="5" s="1"/>
  <c r="Z231" i="5" s="1"/>
  <c r="AO231" i="5"/>
  <c r="AM185" i="5"/>
  <c r="AN185" i="5" s="1"/>
  <c r="AL185" i="5"/>
  <c r="AO185" i="5"/>
  <c r="AL207" i="5"/>
  <c r="AO207" i="5"/>
  <c r="AM207" i="5"/>
  <c r="AM266" i="5"/>
  <c r="AL266" i="5"/>
  <c r="AO266" i="5"/>
  <c r="AL187" i="5"/>
  <c r="AO187" i="5"/>
  <c r="AM187" i="5"/>
  <c r="AN187" i="5" s="1"/>
  <c r="AL254" i="5"/>
  <c r="AO254" i="5"/>
  <c r="AM254" i="5"/>
  <c r="AN254" i="5" s="1"/>
  <c r="Z254" i="5" s="1"/>
  <c r="AL213" i="5"/>
  <c r="AM213" i="5"/>
  <c r="AO213" i="5"/>
  <c r="AL243" i="5"/>
  <c r="AM243" i="5"/>
  <c r="AN243" i="5" s="1"/>
  <c r="Z243" i="5" s="1"/>
  <c r="AO243" i="5"/>
  <c r="AL154" i="5"/>
  <c r="AO154" i="5"/>
  <c r="AM154" i="5"/>
  <c r="AL199" i="5"/>
  <c r="AO199" i="5"/>
  <c r="AM199" i="5"/>
  <c r="AN199" i="5" s="1"/>
  <c r="Z199" i="5" s="1"/>
  <c r="AM150" i="5"/>
  <c r="AL150" i="5"/>
  <c r="AO150" i="5"/>
  <c r="AL201" i="5"/>
  <c r="AO201" i="5"/>
  <c r="AM201" i="5"/>
  <c r="AN201" i="5" s="1"/>
  <c r="Z201" i="5" s="1"/>
  <c r="AL145" i="5"/>
  <c r="AM145" i="5"/>
  <c r="AO145" i="5"/>
  <c r="AO262" i="5"/>
  <c r="AL262" i="5"/>
  <c r="AM262" i="5"/>
  <c r="AN262" i="5" s="1"/>
  <c r="Z262" i="5" s="1"/>
  <c r="AL186" i="5"/>
  <c r="AM186" i="5"/>
  <c r="AN186" i="5" s="1"/>
  <c r="AO186" i="5"/>
  <c r="AO193" i="5"/>
  <c r="AL193" i="5"/>
  <c r="AM193" i="5"/>
  <c r="AN193" i="5" s="1"/>
  <c r="Z193" i="5" s="1"/>
  <c r="CG13" i="2"/>
  <c r="AL213" i="6"/>
  <c r="AM213" i="6"/>
  <c r="AO213" i="6"/>
  <c r="AL245" i="6"/>
  <c r="AO245" i="6"/>
  <c r="AM245" i="6"/>
  <c r="AN245" i="6" s="1"/>
  <c r="Z245" i="6" s="1"/>
  <c r="AL187" i="6"/>
  <c r="AO187" i="6"/>
  <c r="AM187" i="6"/>
  <c r="AN187" i="6" s="1"/>
  <c r="Z187" i="6" s="1"/>
  <c r="AL206" i="6"/>
  <c r="AM206" i="6"/>
  <c r="AO206" i="6"/>
  <c r="AL212" i="6"/>
  <c r="AO212" i="6"/>
  <c r="AM212" i="6"/>
  <c r="AL238" i="6"/>
  <c r="AO238" i="6"/>
  <c r="AM238" i="6"/>
  <c r="AN238" i="6" s="1"/>
  <c r="Z238" i="6" s="1"/>
  <c r="AL148" i="6"/>
  <c r="AM148" i="6"/>
  <c r="AO148" i="6"/>
  <c r="AL160" i="6"/>
  <c r="AM160" i="6"/>
  <c r="AO160" i="6"/>
  <c r="AL231" i="6"/>
  <c r="AO231" i="6"/>
  <c r="AM231" i="6"/>
  <c r="AN231" i="6" s="1"/>
  <c r="Z231" i="6" s="1"/>
  <c r="AL179" i="6"/>
  <c r="AM179" i="6"/>
  <c r="AN179" i="6" s="1"/>
  <c r="AO179" i="6"/>
  <c r="AM409" i="5"/>
  <c r="AL409" i="5"/>
  <c r="AO409" i="5"/>
  <c r="AL472" i="5"/>
  <c r="AO472" i="5"/>
  <c r="AM472" i="5"/>
  <c r="AO393" i="5"/>
  <c r="AL393" i="5"/>
  <c r="AM393" i="5"/>
  <c r="AO433" i="5"/>
  <c r="AL433" i="5"/>
  <c r="AM433" i="5"/>
  <c r="AL497" i="5"/>
  <c r="AO497" i="5"/>
  <c r="AP497" i="5" s="1"/>
  <c r="AM497" i="5"/>
  <c r="AL482" i="5"/>
  <c r="AO482" i="5"/>
  <c r="AM482" i="5"/>
  <c r="AO458" i="5"/>
  <c r="AM458" i="5"/>
  <c r="AL458" i="5"/>
  <c r="AM445" i="5"/>
  <c r="AO445" i="5"/>
  <c r="AL445" i="5"/>
  <c r="AL451" i="5"/>
  <c r="AO451" i="5"/>
  <c r="AM451" i="5"/>
  <c r="AL167" i="6"/>
  <c r="AM167" i="6"/>
  <c r="AO167" i="6"/>
  <c r="AL189" i="6"/>
  <c r="AM189" i="6"/>
  <c r="AN189" i="6" s="1"/>
  <c r="Z189" i="6" s="1"/>
  <c r="AO189" i="6"/>
  <c r="AL250" i="6"/>
  <c r="AM250" i="6"/>
  <c r="AN250" i="6" s="1"/>
  <c r="Z250" i="6" s="1"/>
  <c r="AO250" i="6"/>
  <c r="AL198" i="6"/>
  <c r="AM198" i="6"/>
  <c r="AN198" i="6" s="1"/>
  <c r="Z198" i="6" s="1"/>
  <c r="AO198" i="6"/>
  <c r="AL149" i="6"/>
  <c r="AO149" i="6"/>
  <c r="AM149" i="6"/>
  <c r="AL247" i="6"/>
  <c r="AO247" i="6"/>
  <c r="AM247" i="6"/>
  <c r="AN247" i="6" s="1"/>
  <c r="Z247" i="6" s="1"/>
  <c r="AL175" i="6"/>
  <c r="AO175" i="6"/>
  <c r="AM175" i="6"/>
  <c r="AN175" i="6" s="1"/>
  <c r="AL274" i="6"/>
  <c r="AM274" i="6"/>
  <c r="AO274" i="6"/>
  <c r="AL248" i="6"/>
  <c r="AO248" i="6"/>
  <c r="AM248" i="6"/>
  <c r="AN248" i="6" s="1"/>
  <c r="Z248" i="6" s="1"/>
  <c r="AL226" i="6"/>
  <c r="AM226" i="6"/>
  <c r="AN226" i="6" s="1"/>
  <c r="Z226" i="6" s="1"/>
  <c r="AO226" i="6"/>
  <c r="AL176" i="6"/>
  <c r="AO176" i="6"/>
  <c r="AM176" i="6"/>
  <c r="AN176" i="6" s="1"/>
  <c r="AL165" i="6"/>
  <c r="AO165" i="6"/>
  <c r="AM165" i="6"/>
  <c r="AL154" i="6"/>
  <c r="AM154" i="6"/>
  <c r="AO154" i="6"/>
  <c r="AL254" i="6"/>
  <c r="AM254" i="6"/>
  <c r="AN254" i="6" s="1"/>
  <c r="Z254" i="6" s="1"/>
  <c r="AO254" i="6"/>
  <c r="AL257" i="6"/>
  <c r="AM257" i="6"/>
  <c r="AN257" i="6" s="1"/>
  <c r="Z257" i="6" s="1"/>
  <c r="AO257" i="6"/>
  <c r="AL269" i="6"/>
  <c r="AO269" i="6"/>
  <c r="AM269" i="6"/>
  <c r="AL200" i="6"/>
  <c r="AM200" i="6"/>
  <c r="AN200" i="6" s="1"/>
  <c r="Z200" i="6" s="1"/>
  <c r="AO200" i="6"/>
  <c r="AL239" i="6"/>
  <c r="AM239" i="6"/>
  <c r="AN239" i="6" s="1"/>
  <c r="Z239" i="6" s="1"/>
  <c r="AO239" i="6"/>
  <c r="AL183" i="6"/>
  <c r="AO183" i="6"/>
  <c r="AM183" i="6"/>
  <c r="AN183" i="6" s="1"/>
  <c r="Z183" i="6" s="1"/>
  <c r="AL217" i="6"/>
  <c r="AO217" i="6"/>
  <c r="AM217" i="6"/>
  <c r="AN217" i="6" s="1"/>
  <c r="Z217" i="6" s="1"/>
  <c r="AL256" i="6"/>
  <c r="AM256" i="6"/>
  <c r="AN256" i="6" s="1"/>
  <c r="Z256" i="6" s="1"/>
  <c r="AO256" i="6"/>
  <c r="AL191" i="6"/>
  <c r="AO191" i="6"/>
  <c r="AM191" i="6"/>
  <c r="AN191" i="6" s="1"/>
  <c r="Z191" i="6" s="1"/>
  <c r="AL273" i="6"/>
  <c r="AM273" i="6"/>
  <c r="AO273" i="6"/>
  <c r="AL225" i="6"/>
  <c r="AM225" i="6"/>
  <c r="AN225" i="6" s="1"/>
  <c r="Z225" i="6" s="1"/>
  <c r="AO225" i="6"/>
  <c r="AL222" i="6"/>
  <c r="AO222" i="6"/>
  <c r="AM222" i="6"/>
  <c r="AN222" i="6" s="1"/>
  <c r="Z222" i="6" s="1"/>
  <c r="AL162" i="6"/>
  <c r="AM162" i="6"/>
  <c r="AO162" i="6"/>
  <c r="AL270" i="6"/>
  <c r="AM270" i="6"/>
  <c r="AO270" i="6"/>
  <c r="AL255" i="6"/>
  <c r="AM255" i="6"/>
  <c r="AN255" i="6" s="1"/>
  <c r="Z255" i="6" s="1"/>
  <c r="AO255" i="6"/>
  <c r="AL234" i="6"/>
  <c r="AO234" i="6"/>
  <c r="AM234" i="6"/>
  <c r="AN234" i="6" s="1"/>
  <c r="Z234" i="6" s="1"/>
  <c r="AL197" i="6"/>
  <c r="AO197" i="6"/>
  <c r="AM197" i="6"/>
  <c r="AN197" i="6" s="1"/>
  <c r="Z197" i="6" s="1"/>
  <c r="AL261" i="6"/>
  <c r="AO261" i="6"/>
  <c r="AM261" i="6"/>
  <c r="AN261" i="6" s="1"/>
  <c r="Z261" i="6" s="1"/>
  <c r="AM502" i="5"/>
  <c r="AL502" i="5"/>
  <c r="AO502" i="5"/>
  <c r="AP502" i="5" s="1"/>
  <c r="AM415" i="5"/>
  <c r="AL415" i="5"/>
  <c r="AO415" i="5"/>
  <c r="AO459" i="5"/>
  <c r="AM459" i="5"/>
  <c r="AL459" i="5"/>
  <c r="AM462" i="5"/>
  <c r="AO462" i="5"/>
  <c r="AL462" i="5"/>
  <c r="AO413" i="5"/>
  <c r="AL413" i="5"/>
  <c r="AM413" i="5"/>
  <c r="AO388" i="5"/>
  <c r="AL388" i="5"/>
  <c r="AM388" i="5"/>
  <c r="AM417" i="5"/>
  <c r="AO417" i="5"/>
  <c r="AL417" i="5"/>
  <c r="AO455" i="5"/>
  <c r="AL455" i="5"/>
  <c r="AM455" i="5"/>
  <c r="AO488" i="5"/>
  <c r="AL488" i="5"/>
  <c r="AM488" i="5"/>
  <c r="AO403" i="5"/>
  <c r="AM403" i="5"/>
  <c r="AL403" i="5"/>
  <c r="AO443" i="5"/>
  <c r="AL443" i="5"/>
  <c r="AM443" i="5"/>
  <c r="AL447" i="5"/>
  <c r="AO447" i="5"/>
  <c r="AM447" i="5"/>
  <c r="AM484" i="5"/>
  <c r="AO484" i="5"/>
  <c r="AL484" i="5"/>
  <c r="AL461" i="5"/>
  <c r="AO461" i="5"/>
  <c r="AM461" i="5"/>
  <c r="AO391" i="5"/>
  <c r="AL391" i="5"/>
  <c r="AM391" i="5"/>
  <c r="AM450" i="5"/>
  <c r="AO450" i="5"/>
  <c r="AL450" i="5"/>
  <c r="AL478" i="5"/>
  <c r="AO478" i="5"/>
  <c r="AM478" i="5"/>
  <c r="AL460" i="5"/>
  <c r="AM460" i="5"/>
  <c r="AO460" i="5"/>
  <c r="AO438" i="5"/>
  <c r="AL438" i="5"/>
  <c r="AM438" i="5"/>
  <c r="AO468" i="5"/>
  <c r="AL468" i="5"/>
  <c r="AM468" i="5"/>
  <c r="AM424" i="5"/>
  <c r="AL424" i="5"/>
  <c r="AO424" i="5"/>
  <c r="AL423" i="5"/>
  <c r="AO423" i="5"/>
  <c r="AM423" i="5"/>
  <c r="AL453" i="5"/>
  <c r="AO453" i="5"/>
  <c r="AM453" i="5"/>
  <c r="AL477" i="5"/>
  <c r="AO477" i="5"/>
  <c r="AM477" i="5"/>
  <c r="AL492" i="5"/>
  <c r="AM492" i="5"/>
  <c r="AO492" i="5"/>
  <c r="AL444" i="5"/>
  <c r="AM444" i="5"/>
  <c r="AO444" i="5"/>
  <c r="AL202" i="6"/>
  <c r="AO202" i="6"/>
  <c r="AM202" i="6"/>
  <c r="AN202" i="6" s="1"/>
  <c r="Z202" i="6" s="1"/>
  <c r="AL164" i="6"/>
  <c r="AM164" i="6"/>
  <c r="AO164" i="6"/>
  <c r="AL185" i="6"/>
  <c r="AM185" i="6"/>
  <c r="AN185" i="6" s="1"/>
  <c r="Z185" i="6" s="1"/>
  <c r="AO185" i="6"/>
  <c r="AL229" i="6"/>
  <c r="AM229" i="6"/>
  <c r="AN229" i="6" s="1"/>
  <c r="Z229" i="6" s="1"/>
  <c r="AO229" i="6"/>
  <c r="AL244" i="6"/>
  <c r="AM244" i="6"/>
  <c r="AN244" i="6" s="1"/>
  <c r="Z244" i="6" s="1"/>
  <c r="AO244" i="6"/>
  <c r="AL153" i="6"/>
  <c r="AM153" i="6"/>
  <c r="AO153" i="6"/>
  <c r="AL219" i="6"/>
  <c r="AO219" i="6"/>
  <c r="AM219" i="6"/>
  <c r="AN219" i="6" s="1"/>
  <c r="Z219" i="6" s="1"/>
  <c r="AL230" i="6"/>
  <c r="AM230" i="6"/>
  <c r="AN230" i="6" s="1"/>
  <c r="Z230" i="6" s="1"/>
  <c r="AO230" i="6"/>
  <c r="AL271" i="6"/>
  <c r="AO271" i="6"/>
  <c r="AM271" i="6"/>
  <c r="AL259" i="6"/>
  <c r="AM259" i="6"/>
  <c r="AN259" i="6" s="1"/>
  <c r="Z259" i="6" s="1"/>
  <c r="AO259" i="6"/>
  <c r="AL448" i="5"/>
  <c r="AO448" i="5"/>
  <c r="AM448" i="5"/>
  <c r="AO487" i="5"/>
  <c r="AL487" i="5"/>
  <c r="AM487" i="5"/>
  <c r="AL399" i="5"/>
  <c r="AM399" i="5"/>
  <c r="AO399" i="5"/>
  <c r="AM498" i="5"/>
  <c r="AO498" i="5"/>
  <c r="AP498" i="5" s="1"/>
  <c r="AL498" i="5"/>
  <c r="AM425" i="5"/>
  <c r="AL425" i="5"/>
  <c r="AO425" i="5"/>
  <c r="AL470" i="5"/>
  <c r="AM470" i="5"/>
  <c r="AO470" i="5"/>
  <c r="AO463" i="5"/>
  <c r="AL463" i="5"/>
  <c r="AM463" i="5"/>
  <c r="AM432" i="5"/>
  <c r="AO432" i="5"/>
  <c r="AL432" i="5"/>
  <c r="AL389" i="5"/>
  <c r="AM389" i="5"/>
  <c r="AO389" i="5"/>
  <c r="AL209" i="6"/>
  <c r="AM209" i="6"/>
  <c r="AO209" i="6"/>
  <c r="AL174" i="6"/>
  <c r="AO174" i="6"/>
  <c r="AM174" i="6"/>
  <c r="AN174" i="6" s="1"/>
  <c r="AL263" i="6"/>
  <c r="AM263" i="6"/>
  <c r="AN263" i="6" s="1"/>
  <c r="Z263" i="6" s="1"/>
  <c r="AO263" i="6"/>
  <c r="AL243" i="6"/>
  <c r="AM243" i="6"/>
  <c r="AN243" i="6" s="1"/>
  <c r="Z243" i="6" s="1"/>
  <c r="AO243" i="6"/>
  <c r="AL221" i="6"/>
  <c r="AM221" i="6"/>
  <c r="AN221" i="6" s="1"/>
  <c r="Z221" i="6" s="1"/>
  <c r="AO221" i="6"/>
  <c r="AL196" i="6"/>
  <c r="AM196" i="6"/>
  <c r="AN196" i="6" s="1"/>
  <c r="Z196" i="6" s="1"/>
  <c r="AO196" i="6"/>
  <c r="AL249" i="6"/>
  <c r="AO249" i="6"/>
  <c r="AM249" i="6"/>
  <c r="AN249" i="6" s="1"/>
  <c r="Z249" i="6" s="1"/>
  <c r="AL224" i="6"/>
  <c r="AM224" i="6"/>
  <c r="AN224" i="6" s="1"/>
  <c r="Z224" i="6" s="1"/>
  <c r="AO224" i="6"/>
  <c r="AL227" i="6"/>
  <c r="AO227" i="6"/>
  <c r="AM227" i="6"/>
  <c r="AN227" i="6" s="1"/>
  <c r="Z227" i="6" s="1"/>
  <c r="AL173" i="6"/>
  <c r="AM173" i="6"/>
  <c r="AN173" i="6" s="1"/>
  <c r="AO173" i="6"/>
  <c r="AL151" i="6"/>
  <c r="AM151" i="6"/>
  <c r="AO151" i="6"/>
  <c r="AL210" i="6"/>
  <c r="AO210" i="6"/>
  <c r="AM210" i="6"/>
  <c r="AL236" i="6"/>
  <c r="AM236" i="6"/>
  <c r="AN236" i="6" s="1"/>
  <c r="Z236" i="6" s="1"/>
  <c r="AO236" i="6"/>
  <c r="AL267" i="6"/>
  <c r="AO267" i="6"/>
  <c r="AM267" i="6"/>
  <c r="AL211" i="6"/>
  <c r="AM211" i="6"/>
  <c r="AO211" i="6"/>
  <c r="AL155" i="6"/>
  <c r="AM155" i="6"/>
  <c r="AO155" i="6"/>
  <c r="AL158" i="6"/>
  <c r="AO158" i="6"/>
  <c r="AM158" i="6"/>
  <c r="AL242" i="6"/>
  <c r="AO242" i="6"/>
  <c r="AM242" i="6"/>
  <c r="AN242" i="6" s="1"/>
  <c r="Z242" i="6" s="1"/>
  <c r="AL188" i="6"/>
  <c r="AO188" i="6"/>
  <c r="AM188" i="6"/>
  <c r="AN188" i="6" s="1"/>
  <c r="Z188" i="6" s="1"/>
  <c r="AL145" i="6"/>
  <c r="AM145" i="6"/>
  <c r="AO145" i="6"/>
  <c r="AL266" i="6"/>
  <c r="AM266" i="6"/>
  <c r="AO266" i="6"/>
  <c r="AL237" i="6"/>
  <c r="AM237" i="6"/>
  <c r="AN237" i="6" s="1"/>
  <c r="Z237" i="6" s="1"/>
  <c r="AO237" i="6"/>
  <c r="AL214" i="6"/>
  <c r="AM214" i="6"/>
  <c r="AO214" i="6"/>
  <c r="AL272" i="6"/>
  <c r="AO272" i="6"/>
  <c r="AM272" i="6"/>
  <c r="AL258" i="6"/>
  <c r="AO258" i="6"/>
  <c r="AM258" i="6"/>
  <c r="AN258" i="6" s="1"/>
  <c r="Z258" i="6" s="1"/>
  <c r="AL241" i="6"/>
  <c r="AO241" i="6"/>
  <c r="AM241" i="6"/>
  <c r="AN241" i="6" s="1"/>
  <c r="Z241" i="6" s="1"/>
  <c r="AL215" i="6"/>
  <c r="AM215" i="6"/>
  <c r="AO215" i="6"/>
  <c r="AL195" i="6"/>
  <c r="AO195" i="6"/>
  <c r="AM195" i="6"/>
  <c r="AN195" i="6" s="1"/>
  <c r="Z195" i="6" s="1"/>
  <c r="AL178" i="6"/>
  <c r="AM178" i="6"/>
  <c r="AN178" i="6" s="1"/>
  <c r="AO178" i="6"/>
  <c r="AL163" i="6"/>
  <c r="AO163" i="6"/>
  <c r="AM163" i="6"/>
  <c r="AL152" i="6"/>
  <c r="AM152" i="6"/>
  <c r="AO152" i="6"/>
  <c r="AO474" i="5"/>
  <c r="AL474" i="5"/>
  <c r="AM474" i="5"/>
  <c r="AM489" i="5"/>
  <c r="AO489" i="5"/>
  <c r="AL489" i="5"/>
  <c r="AO464" i="5"/>
  <c r="AM464" i="5"/>
  <c r="AL464" i="5"/>
  <c r="AO402" i="5"/>
  <c r="AL402" i="5"/>
  <c r="AM402" i="5"/>
  <c r="AM437" i="5"/>
  <c r="AO437" i="5"/>
  <c r="AL437" i="5"/>
  <c r="AO422" i="5"/>
  <c r="AM422" i="5"/>
  <c r="AL422" i="5"/>
  <c r="AO412" i="5"/>
  <c r="AM412" i="5"/>
  <c r="AL412" i="5"/>
  <c r="AM398" i="5"/>
  <c r="AO398" i="5"/>
  <c r="AL398" i="5"/>
  <c r="AM400" i="5"/>
  <c r="AL400" i="5"/>
  <c r="AO400" i="5"/>
  <c r="AL414" i="5"/>
  <c r="AO414" i="5"/>
  <c r="AM414" i="5"/>
  <c r="AL493" i="5"/>
  <c r="AO493" i="5"/>
  <c r="AP493" i="5" s="1"/>
  <c r="AM493" i="5"/>
  <c r="AM491" i="5"/>
  <c r="AO491" i="5"/>
  <c r="AL491" i="5"/>
  <c r="AO480" i="5"/>
  <c r="AL480" i="5"/>
  <c r="AM480" i="5"/>
  <c r="AL435" i="5"/>
  <c r="AO435" i="5"/>
  <c r="AM435" i="5"/>
  <c r="AL418" i="5"/>
  <c r="AO418" i="5"/>
  <c r="AM418" i="5"/>
  <c r="AO404" i="5"/>
  <c r="AM404" i="5"/>
  <c r="AL404" i="5"/>
  <c r="AO431" i="5"/>
  <c r="AM431" i="5"/>
  <c r="AL431" i="5"/>
  <c r="AM421" i="5"/>
  <c r="AO421" i="5"/>
  <c r="AL421" i="5"/>
  <c r="AO467" i="5"/>
  <c r="AL467" i="5"/>
  <c r="AM467" i="5"/>
  <c r="AL475" i="5"/>
  <c r="AO475" i="5"/>
  <c r="AM475" i="5"/>
  <c r="AO394" i="5"/>
  <c r="AM394" i="5"/>
  <c r="AL394" i="5"/>
  <c r="AL494" i="5"/>
  <c r="AO494" i="5"/>
  <c r="AP494" i="5" s="1"/>
  <c r="AM494" i="5"/>
  <c r="AM392" i="5"/>
  <c r="AO392" i="5"/>
  <c r="AL392" i="5"/>
  <c r="AL465" i="5"/>
  <c r="AO465" i="5"/>
  <c r="AM465" i="5"/>
  <c r="AM442" i="5"/>
  <c r="AL442" i="5"/>
  <c r="AO442" i="5"/>
  <c r="AO439" i="5"/>
  <c r="AL439" i="5"/>
  <c r="AM439" i="5"/>
  <c r="AL218" i="6"/>
  <c r="AM218" i="6"/>
  <c r="AN218" i="6" s="1"/>
  <c r="Z218" i="6" s="1"/>
  <c r="AO218" i="6"/>
  <c r="AL177" i="6"/>
  <c r="AO177" i="6"/>
  <c r="AM177" i="6"/>
  <c r="AN177" i="6" s="1"/>
  <c r="AL201" i="6"/>
  <c r="AO201" i="6"/>
  <c r="AM201" i="6"/>
  <c r="AN201" i="6" s="1"/>
  <c r="Z201" i="6" s="1"/>
  <c r="AL182" i="6"/>
  <c r="AM182" i="6"/>
  <c r="AN182" i="6" s="1"/>
  <c r="Z182" i="6" s="1"/>
  <c r="AO182" i="6"/>
  <c r="AL194" i="6"/>
  <c r="AO194" i="6"/>
  <c r="AM194" i="6"/>
  <c r="AN194" i="6" s="1"/>
  <c r="Z194" i="6" s="1"/>
  <c r="AL159" i="6"/>
  <c r="AM159" i="6"/>
  <c r="AO159" i="6"/>
  <c r="AL193" i="6"/>
  <c r="AO193" i="6"/>
  <c r="AM193" i="6"/>
  <c r="AN193" i="6" s="1"/>
  <c r="Z193" i="6" s="1"/>
  <c r="AL246" i="6"/>
  <c r="AM246" i="6"/>
  <c r="AN246" i="6" s="1"/>
  <c r="Z246" i="6" s="1"/>
  <c r="AO246" i="6"/>
  <c r="AL233" i="6"/>
  <c r="AO233" i="6"/>
  <c r="AM233" i="6"/>
  <c r="AN233" i="6" s="1"/>
  <c r="Z233" i="6" s="1"/>
  <c r="AL208" i="6"/>
  <c r="AM208" i="6"/>
  <c r="AO208" i="6"/>
  <c r="AM452" i="5"/>
  <c r="AL452" i="5"/>
  <c r="AO452" i="5"/>
  <c r="AM500" i="5"/>
  <c r="AO500" i="5"/>
  <c r="AP500" i="5" s="1"/>
  <c r="AL500" i="5"/>
  <c r="AL490" i="5"/>
  <c r="AM490" i="5"/>
  <c r="AO490" i="5"/>
  <c r="AO408" i="5"/>
  <c r="AL408" i="5"/>
  <c r="AM408" i="5"/>
  <c r="AM485" i="5"/>
  <c r="AO485" i="5"/>
  <c r="AL485" i="5"/>
  <c r="AL387" i="5"/>
  <c r="AM387" i="5"/>
  <c r="AO387" i="5"/>
  <c r="AO395" i="5"/>
  <c r="AM395" i="5"/>
  <c r="AL395" i="5"/>
  <c r="AL440" i="5"/>
  <c r="AM440" i="5"/>
  <c r="AO440" i="5"/>
  <c r="AL223" i="6"/>
  <c r="AM223" i="6"/>
  <c r="AN223" i="6" s="1"/>
  <c r="Z223" i="6" s="1"/>
  <c r="AO223" i="6"/>
  <c r="AL150" i="6"/>
  <c r="AM150" i="6"/>
  <c r="AO150" i="6"/>
  <c r="AL203" i="6"/>
  <c r="AM203" i="6"/>
  <c r="AN203" i="6" s="1"/>
  <c r="Z203" i="6" s="1"/>
  <c r="AO203" i="6"/>
  <c r="AL184" i="6"/>
  <c r="AO184" i="6"/>
  <c r="AM184" i="6"/>
  <c r="AN184" i="6" s="1"/>
  <c r="Z184" i="6" s="1"/>
  <c r="AL172" i="6"/>
  <c r="AO172" i="6"/>
  <c r="AM172" i="6"/>
  <c r="AN172" i="6" s="1"/>
  <c r="AL161" i="6"/>
  <c r="AM161" i="6"/>
  <c r="AO161" i="6"/>
  <c r="AL146" i="6"/>
  <c r="AM146" i="6"/>
  <c r="AO146" i="6"/>
  <c r="AL157" i="6"/>
  <c r="AM157" i="6"/>
  <c r="AO157" i="6"/>
  <c r="AL169" i="6"/>
  <c r="AO169" i="6"/>
  <c r="AM169" i="6"/>
  <c r="AN169" i="6" s="1"/>
  <c r="AL166" i="6"/>
  <c r="AM166" i="6"/>
  <c r="AO166" i="6"/>
  <c r="AL265" i="6"/>
  <c r="AO265" i="6"/>
  <c r="AM265" i="6"/>
  <c r="AL220" i="6"/>
  <c r="AO220" i="6"/>
  <c r="AM220" i="6"/>
  <c r="AN220" i="6" s="1"/>
  <c r="Z220" i="6" s="1"/>
  <c r="AL171" i="6"/>
  <c r="AM171" i="6"/>
  <c r="AN171" i="6" s="1"/>
  <c r="AO171" i="6"/>
  <c r="AL268" i="6"/>
  <c r="AO268" i="6"/>
  <c r="AM268" i="6"/>
  <c r="AL251" i="6"/>
  <c r="AO251" i="6"/>
  <c r="AM251" i="6"/>
  <c r="AN251" i="6" s="1"/>
  <c r="Z251" i="6" s="1"/>
  <c r="AL275" i="6"/>
  <c r="AO275" i="6"/>
  <c r="AM275" i="6"/>
  <c r="AL199" i="6"/>
  <c r="AO199" i="6"/>
  <c r="AM199" i="6"/>
  <c r="AN199" i="6" s="1"/>
  <c r="Z199" i="6" s="1"/>
  <c r="AL190" i="6"/>
  <c r="AM190" i="6"/>
  <c r="AN190" i="6" s="1"/>
  <c r="Z190" i="6" s="1"/>
  <c r="AO190" i="6"/>
  <c r="AL253" i="6"/>
  <c r="AM253" i="6"/>
  <c r="AN253" i="6" s="1"/>
  <c r="Z253" i="6" s="1"/>
  <c r="AO253" i="6"/>
  <c r="AL232" i="6"/>
  <c r="AO232" i="6"/>
  <c r="AM232" i="6"/>
  <c r="AN232" i="6" s="1"/>
  <c r="Z232" i="6" s="1"/>
  <c r="AL207" i="6"/>
  <c r="AO207" i="6"/>
  <c r="AM207" i="6"/>
  <c r="AL181" i="6"/>
  <c r="AM181" i="6"/>
  <c r="AN181" i="6" s="1"/>
  <c r="Z181" i="6" s="1"/>
  <c r="AO181" i="6"/>
  <c r="AL170" i="6"/>
  <c r="AO170" i="6"/>
  <c r="AM170" i="6"/>
  <c r="AN170" i="6" s="1"/>
  <c r="AL260" i="6"/>
  <c r="AO260" i="6"/>
  <c r="AM260" i="6"/>
  <c r="AN260" i="6" s="1"/>
  <c r="Z260" i="6" s="1"/>
  <c r="AL235" i="6"/>
  <c r="AO235" i="6"/>
  <c r="AM235" i="6"/>
  <c r="AN235" i="6" s="1"/>
  <c r="Z235" i="6" s="1"/>
  <c r="AL262" i="6"/>
  <c r="AO262" i="6"/>
  <c r="AM262" i="6"/>
  <c r="AN262" i="6" s="1"/>
  <c r="Z262" i="6" s="1"/>
  <c r="AL186" i="6"/>
  <c r="AM186" i="6"/>
  <c r="AN186" i="6" s="1"/>
  <c r="Z186" i="6" s="1"/>
  <c r="AO186" i="6"/>
  <c r="AL147" i="6"/>
  <c r="AO147" i="6"/>
  <c r="AM147" i="6"/>
  <c r="AL205" i="6"/>
  <c r="AM205" i="6"/>
  <c r="AO205" i="6"/>
  <c r="AO495" i="5"/>
  <c r="AP495" i="5" s="1"/>
  <c r="AM495" i="5"/>
  <c r="AL495" i="5"/>
  <c r="AL457" i="5"/>
  <c r="AM457" i="5"/>
  <c r="AO457" i="5"/>
  <c r="AO434" i="5"/>
  <c r="AL434" i="5"/>
  <c r="AM434" i="5"/>
  <c r="AO411" i="5"/>
  <c r="AL411" i="5"/>
  <c r="AM411" i="5"/>
  <c r="AM410" i="5"/>
  <c r="AL410" i="5"/>
  <c r="AO410" i="5"/>
  <c r="AM473" i="5"/>
  <c r="AO473" i="5"/>
  <c r="AL473" i="5"/>
  <c r="AM501" i="5"/>
  <c r="AL501" i="5"/>
  <c r="AO501" i="5"/>
  <c r="AP501" i="5" s="1"/>
  <c r="AM483" i="5"/>
  <c r="AO483" i="5"/>
  <c r="AL483" i="5"/>
  <c r="AO401" i="5"/>
  <c r="AM401" i="5"/>
  <c r="AL401" i="5"/>
  <c r="AM449" i="5"/>
  <c r="AO449" i="5"/>
  <c r="AL449" i="5"/>
  <c r="AO479" i="5"/>
  <c r="AM479" i="5"/>
  <c r="AL479" i="5"/>
  <c r="AO428" i="5"/>
  <c r="AL428" i="5"/>
  <c r="AM428" i="5"/>
  <c r="AM441" i="5"/>
  <c r="AO441" i="5"/>
  <c r="AL441" i="5"/>
  <c r="AO405" i="5"/>
  <c r="AL405" i="5"/>
  <c r="AM405" i="5"/>
  <c r="AO419" i="5"/>
  <c r="AL419" i="5"/>
  <c r="AM419" i="5"/>
  <c r="AO420" i="5"/>
  <c r="AL420" i="5"/>
  <c r="AM420" i="5"/>
  <c r="AM430" i="5"/>
  <c r="AL430" i="5"/>
  <c r="AO430" i="5"/>
  <c r="AM469" i="5"/>
  <c r="AL469" i="5"/>
  <c r="AO469" i="5"/>
  <c r="AO454" i="5"/>
  <c r="AM454" i="5"/>
  <c r="AL454" i="5"/>
  <c r="AO429" i="5"/>
  <c r="AM429" i="5"/>
  <c r="AL429" i="5"/>
  <c r="AL390" i="5"/>
  <c r="AM390" i="5"/>
  <c r="AO390" i="5"/>
  <c r="AO407" i="5"/>
  <c r="AM407" i="5"/>
  <c r="AL407" i="5"/>
  <c r="AO397" i="5"/>
  <c r="AM397" i="5"/>
  <c r="AL397" i="5"/>
  <c r="AO427" i="5"/>
  <c r="AM427" i="5"/>
  <c r="AL427" i="5"/>
  <c r="AO481" i="5"/>
  <c r="AL481" i="5"/>
  <c r="AM481" i="5"/>
  <c r="AM471" i="5"/>
  <c r="AL471" i="5"/>
  <c r="AO471" i="5"/>
  <c r="E18" i="9"/>
  <c r="F18" i="9"/>
  <c r="G18" i="9"/>
  <c r="C18" i="9"/>
  <c r="B18" i="9"/>
  <c r="AP483" i="5" l="1"/>
  <c r="AB483" i="5" s="1"/>
  <c r="AP408" i="5"/>
  <c r="AB408" i="5" s="1"/>
  <c r="AP465" i="5"/>
  <c r="AB465" i="5" s="1"/>
  <c r="AP467" i="5"/>
  <c r="AB467" i="5" s="1"/>
  <c r="AP389" i="5"/>
  <c r="AB389" i="5" s="1"/>
  <c r="AP463" i="5"/>
  <c r="AB463" i="5" s="1"/>
  <c r="AP477" i="5"/>
  <c r="AB477" i="5" s="1"/>
  <c r="AP450" i="5"/>
  <c r="AB450" i="5" s="1"/>
  <c r="AP443" i="5"/>
  <c r="AB443" i="5" s="1"/>
  <c r="AP458" i="5"/>
  <c r="AB458" i="5" s="1"/>
  <c r="AP266" i="5"/>
  <c r="AB266" i="5" s="1"/>
  <c r="AP44" i="6"/>
  <c r="AB44" i="6" s="1"/>
  <c r="AP35" i="6"/>
  <c r="AB35" i="6" s="1"/>
  <c r="AP127" i="6"/>
  <c r="AB127" i="6" s="1"/>
  <c r="AP125" i="6"/>
  <c r="AB125" i="6" s="1"/>
  <c r="AP30" i="6"/>
  <c r="AB30" i="6" s="1"/>
  <c r="AP153" i="5"/>
  <c r="AB153" i="5" s="1"/>
  <c r="AP13" i="6"/>
  <c r="AB13" i="6" s="1"/>
  <c r="AP26" i="6"/>
  <c r="AB26" i="6" s="1"/>
  <c r="AP31" i="5"/>
  <c r="AB31" i="5" s="1"/>
  <c r="AP26" i="5"/>
  <c r="AB26" i="5" s="1"/>
  <c r="AP427" i="5"/>
  <c r="AB427" i="5" s="1"/>
  <c r="AP469" i="5"/>
  <c r="AB469" i="5" s="1"/>
  <c r="AP441" i="5"/>
  <c r="AB441" i="5" s="1"/>
  <c r="AP437" i="5"/>
  <c r="AB437" i="5" s="1"/>
  <c r="AP470" i="5"/>
  <c r="AB470" i="5" s="1"/>
  <c r="AP448" i="5"/>
  <c r="AB448" i="5" s="1"/>
  <c r="AP444" i="5"/>
  <c r="AB444" i="5" s="1"/>
  <c r="AP468" i="5"/>
  <c r="AB468" i="5" s="1"/>
  <c r="AP460" i="5"/>
  <c r="AB460" i="5" s="1"/>
  <c r="AP478" i="5"/>
  <c r="AB478" i="5" s="1"/>
  <c r="AP484" i="5"/>
  <c r="AB484" i="5" s="1"/>
  <c r="AP455" i="5"/>
  <c r="AB455" i="5" s="1"/>
  <c r="AP415" i="5"/>
  <c r="AB415" i="5" s="1"/>
  <c r="AP451" i="5"/>
  <c r="AB451" i="5" s="1"/>
  <c r="AP433" i="5"/>
  <c r="AB433" i="5" s="1"/>
  <c r="AP145" i="5"/>
  <c r="AB145" i="5" s="1"/>
  <c r="AP40" i="6"/>
  <c r="AB40" i="6" s="1"/>
  <c r="AP140" i="6"/>
  <c r="AB140" i="6" s="1"/>
  <c r="AP83" i="6"/>
  <c r="AB83" i="6" s="1"/>
  <c r="AP31" i="6"/>
  <c r="AB31" i="6" s="1"/>
  <c r="AP269" i="5"/>
  <c r="AB269" i="5" s="1"/>
  <c r="AP27" i="6"/>
  <c r="AB27" i="6" s="1"/>
  <c r="AP74" i="6"/>
  <c r="AB74" i="6" s="1"/>
  <c r="AP34" i="6"/>
  <c r="AB34" i="6" s="1"/>
  <c r="AP265" i="5"/>
  <c r="AB265" i="5" s="1"/>
  <c r="AP79" i="6"/>
  <c r="AB79" i="6" s="1"/>
  <c r="AP123" i="6"/>
  <c r="AB123" i="6" s="1"/>
  <c r="AP124" i="6"/>
  <c r="AB124" i="6" s="1"/>
  <c r="AP143" i="6"/>
  <c r="AB143" i="6" s="1"/>
  <c r="AP270" i="5"/>
  <c r="AB270" i="5" s="1"/>
  <c r="AP273" i="5"/>
  <c r="AB273" i="5" s="1"/>
  <c r="AP133" i="6"/>
  <c r="AB133" i="6" s="1"/>
  <c r="AP45" i="6"/>
  <c r="AB45" i="6" s="1"/>
  <c r="AP76" i="6"/>
  <c r="AB76" i="6" s="1"/>
  <c r="AP80" i="6"/>
  <c r="AB80" i="6" s="1"/>
  <c r="AP121" i="6"/>
  <c r="AB121" i="6" s="1"/>
  <c r="AP73" i="6"/>
  <c r="AB73" i="6" s="1"/>
  <c r="AP28" i="6"/>
  <c r="AB28" i="6" s="1"/>
  <c r="AP18" i="5"/>
  <c r="AB18" i="5" s="1"/>
  <c r="AP15" i="5"/>
  <c r="AB15" i="5" s="1"/>
  <c r="AP19" i="5"/>
  <c r="AB19" i="5" s="1"/>
  <c r="AP133" i="5"/>
  <c r="AB133" i="5" s="1"/>
  <c r="AP29" i="5"/>
  <c r="AB29" i="5" s="1"/>
  <c r="AP34" i="5"/>
  <c r="AB34" i="5" s="1"/>
  <c r="AP23" i="5"/>
  <c r="AB23" i="5" s="1"/>
  <c r="AP140" i="5"/>
  <c r="AB140" i="5" s="1"/>
  <c r="AP397" i="5"/>
  <c r="AB397" i="5" s="1"/>
  <c r="AP430" i="5"/>
  <c r="AB430" i="5" s="1"/>
  <c r="AP479" i="5"/>
  <c r="AB479" i="5" s="1"/>
  <c r="AP410" i="5"/>
  <c r="AB410" i="5" s="1"/>
  <c r="AP485" i="5"/>
  <c r="AB485" i="5" s="1"/>
  <c r="AP442" i="5"/>
  <c r="AB442" i="5" s="1"/>
  <c r="AP398" i="5"/>
  <c r="AB398" i="5" s="1"/>
  <c r="AP424" i="5"/>
  <c r="AB424" i="5" s="1"/>
  <c r="AP391" i="5"/>
  <c r="AB391" i="5" s="1"/>
  <c r="AP445" i="5"/>
  <c r="AB445" i="5" s="1"/>
  <c r="AP409" i="5"/>
  <c r="AB409" i="5" s="1"/>
  <c r="AP29" i="6"/>
  <c r="AB29" i="6" s="1"/>
  <c r="AP137" i="6"/>
  <c r="AB137" i="6" s="1"/>
  <c r="AP82" i="6"/>
  <c r="AB82" i="6" s="1"/>
  <c r="AP17" i="6"/>
  <c r="AB17" i="6" s="1"/>
  <c r="AP22" i="6"/>
  <c r="AB22" i="6" s="1"/>
  <c r="AP42" i="6"/>
  <c r="AB42" i="6" s="1"/>
  <c r="AP98" i="6"/>
  <c r="AB98" i="6" s="1"/>
  <c r="AP33" i="6"/>
  <c r="AB33" i="6" s="1"/>
  <c r="AP429" i="5"/>
  <c r="AB429" i="5" s="1"/>
  <c r="AP411" i="5"/>
  <c r="AB411" i="5" s="1"/>
  <c r="AP490" i="5"/>
  <c r="AB490" i="5" s="1"/>
  <c r="AP404" i="5"/>
  <c r="AB404" i="5" s="1"/>
  <c r="AP431" i="5"/>
  <c r="AB431" i="5" s="1"/>
  <c r="AP480" i="5"/>
  <c r="AB480" i="5" s="1"/>
  <c r="AP489" i="5"/>
  <c r="AB489" i="5" s="1"/>
  <c r="AP474" i="5"/>
  <c r="AB474" i="5" s="1"/>
  <c r="AP399" i="5"/>
  <c r="AB399" i="5" s="1"/>
  <c r="AP423" i="5"/>
  <c r="AB423" i="5" s="1"/>
  <c r="AP461" i="5"/>
  <c r="AB461" i="5" s="1"/>
  <c r="AP488" i="5"/>
  <c r="AB488" i="5" s="1"/>
  <c r="AP413" i="5"/>
  <c r="AB413" i="5" s="1"/>
  <c r="AP482" i="5"/>
  <c r="AB482" i="5" s="1"/>
  <c r="AP472" i="5"/>
  <c r="AB472" i="5" s="1"/>
  <c r="AP154" i="5"/>
  <c r="AB154" i="5" s="1"/>
  <c r="AP147" i="5"/>
  <c r="AB147" i="5" s="1"/>
  <c r="AP275" i="5"/>
  <c r="AB275" i="5" s="1"/>
  <c r="AP32" i="6"/>
  <c r="AB32" i="6" s="1"/>
  <c r="AP14" i="6"/>
  <c r="AB14" i="6" s="1"/>
  <c r="AP105" i="6"/>
  <c r="AB105" i="6" s="1"/>
  <c r="AP41" i="6"/>
  <c r="AB41" i="6" s="1"/>
  <c r="AP100" i="6"/>
  <c r="AB100" i="6" s="1"/>
  <c r="AP37" i="6"/>
  <c r="AB37" i="6" s="1"/>
  <c r="AP39" i="6"/>
  <c r="AB39" i="6" s="1"/>
  <c r="AP129" i="6"/>
  <c r="AB129" i="6" s="1"/>
  <c r="AP142" i="6"/>
  <c r="AB142" i="6" s="1"/>
  <c r="AP20" i="6"/>
  <c r="AB20" i="6" s="1"/>
  <c r="AP78" i="6"/>
  <c r="AB78" i="6" s="1"/>
  <c r="AP106" i="6"/>
  <c r="AB106" i="6" s="1"/>
  <c r="AP81" i="6"/>
  <c r="AB81" i="6" s="1"/>
  <c r="AP138" i="6"/>
  <c r="AB138" i="6" s="1"/>
  <c r="AP135" i="6"/>
  <c r="AB135" i="6" s="1"/>
  <c r="AP155" i="5"/>
  <c r="AB155" i="5" s="1"/>
  <c r="AP148" i="5"/>
  <c r="AB148" i="5" s="1"/>
  <c r="AP47" i="6"/>
  <c r="AB47" i="6" s="1"/>
  <c r="AP131" i="6"/>
  <c r="AB131" i="6" s="1"/>
  <c r="AP15" i="6"/>
  <c r="AB15" i="6" s="1"/>
  <c r="AP136" i="6"/>
  <c r="AB136" i="6" s="1"/>
  <c r="AP141" i="6"/>
  <c r="AB141" i="6" s="1"/>
  <c r="AP107" i="6"/>
  <c r="AB107" i="6" s="1"/>
  <c r="AP19" i="6"/>
  <c r="AB19" i="6" s="1"/>
  <c r="AP103" i="6"/>
  <c r="AB103" i="6" s="1"/>
  <c r="AP38" i="6"/>
  <c r="AB38" i="6" s="1"/>
  <c r="AP134" i="6"/>
  <c r="AB134" i="6" s="1"/>
  <c r="AP126" i="6"/>
  <c r="AB126" i="6" s="1"/>
  <c r="AP18" i="6"/>
  <c r="AB18" i="6" s="1"/>
  <c r="AP142" i="5"/>
  <c r="AB142" i="5" s="1"/>
  <c r="AP28" i="5"/>
  <c r="AB28" i="5" s="1"/>
  <c r="AP32" i="5"/>
  <c r="AB32" i="5" s="1"/>
  <c r="AP14" i="5"/>
  <c r="AB14" i="5" s="1"/>
  <c r="AP27" i="5"/>
  <c r="AB27" i="5" s="1"/>
  <c r="AP21" i="5"/>
  <c r="AB21" i="5" s="1"/>
  <c r="AP138" i="5"/>
  <c r="AB138" i="5" s="1"/>
  <c r="AP137" i="5"/>
  <c r="AB137" i="5" s="1"/>
  <c r="AP139" i="5"/>
  <c r="AB139" i="5" s="1"/>
  <c r="AP390" i="5"/>
  <c r="AB390" i="5" s="1"/>
  <c r="AP454" i="5"/>
  <c r="AB454" i="5" s="1"/>
  <c r="AP419" i="5"/>
  <c r="AB419" i="5" s="1"/>
  <c r="AP434" i="5"/>
  <c r="AB434" i="5" s="1"/>
  <c r="AP387" i="5"/>
  <c r="AB387" i="5" s="1"/>
  <c r="AP475" i="5"/>
  <c r="AB475" i="5" s="1"/>
  <c r="AP491" i="5"/>
  <c r="AB491" i="5" s="1"/>
  <c r="AP400" i="5"/>
  <c r="AB400" i="5" s="1"/>
  <c r="AP412" i="5"/>
  <c r="AB412" i="5" s="1"/>
  <c r="AP464" i="5"/>
  <c r="AB464" i="5" s="1"/>
  <c r="AP432" i="5"/>
  <c r="AB432" i="5" s="1"/>
  <c r="AP425" i="5"/>
  <c r="AB425" i="5" s="1"/>
  <c r="AP492" i="5"/>
  <c r="AB492" i="5" s="1"/>
  <c r="AP438" i="5"/>
  <c r="AB438" i="5" s="1"/>
  <c r="AP447" i="5"/>
  <c r="AB447" i="5" s="1"/>
  <c r="AP462" i="5"/>
  <c r="AB462" i="5" s="1"/>
  <c r="AP459" i="5"/>
  <c r="AB459" i="5" s="1"/>
  <c r="AP393" i="5"/>
  <c r="AB393" i="5" s="1"/>
  <c r="AP146" i="5"/>
  <c r="AB146" i="5" s="1"/>
  <c r="AP271" i="5"/>
  <c r="AB271" i="5" s="1"/>
  <c r="AP122" i="6"/>
  <c r="AB122" i="6" s="1"/>
  <c r="AP267" i="5"/>
  <c r="AB267" i="5" s="1"/>
  <c r="AP268" i="5"/>
  <c r="AB268" i="5" s="1"/>
  <c r="AP151" i="5"/>
  <c r="AB151" i="5" s="1"/>
  <c r="AP75" i="6"/>
  <c r="AB75" i="6" s="1"/>
  <c r="AP20" i="5"/>
  <c r="AB20" i="5" s="1"/>
  <c r="AP16" i="5"/>
  <c r="AB16" i="5" s="1"/>
  <c r="AP17" i="5"/>
  <c r="AB17" i="5" s="1"/>
  <c r="AP143" i="5"/>
  <c r="AB143" i="5" s="1"/>
  <c r="AP141" i="5"/>
  <c r="AB141" i="5" s="1"/>
  <c r="AP471" i="5"/>
  <c r="AB471" i="5" s="1"/>
  <c r="AP420" i="5"/>
  <c r="AB420" i="5" s="1"/>
  <c r="AP428" i="5"/>
  <c r="AB428" i="5" s="1"/>
  <c r="AP457" i="5"/>
  <c r="AB457" i="5" s="1"/>
  <c r="AP402" i="5"/>
  <c r="AB402" i="5" s="1"/>
  <c r="AP481" i="5"/>
  <c r="AB481" i="5" s="1"/>
  <c r="AP449" i="5"/>
  <c r="AB449" i="5" s="1"/>
  <c r="AP401" i="5"/>
  <c r="AB401" i="5" s="1"/>
  <c r="AP473" i="5"/>
  <c r="AB473" i="5" s="1"/>
  <c r="AP440" i="5"/>
  <c r="AB440" i="5" s="1"/>
  <c r="AP394" i="5"/>
  <c r="AB394" i="5" s="1"/>
  <c r="AP421" i="5"/>
  <c r="AB421" i="5" s="1"/>
  <c r="AP435" i="5"/>
  <c r="AB435" i="5" s="1"/>
  <c r="AP414" i="5"/>
  <c r="AB414" i="5" s="1"/>
  <c r="AP407" i="5"/>
  <c r="AB407" i="5" s="1"/>
  <c r="AP405" i="5"/>
  <c r="AB405" i="5" s="1"/>
  <c r="AP395" i="5"/>
  <c r="AB395" i="5" s="1"/>
  <c r="AP452" i="5"/>
  <c r="AB452" i="5" s="1"/>
  <c r="AP439" i="5"/>
  <c r="AB439" i="5" s="1"/>
  <c r="AP392" i="5"/>
  <c r="AB392" i="5" s="1"/>
  <c r="AP418" i="5"/>
  <c r="AB418" i="5" s="1"/>
  <c r="AP422" i="5"/>
  <c r="AB422" i="5" s="1"/>
  <c r="AP487" i="5"/>
  <c r="AB487" i="5" s="1"/>
  <c r="AP453" i="5"/>
  <c r="AB453" i="5" s="1"/>
  <c r="AP403" i="5"/>
  <c r="AB403" i="5" s="1"/>
  <c r="AP417" i="5"/>
  <c r="AB417" i="5" s="1"/>
  <c r="AP388" i="5"/>
  <c r="AB388" i="5" s="1"/>
  <c r="AP150" i="5"/>
  <c r="AB150" i="5" s="1"/>
  <c r="AP152" i="5"/>
  <c r="AB152" i="5" s="1"/>
  <c r="AP23" i="6"/>
  <c r="AB23" i="6" s="1"/>
  <c r="AP139" i="6"/>
  <c r="AB139" i="6" s="1"/>
  <c r="AP43" i="6"/>
  <c r="AB43" i="6" s="1"/>
  <c r="AP46" i="6"/>
  <c r="AB46" i="6" s="1"/>
  <c r="AP149" i="5"/>
  <c r="AB149" i="5" s="1"/>
  <c r="AP272" i="5"/>
  <c r="AB272" i="5" s="1"/>
  <c r="AP274" i="5"/>
  <c r="AB274" i="5" s="1"/>
  <c r="AP25" i="6"/>
  <c r="AB25" i="6" s="1"/>
  <c r="AP97" i="6"/>
  <c r="AB97" i="6" s="1"/>
  <c r="AP104" i="6"/>
  <c r="AB104" i="6" s="1"/>
  <c r="AP130" i="6"/>
  <c r="AB130" i="6" s="1"/>
  <c r="AP99" i="6"/>
  <c r="AB99" i="6" s="1"/>
  <c r="AP21" i="6"/>
  <c r="AB21" i="6" s="1"/>
  <c r="AP16" i="6"/>
  <c r="AB16" i="6" s="1"/>
  <c r="AP77" i="6"/>
  <c r="AB77" i="6" s="1"/>
  <c r="AP101" i="6"/>
  <c r="AB101" i="6" s="1"/>
  <c r="AP102" i="6"/>
  <c r="AB102" i="6" s="1"/>
  <c r="AP128" i="6"/>
  <c r="AB128" i="6" s="1"/>
  <c r="AP30" i="5"/>
  <c r="AB30" i="5" s="1"/>
  <c r="AP134" i="5"/>
  <c r="AB134" i="5" s="1"/>
  <c r="AP22" i="5"/>
  <c r="AB22" i="5" s="1"/>
  <c r="AP33" i="5"/>
  <c r="AB33" i="5" s="1"/>
  <c r="AP35" i="5"/>
  <c r="AB35" i="5" s="1"/>
  <c r="AP25" i="5"/>
  <c r="AB25" i="5" s="1"/>
  <c r="AP136" i="5"/>
  <c r="AB136" i="5" s="1"/>
  <c r="AP135" i="5"/>
  <c r="AB135" i="5" s="1"/>
  <c r="AB501" i="5"/>
  <c r="AB495" i="5"/>
  <c r="AB493" i="5"/>
  <c r="AB497" i="5"/>
  <c r="AB500" i="5"/>
  <c r="AB498" i="5"/>
  <c r="AB502" i="5"/>
  <c r="AB494" i="5"/>
  <c r="CF13" i="2"/>
  <c r="D18" i="9"/>
  <c r="G19" i="9" s="1"/>
  <c r="C19" i="9" l="1"/>
  <c r="B19" i="9"/>
  <c r="F19" i="9"/>
  <c r="E19" i="9"/>
  <c r="D19" i="9" l="1"/>
  <c r="C20" i="9" s="1"/>
  <c r="G20" i="9" l="1"/>
  <c r="F20" i="9"/>
  <c r="E20" i="9"/>
  <c r="B20" i="9"/>
  <c r="D20" i="9" s="1"/>
  <c r="C21" i="9" s="1"/>
  <c r="E21" i="9" l="1"/>
  <c r="G21" i="9"/>
  <c r="F21" i="9"/>
  <c r="B21" i="9"/>
  <c r="D21" i="9" s="1"/>
  <c r="B22" i="9" l="1"/>
  <c r="G22" i="9"/>
  <c r="C22" i="9"/>
  <c r="E22" i="9"/>
  <c r="F22" i="9"/>
  <c r="D22" i="9" l="1"/>
  <c r="B23" i="9" l="1"/>
  <c r="C23" i="9"/>
  <c r="F23" i="9"/>
  <c r="G23" i="9"/>
  <c r="E23" i="9"/>
  <c r="D23" i="9" l="1"/>
  <c r="C24" i="9" l="1"/>
  <c r="G24" i="9"/>
  <c r="F24" i="9"/>
  <c r="E24" i="9"/>
  <c r="B24" i="9"/>
  <c r="CF319" i="2" l="1"/>
  <c r="CF321" i="2"/>
  <c r="CF318" i="2"/>
  <c r="CF323" i="2"/>
  <c r="CF320" i="2"/>
  <c r="CF325" i="2"/>
  <c r="CF317" i="2"/>
  <c r="CF322" i="2"/>
  <c r="CF324" i="2"/>
  <c r="CF282" i="2"/>
  <c r="CF32" i="2"/>
  <c r="CF371" i="2"/>
  <c r="CG329" i="2"/>
  <c r="CF173" i="6"/>
  <c r="CG56" i="6"/>
  <c r="CF193" i="5"/>
  <c r="CG81" i="5"/>
  <c r="CG49" i="2"/>
  <c r="CF62" i="5"/>
  <c r="CF301" i="5"/>
  <c r="CG63" i="5"/>
  <c r="CF64" i="5"/>
  <c r="CG287" i="2"/>
  <c r="CG394" i="2"/>
  <c r="CG80" i="6"/>
  <c r="CG427" i="6"/>
  <c r="CF341" i="5"/>
  <c r="CF100" i="5"/>
  <c r="CG451" i="6"/>
  <c r="CG312" i="6"/>
  <c r="CF279" i="6"/>
  <c r="CF354" i="2"/>
  <c r="CF290" i="6"/>
  <c r="CG282" i="6"/>
  <c r="CF291" i="2"/>
  <c r="CF109" i="6"/>
  <c r="CF278" i="5"/>
  <c r="CF58" i="5"/>
  <c r="CG463" i="5"/>
  <c r="CF370" i="6"/>
  <c r="CG121" i="6"/>
  <c r="CG287" i="6"/>
  <c r="CG18" i="5"/>
  <c r="CF480" i="5"/>
  <c r="CF57" i="6"/>
  <c r="CF182" i="2"/>
  <c r="CG300" i="5"/>
  <c r="CF14" i="2"/>
  <c r="CG54" i="6"/>
  <c r="CF471" i="5"/>
  <c r="CF153" i="2"/>
  <c r="CG35" i="6"/>
  <c r="CG393" i="2"/>
  <c r="CG483" i="5"/>
  <c r="CG221" i="2"/>
  <c r="CG461" i="5"/>
  <c r="CG87" i="6"/>
  <c r="CG100" i="6"/>
  <c r="CG89" i="6"/>
  <c r="CF397" i="2"/>
  <c r="CF318" i="6"/>
  <c r="CG75" i="6"/>
  <c r="CG404" i="6"/>
  <c r="CG112" i="2"/>
  <c r="CF334" i="2"/>
  <c r="CF206" i="6"/>
  <c r="CF430" i="6"/>
  <c r="CF348" i="6"/>
  <c r="CG460" i="2"/>
  <c r="CG315" i="2"/>
  <c r="CF323" i="5"/>
  <c r="CG357" i="2"/>
  <c r="CG215" i="6"/>
  <c r="CF174" i="2"/>
  <c r="CG321" i="2"/>
  <c r="CG453" i="2"/>
  <c r="CF277" i="5"/>
  <c r="CF444" i="5"/>
  <c r="CG415" i="5"/>
  <c r="CF470" i="2"/>
  <c r="CG65" i="5"/>
  <c r="CF333" i="6"/>
  <c r="CG68" i="5"/>
  <c r="CG299" i="6"/>
  <c r="CF126" i="5"/>
  <c r="CF62" i="6"/>
  <c r="CF229" i="6"/>
  <c r="CF329" i="6"/>
  <c r="CG34" i="2"/>
  <c r="CG387" i="6"/>
  <c r="CG408" i="2"/>
  <c r="CF290" i="5"/>
  <c r="CF159" i="6"/>
  <c r="CG225" i="6"/>
  <c r="CF21" i="2"/>
  <c r="CG45" i="2"/>
  <c r="CG191" i="6"/>
  <c r="CG351" i="2"/>
  <c r="CG414" i="5"/>
  <c r="CF359" i="6"/>
  <c r="CF363" i="5"/>
  <c r="CF294" i="6"/>
  <c r="CF308" i="2"/>
  <c r="CF323" i="6"/>
  <c r="CF442" i="2"/>
  <c r="CG408" i="6"/>
  <c r="CG32" i="5"/>
  <c r="CG118" i="5"/>
  <c r="CG478" i="2"/>
  <c r="CF23" i="2"/>
  <c r="CF332" i="6"/>
  <c r="CF246" i="6"/>
  <c r="CF331" i="2"/>
  <c r="CG347" i="2"/>
  <c r="CG95" i="5"/>
  <c r="CG159" i="5"/>
  <c r="CG438" i="6"/>
  <c r="CF51" i="2"/>
  <c r="CF106" i="5"/>
  <c r="CG435" i="5"/>
  <c r="CG481" i="2"/>
  <c r="CF480" i="2"/>
  <c r="CG205" i="6"/>
  <c r="CG313" i="5"/>
  <c r="CG277" i="2"/>
  <c r="CG361" i="5"/>
  <c r="CF198" i="6"/>
  <c r="CG420" i="5"/>
  <c r="CG327" i="5"/>
  <c r="CG28" i="2"/>
  <c r="CF91" i="2"/>
  <c r="CG146" i="6"/>
  <c r="CG400" i="6"/>
  <c r="CF199" i="6"/>
  <c r="CG37" i="6"/>
  <c r="CF232" i="5"/>
  <c r="CG109" i="5"/>
  <c r="CF473" i="5"/>
  <c r="CF81" i="6"/>
  <c r="CG53" i="6"/>
  <c r="CG189" i="5"/>
  <c r="CG253" i="6"/>
  <c r="CG116" i="2"/>
  <c r="CF361" i="2"/>
  <c r="CG297" i="5"/>
  <c r="CF224" i="6"/>
  <c r="CF419" i="5"/>
  <c r="CG309" i="6"/>
  <c r="CG463" i="6"/>
  <c r="CF465" i="5"/>
  <c r="CG374" i="5"/>
  <c r="CG110" i="2"/>
  <c r="CF153" i="5"/>
  <c r="CF447" i="2"/>
  <c r="CG248" i="6"/>
  <c r="CF35" i="5"/>
  <c r="CG217" i="2"/>
  <c r="CF33" i="5"/>
  <c r="CG289" i="2"/>
  <c r="CG195" i="5"/>
  <c r="CG365" i="5"/>
  <c r="CF149" i="5"/>
  <c r="CF480" i="6"/>
  <c r="CF360" i="5"/>
  <c r="CF207" i="5"/>
  <c r="CG328" i="6"/>
  <c r="CF375" i="2"/>
  <c r="CF220" i="6"/>
  <c r="CG457" i="5"/>
  <c r="CG257" i="2"/>
  <c r="CG321" i="6"/>
  <c r="CF107" i="6"/>
  <c r="CF155" i="5"/>
  <c r="CG355" i="5"/>
  <c r="CG147" i="6"/>
  <c r="CG103" i="6"/>
  <c r="CF484" i="5"/>
  <c r="CF295" i="5"/>
  <c r="CF421" i="5"/>
  <c r="CF193" i="6"/>
  <c r="CG75" i="2"/>
  <c r="CF152" i="5"/>
  <c r="CG388" i="2"/>
  <c r="CF80" i="2"/>
  <c r="CG331" i="5"/>
  <c r="CG15" i="6"/>
  <c r="CG474" i="2"/>
  <c r="CG478" i="5"/>
  <c r="CF244" i="5"/>
  <c r="CF325" i="6"/>
  <c r="CF42" i="5"/>
  <c r="CF63" i="6"/>
  <c r="CF199" i="2"/>
  <c r="CG401" i="5"/>
  <c r="CF439" i="6"/>
  <c r="CG424" i="5"/>
  <c r="CF14" i="6"/>
  <c r="CG105" i="5"/>
  <c r="CG200" i="2"/>
  <c r="CF67" i="2"/>
  <c r="CF102" i="6"/>
  <c r="CF229" i="2"/>
  <c r="CG57" i="5"/>
  <c r="CF260" i="6"/>
  <c r="CF477" i="5"/>
  <c r="CF403" i="6"/>
  <c r="CG357" i="5"/>
  <c r="CG412" i="6"/>
  <c r="CF411" i="2"/>
  <c r="CG17" i="6"/>
  <c r="CF447" i="5"/>
  <c r="CG102" i="5"/>
  <c r="CG70" i="6"/>
  <c r="CF478" i="6"/>
  <c r="CF105" i="2"/>
  <c r="CF232" i="2"/>
  <c r="CG179" i="6"/>
  <c r="CF363" i="6"/>
  <c r="CG93" i="6"/>
  <c r="CG443" i="5"/>
  <c r="CG85" i="5"/>
  <c r="CG213" i="2"/>
  <c r="CF187" i="5"/>
  <c r="CF127" i="5"/>
  <c r="CG195" i="2"/>
  <c r="CF421" i="2"/>
  <c r="CG33" i="6"/>
  <c r="CF412" i="5"/>
  <c r="CF310" i="5"/>
  <c r="CF46" i="2"/>
  <c r="CG26" i="5"/>
  <c r="CF151" i="6"/>
  <c r="CG114" i="6"/>
  <c r="CG404" i="5"/>
  <c r="CG472" i="6"/>
  <c r="CF145" i="5"/>
  <c r="CF397" i="6"/>
  <c r="CG283" i="2"/>
  <c r="CF317" i="6"/>
  <c r="CF407" i="6"/>
  <c r="CG38" i="5"/>
  <c r="CF214" i="5"/>
  <c r="CG300" i="2"/>
  <c r="CF483" i="6"/>
  <c r="CG235" i="5"/>
  <c r="CG98" i="2"/>
  <c r="CF125" i="6"/>
  <c r="CG437" i="6"/>
  <c r="CF193" i="2"/>
  <c r="CF255" i="2"/>
  <c r="CF107" i="5"/>
  <c r="CG123" i="6"/>
  <c r="CG311" i="2"/>
  <c r="CF203" i="2"/>
  <c r="CF399" i="5"/>
  <c r="CG226" i="5"/>
  <c r="CF355" i="6"/>
  <c r="CG361" i="6"/>
  <c r="CG363" i="2"/>
  <c r="CG118" i="6"/>
  <c r="CG201" i="2"/>
  <c r="CG25" i="2"/>
  <c r="CF339" i="5"/>
  <c r="CG242" i="2"/>
  <c r="CG201" i="5"/>
  <c r="CG66" i="6"/>
  <c r="CG176" i="5"/>
  <c r="CF57" i="2"/>
  <c r="CG445" i="2"/>
  <c r="CF188" i="2"/>
  <c r="CF246" i="5"/>
  <c r="CF226" i="2"/>
  <c r="CF343" i="6"/>
  <c r="CG328" i="5"/>
  <c r="CG479" i="5"/>
  <c r="CF203" i="6"/>
  <c r="CF281" i="5"/>
  <c r="CF259" i="5"/>
  <c r="CG410" i="5"/>
  <c r="CF97" i="5"/>
  <c r="CF157" i="5"/>
  <c r="CF200" i="6"/>
  <c r="CF55" i="2"/>
  <c r="CG53" i="2"/>
  <c r="CF25" i="5"/>
  <c r="CG411" i="5"/>
  <c r="CG299" i="5"/>
  <c r="CG154" i="2"/>
  <c r="CG350" i="5"/>
  <c r="CF280" i="2"/>
  <c r="CG186" i="6"/>
  <c r="CG427" i="2"/>
  <c r="CG450" i="2"/>
  <c r="CF295" i="2"/>
  <c r="CG171" i="2"/>
  <c r="CF295" i="6"/>
  <c r="CG27" i="6"/>
  <c r="CG364" i="5"/>
  <c r="CG25" i="6"/>
  <c r="CF321" i="5"/>
  <c r="CG71" i="2"/>
  <c r="CF458" i="6"/>
  <c r="CG350" i="6"/>
  <c r="CG460" i="6"/>
  <c r="CG419" i="6"/>
  <c r="CF432" i="2"/>
  <c r="CG305" i="5"/>
  <c r="CF93" i="2"/>
  <c r="CG352" i="6"/>
  <c r="CF182" i="5"/>
  <c r="CF251" i="5"/>
  <c r="CF69" i="5"/>
  <c r="CG210" i="6"/>
  <c r="CG73" i="2"/>
  <c r="CF123" i="5"/>
  <c r="CF247" i="6"/>
  <c r="CG146" i="5"/>
  <c r="CG435" i="6"/>
  <c r="CF427" i="5"/>
  <c r="CF365" i="6"/>
  <c r="CG467" i="2"/>
  <c r="CG169" i="2"/>
  <c r="CG225" i="2"/>
  <c r="CF350" i="2"/>
  <c r="CG113" i="2"/>
  <c r="CF220" i="2"/>
  <c r="CG115" i="2"/>
  <c r="CF411" i="6"/>
  <c r="CG20" i="2"/>
  <c r="CG196" i="6"/>
  <c r="D24" i="9"/>
  <c r="G25" i="9" s="1"/>
  <c r="CG317" i="2" l="1"/>
  <c r="CG371" i="2"/>
  <c r="CF334" i="5"/>
  <c r="CF282" i="6"/>
  <c r="CF427" i="6"/>
  <c r="CF100" i="6"/>
  <c r="CF393" i="2"/>
  <c r="CF56" i="6"/>
  <c r="CG57" i="6"/>
  <c r="CF309" i="6"/>
  <c r="CG308" i="6"/>
  <c r="CG348" i="6"/>
  <c r="CF308" i="6"/>
  <c r="CF364" i="2"/>
  <c r="CG341" i="5"/>
  <c r="CF115" i="6"/>
  <c r="CG279" i="6"/>
  <c r="CG14" i="2"/>
  <c r="CG115" i="6"/>
  <c r="CG364" i="2"/>
  <c r="CG182" i="2"/>
  <c r="CF116" i="2"/>
  <c r="CF221" i="2"/>
  <c r="CG334" i="5"/>
  <c r="CF35" i="6"/>
  <c r="CF121" i="6"/>
  <c r="CF184" i="6"/>
  <c r="CG218" i="2"/>
  <c r="CG223" i="5"/>
  <c r="CF223" i="5"/>
  <c r="CF373" i="5"/>
  <c r="CG373" i="5"/>
  <c r="CG206" i="6"/>
  <c r="CF112" i="2"/>
  <c r="CF463" i="2"/>
  <c r="CG463" i="2"/>
  <c r="CF87" i="6"/>
  <c r="CG68" i="2"/>
  <c r="CF68" i="2"/>
  <c r="CG153" i="2"/>
  <c r="CG482" i="5"/>
  <c r="CF482" i="5"/>
  <c r="CG425" i="2"/>
  <c r="CF425" i="2"/>
  <c r="CF262" i="2"/>
  <c r="CG262" i="2"/>
  <c r="CF77" i="5"/>
  <c r="CG77" i="5"/>
  <c r="CF340" i="2"/>
  <c r="CG340" i="2"/>
  <c r="CG278" i="5"/>
  <c r="CG291" i="2"/>
  <c r="CG290" i="6"/>
  <c r="CG310" i="2"/>
  <c r="CF310" i="2"/>
  <c r="CF80" i="6"/>
  <c r="CG232" i="6"/>
  <c r="CF232" i="6"/>
  <c r="CF63" i="5"/>
  <c r="CG301" i="5"/>
  <c r="CF81" i="5"/>
  <c r="CG193" i="5"/>
  <c r="CG173" i="6"/>
  <c r="CG61" i="2"/>
  <c r="CG131" i="6"/>
  <c r="CF292" i="5"/>
  <c r="CG206" i="2"/>
  <c r="CF206" i="2"/>
  <c r="CF131" i="6"/>
  <c r="CF163" i="5"/>
  <c r="CG184" i="6"/>
  <c r="CG477" i="6"/>
  <c r="CF164" i="6"/>
  <c r="CG164" i="6"/>
  <c r="CG459" i="2"/>
  <c r="CF409" i="6"/>
  <c r="CG155" i="5"/>
  <c r="CG429" i="6"/>
  <c r="CG37" i="5"/>
  <c r="CF52" i="2"/>
  <c r="CG52" i="2"/>
  <c r="CG111" i="6"/>
  <c r="CF111" i="6"/>
  <c r="CG119" i="5"/>
  <c r="CF119" i="5"/>
  <c r="CG125" i="2"/>
  <c r="CF125" i="2"/>
  <c r="CF76" i="2"/>
  <c r="CG76" i="2"/>
  <c r="CG176" i="6"/>
  <c r="CF176" i="6"/>
  <c r="CG447" i="2"/>
  <c r="CG163" i="5"/>
  <c r="CG292" i="5"/>
  <c r="CF349" i="2"/>
  <c r="CG349" i="2"/>
  <c r="CF289" i="2"/>
  <c r="CG63" i="6"/>
  <c r="CF218" i="2"/>
  <c r="CG30" i="2"/>
  <c r="CF16" i="6"/>
  <c r="CF297" i="5"/>
  <c r="CF429" i="6"/>
  <c r="CF146" i="6"/>
  <c r="CF303" i="2"/>
  <c r="CG70" i="5"/>
  <c r="CG295" i="5"/>
  <c r="CF362" i="2"/>
  <c r="CG362" i="2"/>
  <c r="CG395" i="5"/>
  <c r="CF395" i="5"/>
  <c r="CF244" i="6"/>
  <c r="CG305" i="2"/>
  <c r="CF305" i="2"/>
  <c r="CF217" i="2"/>
  <c r="CF393" i="5"/>
  <c r="CG393" i="5"/>
  <c r="CG327" i="2"/>
  <c r="CF327" i="2"/>
  <c r="CF374" i="5"/>
  <c r="CF249" i="5"/>
  <c r="CG249" i="5"/>
  <c r="CF463" i="6"/>
  <c r="CF127" i="2"/>
  <c r="CG127" i="2"/>
  <c r="CG324" i="6"/>
  <c r="CF324" i="6"/>
  <c r="CF344" i="6"/>
  <c r="CG344" i="6"/>
  <c r="CG391" i="2"/>
  <c r="CF391" i="2"/>
  <c r="CG55" i="5"/>
  <c r="CF55" i="5"/>
  <c r="CF433" i="5"/>
  <c r="CG433" i="5"/>
  <c r="CG392" i="2"/>
  <c r="CF392" i="2"/>
  <c r="CF102" i="2"/>
  <c r="CG102" i="2"/>
  <c r="CF177" i="2"/>
  <c r="CG177" i="2"/>
  <c r="CF129" i="6"/>
  <c r="CG129" i="6"/>
  <c r="CG467" i="5"/>
  <c r="CF467" i="5"/>
  <c r="CG400" i="5"/>
  <c r="CF400" i="5"/>
  <c r="CG342" i="2"/>
  <c r="CF342" i="2"/>
  <c r="CF47" i="2"/>
  <c r="CG47" i="2"/>
  <c r="CG171" i="6"/>
  <c r="CF171" i="6"/>
  <c r="CF207" i="6"/>
  <c r="CG207" i="6"/>
  <c r="CF88" i="6"/>
  <c r="CG88" i="6"/>
  <c r="CG340" i="6"/>
  <c r="CF340" i="6"/>
  <c r="CF95" i="6"/>
  <c r="CG95" i="6"/>
  <c r="CF85" i="2"/>
  <c r="CG85" i="2"/>
  <c r="CG452" i="5"/>
  <c r="CF452" i="5"/>
  <c r="CF37" i="6"/>
  <c r="CF484" i="2"/>
  <c r="CG484" i="2"/>
  <c r="CG482" i="6"/>
  <c r="CF482" i="6"/>
  <c r="CF367" i="2"/>
  <c r="CG367" i="2"/>
  <c r="CF28" i="2"/>
  <c r="CF292" i="2"/>
  <c r="CG292" i="2"/>
  <c r="CG367" i="6"/>
  <c r="CF367" i="6"/>
  <c r="CF327" i="5"/>
  <c r="CF125" i="5"/>
  <c r="CG125" i="5"/>
  <c r="CF238" i="2"/>
  <c r="CG238" i="2"/>
  <c r="CG434" i="5"/>
  <c r="CF434" i="5"/>
  <c r="CG283" i="5"/>
  <c r="CF283" i="5"/>
  <c r="CG34" i="5"/>
  <c r="CF34" i="5"/>
  <c r="CF361" i="5"/>
  <c r="CF130" i="6"/>
  <c r="CG130" i="6"/>
  <c r="CF313" i="5"/>
  <c r="CG358" i="6"/>
  <c r="CF358" i="6"/>
  <c r="CF322" i="5"/>
  <c r="CG322" i="5"/>
  <c r="CG49" i="6"/>
  <c r="CF49" i="6"/>
  <c r="CG51" i="2"/>
  <c r="CF159" i="5"/>
  <c r="CG417" i="5"/>
  <c r="CF417" i="5"/>
  <c r="CG307" i="5"/>
  <c r="CF307" i="5"/>
  <c r="CF114" i="5"/>
  <c r="CG114" i="5"/>
  <c r="CF170" i="2"/>
  <c r="CG170" i="2"/>
  <c r="CG485" i="6"/>
  <c r="CF485" i="6"/>
  <c r="CF347" i="2"/>
  <c r="CF172" i="2"/>
  <c r="CG172" i="2"/>
  <c r="CG205" i="2"/>
  <c r="CF205" i="2"/>
  <c r="CG332" i="6"/>
  <c r="CF389" i="2"/>
  <c r="CG389" i="2"/>
  <c r="CF408" i="6"/>
  <c r="CG442" i="2"/>
  <c r="CG50" i="5"/>
  <c r="CF50" i="5"/>
  <c r="CF297" i="6"/>
  <c r="CG297" i="6"/>
  <c r="CG294" i="6"/>
  <c r="CG363" i="5"/>
  <c r="CG430" i="5"/>
  <c r="CF430" i="5"/>
  <c r="CF351" i="2"/>
  <c r="CG468" i="6"/>
  <c r="CF468" i="6"/>
  <c r="CG21" i="2"/>
  <c r="CF225" i="6"/>
  <c r="CF124" i="2"/>
  <c r="CG124" i="2"/>
  <c r="CF21" i="5"/>
  <c r="CG21" i="5"/>
  <c r="CF387" i="6"/>
  <c r="CG329" i="6"/>
  <c r="CG62" i="6"/>
  <c r="CF16" i="5"/>
  <c r="CG16" i="5"/>
  <c r="CF183" i="6"/>
  <c r="CG183" i="6"/>
  <c r="CG166" i="6"/>
  <c r="CF166" i="6"/>
  <c r="CG484" i="6"/>
  <c r="CF484" i="6"/>
  <c r="CG227" i="2"/>
  <c r="CF227" i="2"/>
  <c r="CG314" i="6"/>
  <c r="CF314" i="6"/>
  <c r="CF185" i="6"/>
  <c r="CG185" i="6"/>
  <c r="CG251" i="2"/>
  <c r="CF251" i="2"/>
  <c r="CG163" i="6"/>
  <c r="CF163" i="6"/>
  <c r="CF284" i="5"/>
  <c r="CG284" i="5"/>
  <c r="CG259" i="6"/>
  <c r="CF259" i="6"/>
  <c r="CF315" i="2"/>
  <c r="CG334" i="2"/>
  <c r="CG46" i="2"/>
  <c r="CG478" i="6"/>
  <c r="CF213" i="2"/>
  <c r="CF114" i="2"/>
  <c r="CG175" i="2"/>
  <c r="CG152" i="5"/>
  <c r="CF459" i="2"/>
  <c r="CF457" i="5"/>
  <c r="CF357" i="5"/>
  <c r="CF388" i="2"/>
  <c r="CF157" i="6"/>
  <c r="CG477" i="5"/>
  <c r="CG363" i="6"/>
  <c r="CF70" i="5"/>
  <c r="CF85" i="5"/>
  <c r="CF75" i="2"/>
  <c r="CF348" i="2"/>
  <c r="CF123" i="2"/>
  <c r="CG375" i="2"/>
  <c r="CF17" i="6"/>
  <c r="CF61" i="2"/>
  <c r="CG80" i="2"/>
  <c r="CF30" i="2"/>
  <c r="CG16" i="6"/>
  <c r="CF148" i="6"/>
  <c r="CG484" i="5"/>
  <c r="CG348" i="2"/>
  <c r="CG303" i="2"/>
  <c r="CG42" i="5"/>
  <c r="CG421" i="5"/>
  <c r="CG170" i="6"/>
  <c r="CF22" i="5"/>
  <c r="CF262" i="5"/>
  <c r="CF115" i="5"/>
  <c r="CG203" i="2"/>
  <c r="CG262" i="5"/>
  <c r="CF175" i="2"/>
  <c r="CF412" i="6"/>
  <c r="CF472" i="6"/>
  <c r="CG148" i="6"/>
  <c r="CG360" i="5"/>
  <c r="CF200" i="2"/>
  <c r="CG244" i="6"/>
  <c r="CG480" i="6"/>
  <c r="CG35" i="5"/>
  <c r="CF114" i="6"/>
  <c r="CF15" i="6"/>
  <c r="CG157" i="6"/>
  <c r="CF37" i="5"/>
  <c r="CF33" i="6"/>
  <c r="CF300" i="2"/>
  <c r="CG151" i="6"/>
  <c r="CF26" i="5"/>
  <c r="CG122" i="6"/>
  <c r="CG123" i="2"/>
  <c r="CF443" i="5"/>
  <c r="CG114" i="2"/>
  <c r="CF76" i="6"/>
  <c r="CF283" i="2"/>
  <c r="CF118" i="6"/>
  <c r="CG193" i="2"/>
  <c r="CG76" i="6"/>
  <c r="CG115" i="5"/>
  <c r="CG427" i="5"/>
  <c r="CG345" i="6"/>
  <c r="CG407" i="6"/>
  <c r="CF16" i="2"/>
  <c r="CG112" i="6"/>
  <c r="CF122" i="6"/>
  <c r="CG22" i="5"/>
  <c r="CF105" i="5"/>
  <c r="CG220" i="2"/>
  <c r="CG66" i="2"/>
  <c r="CG145" i="5"/>
  <c r="CF233" i="5"/>
  <c r="CF169" i="2"/>
  <c r="CG126" i="5"/>
  <c r="CG23" i="2"/>
  <c r="CG160" i="6"/>
  <c r="CF73" i="2"/>
  <c r="CF184" i="5"/>
  <c r="CG16" i="2"/>
  <c r="CG129" i="5"/>
  <c r="CF20" i="2"/>
  <c r="CG295" i="6"/>
  <c r="CF361" i="6"/>
  <c r="CF61" i="5"/>
  <c r="CF97" i="6"/>
  <c r="CF171" i="2"/>
  <c r="CG387" i="5"/>
  <c r="CF350" i="6"/>
  <c r="CG339" i="5"/>
  <c r="CF112" i="6"/>
  <c r="CF445" i="2"/>
  <c r="CF460" i="6"/>
  <c r="CF160" i="6"/>
  <c r="CF411" i="5"/>
  <c r="CF224" i="5"/>
  <c r="CG230" i="5"/>
  <c r="CF235" i="5"/>
  <c r="CF152" i="6"/>
  <c r="CF479" i="5"/>
  <c r="CF71" i="2"/>
  <c r="CF195" i="2"/>
  <c r="CG182" i="5"/>
  <c r="CG97" i="6"/>
  <c r="CF129" i="5"/>
  <c r="CG411" i="6"/>
  <c r="CG93" i="2"/>
  <c r="CG97" i="5"/>
  <c r="CF66" i="2"/>
  <c r="CF123" i="6"/>
  <c r="CF201" i="2"/>
  <c r="CG259" i="5"/>
  <c r="CG127" i="5"/>
  <c r="CF288" i="5"/>
  <c r="CG311" i="5"/>
  <c r="CF39" i="2"/>
  <c r="CG39" i="2"/>
  <c r="CF372" i="5"/>
  <c r="CF33" i="2"/>
  <c r="CF18" i="2"/>
  <c r="CF353" i="5"/>
  <c r="CF212" i="2"/>
  <c r="CF218" i="6"/>
  <c r="CG218" i="6"/>
  <c r="CG90" i="5"/>
  <c r="CF90" i="5"/>
  <c r="CF167" i="2"/>
  <c r="CG167" i="2"/>
  <c r="CF41" i="2"/>
  <c r="CG41" i="2"/>
  <c r="CF236" i="2"/>
  <c r="CG236" i="2"/>
  <c r="CF420" i="2"/>
  <c r="CG420" i="2"/>
  <c r="CG79" i="6"/>
  <c r="CG73" i="6"/>
  <c r="CF73" i="6"/>
  <c r="CF433" i="6"/>
  <c r="CG433" i="6"/>
  <c r="CF347" i="5"/>
  <c r="CG347" i="5"/>
  <c r="CG215" i="2"/>
  <c r="CG402" i="6"/>
  <c r="CG19" i="2"/>
  <c r="CF19" i="2"/>
  <c r="CG313" i="2"/>
  <c r="CF313" i="2"/>
  <c r="CF91" i="6"/>
  <c r="CG91" i="6"/>
  <c r="CF445" i="5"/>
  <c r="CG445" i="5"/>
  <c r="CF431" i="6"/>
  <c r="CG431" i="6"/>
  <c r="CG415" i="6"/>
  <c r="CG195" i="6"/>
  <c r="CF195" i="6"/>
  <c r="CF304" i="5"/>
  <c r="CG304" i="5"/>
  <c r="CG167" i="5"/>
  <c r="CF171" i="5"/>
  <c r="CG171" i="5"/>
  <c r="CF422" i="2"/>
  <c r="CG422" i="2"/>
  <c r="CF430" i="2"/>
  <c r="CG430" i="2"/>
  <c r="CG432" i="6"/>
  <c r="CF432" i="6"/>
  <c r="CF458" i="2"/>
  <c r="CG458" i="2"/>
  <c r="CF49" i="2"/>
  <c r="CF188" i="6"/>
  <c r="CF435" i="6"/>
  <c r="CF415" i="6"/>
  <c r="CF205" i="6"/>
  <c r="CF394" i="2"/>
  <c r="CG52" i="5"/>
  <c r="CG353" i="6"/>
  <c r="CG442" i="6"/>
  <c r="CF50" i="6"/>
  <c r="CG50" i="6"/>
  <c r="CF244" i="2"/>
  <c r="CG244" i="2"/>
  <c r="CG360" i="6"/>
  <c r="CG208" i="2"/>
  <c r="CF69" i="6"/>
  <c r="CG333" i="2"/>
  <c r="CG459" i="5"/>
  <c r="CF459" i="5"/>
  <c r="CF187" i="2"/>
  <c r="CF182" i="6"/>
  <c r="CG182" i="6"/>
  <c r="CF239" i="2"/>
  <c r="CG239" i="2"/>
  <c r="CG245" i="2"/>
  <c r="CF245" i="2"/>
  <c r="CF424" i="6"/>
  <c r="CG424" i="6"/>
  <c r="CF229" i="5"/>
  <c r="CG229" i="5"/>
  <c r="CG237" i="6"/>
  <c r="CG221" i="5"/>
  <c r="CF221" i="5"/>
  <c r="CG160" i="5"/>
  <c r="CF160" i="5"/>
  <c r="CG294" i="5"/>
  <c r="CF294" i="5"/>
  <c r="CG207" i="5"/>
  <c r="CG68" i="6"/>
  <c r="CF68" i="6"/>
  <c r="CF407" i="5"/>
  <c r="CG407" i="5"/>
  <c r="CF349" i="5"/>
  <c r="CG349" i="5"/>
  <c r="CF87" i="5"/>
  <c r="CG87" i="5"/>
  <c r="CG238" i="5"/>
  <c r="CF310" i="6"/>
  <c r="CF329" i="5"/>
  <c r="CG329" i="5"/>
  <c r="CG86" i="5"/>
  <c r="CF86" i="5"/>
  <c r="CG424" i="2"/>
  <c r="CF424" i="2"/>
  <c r="CG343" i="2"/>
  <c r="CF343" i="2"/>
  <c r="CF405" i="2"/>
  <c r="CG330" i="6"/>
  <c r="CF330" i="6"/>
  <c r="CG398" i="6"/>
  <c r="CF398" i="6"/>
  <c r="CG92" i="2"/>
  <c r="CF92" i="2"/>
  <c r="CG159" i="6"/>
  <c r="CF52" i="6"/>
  <c r="CG52" i="6"/>
  <c r="CG181" i="6"/>
  <c r="CF302" i="2"/>
  <c r="CG302" i="2"/>
  <c r="CG443" i="6"/>
  <c r="CF470" i="5"/>
  <c r="CG470" i="5"/>
  <c r="CG470" i="2"/>
  <c r="CG477" i="2"/>
  <c r="CF477" i="2"/>
  <c r="CG161" i="2"/>
  <c r="CF161" i="2"/>
  <c r="CF357" i="2"/>
  <c r="CF469" i="5"/>
  <c r="CG221" i="6"/>
  <c r="CF221" i="6"/>
  <c r="CG237" i="5"/>
  <c r="CF237" i="5"/>
  <c r="CG402" i="2"/>
  <c r="CF402" i="2"/>
  <c r="CF189" i="2"/>
  <c r="CG189" i="2"/>
  <c r="CG455" i="6"/>
  <c r="CF247" i="5"/>
  <c r="CG247" i="5"/>
  <c r="CF344" i="5"/>
  <c r="CG344" i="5"/>
  <c r="CF388" i="6"/>
  <c r="CG388" i="6"/>
  <c r="CF191" i="5"/>
  <c r="CG191" i="5"/>
  <c r="CF318" i="5"/>
  <c r="CG318" i="5"/>
  <c r="CF173" i="2"/>
  <c r="CG373" i="2"/>
  <c r="CF373" i="2"/>
  <c r="CF401" i="2"/>
  <c r="CG401" i="2"/>
  <c r="CF301" i="2"/>
  <c r="CG301" i="2"/>
  <c r="CF167" i="5"/>
  <c r="CG188" i="6"/>
  <c r="CF455" i="6"/>
  <c r="CG469" i="5"/>
  <c r="CF15" i="5"/>
  <c r="CG117" i="6"/>
  <c r="CG451" i="5"/>
  <c r="CF485" i="5"/>
  <c r="CG485" i="5"/>
  <c r="CF362" i="6"/>
  <c r="CG362" i="6"/>
  <c r="CF208" i="5"/>
  <c r="CG208" i="5"/>
  <c r="CF25" i="2"/>
  <c r="CG341" i="6"/>
  <c r="CG344" i="2"/>
  <c r="CF344" i="2"/>
  <c r="CF369" i="5"/>
  <c r="CG369" i="5"/>
  <c r="CG80" i="5"/>
  <c r="CG317" i="6"/>
  <c r="CF86" i="6"/>
  <c r="CF459" i="6"/>
  <c r="CG459" i="6"/>
  <c r="CG107" i="2"/>
  <c r="CF107" i="2"/>
  <c r="CG118" i="2"/>
  <c r="CF118" i="2"/>
  <c r="CF231" i="2"/>
  <c r="CF425" i="6"/>
  <c r="CG425" i="6"/>
  <c r="CF44" i="6"/>
  <c r="CG44" i="6"/>
  <c r="CG397" i="5"/>
  <c r="CF397" i="5"/>
  <c r="CF177" i="6"/>
  <c r="CG177" i="6"/>
  <c r="CF434" i="2"/>
  <c r="CG434" i="2"/>
  <c r="CG473" i="6"/>
  <c r="CG112" i="5"/>
  <c r="CF112" i="5"/>
  <c r="CG51" i="5"/>
  <c r="CG191" i="2"/>
  <c r="CF191" i="2"/>
  <c r="CF434" i="6"/>
  <c r="CF441" i="6"/>
  <c r="CG441" i="6"/>
  <c r="CF154" i="5"/>
  <c r="CF261" i="2"/>
  <c r="CG261" i="2"/>
  <c r="CG353" i="2"/>
  <c r="CF353" i="2"/>
  <c r="CG455" i="2"/>
  <c r="CF455" i="2"/>
  <c r="CF95" i="5"/>
  <c r="CF74" i="6"/>
  <c r="CG74" i="6"/>
  <c r="CG373" i="6"/>
  <c r="CF373" i="6"/>
  <c r="CF197" i="6"/>
  <c r="CG197" i="6"/>
  <c r="CG403" i="5"/>
  <c r="CF403" i="5"/>
  <c r="CG341" i="2"/>
  <c r="CF341" i="2"/>
  <c r="CF190" i="2"/>
  <c r="CF280" i="6"/>
  <c r="CG280" i="6"/>
  <c r="CF161" i="6"/>
  <c r="CG161" i="6"/>
  <c r="CG312" i="2"/>
  <c r="CF312" i="2"/>
  <c r="CF70" i="2"/>
  <c r="CF358" i="2"/>
  <c r="CG412" i="2"/>
  <c r="CF412" i="2"/>
  <c r="CF324" i="5"/>
  <c r="CG324" i="5"/>
  <c r="CF148" i="5"/>
  <c r="CG148" i="5"/>
  <c r="CF463" i="5"/>
  <c r="CF450" i="6"/>
  <c r="CG450" i="6"/>
  <c r="CG319" i="2"/>
  <c r="CG310" i="6"/>
  <c r="CG307" i="6"/>
  <c r="CG70" i="2"/>
  <c r="CF79" i="6"/>
  <c r="CG18" i="2"/>
  <c r="CG229" i="2"/>
  <c r="CG173" i="2"/>
  <c r="CG405" i="2"/>
  <c r="CG358" i="2"/>
  <c r="CG219" i="2"/>
  <c r="CG152" i="6"/>
  <c r="CF115" i="2"/>
  <c r="CG281" i="5"/>
  <c r="CF438" i="5"/>
  <c r="CF201" i="5"/>
  <c r="CF398" i="5"/>
  <c r="CF341" i="6"/>
  <c r="CG86" i="6"/>
  <c r="CF353" i="6"/>
  <c r="CF360" i="6"/>
  <c r="CG332" i="5"/>
  <c r="CG338" i="2"/>
  <c r="CG212" i="2"/>
  <c r="CF80" i="5"/>
  <c r="CG226" i="2"/>
  <c r="CF345" i="6"/>
  <c r="CG69" i="6"/>
  <c r="CG224" i="5"/>
  <c r="CF215" i="2"/>
  <c r="CF473" i="6"/>
  <c r="CF165" i="2"/>
  <c r="CG154" i="5"/>
  <c r="CF102" i="5"/>
  <c r="CG398" i="5"/>
  <c r="CF242" i="2"/>
  <c r="CG61" i="5"/>
  <c r="CF53" i="6"/>
  <c r="CF464" i="2"/>
  <c r="CF181" i="6"/>
  <c r="CF237" i="6"/>
  <c r="CG397" i="6"/>
  <c r="CG190" i="2"/>
  <c r="CG399" i="5"/>
  <c r="CF238" i="5"/>
  <c r="CF350" i="5"/>
  <c r="CG233" i="5"/>
  <c r="CF77" i="2"/>
  <c r="CG77" i="2"/>
  <c r="CF258" i="5"/>
  <c r="CF217" i="6"/>
  <c r="CG217" i="6"/>
  <c r="CG93" i="5"/>
  <c r="CF93" i="5"/>
  <c r="CF230" i="2"/>
  <c r="CF32" i="6"/>
  <c r="CF474" i="2"/>
  <c r="CG305" i="6"/>
  <c r="CF305" i="6"/>
  <c r="CG449" i="6"/>
  <c r="CF449" i="6"/>
  <c r="CF189" i="5"/>
  <c r="CF400" i="2"/>
  <c r="CG127" i="6"/>
  <c r="CF127" i="6"/>
  <c r="CG23" i="6"/>
  <c r="CF23" i="6"/>
  <c r="CF438" i="6"/>
  <c r="CF202" i="6"/>
  <c r="CG202" i="6"/>
  <c r="CG246" i="6"/>
  <c r="CF478" i="2"/>
  <c r="CF45" i="2"/>
  <c r="CF250" i="2"/>
  <c r="CG250" i="2"/>
  <c r="CF392" i="5"/>
  <c r="CG392" i="5"/>
  <c r="CF301" i="6"/>
  <c r="CG301" i="6"/>
  <c r="CG174" i="2"/>
  <c r="CF215" i="6"/>
  <c r="CF89" i="6"/>
  <c r="CF288" i="6"/>
  <c r="CG288" i="6"/>
  <c r="CF18" i="5"/>
  <c r="CG109" i="6"/>
  <c r="CG354" i="2"/>
  <c r="CG64" i="5"/>
  <c r="CF226" i="6"/>
  <c r="CG226" i="6"/>
  <c r="CF31" i="6"/>
  <c r="CG31" i="6"/>
  <c r="CF52" i="5"/>
  <c r="CF225" i="2"/>
  <c r="CG97" i="2"/>
  <c r="CF113" i="2"/>
  <c r="CF442" i="6"/>
  <c r="CG235" i="6"/>
  <c r="CG469" i="6"/>
  <c r="CF469" i="6"/>
  <c r="CF38" i="5"/>
  <c r="CG369" i="2"/>
  <c r="CF369" i="2"/>
  <c r="CG337" i="2"/>
  <c r="CF337" i="2"/>
  <c r="CG479" i="6"/>
  <c r="CF479" i="6"/>
  <c r="CF40" i="6"/>
  <c r="CG40" i="6"/>
  <c r="CG187" i="5"/>
  <c r="CG69" i="2"/>
  <c r="CF69" i="2"/>
  <c r="CG411" i="2"/>
  <c r="CG260" i="6"/>
  <c r="CF57" i="5"/>
  <c r="CG102" i="6"/>
  <c r="CG67" i="2"/>
  <c r="CG14" i="6"/>
  <c r="CG251" i="6"/>
  <c r="CF251" i="6"/>
  <c r="CF478" i="5"/>
  <c r="CF477" i="6"/>
  <c r="CF170" i="6"/>
  <c r="CF321" i="6"/>
  <c r="CG409" i="6"/>
  <c r="CF197" i="2"/>
  <c r="CG372" i="5"/>
  <c r="CF307" i="6"/>
  <c r="CF117" i="6"/>
  <c r="CG15" i="5"/>
  <c r="CF332" i="5"/>
  <c r="CF338" i="2"/>
  <c r="CF333" i="2"/>
  <c r="CG343" i="6"/>
  <c r="CG214" i="5"/>
  <c r="CG288" i="5"/>
  <c r="CG33" i="2"/>
  <c r="CG458" i="6"/>
  <c r="CF363" i="2"/>
  <c r="CG255" i="2"/>
  <c r="CG353" i="5"/>
  <c r="CG325" i="6"/>
  <c r="CG231" i="2"/>
  <c r="CF98" i="2"/>
  <c r="CG188" i="2"/>
  <c r="CG230" i="2"/>
  <c r="CG338" i="6"/>
  <c r="CF338" i="6"/>
  <c r="CF453" i="5"/>
  <c r="CG453" i="5"/>
  <c r="CG472" i="5"/>
  <c r="CG69" i="5"/>
  <c r="CF419" i="6"/>
  <c r="CF185" i="2"/>
  <c r="CG185" i="2"/>
  <c r="CG148" i="2"/>
  <c r="CF27" i="6"/>
  <c r="CF121" i="2"/>
  <c r="CG241" i="2"/>
  <c r="CG157" i="5"/>
  <c r="CG322" i="2"/>
  <c r="CG189" i="6"/>
  <c r="CF85" i="6"/>
  <c r="CG203" i="6"/>
  <c r="CG79" i="2"/>
  <c r="CG150" i="2"/>
  <c r="CF150" i="2"/>
  <c r="CG57" i="2"/>
  <c r="CG116" i="5"/>
  <c r="CG453" i="6"/>
  <c r="CF453" i="6"/>
  <c r="CF214" i="6"/>
  <c r="CG214" i="6"/>
  <c r="CF27" i="5"/>
  <c r="CF330" i="2"/>
  <c r="CG368" i="5"/>
  <c r="CG110" i="5"/>
  <c r="CF110" i="5"/>
  <c r="CF157" i="2"/>
  <c r="CG157" i="2"/>
  <c r="CF404" i="5"/>
  <c r="CF293" i="2"/>
  <c r="CF13" i="6"/>
  <c r="CG310" i="5"/>
  <c r="CF164" i="2"/>
  <c r="CG164" i="2"/>
  <c r="CF283" i="6"/>
  <c r="CG283" i="6"/>
  <c r="CG412" i="5"/>
  <c r="CG421" i="2"/>
  <c r="CG239" i="5"/>
  <c r="CF239" i="5"/>
  <c r="CG242" i="5"/>
  <c r="CF242" i="5"/>
  <c r="CG297" i="2"/>
  <c r="CF297" i="2"/>
  <c r="CF290" i="2"/>
  <c r="CG290" i="2"/>
  <c r="CF179" i="6"/>
  <c r="CG232" i="2"/>
  <c r="CG431" i="2"/>
  <c r="CF431" i="2"/>
  <c r="CG338" i="5"/>
  <c r="CF338" i="5"/>
  <c r="CF154" i="6"/>
  <c r="CG154" i="6"/>
  <c r="CG233" i="2"/>
  <c r="CF233" i="2"/>
  <c r="CG439" i="6"/>
  <c r="CF401" i="5"/>
  <c r="CG199" i="2"/>
  <c r="CG244" i="5"/>
  <c r="CF152" i="2"/>
  <c r="CG152" i="2"/>
  <c r="CF263" i="6"/>
  <c r="CG263" i="6"/>
  <c r="CF208" i="6"/>
  <c r="CG208" i="6"/>
  <c r="CF103" i="6"/>
  <c r="CG483" i="2"/>
  <c r="CF483" i="2"/>
  <c r="CG28" i="6"/>
  <c r="CF28" i="6"/>
  <c r="CF355" i="5"/>
  <c r="CG281" i="2"/>
  <c r="CF281" i="2"/>
  <c r="CG119" i="2"/>
  <c r="CF119" i="2"/>
  <c r="CG107" i="6"/>
  <c r="CF205" i="5"/>
  <c r="CG205" i="5"/>
  <c r="CF75" i="5"/>
  <c r="CG75" i="5"/>
  <c r="CF257" i="2"/>
  <c r="CF328" i="6"/>
  <c r="CF343" i="5"/>
  <c r="CG343" i="5"/>
  <c r="CF17" i="2"/>
  <c r="CG17" i="2"/>
  <c r="CG113" i="5"/>
  <c r="CF113" i="5"/>
  <c r="CG231" i="6"/>
  <c r="CF231" i="6"/>
  <c r="CF365" i="5"/>
  <c r="CF408" i="5"/>
  <c r="CG408" i="5"/>
  <c r="CG94" i="6"/>
  <c r="CF94" i="6"/>
  <c r="CF195" i="5"/>
  <c r="CG33" i="5"/>
  <c r="CG71" i="5"/>
  <c r="CF71" i="5"/>
  <c r="CF248" i="6"/>
  <c r="CG153" i="5"/>
  <c r="CF399" i="6"/>
  <c r="CG399" i="6"/>
  <c r="CF454" i="5"/>
  <c r="CG454" i="5"/>
  <c r="CF25" i="6"/>
  <c r="CF311" i="5"/>
  <c r="CG194" i="6"/>
  <c r="CF189" i="6"/>
  <c r="CF194" i="6"/>
  <c r="CF208" i="2"/>
  <c r="CG187" i="2"/>
  <c r="CG32" i="6"/>
  <c r="CF79" i="2"/>
  <c r="CF51" i="5"/>
  <c r="CG165" i="2"/>
  <c r="CF400" i="6"/>
  <c r="CG224" i="6"/>
  <c r="CG400" i="2"/>
  <c r="CF253" i="6"/>
  <c r="CF253" i="5"/>
  <c r="CF443" i="6"/>
  <c r="CG199" i="6"/>
  <c r="CG91" i="2"/>
  <c r="CF23" i="5"/>
  <c r="CG23" i="5"/>
  <c r="CG318" i="2"/>
  <c r="CG331" i="2"/>
  <c r="CF413" i="2"/>
  <c r="CG413" i="2"/>
  <c r="CF408" i="2"/>
  <c r="CG323" i="5"/>
  <c r="CF461" i="5"/>
  <c r="CG282" i="2"/>
  <c r="CG58" i="5"/>
  <c r="CG78" i="2"/>
  <c r="CF78" i="2"/>
  <c r="CF312" i="6"/>
  <c r="CG100" i="5"/>
  <c r="CF304" i="2"/>
  <c r="CG304" i="2"/>
  <c r="CG464" i="2"/>
  <c r="CG434" i="6"/>
  <c r="CF402" i="6"/>
  <c r="CG253" i="5"/>
  <c r="CF263" i="2"/>
  <c r="CG298" i="6"/>
  <c r="CF97" i="2"/>
  <c r="CF219" i="2"/>
  <c r="CF427" i="2"/>
  <c r="CF298" i="6"/>
  <c r="CG184" i="5"/>
  <c r="CF230" i="5"/>
  <c r="CG234" i="2"/>
  <c r="CF241" i="2"/>
  <c r="CF305" i="5"/>
  <c r="CF154" i="2"/>
  <c r="CF234" i="2"/>
  <c r="CG330" i="2"/>
  <c r="CG13" i="6"/>
  <c r="CF438" i="2"/>
  <c r="CG438" i="5"/>
  <c r="CF176" i="5"/>
  <c r="CF116" i="5"/>
  <c r="CG149" i="5"/>
  <c r="CG107" i="5"/>
  <c r="CG197" i="2"/>
  <c r="CF64" i="2"/>
  <c r="CF287" i="2"/>
  <c r="CF457" i="2"/>
  <c r="CG121" i="2"/>
  <c r="CF186" i="6"/>
  <c r="CF53" i="2"/>
  <c r="CF66" i="6"/>
  <c r="CG251" i="5"/>
  <c r="CF387" i="5"/>
  <c r="CF299" i="5"/>
  <c r="CF235" i="6"/>
  <c r="CG85" i="6"/>
  <c r="CG246" i="5"/>
  <c r="CG293" i="2"/>
  <c r="CG27" i="5"/>
  <c r="CG438" i="2"/>
  <c r="CF368" i="5"/>
  <c r="CG455" i="5"/>
  <c r="CG258" i="5"/>
  <c r="CG55" i="2"/>
  <c r="CF435" i="5"/>
  <c r="CF451" i="6"/>
  <c r="CG217" i="5"/>
  <c r="CG445" i="6"/>
  <c r="CG360" i="2"/>
  <c r="CF202" i="2"/>
  <c r="CF63" i="2"/>
  <c r="CG461" i="6"/>
  <c r="CG106" i="5"/>
  <c r="CF448" i="6"/>
  <c r="CG198" i="6"/>
  <c r="CG419" i="5"/>
  <c r="CG245" i="5"/>
  <c r="CF110" i="2"/>
  <c r="CG287" i="5"/>
  <c r="CF445" i="6"/>
  <c r="CF34" i="2"/>
  <c r="CG163" i="2"/>
  <c r="CF415" i="5"/>
  <c r="CG64" i="2"/>
  <c r="CF460" i="2"/>
  <c r="CG473" i="5"/>
  <c r="CF287" i="5"/>
  <c r="CF68" i="5"/>
  <c r="CF293" i="5"/>
  <c r="CF360" i="2"/>
  <c r="CG202" i="2"/>
  <c r="CG63" i="2"/>
  <c r="CF163" i="2"/>
  <c r="CF461" i="6"/>
  <c r="CG362" i="5"/>
  <c r="CG457" i="2"/>
  <c r="CG444" i="5"/>
  <c r="CF217" i="5"/>
  <c r="CG62" i="5"/>
  <c r="CF75" i="6"/>
  <c r="CG448" i="6"/>
  <c r="CF329" i="2"/>
  <c r="CG32" i="2"/>
  <c r="CF236" i="6"/>
  <c r="CG89" i="2"/>
  <c r="CF370" i="5"/>
  <c r="CG370" i="5"/>
  <c r="CF352" i="5"/>
  <c r="CF452" i="2"/>
  <c r="CF417" i="2"/>
  <c r="CG417" i="2"/>
  <c r="CF448" i="2"/>
  <c r="CG448" i="2"/>
  <c r="CG104" i="6"/>
  <c r="CF104" i="6"/>
  <c r="CF158" i="2"/>
  <c r="CG278" i="6"/>
  <c r="CF278" i="6"/>
  <c r="CG425" i="5"/>
  <c r="CF218" i="5"/>
  <c r="CF429" i="2"/>
  <c r="CG429" i="2"/>
  <c r="CF145" i="2"/>
  <c r="CF402" i="5"/>
  <c r="CG402" i="5"/>
  <c r="CF390" i="2"/>
  <c r="CG390" i="2"/>
  <c r="CG454" i="6"/>
  <c r="CF454" i="6"/>
  <c r="CG428" i="6"/>
  <c r="CF428" i="6"/>
  <c r="CG407" i="2"/>
  <c r="CF407" i="2"/>
  <c r="CG374" i="2"/>
  <c r="CF374" i="2"/>
  <c r="CG145" i="2"/>
  <c r="CF461" i="2"/>
  <c r="CG339" i="2"/>
  <c r="CG395" i="2"/>
  <c r="CG390" i="6"/>
  <c r="CG17" i="5"/>
  <c r="CF17" i="5"/>
  <c r="CF27" i="2"/>
  <c r="CG88" i="2"/>
  <c r="CG461" i="2"/>
  <c r="CG255" i="6"/>
  <c r="CF255" i="6"/>
  <c r="CG474" i="6"/>
  <c r="CF82" i="6"/>
  <c r="CG82" i="6"/>
  <c r="CF450" i="2"/>
  <c r="CF243" i="6"/>
  <c r="CG243" i="6"/>
  <c r="CG170" i="5"/>
  <c r="CF170" i="5"/>
  <c r="CF460" i="5"/>
  <c r="CG460" i="5"/>
  <c r="CF357" i="6"/>
  <c r="CG357" i="6"/>
  <c r="CF20" i="5"/>
  <c r="CG20" i="5"/>
  <c r="CG98" i="6"/>
  <c r="CF98" i="6"/>
  <c r="CG125" i="6"/>
  <c r="CG355" i="2"/>
  <c r="CF355" i="2"/>
  <c r="CG146" i="2"/>
  <c r="CF146" i="2"/>
  <c r="CG315" i="6"/>
  <c r="CF315" i="6"/>
  <c r="CG227" i="5"/>
  <c r="CF227" i="5"/>
  <c r="CG65" i="2"/>
  <c r="CF65" i="2"/>
  <c r="CF81" i="2"/>
  <c r="CG81" i="2"/>
  <c r="CG368" i="2"/>
  <c r="CG351" i="5"/>
  <c r="CF351" i="5"/>
  <c r="CG256" i="5"/>
  <c r="CF256" i="5"/>
  <c r="CF53" i="5"/>
  <c r="CG53" i="5"/>
  <c r="CG320" i="5"/>
  <c r="CF320" i="5"/>
  <c r="CG325" i="2"/>
  <c r="CG13" i="5"/>
  <c r="CF13" i="5"/>
  <c r="CF190" i="6"/>
  <c r="CG190" i="6"/>
  <c r="CG441" i="5"/>
  <c r="CF441" i="5"/>
  <c r="CG104" i="5"/>
  <c r="CF104" i="5"/>
  <c r="CF178" i="6"/>
  <c r="CG178" i="6"/>
  <c r="CG317" i="5"/>
  <c r="CF317" i="5"/>
  <c r="CF279" i="5"/>
  <c r="CG279" i="5"/>
  <c r="CG390" i="5"/>
  <c r="CF390" i="5"/>
  <c r="CG442" i="5"/>
  <c r="CF442" i="5"/>
  <c r="CG105" i="2"/>
  <c r="CG250" i="6"/>
  <c r="CF250" i="6"/>
  <c r="CG64" i="6"/>
  <c r="CF64" i="6"/>
  <c r="CF106" i="6"/>
  <c r="CG106" i="6"/>
  <c r="CG447" i="5"/>
  <c r="CF18" i="6"/>
  <c r="CF219" i="5"/>
  <c r="CG219" i="5"/>
  <c r="CF44" i="2"/>
  <c r="CG44" i="2"/>
  <c r="CF462" i="6"/>
  <c r="CG462" i="6"/>
  <c r="CF292" i="6"/>
  <c r="CG292" i="6"/>
  <c r="CF470" i="6"/>
  <c r="CG470" i="6"/>
  <c r="CF77" i="6"/>
  <c r="CG77" i="6"/>
  <c r="CG449" i="2"/>
  <c r="CF449" i="2"/>
  <c r="CG302" i="6"/>
  <c r="CF302" i="6"/>
  <c r="CF367" i="5"/>
  <c r="CG367" i="5"/>
  <c r="CG262" i="6"/>
  <c r="CF262" i="6"/>
  <c r="CF467" i="6"/>
  <c r="CG467" i="6"/>
  <c r="CG260" i="2"/>
  <c r="CF260" i="2"/>
  <c r="CG47" i="6"/>
  <c r="CF47" i="6"/>
  <c r="CG410" i="6"/>
  <c r="CF410" i="6"/>
  <c r="CF249" i="6"/>
  <c r="CG249" i="6"/>
  <c r="CG468" i="5"/>
  <c r="CF468" i="5"/>
  <c r="CF88" i="5"/>
  <c r="CG88" i="5"/>
  <c r="CF90" i="6"/>
  <c r="CG90" i="6"/>
  <c r="CG257" i="6"/>
  <c r="CF257" i="6"/>
  <c r="CG161" i="5"/>
  <c r="CF161" i="5"/>
  <c r="CG193" i="6"/>
  <c r="CG371" i="5"/>
  <c r="CF371" i="5"/>
  <c r="CF174" i="6"/>
  <c r="CG174" i="6"/>
  <c r="CG394" i="6"/>
  <c r="CF394" i="6"/>
  <c r="CF312" i="5"/>
  <c r="CG312" i="5"/>
  <c r="CF210" i="5"/>
  <c r="CG210" i="5"/>
  <c r="CF254" i="6"/>
  <c r="CG254" i="6"/>
  <c r="CF433" i="2"/>
  <c r="CG433" i="2"/>
  <c r="CG409" i="5"/>
  <c r="CF409" i="5"/>
  <c r="CF99" i="6"/>
  <c r="CG220" i="6"/>
  <c r="CF475" i="2"/>
  <c r="CG475" i="2"/>
  <c r="CF349" i="6"/>
  <c r="CG349" i="6"/>
  <c r="CG160" i="2"/>
  <c r="CF160" i="2"/>
  <c r="CF448" i="5"/>
  <c r="CG448" i="5"/>
  <c r="CG209" i="2"/>
  <c r="CF209" i="2"/>
  <c r="CF122" i="5"/>
  <c r="CG122" i="5"/>
  <c r="CF375" i="6"/>
  <c r="CG375" i="6"/>
  <c r="CF348" i="5"/>
  <c r="CG348" i="5"/>
  <c r="CF253" i="2"/>
  <c r="CG253" i="2"/>
  <c r="CF222" i="5"/>
  <c r="CG222" i="5"/>
  <c r="CF82" i="2"/>
  <c r="CG82" i="2"/>
  <c r="CF54" i="2"/>
  <c r="CG54" i="2"/>
  <c r="CF199" i="5"/>
  <c r="CG199" i="5"/>
  <c r="CG234" i="5"/>
  <c r="CF234" i="5"/>
  <c r="CG209" i="5"/>
  <c r="CF209" i="5"/>
  <c r="CF414" i="6"/>
  <c r="CG414" i="6"/>
  <c r="CG309" i="2"/>
  <c r="CF309" i="2"/>
  <c r="CG481" i="5"/>
  <c r="CF481" i="5"/>
  <c r="CF110" i="6"/>
  <c r="CG110" i="6"/>
  <c r="CF441" i="2"/>
  <c r="CG441" i="2"/>
  <c r="CF468" i="2"/>
  <c r="CG468" i="2"/>
  <c r="CG34" i="6"/>
  <c r="CF34" i="6"/>
  <c r="CG90" i="2"/>
  <c r="CF222" i="6"/>
  <c r="CG222" i="6"/>
  <c r="CG417" i="6"/>
  <c r="CF417" i="6"/>
  <c r="CF206" i="5"/>
  <c r="CG206" i="5"/>
  <c r="CF444" i="6"/>
  <c r="CG444" i="6"/>
  <c r="CG149" i="6"/>
  <c r="CF149" i="6"/>
  <c r="CF51" i="6"/>
  <c r="CG51" i="6"/>
  <c r="CG332" i="2"/>
  <c r="CF332" i="2"/>
  <c r="CG413" i="6"/>
  <c r="CF401" i="6"/>
  <c r="CG401" i="6"/>
  <c r="CF258" i="2"/>
  <c r="CG258" i="2"/>
  <c r="CF210" i="2"/>
  <c r="CG210" i="2"/>
  <c r="CG173" i="5"/>
  <c r="CF173" i="5"/>
  <c r="CF21" i="6"/>
  <c r="CG21" i="6"/>
  <c r="CF263" i="5"/>
  <c r="CG263" i="5"/>
  <c r="CG45" i="5"/>
  <c r="CF307" i="2"/>
  <c r="CG307" i="2"/>
  <c r="CG40" i="5"/>
  <c r="CF40" i="5"/>
  <c r="CG30" i="6"/>
  <c r="CF30" i="6"/>
  <c r="CF79" i="5"/>
  <c r="CG79" i="5"/>
  <c r="CF78" i="5"/>
  <c r="CG78" i="5"/>
  <c r="CG26" i="6"/>
  <c r="CF26" i="6"/>
  <c r="CG83" i="2"/>
  <c r="CF83" i="2"/>
  <c r="CG131" i="2"/>
  <c r="CF131" i="2"/>
  <c r="CF394" i="5"/>
  <c r="CG394" i="5"/>
  <c r="CG293" i="6"/>
  <c r="CF293" i="6"/>
  <c r="CG15" i="2"/>
  <c r="CF15" i="2"/>
  <c r="CF183" i="2"/>
  <c r="CG183" i="2"/>
  <c r="CF277" i="2"/>
  <c r="CG480" i="2"/>
  <c r="CG219" i="6"/>
  <c r="CF219" i="6"/>
  <c r="CG119" i="6"/>
  <c r="CF119" i="6"/>
  <c r="CG159" i="2"/>
  <c r="CF159" i="2"/>
  <c r="CG422" i="5"/>
  <c r="CF422" i="5"/>
  <c r="CG86" i="2"/>
  <c r="CF86" i="2"/>
  <c r="CF291" i="6"/>
  <c r="CG291" i="6"/>
  <c r="CF118" i="5"/>
  <c r="CG323" i="6"/>
  <c r="CF309" i="5"/>
  <c r="CG309" i="5"/>
  <c r="CG54" i="5"/>
  <c r="CF54" i="5"/>
  <c r="CG359" i="6"/>
  <c r="CF414" i="5"/>
  <c r="CG474" i="5"/>
  <c r="CF474" i="5"/>
  <c r="CG303" i="6"/>
  <c r="CF303" i="6"/>
  <c r="CG415" i="2"/>
  <c r="CF415" i="2"/>
  <c r="CF197" i="5"/>
  <c r="CG197" i="5"/>
  <c r="CG215" i="5"/>
  <c r="CF215" i="5"/>
  <c r="CG290" i="5"/>
  <c r="CF299" i="2"/>
  <c r="CG299" i="2"/>
  <c r="CF231" i="5"/>
  <c r="CG231" i="5"/>
  <c r="CG229" i="6"/>
  <c r="CF128" i="6"/>
  <c r="CG128" i="6"/>
  <c r="CF92" i="5"/>
  <c r="CG92" i="5"/>
  <c r="CF46" i="5"/>
  <c r="CG46" i="5"/>
  <c r="CG131" i="5"/>
  <c r="CF131" i="5"/>
  <c r="CF299" i="6"/>
  <c r="CF243" i="2"/>
  <c r="CG243" i="2"/>
  <c r="CF101" i="2"/>
  <c r="CG101" i="2"/>
  <c r="CG277" i="5"/>
  <c r="CF453" i="2"/>
  <c r="CF258" i="6"/>
  <c r="CG258" i="6"/>
  <c r="CF241" i="6"/>
  <c r="CG241" i="6"/>
  <c r="CG447" i="6"/>
  <c r="CF447" i="6"/>
  <c r="CF74" i="5"/>
  <c r="CG74" i="5"/>
  <c r="CF211" i="2"/>
  <c r="CG211" i="2"/>
  <c r="CG248" i="2"/>
  <c r="CF248" i="2"/>
  <c r="CF59" i="2"/>
  <c r="CG59" i="2"/>
  <c r="CF475" i="6"/>
  <c r="CG475" i="6"/>
  <c r="CG359" i="2"/>
  <c r="CF359" i="2"/>
  <c r="CF422" i="6"/>
  <c r="CG422" i="6"/>
  <c r="CF374" i="6"/>
  <c r="CG374" i="6"/>
  <c r="CG162" i="6"/>
  <c r="CF162" i="6"/>
  <c r="CG236" i="5"/>
  <c r="CF236" i="5"/>
  <c r="CF440" i="6"/>
  <c r="CG440" i="6"/>
  <c r="CF14" i="5"/>
  <c r="CG14" i="5"/>
  <c r="CF319" i="6"/>
  <c r="CG319" i="6"/>
  <c r="CF345" i="2"/>
  <c r="CG345" i="2"/>
  <c r="CG175" i="6"/>
  <c r="CF175" i="6"/>
  <c r="CF38" i="6"/>
  <c r="CG38" i="6"/>
  <c r="CF43" i="5"/>
  <c r="CG43" i="5"/>
  <c r="CF49" i="5"/>
  <c r="CG49" i="5"/>
  <c r="CF238" i="6"/>
  <c r="CG238" i="6"/>
  <c r="CF227" i="6"/>
  <c r="CG227" i="6"/>
  <c r="CF181" i="2"/>
  <c r="CG181" i="2"/>
  <c r="CF30" i="5"/>
  <c r="CG30" i="5"/>
  <c r="CF202" i="5"/>
  <c r="CG202" i="5"/>
  <c r="CG471" i="5"/>
  <c r="CF300" i="5"/>
  <c r="CG82" i="5"/>
  <c r="CF82" i="5"/>
  <c r="CF122" i="2"/>
  <c r="CG122" i="2"/>
  <c r="CG480" i="5"/>
  <c r="CF287" i="6"/>
  <c r="CG370" i="6"/>
  <c r="CG337" i="5"/>
  <c r="CF337" i="5"/>
  <c r="CF322" i="6"/>
  <c r="CG322" i="6"/>
  <c r="CG279" i="2"/>
  <c r="CF279" i="2"/>
  <c r="CG410" i="2"/>
  <c r="CF410" i="2"/>
  <c r="CF443" i="2"/>
  <c r="CG443" i="2"/>
  <c r="CG465" i="6"/>
  <c r="CF465" i="6"/>
  <c r="CG333" i="5"/>
  <c r="CF333" i="5"/>
  <c r="CF335" i="6"/>
  <c r="CG335" i="6"/>
  <c r="CF101" i="5"/>
  <c r="CG101" i="5"/>
  <c r="CF39" i="6"/>
  <c r="CG39" i="6"/>
  <c r="CF162" i="5"/>
  <c r="CG162" i="5"/>
  <c r="CF440" i="2"/>
  <c r="CF368" i="2"/>
  <c r="CF45" i="5"/>
  <c r="CF90" i="2"/>
  <c r="CG81" i="6"/>
  <c r="CG293" i="5"/>
  <c r="CG440" i="2"/>
  <c r="CG232" i="5"/>
  <c r="CG99" i="6"/>
  <c r="CG18" i="6"/>
  <c r="CF362" i="5"/>
  <c r="CF413" i="6"/>
  <c r="CG123" i="5"/>
  <c r="CF451" i="5"/>
  <c r="CF148" i="2"/>
  <c r="CG247" i="6"/>
  <c r="CG263" i="2"/>
  <c r="CF455" i="5"/>
  <c r="CG321" i="5"/>
  <c r="CF311" i="2"/>
  <c r="CF245" i="5"/>
  <c r="CG324" i="2"/>
  <c r="CG126" i="2"/>
  <c r="CF126" i="2"/>
  <c r="CG41" i="5"/>
  <c r="CF41" i="5"/>
  <c r="CF224" i="2"/>
  <c r="CG224" i="2"/>
  <c r="CG403" i="2"/>
  <c r="CF403" i="2"/>
  <c r="CF351" i="6"/>
  <c r="CG351" i="6"/>
  <c r="CG166" i="5"/>
  <c r="CF166" i="5"/>
  <c r="CF471" i="6"/>
  <c r="CG471" i="6"/>
  <c r="CF190" i="5"/>
  <c r="CG190" i="5"/>
  <c r="CF444" i="2"/>
  <c r="CG444" i="2"/>
  <c r="CG230" i="6"/>
  <c r="CF230" i="6"/>
  <c r="CG25" i="5"/>
  <c r="CG200" i="6"/>
  <c r="CG198" i="5"/>
  <c r="CF198" i="5"/>
  <c r="CF345" i="5"/>
  <c r="CG345" i="5"/>
  <c r="CG103" i="5"/>
  <c r="CF103" i="5"/>
  <c r="CF169" i="6"/>
  <c r="CG169" i="6"/>
  <c r="CG194" i="5"/>
  <c r="CF194" i="5"/>
  <c r="CG340" i="5"/>
  <c r="CF340" i="5"/>
  <c r="CG260" i="5"/>
  <c r="CF260" i="5"/>
  <c r="CG223" i="2"/>
  <c r="CF223" i="2"/>
  <c r="CF183" i="5"/>
  <c r="CG183" i="5"/>
  <c r="CF225" i="5"/>
  <c r="CG225" i="5"/>
  <c r="CG303" i="5"/>
  <c r="CF303" i="5"/>
  <c r="CF458" i="5"/>
  <c r="CG458" i="5"/>
  <c r="CF94" i="2"/>
  <c r="CG481" i="6"/>
  <c r="CF481" i="6"/>
  <c r="CG41" i="6"/>
  <c r="CF41" i="6"/>
  <c r="CG395" i="6"/>
  <c r="CF395" i="6"/>
  <c r="CF304" i="6"/>
  <c r="CG304" i="6"/>
  <c r="CG437" i="2"/>
  <c r="CF61" i="6"/>
  <c r="CG61" i="6"/>
  <c r="CF150" i="6"/>
  <c r="CG150" i="6"/>
  <c r="CF440" i="5"/>
  <c r="CG440" i="5"/>
  <c r="CF166" i="2"/>
  <c r="CG166" i="2"/>
  <c r="CG248" i="5"/>
  <c r="CF248" i="5"/>
  <c r="CG404" i="2"/>
  <c r="CF404" i="2"/>
  <c r="CF40" i="2"/>
  <c r="CG40" i="2"/>
  <c r="CG330" i="5"/>
  <c r="CF330" i="5"/>
  <c r="CF167" i="6"/>
  <c r="CG167" i="6"/>
  <c r="CG256" i="6"/>
  <c r="CF256" i="6"/>
  <c r="CF234" i="6"/>
  <c r="CG234" i="6"/>
  <c r="CF71" i="6"/>
  <c r="CG71" i="6"/>
  <c r="CF435" i="2"/>
  <c r="CG435" i="2"/>
  <c r="CG22" i="2"/>
  <c r="CF22" i="2"/>
  <c r="CG50" i="2"/>
  <c r="CF50" i="2"/>
  <c r="CG89" i="5"/>
  <c r="CF89" i="5"/>
  <c r="CG91" i="5"/>
  <c r="CF91" i="5"/>
  <c r="CF220" i="5"/>
  <c r="CF369" i="6"/>
  <c r="CG369" i="6"/>
  <c r="CF213" i="5"/>
  <c r="CG213" i="5"/>
  <c r="CG212" i="5"/>
  <c r="CF212" i="5"/>
  <c r="CF178" i="5"/>
  <c r="CG178" i="5"/>
  <c r="CG165" i="6"/>
  <c r="CF165" i="6"/>
  <c r="CF207" i="2"/>
  <c r="CG207" i="2"/>
  <c r="CF222" i="2"/>
  <c r="CG222" i="2"/>
  <c r="CG239" i="6"/>
  <c r="CF239" i="6"/>
  <c r="CF331" i="6"/>
  <c r="CG437" i="5"/>
  <c r="CF437" i="5"/>
  <c r="CG393" i="6"/>
  <c r="CF393" i="6"/>
  <c r="CG449" i="5"/>
  <c r="CF449" i="5"/>
  <c r="CF285" i="6"/>
  <c r="CG285" i="6"/>
  <c r="CF398" i="2"/>
  <c r="CG398" i="2"/>
  <c r="CF298" i="5"/>
  <c r="CG298" i="5"/>
  <c r="CG241" i="5"/>
  <c r="CF241" i="5"/>
  <c r="CG358" i="5"/>
  <c r="CF358" i="5"/>
  <c r="CF364" i="6"/>
  <c r="CG364" i="6"/>
  <c r="CF155" i="6"/>
  <c r="CG155" i="6"/>
  <c r="CG45" i="6"/>
  <c r="CF45" i="6"/>
  <c r="CG257" i="5"/>
  <c r="CF257" i="5"/>
  <c r="CF450" i="5"/>
  <c r="CG450" i="5"/>
  <c r="CG103" i="2"/>
  <c r="CF103" i="2"/>
  <c r="CF294" i="2"/>
  <c r="CG294" i="2"/>
  <c r="CG314" i="2"/>
  <c r="CF314" i="2"/>
  <c r="CF29" i="2"/>
  <c r="CG29" i="2"/>
  <c r="CF188" i="5"/>
  <c r="CG188" i="5"/>
  <c r="CF62" i="2"/>
  <c r="CG62" i="2"/>
  <c r="CF145" i="6"/>
  <c r="CG145" i="6"/>
  <c r="CG46" i="6"/>
  <c r="CF46" i="6"/>
  <c r="CF479" i="2"/>
  <c r="CG479" i="2"/>
  <c r="CF47" i="5"/>
  <c r="CG47" i="5"/>
  <c r="CF58" i="2"/>
  <c r="CG58" i="2"/>
  <c r="CG331" i="6"/>
  <c r="CG220" i="5"/>
  <c r="CF83" i="6"/>
  <c r="CF437" i="2"/>
  <c r="CG94" i="2"/>
  <c r="CG337" i="6"/>
  <c r="CF337" i="6"/>
  <c r="CF320" i="6"/>
  <c r="CG320" i="6"/>
  <c r="CG391" i="5"/>
  <c r="CF391" i="5"/>
  <c r="CF177" i="5"/>
  <c r="CG177" i="5"/>
  <c r="CF59" i="6"/>
  <c r="CG59" i="6"/>
  <c r="CF44" i="5"/>
  <c r="CG44" i="5"/>
  <c r="CF328" i="2"/>
  <c r="CG328" i="2"/>
  <c r="CG95" i="2"/>
  <c r="CF95" i="2"/>
  <c r="CF22" i="6"/>
  <c r="CG22" i="6"/>
  <c r="CF328" i="5"/>
  <c r="CF359" i="5"/>
  <c r="CG359" i="5"/>
  <c r="CG66" i="5"/>
  <c r="CF66" i="5"/>
  <c r="CF226" i="5"/>
  <c r="CF151" i="5"/>
  <c r="CG151" i="5"/>
  <c r="CF437" i="6"/>
  <c r="CF113" i="6"/>
  <c r="CG113" i="6"/>
  <c r="CG214" i="2"/>
  <c r="CF214" i="2"/>
  <c r="CF280" i="5"/>
  <c r="CG280" i="5"/>
  <c r="CF83" i="5"/>
  <c r="CG83" i="5"/>
  <c r="CG256" i="2"/>
  <c r="CF256" i="2"/>
  <c r="CF368" i="6"/>
  <c r="CG368" i="6"/>
  <c r="CF281" i="6"/>
  <c r="CG452" i="6"/>
  <c r="CF452" i="6"/>
  <c r="CG277" i="6"/>
  <c r="CF277" i="6"/>
  <c r="CF334" i="6"/>
  <c r="CG334" i="6"/>
  <c r="CF169" i="5"/>
  <c r="CG169" i="5"/>
  <c r="CF464" i="5"/>
  <c r="CG464" i="5"/>
  <c r="CG153" i="6"/>
  <c r="CF153" i="6"/>
  <c r="CF313" i="6"/>
  <c r="CF70" i="6"/>
  <c r="CG128" i="2"/>
  <c r="CF128" i="2"/>
  <c r="CF31" i="5"/>
  <c r="CG31" i="5"/>
  <c r="CG104" i="2"/>
  <c r="CF104" i="2"/>
  <c r="CG198" i="2"/>
  <c r="CF198" i="2"/>
  <c r="CF342" i="6"/>
  <c r="CG342" i="6"/>
  <c r="CF392" i="6"/>
  <c r="CG392" i="6"/>
  <c r="CF129" i="2"/>
  <c r="CG419" i="2"/>
  <c r="CF419" i="2"/>
  <c r="CF179" i="2"/>
  <c r="CG179" i="2"/>
  <c r="CF331" i="5"/>
  <c r="CF288" i="2"/>
  <c r="CG288" i="2"/>
  <c r="CG354" i="6"/>
  <c r="CG249" i="2"/>
  <c r="CF249" i="2"/>
  <c r="CF464" i="6"/>
  <c r="CG464" i="6"/>
  <c r="CG405" i="6"/>
  <c r="CF405" i="6"/>
  <c r="CG465" i="5"/>
  <c r="CF298" i="2"/>
  <c r="CG298" i="2"/>
  <c r="CG418" i="5"/>
  <c r="CF418" i="5"/>
  <c r="CF67" i="6"/>
  <c r="CG67" i="6"/>
  <c r="CG223" i="6"/>
  <c r="CF223" i="6"/>
  <c r="CG315" i="5"/>
  <c r="CF315" i="5"/>
  <c r="CF38" i="2"/>
  <c r="CG38" i="2"/>
  <c r="CG105" i="6"/>
  <c r="CF105" i="6"/>
  <c r="CG323" i="2"/>
  <c r="CF98" i="5"/>
  <c r="CG98" i="5"/>
  <c r="CG289" i="5"/>
  <c r="CF289" i="5"/>
  <c r="CG250" i="5"/>
  <c r="CF250" i="5"/>
  <c r="CF100" i="2"/>
  <c r="CG100" i="2"/>
  <c r="CF26" i="2"/>
  <c r="CG26" i="2"/>
  <c r="CF420" i="5"/>
  <c r="CG117" i="5"/>
  <c r="CF117" i="5"/>
  <c r="CF76" i="5"/>
  <c r="CG76" i="5"/>
  <c r="CG335" i="2"/>
  <c r="CF335" i="2"/>
  <c r="CF428" i="2"/>
  <c r="CG428" i="2"/>
  <c r="CF176" i="2"/>
  <c r="CG176" i="2"/>
  <c r="CF65" i="5"/>
  <c r="CG92" i="6"/>
  <c r="CF335" i="5"/>
  <c r="CG335" i="5"/>
  <c r="CG318" i="6"/>
  <c r="CG397" i="2"/>
  <c r="CF243" i="5"/>
  <c r="CG243" i="5"/>
  <c r="CF261" i="6"/>
  <c r="CG261" i="6"/>
  <c r="CF196" i="2"/>
  <c r="CG196" i="2"/>
  <c r="CG423" i="2"/>
  <c r="CF423" i="2"/>
  <c r="CF300" i="6"/>
  <c r="CG300" i="6"/>
  <c r="CF178" i="2"/>
  <c r="CG178" i="2"/>
  <c r="CG172" i="5"/>
  <c r="CF172" i="5"/>
  <c r="CF43" i="2"/>
  <c r="CG43" i="2"/>
  <c r="CG281" i="6"/>
  <c r="CG313" i="6"/>
  <c r="CF92" i="6"/>
  <c r="CF32" i="5"/>
  <c r="CF483" i="5"/>
  <c r="CF65" i="6"/>
  <c r="CG65" i="6"/>
  <c r="CG372" i="6"/>
  <c r="CF372" i="6"/>
  <c r="CF451" i="2"/>
  <c r="CG451" i="2"/>
  <c r="CF164" i="5"/>
  <c r="CG164" i="5"/>
  <c r="CG350" i="2"/>
  <c r="CF130" i="2"/>
  <c r="CG130" i="2"/>
  <c r="CF126" i="6"/>
  <c r="CG126" i="6"/>
  <c r="CF146" i="5"/>
  <c r="CF432" i="5"/>
  <c r="CG432" i="5"/>
  <c r="CG124" i="5"/>
  <c r="CF124" i="5"/>
  <c r="CF314" i="5"/>
  <c r="CG314" i="5"/>
  <c r="CG421" i="6"/>
  <c r="CF421" i="6"/>
  <c r="CG201" i="6"/>
  <c r="CF201" i="6"/>
  <c r="CG372" i="2"/>
  <c r="CF372" i="2"/>
  <c r="CG354" i="5"/>
  <c r="CG184" i="2"/>
  <c r="CF184" i="2"/>
  <c r="CF101" i="6"/>
  <c r="CG101" i="6"/>
  <c r="CF43" i="6"/>
  <c r="CG43" i="6"/>
  <c r="CG42" i="6"/>
  <c r="CF42" i="6"/>
  <c r="CG35" i="2"/>
  <c r="CF35" i="2"/>
  <c r="CG165" i="5"/>
  <c r="CF165" i="5"/>
  <c r="CF420" i="6"/>
  <c r="CG420" i="6"/>
  <c r="CF235" i="2"/>
  <c r="CG235" i="2"/>
  <c r="CF179" i="5"/>
  <c r="CG179" i="5"/>
  <c r="CG19" i="6"/>
  <c r="CG194" i="2"/>
  <c r="CF194" i="2"/>
  <c r="CF99" i="2"/>
  <c r="CG99" i="2"/>
  <c r="CF462" i="2"/>
  <c r="CG462" i="2"/>
  <c r="CF39" i="5"/>
  <c r="CG39" i="5"/>
  <c r="CG355" i="6"/>
  <c r="CF475" i="5"/>
  <c r="CF158" i="6"/>
  <c r="CG158" i="6"/>
  <c r="CG352" i="2"/>
  <c r="CF352" i="2"/>
  <c r="CF87" i="2"/>
  <c r="CG87" i="2"/>
  <c r="CG465" i="2"/>
  <c r="CF465" i="2"/>
  <c r="CF99" i="5"/>
  <c r="CG99" i="5"/>
  <c r="CF147" i="5"/>
  <c r="CG147" i="5"/>
  <c r="CG483" i="6"/>
  <c r="CG462" i="5"/>
  <c r="CF462" i="5"/>
  <c r="CF454" i="2"/>
  <c r="CG454" i="2"/>
  <c r="CG55" i="6"/>
  <c r="CF55" i="6"/>
  <c r="CG109" i="2"/>
  <c r="CF109" i="2"/>
  <c r="CF471" i="2"/>
  <c r="CG471" i="2"/>
  <c r="CF423" i="6"/>
  <c r="CG423" i="6"/>
  <c r="CF233" i="6"/>
  <c r="CG233" i="6"/>
  <c r="CG59" i="5"/>
  <c r="CF59" i="5"/>
  <c r="CG29" i="6"/>
  <c r="CF29" i="6"/>
  <c r="CF371" i="6"/>
  <c r="CG371" i="6"/>
  <c r="CF93" i="6"/>
  <c r="CG106" i="2"/>
  <c r="CF106" i="2"/>
  <c r="CG67" i="5"/>
  <c r="CF67" i="5"/>
  <c r="CF245" i="6"/>
  <c r="CG245" i="6"/>
  <c r="CG211" i="6"/>
  <c r="CG428" i="5"/>
  <c r="CF418" i="2"/>
  <c r="CG418" i="2"/>
  <c r="CG403" i="6"/>
  <c r="CG172" i="6"/>
  <c r="CF172" i="6"/>
  <c r="CF19" i="5"/>
  <c r="CG19" i="5"/>
  <c r="CG175" i="5"/>
  <c r="CF175" i="5"/>
  <c r="CF242" i="6"/>
  <c r="CG242" i="6"/>
  <c r="CG347" i="6"/>
  <c r="CF347" i="6"/>
  <c r="CF424" i="5"/>
  <c r="CG342" i="5"/>
  <c r="CF342" i="5"/>
  <c r="CF42" i="2"/>
  <c r="CG42" i="2"/>
  <c r="CF482" i="2"/>
  <c r="CG482" i="2"/>
  <c r="CG431" i="5"/>
  <c r="CF431" i="5"/>
  <c r="CF200" i="5"/>
  <c r="CG200" i="5"/>
  <c r="CF186" i="5"/>
  <c r="CG186" i="5"/>
  <c r="CG111" i="2"/>
  <c r="CF111" i="2"/>
  <c r="CF311" i="6"/>
  <c r="CG311" i="6"/>
  <c r="CF147" i="6"/>
  <c r="CG282" i="5"/>
  <c r="CF282" i="5"/>
  <c r="CG185" i="5"/>
  <c r="CF185" i="5"/>
  <c r="CG418" i="6"/>
  <c r="CF418" i="6"/>
  <c r="CF237" i="2"/>
  <c r="CG237" i="2"/>
  <c r="CG320" i="2"/>
  <c r="CF339" i="6"/>
  <c r="CG339" i="6"/>
  <c r="CG472" i="2"/>
  <c r="CF472" i="2"/>
  <c r="CG291" i="5"/>
  <c r="CF291" i="5"/>
  <c r="CF285" i="2"/>
  <c r="CG285" i="2"/>
  <c r="CG325" i="5"/>
  <c r="CF325" i="5"/>
  <c r="CF405" i="5"/>
  <c r="CG405" i="5"/>
  <c r="CF414" i="2"/>
  <c r="CG414" i="2"/>
  <c r="CF387" i="2"/>
  <c r="CG387" i="2"/>
  <c r="CG327" i="6"/>
  <c r="CF327" i="6"/>
  <c r="CG284" i="6"/>
  <c r="CF284" i="6"/>
  <c r="CG457" i="6"/>
  <c r="CF457" i="6"/>
  <c r="CG254" i="2"/>
  <c r="CF254" i="2"/>
  <c r="CF247" i="2"/>
  <c r="CG247" i="2"/>
  <c r="CG212" i="6"/>
  <c r="CF212" i="6"/>
  <c r="CG361" i="2"/>
  <c r="CG73" i="5"/>
  <c r="CF73" i="5"/>
  <c r="CF213" i="6"/>
  <c r="CG213" i="6"/>
  <c r="CF149" i="2"/>
  <c r="CG149" i="2"/>
  <c r="CF109" i="5"/>
  <c r="CF259" i="2"/>
  <c r="CG259" i="2"/>
  <c r="CG319" i="5"/>
  <c r="CF319" i="5"/>
  <c r="CF203" i="5"/>
  <c r="CG203" i="5"/>
  <c r="CG158" i="5"/>
  <c r="CF158" i="5"/>
  <c r="CF196" i="5"/>
  <c r="CG196" i="5"/>
  <c r="CG117" i="2"/>
  <c r="CF117" i="2"/>
  <c r="CG370" i="2"/>
  <c r="CF370" i="2"/>
  <c r="CG162" i="2"/>
  <c r="CF162" i="2"/>
  <c r="CF481" i="2"/>
  <c r="CF429" i="5"/>
  <c r="CG429" i="5"/>
  <c r="CG485" i="2"/>
  <c r="CF485" i="2"/>
  <c r="CF58" i="6"/>
  <c r="CG58" i="6"/>
  <c r="CG211" i="5"/>
  <c r="CF211" i="5"/>
  <c r="CG308" i="2"/>
  <c r="CG391" i="6"/>
  <c r="CF391" i="6"/>
  <c r="CF191" i="6"/>
  <c r="CF187" i="6"/>
  <c r="CG187" i="6"/>
  <c r="CG78" i="6"/>
  <c r="CF78" i="6"/>
  <c r="CG388" i="5"/>
  <c r="CF388" i="5"/>
  <c r="CF155" i="2"/>
  <c r="CG155" i="2"/>
  <c r="CG130" i="5"/>
  <c r="CF130" i="5"/>
  <c r="CF439" i="5"/>
  <c r="CG439" i="5"/>
  <c r="CF74" i="2"/>
  <c r="CF302" i="5"/>
  <c r="CG302" i="5"/>
  <c r="CG333" i="6"/>
  <c r="CG128" i="5"/>
  <c r="CF128" i="5"/>
  <c r="CF409" i="2"/>
  <c r="CG409" i="2"/>
  <c r="CG174" i="5"/>
  <c r="CF174" i="5"/>
  <c r="CF186" i="2"/>
  <c r="CG186" i="2"/>
  <c r="CF94" i="5"/>
  <c r="CG94" i="5"/>
  <c r="CG56" i="2"/>
  <c r="CF56" i="2"/>
  <c r="CG255" i="5"/>
  <c r="CF255" i="5"/>
  <c r="CF404" i="6"/>
  <c r="CF29" i="5"/>
  <c r="CG29" i="5"/>
  <c r="CF439" i="2"/>
  <c r="CG439" i="2"/>
  <c r="CG37" i="2"/>
  <c r="CF37" i="2"/>
  <c r="CF308" i="5"/>
  <c r="CG116" i="6"/>
  <c r="CF116" i="6"/>
  <c r="CG284" i="2"/>
  <c r="CF284" i="2"/>
  <c r="CF54" i="6"/>
  <c r="CF375" i="5"/>
  <c r="CG375" i="5"/>
  <c r="CG31" i="2"/>
  <c r="CF31" i="2"/>
  <c r="CF389" i="5"/>
  <c r="CG285" i="5"/>
  <c r="CF285" i="5"/>
  <c r="CF254" i="5"/>
  <c r="CG254" i="5"/>
  <c r="CF150" i="5"/>
  <c r="CG150" i="5"/>
  <c r="CG181" i="5"/>
  <c r="CF181" i="5"/>
  <c r="CF389" i="6"/>
  <c r="CG389" i="6"/>
  <c r="CF246" i="2"/>
  <c r="CF413" i="5"/>
  <c r="CG413" i="5"/>
  <c r="CF399" i="2"/>
  <c r="CG399" i="2"/>
  <c r="CG473" i="2"/>
  <c r="CF473" i="2"/>
  <c r="CG289" i="6"/>
  <c r="CG28" i="5"/>
  <c r="CF28" i="5"/>
  <c r="CG308" i="5"/>
  <c r="CG74" i="2"/>
  <c r="CF354" i="6"/>
  <c r="CG475" i="5"/>
  <c r="CG129" i="2"/>
  <c r="CG389" i="5"/>
  <c r="CF289" i="6"/>
  <c r="CF354" i="5"/>
  <c r="CG83" i="6"/>
  <c r="CF19" i="6"/>
  <c r="CG430" i="6"/>
  <c r="CF428" i="5"/>
  <c r="CG246" i="2"/>
  <c r="CF211" i="6"/>
  <c r="CF472" i="5"/>
  <c r="CG56" i="5"/>
  <c r="CF56" i="5"/>
  <c r="CF469" i="2"/>
  <c r="CG469" i="2"/>
  <c r="CF365" i="2"/>
  <c r="CG365" i="2"/>
  <c r="CF88" i="2"/>
  <c r="CF210" i="6"/>
  <c r="CF425" i="5"/>
  <c r="CF89" i="2"/>
  <c r="CF410" i="5"/>
  <c r="CG352" i="5"/>
  <c r="CG452" i="2"/>
  <c r="CG432" i="2"/>
  <c r="CF339" i="2"/>
  <c r="CG27" i="2"/>
  <c r="CG121" i="5"/>
  <c r="CG158" i="2"/>
  <c r="CF390" i="6"/>
  <c r="CG151" i="2"/>
  <c r="CF151" i="2"/>
  <c r="CG236" i="6"/>
  <c r="CG365" i="6"/>
  <c r="CF352" i="6"/>
  <c r="CF423" i="5"/>
  <c r="CF209" i="6"/>
  <c r="CF111" i="5"/>
  <c r="CG280" i="2"/>
  <c r="CF121" i="5"/>
  <c r="CG295" i="2"/>
  <c r="CG20" i="6"/>
  <c r="CF20" i="6"/>
  <c r="CF474" i="6"/>
  <c r="CF395" i="2"/>
  <c r="CF196" i="6"/>
  <c r="CF467" i="2"/>
  <c r="CF364" i="5"/>
  <c r="CG423" i="5"/>
  <c r="CG111" i="5"/>
  <c r="CG209" i="6"/>
  <c r="CG218" i="5"/>
  <c r="CG261" i="5"/>
  <c r="CF261" i="5"/>
  <c r="CG147" i="2"/>
  <c r="CF147" i="2"/>
  <c r="CF278" i="2"/>
  <c r="CG278" i="2"/>
  <c r="CG124" i="6"/>
  <c r="CF124" i="6"/>
  <c r="C25" i="9"/>
  <c r="B25" i="9"/>
  <c r="E25" i="9"/>
  <c r="F25" i="9"/>
  <c r="D25" i="9" l="1"/>
  <c r="G26" i="9" s="1"/>
  <c r="BP201" i="7"/>
  <c r="BP441" i="6"/>
  <c r="BQ20" i="5"/>
  <c r="BQ147" i="6"/>
  <c r="BQ313" i="2"/>
  <c r="BP319" i="7"/>
  <c r="BP483" i="6"/>
  <c r="BQ438" i="5"/>
  <c r="BS111" i="7"/>
  <c r="BN318" i="7"/>
  <c r="BQ313" i="7"/>
  <c r="BQ295" i="6"/>
  <c r="BQ265" i="7"/>
  <c r="BP16" i="6"/>
  <c r="BQ66" i="5"/>
  <c r="BS64" i="7"/>
  <c r="BO27" i="7"/>
  <c r="BQ53" i="6"/>
  <c r="BQ233" i="7"/>
  <c r="BP209" i="2"/>
  <c r="BT45" i="7"/>
  <c r="BQ106" i="5"/>
  <c r="BQ185" i="5"/>
  <c r="BP320" i="5"/>
  <c r="BP395" i="2"/>
  <c r="BO49" i="7"/>
  <c r="BQ227" i="2"/>
  <c r="BP413" i="2"/>
  <c r="BO15" i="7"/>
  <c r="BP409" i="6"/>
  <c r="BP384" i="6"/>
  <c r="BP281" i="5"/>
  <c r="BN244" i="7"/>
  <c r="BQ492" i="6"/>
  <c r="BQ266" i="5"/>
  <c r="BP355" i="6"/>
  <c r="BS316" i="7"/>
  <c r="BP478" i="6"/>
  <c r="BO320" i="7"/>
  <c r="BT134" i="7"/>
  <c r="BS61" i="7"/>
  <c r="BP30" i="7"/>
  <c r="BP95" i="7"/>
  <c r="BQ92" i="7"/>
  <c r="BS89" i="7"/>
  <c r="BN251" i="7"/>
  <c r="BQ269" i="5"/>
  <c r="BP223" i="5"/>
  <c r="BQ484" i="6"/>
  <c r="BQ191" i="6"/>
  <c r="BP53" i="7"/>
  <c r="BO140" i="7"/>
  <c r="BQ451" i="5"/>
  <c r="BP295" i="5"/>
  <c r="BQ161" i="6"/>
  <c r="BP110" i="6"/>
  <c r="BQ328" i="6"/>
  <c r="BP342" i="5"/>
  <c r="BQ343" i="2"/>
  <c r="BQ358" i="6"/>
  <c r="BQ223" i="7"/>
  <c r="BQ227" i="7"/>
  <c r="BP365" i="6"/>
  <c r="BQ207" i="6"/>
  <c r="BQ126" i="7"/>
  <c r="BQ340" i="6"/>
  <c r="BO78" i="7"/>
  <c r="BN273" i="7"/>
  <c r="BS295" i="7"/>
  <c r="BN292" i="7"/>
  <c r="BQ289" i="6"/>
  <c r="BQ124" i="5"/>
  <c r="BP165" i="5"/>
  <c r="BP500" i="6"/>
  <c r="BP273" i="5"/>
  <c r="BQ481" i="6"/>
  <c r="BQ152" i="2"/>
  <c r="BP393" i="5"/>
  <c r="BO102" i="7"/>
  <c r="BQ170" i="5"/>
  <c r="BQ458" i="2"/>
  <c r="BP405" i="5"/>
  <c r="BQ30" i="7"/>
  <c r="BQ483" i="6"/>
  <c r="BP214" i="2"/>
  <c r="BP125" i="7"/>
  <c r="BS197" i="7"/>
  <c r="BQ223" i="5"/>
  <c r="BQ308" i="7"/>
  <c r="BP152" i="5"/>
  <c r="BQ64" i="5"/>
  <c r="BP127" i="2"/>
  <c r="BQ35" i="7"/>
  <c r="BP182" i="5"/>
  <c r="BS297" i="7"/>
  <c r="BO86" i="7"/>
  <c r="BS161" i="7"/>
  <c r="BQ431" i="5"/>
  <c r="BT114" i="7"/>
  <c r="BQ174" i="6"/>
  <c r="BP368" i="5"/>
  <c r="BQ257" i="7"/>
  <c r="BQ16" i="6"/>
  <c r="BQ251" i="6"/>
  <c r="BN316" i="7"/>
  <c r="BP17" i="6"/>
  <c r="BO129" i="7"/>
  <c r="BQ237" i="6"/>
  <c r="BT111" i="7"/>
  <c r="BO146" i="7"/>
  <c r="BQ47" i="6"/>
  <c r="BQ173" i="7"/>
  <c r="BQ327" i="6"/>
  <c r="BQ326" i="7"/>
  <c r="BP230" i="5"/>
  <c r="BP128" i="6"/>
  <c r="BO296" i="7"/>
  <c r="BP319" i="5"/>
  <c r="BQ213" i="2"/>
  <c r="BP434" i="5"/>
  <c r="BO127" i="7"/>
  <c r="BQ285" i="5"/>
  <c r="BQ86" i="7"/>
  <c r="BQ85" i="7"/>
  <c r="BP208" i="2"/>
  <c r="BQ369" i="6"/>
  <c r="BP297" i="6"/>
  <c r="BP401" i="6"/>
  <c r="BQ183" i="6"/>
  <c r="BP117" i="7"/>
  <c r="BP147" i="5"/>
  <c r="BQ414" i="5"/>
  <c r="BT290" i="7"/>
  <c r="BO251" i="7"/>
  <c r="BP389" i="5"/>
  <c r="BQ42" i="2"/>
  <c r="BS77" i="7"/>
  <c r="BP441" i="5"/>
  <c r="BP111" i="7"/>
  <c r="BQ21" i="2"/>
  <c r="BQ262" i="7"/>
  <c r="BP257" i="5"/>
  <c r="BQ159" i="6"/>
  <c r="BQ411" i="5"/>
  <c r="BP105" i="6"/>
  <c r="BN22" i="7"/>
  <c r="BQ374" i="2"/>
  <c r="BT18" i="7"/>
  <c r="BO307" i="7"/>
  <c r="BP378" i="5"/>
  <c r="BQ447" i="6"/>
  <c r="BS326" i="7"/>
  <c r="BQ412" i="5"/>
  <c r="BP348" i="5"/>
  <c r="BP247" i="5"/>
  <c r="BQ203" i="7"/>
  <c r="BQ34" i="2"/>
  <c r="BQ171" i="5"/>
  <c r="BP273" i="7"/>
  <c r="BQ489" i="5"/>
  <c r="BT151" i="7"/>
  <c r="BN203" i="7"/>
  <c r="BQ263" i="6"/>
  <c r="BO273" i="7"/>
  <c r="BO202" i="7"/>
  <c r="BN200" i="7"/>
  <c r="BQ365" i="6"/>
  <c r="BP435" i="5"/>
  <c r="BT279" i="7"/>
  <c r="BT227" i="7"/>
  <c r="BQ86" i="5"/>
  <c r="BQ334" i="6"/>
  <c r="BQ38" i="7"/>
  <c r="BT273" i="7"/>
  <c r="BQ192" i="7"/>
  <c r="BQ327" i="5"/>
  <c r="BP464" i="2"/>
  <c r="BT20" i="7"/>
  <c r="BQ16" i="2"/>
  <c r="BS69" i="7"/>
  <c r="BS38" i="7"/>
  <c r="BP220" i="2"/>
  <c r="BQ88" i="7"/>
  <c r="BT214" i="7"/>
  <c r="BP13" i="2"/>
  <c r="BQ444" i="2"/>
  <c r="BN36" i="7"/>
  <c r="BN207" i="7"/>
  <c r="BQ147" i="2"/>
  <c r="BO119" i="7"/>
  <c r="BQ50" i="7"/>
  <c r="BP251" i="7"/>
  <c r="BP85" i="7"/>
  <c r="BT289" i="7"/>
  <c r="BQ285" i="6"/>
  <c r="BQ312" i="6"/>
  <c r="BP103" i="6"/>
  <c r="BT217" i="7"/>
  <c r="BP109" i="7"/>
  <c r="BT198" i="7"/>
  <c r="BP198" i="7"/>
  <c r="BN155" i="7"/>
  <c r="BQ394" i="2"/>
  <c r="BP457" i="6"/>
  <c r="BP313" i="7"/>
  <c r="BP206" i="5"/>
  <c r="BS267" i="7"/>
  <c r="BQ166" i="6"/>
  <c r="BQ463" i="6"/>
  <c r="BP44" i="6"/>
  <c r="BQ408" i="2"/>
  <c r="BP87" i="6"/>
  <c r="BS292" i="7"/>
  <c r="BP117" i="2"/>
  <c r="BP27" i="2"/>
  <c r="BQ275" i="5"/>
  <c r="BT133" i="7"/>
  <c r="BN232" i="7"/>
  <c r="BP489" i="5"/>
  <c r="BQ176" i="6"/>
  <c r="BQ110" i="2"/>
  <c r="BO237" i="7"/>
  <c r="BP116" i="6"/>
  <c r="BP157" i="5"/>
  <c r="BS41" i="7"/>
  <c r="BQ381" i="2"/>
  <c r="BP461" i="5"/>
  <c r="BP85" i="2"/>
  <c r="BQ200" i="5"/>
  <c r="BP238" i="5"/>
  <c r="BS176" i="7"/>
  <c r="BQ411" i="2"/>
  <c r="BQ298" i="6"/>
  <c r="BS235" i="7"/>
  <c r="BN25" i="7"/>
  <c r="BO20" i="7"/>
  <c r="BQ158" i="5"/>
  <c r="BQ334" i="5"/>
  <c r="BP311" i="7"/>
  <c r="BP397" i="2"/>
  <c r="BO134" i="7"/>
  <c r="BP193" i="2"/>
  <c r="BP502" i="2"/>
  <c r="BQ118" i="5"/>
  <c r="BQ90" i="2"/>
  <c r="BT231" i="7"/>
  <c r="BQ32" i="7"/>
  <c r="BQ157" i="6"/>
  <c r="BQ415" i="2"/>
  <c r="BQ425" i="5"/>
  <c r="BN307" i="7"/>
  <c r="BQ149" i="6"/>
  <c r="BP312" i="5"/>
  <c r="BP313" i="5"/>
  <c r="BN114" i="7"/>
  <c r="BQ484" i="2"/>
  <c r="BP327" i="6"/>
  <c r="BS217" i="7"/>
  <c r="BP438" i="6"/>
  <c r="BN149" i="7"/>
  <c r="BP422" i="2"/>
  <c r="BO137" i="7"/>
  <c r="BP118" i="6"/>
  <c r="BN49" i="7"/>
  <c r="BQ179" i="5"/>
  <c r="BO71" i="7"/>
  <c r="BP142" i="7"/>
  <c r="BS231" i="7"/>
  <c r="BS99" i="7"/>
  <c r="BP86" i="6"/>
  <c r="BQ139" i="2"/>
  <c r="BS79" i="7"/>
  <c r="BQ24" i="7"/>
  <c r="BQ14" i="7"/>
  <c r="BP56" i="6"/>
  <c r="BP144" i="7"/>
  <c r="BQ159" i="2"/>
  <c r="BT135" i="7"/>
  <c r="BS91" i="7"/>
  <c r="BQ450" i="5"/>
  <c r="BT131" i="7"/>
  <c r="BP378" i="6"/>
  <c r="BS50" i="7"/>
  <c r="BS130" i="7"/>
  <c r="BQ259" i="7"/>
  <c r="BQ149" i="5"/>
  <c r="BQ381" i="5"/>
  <c r="BN91" i="7"/>
  <c r="BS221" i="7"/>
  <c r="BP494" i="6"/>
  <c r="BP500" i="2"/>
  <c r="BQ500" i="5"/>
  <c r="BQ393" i="2"/>
  <c r="BT46" i="7"/>
  <c r="BP255" i="2"/>
  <c r="BQ444" i="5"/>
  <c r="BQ306" i="7"/>
  <c r="BP489" i="2"/>
  <c r="BQ219" i="5"/>
  <c r="BP268" i="2"/>
  <c r="BQ195" i="2"/>
  <c r="BP442" i="5"/>
  <c r="BP387" i="5"/>
  <c r="BP353" i="5"/>
  <c r="BP59" i="7"/>
  <c r="BQ222" i="2"/>
  <c r="BQ319" i="5"/>
  <c r="BQ71" i="7"/>
  <c r="BP60" i="7"/>
  <c r="BS175" i="7"/>
  <c r="BP143" i="7"/>
  <c r="BN221" i="7"/>
  <c r="BQ101" i="5"/>
  <c r="BQ297" i="5"/>
  <c r="BQ139" i="6"/>
  <c r="BP25" i="7"/>
  <c r="BQ133" i="5"/>
  <c r="BQ129" i="5"/>
  <c r="BP20" i="6"/>
  <c r="BQ493" i="6"/>
  <c r="BS122" i="7"/>
  <c r="BO271" i="7"/>
  <c r="BS101" i="7"/>
  <c r="BQ138" i="5"/>
  <c r="BQ109" i="2"/>
  <c r="BQ268" i="2"/>
  <c r="BP394" i="2"/>
  <c r="BO131" i="7"/>
  <c r="BQ302" i="6"/>
  <c r="BQ234" i="7"/>
  <c r="BQ76" i="2"/>
  <c r="BP246" i="7"/>
  <c r="BO55" i="7"/>
  <c r="BN310" i="7"/>
  <c r="BP198" i="2"/>
  <c r="BQ225" i="7"/>
  <c r="BQ457" i="2"/>
  <c r="BP484" i="2"/>
  <c r="BP31" i="2"/>
  <c r="BS87" i="7"/>
  <c r="BP105" i="2"/>
  <c r="BN217" i="7"/>
  <c r="BQ254" i="5"/>
  <c r="BP424" i="5"/>
  <c r="BP255" i="5"/>
  <c r="BQ40" i="6"/>
  <c r="BP330" i="6"/>
  <c r="BO261" i="7"/>
  <c r="BP227" i="2"/>
  <c r="BT39" i="7"/>
  <c r="BP212" i="7"/>
  <c r="BP352" i="6"/>
  <c r="BQ355" i="2"/>
  <c r="BP279" i="6"/>
  <c r="BP244" i="2"/>
  <c r="BQ281" i="5"/>
  <c r="BQ135" i="6"/>
  <c r="BP276" i="7"/>
  <c r="BT233" i="7"/>
  <c r="BQ52" i="7"/>
  <c r="BQ78" i="7"/>
  <c r="BP235" i="5"/>
  <c r="BN86" i="7"/>
  <c r="BT76" i="7"/>
  <c r="BP221" i="7"/>
  <c r="BT277" i="7"/>
  <c r="BQ38" i="6"/>
  <c r="BP52" i="7"/>
  <c r="BP41" i="2"/>
  <c r="BQ324" i="5"/>
  <c r="BO38" i="7"/>
  <c r="BO143" i="7"/>
  <c r="BP159" i="7"/>
  <c r="BQ152" i="6"/>
  <c r="BP39" i="6"/>
  <c r="BP425" i="6"/>
  <c r="BQ227" i="5"/>
  <c r="BP111" i="6"/>
  <c r="BQ249" i="6"/>
  <c r="BT243" i="7"/>
  <c r="BQ43" i="6"/>
  <c r="BT305" i="7"/>
  <c r="BP435" i="6"/>
  <c r="BO299" i="7"/>
  <c r="BS35" i="7"/>
  <c r="BP166" i="5"/>
  <c r="BQ214" i="7"/>
  <c r="BQ308" i="5"/>
  <c r="BP279" i="7"/>
  <c r="BQ97" i="5"/>
  <c r="BQ28" i="7"/>
  <c r="BQ250" i="5"/>
  <c r="BP152" i="2"/>
  <c r="BQ413" i="6"/>
  <c r="BN174" i="7"/>
  <c r="BP121" i="7"/>
  <c r="BQ237" i="2"/>
  <c r="BS321" i="7"/>
  <c r="BP425" i="2"/>
  <c r="BP54" i="2"/>
  <c r="BS97" i="7"/>
  <c r="BO179" i="7"/>
  <c r="BS162" i="7"/>
  <c r="BP299" i="7"/>
  <c r="BT315" i="7"/>
  <c r="BQ197" i="5"/>
  <c r="BN32" i="7"/>
  <c r="BQ394" i="6"/>
  <c r="BP213" i="2"/>
  <c r="BQ501" i="5"/>
  <c r="BQ417" i="6"/>
  <c r="BP198" i="5"/>
  <c r="BQ210" i="2"/>
  <c r="BS164" i="7"/>
  <c r="BP328" i="5"/>
  <c r="BO170" i="7"/>
  <c r="BQ399" i="5"/>
  <c r="BP191" i="2"/>
  <c r="BQ107" i="2"/>
  <c r="BP492" i="6"/>
  <c r="BP440" i="5"/>
  <c r="BP155" i="2"/>
  <c r="BQ454" i="2"/>
  <c r="BS83" i="7"/>
  <c r="BP103" i="2"/>
  <c r="BO187" i="7"/>
  <c r="BQ14" i="6"/>
  <c r="BP448" i="2"/>
  <c r="BP460" i="5"/>
  <c r="BP225" i="5"/>
  <c r="BN313" i="7"/>
  <c r="BQ58" i="2"/>
  <c r="BQ200" i="7"/>
  <c r="BP98" i="6"/>
  <c r="BQ292" i="2"/>
  <c r="BQ230" i="7"/>
  <c r="BP161" i="7"/>
  <c r="BQ218" i="2"/>
  <c r="BP419" i="2"/>
  <c r="BQ351" i="5"/>
  <c r="BQ41" i="5"/>
  <c r="BS252" i="7"/>
  <c r="BP419" i="5"/>
  <c r="BN47" i="7"/>
  <c r="BN101" i="7"/>
  <c r="BQ271" i="6"/>
  <c r="BQ489" i="2"/>
  <c r="BP59" i="2"/>
  <c r="BQ453" i="5"/>
  <c r="BP159" i="5"/>
  <c r="BP176" i="2"/>
  <c r="BQ479" i="5"/>
  <c r="BQ157" i="2"/>
  <c r="BN212" i="7"/>
  <c r="BQ339" i="6"/>
  <c r="BP413" i="5"/>
  <c r="BQ30" i="5"/>
  <c r="BP43" i="2"/>
  <c r="BN308" i="7"/>
  <c r="BP123" i="6"/>
  <c r="BS286" i="7"/>
  <c r="BQ190" i="6"/>
  <c r="BP157" i="7"/>
  <c r="BP373" i="6"/>
  <c r="BP318" i="5"/>
  <c r="BQ88" i="5"/>
  <c r="BP427" i="6"/>
  <c r="BP219" i="2"/>
  <c r="BP312" i="7"/>
  <c r="BS198" i="7"/>
  <c r="BP343" i="5"/>
  <c r="BP31" i="7"/>
  <c r="BT36" i="7"/>
  <c r="BQ468" i="6"/>
  <c r="BO205" i="7"/>
  <c r="BQ258" i="6"/>
  <c r="BP40" i="2"/>
  <c r="BP292" i="6"/>
  <c r="BQ188" i="2"/>
  <c r="BP33" i="2"/>
  <c r="BN102" i="7"/>
  <c r="BQ76" i="6"/>
  <c r="BQ107" i="6"/>
  <c r="BP360" i="5"/>
  <c r="BQ147" i="5"/>
  <c r="BP139" i="2"/>
  <c r="BO162" i="7"/>
  <c r="BQ19" i="7"/>
  <c r="BT30" i="7"/>
  <c r="BP175" i="5"/>
  <c r="BP34" i="2"/>
  <c r="BO132" i="7"/>
  <c r="BQ478" i="5"/>
  <c r="BT56" i="7"/>
  <c r="BQ421" i="2"/>
  <c r="BN306" i="7"/>
  <c r="BQ37" i="6"/>
  <c r="BP315" i="5"/>
  <c r="BN220" i="7"/>
  <c r="BS186" i="7"/>
  <c r="BQ429" i="2"/>
  <c r="BQ310" i="2"/>
  <c r="BP451" i="2"/>
  <c r="BT191" i="7"/>
  <c r="BS262" i="7"/>
  <c r="BP35" i="2"/>
  <c r="BQ345" i="6"/>
  <c r="BP455" i="2"/>
  <c r="BQ23" i="6"/>
  <c r="BP444" i="5"/>
  <c r="BP260" i="7"/>
  <c r="BQ39" i="5"/>
  <c r="BQ148" i="7"/>
  <c r="BQ131" i="2"/>
  <c r="BQ102" i="2"/>
  <c r="BS182" i="7"/>
  <c r="BS157" i="7"/>
  <c r="BP71" i="6"/>
  <c r="BQ41" i="2"/>
  <c r="BO52" i="7"/>
  <c r="BQ27" i="2"/>
  <c r="BN223" i="7"/>
  <c r="BQ453" i="6"/>
  <c r="BQ335" i="5"/>
  <c r="BP57" i="6"/>
  <c r="BQ302" i="5"/>
  <c r="BQ13" i="6"/>
  <c r="BQ220" i="2"/>
  <c r="BQ301" i="5"/>
  <c r="BP470" i="5"/>
  <c r="BN205" i="7"/>
  <c r="BP196" i="5"/>
  <c r="BN99" i="7"/>
  <c r="BN92" i="7"/>
  <c r="BO269" i="7"/>
  <c r="BP27" i="7"/>
  <c r="BP190" i="7"/>
  <c r="BP52" i="2"/>
  <c r="BQ387" i="6"/>
  <c r="BP166" i="2"/>
  <c r="BT104" i="7"/>
  <c r="BQ340" i="2"/>
  <c r="BQ61" i="7"/>
  <c r="BT80" i="7"/>
  <c r="BS228" i="7"/>
  <c r="BQ95" i="7"/>
  <c r="BN233" i="7"/>
  <c r="BS66" i="7"/>
  <c r="BQ304" i="6"/>
  <c r="BQ22" i="2"/>
  <c r="BN296" i="7"/>
  <c r="BQ263" i="2"/>
  <c r="BT223" i="7"/>
  <c r="BQ26" i="6"/>
  <c r="BO193" i="7"/>
  <c r="BQ362" i="5"/>
  <c r="BQ467" i="2"/>
  <c r="BQ221" i="6"/>
  <c r="BP493" i="6"/>
  <c r="BT101" i="7"/>
  <c r="BP81" i="7"/>
  <c r="BP222" i="2"/>
  <c r="BQ455" i="5"/>
  <c r="BP380" i="6"/>
  <c r="BP125" i="2"/>
  <c r="BQ310" i="7"/>
  <c r="BP310" i="6"/>
  <c r="BP115" i="7"/>
  <c r="BQ83" i="2"/>
  <c r="BP63" i="7"/>
  <c r="BQ161" i="5"/>
  <c r="BO105" i="7"/>
  <c r="BS300" i="7"/>
  <c r="BP453" i="5"/>
  <c r="BO218" i="7"/>
  <c r="BP307" i="7"/>
  <c r="BP354" i="6"/>
  <c r="BQ28" i="2"/>
  <c r="BT187" i="7"/>
  <c r="BP218" i="7"/>
  <c r="BP475" i="5"/>
  <c r="BQ274" i="5"/>
  <c r="BP351" i="6"/>
  <c r="BQ354" i="5"/>
  <c r="BO244" i="7"/>
  <c r="BQ64" i="2"/>
  <c r="BQ221" i="5"/>
  <c r="BT139" i="7"/>
  <c r="BT242" i="7"/>
  <c r="BP439" i="2"/>
  <c r="BT292" i="7"/>
  <c r="BQ439" i="6"/>
  <c r="BS179" i="7"/>
  <c r="BO92" i="7"/>
  <c r="BQ23" i="2"/>
  <c r="BQ156" i="7"/>
  <c r="BT88" i="7"/>
  <c r="BP421" i="6"/>
  <c r="BT201" i="7"/>
  <c r="BN228" i="7"/>
  <c r="BP243" i="5"/>
  <c r="BO171" i="7"/>
  <c r="BN311" i="7"/>
  <c r="BQ355" i="6"/>
  <c r="BQ227" i="6"/>
  <c r="BO53" i="7"/>
  <c r="BO14" i="7"/>
  <c r="BN169" i="7"/>
  <c r="BO141" i="7"/>
  <c r="BN93" i="7"/>
  <c r="BP104" i="6"/>
  <c r="BQ398" i="5"/>
  <c r="BQ434" i="2"/>
  <c r="BP150" i="2"/>
  <c r="BN162" i="7"/>
  <c r="BP433" i="6"/>
  <c r="BP260" i="2"/>
  <c r="BP308" i="5"/>
  <c r="BQ338" i="6"/>
  <c r="BQ370" i="6"/>
  <c r="BQ21" i="5"/>
  <c r="BN38" i="7"/>
  <c r="BQ291" i="2"/>
  <c r="BP169" i="7"/>
  <c r="BP167" i="7"/>
  <c r="BP443" i="5"/>
  <c r="BP430" i="6"/>
  <c r="BQ188" i="7"/>
  <c r="BP58" i="6"/>
  <c r="BP21" i="6"/>
  <c r="BP23" i="6"/>
  <c r="BQ458" i="6"/>
  <c r="BQ153" i="5"/>
  <c r="BO58" i="7"/>
  <c r="BQ215" i="5"/>
  <c r="BP114" i="7"/>
  <c r="BO122" i="7"/>
  <c r="BT156" i="7"/>
  <c r="BQ75" i="5"/>
  <c r="BP275" i="7"/>
  <c r="BP415" i="2"/>
  <c r="BO308" i="7"/>
  <c r="BS85" i="7"/>
  <c r="BP335" i="6"/>
  <c r="BP128" i="7"/>
  <c r="BS53" i="7"/>
  <c r="BS303" i="7"/>
  <c r="BO45" i="7"/>
  <c r="BQ221" i="7"/>
  <c r="BS90" i="7"/>
  <c r="BO158" i="7"/>
  <c r="BP242" i="7"/>
  <c r="BP239" i="5"/>
  <c r="BT146" i="7"/>
  <c r="BS146" i="7"/>
  <c r="BQ430" i="2"/>
  <c r="BO43" i="7"/>
  <c r="BQ17" i="2"/>
  <c r="BQ361" i="2"/>
  <c r="BQ205" i="2"/>
  <c r="BP447" i="5"/>
  <c r="BP148" i="5"/>
  <c r="BS70" i="7"/>
  <c r="BP479" i="5"/>
  <c r="BQ186" i="2"/>
  <c r="BS168" i="7"/>
  <c r="BQ140" i="5"/>
  <c r="BP484" i="5"/>
  <c r="BT155" i="7"/>
  <c r="BP487" i="2"/>
  <c r="BP275" i="2"/>
  <c r="BP159" i="2"/>
  <c r="BP76" i="6"/>
  <c r="BQ32" i="5"/>
  <c r="BP147" i="2"/>
  <c r="BQ255" i="7"/>
  <c r="BP105" i="7"/>
  <c r="BQ231" i="6"/>
  <c r="BP82" i="2"/>
  <c r="BS214" i="7"/>
  <c r="BP290" i="5"/>
  <c r="BS270" i="7"/>
  <c r="BP274" i="2"/>
  <c r="BP88" i="7"/>
  <c r="BP454" i="6"/>
  <c r="BQ253" i="7"/>
  <c r="BP445" i="6"/>
  <c r="BP82" i="6"/>
  <c r="BP172" i="5"/>
  <c r="BS127" i="7"/>
  <c r="BQ89" i="7"/>
  <c r="BS330" i="7"/>
  <c r="BQ74" i="2"/>
  <c r="BQ177" i="2"/>
  <c r="BP308" i="6"/>
  <c r="BQ206" i="6"/>
  <c r="BT238" i="7"/>
  <c r="BQ488" i="5"/>
  <c r="BQ25" i="2"/>
  <c r="BQ391" i="5"/>
  <c r="BP266" i="5"/>
  <c r="BQ256" i="5"/>
  <c r="BQ134" i="5"/>
  <c r="BQ311" i="7"/>
  <c r="BQ399" i="6"/>
  <c r="BQ65" i="5"/>
  <c r="BP188" i="7"/>
  <c r="BQ445" i="6"/>
  <c r="BP132" i="7"/>
  <c r="BP271" i="7"/>
  <c r="BT141" i="7"/>
  <c r="BN98" i="7"/>
  <c r="BQ331" i="6"/>
  <c r="BS277" i="7"/>
  <c r="BO245" i="7"/>
  <c r="BP411" i="2"/>
  <c r="BQ193" i="7"/>
  <c r="BS158" i="7"/>
  <c r="BP141" i="6"/>
  <c r="BQ18" i="6"/>
  <c r="BP226" i="5"/>
  <c r="BP287" i="6"/>
  <c r="BP185" i="5"/>
  <c r="BQ54" i="5"/>
  <c r="BP15" i="7"/>
  <c r="BQ145" i="5"/>
  <c r="BP256" i="7"/>
  <c r="BT203" i="7"/>
  <c r="BQ130" i="2"/>
  <c r="BO93" i="7"/>
  <c r="BP393" i="6"/>
  <c r="BT192" i="7"/>
  <c r="BP308" i="7"/>
  <c r="BQ139" i="7"/>
  <c r="BT32" i="7"/>
  <c r="BS88" i="7"/>
  <c r="BP213" i="5"/>
  <c r="BQ418" i="5"/>
  <c r="BQ56" i="5"/>
  <c r="BP162" i="2"/>
  <c r="BP127" i="7"/>
  <c r="BP249" i="2"/>
  <c r="BP468" i="6"/>
  <c r="BQ422" i="2"/>
  <c r="BP277" i="6"/>
  <c r="BQ349" i="6"/>
  <c r="BP482" i="6"/>
  <c r="BQ141" i="7"/>
  <c r="BQ104" i="2"/>
  <c r="BT293" i="7"/>
  <c r="BQ461" i="6"/>
  <c r="BN161" i="7"/>
  <c r="BO130" i="7"/>
  <c r="BP325" i="7"/>
  <c r="BP450" i="2"/>
  <c r="BP174" i="5"/>
  <c r="BP195" i="2"/>
  <c r="BQ419" i="2"/>
  <c r="BT183" i="7"/>
  <c r="BS107" i="7"/>
  <c r="BO29" i="7"/>
  <c r="BQ230" i="6"/>
  <c r="BQ494" i="6"/>
  <c r="BT330" i="7"/>
  <c r="BO198" i="7"/>
  <c r="BP455" i="5"/>
  <c r="BN305" i="7"/>
  <c r="BS310" i="7"/>
  <c r="BP488" i="6"/>
  <c r="BN173" i="7"/>
  <c r="BQ378" i="6"/>
  <c r="BQ203" i="6"/>
  <c r="BQ47" i="5"/>
  <c r="BP160" i="5"/>
  <c r="BQ94" i="7"/>
  <c r="BQ171" i="2"/>
  <c r="BS183" i="7"/>
  <c r="BT248" i="7"/>
  <c r="BO306" i="7"/>
  <c r="BP64" i="6"/>
  <c r="BS81" i="7"/>
  <c r="BQ211" i="7"/>
  <c r="BP344" i="5"/>
  <c r="BP462" i="5"/>
  <c r="BO31" i="7"/>
  <c r="BP232" i="7"/>
  <c r="BP188" i="5"/>
  <c r="BQ21" i="7"/>
  <c r="BQ385" i="5"/>
  <c r="BQ451" i="2"/>
  <c r="BP407" i="6"/>
  <c r="BQ279" i="2"/>
  <c r="BQ21" i="6"/>
  <c r="BQ92" i="5"/>
  <c r="BP41" i="6"/>
  <c r="BP432" i="6"/>
  <c r="BT212" i="7"/>
  <c r="BN279" i="7"/>
  <c r="BP323" i="5"/>
  <c r="BP137" i="2"/>
  <c r="BQ303" i="7"/>
  <c r="BT73" i="7"/>
  <c r="BP266" i="2"/>
  <c r="BN13" i="7"/>
  <c r="BP79" i="2"/>
  <c r="BP195" i="7"/>
  <c r="BP387" i="2"/>
  <c r="BQ95" i="6"/>
  <c r="BO156" i="7"/>
  <c r="BQ292" i="5"/>
  <c r="BP427" i="5"/>
  <c r="BT298" i="7"/>
  <c r="BN44" i="7"/>
  <c r="BP112" i="2"/>
  <c r="BQ281" i="6"/>
  <c r="BP440" i="2"/>
  <c r="BO165" i="7"/>
  <c r="BQ231" i="7"/>
  <c r="BP107" i="2"/>
  <c r="BS245" i="7"/>
  <c r="BP459" i="2"/>
  <c r="BP483" i="5"/>
  <c r="BQ105" i="5"/>
  <c r="BQ23" i="7"/>
  <c r="BQ116" i="5"/>
  <c r="BQ389" i="6"/>
  <c r="BP480" i="6"/>
  <c r="BQ404" i="5"/>
  <c r="BP437" i="5"/>
  <c r="BQ489" i="6"/>
  <c r="BN105" i="7"/>
  <c r="BS247" i="7"/>
  <c r="BQ421" i="6"/>
  <c r="BN87" i="7"/>
  <c r="BP473" i="6"/>
  <c r="BP300" i="6"/>
  <c r="BQ93" i="6"/>
  <c r="BO207" i="7"/>
  <c r="BT254" i="7"/>
  <c r="BQ405" i="5"/>
  <c r="BO322" i="7"/>
  <c r="BQ393" i="5"/>
  <c r="BP42" i="7"/>
  <c r="BP45" i="6"/>
  <c r="BS75" i="7"/>
  <c r="BQ498" i="5"/>
  <c r="BQ220" i="7"/>
  <c r="BQ133" i="2"/>
  <c r="BQ448" i="5"/>
  <c r="BP415" i="5"/>
  <c r="BQ164" i="2"/>
  <c r="BQ418" i="2"/>
  <c r="BT90" i="7"/>
  <c r="BP58" i="2"/>
  <c r="BP461" i="2"/>
  <c r="BQ100" i="7"/>
  <c r="BT163" i="7"/>
  <c r="BQ364" i="6"/>
  <c r="BT258" i="7"/>
  <c r="BP115" i="2"/>
  <c r="BS133" i="7"/>
  <c r="BT245" i="7"/>
  <c r="BP318" i="7"/>
  <c r="BQ118" i="7"/>
  <c r="BN181" i="7"/>
  <c r="BQ181" i="6"/>
  <c r="BS238" i="7"/>
  <c r="BQ58" i="7"/>
  <c r="BP211" i="2"/>
  <c r="BQ157" i="7"/>
  <c r="BQ363" i="5"/>
  <c r="BQ459" i="2"/>
  <c r="BP459" i="5"/>
  <c r="BP424" i="6"/>
  <c r="BQ241" i="7"/>
  <c r="BQ261" i="6"/>
  <c r="BN139" i="7"/>
  <c r="BP51" i="2"/>
  <c r="BQ62" i="7"/>
  <c r="BS312" i="7"/>
  <c r="BP325" i="6"/>
  <c r="BQ349" i="2"/>
  <c r="BQ195" i="7"/>
  <c r="BP137" i="6"/>
  <c r="BP231" i="7"/>
  <c r="BO328" i="7"/>
  <c r="BP205" i="7"/>
  <c r="BQ65" i="6"/>
  <c r="BQ115" i="6"/>
  <c r="BQ482" i="6"/>
  <c r="BN267" i="7"/>
  <c r="BP215" i="2"/>
  <c r="BP163" i="7"/>
  <c r="BT283" i="7"/>
  <c r="BQ159" i="7"/>
  <c r="BQ271" i="2"/>
  <c r="BS184" i="7"/>
  <c r="BQ198" i="6"/>
  <c r="BO257" i="7"/>
  <c r="BQ125" i="7"/>
  <c r="BQ126" i="6"/>
  <c r="BP226" i="7"/>
  <c r="BO48" i="7"/>
  <c r="BP379" i="6"/>
  <c r="BQ397" i="5"/>
  <c r="BQ225" i="6"/>
  <c r="BN168" i="7"/>
  <c r="BO212" i="7"/>
  <c r="BT128" i="7"/>
  <c r="BT178" i="7"/>
  <c r="BT251" i="7"/>
  <c r="BN89" i="7"/>
  <c r="BS174" i="7"/>
  <c r="BQ54" i="2"/>
  <c r="BP28" i="6"/>
  <c r="BQ241" i="6"/>
  <c r="BP97" i="7"/>
  <c r="BN31" i="7"/>
  <c r="BN164" i="7"/>
  <c r="BP88" i="6"/>
  <c r="BQ371" i="6"/>
  <c r="BQ321" i="2"/>
  <c r="BN177" i="7"/>
  <c r="BN312" i="7"/>
  <c r="BP265" i="7"/>
  <c r="BO312" i="7"/>
  <c r="BP179" i="7"/>
  <c r="BQ150" i="6"/>
  <c r="BQ480" i="2"/>
  <c r="BP61" i="6"/>
  <c r="BP59" i="6"/>
  <c r="BQ61" i="2"/>
  <c r="BP14" i="7"/>
  <c r="BQ193" i="2"/>
  <c r="BQ131" i="6"/>
  <c r="BP90" i="2"/>
  <c r="BQ17" i="7"/>
  <c r="BP459" i="6"/>
  <c r="BQ361" i="5"/>
  <c r="BQ73" i="6"/>
  <c r="BP212" i="5"/>
  <c r="BP199" i="7"/>
  <c r="BQ99" i="5"/>
  <c r="BQ350" i="5"/>
  <c r="BN167" i="7"/>
  <c r="BP501" i="6"/>
  <c r="BQ69" i="7"/>
  <c r="BQ234" i="6"/>
  <c r="BQ307" i="7"/>
  <c r="BT239" i="7"/>
  <c r="BT64" i="7"/>
  <c r="BQ14" i="5"/>
  <c r="BQ363" i="2"/>
  <c r="BQ459" i="5"/>
  <c r="BS239" i="7"/>
  <c r="BQ390" i="2"/>
  <c r="BO265" i="7"/>
  <c r="BO89" i="7"/>
  <c r="BP209" i="7"/>
  <c r="BQ449" i="6"/>
  <c r="BO215" i="7"/>
  <c r="BP282" i="7"/>
  <c r="BP93" i="2"/>
  <c r="BQ377" i="6"/>
  <c r="BQ405" i="2"/>
  <c r="BQ427" i="2"/>
  <c r="BQ377" i="2"/>
  <c r="BQ190" i="7"/>
  <c r="BO34" i="7"/>
  <c r="BQ403" i="2"/>
  <c r="BN326" i="7"/>
  <c r="BQ63" i="6"/>
  <c r="BP437" i="2"/>
  <c r="BN80" i="7"/>
  <c r="BN272" i="7"/>
  <c r="BT22" i="7"/>
  <c r="BQ98" i="5"/>
  <c r="BN64" i="7"/>
  <c r="BQ251" i="5"/>
  <c r="BP123" i="7"/>
  <c r="BP363" i="6"/>
  <c r="BQ235" i="2"/>
  <c r="BQ448" i="6"/>
  <c r="BQ385" i="6"/>
  <c r="BO164" i="7"/>
  <c r="BQ36" i="7"/>
  <c r="BP317" i="7"/>
  <c r="BP94" i="6"/>
  <c r="BT182" i="7"/>
  <c r="BP217" i="7"/>
  <c r="BP260" i="5"/>
  <c r="BN325" i="7"/>
  <c r="BQ185" i="2"/>
  <c r="BP292" i="7"/>
  <c r="BP247" i="7"/>
  <c r="BQ50" i="6"/>
  <c r="BT308" i="7"/>
  <c r="BQ249" i="7"/>
  <c r="BT195" i="7"/>
  <c r="BP200" i="2"/>
  <c r="BP154" i="2"/>
  <c r="BP69" i="6"/>
  <c r="BP20" i="7"/>
  <c r="BP414" i="6"/>
  <c r="BQ233" i="2"/>
  <c r="BP400" i="6"/>
  <c r="BP362" i="6"/>
  <c r="BQ248" i="5"/>
  <c r="BS230" i="7"/>
  <c r="BS265" i="7"/>
  <c r="BQ238" i="7"/>
  <c r="BQ372" i="6"/>
  <c r="BS196" i="7"/>
  <c r="BP349" i="6"/>
  <c r="BP430" i="2"/>
  <c r="BQ260" i="2"/>
  <c r="BQ283" i="7"/>
  <c r="BP273" i="2"/>
  <c r="BP18" i="2"/>
  <c r="BP405" i="2"/>
  <c r="BQ365" i="5"/>
  <c r="BQ202" i="7"/>
  <c r="BT262" i="7"/>
  <c r="BP226" i="2"/>
  <c r="BP440" i="6"/>
  <c r="BT122" i="7"/>
  <c r="BQ28" i="6"/>
  <c r="BQ68" i="5"/>
  <c r="BQ500" i="2"/>
  <c r="BT66" i="7"/>
  <c r="BQ329" i="5"/>
  <c r="BP400" i="5"/>
  <c r="BN134" i="7"/>
  <c r="BQ133" i="7"/>
  <c r="BP461" i="6"/>
  <c r="BN67" i="7"/>
  <c r="BQ455" i="6"/>
  <c r="BP322" i="7"/>
  <c r="BQ73" i="2"/>
  <c r="BQ440" i="5"/>
  <c r="BQ327" i="2"/>
  <c r="BQ401" i="5"/>
  <c r="BQ272" i="5"/>
  <c r="BQ468" i="5"/>
  <c r="BO268" i="7"/>
  <c r="BQ475" i="6"/>
  <c r="BO101" i="7"/>
  <c r="BT116" i="7"/>
  <c r="BO36" i="7"/>
  <c r="BQ163" i="5"/>
  <c r="BQ234" i="5"/>
  <c r="BS311" i="7"/>
  <c r="BP38" i="6"/>
  <c r="BP498" i="6"/>
  <c r="BP404" i="6"/>
  <c r="BQ101" i="6"/>
  <c r="BQ342" i="6"/>
  <c r="BT218" i="7"/>
  <c r="BO35" i="7"/>
  <c r="BT33" i="7"/>
  <c r="BQ316" i="7"/>
  <c r="BQ190" i="5"/>
  <c r="BQ388" i="5"/>
  <c r="BP104" i="2"/>
  <c r="BQ445" i="2"/>
  <c r="BP224" i="2"/>
  <c r="BP103" i="7"/>
  <c r="BQ73" i="5"/>
  <c r="BQ440" i="6"/>
  <c r="BN132" i="7"/>
  <c r="BQ51" i="2"/>
  <c r="BP250" i="2"/>
  <c r="BS291" i="7"/>
  <c r="BT24" i="7"/>
  <c r="BQ401" i="6"/>
  <c r="BP316" i="7"/>
  <c r="BT328" i="7"/>
  <c r="BQ360" i="5"/>
  <c r="BQ439" i="2"/>
  <c r="BT177" i="7"/>
  <c r="BT272" i="7"/>
  <c r="BQ206" i="2"/>
  <c r="BT202" i="7"/>
  <c r="BP20" i="2"/>
  <c r="BS226" i="7"/>
  <c r="BP102" i="7"/>
  <c r="BT296" i="7"/>
  <c r="BP148" i="2"/>
  <c r="BP134" i="7"/>
  <c r="BQ59" i="6"/>
  <c r="BQ41" i="7"/>
  <c r="BT159" i="7"/>
  <c r="BS29" i="7"/>
  <c r="BQ160" i="7"/>
  <c r="BQ315" i="7"/>
  <c r="BQ205" i="7"/>
  <c r="BQ337" i="5"/>
  <c r="BP321" i="6"/>
  <c r="BN323" i="7"/>
  <c r="BQ100" i="5"/>
  <c r="BT16" i="7"/>
  <c r="BS302" i="7"/>
  <c r="BQ119" i="7"/>
  <c r="BN74" i="7"/>
  <c r="BP398" i="5"/>
  <c r="BQ300" i="5"/>
  <c r="BQ74" i="5"/>
  <c r="BQ282" i="6"/>
  <c r="BN187" i="7"/>
  <c r="BQ428" i="2"/>
  <c r="BP444" i="6"/>
  <c r="BP272" i="2"/>
  <c r="BQ181" i="7"/>
  <c r="BT77" i="7"/>
  <c r="BO60" i="7"/>
  <c r="BP428" i="6"/>
  <c r="BP18" i="7"/>
  <c r="BP220" i="5"/>
  <c r="BS51" i="7"/>
  <c r="BP229" i="7"/>
  <c r="BS167" i="7"/>
  <c r="BP457" i="5"/>
  <c r="BP430" i="5"/>
  <c r="BN277" i="7"/>
  <c r="BP321" i="7"/>
  <c r="BP133" i="7"/>
  <c r="BQ46" i="6"/>
  <c r="BO275" i="7"/>
  <c r="BT230" i="7"/>
  <c r="BP270" i="2"/>
  <c r="BP94" i="7"/>
  <c r="BQ177" i="5"/>
  <c r="BS280" i="7"/>
  <c r="BN298" i="7"/>
  <c r="BQ373" i="2"/>
  <c r="BQ247" i="7"/>
  <c r="BN85" i="7"/>
  <c r="BP410" i="2"/>
  <c r="BQ321" i="5"/>
  <c r="BQ114" i="2"/>
  <c r="BT287" i="7"/>
  <c r="BQ65" i="7"/>
  <c r="BQ388" i="2"/>
  <c r="BP211" i="7"/>
  <c r="BQ80" i="7"/>
  <c r="BP302" i="7"/>
  <c r="BQ485" i="2"/>
  <c r="BQ178" i="6"/>
  <c r="BS132" i="7"/>
  <c r="BQ397" i="6"/>
  <c r="BP345" i="5"/>
  <c r="BP19" i="7"/>
  <c r="BQ370" i="5"/>
  <c r="BP409" i="2"/>
  <c r="BS31" i="7"/>
  <c r="BQ351" i="6"/>
  <c r="BP329" i="5"/>
  <c r="BQ223" i="6"/>
  <c r="BT322" i="7"/>
  <c r="BQ67" i="7"/>
  <c r="BQ374" i="6"/>
  <c r="BP19" i="2"/>
  <c r="BQ79" i="5"/>
  <c r="BQ357" i="2"/>
  <c r="BQ325" i="6"/>
  <c r="BQ127" i="7"/>
  <c r="BQ267" i="2"/>
  <c r="BQ253" i="6"/>
  <c r="BN88" i="7"/>
  <c r="BQ433" i="6"/>
  <c r="BQ388" i="6"/>
  <c r="BN201" i="7"/>
  <c r="BP46" i="6"/>
  <c r="BQ491" i="6"/>
  <c r="BQ229" i="6"/>
  <c r="BQ420" i="2"/>
  <c r="BO246" i="7"/>
  <c r="BQ209" i="2"/>
  <c r="BQ201" i="6"/>
  <c r="BQ62" i="5"/>
  <c r="BS32" i="7"/>
  <c r="BQ378" i="2"/>
  <c r="BQ167" i="6"/>
  <c r="BO87" i="7"/>
  <c r="BQ254" i="2"/>
  <c r="BP398" i="2"/>
  <c r="BP253" i="5"/>
  <c r="BP473" i="5"/>
  <c r="BP481" i="2"/>
  <c r="BQ263" i="5"/>
  <c r="BP296" i="7"/>
  <c r="BP495" i="5"/>
  <c r="BO128" i="7"/>
  <c r="BS290" i="7"/>
  <c r="BQ354" i="6"/>
  <c r="BP444" i="2"/>
  <c r="BP448" i="5"/>
  <c r="BQ201" i="2"/>
  <c r="BT286" i="7"/>
  <c r="BQ362" i="2"/>
  <c r="BP241" i="2"/>
  <c r="BQ502" i="5"/>
  <c r="BP194" i="2"/>
  <c r="BQ458" i="5"/>
  <c r="BN172" i="7"/>
  <c r="BQ101" i="7"/>
  <c r="BQ374" i="5"/>
  <c r="BN76" i="7"/>
  <c r="BT247" i="7"/>
  <c r="BP315" i="7"/>
  <c r="BQ186" i="6"/>
  <c r="BQ197" i="6"/>
  <c r="BO30" i="7"/>
  <c r="BP78" i="2"/>
  <c r="BQ53" i="5"/>
  <c r="BQ421" i="5"/>
  <c r="BQ107" i="7"/>
  <c r="BQ320" i="6"/>
  <c r="BP314" i="6"/>
  <c r="BQ443" i="5"/>
  <c r="BP142" i="2"/>
  <c r="BQ393" i="6"/>
  <c r="BT48" i="7"/>
  <c r="BQ37" i="2"/>
  <c r="BS46" i="7"/>
  <c r="BQ215" i="7"/>
  <c r="BQ380" i="2"/>
  <c r="BP258" i="7"/>
  <c r="BP293" i="7"/>
  <c r="BO107" i="7"/>
  <c r="BP135" i="7"/>
  <c r="BQ301" i="2"/>
  <c r="BQ46" i="2"/>
  <c r="BQ262" i="5"/>
  <c r="BT72" i="7"/>
  <c r="BS71" i="7"/>
  <c r="BQ462" i="6"/>
  <c r="BP194" i="5"/>
  <c r="BP284" i="6"/>
  <c r="BQ224" i="6"/>
  <c r="BQ452" i="5"/>
  <c r="BP67" i="6"/>
  <c r="BP421" i="2"/>
  <c r="BQ382" i="2"/>
  <c r="BQ184" i="2"/>
  <c r="BN115" i="7"/>
  <c r="BS123" i="7"/>
  <c r="BP14" i="6"/>
  <c r="BQ342" i="5"/>
  <c r="BQ15" i="2"/>
  <c r="BQ343" i="6"/>
  <c r="BQ318" i="7"/>
  <c r="BQ472" i="6"/>
  <c r="BN146" i="7"/>
  <c r="BP124" i="6"/>
  <c r="BQ222" i="6"/>
  <c r="BP239" i="2"/>
  <c r="BP70" i="7"/>
  <c r="BP53" i="2"/>
  <c r="BQ248" i="7"/>
  <c r="BN256" i="7"/>
  <c r="BP429" i="6"/>
  <c r="BN191" i="7"/>
  <c r="BP101" i="2"/>
  <c r="BP209" i="5"/>
  <c r="BQ39" i="7"/>
  <c r="BT326" i="7"/>
  <c r="BQ429" i="6"/>
  <c r="BN240" i="7"/>
  <c r="BQ181" i="2"/>
  <c r="BQ174" i="7"/>
  <c r="BQ385" i="2"/>
  <c r="BQ75" i="2"/>
  <c r="BP86" i="2"/>
  <c r="BQ122" i="6"/>
  <c r="BQ29" i="6"/>
  <c r="BQ246" i="2"/>
  <c r="BP285" i="7"/>
  <c r="BO227" i="7"/>
  <c r="BQ230" i="2"/>
  <c r="BQ284" i="6"/>
  <c r="BQ58" i="5"/>
  <c r="BQ237" i="5"/>
  <c r="BQ379" i="6"/>
  <c r="BQ136" i="2"/>
  <c r="BP55" i="6"/>
  <c r="BP277" i="7"/>
  <c r="BP177" i="2"/>
  <c r="BT60" i="7"/>
  <c r="BP244" i="5"/>
  <c r="BT13" i="7"/>
  <c r="BT291" i="7"/>
  <c r="BQ110" i="6"/>
  <c r="BP270" i="5"/>
  <c r="BQ292" i="6"/>
  <c r="BQ402" i="5"/>
  <c r="BP487" i="5"/>
  <c r="BQ345" i="2"/>
  <c r="BP384" i="5"/>
  <c r="BQ307" i="5"/>
  <c r="BQ490" i="2"/>
  <c r="BQ348" i="6"/>
  <c r="BP388" i="5"/>
  <c r="BP119" i="6"/>
  <c r="BQ68" i="2"/>
  <c r="BS206" i="7"/>
  <c r="BT120" i="7"/>
  <c r="BQ398" i="6"/>
  <c r="BP235" i="2"/>
  <c r="BQ418" i="6"/>
  <c r="BQ293" i="2"/>
  <c r="BO117" i="7"/>
  <c r="BP345" i="6"/>
  <c r="BQ480" i="5"/>
  <c r="BP118" i="7"/>
  <c r="BQ369" i="5"/>
  <c r="BT79" i="7"/>
  <c r="BQ294" i="6"/>
  <c r="BP207" i="7"/>
  <c r="BQ183" i="7"/>
  <c r="BP91" i="7"/>
  <c r="BS63" i="7"/>
  <c r="BQ79" i="7"/>
  <c r="BQ198" i="7"/>
  <c r="BT224" i="7"/>
  <c r="BO106" i="7"/>
  <c r="BO39" i="7"/>
  <c r="BQ49" i="6"/>
  <c r="BQ409" i="5"/>
  <c r="BQ81" i="2"/>
  <c r="BN226" i="7"/>
  <c r="BS309" i="7"/>
  <c r="BP203" i="5"/>
  <c r="BQ469" i="6"/>
  <c r="BQ241" i="5"/>
  <c r="BQ211" i="2"/>
  <c r="BP414" i="5"/>
  <c r="BQ359" i="5"/>
  <c r="BP443" i="2"/>
  <c r="BQ201" i="7"/>
  <c r="BN136" i="7"/>
  <c r="BQ164" i="7"/>
  <c r="BQ282" i="2"/>
  <c r="BQ243" i="5"/>
  <c r="BP213" i="7"/>
  <c r="BQ145" i="2"/>
  <c r="BQ140" i="6"/>
  <c r="BP335" i="5"/>
  <c r="BP475" i="2"/>
  <c r="BP74" i="7"/>
  <c r="BS159" i="7"/>
  <c r="BO174" i="7"/>
  <c r="BP350" i="5"/>
  <c r="BQ431" i="6"/>
  <c r="BO288" i="7"/>
  <c r="BQ91" i="6"/>
  <c r="BP285" i="5"/>
  <c r="BP361" i="5"/>
  <c r="BQ109" i="5"/>
  <c r="BQ251" i="2"/>
  <c r="BQ245" i="5"/>
  <c r="BP118" i="2"/>
  <c r="BP417" i="6"/>
  <c r="BQ472" i="2"/>
  <c r="BQ315" i="2"/>
  <c r="BN90" i="7"/>
  <c r="BS163" i="7"/>
  <c r="BT34" i="7"/>
  <c r="BP255" i="7"/>
  <c r="BS137" i="7"/>
  <c r="BS187" i="7"/>
  <c r="BS293" i="7"/>
  <c r="BS104" i="7"/>
  <c r="BQ126" i="2"/>
  <c r="BP73" i="6"/>
  <c r="BQ345" i="5"/>
  <c r="BQ384" i="6"/>
  <c r="BN230" i="7"/>
  <c r="BS15" i="7"/>
  <c r="BQ495" i="5"/>
  <c r="BQ265" i="5"/>
  <c r="BO16" i="7"/>
  <c r="BQ289" i="7"/>
  <c r="BQ45" i="5"/>
  <c r="BQ115" i="2"/>
  <c r="BP471" i="5"/>
  <c r="BT19" i="7"/>
  <c r="BQ253" i="5"/>
  <c r="BT267" i="7"/>
  <c r="BP418" i="2"/>
  <c r="BP89" i="6"/>
  <c r="BP128" i="2"/>
  <c r="BP309" i="6"/>
  <c r="BS49" i="7"/>
  <c r="BP177" i="5"/>
  <c r="BQ201" i="5"/>
  <c r="BS212" i="7"/>
  <c r="BN235" i="7"/>
  <c r="BN249" i="7"/>
  <c r="BP330" i="5"/>
  <c r="BS98" i="7"/>
  <c r="BQ290" i="6"/>
  <c r="BQ321" i="7"/>
  <c r="BQ314" i="5"/>
  <c r="BN156" i="7"/>
  <c r="BQ244" i="2"/>
  <c r="BQ253" i="2"/>
  <c r="BS92" i="7"/>
  <c r="BP278" i="5"/>
  <c r="BP410" i="5"/>
  <c r="BP138" i="6"/>
  <c r="BQ155" i="7"/>
  <c r="BQ494" i="5"/>
  <c r="BQ121" i="5"/>
  <c r="BQ263" i="7"/>
  <c r="BO238" i="7"/>
  <c r="BQ30" i="6"/>
  <c r="BP143" i="6"/>
  <c r="BP170" i="2"/>
  <c r="BQ451" i="6"/>
  <c r="BP130" i="7"/>
  <c r="BQ358" i="2"/>
  <c r="BQ162" i="6"/>
  <c r="BQ405" i="6"/>
  <c r="BP280" i="7"/>
  <c r="BQ199" i="5"/>
  <c r="BP34" i="6"/>
  <c r="BP493" i="5"/>
  <c r="BQ284" i="2"/>
  <c r="BP437" i="6"/>
  <c r="BP175" i="2"/>
  <c r="BP106" i="2"/>
  <c r="BO47" i="7"/>
  <c r="BN263" i="7"/>
  <c r="BP495" i="6"/>
  <c r="BP305" i="6"/>
  <c r="BQ404" i="2"/>
  <c r="BS234" i="7"/>
  <c r="BO28" i="7"/>
  <c r="BS258" i="7"/>
  <c r="BQ208" i="6"/>
  <c r="BP492" i="2"/>
  <c r="BQ202" i="6"/>
  <c r="BQ488" i="2"/>
  <c r="BP185" i="7"/>
  <c r="BQ415" i="6"/>
  <c r="BQ355" i="5"/>
  <c r="BQ69" i="5"/>
  <c r="BP361" i="6"/>
  <c r="BP165" i="2"/>
  <c r="BQ25" i="7"/>
  <c r="BQ245" i="6"/>
  <c r="BN113" i="7"/>
  <c r="BP394" i="6"/>
  <c r="BQ210" i="5"/>
  <c r="BS134" i="7"/>
  <c r="BQ186" i="7"/>
  <c r="BQ245" i="7"/>
  <c r="BQ289" i="5"/>
  <c r="BQ153" i="2"/>
  <c r="BP29" i="6"/>
  <c r="BQ194" i="6"/>
  <c r="BQ171" i="7"/>
  <c r="BN293" i="7"/>
  <c r="BQ88" i="2"/>
  <c r="BO210" i="7"/>
  <c r="BQ470" i="6"/>
  <c r="BQ226" i="5"/>
  <c r="BQ105" i="6"/>
  <c r="BP377" i="5"/>
  <c r="BS47" i="7"/>
  <c r="BQ390" i="6"/>
  <c r="BP131" i="2"/>
  <c r="BQ364" i="5"/>
  <c r="BP58" i="7"/>
  <c r="BQ283" i="6"/>
  <c r="BP46" i="2"/>
  <c r="BP324" i="6"/>
  <c r="BQ188" i="5"/>
  <c r="BP249" i="5"/>
  <c r="BP399" i="5"/>
  <c r="BP395" i="5"/>
  <c r="BQ89" i="5"/>
  <c r="BQ233" i="5"/>
  <c r="BP480" i="5"/>
  <c r="BO112" i="7"/>
  <c r="BQ202" i="5"/>
  <c r="BP392" i="5"/>
  <c r="BQ262" i="2"/>
  <c r="BQ127" i="5"/>
  <c r="BQ317" i="6"/>
  <c r="BN329" i="7"/>
  <c r="BP43" i="6"/>
  <c r="BP187" i="7"/>
  <c r="BQ430" i="6"/>
  <c r="BS44" i="7"/>
  <c r="BP248" i="7"/>
  <c r="BP293" i="5"/>
  <c r="BQ44" i="2"/>
  <c r="BQ348" i="2"/>
  <c r="BQ35" i="2"/>
  <c r="BQ361" i="6"/>
  <c r="BP410" i="6"/>
  <c r="BQ247" i="6"/>
  <c r="BP66" i="7"/>
  <c r="BQ77" i="6"/>
  <c r="BP49" i="7"/>
  <c r="BP310" i="5"/>
  <c r="BQ31" i="5"/>
  <c r="BQ128" i="5"/>
  <c r="BN48" i="7"/>
  <c r="BP322" i="6"/>
  <c r="BN196" i="7"/>
  <c r="BN300" i="7"/>
  <c r="BS328" i="7"/>
  <c r="BT74" i="7"/>
  <c r="BS313" i="7"/>
  <c r="BQ103" i="5"/>
  <c r="BQ160" i="2"/>
  <c r="BT205" i="7"/>
  <c r="BP95" i="2"/>
  <c r="BQ273" i="6"/>
  <c r="BP30" i="6"/>
  <c r="BP162" i="5"/>
  <c r="BP251" i="2"/>
  <c r="BT213" i="7"/>
  <c r="BP423" i="6"/>
  <c r="BQ312" i="7"/>
  <c r="BQ232" i="5"/>
  <c r="BN254" i="7"/>
  <c r="BQ20" i="7"/>
  <c r="BQ447" i="2"/>
  <c r="BP35" i="6"/>
  <c r="BP439" i="6"/>
  <c r="BQ463" i="2"/>
  <c r="BP449" i="5"/>
  <c r="BP388" i="2"/>
  <c r="BQ154" i="2"/>
  <c r="BP145" i="7"/>
  <c r="BS283" i="7"/>
  <c r="BT229" i="7"/>
  <c r="BP347" i="6"/>
  <c r="BQ158" i="7"/>
  <c r="BQ493" i="5"/>
  <c r="BP212" i="2"/>
  <c r="BQ93" i="7"/>
  <c r="BT123" i="7"/>
  <c r="BN53" i="7"/>
  <c r="BN46" i="7"/>
  <c r="BQ145" i="6"/>
  <c r="BP491" i="2"/>
  <c r="BN179" i="7"/>
  <c r="BQ199" i="2"/>
  <c r="BP29" i="7"/>
  <c r="BP424" i="2"/>
  <c r="BP450" i="5"/>
  <c r="BT70" i="7"/>
  <c r="BP248" i="2"/>
  <c r="BP127" i="6"/>
  <c r="BS156" i="7"/>
  <c r="BP274" i="5"/>
  <c r="BP291" i="7"/>
  <c r="BQ325" i="2"/>
  <c r="BT37" i="7"/>
  <c r="BQ134" i="7"/>
  <c r="BQ387" i="5"/>
  <c r="BS116" i="7"/>
  <c r="BO70" i="7"/>
  <c r="BQ33" i="6"/>
  <c r="BP483" i="2"/>
  <c r="BS141" i="7"/>
  <c r="BT157" i="7"/>
  <c r="BN154" i="7"/>
  <c r="BQ26" i="5"/>
  <c r="BT99" i="7"/>
  <c r="BP460" i="2"/>
  <c r="BT28" i="7"/>
  <c r="BQ162" i="2"/>
  <c r="BP299" i="5"/>
  <c r="BQ481" i="2"/>
  <c r="BP490" i="5"/>
  <c r="BP111" i="2"/>
  <c r="BT47" i="7"/>
  <c r="BQ113" i="5"/>
  <c r="BQ194" i="5"/>
  <c r="BP467" i="5"/>
  <c r="BQ368" i="5"/>
  <c r="BQ309" i="2"/>
  <c r="BP229" i="5"/>
  <c r="BQ92" i="2"/>
  <c r="BQ478" i="6"/>
  <c r="BS233" i="7"/>
  <c r="BP134" i="6"/>
  <c r="BO111" i="7"/>
  <c r="BS325" i="7"/>
  <c r="BP382" i="5"/>
  <c r="BP17" i="7"/>
  <c r="BQ143" i="2"/>
  <c r="BQ322" i="6"/>
  <c r="BS204" i="7"/>
  <c r="BQ491" i="2"/>
  <c r="BO272" i="7"/>
  <c r="BQ256" i="2"/>
  <c r="BQ318" i="6"/>
  <c r="BQ237" i="7"/>
  <c r="BQ251" i="7"/>
  <c r="BP404" i="5"/>
  <c r="BN283" i="7"/>
  <c r="BT81" i="7"/>
  <c r="BN209" i="7"/>
  <c r="BP88" i="2"/>
  <c r="BP498" i="5"/>
  <c r="BP311" i="6"/>
  <c r="BQ434" i="6"/>
  <c r="BP67" i="7"/>
  <c r="BP377" i="6"/>
  <c r="BQ481" i="5"/>
  <c r="BN269" i="7"/>
  <c r="BP13" i="6"/>
  <c r="BP146" i="7"/>
  <c r="BQ293" i="7"/>
  <c r="BT259" i="7"/>
  <c r="BO190" i="7"/>
  <c r="BT58" i="7"/>
  <c r="BS173" i="7"/>
  <c r="BQ183" i="2"/>
  <c r="BP298" i="5"/>
  <c r="BP174" i="2"/>
  <c r="BP167" i="5"/>
  <c r="BP497" i="6"/>
  <c r="BP472" i="6"/>
  <c r="BQ339" i="5"/>
  <c r="BQ328" i="7"/>
  <c r="BS147" i="7"/>
  <c r="BN297" i="7"/>
  <c r="BQ92" i="6"/>
  <c r="BO24" i="7"/>
  <c r="BS118" i="7"/>
  <c r="BP398" i="6"/>
  <c r="BP465" i="6"/>
  <c r="BS199" i="7"/>
  <c r="BQ116" i="2"/>
  <c r="BQ75" i="6"/>
  <c r="BP333" i="6"/>
  <c r="BN193" i="7"/>
  <c r="BQ57" i="5"/>
  <c r="BQ136" i="5"/>
  <c r="BO298" i="7"/>
  <c r="BQ101" i="2"/>
  <c r="BQ162" i="7"/>
  <c r="BP131" i="7"/>
  <c r="BQ53" i="7"/>
  <c r="BS171" i="7"/>
  <c r="BT200" i="7"/>
  <c r="BQ407" i="5"/>
  <c r="BO195" i="7"/>
  <c r="BQ467" i="6"/>
  <c r="BN317" i="7"/>
  <c r="BQ79" i="6"/>
  <c r="BS73" i="7"/>
  <c r="BT271" i="7"/>
  <c r="BP301" i="5"/>
  <c r="BT303" i="7"/>
  <c r="BS213" i="7"/>
  <c r="BQ420" i="6"/>
  <c r="BT241" i="7"/>
  <c r="BQ205" i="6"/>
  <c r="BQ305" i="5"/>
  <c r="BO279" i="7"/>
  <c r="BP288" i="7"/>
  <c r="BQ56" i="2"/>
  <c r="BN206" i="7"/>
  <c r="BP341" i="6"/>
  <c r="BQ129" i="7"/>
  <c r="BP124" i="2"/>
  <c r="BQ425" i="2"/>
  <c r="BQ449" i="5"/>
  <c r="BN50" i="7"/>
  <c r="BP233" i="2"/>
  <c r="BQ433" i="2"/>
  <c r="BQ409" i="2"/>
  <c r="BS256" i="7"/>
  <c r="BQ260" i="5"/>
  <c r="BQ281" i="7"/>
  <c r="BQ495" i="6"/>
  <c r="BN42" i="7"/>
  <c r="BQ265" i="2"/>
  <c r="BQ225" i="5"/>
  <c r="BQ501" i="2"/>
  <c r="BQ41" i="6"/>
  <c r="BQ43" i="7"/>
  <c r="BP203" i="2"/>
  <c r="BS140" i="7"/>
  <c r="BQ74" i="7"/>
  <c r="BQ218" i="6"/>
  <c r="BQ480" i="6"/>
  <c r="BQ176" i="5"/>
  <c r="BQ403" i="5"/>
  <c r="BP310" i="7"/>
  <c r="BQ320" i="5"/>
  <c r="BP432" i="2"/>
  <c r="BP165" i="7"/>
  <c r="BQ165" i="7"/>
  <c r="BT220" i="7"/>
  <c r="BN260" i="7"/>
  <c r="BP126" i="2"/>
  <c r="BQ278" i="6"/>
  <c r="BQ136" i="6"/>
  <c r="BP183" i="7"/>
  <c r="BP425" i="5"/>
  <c r="BS67" i="7"/>
  <c r="BQ140" i="2"/>
  <c r="BQ200" i="2"/>
  <c r="BP390" i="2"/>
  <c r="BN79" i="7"/>
  <c r="BQ77" i="5"/>
  <c r="BQ76" i="7"/>
  <c r="BQ460" i="5"/>
  <c r="BO175" i="7"/>
  <c r="BQ236" i="5"/>
  <c r="BP35" i="7"/>
  <c r="BS36" i="7"/>
  <c r="BQ312" i="2"/>
  <c r="BQ392" i="2"/>
  <c r="BQ228" i="7"/>
  <c r="BQ27" i="7"/>
  <c r="BT246" i="7"/>
  <c r="BS203" i="7"/>
  <c r="BQ159" i="5"/>
  <c r="BP49" i="2"/>
  <c r="BP450" i="6"/>
  <c r="BQ82" i="5"/>
  <c r="BQ143" i="6"/>
  <c r="BO281" i="7"/>
  <c r="BP313" i="6"/>
  <c r="BQ300" i="2"/>
  <c r="BQ278" i="2"/>
  <c r="BP162" i="7"/>
  <c r="BN280" i="7"/>
  <c r="BO73" i="7"/>
  <c r="BP420" i="5"/>
  <c r="BQ202" i="2"/>
  <c r="BP113" i="2"/>
  <c r="BO160" i="7"/>
  <c r="BP462" i="6"/>
  <c r="BP98" i="7"/>
  <c r="BP164" i="7"/>
  <c r="BT168" i="7"/>
  <c r="BP75" i="7"/>
  <c r="BQ189" i="7"/>
  <c r="BN41" i="7"/>
  <c r="BP210" i="2"/>
  <c r="BP254" i="7"/>
  <c r="BP342" i="6"/>
  <c r="BP108" i="7"/>
  <c r="BQ29" i="2"/>
  <c r="BQ112" i="6"/>
  <c r="BT181" i="7"/>
  <c r="BQ124" i="2"/>
  <c r="BQ42" i="5"/>
  <c r="BQ232" i="2"/>
  <c r="BQ61" i="5"/>
  <c r="BQ255" i="6"/>
  <c r="BP172" i="2"/>
  <c r="BT42" i="7"/>
  <c r="BQ145" i="7"/>
  <c r="BQ90" i="6"/>
  <c r="BP261" i="7"/>
  <c r="BT67" i="7"/>
  <c r="BN56" i="7"/>
  <c r="BP145" i="5"/>
  <c r="BQ428" i="6"/>
  <c r="BS261" i="7"/>
  <c r="BP237" i="5"/>
  <c r="BP21" i="7"/>
  <c r="BO64" i="7"/>
  <c r="BN70" i="7"/>
  <c r="BN225" i="7"/>
  <c r="BQ105" i="2"/>
  <c r="BP338" i="6"/>
  <c r="BQ465" i="5"/>
  <c r="BP245" i="2"/>
  <c r="BQ33" i="7"/>
  <c r="BO42" i="7"/>
  <c r="BQ55" i="7"/>
  <c r="BN106" i="7"/>
  <c r="BP389" i="2"/>
  <c r="BQ309" i="7"/>
  <c r="BP257" i="7"/>
  <c r="BS102" i="7"/>
  <c r="BN278" i="7"/>
  <c r="BO91" i="7"/>
  <c r="BQ205" i="5"/>
  <c r="BS237" i="7"/>
  <c r="BP232" i="5"/>
  <c r="BP146" i="2"/>
  <c r="BP259" i="2"/>
  <c r="BO224" i="7"/>
  <c r="BP164" i="5"/>
  <c r="BS13" i="7"/>
  <c r="BS94" i="7"/>
  <c r="BP99" i="7"/>
  <c r="BQ123" i="2"/>
  <c r="BP299" i="6"/>
  <c r="BO19" i="7"/>
  <c r="BQ170" i="7"/>
  <c r="BQ235" i="6"/>
  <c r="BP169" i="2"/>
  <c r="BP122" i="6"/>
  <c r="BN270" i="7"/>
  <c r="BQ383" i="6"/>
  <c r="BQ148" i="5"/>
  <c r="BQ358" i="5"/>
  <c r="BS260" i="7"/>
  <c r="BN266" i="7"/>
  <c r="BP485" i="2"/>
  <c r="BQ357" i="5"/>
  <c r="BO289" i="7"/>
  <c r="BP399" i="2"/>
  <c r="BQ48" i="7"/>
  <c r="BQ271" i="5"/>
  <c r="BQ467" i="5"/>
  <c r="BN291" i="7"/>
  <c r="BQ112" i="7"/>
  <c r="BN189" i="7"/>
  <c r="BP261" i="5"/>
  <c r="BP447" i="6"/>
  <c r="BQ444" i="6"/>
  <c r="BP50" i="6"/>
  <c r="BO163" i="7"/>
  <c r="BP204" i="7"/>
  <c r="BP175" i="7"/>
  <c r="BQ437" i="5"/>
  <c r="BQ249" i="2"/>
  <c r="BN103" i="7"/>
  <c r="BS33" i="7"/>
  <c r="BQ303" i="5"/>
  <c r="BP339" i="5"/>
  <c r="BN330" i="7"/>
  <c r="BP38" i="7"/>
  <c r="BP170" i="7"/>
  <c r="BP14" i="2"/>
  <c r="BO85" i="7"/>
  <c r="BQ461" i="2"/>
  <c r="BN319" i="7"/>
  <c r="BP101" i="7"/>
  <c r="BO167" i="7"/>
  <c r="BN144" i="7"/>
  <c r="BP298" i="6"/>
  <c r="BQ178" i="2"/>
  <c r="BP83" i="6"/>
  <c r="BQ479" i="6"/>
  <c r="BQ498" i="6"/>
  <c r="BQ302" i="7"/>
  <c r="BQ144" i="7"/>
  <c r="BT206" i="7"/>
  <c r="BQ216" i="7"/>
  <c r="BP277" i="5"/>
  <c r="BP182" i="7"/>
  <c r="BQ404" i="6"/>
  <c r="BQ114" i="6"/>
  <c r="BQ167" i="5"/>
  <c r="BO80" i="7"/>
  <c r="BO172" i="7"/>
  <c r="BQ82" i="2"/>
  <c r="BQ242" i="6"/>
  <c r="BQ235" i="5"/>
  <c r="BP199" i="5"/>
  <c r="BQ236" i="6"/>
  <c r="BO228" i="7"/>
  <c r="BT51" i="7"/>
  <c r="BQ277" i="5"/>
  <c r="BP236" i="5"/>
  <c r="BP338" i="5"/>
  <c r="BQ359" i="6"/>
  <c r="BQ322" i="7"/>
  <c r="BQ191" i="5"/>
  <c r="BP89" i="2"/>
  <c r="BQ293" i="6"/>
  <c r="BP300" i="5"/>
  <c r="BQ217" i="2"/>
  <c r="BQ168" i="7"/>
  <c r="BQ189" i="2"/>
  <c r="BP228" i="7"/>
  <c r="BP458" i="6"/>
  <c r="BQ274" i="2"/>
  <c r="BP389" i="6"/>
  <c r="BQ204" i="7"/>
  <c r="BQ430" i="5"/>
  <c r="BP381" i="6"/>
  <c r="BQ81" i="7"/>
  <c r="BP233" i="5"/>
  <c r="BP39" i="7"/>
  <c r="BQ126" i="5"/>
  <c r="BP441" i="2"/>
  <c r="BP493" i="2"/>
  <c r="BN216" i="7"/>
  <c r="BT118" i="7"/>
  <c r="BP93" i="6"/>
  <c r="BP241" i="5"/>
  <c r="BQ172" i="2"/>
  <c r="BT216" i="7"/>
  <c r="BS254" i="7"/>
  <c r="BO145" i="7"/>
  <c r="BP478" i="5"/>
  <c r="BT323" i="7"/>
  <c r="BQ206" i="5"/>
  <c r="BT31" i="7"/>
  <c r="BQ357" i="6"/>
  <c r="BQ231" i="5"/>
  <c r="BO186" i="7"/>
  <c r="BP231" i="5"/>
  <c r="BQ169" i="5"/>
  <c r="BO44" i="7"/>
  <c r="BS282" i="7"/>
  <c r="BQ203" i="5"/>
  <c r="BP134" i="2"/>
  <c r="BP326" i="7"/>
  <c r="BP324" i="5"/>
  <c r="BP140" i="6"/>
  <c r="BQ273" i="7"/>
  <c r="BN199" i="7"/>
  <c r="BP41" i="7"/>
  <c r="BQ197" i="2"/>
  <c r="BQ450" i="6"/>
  <c r="BP318" i="6"/>
  <c r="BQ370" i="2"/>
  <c r="BQ492" i="5"/>
  <c r="BQ99" i="6"/>
  <c r="BQ116" i="6"/>
  <c r="BO13" i="7"/>
  <c r="BQ70" i="2"/>
  <c r="BQ87" i="6"/>
  <c r="BT143" i="7"/>
  <c r="BQ475" i="2"/>
  <c r="BN109" i="7"/>
  <c r="BS220" i="7"/>
  <c r="BQ413" i="2"/>
  <c r="BQ321" i="6"/>
  <c r="BS288" i="7"/>
  <c r="BQ46" i="5"/>
  <c r="BQ25" i="5"/>
  <c r="BO75" i="7"/>
  <c r="BS143" i="7"/>
  <c r="BO21" i="7"/>
  <c r="BQ270" i="6"/>
  <c r="BQ229" i="7"/>
  <c r="BQ121" i="7"/>
  <c r="BN157" i="7"/>
  <c r="BQ49" i="5"/>
  <c r="BQ181" i="5"/>
  <c r="BQ50" i="2"/>
  <c r="BN202" i="7"/>
  <c r="BP119" i="7"/>
  <c r="BP121" i="6"/>
  <c r="BQ125" i="2"/>
  <c r="BP391" i="5"/>
  <c r="BP477" i="5"/>
  <c r="BQ112" i="2"/>
  <c r="BQ482" i="5"/>
  <c r="BN159" i="7"/>
  <c r="BN63" i="7"/>
  <c r="BP210" i="7"/>
  <c r="BS266" i="7"/>
  <c r="BN320" i="7"/>
  <c r="BS271" i="7"/>
  <c r="BP372" i="5"/>
  <c r="BT83" i="7"/>
  <c r="BQ50" i="5"/>
  <c r="BQ94" i="6"/>
  <c r="BP153" i="5"/>
  <c r="BP447" i="2"/>
  <c r="BP76" i="7"/>
  <c r="BT49" i="7"/>
  <c r="BP91" i="2"/>
  <c r="BO81" i="7"/>
  <c r="BQ272" i="2"/>
  <c r="BT263" i="7"/>
  <c r="BO255" i="7"/>
  <c r="BN17" i="7"/>
  <c r="BQ153" i="7"/>
  <c r="BQ443" i="2"/>
  <c r="BO313" i="7"/>
  <c r="BN248" i="7"/>
  <c r="BQ347" i="5"/>
  <c r="BP311" i="5"/>
  <c r="BS149" i="7"/>
  <c r="BP320" i="7"/>
  <c r="BP291" i="5"/>
  <c r="BQ279" i="6"/>
  <c r="BP113" i="7"/>
  <c r="BT57" i="7"/>
  <c r="BP348" i="6"/>
  <c r="BQ343" i="5"/>
  <c r="BQ77" i="2"/>
  <c r="BQ191" i="2"/>
  <c r="BP331" i="6"/>
  <c r="BP251" i="5"/>
  <c r="BP227" i="5"/>
  <c r="BP32" i="6"/>
  <c r="BQ299" i="5"/>
  <c r="BS306" i="7"/>
  <c r="BP149" i="2"/>
  <c r="BQ118" i="2"/>
  <c r="BQ353" i="6"/>
  <c r="BP169" i="5"/>
  <c r="BQ175" i="6"/>
  <c r="BN261" i="7"/>
  <c r="BQ217" i="7"/>
  <c r="BS192" i="7"/>
  <c r="BQ457" i="6"/>
  <c r="BP280" i="6"/>
  <c r="BO285" i="7"/>
  <c r="BT38" i="7"/>
  <c r="BP160" i="2"/>
  <c r="BQ104" i="5"/>
  <c r="BQ117" i="7"/>
  <c r="BQ487" i="2"/>
  <c r="BQ150" i="2"/>
  <c r="BN84" i="7"/>
  <c r="BP402" i="2"/>
  <c r="BQ417" i="2"/>
  <c r="BP325" i="5"/>
  <c r="BQ283" i="5"/>
  <c r="BQ198" i="5"/>
  <c r="BQ239" i="6"/>
  <c r="BP63" i="6"/>
  <c r="BO177" i="7"/>
  <c r="BT100" i="7"/>
  <c r="BQ169" i="6"/>
  <c r="BP78" i="6"/>
  <c r="BQ22" i="7"/>
  <c r="BS319" i="7"/>
  <c r="BQ435" i="2"/>
  <c r="BP80" i="2"/>
  <c r="BN65" i="7"/>
  <c r="BP139" i="7"/>
  <c r="BT158" i="7"/>
  <c r="BQ300" i="6"/>
  <c r="BQ261" i="7"/>
  <c r="BP403" i="5"/>
  <c r="BQ115" i="7"/>
  <c r="BT316" i="7"/>
  <c r="BQ371" i="5"/>
  <c r="BP145" i="2"/>
  <c r="BQ91" i="5"/>
  <c r="BP327" i="5"/>
  <c r="BP36" i="7"/>
  <c r="BQ196" i="2"/>
  <c r="BQ35" i="6"/>
  <c r="BQ311" i="6"/>
  <c r="BO259" i="7"/>
  <c r="BQ16" i="5"/>
  <c r="BQ233" i="6"/>
  <c r="BS215" i="7"/>
  <c r="BQ244" i="7"/>
  <c r="BS55" i="7"/>
  <c r="BQ241" i="2"/>
  <c r="BQ70" i="6"/>
  <c r="BT109" i="7"/>
  <c r="BQ290" i="5"/>
  <c r="BQ329" i="7"/>
  <c r="BQ422" i="6"/>
  <c r="BP300" i="7"/>
  <c r="BP221" i="5"/>
  <c r="BP288" i="6"/>
  <c r="BP464" i="5"/>
  <c r="BP15" i="6"/>
  <c r="BQ129" i="6"/>
  <c r="BP262" i="2"/>
  <c r="BN218" i="7"/>
  <c r="BS43" i="7"/>
  <c r="BQ387" i="2"/>
  <c r="BQ419" i="5"/>
  <c r="BQ330" i="6"/>
  <c r="BQ368" i="2"/>
  <c r="BP471" i="6"/>
  <c r="BQ331" i="5"/>
  <c r="BQ229" i="5"/>
  <c r="BQ298" i="5"/>
  <c r="BP74" i="6"/>
  <c r="BP442" i="2"/>
  <c r="BP149" i="5"/>
  <c r="BQ189" i="6"/>
  <c r="BQ43" i="5"/>
  <c r="BQ323" i="7"/>
  <c r="BT119" i="7"/>
  <c r="BQ33" i="5"/>
  <c r="BS105" i="7"/>
  <c r="BP246" i="5"/>
  <c r="BQ95" i="2"/>
  <c r="BS224" i="7"/>
  <c r="BQ243" i="6"/>
  <c r="BP25" i="6"/>
  <c r="BQ218" i="7"/>
  <c r="BQ200" i="6"/>
  <c r="BQ232" i="6"/>
  <c r="BQ52" i="6"/>
  <c r="BT185" i="7"/>
  <c r="BT43" i="7"/>
  <c r="BP151" i="5"/>
  <c r="BP347" i="5"/>
  <c r="BP68" i="6"/>
  <c r="BP120" i="7"/>
  <c r="BO123" i="7"/>
  <c r="BP305" i="5"/>
  <c r="BQ293" i="5"/>
  <c r="BT209" i="7"/>
  <c r="BQ231" i="2"/>
  <c r="BN94" i="7"/>
  <c r="BP462" i="2"/>
  <c r="BT121" i="7"/>
  <c r="BQ248" i="2"/>
  <c r="BQ274" i="6"/>
  <c r="BO63" i="7"/>
  <c r="BQ142" i="5"/>
  <c r="BQ199" i="7"/>
  <c r="BP87" i="2"/>
  <c r="BP115" i="6"/>
  <c r="BQ175" i="5"/>
  <c r="BQ178" i="7"/>
  <c r="BP62" i="6"/>
  <c r="BP481" i="5"/>
  <c r="BP125" i="6"/>
  <c r="BP154" i="5"/>
  <c r="BO197" i="7"/>
  <c r="BQ487" i="6"/>
  <c r="BP418" i="6"/>
  <c r="BO241" i="7"/>
  <c r="BQ109" i="6"/>
  <c r="BP408" i="6"/>
  <c r="BQ97" i="7"/>
  <c r="BS275" i="7"/>
  <c r="BQ368" i="6"/>
  <c r="BQ488" i="6"/>
  <c r="BT190" i="7"/>
  <c r="BN148" i="7"/>
  <c r="BP200" i="7"/>
  <c r="BT50" i="7"/>
  <c r="BQ93" i="5"/>
  <c r="BQ310" i="5"/>
  <c r="BP256" i="5"/>
  <c r="BQ174" i="5"/>
  <c r="BP116" i="2"/>
  <c r="BQ149" i="7"/>
  <c r="BQ120" i="7"/>
  <c r="BP81" i="2"/>
  <c r="BP340" i="6"/>
  <c r="BT196" i="7"/>
  <c r="BQ412" i="2"/>
  <c r="BO266" i="7"/>
  <c r="BO62" i="7"/>
  <c r="BP186" i="2"/>
  <c r="BQ122" i="5"/>
  <c r="BQ268" i="7"/>
  <c r="BS74" i="7"/>
  <c r="BO76" i="7"/>
  <c r="BQ97" i="2"/>
  <c r="BN100" i="7"/>
  <c r="BQ150" i="7"/>
  <c r="BP271" i="2"/>
  <c r="BP243" i="2"/>
  <c r="BQ347" i="2"/>
  <c r="BQ87" i="2"/>
  <c r="BT276" i="7"/>
  <c r="BQ324" i="6"/>
  <c r="BN28" i="7"/>
  <c r="BT105" i="7"/>
  <c r="BP337" i="5"/>
  <c r="BP161" i="5"/>
  <c r="BQ432" i="6"/>
  <c r="BP27" i="6"/>
  <c r="BP404" i="2"/>
  <c r="BN72" i="7"/>
  <c r="BQ56" i="7"/>
  <c r="BS249" i="7"/>
  <c r="BT61" i="7"/>
  <c r="BP411" i="6"/>
  <c r="BO23" i="7"/>
  <c r="BQ383" i="2"/>
  <c r="BQ165" i="5"/>
  <c r="BP62" i="2"/>
  <c r="BN252" i="7"/>
  <c r="BQ187" i="7"/>
  <c r="BN287" i="7"/>
  <c r="BP344" i="6"/>
  <c r="BS165" i="7"/>
  <c r="BQ82" i="6"/>
  <c r="BO201" i="7"/>
  <c r="BP283" i="5"/>
  <c r="BQ423" i="6"/>
  <c r="BP50" i="2"/>
  <c r="BQ100" i="2"/>
  <c r="BP355" i="5"/>
  <c r="BP494" i="5"/>
  <c r="BN39" i="7"/>
  <c r="BS227" i="7"/>
  <c r="BQ232" i="7"/>
  <c r="BQ497" i="6"/>
  <c r="BP102" i="6"/>
  <c r="BP267" i="2"/>
  <c r="BT255" i="7"/>
  <c r="BQ211" i="6"/>
  <c r="BP150" i="5"/>
  <c r="BP485" i="6"/>
  <c r="BP137" i="7"/>
  <c r="BQ344" i="6"/>
  <c r="BP409" i="5"/>
  <c r="BQ272" i="6"/>
  <c r="BQ427" i="5"/>
  <c r="BQ291" i="5"/>
  <c r="BP176" i="5"/>
  <c r="BP167" i="2"/>
  <c r="BN127" i="7"/>
  <c r="BQ460" i="2"/>
  <c r="BQ85" i="5"/>
  <c r="BP422" i="6"/>
  <c r="BQ308" i="6"/>
  <c r="BP500" i="5"/>
  <c r="BO95" i="7"/>
  <c r="BN286" i="7"/>
  <c r="BP107" i="6"/>
  <c r="BP278" i="7"/>
  <c r="BP385" i="6"/>
  <c r="BP197" i="5"/>
  <c r="BP45" i="2"/>
  <c r="BP487" i="6"/>
  <c r="BQ320" i="2"/>
  <c r="BO200" i="7"/>
  <c r="BO173" i="7"/>
  <c r="BO262" i="7"/>
  <c r="BP502" i="5"/>
  <c r="BT89" i="7"/>
  <c r="BQ442" i="5"/>
  <c r="BP375" i="6"/>
  <c r="BQ57" i="7"/>
  <c r="BP471" i="2"/>
  <c r="BS151" i="7"/>
  <c r="BQ176" i="7"/>
  <c r="BP298" i="7"/>
  <c r="BQ45" i="6"/>
  <c r="BP270" i="7"/>
  <c r="BP472" i="2"/>
  <c r="BN30" i="7"/>
  <c r="BQ317" i="7"/>
  <c r="BQ18" i="7"/>
  <c r="BQ15" i="7"/>
  <c r="BP249" i="7"/>
  <c r="BP123" i="2"/>
  <c r="BS244" i="7"/>
  <c r="BQ111" i="6"/>
  <c r="BS14" i="7"/>
  <c r="BQ220" i="5"/>
  <c r="BP242" i="2"/>
  <c r="BO144" i="7"/>
  <c r="BP256" i="2"/>
  <c r="BQ469" i="2"/>
  <c r="BQ471" i="2"/>
  <c r="BN77" i="7"/>
  <c r="BN183" i="7"/>
  <c r="BQ151" i="5"/>
  <c r="BO310" i="7"/>
  <c r="BP68" i="2"/>
  <c r="BT249" i="7"/>
  <c r="BQ78" i="5"/>
  <c r="BP438" i="2"/>
  <c r="BQ121" i="2"/>
  <c r="BQ267" i="6"/>
  <c r="BP221" i="2"/>
  <c r="BN137" i="7"/>
  <c r="BO316" i="7"/>
  <c r="BQ128" i="7"/>
  <c r="BQ122" i="7"/>
  <c r="BQ320" i="7"/>
  <c r="BS106" i="7"/>
  <c r="BO221" i="7"/>
  <c r="BN18" i="7"/>
  <c r="BP190" i="5"/>
  <c r="BS78" i="7"/>
  <c r="BP237" i="2"/>
  <c r="BQ424" i="5"/>
  <c r="BO243" i="7"/>
  <c r="BQ262" i="6"/>
  <c r="BP65" i="7"/>
  <c r="BP208" i="5"/>
  <c r="BQ437" i="2"/>
  <c r="BP412" i="6"/>
  <c r="BO196" i="7"/>
  <c r="BQ91" i="2"/>
  <c r="BQ111" i="2"/>
  <c r="BP285" i="6"/>
  <c r="BP423" i="2"/>
  <c r="BQ225" i="2"/>
  <c r="BQ71" i="5"/>
  <c r="BQ188" i="6"/>
  <c r="BN108" i="7"/>
  <c r="BQ32" i="6"/>
  <c r="BP490" i="2"/>
  <c r="BQ469" i="5"/>
  <c r="BP323" i="6"/>
  <c r="BQ300" i="7"/>
  <c r="BP155" i="5"/>
  <c r="BQ70" i="7"/>
  <c r="BQ375" i="2"/>
  <c r="BQ167" i="2"/>
  <c r="BQ350" i="2"/>
  <c r="BS128" i="7"/>
  <c r="BP460" i="6"/>
  <c r="BO66" i="7"/>
  <c r="BP495" i="2"/>
  <c r="BP183" i="5"/>
  <c r="BP114" i="2"/>
  <c r="BT265" i="7"/>
  <c r="BQ81" i="6"/>
  <c r="BQ80" i="5"/>
  <c r="BQ87" i="5"/>
  <c r="BQ243" i="2"/>
  <c r="BP411" i="5"/>
  <c r="BP391" i="6"/>
  <c r="BQ390" i="5"/>
  <c r="BQ442" i="2"/>
  <c r="BQ298" i="7"/>
  <c r="BS298" i="7"/>
  <c r="BQ49" i="2"/>
  <c r="BQ22" i="5"/>
  <c r="BS58" i="7"/>
  <c r="BP417" i="5"/>
  <c r="BP497" i="5"/>
  <c r="BP45" i="7"/>
  <c r="BS323" i="7"/>
  <c r="BQ260" i="6"/>
  <c r="BO153" i="7"/>
  <c r="BP465" i="5"/>
  <c r="BN224" i="7"/>
  <c r="BP452" i="5"/>
  <c r="BQ20" i="6"/>
  <c r="BQ123" i="7"/>
  <c r="BT285" i="7"/>
  <c r="BT65" i="7"/>
  <c r="BQ83" i="7"/>
  <c r="BP294" i="6"/>
  <c r="BT150" i="7"/>
  <c r="BT62" i="7"/>
  <c r="BQ330" i="2"/>
  <c r="BQ423" i="5"/>
  <c r="BP278" i="6"/>
  <c r="BS188" i="7"/>
  <c r="BP332" i="5"/>
  <c r="BT173" i="7"/>
  <c r="BO235" i="7"/>
  <c r="BP295" i="6"/>
  <c r="BP484" i="6"/>
  <c r="BQ360" i="6"/>
  <c r="BQ379" i="2"/>
  <c r="BP201" i="5"/>
  <c r="BQ39" i="2"/>
  <c r="BT281" i="7"/>
  <c r="BQ301" i="7"/>
  <c r="BO88" i="7"/>
  <c r="BQ447" i="5"/>
  <c r="BQ113" i="6"/>
  <c r="BT113" i="7"/>
  <c r="BP149" i="7"/>
  <c r="BT295" i="7"/>
  <c r="BQ449" i="2"/>
  <c r="BS131" i="7"/>
  <c r="BQ234" i="2"/>
  <c r="BP184" i="7"/>
  <c r="BO142" i="7"/>
  <c r="BQ473" i="6"/>
  <c r="BQ196" i="6"/>
  <c r="BP191" i="7"/>
  <c r="BT199" i="7"/>
  <c r="BP469" i="5"/>
  <c r="BQ23" i="5"/>
  <c r="BQ15" i="6"/>
  <c r="BQ304" i="5"/>
  <c r="BT160" i="7"/>
  <c r="BT221" i="7"/>
  <c r="BS279" i="7"/>
  <c r="BP282" i="6"/>
  <c r="BP328" i="6"/>
  <c r="BQ106" i="7"/>
  <c r="BS177" i="7"/>
  <c r="BT329" i="7"/>
  <c r="BQ171" i="6"/>
  <c r="BQ104" i="7"/>
  <c r="BQ19" i="2"/>
  <c r="BS95" i="7"/>
  <c r="BP284" i="5"/>
  <c r="BP433" i="2"/>
  <c r="BQ124" i="6"/>
  <c r="BQ177" i="7"/>
  <c r="BQ459" i="6"/>
  <c r="BP63" i="2"/>
  <c r="BQ461" i="5"/>
  <c r="BN128" i="7"/>
  <c r="BQ136" i="7"/>
  <c r="BP359" i="5"/>
  <c r="BQ291" i="6"/>
  <c r="BT307" i="7"/>
  <c r="BN69" i="7"/>
  <c r="BS251" i="7"/>
  <c r="BS17" i="7"/>
  <c r="BP232" i="2"/>
  <c r="BN81" i="7"/>
  <c r="BP183" i="2"/>
  <c r="BQ267" i="5"/>
  <c r="BP47" i="7"/>
  <c r="BP431" i="6"/>
  <c r="BQ441" i="6"/>
  <c r="BP282" i="5"/>
  <c r="BQ133" i="6"/>
  <c r="BQ211" i="5"/>
  <c r="BQ299" i="7"/>
  <c r="BP329" i="6"/>
  <c r="BO311" i="7"/>
  <c r="BO161" i="7"/>
  <c r="BQ373" i="5"/>
  <c r="BT176" i="7"/>
  <c r="BQ76" i="5"/>
  <c r="BQ497" i="2"/>
  <c r="BQ254" i="7"/>
  <c r="BP246" i="2"/>
  <c r="BP171" i="2"/>
  <c r="BQ305" i="2"/>
  <c r="BP290" i="6"/>
  <c r="BQ31" i="6"/>
  <c r="BQ85" i="2"/>
  <c r="BQ104" i="6"/>
  <c r="BQ99" i="7"/>
  <c r="BQ49" i="7"/>
  <c r="BQ296" i="7"/>
  <c r="BQ247" i="2"/>
  <c r="BS315" i="7"/>
  <c r="BQ473" i="2"/>
  <c r="BT91" i="7"/>
  <c r="BQ498" i="2"/>
  <c r="BP211" i="5"/>
  <c r="BS202" i="7"/>
  <c r="BQ160" i="5"/>
  <c r="BQ106" i="2"/>
  <c r="BO315" i="7"/>
  <c r="BP215" i="5"/>
  <c r="BP331" i="5"/>
  <c r="BP109" i="2"/>
  <c r="BQ402" i="6"/>
  <c r="BO278" i="7"/>
  <c r="BP478" i="2"/>
  <c r="BO234" i="7"/>
  <c r="BS169" i="7"/>
  <c r="BQ129" i="2"/>
  <c r="BQ401" i="2"/>
  <c r="BP272" i="5"/>
  <c r="BQ130" i="6"/>
  <c r="BQ424" i="6"/>
  <c r="BP339" i="6"/>
  <c r="BP412" i="5"/>
  <c r="BQ103" i="7"/>
  <c r="BP357" i="6"/>
  <c r="BO230" i="7"/>
  <c r="BQ317" i="2"/>
  <c r="BP341" i="5"/>
  <c r="BP372" i="6"/>
  <c r="BQ494" i="2"/>
  <c r="BP268" i="7"/>
  <c r="BO178" i="7"/>
  <c r="BQ213" i="7"/>
  <c r="BQ123" i="6"/>
  <c r="BQ312" i="5"/>
  <c r="BO260" i="7"/>
  <c r="BP191" i="5"/>
  <c r="BO50" i="7"/>
  <c r="BP301" i="6"/>
  <c r="BP129" i="7"/>
  <c r="BP238" i="2"/>
  <c r="BQ28" i="5"/>
  <c r="BQ389" i="5"/>
  <c r="BQ265" i="6"/>
  <c r="BT197" i="7"/>
  <c r="BN259" i="7"/>
  <c r="BO297" i="7"/>
  <c r="BQ475" i="5"/>
  <c r="BQ431" i="2"/>
  <c r="BP114" i="6"/>
  <c r="BP403" i="6"/>
  <c r="BQ191" i="7"/>
  <c r="BQ277" i="7"/>
  <c r="BQ270" i="5"/>
  <c r="BP92" i="6"/>
  <c r="BO79" i="7"/>
  <c r="BS34" i="7"/>
  <c r="BQ295" i="2"/>
  <c r="BP374" i="6"/>
  <c r="BQ170" i="2"/>
  <c r="BT102" i="7"/>
  <c r="BT167" i="7"/>
  <c r="BQ135" i="2"/>
  <c r="BQ260" i="7"/>
  <c r="BS278" i="7"/>
  <c r="BP192" i="7"/>
  <c r="BP413" i="6"/>
  <c r="BQ268" i="5"/>
  <c r="BQ254" i="6"/>
  <c r="BP222" i="5"/>
  <c r="BS200" i="7"/>
  <c r="BP142" i="6"/>
  <c r="BQ70" i="5"/>
  <c r="BQ179" i="6"/>
  <c r="BP428" i="2"/>
  <c r="BP254" i="2"/>
  <c r="BP154" i="7"/>
  <c r="BP13" i="7"/>
  <c r="BN45" i="7"/>
  <c r="BQ169" i="2"/>
  <c r="BQ170" i="6"/>
  <c r="BQ255" i="2"/>
  <c r="BP301" i="7"/>
  <c r="BP158" i="7"/>
  <c r="BN142" i="7"/>
  <c r="BQ392" i="6"/>
  <c r="BQ195" i="6"/>
  <c r="BP193" i="7"/>
  <c r="BQ153" i="6"/>
  <c r="BP291" i="6"/>
  <c r="BQ176" i="2"/>
  <c r="BP467" i="6"/>
  <c r="BP129" i="6"/>
  <c r="BO150" i="7"/>
  <c r="BP76" i="2"/>
  <c r="BO203" i="7"/>
  <c r="BQ209" i="6"/>
  <c r="BQ322" i="5"/>
  <c r="BQ435" i="5"/>
  <c r="BP189" i="5"/>
  <c r="BP317" i="5"/>
  <c r="BS65" i="7"/>
  <c r="BQ423" i="2"/>
  <c r="BQ246" i="6"/>
  <c r="BO239" i="7"/>
  <c r="BP181" i="2"/>
  <c r="BO149" i="7"/>
  <c r="BP69" i="7"/>
  <c r="BT93" i="7"/>
  <c r="BP164" i="2"/>
  <c r="BN73" i="7"/>
  <c r="BN153" i="7"/>
  <c r="BQ330" i="7"/>
  <c r="BQ464" i="6"/>
  <c r="BP71" i="2"/>
  <c r="BQ162" i="5"/>
  <c r="BQ209" i="7"/>
  <c r="BQ239" i="2"/>
  <c r="BT174" i="7"/>
  <c r="BQ210" i="7"/>
  <c r="BQ317" i="5"/>
  <c r="BQ142" i="6"/>
  <c r="BP340" i="5"/>
  <c r="BP227" i="7"/>
  <c r="BP214" i="5"/>
  <c r="BT256" i="7"/>
  <c r="BP387" i="6"/>
  <c r="BP429" i="2"/>
  <c r="BQ350" i="6"/>
  <c r="BS25" i="7"/>
  <c r="BP39" i="2"/>
  <c r="BP400" i="2"/>
  <c r="BQ142" i="2"/>
  <c r="BQ66" i="2"/>
  <c r="BP448" i="6"/>
  <c r="BP177" i="7"/>
  <c r="BQ295" i="5"/>
  <c r="BQ53" i="2"/>
  <c r="BN321" i="7"/>
  <c r="BQ250" i="6"/>
  <c r="BQ182" i="2"/>
  <c r="BQ117" i="6"/>
  <c r="BS16" i="7"/>
  <c r="BP288" i="5"/>
  <c r="BO182" i="7"/>
  <c r="BS201" i="7"/>
  <c r="BQ332" i="2"/>
  <c r="BQ465" i="6"/>
  <c r="BP492" i="5"/>
  <c r="BO248" i="7"/>
  <c r="BO189" i="7"/>
  <c r="BQ172" i="5"/>
  <c r="BP332" i="6"/>
  <c r="BT184" i="7"/>
  <c r="BP307" i="5"/>
  <c r="BP359" i="6"/>
  <c r="BP22" i="2"/>
  <c r="BQ46" i="7"/>
  <c r="BN246" i="7"/>
  <c r="BS113" i="7"/>
  <c r="BP52" i="6"/>
  <c r="BQ331" i="2"/>
  <c r="BQ140" i="7"/>
  <c r="BQ314" i="6"/>
  <c r="BQ161" i="2"/>
  <c r="BS246" i="7"/>
  <c r="BP140" i="2"/>
  <c r="BQ453" i="2"/>
  <c r="BQ217" i="5"/>
  <c r="BN289" i="7"/>
  <c r="BN242" i="7"/>
  <c r="BQ42" i="6"/>
  <c r="BQ193" i="5"/>
  <c r="BP271" i="5"/>
  <c r="BT257" i="7"/>
  <c r="BN95" i="7"/>
  <c r="BP40" i="6"/>
  <c r="BP37" i="2"/>
  <c r="BP501" i="2"/>
  <c r="BP49" i="6"/>
  <c r="BP65" i="2"/>
  <c r="BP202" i="7"/>
  <c r="BP156" i="7"/>
  <c r="BP245" i="7"/>
  <c r="BS276" i="7"/>
  <c r="BP47" i="6"/>
  <c r="BS114" i="7"/>
  <c r="BQ113" i="2"/>
  <c r="BQ210" i="6"/>
  <c r="BP242" i="5"/>
  <c r="BP491" i="6"/>
  <c r="BP458" i="2"/>
  <c r="BP263" i="2"/>
  <c r="BQ150" i="5"/>
  <c r="BP303" i="6"/>
  <c r="BP163" i="2"/>
  <c r="BP415" i="6"/>
  <c r="BP427" i="2"/>
  <c r="BP443" i="6"/>
  <c r="BP233" i="7"/>
  <c r="BP457" i="2"/>
  <c r="BQ477" i="5"/>
  <c r="BP402" i="5"/>
  <c r="BQ18" i="2"/>
  <c r="BQ71" i="2"/>
  <c r="BQ291" i="7"/>
  <c r="BQ297" i="2"/>
  <c r="BQ278" i="5"/>
  <c r="BP136" i="2"/>
  <c r="BQ425" i="6"/>
  <c r="BO326" i="7"/>
  <c r="BO69" i="7"/>
  <c r="BQ427" i="6"/>
  <c r="BS207" i="7"/>
  <c r="BP28" i="7"/>
  <c r="BS27" i="7"/>
  <c r="BS39" i="7"/>
  <c r="BT235" i="7"/>
  <c r="BP420" i="6"/>
  <c r="BQ187" i="2"/>
  <c r="BS154" i="7"/>
  <c r="BQ454" i="5"/>
  <c r="BQ110" i="5"/>
  <c r="BQ102" i="6"/>
  <c r="BP360" i="6"/>
  <c r="BP479" i="2"/>
  <c r="BT153" i="7"/>
  <c r="BQ255" i="5"/>
  <c r="BQ445" i="5"/>
  <c r="BP66" i="2"/>
  <c r="BQ39" i="6"/>
  <c r="BQ297" i="6"/>
  <c r="BN239" i="7"/>
  <c r="BQ473" i="5"/>
  <c r="BP22" i="6"/>
  <c r="BP319" i="6"/>
  <c r="BP61" i="7"/>
  <c r="BQ414" i="2"/>
  <c r="BP186" i="7"/>
  <c r="BS42" i="7"/>
  <c r="BO256" i="7"/>
  <c r="BQ137" i="5"/>
  <c r="BP202" i="5"/>
  <c r="BQ212" i="5"/>
  <c r="BP403" i="2"/>
  <c r="BN231" i="7"/>
  <c r="BT137" i="7"/>
  <c r="BQ155" i="2"/>
  <c r="BQ290" i="2"/>
  <c r="BQ95" i="5"/>
  <c r="BQ502" i="6"/>
  <c r="BP289" i="6"/>
  <c r="BP267" i="5"/>
  <c r="BP47" i="2"/>
  <c r="BS48" i="7"/>
  <c r="BQ17" i="6"/>
  <c r="BP439" i="5"/>
  <c r="BQ114" i="5"/>
  <c r="BQ173" i="2"/>
  <c r="BQ226" i="7"/>
  <c r="BP92" i="2"/>
  <c r="BO169" i="7"/>
  <c r="BQ450" i="2"/>
  <c r="BQ325" i="5"/>
  <c r="BQ289" i="2"/>
  <c r="BQ282" i="7"/>
  <c r="BQ275" i="6"/>
  <c r="BN35" i="7"/>
  <c r="BQ230" i="5"/>
  <c r="BS229" i="7"/>
  <c r="BN288" i="7"/>
  <c r="BQ392" i="5"/>
  <c r="BP65" i="6"/>
  <c r="BQ272" i="7"/>
  <c r="BS144" i="7"/>
  <c r="BO181" i="7"/>
  <c r="BQ409" i="6"/>
  <c r="BQ363" i="6"/>
  <c r="BQ34" i="6"/>
  <c r="BT306" i="7"/>
  <c r="BT125" i="7"/>
  <c r="BQ455" i="2"/>
  <c r="BP297" i="7"/>
  <c r="BQ154" i="7"/>
  <c r="BQ45" i="7"/>
  <c r="BP281" i="6"/>
  <c r="BP201" i="2"/>
  <c r="BP33" i="6"/>
  <c r="BQ287" i="7"/>
  <c r="BP206" i="2"/>
  <c r="BQ17" i="5"/>
  <c r="BQ27" i="6"/>
  <c r="BQ60" i="7"/>
  <c r="BP333" i="5"/>
  <c r="BN111" i="7"/>
  <c r="BT172" i="7"/>
  <c r="BQ341" i="5"/>
  <c r="BP182" i="2"/>
  <c r="BQ400" i="2"/>
  <c r="BQ257" i="5"/>
  <c r="BQ372" i="5"/>
  <c r="BQ127" i="6"/>
  <c r="BP295" i="7"/>
  <c r="BP399" i="6"/>
  <c r="BP465" i="2"/>
  <c r="BQ240" i="7"/>
  <c r="BN302" i="7"/>
  <c r="BQ245" i="2"/>
  <c r="BP408" i="2"/>
  <c r="BQ441" i="2"/>
  <c r="BN227" i="7"/>
  <c r="BQ435" i="6"/>
  <c r="BQ43" i="2"/>
  <c r="BT211" i="7"/>
  <c r="BT219" i="7"/>
  <c r="BP394" i="5"/>
  <c r="BQ502" i="2"/>
  <c r="BQ184" i="6"/>
  <c r="BQ380" i="5"/>
  <c r="BQ313" i="5"/>
  <c r="BP224" i="5"/>
  <c r="BP107" i="7"/>
  <c r="BP62" i="7"/>
  <c r="BP371" i="5"/>
  <c r="BQ137" i="2"/>
  <c r="BQ377" i="5"/>
  <c r="BQ344" i="2"/>
  <c r="BP494" i="2"/>
  <c r="BQ288" i="6"/>
  <c r="BT35" i="7"/>
  <c r="BQ324" i="2"/>
  <c r="BP48" i="7"/>
  <c r="BT301" i="7"/>
  <c r="BP138" i="2"/>
  <c r="BQ213" i="5"/>
  <c r="BN78" i="7"/>
  <c r="BQ102" i="5"/>
  <c r="BQ69" i="2"/>
  <c r="BP470" i="6"/>
  <c r="BT302" i="7"/>
  <c r="BQ479" i="2"/>
  <c r="BS190" i="7"/>
  <c r="BT207" i="7"/>
  <c r="BP421" i="5"/>
  <c r="BP420" i="2"/>
  <c r="BQ15" i="5"/>
  <c r="BP369" i="5"/>
  <c r="BQ438" i="2"/>
  <c r="BN129" i="7"/>
  <c r="BO301" i="7"/>
  <c r="BO263" i="7"/>
  <c r="BO33" i="7"/>
  <c r="BP207" i="5"/>
  <c r="BQ344" i="5"/>
  <c r="BQ29" i="7"/>
  <c r="BP262" i="7"/>
  <c r="BN295" i="7"/>
  <c r="BQ351" i="2"/>
  <c r="BQ471" i="5"/>
  <c r="BS242" i="7"/>
  <c r="BP453" i="6"/>
  <c r="BQ375" i="5"/>
  <c r="BT84" i="7"/>
  <c r="BQ378" i="5"/>
  <c r="BS281" i="7"/>
  <c r="BS136" i="7"/>
  <c r="BT149" i="7"/>
  <c r="BN147" i="7"/>
  <c r="BP44" i="2"/>
  <c r="BT59" i="7"/>
  <c r="BQ432" i="2"/>
  <c r="BP418" i="5"/>
  <c r="BQ77" i="7"/>
  <c r="BQ266" i="6"/>
  <c r="BP252" i="7"/>
  <c r="BO267" i="7"/>
  <c r="BN104" i="7"/>
  <c r="BQ137" i="6"/>
  <c r="BN131" i="7"/>
  <c r="BQ437" i="6"/>
  <c r="BT186" i="7"/>
  <c r="BQ332" i="5"/>
  <c r="BS126" i="7"/>
  <c r="BP280" i="5"/>
  <c r="BT311" i="7"/>
  <c r="BQ178" i="5"/>
  <c r="BQ163" i="7"/>
  <c r="BS243" i="7"/>
  <c r="BS109" i="7"/>
  <c r="BP43" i="7"/>
  <c r="BQ395" i="6"/>
  <c r="BP412" i="2"/>
  <c r="BQ81" i="5"/>
  <c r="BP24" i="7"/>
  <c r="BP202" i="2"/>
  <c r="BP141" i="7"/>
  <c r="BQ500" i="6"/>
  <c r="BP230" i="7"/>
  <c r="BQ490" i="6"/>
  <c r="BP473" i="2"/>
  <c r="BP171" i="5"/>
  <c r="BP363" i="5"/>
  <c r="BO270" i="7"/>
  <c r="BQ329" i="6"/>
  <c r="BP381" i="5"/>
  <c r="BP268" i="5"/>
  <c r="BP315" i="6"/>
  <c r="BQ20" i="2"/>
  <c r="BQ224" i="7"/>
  <c r="BP157" i="2"/>
  <c r="BP178" i="2"/>
  <c r="BN257" i="7"/>
  <c r="BQ322" i="2"/>
  <c r="BP34" i="7"/>
  <c r="BT136" i="7"/>
  <c r="BP92" i="7"/>
  <c r="BS139" i="7"/>
  <c r="BP42" i="6"/>
  <c r="BP501" i="5"/>
  <c r="BT299" i="7"/>
  <c r="BT179" i="7"/>
  <c r="BT193" i="7"/>
  <c r="BO191" i="7"/>
  <c r="BO282" i="7"/>
  <c r="BQ173" i="6"/>
  <c r="BQ280" i="6"/>
  <c r="BP290" i="7"/>
  <c r="BP289" i="5"/>
  <c r="BP354" i="5"/>
  <c r="BN37" i="7"/>
  <c r="BN271" i="7"/>
  <c r="BQ55" i="2"/>
  <c r="BP87" i="7"/>
  <c r="BQ318" i="2"/>
  <c r="BP293" i="6"/>
  <c r="BO56" i="7"/>
  <c r="BQ29" i="5"/>
  <c r="BQ59" i="2"/>
  <c r="BO295" i="7"/>
  <c r="BP364" i="5"/>
  <c r="BP215" i="7"/>
  <c r="BP451" i="6"/>
  <c r="BP66" i="6"/>
  <c r="BP91" i="6"/>
  <c r="BP84" i="7"/>
  <c r="BP42" i="2"/>
  <c r="BO17" i="7"/>
  <c r="BQ125" i="6"/>
  <c r="BS248" i="7"/>
  <c r="BP26" i="6"/>
  <c r="BO300" i="7"/>
  <c r="BN290" i="7"/>
  <c r="BQ44" i="6"/>
  <c r="BQ38" i="5"/>
  <c r="BQ26" i="2"/>
  <c r="BQ94" i="5"/>
  <c r="BN145" i="7"/>
  <c r="BS125" i="7"/>
  <c r="BP218" i="5"/>
  <c r="BP239" i="7"/>
  <c r="BQ349" i="5"/>
  <c r="BT97" i="7"/>
  <c r="BQ131" i="5"/>
  <c r="BP370" i="5"/>
  <c r="BQ493" i="2"/>
  <c r="BQ379" i="5"/>
  <c r="BS153" i="7"/>
  <c r="BQ280" i="7"/>
  <c r="BP283" i="7"/>
  <c r="BP452" i="6"/>
  <c r="BO74" i="7"/>
  <c r="BO84" i="7"/>
  <c r="BP16" i="2"/>
  <c r="BP248" i="5"/>
  <c r="BS145" i="7"/>
  <c r="BN198" i="7"/>
  <c r="BO113" i="7"/>
  <c r="BQ99" i="2"/>
  <c r="BP199" i="2"/>
  <c r="BP160" i="7"/>
  <c r="BP279" i="5"/>
  <c r="BO168" i="7"/>
  <c r="BP445" i="5"/>
  <c r="BQ97" i="6"/>
  <c r="BP53" i="6"/>
  <c r="BP263" i="5"/>
  <c r="BP383" i="6"/>
  <c r="BP498" i="2"/>
  <c r="BN21" i="7"/>
  <c r="BQ119" i="6"/>
  <c r="BP269" i="2"/>
  <c r="BP109" i="6"/>
  <c r="BN120" i="7"/>
  <c r="BP54" i="6"/>
  <c r="BP31" i="6"/>
  <c r="BN158" i="7"/>
  <c r="BP237" i="7"/>
  <c r="BP163" i="5"/>
  <c r="BN253" i="7"/>
  <c r="BP374" i="5"/>
  <c r="BP17" i="2"/>
  <c r="BQ268" i="6"/>
  <c r="BP364" i="6"/>
  <c r="BP173" i="7"/>
  <c r="BS232" i="7"/>
  <c r="BS112" i="7"/>
  <c r="BP214" i="7"/>
  <c r="BQ284" i="5"/>
  <c r="BO258" i="7"/>
  <c r="BS84" i="7"/>
  <c r="BQ323" i="6"/>
  <c r="BP458" i="5"/>
  <c r="BQ287" i="2"/>
  <c r="BQ40" i="2"/>
  <c r="BQ213" i="6"/>
  <c r="BP234" i="7"/>
  <c r="BN119" i="7"/>
  <c r="BN66" i="7"/>
  <c r="BP140" i="7"/>
  <c r="BQ65" i="2"/>
  <c r="BQ266" i="7"/>
  <c r="BP488" i="2"/>
  <c r="BN117" i="7"/>
  <c r="BS20" i="7"/>
  <c r="BO199" i="7"/>
  <c r="BP320" i="6"/>
  <c r="BQ146" i="5"/>
  <c r="BS22" i="7"/>
  <c r="BQ288" i="7"/>
  <c r="BQ63" i="2"/>
  <c r="BQ305" i="7"/>
  <c r="BQ472" i="5"/>
  <c r="BP352" i="5"/>
  <c r="BP468" i="5"/>
  <c r="BP258" i="5"/>
  <c r="BP119" i="2"/>
  <c r="BP174" i="7"/>
  <c r="BO253" i="7"/>
  <c r="BP101" i="6"/>
  <c r="BQ197" i="7"/>
  <c r="BO154" i="7"/>
  <c r="BP489" i="6"/>
  <c r="BQ465" i="2"/>
  <c r="BP219" i="7"/>
  <c r="BP55" i="2"/>
  <c r="BQ35" i="5"/>
  <c r="BQ315" i="6"/>
  <c r="BN195" i="7"/>
  <c r="BN62" i="7"/>
  <c r="BQ158" i="6"/>
  <c r="BQ288" i="2"/>
  <c r="BP100" i="2"/>
  <c r="BS209" i="7"/>
  <c r="BP303" i="7"/>
  <c r="BQ85" i="6"/>
  <c r="BP265" i="2"/>
  <c r="BO247" i="7"/>
  <c r="BO232" i="7"/>
  <c r="BP247" i="2"/>
  <c r="BO83" i="7"/>
  <c r="BQ495" i="2"/>
  <c r="BN163" i="7"/>
  <c r="BQ443" i="6"/>
  <c r="BP380" i="5"/>
  <c r="BQ51" i="5"/>
  <c r="BQ371" i="2"/>
  <c r="BQ196" i="5"/>
  <c r="BO99" i="7"/>
  <c r="BQ138" i="2"/>
  <c r="BQ417" i="5"/>
  <c r="BQ339" i="2"/>
  <c r="BO254" i="7"/>
  <c r="BQ89" i="2"/>
  <c r="BO226" i="7"/>
  <c r="BP71" i="7"/>
  <c r="BQ270" i="2"/>
  <c r="BT71" i="7"/>
  <c r="BQ184" i="5"/>
  <c r="BP379" i="5"/>
  <c r="BO233" i="7"/>
  <c r="BS263" i="7"/>
  <c r="BN58" i="7"/>
  <c r="BQ246" i="7"/>
  <c r="BP469" i="6"/>
  <c r="BP417" i="2"/>
  <c r="BT228" i="7"/>
  <c r="BQ40" i="5"/>
  <c r="BO188" i="7"/>
  <c r="BQ478" i="2"/>
  <c r="BQ364" i="2"/>
  <c r="BO135" i="7"/>
  <c r="BT288" i="7"/>
  <c r="BQ128" i="2"/>
  <c r="BO77" i="7"/>
  <c r="BP309" i="5"/>
  <c r="BQ307" i="2"/>
  <c r="BS259" i="7"/>
  <c r="BN34" i="7"/>
  <c r="BN20" i="7"/>
  <c r="BQ288" i="5"/>
  <c r="BN210" i="7"/>
  <c r="BQ257" i="2"/>
  <c r="BQ135" i="5"/>
  <c r="BP106" i="7"/>
  <c r="BQ419" i="6"/>
  <c r="BQ441" i="5"/>
  <c r="BP143" i="2"/>
  <c r="BQ471" i="6"/>
  <c r="BS287" i="7"/>
  <c r="BQ219" i="7"/>
  <c r="BP334" i="5"/>
  <c r="BQ304" i="2"/>
  <c r="BQ258" i="5"/>
  <c r="BQ332" i="6"/>
  <c r="BS193" i="7"/>
  <c r="BQ354" i="2"/>
  <c r="BP234" i="2"/>
  <c r="BT253" i="7"/>
  <c r="BQ44" i="7"/>
  <c r="BT52" i="7"/>
  <c r="BQ352" i="6"/>
  <c r="BQ37" i="5"/>
  <c r="BQ63" i="7"/>
  <c r="BQ146" i="2"/>
  <c r="BQ442" i="6"/>
  <c r="BO318" i="7"/>
  <c r="BP304" i="5"/>
  <c r="BQ52" i="5"/>
  <c r="BN238" i="7"/>
  <c r="BP75" i="6"/>
  <c r="BP373" i="5"/>
  <c r="BP452" i="2"/>
  <c r="BQ86" i="2"/>
  <c r="BN328" i="7"/>
  <c r="BN118" i="7"/>
  <c r="BQ177" i="6"/>
  <c r="BP253" i="7"/>
  <c r="BP178" i="7"/>
  <c r="BQ125" i="5"/>
  <c r="BS308" i="7"/>
  <c r="BO209" i="7"/>
  <c r="BT268" i="7"/>
  <c r="BQ411" i="6"/>
  <c r="BQ295" i="7"/>
  <c r="BP72" i="7"/>
  <c r="BO46" i="7"/>
  <c r="BP240" i="7"/>
  <c r="BQ389" i="2"/>
  <c r="BQ30" i="2"/>
  <c r="BO276" i="7"/>
  <c r="BP151" i="7"/>
  <c r="BS320" i="7"/>
  <c r="BO329" i="7"/>
  <c r="BN123" i="7"/>
  <c r="BQ94" i="2"/>
  <c r="BQ209" i="5"/>
  <c r="BN51" i="7"/>
  <c r="BQ328" i="2"/>
  <c r="BQ37" i="7"/>
  <c r="BP287" i="5"/>
  <c r="BO249" i="7"/>
  <c r="BQ337" i="2"/>
  <c r="BT112" i="7"/>
  <c r="BQ448" i="2"/>
  <c r="BP395" i="6"/>
  <c r="BS272" i="7"/>
  <c r="BP16" i="7"/>
  <c r="BP130" i="2"/>
  <c r="BQ132" i="7"/>
  <c r="BQ141" i="6"/>
  <c r="BQ367" i="2"/>
  <c r="BS23" i="7"/>
  <c r="BQ413" i="5"/>
  <c r="BQ319" i="2"/>
  <c r="BP153" i="2"/>
  <c r="BS269" i="7"/>
  <c r="BP391" i="2"/>
  <c r="BS307" i="7"/>
  <c r="BS72" i="7"/>
  <c r="BN268" i="7"/>
  <c r="BP419" i="6"/>
  <c r="BP234" i="5"/>
  <c r="BP78" i="7"/>
  <c r="BP392" i="6"/>
  <c r="BO213" i="7"/>
  <c r="BN107" i="7"/>
  <c r="BQ62" i="6"/>
  <c r="BP106" i="6"/>
  <c r="BQ252" i="7"/>
  <c r="BO72" i="7"/>
  <c r="BQ313" i="6"/>
  <c r="BO225" i="7"/>
  <c r="BN258" i="7"/>
  <c r="BT69" i="7"/>
  <c r="BQ45" i="2"/>
  <c r="BP428" i="5"/>
  <c r="BP184" i="5"/>
  <c r="BQ212" i="7"/>
  <c r="BP173" i="5"/>
  <c r="BP89" i="7"/>
  <c r="BP475" i="6"/>
  <c r="BO229" i="7"/>
  <c r="BP423" i="5"/>
  <c r="BQ67" i="5"/>
  <c r="BO114" i="7"/>
  <c r="BQ433" i="5"/>
  <c r="BS241" i="7"/>
  <c r="BN190" i="7"/>
  <c r="BQ151" i="7"/>
  <c r="BQ279" i="5"/>
  <c r="BO291" i="7"/>
  <c r="BQ86" i="6"/>
  <c r="BP141" i="2"/>
  <c r="BQ303" i="6"/>
  <c r="BP99" i="6"/>
  <c r="BQ462" i="5"/>
  <c r="BP369" i="6"/>
  <c r="BP110" i="2"/>
  <c r="BP362" i="5"/>
  <c r="BS257" i="7"/>
  <c r="BQ71" i="6"/>
  <c r="BP200" i="5"/>
  <c r="BQ338" i="5"/>
  <c r="BQ403" i="6"/>
  <c r="BQ258" i="7"/>
  <c r="BQ485" i="5"/>
  <c r="BO37" i="7"/>
  <c r="BQ22" i="6"/>
  <c r="BQ143" i="5"/>
  <c r="BQ122" i="2"/>
  <c r="BQ359" i="2"/>
  <c r="BT85" i="7"/>
  <c r="BP375" i="5"/>
  <c r="BS253" i="7"/>
  <c r="BT94" i="7"/>
  <c r="BT78" i="7"/>
  <c r="BQ367" i="6"/>
  <c r="BN126" i="7"/>
  <c r="BP253" i="2"/>
  <c r="BQ303" i="2"/>
  <c r="BO51" i="7"/>
  <c r="BP57" i="2"/>
  <c r="BQ182" i="7"/>
  <c r="BQ224" i="5"/>
  <c r="BS117" i="7"/>
  <c r="BQ328" i="5"/>
  <c r="BP304" i="6"/>
  <c r="BQ80" i="6"/>
  <c r="BQ131" i="7"/>
  <c r="BQ103" i="2"/>
  <c r="BQ212" i="2"/>
  <c r="BS289" i="7"/>
  <c r="BP367" i="5"/>
  <c r="BQ483" i="2"/>
  <c r="BN229" i="7"/>
  <c r="BT312" i="7"/>
  <c r="BP474" i="5"/>
  <c r="BQ348" i="5"/>
  <c r="BN315" i="7"/>
  <c r="BQ108" i="7"/>
  <c r="BN243" i="7"/>
  <c r="BP185" i="2"/>
  <c r="BP390" i="5"/>
  <c r="BQ297" i="7"/>
  <c r="BQ492" i="2"/>
  <c r="BP99" i="2"/>
  <c r="BQ143" i="7"/>
  <c r="BN59" i="7"/>
  <c r="BO283" i="7"/>
  <c r="BP230" i="2"/>
  <c r="BQ83" i="5"/>
  <c r="BQ149" i="2"/>
  <c r="BO321" i="7"/>
  <c r="BS28" i="7"/>
  <c r="BQ118" i="6"/>
  <c r="BN301" i="7"/>
  <c r="BO192" i="7"/>
  <c r="BP283" i="6"/>
  <c r="BQ269" i="2"/>
  <c r="BP392" i="2"/>
  <c r="BP170" i="5"/>
  <c r="BQ261" i="2"/>
  <c r="BQ365" i="2"/>
  <c r="BP147" i="7"/>
  <c r="BN24" i="7"/>
  <c r="BQ238" i="6"/>
  <c r="BP269" i="7"/>
  <c r="BQ208" i="5"/>
  <c r="BP77" i="6"/>
  <c r="BP388" i="6"/>
  <c r="BP474" i="2"/>
  <c r="BQ280" i="2"/>
  <c r="BT127" i="7"/>
  <c r="BP207" i="2"/>
  <c r="BN186" i="7"/>
  <c r="BP485" i="5"/>
  <c r="BP307" i="6"/>
  <c r="BQ301" i="6"/>
  <c r="BP455" i="6"/>
  <c r="BS216" i="7"/>
  <c r="BQ172" i="6"/>
  <c r="BP351" i="5"/>
  <c r="BQ283" i="2"/>
  <c r="BS305" i="7"/>
  <c r="BQ309" i="6"/>
  <c r="BQ119" i="5"/>
  <c r="BP477" i="6"/>
  <c r="BT260" i="7"/>
  <c r="BQ13" i="7"/>
  <c r="BQ154" i="6"/>
  <c r="BQ64" i="7"/>
  <c r="BQ179" i="7"/>
  <c r="BT63" i="7"/>
  <c r="BQ55" i="6"/>
  <c r="BP294" i="5"/>
  <c r="BQ166" i="5"/>
  <c r="BQ311" i="5"/>
  <c r="BN265" i="7"/>
  <c r="BO22" i="7"/>
  <c r="BQ259" i="5"/>
  <c r="BP382" i="6"/>
  <c r="BN281" i="7"/>
  <c r="BT140" i="7"/>
  <c r="BS170" i="7"/>
  <c r="BQ44" i="5"/>
  <c r="BQ19" i="6"/>
  <c r="BP453" i="2"/>
  <c r="BN160" i="7"/>
  <c r="BT318" i="7"/>
  <c r="BQ267" i="7"/>
  <c r="BN237" i="7"/>
  <c r="BQ269" i="6"/>
  <c r="BS103" i="7"/>
  <c r="BP61" i="2"/>
  <c r="BP171" i="7"/>
  <c r="BP150" i="7"/>
  <c r="BT17" i="7"/>
  <c r="BN125" i="7"/>
  <c r="BQ165" i="2"/>
  <c r="BQ59" i="5"/>
  <c r="BN276" i="7"/>
  <c r="BP445" i="2"/>
  <c r="BQ203" i="2"/>
  <c r="BP371" i="6"/>
  <c r="BQ78" i="2"/>
  <c r="BP434" i="6"/>
  <c r="BT266" i="7"/>
  <c r="BQ341" i="2"/>
  <c r="BP401" i="2"/>
  <c r="BQ462" i="2"/>
  <c r="BP482" i="2"/>
  <c r="BQ165" i="6"/>
  <c r="BQ490" i="5"/>
  <c r="BP176" i="7"/>
  <c r="BQ34" i="5"/>
  <c r="BQ273" i="5"/>
  <c r="BP168" i="7"/>
  <c r="BQ273" i="2"/>
  <c r="BQ98" i="2"/>
  <c r="BQ58" i="6"/>
  <c r="BS191" i="7"/>
  <c r="BQ309" i="5"/>
  <c r="BQ394" i="5"/>
  <c r="BP467" i="2"/>
  <c r="BQ66" i="6"/>
  <c r="BP173" i="2"/>
  <c r="BP122" i="2"/>
  <c r="BQ395" i="2"/>
  <c r="BP112" i="7"/>
  <c r="BP188" i="2"/>
  <c r="BQ353" i="2"/>
  <c r="BO139" i="7"/>
  <c r="BS240" i="7"/>
  <c r="BQ474" i="2"/>
  <c r="BQ484" i="5"/>
  <c r="BT170" i="7"/>
  <c r="BQ236" i="2"/>
  <c r="BQ239" i="5"/>
  <c r="BT129" i="7"/>
  <c r="BQ184" i="7"/>
  <c r="BQ259" i="6"/>
  <c r="BQ286" i="7"/>
  <c r="BQ323" i="2"/>
  <c r="BT269" i="7"/>
  <c r="BP83" i="7"/>
  <c r="BQ142" i="7"/>
  <c r="BP32" i="2"/>
  <c r="BQ325" i="7"/>
  <c r="BQ468" i="2"/>
  <c r="BQ226" i="2"/>
  <c r="BT309" i="7"/>
  <c r="BQ271" i="7"/>
  <c r="BN29" i="7"/>
  <c r="BP197" i="7"/>
  <c r="BQ115" i="5"/>
  <c r="BQ80" i="2"/>
  <c r="BQ42" i="7"/>
  <c r="BT189" i="7"/>
  <c r="BQ134" i="6"/>
  <c r="BP397" i="5"/>
  <c r="BQ407" i="2"/>
  <c r="BP189" i="7"/>
  <c r="BQ151" i="2"/>
  <c r="BO293" i="7"/>
  <c r="BQ319" i="7"/>
  <c r="BQ381" i="6"/>
  <c r="BO286" i="7"/>
  <c r="BN122" i="7"/>
  <c r="BP29" i="2"/>
  <c r="BP100" i="6"/>
  <c r="BP97" i="6"/>
  <c r="BS80" i="7"/>
  <c r="BS18" i="7"/>
  <c r="BQ194" i="2"/>
  <c r="BQ98" i="6"/>
  <c r="BT252" i="7"/>
  <c r="BP241" i="7"/>
  <c r="BQ155" i="5"/>
  <c r="BQ130" i="7"/>
  <c r="BP357" i="5"/>
  <c r="BP464" i="6"/>
  <c r="BP292" i="5"/>
  <c r="BP187" i="5"/>
  <c r="BP470" i="2"/>
  <c r="BP353" i="6"/>
  <c r="BQ342" i="2"/>
  <c r="BN43" i="7"/>
  <c r="BT92" i="7"/>
  <c r="BQ163" i="6"/>
  <c r="BP223" i="7"/>
  <c r="BT310" i="7"/>
  <c r="BO125" i="7"/>
  <c r="BN130" i="7"/>
  <c r="BQ246" i="5"/>
  <c r="BQ270" i="7"/>
  <c r="BQ314" i="2"/>
  <c r="BQ239" i="7"/>
  <c r="BO157" i="7"/>
  <c r="BQ61" i="6"/>
  <c r="BS223" i="7"/>
  <c r="BN55" i="7"/>
  <c r="BQ121" i="6"/>
  <c r="BQ72" i="7"/>
  <c r="BQ269" i="7"/>
  <c r="BS299" i="7"/>
  <c r="BQ242" i="5"/>
  <c r="BQ477" i="6"/>
  <c r="BP449" i="6"/>
  <c r="BQ111" i="5"/>
  <c r="BT321" i="7"/>
  <c r="BP135" i="2"/>
  <c r="BS108" i="7"/>
  <c r="BO290" i="7"/>
  <c r="BP206" i="7"/>
  <c r="BQ285" i="7"/>
  <c r="BP358" i="5"/>
  <c r="BO118" i="7"/>
  <c r="BQ391" i="2"/>
  <c r="BT108" i="7"/>
  <c r="BN214" i="7"/>
  <c r="BP80" i="7"/>
  <c r="BP193" i="5"/>
  <c r="BP77" i="7"/>
  <c r="BQ98" i="7"/>
  <c r="BS268" i="7"/>
  <c r="BP358" i="6"/>
  <c r="BS30" i="7"/>
  <c r="BQ414" i="6"/>
  <c r="BP46" i="7"/>
  <c r="BP257" i="2"/>
  <c r="BO204" i="7"/>
  <c r="BP83" i="2"/>
  <c r="BP205" i="5"/>
  <c r="BN322" i="7"/>
  <c r="BQ299" i="6"/>
  <c r="BT29" i="7"/>
  <c r="BQ167" i="7"/>
  <c r="BP390" i="6"/>
  <c r="BP44" i="7"/>
  <c r="BQ439" i="5"/>
  <c r="BQ148" i="2"/>
  <c r="BP451" i="5"/>
  <c r="BP263" i="7"/>
  <c r="BO147" i="7"/>
  <c r="BQ117" i="5"/>
  <c r="BP317" i="6"/>
  <c r="BP178" i="5"/>
  <c r="BO18" i="7"/>
  <c r="BP289" i="7"/>
  <c r="BP100" i="7"/>
  <c r="BT95" i="7"/>
  <c r="BQ134" i="2"/>
  <c r="BN112" i="7"/>
  <c r="BO136" i="7"/>
  <c r="BT204" i="7"/>
  <c r="BN150" i="7"/>
  <c r="BQ440" i="2"/>
  <c r="BP231" i="2"/>
  <c r="BP18" i="6"/>
  <c r="BP186" i="5"/>
  <c r="BQ464" i="5"/>
  <c r="BP281" i="7"/>
  <c r="BT115" i="7"/>
  <c r="BT280" i="7"/>
  <c r="BP190" i="2"/>
  <c r="BT313" i="7"/>
  <c r="BP205" i="2"/>
  <c r="BT15" i="7"/>
  <c r="BT225" i="7"/>
  <c r="BQ83" i="6"/>
  <c r="BT27" i="7"/>
  <c r="BT126" i="7"/>
  <c r="BP135" i="6"/>
  <c r="BQ113" i="7"/>
  <c r="BP328" i="7"/>
  <c r="BQ64" i="6"/>
  <c r="BO57" i="7"/>
  <c r="BP73" i="7"/>
  <c r="BP224" i="7"/>
  <c r="BO121" i="7"/>
  <c r="BQ275" i="2"/>
  <c r="BP203" i="7"/>
  <c r="BN185" i="7"/>
  <c r="BP23" i="2"/>
  <c r="BQ463" i="5"/>
  <c r="BQ408" i="5"/>
  <c r="BT23" i="7"/>
  <c r="BQ323" i="5"/>
  <c r="BO159" i="7"/>
  <c r="BS56" i="7"/>
  <c r="BO219" i="7"/>
  <c r="BQ207" i="7"/>
  <c r="BQ185" i="6"/>
  <c r="BQ137" i="7"/>
  <c r="BO252" i="7"/>
  <c r="BO292" i="7"/>
  <c r="BQ491" i="5"/>
  <c r="BQ424" i="2"/>
  <c r="BN247" i="7"/>
  <c r="BQ410" i="2"/>
  <c r="BT144" i="7"/>
  <c r="BP235" i="7"/>
  <c r="BQ212" i="6"/>
  <c r="BS225" i="7"/>
  <c r="BQ155" i="6"/>
  <c r="BO108" i="7"/>
  <c r="BP385" i="5"/>
  <c r="BP218" i="2"/>
  <c r="BP262" i="5"/>
  <c r="BQ182" i="6"/>
  <c r="BP287" i="7"/>
  <c r="BP229" i="2"/>
  <c r="BP74" i="2"/>
  <c r="BS219" i="7"/>
  <c r="BQ38" i="2"/>
  <c r="BN71" i="7"/>
  <c r="BQ69" i="6"/>
  <c r="BS119" i="7"/>
  <c r="BP219" i="5"/>
  <c r="BP238" i="7"/>
  <c r="BQ428" i="5"/>
  <c r="BQ329" i="2"/>
  <c r="BS322" i="7"/>
  <c r="BQ256" i="6"/>
  <c r="BP90" i="6"/>
  <c r="BQ367" i="5"/>
  <c r="BQ147" i="7"/>
  <c r="BS185" i="7"/>
  <c r="BN282" i="7"/>
  <c r="BT75" i="7"/>
  <c r="BQ189" i="5"/>
  <c r="BP28" i="2"/>
  <c r="BQ429" i="5"/>
  <c r="BP329" i="7"/>
  <c r="BQ474" i="5"/>
  <c r="BP367" i="6"/>
  <c r="BQ166" i="2"/>
  <c r="BP153" i="7"/>
  <c r="BO319" i="7"/>
  <c r="BQ277" i="6"/>
  <c r="BP217" i="2"/>
  <c r="BQ207" i="5"/>
  <c r="BQ266" i="2"/>
  <c r="BO32" i="7"/>
  <c r="BN245" i="7"/>
  <c r="BN151" i="7"/>
  <c r="BT240" i="7"/>
  <c r="BQ470" i="5"/>
  <c r="BQ281" i="2"/>
  <c r="BQ59" i="7"/>
  <c r="BP407" i="2"/>
  <c r="BN165" i="7"/>
  <c r="BO231" i="7"/>
  <c r="BQ372" i="2"/>
  <c r="BP15" i="2"/>
  <c r="BQ141" i="5"/>
  <c r="BO287" i="7"/>
  <c r="BN188" i="7"/>
  <c r="BP37" i="7"/>
  <c r="BP321" i="5"/>
  <c r="BP56" i="2"/>
  <c r="BQ410" i="6"/>
  <c r="BS142" i="7"/>
  <c r="BQ454" i="6"/>
  <c r="BP189" i="2"/>
  <c r="BQ334" i="2"/>
  <c r="BQ308" i="2"/>
  <c r="BQ169" i="7"/>
  <c r="BN19" i="7"/>
  <c r="BQ340" i="5"/>
  <c r="BS76" i="7"/>
  <c r="BP131" i="6"/>
  <c r="BQ395" i="5"/>
  <c r="BP225" i="7"/>
  <c r="BQ382" i="5"/>
  <c r="BQ341" i="6"/>
  <c r="BP454" i="5"/>
  <c r="BO242" i="7"/>
  <c r="BN309" i="7"/>
  <c r="BP148" i="7"/>
  <c r="BP259" i="5"/>
  <c r="BN60" i="7"/>
  <c r="BQ402" i="2"/>
  <c r="BQ214" i="6"/>
  <c r="BP472" i="5"/>
  <c r="BP383" i="5"/>
  <c r="BO183" i="7"/>
  <c r="BQ25" i="6"/>
  <c r="BO41" i="7"/>
  <c r="BQ242" i="7"/>
  <c r="BQ333" i="6"/>
  <c r="BQ452" i="2"/>
  <c r="BQ66" i="7"/>
  <c r="BQ57" i="6"/>
  <c r="BS19" i="7"/>
  <c r="BQ338" i="2"/>
  <c r="BP431" i="5"/>
  <c r="BQ190" i="2"/>
  <c r="BQ485" i="6"/>
  <c r="BQ412" i="6"/>
  <c r="BP75" i="2"/>
  <c r="BO184" i="7"/>
  <c r="BO211" i="7"/>
  <c r="BP463" i="2"/>
  <c r="BO240" i="7"/>
  <c r="BQ305" i="6"/>
  <c r="BQ63" i="5"/>
  <c r="BP261" i="2"/>
  <c r="BN197" i="7"/>
  <c r="BO104" i="7"/>
  <c r="BP19" i="6"/>
  <c r="BP102" i="2"/>
  <c r="BN184" i="7"/>
  <c r="BN23" i="7"/>
  <c r="BP129" i="2"/>
  <c r="BQ226" i="6"/>
  <c r="BS93" i="7"/>
  <c r="BP77" i="2"/>
  <c r="BQ152" i="5"/>
  <c r="BS135" i="7"/>
  <c r="BN121" i="7"/>
  <c r="BP70" i="6"/>
  <c r="BQ127" i="2"/>
  <c r="BQ415" i="5"/>
  <c r="BP95" i="6"/>
  <c r="BP323" i="7"/>
  <c r="BT237" i="7"/>
  <c r="BN52" i="7"/>
  <c r="BT297" i="7"/>
  <c r="BQ51" i="7"/>
  <c r="BO309" i="7"/>
  <c r="BS21" i="7"/>
  <c r="BP488" i="5"/>
  <c r="BQ290" i="7"/>
  <c r="BQ47" i="7"/>
  <c r="BP220" i="7"/>
  <c r="BP250" i="5"/>
  <c r="BQ119" i="2"/>
  <c r="BQ164" i="5"/>
  <c r="BP370" i="6"/>
  <c r="BN262" i="7"/>
  <c r="BQ464" i="2"/>
  <c r="BP286" i="7"/>
  <c r="BP26" i="2"/>
  <c r="BQ244" i="5"/>
  <c r="BQ179" i="2"/>
  <c r="BQ183" i="5"/>
  <c r="BQ244" i="6"/>
  <c r="BP463" i="6"/>
  <c r="BQ229" i="2"/>
  <c r="BQ420" i="5"/>
  <c r="BP479" i="6"/>
  <c r="BN75" i="7"/>
  <c r="BT130" i="7"/>
  <c r="BN97" i="7"/>
  <c r="BQ102" i="7"/>
  <c r="BQ78" i="6"/>
  <c r="BQ164" i="6"/>
  <c r="BP463" i="5"/>
  <c r="BP343" i="6"/>
  <c r="BS86" i="7"/>
  <c r="BQ106" i="6"/>
  <c r="BP158" i="2"/>
  <c r="BQ362" i="6"/>
  <c r="BQ222" i="5"/>
  <c r="BP337" i="6"/>
  <c r="BQ302" i="2"/>
  <c r="BS296" i="7"/>
  <c r="BQ382" i="6"/>
  <c r="BT171" i="7"/>
  <c r="BP236" i="2"/>
  <c r="BQ352" i="5"/>
  <c r="BQ307" i="6"/>
  <c r="BQ55" i="5"/>
  <c r="BQ279" i="7"/>
  <c r="BQ100" i="6"/>
  <c r="BQ248" i="6"/>
  <c r="BQ287" i="6"/>
  <c r="BP275" i="5"/>
  <c r="BQ259" i="2"/>
  <c r="BQ360" i="2"/>
  <c r="BP314" i="5"/>
  <c r="BN133" i="7"/>
  <c r="BP432" i="5"/>
  <c r="BQ277" i="2"/>
  <c r="BT44" i="7"/>
  <c r="BQ215" i="2"/>
  <c r="BT278" i="7"/>
  <c r="BQ182" i="5"/>
  <c r="BN141" i="7"/>
  <c r="BP442" i="6"/>
  <c r="BO323" i="7"/>
  <c r="BP350" i="6"/>
  <c r="BP33" i="7"/>
  <c r="BQ33" i="2"/>
  <c r="BP502" i="6"/>
  <c r="BT175" i="7"/>
  <c r="BP126" i="6"/>
  <c r="BP130" i="6"/>
  <c r="BO116" i="7"/>
  <c r="BS189" i="7"/>
  <c r="BQ238" i="2"/>
  <c r="BQ14" i="2"/>
  <c r="BO65" i="7"/>
  <c r="BS62" i="7"/>
  <c r="BP302" i="6"/>
  <c r="BP85" i="6"/>
  <c r="BQ172" i="7"/>
  <c r="BQ432" i="5"/>
  <c r="BQ174" i="2"/>
  <c r="BP112" i="6"/>
  <c r="BS148" i="7"/>
  <c r="BT169" i="7"/>
  <c r="BQ107" i="5"/>
  <c r="BT147" i="7"/>
  <c r="BP57" i="7"/>
  <c r="BT14" i="7"/>
  <c r="BQ275" i="7"/>
  <c r="BQ163" i="2"/>
  <c r="BP402" i="6"/>
  <c r="BQ487" i="5"/>
  <c r="BQ16" i="7"/>
  <c r="BO223" i="7"/>
  <c r="BO155" i="7"/>
  <c r="BQ206" i="7"/>
  <c r="BQ68" i="6"/>
  <c r="BO59" i="7"/>
  <c r="BQ400" i="5"/>
  <c r="BP309" i="7"/>
  <c r="BP407" i="5"/>
  <c r="BP414" i="2"/>
  <c r="BP480" i="2"/>
  <c r="BN255" i="7"/>
  <c r="BS59" i="7"/>
  <c r="BQ474" i="6"/>
  <c r="BQ380" i="6"/>
  <c r="BT300" i="7"/>
  <c r="BP393" i="2"/>
  <c r="BQ482" i="2"/>
  <c r="BQ52" i="2"/>
  <c r="BQ335" i="6"/>
  <c r="BQ257" i="6"/>
  <c r="BP97" i="2"/>
  <c r="BN170" i="7"/>
  <c r="BN16" i="7"/>
  <c r="BQ31" i="2"/>
  <c r="BP94" i="2"/>
  <c r="BQ31" i="7"/>
  <c r="BQ88" i="6"/>
  <c r="BP449" i="2"/>
  <c r="BS210" i="7"/>
  <c r="BQ242" i="2"/>
  <c r="BQ298" i="2"/>
  <c r="BP266" i="7"/>
  <c r="BP433" i="5"/>
  <c r="BQ187" i="6"/>
  <c r="BP196" i="2"/>
  <c r="BQ151" i="6"/>
  <c r="BS57" i="7"/>
  <c r="BP93" i="7"/>
  <c r="BQ375" i="6"/>
  <c r="BT282" i="7"/>
  <c r="BO148" i="7"/>
  <c r="BT161" i="7"/>
  <c r="BS317" i="7"/>
  <c r="BP302" i="5"/>
  <c r="BQ373" i="6"/>
  <c r="BP454" i="2"/>
  <c r="BQ497" i="5"/>
  <c r="BQ408" i="6"/>
  <c r="BQ410" i="5"/>
  <c r="BP365" i="5"/>
  <c r="BQ186" i="5"/>
  <c r="BQ347" i="6"/>
  <c r="BP23" i="7"/>
  <c r="BS301" i="7"/>
  <c r="BQ220" i="6"/>
  <c r="BQ369" i="2"/>
  <c r="BO115" i="7"/>
  <c r="BO151" i="7"/>
  <c r="BS329" i="7"/>
  <c r="BS285" i="7"/>
  <c r="BQ161" i="7"/>
  <c r="BP64" i="2"/>
  <c r="BS155" i="7"/>
  <c r="BQ384" i="2"/>
  <c r="BO126" i="7"/>
  <c r="BQ224" i="2"/>
  <c r="BQ217" i="6"/>
  <c r="BQ215" i="6"/>
  <c r="BQ452" i="6"/>
  <c r="BQ89" i="6"/>
  <c r="BP146" i="5"/>
  <c r="BT275" i="7"/>
  <c r="BO317" i="7"/>
  <c r="BQ199" i="6"/>
  <c r="BP22" i="7"/>
  <c r="BO103" i="7"/>
  <c r="BQ282" i="5"/>
  <c r="BS115" i="7"/>
  <c r="BT188" i="7"/>
  <c r="BP217" i="5"/>
  <c r="BN192" i="7"/>
  <c r="BO98" i="7"/>
  <c r="BO216" i="7"/>
  <c r="BT319" i="7"/>
  <c r="BQ311" i="2"/>
  <c r="BQ47" i="2"/>
  <c r="BP179" i="5"/>
  <c r="BQ249" i="5"/>
  <c r="BN83" i="7"/>
  <c r="BS218" i="7"/>
  <c r="BS45" i="7"/>
  <c r="BP330" i="7"/>
  <c r="BQ135" i="7"/>
  <c r="BN285" i="7"/>
  <c r="BP136" i="6"/>
  <c r="BT162" i="7"/>
  <c r="BP126" i="7"/>
  <c r="BQ285" i="2"/>
  <c r="BQ292" i="7"/>
  <c r="BQ74" i="6"/>
  <c r="BN171" i="7"/>
  <c r="BP79" i="7"/>
  <c r="BP155" i="7"/>
  <c r="BN57" i="7"/>
  <c r="BN135" i="7"/>
  <c r="BN299" i="7"/>
  <c r="BO109" i="7"/>
  <c r="BQ173" i="5"/>
  <c r="BP468" i="2"/>
  <c r="BN15" i="7"/>
  <c r="BO176" i="7"/>
  <c r="BP25" i="2"/>
  <c r="BQ187" i="5"/>
  <c r="BQ91" i="7"/>
  <c r="BQ399" i="2"/>
  <c r="BP349" i="5"/>
  <c r="BT55" i="7"/>
  <c r="BQ57" i="2"/>
  <c r="BQ243" i="7"/>
  <c r="BP184" i="2"/>
  <c r="BP397" i="6"/>
  <c r="BN33" i="7"/>
  <c r="BP136" i="7"/>
  <c r="BP181" i="7"/>
  <c r="BO330" i="7"/>
  <c r="BP368" i="6"/>
  <c r="BQ154" i="5"/>
  <c r="BS273" i="7"/>
  <c r="BQ111" i="7"/>
  <c r="BQ294" i="2"/>
  <c r="BT148" i="7"/>
  <c r="BP306" i="7"/>
  <c r="BQ19" i="5"/>
  <c r="BP116" i="7"/>
  <c r="BP481" i="6"/>
  <c r="BP51" i="7"/>
  <c r="BN116" i="7"/>
  <c r="BQ391" i="6"/>
  <c r="BP334" i="6"/>
  <c r="BQ54" i="6"/>
  <c r="BQ299" i="2"/>
  <c r="BT87" i="7"/>
  <c r="BQ160" i="6"/>
  <c r="BP269" i="5"/>
  <c r="BT142" i="7"/>
  <c r="BP50" i="7"/>
  <c r="BP64" i="7"/>
  <c r="BQ196" i="7"/>
  <c r="BT103" i="7"/>
  <c r="BQ319" i="6"/>
  <c r="BQ318" i="5"/>
  <c r="BT270" i="7"/>
  <c r="BQ294" i="5"/>
  <c r="BP438" i="5"/>
  <c r="BP434" i="2"/>
  <c r="BP254" i="5"/>
  <c r="BT154" i="7"/>
  <c r="BQ195" i="5"/>
  <c r="BQ13" i="5"/>
  <c r="BQ223" i="2"/>
  <c r="BP303" i="5"/>
  <c r="BP104" i="7"/>
  <c r="BP408" i="5"/>
  <c r="BP216" i="7"/>
  <c r="BQ276" i="7"/>
  <c r="BN143" i="7"/>
  <c r="BN176" i="7"/>
  <c r="BQ384" i="5"/>
  <c r="BQ75" i="7"/>
  <c r="BQ84" i="7"/>
  <c r="BP122" i="7"/>
  <c r="BQ333" i="2"/>
  <c r="BS160" i="7"/>
  <c r="BS60" i="7"/>
  <c r="BP312" i="6"/>
  <c r="BP121" i="2"/>
  <c r="BQ214" i="2"/>
  <c r="BQ27" i="5"/>
  <c r="BO303" i="7"/>
  <c r="BO206" i="7"/>
  <c r="BP469" i="2"/>
  <c r="BQ103" i="6"/>
  <c r="BT232" i="7"/>
  <c r="BP491" i="5"/>
  <c r="BQ34" i="7"/>
  <c r="BN219" i="7"/>
  <c r="BO280" i="7"/>
  <c r="BQ148" i="6"/>
  <c r="BT317" i="7"/>
  <c r="BT210" i="7"/>
  <c r="BQ400" i="6"/>
  <c r="BQ407" i="6"/>
  <c r="BQ208" i="2"/>
  <c r="BT86" i="7"/>
  <c r="BP32" i="7"/>
  <c r="BP98" i="2"/>
  <c r="BT107" i="7"/>
  <c r="BO61" i="7"/>
  <c r="BQ460" i="6"/>
  <c r="BP30" i="2"/>
  <c r="BS24" i="7"/>
  <c r="BN61" i="7"/>
  <c r="BQ250" i="2"/>
  <c r="BO305" i="7"/>
  <c r="BO67" i="7"/>
  <c r="BQ219" i="2"/>
  <c r="BN213" i="7"/>
  <c r="BP81" i="6"/>
  <c r="BS178" i="7"/>
  <c r="BQ123" i="5"/>
  <c r="BQ438" i="6"/>
  <c r="BP422" i="5"/>
  <c r="BQ256" i="7"/>
  <c r="BS150" i="7"/>
  <c r="BP482" i="5"/>
  <c r="BQ157" i="5"/>
  <c r="BN303" i="7"/>
  <c r="BQ112" i="5"/>
  <c r="BQ315" i="5"/>
  <c r="BP197" i="2"/>
  <c r="BT164" i="7"/>
  <c r="BP244" i="7"/>
  <c r="BT165" i="7"/>
  <c r="BS318" i="7"/>
  <c r="BQ352" i="2"/>
  <c r="BQ146" i="6"/>
  <c r="BQ175" i="2"/>
  <c r="BP172" i="7"/>
  <c r="BS37" i="7"/>
  <c r="BQ105" i="7"/>
  <c r="BP67" i="2"/>
  <c r="BQ130" i="5"/>
  <c r="BQ218" i="5"/>
  <c r="BQ235" i="7"/>
  <c r="BT53" i="7"/>
  <c r="BP429" i="5"/>
  <c r="BQ333" i="5"/>
  <c r="BQ128" i="6"/>
  <c r="BQ221" i="2"/>
  <c r="BS52" i="7"/>
  <c r="BQ483" i="5"/>
  <c r="BN215" i="7"/>
  <c r="BO220" i="7"/>
  <c r="BQ398" i="2"/>
  <c r="BO133" i="7"/>
  <c r="BQ139" i="5"/>
  <c r="BT244" i="7"/>
  <c r="BT132" i="7"/>
  <c r="BP37" i="6"/>
  <c r="BP259" i="7"/>
  <c r="BO97" i="7"/>
  <c r="BP195" i="5"/>
  <c r="BO100" i="7"/>
  <c r="BP181" i="5"/>
  <c r="BP435" i="2"/>
  <c r="BQ93" i="2"/>
  <c r="BQ198" i="2"/>
  <c r="BQ73" i="7"/>
  <c r="BP133" i="2"/>
  <c r="BP139" i="6"/>
  <c r="BN175" i="7"/>
  <c r="BT41" i="7"/>
  <c r="BP21" i="2"/>
  <c r="BO325" i="7"/>
  <c r="BS211" i="7"/>
  <c r="BP474" i="6"/>
  <c r="BQ258" i="2"/>
  <c r="BQ219" i="6"/>
  <c r="BP79" i="6"/>
  <c r="BQ116" i="7"/>
  <c r="BT117" i="7"/>
  <c r="BS255" i="7"/>
  <c r="BP210" i="5"/>
  <c r="BP225" i="2"/>
  <c r="BP56" i="7"/>
  <c r="BT145" i="7"/>
  <c r="BP196" i="7"/>
  <c r="BO94" i="7"/>
  <c r="BQ261" i="5"/>
  <c r="BQ117" i="2"/>
  <c r="BQ158" i="2"/>
  <c r="BS205" i="7"/>
  <c r="BS120" i="7"/>
  <c r="BO277" i="7"/>
  <c r="BN178" i="7"/>
  <c r="BQ335" i="2"/>
  <c r="BP322" i="5"/>
  <c r="BQ193" i="6"/>
  <c r="BQ383" i="5"/>
  <c r="BS195" i="7"/>
  <c r="BQ67" i="2"/>
  <c r="BS172" i="7"/>
  <c r="BS129" i="7"/>
  <c r="BP69" i="2"/>
  <c r="BQ146" i="7"/>
  <c r="BQ67" i="6"/>
  <c r="BQ247" i="5"/>
  <c r="BQ238" i="5"/>
  <c r="BP73" i="2"/>
  <c r="BN241" i="7"/>
  <c r="BN14" i="7"/>
  <c r="BQ18" i="5"/>
  <c r="BQ114" i="7"/>
  <c r="BT325" i="7"/>
  <c r="BP405" i="6"/>
  <c r="BQ185" i="7"/>
  <c r="BP272" i="7"/>
  <c r="BQ477" i="2"/>
  <c r="BP297" i="5"/>
  <c r="BP305" i="7"/>
  <c r="BQ310" i="6"/>
  <c r="BP223" i="2"/>
  <c r="BN204" i="7"/>
  <c r="BN182" i="7"/>
  <c r="BP158" i="5"/>
  <c r="BQ214" i="5"/>
  <c r="BP117" i="6"/>
  <c r="BP86" i="7"/>
  <c r="BQ422" i="5"/>
  <c r="BO185" i="7"/>
  <c r="BP265" i="5"/>
  <c r="BQ434" i="5"/>
  <c r="BP179" i="2"/>
  <c r="BQ457" i="5"/>
  <c r="BP267" i="7"/>
  <c r="BN211" i="7"/>
  <c r="BS181" i="7"/>
  <c r="BT320" i="7"/>
  <c r="BO217" i="7"/>
  <c r="BP70" i="2"/>
  <c r="BQ470" i="2"/>
  <c r="BQ90" i="7"/>
  <c r="BT106" i="7"/>
  <c r="BQ56" i="6"/>
  <c r="BO302" i="7"/>
  <c r="BQ51" i="6"/>
  <c r="BQ287" i="5"/>
  <c r="BN234" i="7"/>
  <c r="BN140" i="7"/>
  <c r="BT234" i="7"/>
  <c r="BT98" i="7"/>
  <c r="BQ109" i="7"/>
  <c r="BP243" i="7"/>
  <c r="BP80" i="6"/>
  <c r="BT226" i="7"/>
  <c r="BQ353" i="5"/>
  <c r="BQ32" i="2"/>
  <c r="BQ207" i="2"/>
  <c r="BP51" i="6"/>
  <c r="BT25" i="7"/>
  <c r="BP38" i="2"/>
  <c r="BP151" i="2"/>
  <c r="BQ79" i="2"/>
  <c r="BP245" i="5"/>
  <c r="BP258" i="2"/>
  <c r="BQ501" i="6"/>
  <c r="BS100" i="7"/>
  <c r="BS121" i="7"/>
  <c r="BO214" i="7"/>
  <c r="BN275" i="7"/>
  <c r="BQ280" i="5"/>
  <c r="BP477" i="2"/>
  <c r="BQ330" i="5"/>
  <c r="BP113" i="6"/>
  <c r="BP187" i="2"/>
  <c r="BQ90" i="5"/>
  <c r="BQ278" i="7"/>
  <c r="BQ175" i="7"/>
  <c r="BT21" i="7"/>
  <c r="BO120" i="7"/>
  <c r="BO90" i="7"/>
  <c r="BQ337" i="6"/>
  <c r="BO25" i="7"/>
  <c r="BP133" i="6"/>
  <c r="BN27" i="7"/>
  <c r="BP90" i="7"/>
  <c r="BP431" i="2"/>
  <c r="BP497" i="2"/>
  <c r="BP490" i="6"/>
  <c r="BQ397" i="2"/>
  <c r="BQ62" i="2"/>
  <c r="BT261" i="7"/>
  <c r="BT215" i="7"/>
  <c r="BP401" i="5"/>
  <c r="BQ138" i="6"/>
  <c r="BQ87" i="7"/>
  <c r="BQ141" i="2"/>
  <c r="BP161" i="2"/>
  <c r="BP55" i="7"/>
  <c r="CE141" i="5" l="1"/>
  <c r="CG141" i="5" s="1"/>
  <c r="BY306" i="7"/>
  <c r="BV221" i="7"/>
  <c r="CC302" i="7"/>
  <c r="BW302" i="7"/>
  <c r="BY196" i="7"/>
  <c r="BZ311" i="7"/>
  <c r="BW48" i="7"/>
  <c r="CC48" i="7"/>
  <c r="BY148" i="7"/>
  <c r="CC285" i="7"/>
  <c r="BW285" i="7"/>
  <c r="BW241" i="7"/>
  <c r="CC241" i="7"/>
  <c r="CC18" i="7"/>
  <c r="BW18" i="7"/>
  <c r="BZ316" i="7"/>
  <c r="CE489" i="5"/>
  <c r="CE272" i="5"/>
  <c r="BV209" i="7"/>
  <c r="BY297" i="7"/>
  <c r="CC142" i="7"/>
  <c r="BW142" i="7"/>
  <c r="BY92" i="7"/>
  <c r="BZ156" i="7"/>
  <c r="BY287" i="7"/>
  <c r="BV158" i="7"/>
  <c r="BV176" i="7"/>
  <c r="CC253" i="7"/>
  <c r="BW253" i="7"/>
  <c r="CC123" i="7"/>
  <c r="BW123" i="7"/>
  <c r="BZ143" i="7"/>
  <c r="BV116" i="7"/>
  <c r="BV326" i="7"/>
  <c r="BZ146" i="7"/>
  <c r="BY50" i="7"/>
  <c r="BZ242" i="7"/>
  <c r="BW75" i="7"/>
  <c r="CC75" i="7"/>
  <c r="BZ216" i="7"/>
  <c r="BV141" i="7"/>
  <c r="BV79" i="7"/>
  <c r="BW323" i="7"/>
  <c r="CC323" i="7"/>
  <c r="BZ179" i="7"/>
  <c r="BZ258" i="7"/>
  <c r="BV272" i="7"/>
  <c r="BY169" i="7"/>
  <c r="BV311" i="7"/>
  <c r="BY315" i="7"/>
  <c r="BY31" i="7"/>
  <c r="CC278" i="7"/>
  <c r="BW278" i="7"/>
  <c r="BY213" i="7"/>
  <c r="BY18" i="7"/>
  <c r="BY267" i="7"/>
  <c r="CE377" i="2"/>
  <c r="BW104" i="7"/>
  <c r="CC104" i="7"/>
  <c r="BZ308" i="7"/>
  <c r="BY84" i="7"/>
  <c r="BW71" i="7"/>
  <c r="CC71" i="7"/>
  <c r="BV308" i="7"/>
  <c r="BV189" i="7"/>
  <c r="BW14" i="7"/>
  <c r="CC14" i="7"/>
  <c r="BZ69" i="7"/>
  <c r="BW193" i="7"/>
  <c r="CC193" i="7"/>
  <c r="BZ34" i="7"/>
  <c r="BY307" i="7"/>
  <c r="BZ276" i="7"/>
  <c r="BZ196" i="7"/>
  <c r="BZ221" i="7"/>
  <c r="CC39" i="7"/>
  <c r="BW39" i="7"/>
  <c r="BZ23" i="7"/>
  <c r="BW232" i="7"/>
  <c r="CC232" i="7"/>
  <c r="BV31" i="7"/>
  <c r="BY275" i="7"/>
  <c r="BY76" i="7"/>
  <c r="BZ27" i="7"/>
  <c r="BY300" i="7"/>
  <c r="BZ97" i="7"/>
  <c r="BY42" i="7"/>
  <c r="BW287" i="7"/>
  <c r="CC287" i="7"/>
  <c r="BY21" i="7"/>
  <c r="BV56" i="7"/>
  <c r="BY308" i="7"/>
  <c r="BW231" i="7"/>
  <c r="CC231" i="7"/>
  <c r="CE269" i="5"/>
  <c r="CE142" i="6"/>
  <c r="BV44" i="7"/>
  <c r="BV329" i="7"/>
  <c r="BY28" i="7"/>
  <c r="CE268" i="5"/>
  <c r="BV121" i="7"/>
  <c r="BZ243" i="7"/>
  <c r="CC258" i="7"/>
  <c r="BW258" i="7"/>
  <c r="BZ64" i="7"/>
  <c r="BZ76" i="7"/>
  <c r="BZ104" i="7"/>
  <c r="CE273" i="6"/>
  <c r="BY301" i="7"/>
  <c r="BW50" i="7"/>
  <c r="CC50" i="7"/>
  <c r="BV93" i="7"/>
  <c r="CE274" i="2"/>
  <c r="CE490" i="2"/>
  <c r="CG490" i="2" s="1"/>
  <c r="BZ24" i="7"/>
  <c r="BZ218" i="7"/>
  <c r="BW192" i="7"/>
  <c r="CC192" i="7"/>
  <c r="CC22" i="7"/>
  <c r="BW22" i="7"/>
  <c r="BV77" i="7"/>
  <c r="BV273" i="7"/>
  <c r="BY204" i="7"/>
  <c r="BV83" i="7"/>
  <c r="BY251" i="7"/>
  <c r="BV112" i="7"/>
  <c r="CE379" i="2"/>
  <c r="BV114" i="7"/>
  <c r="CE490" i="5"/>
  <c r="BZ103" i="7"/>
  <c r="CC17" i="7"/>
  <c r="BW17" i="7"/>
  <c r="BZ155" i="7"/>
  <c r="BW199" i="7"/>
  <c r="CC199" i="7"/>
  <c r="BZ55" i="7"/>
  <c r="BZ139" i="7"/>
  <c r="CE383" i="6"/>
  <c r="BV268" i="7"/>
  <c r="CC303" i="7"/>
  <c r="BW303" i="7"/>
  <c r="CE502" i="5"/>
  <c r="BV246" i="7"/>
  <c r="BY167" i="7"/>
  <c r="BZ113" i="7"/>
  <c r="BY203" i="7"/>
  <c r="BZ263" i="7"/>
  <c r="BZ303" i="7"/>
  <c r="BY80" i="7"/>
  <c r="BY113" i="7"/>
  <c r="BZ228" i="7"/>
  <c r="BZ330" i="7"/>
  <c r="CE140" i="2"/>
  <c r="BY266" i="7"/>
  <c r="CE136" i="5"/>
  <c r="CG136" i="5" s="1"/>
  <c r="CC151" i="7"/>
  <c r="BW151" i="7"/>
  <c r="BW141" i="7"/>
  <c r="CC141" i="7"/>
  <c r="CC217" i="7"/>
  <c r="BW217" i="7"/>
  <c r="BZ192" i="7"/>
  <c r="BV67" i="7"/>
  <c r="BW317" i="7"/>
  <c r="CC317" i="7"/>
  <c r="CE383" i="2"/>
  <c r="BY119" i="7"/>
  <c r="CC202" i="7"/>
  <c r="BW202" i="7"/>
  <c r="BV25" i="7"/>
  <c r="BV243" i="7"/>
  <c r="BV235" i="7"/>
  <c r="CE138" i="5"/>
  <c r="CF138" i="5" s="1"/>
  <c r="BY227" i="7"/>
  <c r="BZ204" i="7"/>
  <c r="BW97" i="7"/>
  <c r="CC97" i="7"/>
  <c r="BY48" i="7"/>
  <c r="CC185" i="7"/>
  <c r="BW185" i="7"/>
  <c r="BZ53" i="7"/>
  <c r="BY142" i="7"/>
  <c r="BZ182" i="7"/>
  <c r="BV186" i="7"/>
  <c r="BY195" i="7"/>
  <c r="CC66" i="7"/>
  <c r="BW66" i="7"/>
  <c r="CC227" i="7"/>
  <c r="BW227" i="7"/>
  <c r="BV21" i="7"/>
  <c r="BZ17" i="7"/>
  <c r="BZ86" i="7"/>
  <c r="CC73" i="7"/>
  <c r="BW73" i="7"/>
  <c r="BW94" i="7"/>
  <c r="CC94" i="7"/>
  <c r="BZ312" i="7"/>
  <c r="BV206" i="7"/>
  <c r="BZ291" i="7"/>
  <c r="BY87" i="7"/>
  <c r="BY126" i="7"/>
  <c r="BV23" i="7"/>
  <c r="BV134" i="7"/>
  <c r="BZ149" i="7"/>
  <c r="BY57" i="7"/>
  <c r="BV33" i="7"/>
  <c r="BY291" i="7"/>
  <c r="BV99" i="7"/>
  <c r="BY234" i="7"/>
  <c r="BZ273" i="7"/>
  <c r="BZ111" i="7"/>
  <c r="BW35" i="7"/>
  <c r="CC35" i="7"/>
  <c r="BY159" i="7"/>
  <c r="BZ269" i="7"/>
  <c r="BZ240" i="7"/>
  <c r="BV301" i="7"/>
  <c r="BZ47" i="7"/>
  <c r="CC121" i="7"/>
  <c r="BW121" i="7"/>
  <c r="BY116" i="7"/>
  <c r="CC196" i="7"/>
  <c r="BW196" i="7"/>
  <c r="BV88" i="7"/>
  <c r="CE142" i="5"/>
  <c r="BV306" i="7"/>
  <c r="BV242" i="7"/>
  <c r="BV55" i="7"/>
  <c r="CC107" i="7"/>
  <c r="BW107" i="7"/>
  <c r="CE384" i="5"/>
  <c r="BV19" i="7"/>
  <c r="BZ43" i="7"/>
  <c r="BV24" i="7"/>
  <c r="CE494" i="2"/>
  <c r="BY163" i="7"/>
  <c r="BZ299" i="7"/>
  <c r="BZ56" i="7"/>
  <c r="CE498" i="6"/>
  <c r="CC247" i="7"/>
  <c r="BW247" i="7"/>
  <c r="BV58" i="7"/>
  <c r="BV229" i="7"/>
  <c r="BW296" i="7"/>
  <c r="CC296" i="7"/>
  <c r="BZ246" i="7"/>
  <c r="CC24" i="7"/>
  <c r="BW24" i="7"/>
  <c r="BZ257" i="7"/>
  <c r="BV313" i="7"/>
  <c r="CC197" i="7"/>
  <c r="BW197" i="7"/>
  <c r="CE494" i="6"/>
  <c r="BY67" i="7"/>
  <c r="BY16" i="7"/>
  <c r="BY20" i="7"/>
  <c r="BY269" i="7"/>
  <c r="CC239" i="7"/>
  <c r="BW239" i="7"/>
  <c r="BV210" i="7"/>
  <c r="BZ144" i="7"/>
  <c r="BZ160" i="7"/>
  <c r="CE380" i="5"/>
  <c r="BZ225" i="7"/>
  <c r="CC34" i="7"/>
  <c r="BW34" i="7"/>
  <c r="BY102" i="7"/>
  <c r="BV295" i="7"/>
  <c r="BZ197" i="7"/>
  <c r="BW51" i="7"/>
  <c r="CC51" i="7"/>
  <c r="BZ92" i="7"/>
  <c r="CE383" i="5"/>
  <c r="CG383" i="5" s="1"/>
  <c r="CC223" i="7"/>
  <c r="BW223" i="7"/>
  <c r="BZ181" i="7"/>
  <c r="CC291" i="7"/>
  <c r="BW291" i="7"/>
  <c r="BV150" i="7"/>
  <c r="BY33" i="7"/>
  <c r="BY89" i="7"/>
  <c r="CE501" i="5"/>
  <c r="BY128" i="7"/>
  <c r="BV84" i="7"/>
  <c r="BY305" i="7"/>
  <c r="BW265" i="7"/>
  <c r="CC265" i="7"/>
  <c r="BY106" i="7"/>
  <c r="BZ319" i="7"/>
  <c r="BY121" i="7"/>
  <c r="BZ13" i="7"/>
  <c r="BV283" i="7"/>
  <c r="BW206" i="7"/>
  <c r="CC206" i="7"/>
  <c r="BY136" i="7"/>
  <c r="BZ239" i="7"/>
  <c r="BW85" i="7"/>
  <c r="CC85" i="7"/>
  <c r="BY94" i="7"/>
  <c r="CE134" i="6"/>
  <c r="CC38" i="7"/>
  <c r="BW38" i="7"/>
  <c r="BZ71" i="7"/>
  <c r="BV130" i="7"/>
  <c r="CE143" i="2"/>
  <c r="CF143" i="2" s="1"/>
  <c r="BW262" i="7"/>
  <c r="CC262" i="7"/>
  <c r="BV157" i="7"/>
  <c r="BZ267" i="7"/>
  <c r="BW229" i="7"/>
  <c r="CC229" i="7"/>
  <c r="BV64" i="7"/>
  <c r="CC330" i="7"/>
  <c r="BW330" i="7"/>
  <c r="CE140" i="5"/>
  <c r="BZ131" i="7"/>
  <c r="BZ148" i="7"/>
  <c r="BY282" i="7"/>
  <c r="BZ185" i="7"/>
  <c r="BW292" i="7"/>
  <c r="CC292" i="7"/>
  <c r="BW63" i="7"/>
  <c r="CC63" i="7"/>
  <c r="BY51" i="7"/>
  <c r="CC49" i="7"/>
  <c r="BW49" i="7"/>
  <c r="BZ122" i="7"/>
  <c r="BW119" i="7"/>
  <c r="CC119" i="7"/>
  <c r="CC27" i="7"/>
  <c r="BW27" i="7"/>
  <c r="CE272" i="2"/>
  <c r="BZ271" i="7"/>
  <c r="BW235" i="7"/>
  <c r="CC235" i="7"/>
  <c r="BW46" i="7"/>
  <c r="CC46" i="7"/>
  <c r="BZ79" i="7"/>
  <c r="BW74" i="7"/>
  <c r="CC74" i="7"/>
  <c r="BY193" i="7"/>
  <c r="BY241" i="7"/>
  <c r="BV214" i="7"/>
  <c r="BY299" i="7"/>
  <c r="BY277" i="7"/>
  <c r="CC37" i="7"/>
  <c r="BW37" i="7"/>
  <c r="BW109" i="7"/>
  <c r="CC109" i="7"/>
  <c r="CC120" i="7"/>
  <c r="BW120" i="7"/>
  <c r="BY101" i="7"/>
  <c r="BY123" i="7"/>
  <c r="BZ15" i="7"/>
  <c r="BY86" i="7"/>
  <c r="BV135" i="7"/>
  <c r="BZ325" i="7"/>
  <c r="BV257" i="7"/>
  <c r="CE265" i="6"/>
  <c r="CE139" i="6"/>
  <c r="BV61" i="7"/>
  <c r="BZ297" i="7"/>
  <c r="BY154" i="7"/>
  <c r="BY261" i="7"/>
  <c r="BY255" i="7"/>
  <c r="BY229" i="7"/>
  <c r="BV171" i="7"/>
  <c r="CE138" i="2"/>
  <c r="BW92" i="7"/>
  <c r="CC92" i="7"/>
  <c r="CE141" i="2"/>
  <c r="BV303" i="7"/>
  <c r="BV66" i="7"/>
  <c r="CE489" i="2"/>
  <c r="BV63" i="7"/>
  <c r="BV269" i="7"/>
  <c r="CC320" i="7"/>
  <c r="BW320" i="7"/>
  <c r="BW78" i="7"/>
  <c r="CC78" i="7"/>
  <c r="BZ186" i="7"/>
  <c r="BZ215" i="7"/>
  <c r="CC172" i="7"/>
  <c r="BW172" i="7"/>
  <c r="BV74" i="7"/>
  <c r="BZ296" i="7"/>
  <c r="BY281" i="7"/>
  <c r="BV205" i="7"/>
  <c r="BW86" i="7"/>
  <c r="CC86" i="7"/>
  <c r="BY13" i="7"/>
  <c r="BZ301" i="7"/>
  <c r="BZ25" i="7"/>
  <c r="BZ189" i="7"/>
  <c r="CC203" i="7"/>
  <c r="BW203" i="7"/>
  <c r="BV17" i="7"/>
  <c r="BW286" i="7"/>
  <c r="CC286" i="7"/>
  <c r="BY24" i="7"/>
  <c r="CE488" i="5"/>
  <c r="CE270" i="6"/>
  <c r="BW134" i="7"/>
  <c r="CC134" i="7"/>
  <c r="BV50" i="7"/>
  <c r="BY270" i="7"/>
  <c r="BY83" i="7"/>
  <c r="BW164" i="7"/>
  <c r="CC164" i="7"/>
  <c r="BY168" i="7"/>
  <c r="CE274" i="6"/>
  <c r="BY90" i="7"/>
  <c r="BZ163" i="7"/>
  <c r="CC91" i="7"/>
  <c r="BW91" i="7"/>
  <c r="BW307" i="7"/>
  <c r="CC307" i="7"/>
  <c r="BZ118" i="7"/>
  <c r="CC322" i="7"/>
  <c r="BW322" i="7"/>
  <c r="BZ286" i="7"/>
  <c r="CC99" i="7"/>
  <c r="BW99" i="7"/>
  <c r="CE267" i="2"/>
  <c r="CG267" i="2" s="1"/>
  <c r="CC115" i="7"/>
  <c r="BW115" i="7"/>
  <c r="BY302" i="7"/>
  <c r="BW228" i="7"/>
  <c r="CC228" i="7"/>
  <c r="BZ288" i="7"/>
  <c r="CC299" i="7"/>
  <c r="BW299" i="7"/>
  <c r="BY73" i="7"/>
  <c r="BW238" i="7"/>
  <c r="CC238" i="7"/>
  <c r="BV183" i="7"/>
  <c r="BV20" i="7"/>
  <c r="CC25" i="7"/>
  <c r="BW25" i="7"/>
  <c r="BY140" i="7"/>
  <c r="BV247" i="7"/>
  <c r="BY112" i="7"/>
  <c r="BV270" i="7"/>
  <c r="BZ224" i="7"/>
  <c r="BZ61" i="7"/>
  <c r="BZ154" i="7"/>
  <c r="CC177" i="7"/>
  <c r="BW177" i="7"/>
  <c r="BV285" i="7"/>
  <c r="BZ329" i="7"/>
  <c r="CC149" i="7"/>
  <c r="BW149" i="7"/>
  <c r="CE502" i="2"/>
  <c r="BW114" i="7"/>
  <c r="CC114" i="7"/>
  <c r="CC312" i="7"/>
  <c r="BW312" i="7"/>
  <c r="CC309" i="7"/>
  <c r="BW309" i="7"/>
  <c r="BZ205" i="7"/>
  <c r="BW45" i="7"/>
  <c r="CC45" i="7"/>
  <c r="BZ117" i="7"/>
  <c r="BV228" i="7"/>
  <c r="BY198" i="7"/>
  <c r="BV95" i="7"/>
  <c r="BZ158" i="7"/>
  <c r="BY221" i="7"/>
  <c r="BV239" i="7"/>
  <c r="BY209" i="7"/>
  <c r="CC313" i="7"/>
  <c r="BW313" i="7"/>
  <c r="BV178" i="7"/>
  <c r="BW122" i="7"/>
  <c r="CC122" i="7"/>
  <c r="BY100" i="7"/>
  <c r="BW52" i="7"/>
  <c r="CC52" i="7"/>
  <c r="BZ223" i="7"/>
  <c r="BZ60" i="7"/>
  <c r="CC280" i="7"/>
  <c r="BW280" i="7"/>
  <c r="BV190" i="7"/>
  <c r="CC167" i="7"/>
  <c r="BW167" i="7"/>
  <c r="BZ75" i="7"/>
  <c r="BV80" i="7"/>
  <c r="BV192" i="7"/>
  <c r="BV226" i="7"/>
  <c r="BV46" i="7"/>
  <c r="BV102" i="7"/>
  <c r="CE378" i="5"/>
  <c r="BZ307" i="7"/>
  <c r="BV123" i="7"/>
  <c r="BZ106" i="7"/>
  <c r="BW157" i="7"/>
  <c r="CC157" i="7"/>
  <c r="BV48" i="7"/>
  <c r="CC210" i="7"/>
  <c r="BW210" i="7"/>
  <c r="CC42" i="7"/>
  <c r="BW42" i="7"/>
  <c r="BV86" i="7"/>
  <c r="BV322" i="7"/>
  <c r="BW321" i="7"/>
  <c r="CC321" i="7"/>
  <c r="BV111" i="7"/>
  <c r="BZ238" i="7"/>
  <c r="BV290" i="7"/>
  <c r="BZ19" i="7"/>
  <c r="BZ37" i="7"/>
  <c r="BZ57" i="7"/>
  <c r="BZ142" i="7"/>
  <c r="BY178" i="7"/>
  <c r="CE270" i="2"/>
  <c r="CC111" i="7"/>
  <c r="BW111" i="7"/>
  <c r="BW221" i="7"/>
  <c r="CC221" i="7"/>
  <c r="BV248" i="7"/>
  <c r="BY132" i="7"/>
  <c r="BV126" i="7"/>
  <c r="BV14" i="7"/>
  <c r="BY280" i="7"/>
  <c r="CE378" i="2"/>
  <c r="BV18" i="7"/>
  <c r="BY235" i="7"/>
  <c r="BW127" i="7"/>
  <c r="CC127" i="7"/>
  <c r="BV72" i="7"/>
  <c r="BZ16" i="7"/>
  <c r="CC269" i="7"/>
  <c r="BW269" i="7"/>
  <c r="BV174" i="7"/>
  <c r="BY107" i="7"/>
  <c r="CE136" i="6"/>
  <c r="BW234" i="7"/>
  <c r="CC234" i="7"/>
  <c r="BW266" i="7"/>
  <c r="CC266" i="7"/>
  <c r="BY232" i="7"/>
  <c r="BZ203" i="7"/>
  <c r="BY249" i="7"/>
  <c r="BW252" i="7"/>
  <c r="CC252" i="7"/>
  <c r="BY219" i="7"/>
  <c r="CC150" i="7"/>
  <c r="BW150" i="7"/>
  <c r="CE272" i="6"/>
  <c r="BZ120" i="7"/>
  <c r="BY247" i="7"/>
  <c r="CC279" i="7"/>
  <c r="BW279" i="7"/>
  <c r="BV203" i="7"/>
  <c r="CB203" i="7" s="1"/>
  <c r="BY34" i="7"/>
  <c r="BZ313" i="7"/>
  <c r="CE502" i="6"/>
  <c r="BV293" i="7"/>
  <c r="BV286" i="7"/>
  <c r="CC23" i="7"/>
  <c r="BW23" i="7"/>
  <c r="BW154" i="7"/>
  <c r="CC154" i="7"/>
  <c r="BZ237" i="7"/>
  <c r="BZ98" i="7"/>
  <c r="CC116" i="7"/>
  <c r="BW116" i="7"/>
  <c r="BV108" i="7"/>
  <c r="BY103" i="7"/>
  <c r="BW306" i="7"/>
  <c r="CC306" i="7"/>
  <c r="BV30" i="7"/>
  <c r="CE378" i="6"/>
  <c r="BZ62" i="7"/>
  <c r="BV317" i="7"/>
  <c r="BY289" i="7"/>
  <c r="CC28" i="7"/>
  <c r="BW28" i="7"/>
  <c r="BZ78" i="7"/>
  <c r="BV115" i="7"/>
  <c r="BY108" i="7"/>
  <c r="BW128" i="7"/>
  <c r="CC128" i="7"/>
  <c r="BY257" i="7"/>
  <c r="BZ233" i="7"/>
  <c r="BV97" i="7"/>
  <c r="CE133" i="2"/>
  <c r="BV27" i="7"/>
  <c r="BW16" i="7"/>
  <c r="CC16" i="7"/>
  <c r="CE271" i="6"/>
  <c r="BY226" i="7"/>
  <c r="BZ84" i="7"/>
  <c r="BV231" i="7"/>
  <c r="CC90" i="7"/>
  <c r="BW90" i="7"/>
  <c r="BY186" i="7"/>
  <c r="BZ227" i="7"/>
  <c r="BV36" i="7"/>
  <c r="BW308" i="7"/>
  <c r="CC308" i="7"/>
  <c r="BV182" i="7"/>
  <c r="BY325" i="7"/>
  <c r="CC184" i="7"/>
  <c r="BW184" i="7"/>
  <c r="BV161" i="7"/>
  <c r="BY143" i="7"/>
  <c r="BY265" i="7"/>
  <c r="CC270" i="7"/>
  <c r="BW270" i="7"/>
  <c r="BY214" i="7"/>
  <c r="BZ123" i="7"/>
  <c r="BW224" i="7"/>
  <c r="CC224" i="7"/>
  <c r="CE492" i="5"/>
  <c r="BZ201" i="7"/>
  <c r="BZ121" i="7"/>
  <c r="BY273" i="7"/>
  <c r="CC100" i="7"/>
  <c r="BW100" i="7"/>
  <c r="CC69" i="7"/>
  <c r="BW69" i="7"/>
  <c r="BW198" i="7"/>
  <c r="CC198" i="7"/>
  <c r="BV43" i="7"/>
  <c r="BZ162" i="7"/>
  <c r="BV184" i="7"/>
  <c r="BY32" i="7"/>
  <c r="BV300" i="7"/>
  <c r="BY114" i="7"/>
  <c r="BV59" i="7"/>
  <c r="BZ133" i="7"/>
  <c r="CE133" i="6"/>
  <c r="BV198" i="7"/>
  <c r="BZ232" i="7"/>
  <c r="BZ183" i="7"/>
  <c r="BY177" i="7"/>
  <c r="BZ38" i="7"/>
  <c r="CC43" i="7"/>
  <c r="BW43" i="7"/>
  <c r="BV173" i="7"/>
  <c r="BY104" i="7"/>
  <c r="BV256" i="7"/>
  <c r="BV298" i="7"/>
  <c r="BZ49" i="7"/>
  <c r="BW56" i="7"/>
  <c r="CC56" i="7"/>
  <c r="BZ141" i="7"/>
  <c r="BY23" i="7"/>
  <c r="CE491" i="5"/>
  <c r="BW248" i="7"/>
  <c r="CC248" i="7"/>
  <c r="CE275" i="2"/>
  <c r="CE382" i="2"/>
  <c r="CE487" i="6"/>
  <c r="CG487" i="6" s="1"/>
  <c r="BZ219" i="7"/>
  <c r="BV258" i="7"/>
  <c r="BV139" i="7"/>
  <c r="BV297" i="7"/>
  <c r="BV323" i="7"/>
  <c r="BY60" i="7"/>
  <c r="BZ235" i="7"/>
  <c r="BV292" i="7"/>
  <c r="CE275" i="6"/>
  <c r="CF275" i="6" s="1"/>
  <c r="BV312" i="7"/>
  <c r="CE269" i="6"/>
  <c r="CC143" i="7"/>
  <c r="BW143" i="7"/>
  <c r="BY61" i="7"/>
  <c r="BV162" i="7"/>
  <c r="BZ174" i="7"/>
  <c r="CE377" i="6"/>
  <c r="BW70" i="7"/>
  <c r="CC70" i="7"/>
  <c r="BZ29" i="7"/>
  <c r="BY216" i="7"/>
  <c r="BY111" i="7"/>
  <c r="BZ94" i="7"/>
  <c r="BV147" i="7"/>
  <c r="BV253" i="7"/>
  <c r="BY309" i="7"/>
  <c r="CE266" i="2"/>
  <c r="BW169" i="7"/>
  <c r="CC169" i="7"/>
  <c r="BV276" i="7"/>
  <c r="BZ300" i="7"/>
  <c r="BV277" i="7"/>
  <c r="CE137" i="6"/>
  <c r="CE384" i="2"/>
  <c r="CG384" i="2" s="1"/>
  <c r="BY185" i="7"/>
  <c r="CE487" i="5"/>
  <c r="BY91" i="7"/>
  <c r="CC125" i="7"/>
  <c r="BW125" i="7"/>
  <c r="BY62" i="7"/>
  <c r="BV266" i="7"/>
  <c r="CC58" i="7"/>
  <c r="BW58" i="7"/>
  <c r="BZ35" i="7"/>
  <c r="BY153" i="7"/>
  <c r="BY311" i="7"/>
  <c r="BZ279" i="7"/>
  <c r="BY318" i="7"/>
  <c r="BY278" i="7"/>
  <c r="BZ129" i="7"/>
  <c r="BY98" i="7"/>
  <c r="BY77" i="7"/>
  <c r="CC230" i="7"/>
  <c r="BW230" i="7"/>
  <c r="CE501" i="6"/>
  <c r="BZ266" i="7"/>
  <c r="BV291" i="7"/>
  <c r="BV118" i="7"/>
  <c r="BZ100" i="7"/>
  <c r="BY70" i="7"/>
  <c r="BW93" i="7"/>
  <c r="CC93" i="7"/>
  <c r="CE385" i="5"/>
  <c r="BY303" i="7"/>
  <c r="BY145" i="7"/>
  <c r="BY44" i="7"/>
  <c r="CE274" i="5"/>
  <c r="BW72" i="7"/>
  <c r="CC72" i="7"/>
  <c r="CC218" i="7"/>
  <c r="BW218" i="7"/>
  <c r="BY109" i="7"/>
  <c r="BV113" i="7"/>
  <c r="BV94" i="7"/>
  <c r="BV71" i="7"/>
  <c r="CE275" i="5"/>
  <c r="BY36" i="7"/>
  <c r="BW171" i="7"/>
  <c r="CC171" i="7"/>
  <c r="BY286" i="7"/>
  <c r="CE381" i="6"/>
  <c r="BZ198" i="7"/>
  <c r="BZ184" i="7"/>
  <c r="BY199" i="7"/>
  <c r="BY206" i="7"/>
  <c r="BV140" i="7"/>
  <c r="BY173" i="7"/>
  <c r="BY122" i="7"/>
  <c r="BW129" i="7"/>
  <c r="CC129" i="7"/>
  <c r="CE134" i="2"/>
  <c r="BZ81" i="7"/>
  <c r="BW176" i="7"/>
  <c r="CC176" i="7"/>
  <c r="BV76" i="7"/>
  <c r="BV271" i="7"/>
  <c r="BW87" i="7"/>
  <c r="CC87" i="7"/>
  <c r="BZ150" i="7"/>
  <c r="BV278" i="7"/>
  <c r="BZ254" i="7"/>
  <c r="BZ211" i="7"/>
  <c r="BZ280" i="7"/>
  <c r="CE380" i="2"/>
  <c r="CF380" i="2" s="1"/>
  <c r="BW55" i="7"/>
  <c r="CC55" i="7"/>
  <c r="BV129" i="7"/>
  <c r="BW201" i="7"/>
  <c r="CC201" i="7"/>
  <c r="BY39" i="7"/>
  <c r="BZ67" i="7"/>
  <c r="BW282" i="7"/>
  <c r="CC282" i="7"/>
  <c r="BY52" i="7"/>
  <c r="BV193" i="7"/>
  <c r="BV254" i="7"/>
  <c r="BZ134" i="7"/>
  <c r="BZ315" i="7"/>
  <c r="BY139" i="7"/>
  <c r="BZ234" i="7"/>
  <c r="BV279" i="7"/>
  <c r="BY253" i="7"/>
  <c r="BW310" i="7"/>
  <c r="CC310" i="7"/>
  <c r="BV159" i="7"/>
  <c r="CC283" i="7"/>
  <c r="BW283" i="7"/>
  <c r="BZ188" i="7"/>
  <c r="CE135" i="6"/>
  <c r="CE380" i="6"/>
  <c r="CC246" i="7"/>
  <c r="BW246" i="7"/>
  <c r="BY155" i="7"/>
  <c r="CC147" i="7"/>
  <c r="BW147" i="7"/>
  <c r="CE497" i="5"/>
  <c r="CG497" i="5" s="1"/>
  <c r="CC242" i="7"/>
  <c r="BW242" i="7"/>
  <c r="BZ202" i="7"/>
  <c r="BW195" i="7"/>
  <c r="CC195" i="7"/>
  <c r="BZ278" i="7"/>
  <c r="BZ214" i="7"/>
  <c r="BV195" i="7"/>
  <c r="BY238" i="7"/>
  <c r="BV103" i="7"/>
  <c r="BY230" i="7"/>
  <c r="BV197" i="7"/>
  <c r="CC36" i="7"/>
  <c r="BW36" i="7"/>
  <c r="BY326" i="7"/>
  <c r="BY197" i="7"/>
  <c r="BZ28" i="7"/>
  <c r="BZ265" i="7"/>
  <c r="CC220" i="7"/>
  <c r="BW220" i="7"/>
  <c r="BZ87" i="7"/>
  <c r="BZ88" i="7"/>
  <c r="BY53" i="7"/>
  <c r="CE382" i="5"/>
  <c r="BW79" i="7"/>
  <c r="CC79" i="7"/>
  <c r="BV302" i="7"/>
  <c r="BY243" i="7"/>
  <c r="CC103" i="7"/>
  <c r="BW103" i="7"/>
  <c r="BZ213" i="7"/>
  <c r="CC32" i="7"/>
  <c r="BW32" i="7"/>
  <c r="BW106" i="7"/>
  <c r="CC106" i="7"/>
  <c r="BW329" i="7"/>
  <c r="CC329" i="7"/>
  <c r="BY239" i="7"/>
  <c r="BZ77" i="7"/>
  <c r="BY276" i="7"/>
  <c r="BY176" i="7"/>
  <c r="BY293" i="7"/>
  <c r="BV35" i="7"/>
  <c r="BW319" i="7"/>
  <c r="CC319" i="7"/>
  <c r="BV109" i="7"/>
  <c r="CE501" i="2"/>
  <c r="BZ58" i="7"/>
  <c r="BV127" i="7"/>
  <c r="CE268" i="6"/>
  <c r="CC295" i="7"/>
  <c r="BW295" i="7"/>
  <c r="BV15" i="7"/>
  <c r="BY151" i="7"/>
  <c r="BV132" i="7"/>
  <c r="BV287" i="7"/>
  <c r="CE141" i="6"/>
  <c r="CF141" i="6" s="1"/>
  <c r="BY125" i="7"/>
  <c r="BV137" i="7"/>
  <c r="BV70" i="7"/>
  <c r="BV224" i="7"/>
  <c r="CC168" i="7"/>
  <c r="BW168" i="7"/>
  <c r="CE270" i="5"/>
  <c r="BZ115" i="7"/>
  <c r="BW102" i="7"/>
  <c r="CC102" i="7"/>
  <c r="BY217" i="7"/>
  <c r="BW215" i="7"/>
  <c r="CC215" i="7"/>
  <c r="CE381" i="5"/>
  <c r="BZ108" i="7"/>
  <c r="BZ125" i="7"/>
  <c r="BY160" i="7"/>
  <c r="BY120" i="7"/>
  <c r="BY27" i="7"/>
  <c r="BY30" i="7"/>
  <c r="BV261" i="7"/>
  <c r="BZ256" i="7"/>
  <c r="BV233" i="7"/>
  <c r="BW267" i="7"/>
  <c r="CC267" i="7"/>
  <c r="CE492" i="2"/>
  <c r="BY310" i="7"/>
  <c r="BV299" i="7"/>
  <c r="BW300" i="7"/>
  <c r="CC300" i="7"/>
  <c r="CC131" i="7"/>
  <c r="BW131" i="7"/>
  <c r="BZ135" i="7"/>
  <c r="BY115" i="7"/>
  <c r="CE136" i="2"/>
  <c r="CG136" i="2" s="1"/>
  <c r="BZ212" i="7"/>
  <c r="BY157" i="7"/>
  <c r="BY242" i="7"/>
  <c r="BV170" i="7"/>
  <c r="BW88" i="7"/>
  <c r="CC88" i="7"/>
  <c r="BZ165" i="7"/>
  <c r="BW257" i="7"/>
  <c r="CC257" i="7"/>
  <c r="BW133" i="7"/>
  <c r="CC133" i="7"/>
  <c r="CC21" i="7"/>
  <c r="BW21" i="7"/>
  <c r="CC263" i="7"/>
  <c r="BW263" i="7"/>
  <c r="BV125" i="7"/>
  <c r="BY233" i="7"/>
  <c r="BY191" i="7"/>
  <c r="CC289" i="7"/>
  <c r="BW289" i="7"/>
  <c r="CC188" i="7"/>
  <c r="BW188" i="7"/>
  <c r="CE379" i="5"/>
  <c r="BY156" i="7"/>
  <c r="BV105" i="7"/>
  <c r="CE493" i="5"/>
  <c r="BW260" i="7"/>
  <c r="CC260" i="7"/>
  <c r="CC156" i="7"/>
  <c r="BW156" i="7"/>
  <c r="CE493" i="6"/>
  <c r="CG493" i="6" s="1"/>
  <c r="BV128" i="7"/>
  <c r="BW301" i="7"/>
  <c r="CC301" i="7"/>
  <c r="BV218" i="7"/>
  <c r="BV315" i="7"/>
  <c r="BV39" i="7"/>
  <c r="BW80" i="7"/>
  <c r="CC80" i="7"/>
  <c r="CC163" i="7"/>
  <c r="BW163" i="7"/>
  <c r="CC135" i="7"/>
  <c r="BW135" i="7"/>
  <c r="CC112" i="7"/>
  <c r="BW112" i="7"/>
  <c r="BZ231" i="7"/>
  <c r="BY290" i="7"/>
  <c r="BZ230" i="7"/>
  <c r="BW181" i="7"/>
  <c r="CC181" i="7"/>
  <c r="BV245" i="7"/>
  <c r="BZ95" i="7"/>
  <c r="BV87" i="7"/>
  <c r="CB87" i="7" s="1"/>
  <c r="BZ217" i="7"/>
  <c r="BV263" i="7"/>
  <c r="BZ220" i="7"/>
  <c r="BV177" i="7"/>
  <c r="CE489" i="6"/>
  <c r="BZ210" i="7"/>
  <c r="BZ270" i="7"/>
  <c r="CC132" i="7"/>
  <c r="BW132" i="7"/>
  <c r="BY74" i="7"/>
  <c r="BW137" i="7"/>
  <c r="CC137" i="7"/>
  <c r="BY65" i="7"/>
  <c r="BV73" i="7"/>
  <c r="BZ321" i="7"/>
  <c r="CC277" i="7"/>
  <c r="BW277" i="7"/>
  <c r="BV281" i="7"/>
  <c r="BZ137" i="7"/>
  <c r="BY46" i="7"/>
  <c r="CC33" i="7"/>
  <c r="BW33" i="7"/>
  <c r="BZ172" i="7"/>
  <c r="BZ52" i="7"/>
  <c r="BZ306" i="7"/>
  <c r="BY205" i="7"/>
  <c r="BV28" i="7"/>
  <c r="CE140" i="6"/>
  <c r="BZ318" i="7"/>
  <c r="BV259" i="7"/>
  <c r="CC297" i="7"/>
  <c r="BW297" i="7"/>
  <c r="BY162" i="7"/>
  <c r="BW225" i="7"/>
  <c r="CC225" i="7"/>
  <c r="BV92" i="7"/>
  <c r="BZ63" i="7"/>
  <c r="BV319" i="7"/>
  <c r="BW214" i="7"/>
  <c r="CC214" i="7"/>
  <c r="BZ85" i="7"/>
  <c r="CC216" i="7"/>
  <c r="BW216" i="7"/>
  <c r="BV65" i="7"/>
  <c r="CE267" i="6"/>
  <c r="BY59" i="7"/>
  <c r="BY66" i="7"/>
  <c r="CE379" i="6"/>
  <c r="BY14" i="7"/>
  <c r="BY174" i="7"/>
  <c r="BV252" i="7"/>
  <c r="BW161" i="7"/>
  <c r="CC161" i="7"/>
  <c r="BY131" i="7"/>
  <c r="BW275" i="7"/>
  <c r="CC275" i="7"/>
  <c r="BY182" i="7"/>
  <c r="BY184" i="7"/>
  <c r="BZ272" i="7"/>
  <c r="BY210" i="7"/>
  <c r="BZ207" i="7"/>
  <c r="BZ44" i="7"/>
  <c r="BZ320" i="7"/>
  <c r="BY237" i="7"/>
  <c r="CE498" i="5"/>
  <c r="BW271" i="7"/>
  <c r="CC271" i="7"/>
  <c r="BZ261" i="7"/>
  <c r="BV215" i="7"/>
  <c r="BZ170" i="7"/>
  <c r="BY295" i="7"/>
  <c r="BY330" i="7"/>
  <c r="BW200" i="7"/>
  <c r="CC200" i="7"/>
  <c r="BZ99" i="7"/>
  <c r="BY288" i="7"/>
  <c r="BV37" i="7"/>
  <c r="BW255" i="7"/>
  <c r="CC255" i="7"/>
  <c r="CC158" i="7"/>
  <c r="BW158" i="7"/>
  <c r="BZ209" i="7"/>
  <c r="BV181" i="7"/>
  <c r="BZ31" i="7"/>
  <c r="BY259" i="7"/>
  <c r="BZ187" i="7"/>
  <c r="BZ247" i="7"/>
  <c r="BY63" i="7"/>
  <c r="BV211" i="7"/>
  <c r="BY224" i="7"/>
  <c r="BV330" i="7"/>
  <c r="BZ109" i="7"/>
  <c r="BY248" i="7"/>
  <c r="BV156" i="7"/>
  <c r="BY187" i="7"/>
  <c r="BY292" i="7"/>
  <c r="BW205" i="7"/>
  <c r="CC205" i="7"/>
  <c r="CC130" i="7"/>
  <c r="BW130" i="7"/>
  <c r="BV175" i="7"/>
  <c r="BV47" i="7"/>
  <c r="BZ200" i="7"/>
  <c r="CC165" i="7"/>
  <c r="BW165" i="7"/>
  <c r="BV185" i="7"/>
  <c r="BY118" i="7"/>
  <c r="CE265" i="2"/>
  <c r="BV234" i="7"/>
  <c r="BZ259" i="7"/>
  <c r="BV89" i="7"/>
  <c r="BV225" i="7"/>
  <c r="BW251" i="7"/>
  <c r="CC251" i="7"/>
  <c r="BW57" i="7"/>
  <c r="CC57" i="7"/>
  <c r="BV188" i="7"/>
  <c r="CE385" i="2"/>
  <c r="BW268" i="7"/>
  <c r="CC268" i="7"/>
  <c r="BY320" i="7"/>
  <c r="BZ50" i="7"/>
  <c r="BZ171" i="7"/>
  <c r="BY79" i="7"/>
  <c r="BZ173" i="7"/>
  <c r="BZ130" i="7"/>
  <c r="BY47" i="7"/>
  <c r="BY207" i="7"/>
  <c r="BY150" i="7"/>
  <c r="BW145" i="7"/>
  <c r="CC145" i="7"/>
  <c r="BY211" i="7"/>
  <c r="BW189" i="7"/>
  <c r="CC189" i="7"/>
  <c r="BW211" i="7"/>
  <c r="CC211" i="7"/>
  <c r="BY316" i="7"/>
  <c r="BZ45" i="7"/>
  <c r="CC179" i="7"/>
  <c r="BW179" i="7"/>
  <c r="BV143" i="7"/>
  <c r="BW136" i="7"/>
  <c r="CC136" i="7"/>
  <c r="BV38" i="7"/>
  <c r="BW191" i="7"/>
  <c r="CC191" i="7"/>
  <c r="CC209" i="7"/>
  <c r="BW209" i="7"/>
  <c r="BV282" i="7"/>
  <c r="CE266" i="6"/>
  <c r="BY285" i="7"/>
  <c r="BY313" i="7"/>
  <c r="BZ14" i="7"/>
  <c r="BW153" i="7"/>
  <c r="CC153" i="7"/>
  <c r="CE271" i="2"/>
  <c r="BY189" i="7"/>
  <c r="BZ177" i="7"/>
  <c r="BY312" i="7"/>
  <c r="CB312" i="7" s="1"/>
  <c r="BZ281" i="7"/>
  <c r="BY190" i="7"/>
  <c r="BY38" i="7"/>
  <c r="BW118" i="7"/>
  <c r="CC118" i="7"/>
  <c r="CE377" i="5"/>
  <c r="CF377" i="5" s="1"/>
  <c r="CE493" i="2"/>
  <c r="CF493" i="2" s="1"/>
  <c r="BZ116" i="7"/>
  <c r="BZ309" i="7"/>
  <c r="CE494" i="5"/>
  <c r="BY212" i="7"/>
  <c r="BZ290" i="7"/>
  <c r="CC89" i="7"/>
  <c r="BW89" i="7"/>
  <c r="BY58" i="7"/>
  <c r="CE265" i="5"/>
  <c r="BV244" i="7"/>
  <c r="CE135" i="2"/>
  <c r="BV41" i="7"/>
  <c r="BV136" i="7"/>
  <c r="BY85" i="7"/>
  <c r="BZ317" i="7"/>
  <c r="BW81" i="7"/>
  <c r="CC81" i="7"/>
  <c r="BY181" i="7"/>
  <c r="BY45" i="7"/>
  <c r="BZ93" i="7"/>
  <c r="BV179" i="7"/>
  <c r="BY202" i="7"/>
  <c r="BV202" i="7"/>
  <c r="BW67" i="7"/>
  <c r="CC67" i="7"/>
  <c r="BV100" i="7"/>
  <c r="BW315" i="7"/>
  <c r="CC315" i="7"/>
  <c r="BZ46" i="7"/>
  <c r="CE267" i="5"/>
  <c r="BY171" i="7"/>
  <c r="BY246" i="7"/>
  <c r="CC305" i="7"/>
  <c r="BW305" i="7"/>
  <c r="CC83" i="7"/>
  <c r="BW83" i="7"/>
  <c r="BV325" i="7"/>
  <c r="BV165" i="7"/>
  <c r="CE488" i="2"/>
  <c r="CF488" i="2" s="1"/>
  <c r="BV106" i="7"/>
  <c r="BY260" i="7"/>
  <c r="CC293" i="7"/>
  <c r="BW293" i="7"/>
  <c r="BV288" i="7"/>
  <c r="CC237" i="7"/>
  <c r="BW237" i="7"/>
  <c r="BV78" i="7"/>
  <c r="BV199" i="7"/>
  <c r="BW105" i="7"/>
  <c r="CC105" i="7"/>
  <c r="BV16" i="7"/>
  <c r="BW174" i="7"/>
  <c r="CC174" i="7"/>
  <c r="BW44" i="7"/>
  <c r="CC44" i="7"/>
  <c r="BV119" i="7"/>
  <c r="BV151" i="7"/>
  <c r="CC207" i="7"/>
  <c r="BW207" i="7"/>
  <c r="BV200" i="7"/>
  <c r="CE382" i="6"/>
  <c r="BY165" i="7"/>
  <c r="BV187" i="7"/>
  <c r="CE139" i="2"/>
  <c r="BZ48" i="7"/>
  <c r="CE138" i="6"/>
  <c r="CG138" i="6" s="1"/>
  <c r="BZ136" i="7"/>
  <c r="BW59" i="7"/>
  <c r="CC59" i="7"/>
  <c r="BZ206" i="7"/>
  <c r="BZ42" i="7"/>
  <c r="BY262" i="7"/>
  <c r="BZ107" i="7"/>
  <c r="BV75" i="7"/>
  <c r="BY81" i="7"/>
  <c r="BZ132" i="7"/>
  <c r="CE143" i="6"/>
  <c r="BY97" i="7"/>
  <c r="BY200" i="7"/>
  <c r="CC64" i="7"/>
  <c r="BW64" i="7"/>
  <c r="BY35" i="7"/>
  <c r="CE269" i="2"/>
  <c r="BV22" i="7"/>
  <c r="BV91" i="7"/>
  <c r="CC95" i="7"/>
  <c r="BW95" i="7"/>
  <c r="BY244" i="7"/>
  <c r="BZ251" i="7"/>
  <c r="BY75" i="7"/>
  <c r="BY263" i="7"/>
  <c r="CC77" i="7"/>
  <c r="BW77" i="7"/>
  <c r="BY329" i="7"/>
  <c r="BY322" i="7"/>
  <c r="BZ21" i="7"/>
  <c r="BV57" i="7"/>
  <c r="BY317" i="7"/>
  <c r="CC159" i="7"/>
  <c r="BW159" i="7"/>
  <c r="BZ199" i="7"/>
  <c r="BW62" i="7"/>
  <c r="CC62" i="7"/>
  <c r="BY69" i="7"/>
  <c r="BV204" i="7"/>
  <c r="BV318" i="7"/>
  <c r="CE137" i="2"/>
  <c r="BZ114" i="7"/>
  <c r="BZ18" i="7"/>
  <c r="BW155" i="7"/>
  <c r="CC155" i="7"/>
  <c r="CC30" i="7"/>
  <c r="BW30" i="7"/>
  <c r="BZ90" i="7"/>
  <c r="BZ298" i="7"/>
  <c r="CE273" i="2"/>
  <c r="BY127" i="7"/>
  <c r="CE495" i="5"/>
  <c r="BV167" i="7"/>
  <c r="BZ70" i="7"/>
  <c r="BZ229" i="7"/>
  <c r="BY179" i="7"/>
  <c r="BZ323" i="7"/>
  <c r="CC65" i="7"/>
  <c r="BW65" i="7"/>
  <c r="BY218" i="7"/>
  <c r="BV296" i="7"/>
  <c r="BV133" i="7"/>
  <c r="CC254" i="7"/>
  <c r="BW254" i="7"/>
  <c r="BZ322" i="7"/>
  <c r="BY137" i="7"/>
  <c r="CC160" i="7"/>
  <c r="BW160" i="7"/>
  <c r="CC76" i="7"/>
  <c r="BW76" i="7"/>
  <c r="BV241" i="7"/>
  <c r="BW53" i="7"/>
  <c r="CC53" i="7"/>
  <c r="CC259" i="7"/>
  <c r="BW259" i="7"/>
  <c r="BZ30" i="7"/>
  <c r="CE385" i="6"/>
  <c r="CE495" i="6"/>
  <c r="CE142" i="2"/>
  <c r="BV122" i="7"/>
  <c r="BV146" i="7"/>
  <c r="BY268" i="7"/>
  <c r="BW212" i="7"/>
  <c r="CC212" i="7"/>
  <c r="BW276" i="7"/>
  <c r="CC276" i="7"/>
  <c r="CE495" i="2"/>
  <c r="BY272" i="7"/>
  <c r="BZ195" i="7"/>
  <c r="BZ255" i="7"/>
  <c r="BV90" i="7"/>
  <c r="BY296" i="7"/>
  <c r="BV328" i="7"/>
  <c r="BW178" i="7"/>
  <c r="CC178" i="7"/>
  <c r="BV153" i="7"/>
  <c r="CC146" i="7"/>
  <c r="BW146" i="7"/>
  <c r="BY95" i="7"/>
  <c r="BV220" i="7"/>
  <c r="CC60" i="7"/>
  <c r="BW60" i="7"/>
  <c r="BY175" i="7"/>
  <c r="BY135" i="7"/>
  <c r="BV144" i="7"/>
  <c r="CC256" i="7"/>
  <c r="BW256" i="7"/>
  <c r="BV53" i="7"/>
  <c r="BZ168" i="7"/>
  <c r="BY223" i="7"/>
  <c r="BZ244" i="7"/>
  <c r="CE266" i="5"/>
  <c r="CC233" i="7"/>
  <c r="BW233" i="7"/>
  <c r="BZ74" i="7"/>
  <c r="BY117" i="7"/>
  <c r="CE143" i="5"/>
  <c r="CF143" i="5" s="1"/>
  <c r="BV81" i="7"/>
  <c r="BV52" i="7"/>
  <c r="BV227" i="7"/>
  <c r="BV13" i="7"/>
  <c r="BY228" i="7"/>
  <c r="BZ178" i="7"/>
  <c r="BY245" i="7"/>
  <c r="BZ147" i="7"/>
  <c r="BZ161" i="7"/>
  <c r="CC148" i="7"/>
  <c r="BW148" i="7"/>
  <c r="BV232" i="7"/>
  <c r="BZ283" i="7"/>
  <c r="BV262" i="7"/>
  <c r="CC31" i="7"/>
  <c r="BW31" i="7"/>
  <c r="BZ302" i="7"/>
  <c r="BZ245" i="7"/>
  <c r="CC326" i="7"/>
  <c r="BW326" i="7"/>
  <c r="BZ164" i="7"/>
  <c r="BV305" i="7"/>
  <c r="BZ66" i="7"/>
  <c r="BY240" i="7"/>
  <c r="BV168" i="7"/>
  <c r="BY15" i="7"/>
  <c r="BV169" i="7"/>
  <c r="BZ157" i="7"/>
  <c r="BY220" i="7"/>
  <c r="BY283" i="7"/>
  <c r="CC273" i="7"/>
  <c r="BW273" i="7"/>
  <c r="BV307" i="7"/>
  <c r="CC101" i="7"/>
  <c r="BW101" i="7"/>
  <c r="CE490" i="6"/>
  <c r="CF490" i="6" s="1"/>
  <c r="BZ287" i="7"/>
  <c r="BY105" i="7"/>
  <c r="BW245" i="7"/>
  <c r="CC245" i="7"/>
  <c r="BY37" i="7"/>
  <c r="BZ65" i="7"/>
  <c r="BV69" i="7"/>
  <c r="BV265" i="7"/>
  <c r="BV321" i="7"/>
  <c r="CE491" i="6"/>
  <c r="BY55" i="7"/>
  <c r="BZ167" i="7"/>
  <c r="CE498" i="2"/>
  <c r="CE381" i="2"/>
  <c r="CE497" i="2"/>
  <c r="CF497" i="2" s="1"/>
  <c r="BV289" i="7"/>
  <c r="BY29" i="7"/>
  <c r="BZ252" i="7"/>
  <c r="BV131" i="7"/>
  <c r="BZ83" i="7"/>
  <c r="BZ289" i="7"/>
  <c r="CC288" i="7"/>
  <c r="BW288" i="7"/>
  <c r="CE268" i="2"/>
  <c r="BW281" i="7"/>
  <c r="CC281" i="7"/>
  <c r="BV213" i="7"/>
  <c r="BY88" i="7"/>
  <c r="BV237" i="7"/>
  <c r="CC261" i="7"/>
  <c r="BW261" i="7"/>
  <c r="BZ22" i="7"/>
  <c r="BZ89" i="7"/>
  <c r="BV216" i="7"/>
  <c r="BZ105" i="7"/>
  <c r="CC311" i="7"/>
  <c r="BW311" i="7"/>
  <c r="BV34" i="7"/>
  <c r="BZ253" i="7"/>
  <c r="BZ295" i="7"/>
  <c r="BY56" i="7"/>
  <c r="BZ190" i="7"/>
  <c r="CE487" i="2"/>
  <c r="CC113" i="7"/>
  <c r="BW113" i="7"/>
  <c r="BZ191" i="7"/>
  <c r="BY99" i="7"/>
  <c r="BW47" i="7"/>
  <c r="CC47" i="7"/>
  <c r="BV320" i="7"/>
  <c r="CE135" i="5"/>
  <c r="BZ153" i="7"/>
  <c r="BY323" i="7"/>
  <c r="BW144" i="7"/>
  <c r="CC144" i="7"/>
  <c r="BZ41" i="7"/>
  <c r="CC226" i="7"/>
  <c r="BW226" i="7"/>
  <c r="BV164" i="7"/>
  <c r="CC183" i="7"/>
  <c r="BW183" i="7"/>
  <c r="CE139" i="5"/>
  <c r="CC108" i="7"/>
  <c r="BW108" i="7"/>
  <c r="CE492" i="6"/>
  <c r="CG492" i="6" s="1"/>
  <c r="BZ310" i="7"/>
  <c r="BW13" i="7"/>
  <c r="CC13" i="7"/>
  <c r="BY19" i="7"/>
  <c r="BV219" i="7"/>
  <c r="BV148" i="7"/>
  <c r="BZ127" i="7"/>
  <c r="BZ101" i="7"/>
  <c r="BZ249" i="7"/>
  <c r="BV212" i="7"/>
  <c r="BZ80" i="7"/>
  <c r="BV267" i="7"/>
  <c r="BV249" i="7"/>
  <c r="BZ128" i="7"/>
  <c r="BV163" i="7"/>
  <c r="BV191" i="7"/>
  <c r="BZ328" i="7"/>
  <c r="BW29" i="7"/>
  <c r="CC29" i="7"/>
  <c r="BZ20" i="7"/>
  <c r="CC170" i="7"/>
  <c r="BW170" i="7"/>
  <c r="BY133" i="7"/>
  <c r="CC316" i="7"/>
  <c r="BW316" i="7"/>
  <c r="BV62" i="7"/>
  <c r="BW325" i="7"/>
  <c r="CC325" i="7"/>
  <c r="CC175" i="7"/>
  <c r="BW175" i="7"/>
  <c r="BY161" i="7"/>
  <c r="CE500" i="2"/>
  <c r="CC219" i="7"/>
  <c r="BW219" i="7"/>
  <c r="BY49" i="7"/>
  <c r="BV117" i="7"/>
  <c r="BW20" i="7"/>
  <c r="CC20" i="7"/>
  <c r="CE273" i="5"/>
  <c r="CC126" i="7"/>
  <c r="BW126" i="7"/>
  <c r="BY298" i="7"/>
  <c r="CC190" i="7"/>
  <c r="BW190" i="7"/>
  <c r="BY141" i="7"/>
  <c r="BZ51" i="7"/>
  <c r="BV51" i="7"/>
  <c r="BY164" i="7"/>
  <c r="BV145" i="7"/>
  <c r="BZ292" i="7"/>
  <c r="BV120" i="7"/>
  <c r="BV275" i="7"/>
  <c r="BV230" i="7"/>
  <c r="BY188" i="7"/>
  <c r="BW204" i="7"/>
  <c r="CC204" i="7"/>
  <c r="CC186" i="7"/>
  <c r="BW186" i="7"/>
  <c r="BY43" i="7"/>
  <c r="BY130" i="7"/>
  <c r="CB130" i="7" s="1"/>
  <c r="BY279" i="7"/>
  <c r="BZ36" i="7"/>
  <c r="BW244" i="7"/>
  <c r="CC244" i="7"/>
  <c r="BW84" i="7"/>
  <c r="CC84" i="7"/>
  <c r="BZ91" i="7"/>
  <c r="BW98" i="7"/>
  <c r="CC98" i="7"/>
  <c r="BY41" i="7"/>
  <c r="BZ262" i="7"/>
  <c r="BZ159" i="7"/>
  <c r="CC162" i="7"/>
  <c r="BW162" i="7"/>
  <c r="BW140" i="7"/>
  <c r="CC140" i="7"/>
  <c r="BV85" i="7"/>
  <c r="BY22" i="7"/>
  <c r="BV310" i="7"/>
  <c r="BW19" i="7"/>
  <c r="CC19" i="7"/>
  <c r="BY147" i="7"/>
  <c r="BY252" i="7"/>
  <c r="BZ32" i="7"/>
  <c r="BV255" i="7"/>
  <c r="BZ193" i="7"/>
  <c r="BV160" i="7"/>
  <c r="CE134" i="5"/>
  <c r="BW249" i="7"/>
  <c r="CC249" i="7"/>
  <c r="BV60" i="7"/>
  <c r="CE488" i="6"/>
  <c r="BW318" i="7"/>
  <c r="CC318" i="7"/>
  <c r="BW187" i="7"/>
  <c r="CC187" i="7"/>
  <c r="BY71" i="7"/>
  <c r="BY231" i="7"/>
  <c r="CE137" i="5"/>
  <c r="BY129" i="7"/>
  <c r="BW290" i="7"/>
  <c r="CC290" i="7"/>
  <c r="BZ226" i="7"/>
  <c r="BY328" i="7"/>
  <c r="BW213" i="7"/>
  <c r="CC213" i="7"/>
  <c r="BY144" i="7"/>
  <c r="BV196" i="7"/>
  <c r="BV98" i="7"/>
  <c r="BY170" i="7"/>
  <c r="BZ248" i="7"/>
  <c r="BY321" i="7"/>
  <c r="BZ260" i="7"/>
  <c r="CC182" i="7"/>
  <c r="BW182" i="7"/>
  <c r="BV201" i="7"/>
  <c r="BZ305" i="7"/>
  <c r="BY78" i="7"/>
  <c r="BZ277" i="7"/>
  <c r="BZ275" i="7"/>
  <c r="BV154" i="7"/>
  <c r="BZ39" i="7"/>
  <c r="BV309" i="7"/>
  <c r="BW61" i="7"/>
  <c r="CC61" i="7"/>
  <c r="CC15" i="7"/>
  <c r="BW15" i="7"/>
  <c r="BY319" i="7"/>
  <c r="BZ59" i="7"/>
  <c r="BV238" i="7"/>
  <c r="BZ169" i="7"/>
  <c r="BZ282" i="7"/>
  <c r="BV260" i="7"/>
  <c r="BZ175" i="7"/>
  <c r="CE133" i="5"/>
  <c r="CG133" i="5" s="1"/>
  <c r="BV316" i="7"/>
  <c r="CC173" i="7"/>
  <c r="BW173" i="7"/>
  <c r="BZ33" i="7"/>
  <c r="BV107" i="7"/>
  <c r="BV280" i="7"/>
  <c r="CE271" i="5"/>
  <c r="CF271" i="5" s="1"/>
  <c r="BZ151" i="7"/>
  <c r="BV217" i="7"/>
  <c r="BW298" i="7"/>
  <c r="CC298" i="7"/>
  <c r="CE384" i="6"/>
  <c r="BV29" i="7"/>
  <c r="BY192" i="7"/>
  <c r="BY146" i="7"/>
  <c r="BW243" i="7"/>
  <c r="CC243" i="7"/>
  <c r="BY254" i="7"/>
  <c r="BV155" i="7"/>
  <c r="CE500" i="6"/>
  <c r="CE500" i="5"/>
  <c r="CF500" i="5" s="1"/>
  <c r="BZ119" i="7"/>
  <c r="BY134" i="7"/>
  <c r="BV172" i="7"/>
  <c r="BZ285" i="7"/>
  <c r="BV101" i="7"/>
  <c r="BY215" i="7"/>
  <c r="BV49" i="7"/>
  <c r="BZ176" i="7"/>
  <c r="BZ268" i="7"/>
  <c r="CC41" i="7"/>
  <c r="BW41" i="7"/>
  <c r="BZ73" i="7"/>
  <c r="BY17" i="7"/>
  <c r="BY271" i="7"/>
  <c r="BV251" i="7"/>
  <c r="BY201" i="7"/>
  <c r="BZ293" i="7"/>
  <c r="BY258" i="7"/>
  <c r="BV149" i="7"/>
  <c r="BW328" i="7"/>
  <c r="CC328" i="7"/>
  <c r="BY256" i="7"/>
  <c r="BY25" i="7"/>
  <c r="BZ102" i="7"/>
  <c r="CC117" i="7"/>
  <c r="BW117" i="7"/>
  <c r="BW139" i="7"/>
  <c r="CC139" i="7"/>
  <c r="BZ241" i="7"/>
  <c r="BY158" i="7"/>
  <c r="CE491" i="2"/>
  <c r="CF491" i="2" s="1"/>
  <c r="BV104" i="7"/>
  <c r="BY72" i="7"/>
  <c r="BY225" i="7"/>
  <c r="BZ112" i="7"/>
  <c r="BY149" i="7"/>
  <c r="BZ326" i="7"/>
  <c r="CE497" i="6"/>
  <c r="CG497" i="6" s="1"/>
  <c r="BV240" i="7"/>
  <c r="BV45" i="7"/>
  <c r="BZ126" i="7"/>
  <c r="BZ72" i="7"/>
  <c r="CC240" i="7"/>
  <c r="BW240" i="7"/>
  <c r="BV142" i="7"/>
  <c r="BV207" i="7"/>
  <c r="BY172" i="7"/>
  <c r="BW272" i="7"/>
  <c r="CC272" i="7"/>
  <c r="BY93" i="7"/>
  <c r="BZ145" i="7"/>
  <c r="BV32" i="7"/>
  <c r="CB32" i="7" s="1"/>
  <c r="AI32" i="7" s="1"/>
  <c r="BZ140" i="7"/>
  <c r="BY183" i="7"/>
  <c r="BV42" i="7"/>
  <c r="BY64" i="7"/>
  <c r="BV223" i="7"/>
  <c r="CF267" i="2"/>
  <c r="B26" i="9"/>
  <c r="F26" i="9"/>
  <c r="E26" i="9"/>
  <c r="C26" i="9"/>
  <c r="CF141" i="5" l="1"/>
  <c r="CG141" i="6"/>
  <c r="CG275" i="6"/>
  <c r="CB140" i="7"/>
  <c r="AI140" i="7" s="1"/>
  <c r="AK140" i="7" s="1"/>
  <c r="CB216" i="7"/>
  <c r="CD216" i="7" s="1"/>
  <c r="CB57" i="7"/>
  <c r="CE57" i="7" s="1"/>
  <c r="CD312" i="7"/>
  <c r="CB197" i="7"/>
  <c r="CD197" i="7" s="1"/>
  <c r="CB305" i="7"/>
  <c r="AI305" i="7" s="1"/>
  <c r="CB163" i="7"/>
  <c r="CD163" i="7" s="1"/>
  <c r="CB52" i="7"/>
  <c r="AI52" i="7" s="1"/>
  <c r="AK52" i="7" s="1"/>
  <c r="CB254" i="7"/>
  <c r="AI254" i="7" s="1"/>
  <c r="CB318" i="7"/>
  <c r="CD318" i="7" s="1"/>
  <c r="CB303" i="7"/>
  <c r="CD303" i="7" s="1"/>
  <c r="CB86" i="7"/>
  <c r="CD86" i="7" s="1"/>
  <c r="CB298" i="7"/>
  <c r="CD298" i="7" s="1"/>
  <c r="CB280" i="7"/>
  <c r="CD280" i="7" s="1"/>
  <c r="CB98" i="7"/>
  <c r="CD98" i="7" s="1"/>
  <c r="CB255" i="7"/>
  <c r="CE255" i="7" s="1"/>
  <c r="CB230" i="7"/>
  <c r="CD230" i="7" s="1"/>
  <c r="CB141" i="7"/>
  <c r="CE141" i="7" s="1"/>
  <c r="CB90" i="7"/>
  <c r="CE90" i="7" s="1"/>
  <c r="CB46" i="7"/>
  <c r="CE46" i="7" s="1"/>
  <c r="CB159" i="7"/>
  <c r="CE159" i="7" s="1"/>
  <c r="CB238" i="7"/>
  <c r="CD238" i="7" s="1"/>
  <c r="CG143" i="5"/>
  <c r="CB224" i="7"/>
  <c r="CE224" i="7" s="1"/>
  <c r="CB44" i="7"/>
  <c r="AI44" i="7" s="1"/>
  <c r="CB109" i="7"/>
  <c r="CD109" i="7" s="1"/>
  <c r="CF384" i="2"/>
  <c r="CG377" i="5"/>
  <c r="CG488" i="2"/>
  <c r="CB329" i="7"/>
  <c r="CD329" i="7" s="1"/>
  <c r="CB104" i="7"/>
  <c r="CD104" i="7" s="1"/>
  <c r="CF497" i="5"/>
  <c r="CB322" i="7"/>
  <c r="CB293" i="7"/>
  <c r="AI293" i="7" s="1"/>
  <c r="AM293" i="7" s="1"/>
  <c r="CB39" i="7"/>
  <c r="CE39" i="7" s="1"/>
  <c r="CB240" i="7"/>
  <c r="CD240" i="7" s="1"/>
  <c r="CB45" i="7"/>
  <c r="CB107" i="7"/>
  <c r="CB61" i="7"/>
  <c r="AI61" i="7" s="1"/>
  <c r="AM61" i="7" s="1"/>
  <c r="CB267" i="7"/>
  <c r="AI267" i="7" s="1"/>
  <c r="CB311" i="7"/>
  <c r="AI311" i="7" s="1"/>
  <c r="AM311" i="7" s="1"/>
  <c r="CB307" i="7"/>
  <c r="CB168" i="7"/>
  <c r="CE168" i="7" s="1"/>
  <c r="CB106" i="7"/>
  <c r="AI106" i="7" s="1"/>
  <c r="AJ106" i="7" s="1"/>
  <c r="CB50" i="7"/>
  <c r="CE50" i="7" s="1"/>
  <c r="CF133" i="5"/>
  <c r="CF383" i="5"/>
  <c r="CB207" i="7"/>
  <c r="CB155" i="7"/>
  <c r="CB186" i="7"/>
  <c r="CD186" i="7" s="1"/>
  <c r="CB148" i="7"/>
  <c r="CD148" i="7" s="1"/>
  <c r="CB261" i="7"/>
  <c r="AI261" i="7" s="1"/>
  <c r="CB299" i="7"/>
  <c r="AI299" i="7" s="1"/>
  <c r="AM299" i="7" s="1"/>
  <c r="CB219" i="7"/>
  <c r="CD219" i="7" s="1"/>
  <c r="CB175" i="7"/>
  <c r="CD175" i="7" s="1"/>
  <c r="CB127" i="7"/>
  <c r="CB287" i="7"/>
  <c r="CB188" i="7"/>
  <c r="CD188" i="7" s="1"/>
  <c r="CB278" i="7"/>
  <c r="CE278" i="7" s="1"/>
  <c r="CB169" i="7"/>
  <c r="AI169" i="7" s="1"/>
  <c r="AJ169" i="7" s="1"/>
  <c r="CB147" i="7"/>
  <c r="AI147" i="7" s="1"/>
  <c r="CB297" i="7"/>
  <c r="AI297" i="7" s="1"/>
  <c r="AK297" i="7" s="1"/>
  <c r="CB143" i="7"/>
  <c r="CD143" i="7" s="1"/>
  <c r="CB317" i="7"/>
  <c r="CD317" i="7" s="1"/>
  <c r="CB158" i="7"/>
  <c r="CB63" i="7"/>
  <c r="CE63" i="7" s="1"/>
  <c r="CB291" i="7"/>
  <c r="CE291" i="7" s="1"/>
  <c r="CB67" i="7"/>
  <c r="CB31" i="7"/>
  <c r="CD31" i="7" s="1"/>
  <c r="CB92" i="7"/>
  <c r="AI92" i="7" s="1"/>
  <c r="CB321" i="7"/>
  <c r="CD321" i="7" s="1"/>
  <c r="CB60" i="7"/>
  <c r="CB133" i="7"/>
  <c r="CB135" i="7"/>
  <c r="CD135" i="7" s="1"/>
  <c r="CB231" i="7"/>
  <c r="CB296" i="7"/>
  <c r="CB121" i="7"/>
  <c r="CB51" i="7"/>
  <c r="AI51" i="7" s="1"/>
  <c r="AM51" i="7" s="1"/>
  <c r="CB227" i="7"/>
  <c r="AI227" i="7" s="1"/>
  <c r="CB258" i="7"/>
  <c r="CE258" i="7" s="1"/>
  <c r="CD57" i="7"/>
  <c r="AI46" i="7"/>
  <c r="CE303" i="7"/>
  <c r="CB17" i="7"/>
  <c r="AI17" i="7" s="1"/>
  <c r="AJ17" i="7" s="1"/>
  <c r="CB246" i="7"/>
  <c r="CB64" i="7"/>
  <c r="CE64" i="7" s="1"/>
  <c r="CB201" i="7"/>
  <c r="CD201" i="7" s="1"/>
  <c r="CB285" i="7"/>
  <c r="CD285" i="7" s="1"/>
  <c r="CB217" i="7"/>
  <c r="CE217" i="7" s="1"/>
  <c r="CB316" i="7"/>
  <c r="CB319" i="7"/>
  <c r="CD319" i="7" s="1"/>
  <c r="CB275" i="7"/>
  <c r="CB81" i="7"/>
  <c r="AI81" i="7" s="1"/>
  <c r="AM81" i="7" s="1"/>
  <c r="CB156" i="7"/>
  <c r="CB283" i="7"/>
  <c r="CD283" i="7" s="1"/>
  <c r="CF492" i="6"/>
  <c r="CG265" i="6"/>
  <c r="CF490" i="2"/>
  <c r="CB172" i="7"/>
  <c r="CD172" i="7" s="1"/>
  <c r="CB251" i="7"/>
  <c r="CB49" i="7"/>
  <c r="CB108" i="7"/>
  <c r="CB265" i="7"/>
  <c r="AI265" i="7" s="1"/>
  <c r="CB273" i="7"/>
  <c r="CB315" i="7"/>
  <c r="CD315" i="7" s="1"/>
  <c r="CB234" i="7"/>
  <c r="CB103" i="7"/>
  <c r="CD103" i="7" s="1"/>
  <c r="CB23" i="7"/>
  <c r="CB190" i="7"/>
  <c r="AI190" i="7" s="1"/>
  <c r="AJ190" i="7" s="1"/>
  <c r="CB99" i="7"/>
  <c r="CB272" i="7"/>
  <c r="CF136" i="2"/>
  <c r="CB328" i="7"/>
  <c r="CE328" i="7" s="1"/>
  <c r="CB191" i="7"/>
  <c r="CE191" i="7" s="1"/>
  <c r="CB228" i="7"/>
  <c r="CE228" i="7" s="1"/>
  <c r="CB137" i="7"/>
  <c r="CB132" i="7"/>
  <c r="CB326" i="7"/>
  <c r="CD326" i="7" s="1"/>
  <c r="CB76" i="7"/>
  <c r="AI76" i="7" s="1"/>
  <c r="AK76" i="7" s="1"/>
  <c r="CF493" i="6"/>
  <c r="CB72" i="7"/>
  <c r="CE72" i="7" s="1"/>
  <c r="CB162" i="7"/>
  <c r="CD162" i="7" s="1"/>
  <c r="CB212" i="7"/>
  <c r="CB213" i="7"/>
  <c r="CD213" i="7" s="1"/>
  <c r="CB131" i="7"/>
  <c r="CD131" i="7" s="1"/>
  <c r="CB69" i="7"/>
  <c r="CD69" i="7" s="1"/>
  <c r="CB313" i="7"/>
  <c r="AI313" i="7" s="1"/>
  <c r="AK313" i="7" s="1"/>
  <c r="AJ32" i="7"/>
  <c r="AK32" i="7"/>
  <c r="AM32" i="7"/>
  <c r="AI130" i="7"/>
  <c r="AM130" i="7" s="1"/>
  <c r="CE130" i="7"/>
  <c r="CD32" i="7"/>
  <c r="CE216" i="7"/>
  <c r="CF492" i="2"/>
  <c r="CG493" i="2"/>
  <c r="CB42" i="7"/>
  <c r="CE42" i="7" s="1"/>
  <c r="CB145" i="7"/>
  <c r="AI145" i="7" s="1"/>
  <c r="AK145" i="7" s="1"/>
  <c r="CB243" i="7"/>
  <c r="CD243" i="7" s="1"/>
  <c r="CB182" i="7"/>
  <c r="CE182" i="7" s="1"/>
  <c r="CB196" i="7"/>
  <c r="CB164" i="7"/>
  <c r="CB34" i="7"/>
  <c r="CD34" i="7" s="1"/>
  <c r="CB232" i="7"/>
  <c r="CD232" i="7" s="1"/>
  <c r="CB13" i="7"/>
  <c r="CD13" i="7" s="1"/>
  <c r="CB146" i="7"/>
  <c r="CB16" i="7"/>
  <c r="CE16" i="7" s="1"/>
  <c r="CB198" i="7"/>
  <c r="CB94" i="7"/>
  <c r="CD94" i="7" s="1"/>
  <c r="CB235" i="7"/>
  <c r="AI235" i="7" s="1"/>
  <c r="CB221" i="7"/>
  <c r="CE221" i="7" s="1"/>
  <c r="CB73" i="7"/>
  <c r="AI73" i="7" s="1"/>
  <c r="AJ73" i="7" s="1"/>
  <c r="CE312" i="7"/>
  <c r="CG497" i="2"/>
  <c r="CG381" i="5"/>
  <c r="CF381" i="5"/>
  <c r="CB225" i="7"/>
  <c r="AI225" i="7" s="1"/>
  <c r="CB117" i="7"/>
  <c r="CB256" i="7"/>
  <c r="CD256" i="7" s="1"/>
  <c r="CB310" i="7"/>
  <c r="CB244" i="7"/>
  <c r="AI244" i="7" s="1"/>
  <c r="CB100" i="7"/>
  <c r="CD100" i="7" s="1"/>
  <c r="CB209" i="7"/>
  <c r="AI209" i="7" s="1"/>
  <c r="AM209" i="7" s="1"/>
  <c r="CB211" i="7"/>
  <c r="CD211" i="7" s="1"/>
  <c r="CB112" i="7"/>
  <c r="CE112" i="7" s="1"/>
  <c r="CB105" i="7"/>
  <c r="CB111" i="7"/>
  <c r="CE111" i="7" s="1"/>
  <c r="CG492" i="2"/>
  <c r="CG490" i="6"/>
  <c r="CG491" i="2"/>
  <c r="CF136" i="5"/>
  <c r="CB260" i="7"/>
  <c r="AI260" i="7" s="1"/>
  <c r="AJ260" i="7" s="1"/>
  <c r="CB193" i="7"/>
  <c r="CE193" i="7" s="1"/>
  <c r="CB62" i="7"/>
  <c r="CE62" i="7" s="1"/>
  <c r="CB241" i="7"/>
  <c r="CD241" i="7" s="1"/>
  <c r="CB229" i="7"/>
  <c r="AI229" i="7" s="1"/>
  <c r="AK229" i="7" s="1"/>
  <c r="CB77" i="7"/>
  <c r="AI77" i="7" s="1"/>
  <c r="CB48" i="7"/>
  <c r="CB53" i="7"/>
  <c r="CB323" i="7"/>
  <c r="CB200" i="7"/>
  <c r="CD200" i="7" s="1"/>
  <c r="CB187" i="7"/>
  <c r="CB199" i="7"/>
  <c r="CE199" i="7" s="1"/>
  <c r="CB288" i="7"/>
  <c r="CB181" i="7"/>
  <c r="CE181" i="7" s="1"/>
  <c r="CB252" i="7"/>
  <c r="CD252" i="7" s="1"/>
  <c r="CB177" i="7"/>
  <c r="CE177" i="7" s="1"/>
  <c r="CB233" i="7"/>
  <c r="CD233" i="7" s="1"/>
  <c r="CB70" i="7"/>
  <c r="CD70" i="7" s="1"/>
  <c r="CB220" i="7"/>
  <c r="CD220" i="7" s="1"/>
  <c r="CB282" i="7"/>
  <c r="CB253" i="7"/>
  <c r="CB115" i="7"/>
  <c r="CD115" i="7" s="1"/>
  <c r="CB289" i="7"/>
  <c r="CD289" i="7" s="1"/>
  <c r="CB123" i="7"/>
  <c r="CB95" i="7"/>
  <c r="CB189" i="7"/>
  <c r="AI189" i="7" s="1"/>
  <c r="AK189" i="7" s="1"/>
  <c r="CB257" i="7"/>
  <c r="CB160" i="7"/>
  <c r="CB24" i="7"/>
  <c r="CD24" i="7" s="1"/>
  <c r="CB33" i="7"/>
  <c r="CD33" i="7" s="1"/>
  <c r="CB25" i="7"/>
  <c r="CD25" i="7" s="1"/>
  <c r="CB170" i="7"/>
  <c r="CB47" i="7"/>
  <c r="CB271" i="7"/>
  <c r="CD271" i="7" s="1"/>
  <c r="CB259" i="7"/>
  <c r="CD259" i="7" s="1"/>
  <c r="CB35" i="7"/>
  <c r="CD35" i="7" s="1"/>
  <c r="CB214" i="7"/>
  <c r="CB173" i="7"/>
  <c r="CB71" i="7"/>
  <c r="AI71" i="7" s="1"/>
  <c r="CB59" i="7"/>
  <c r="CE59" i="7" s="1"/>
  <c r="CB36" i="7"/>
  <c r="AI36" i="7" s="1"/>
  <c r="AK36" i="7" s="1"/>
  <c r="CB150" i="7"/>
  <c r="AI150" i="7" s="1"/>
  <c r="CB248" i="7"/>
  <c r="CE248" i="7" s="1"/>
  <c r="CB178" i="7"/>
  <c r="CB85" i="7"/>
  <c r="CB206" i="7"/>
  <c r="CE206" i="7" s="1"/>
  <c r="CB116" i="7"/>
  <c r="CE116" i="7" s="1"/>
  <c r="CB301" i="7"/>
  <c r="CB113" i="7"/>
  <c r="CB14" i="7"/>
  <c r="CD14" i="7" s="1"/>
  <c r="CB142" i="7"/>
  <c r="CD142" i="7" s="1"/>
  <c r="CB149" i="7"/>
  <c r="AI149" i="7" s="1"/>
  <c r="AM149" i="7" s="1"/>
  <c r="CB262" i="7"/>
  <c r="CE262" i="7" s="1"/>
  <c r="CB144" i="7"/>
  <c r="CD144" i="7" s="1"/>
  <c r="CB30" i="7"/>
  <c r="CB204" i="7"/>
  <c r="CB91" i="7"/>
  <c r="CE91" i="7" s="1"/>
  <c r="CB151" i="7"/>
  <c r="CE151" i="7" s="1"/>
  <c r="CB237" i="7"/>
  <c r="CB165" i="7"/>
  <c r="CB37" i="7"/>
  <c r="CD37" i="7" s="1"/>
  <c r="CB215" i="7"/>
  <c r="CE215" i="7" s="1"/>
  <c r="CB277" i="7"/>
  <c r="CD277" i="7" s="1"/>
  <c r="CB74" i="7"/>
  <c r="AI74" i="7" s="1"/>
  <c r="CB263" i="7"/>
  <c r="CE263" i="7" s="1"/>
  <c r="CB245" i="7"/>
  <c r="CD245" i="7" s="1"/>
  <c r="CB128" i="7"/>
  <c r="CB21" i="7"/>
  <c r="CD21" i="7" s="1"/>
  <c r="CB88" i="7"/>
  <c r="AI88" i="7" s="1"/>
  <c r="CB118" i="7"/>
  <c r="CD118" i="7" s="1"/>
  <c r="CB300" i="7"/>
  <c r="CB270" i="7"/>
  <c r="AI270" i="7" s="1"/>
  <c r="CB97" i="7"/>
  <c r="AI97" i="7" s="1"/>
  <c r="CB286" i="7"/>
  <c r="CE286" i="7" s="1"/>
  <c r="CB192" i="7"/>
  <c r="CD192" i="7" s="1"/>
  <c r="CB183" i="7"/>
  <c r="CD183" i="7" s="1"/>
  <c r="CB205" i="7"/>
  <c r="CD205" i="7" s="1"/>
  <c r="CB19" i="7"/>
  <c r="CE19" i="7" s="1"/>
  <c r="CB55" i="7"/>
  <c r="AI55" i="7" s="1"/>
  <c r="CB306" i="7"/>
  <c r="CB20" i="7"/>
  <c r="CB249" i="7"/>
  <c r="CE249" i="7" s="1"/>
  <c r="CB101" i="7"/>
  <c r="CB136" i="7"/>
  <c r="CD136" i="7" s="1"/>
  <c r="CB281" i="7"/>
  <c r="AI281" i="7" s="1"/>
  <c r="CB38" i="7"/>
  <c r="CB292" i="7"/>
  <c r="CB161" i="7"/>
  <c r="CB65" i="7"/>
  <c r="CB80" i="7"/>
  <c r="CD80" i="7" s="1"/>
  <c r="CB15" i="7"/>
  <c r="CE15" i="7" s="1"/>
  <c r="CB279" i="7"/>
  <c r="CB176" i="7"/>
  <c r="CB184" i="7"/>
  <c r="AI184" i="7" s="1"/>
  <c r="CB84" i="7"/>
  <c r="CB154" i="7"/>
  <c r="CB18" i="7"/>
  <c r="CE18" i="7" s="1"/>
  <c r="CB126" i="7"/>
  <c r="AI126" i="7" s="1"/>
  <c r="CB102" i="7"/>
  <c r="CD102" i="7" s="1"/>
  <c r="CB309" i="7"/>
  <c r="CB78" i="7"/>
  <c r="CE78" i="7" s="1"/>
  <c r="CB171" i="7"/>
  <c r="CD171" i="7" s="1"/>
  <c r="CB27" i="7"/>
  <c r="CB185" i="7"/>
  <c r="CB242" i="7"/>
  <c r="AI242" i="7" s="1"/>
  <c r="CB134" i="7"/>
  <c r="CD134" i="7" s="1"/>
  <c r="CB268" i="7"/>
  <c r="CE268" i="7" s="1"/>
  <c r="CB22" i="7"/>
  <c r="CB93" i="7"/>
  <c r="CE93" i="7" s="1"/>
  <c r="CB308" i="7"/>
  <c r="CE308" i="7" s="1"/>
  <c r="CB302" i="7"/>
  <c r="CD87" i="7"/>
  <c r="AI87" i="7"/>
  <c r="AK87" i="7" s="1"/>
  <c r="CE87" i="7"/>
  <c r="CE254" i="7"/>
  <c r="CD203" i="7"/>
  <c r="CE203" i="7"/>
  <c r="AI203" i="7"/>
  <c r="CG384" i="6"/>
  <c r="CF384" i="6"/>
  <c r="CG139" i="5"/>
  <c r="CF139" i="5"/>
  <c r="CG266" i="5"/>
  <c r="CF266" i="5"/>
  <c r="CG495" i="6"/>
  <c r="CF495" i="6"/>
  <c r="CF143" i="6"/>
  <c r="CG382" i="6"/>
  <c r="CF382" i="6"/>
  <c r="CF267" i="5"/>
  <c r="CG267" i="5"/>
  <c r="CG135" i="2"/>
  <c r="CF135" i="2"/>
  <c r="CB153" i="7"/>
  <c r="CG266" i="6"/>
  <c r="CF266" i="6"/>
  <c r="CF385" i="2"/>
  <c r="CG385" i="2"/>
  <c r="CG493" i="5"/>
  <c r="CF493" i="5"/>
  <c r="CG379" i="5"/>
  <c r="CF379" i="5"/>
  <c r="CG501" i="2"/>
  <c r="CF501" i="2"/>
  <c r="CF382" i="5"/>
  <c r="CG382" i="5"/>
  <c r="CG135" i="6"/>
  <c r="CF135" i="6"/>
  <c r="CB129" i="7"/>
  <c r="CF381" i="6"/>
  <c r="CG381" i="6"/>
  <c r="CF487" i="5"/>
  <c r="CG487" i="5"/>
  <c r="CF377" i="6"/>
  <c r="CG377" i="6"/>
  <c r="CF502" i="6"/>
  <c r="CG502" i="6"/>
  <c r="CG378" i="5"/>
  <c r="CF378" i="5"/>
  <c r="CG502" i="2"/>
  <c r="CF502" i="2"/>
  <c r="CG274" i="6"/>
  <c r="CF274" i="6"/>
  <c r="CB66" i="7"/>
  <c r="CG140" i="5"/>
  <c r="CF140" i="5"/>
  <c r="CB295" i="7"/>
  <c r="CB210" i="7"/>
  <c r="CB195" i="7"/>
  <c r="CF379" i="2"/>
  <c r="CG379" i="2"/>
  <c r="CF273" i="6"/>
  <c r="CG273" i="6"/>
  <c r="CF268" i="5"/>
  <c r="CG268" i="5"/>
  <c r="CG142" i="6"/>
  <c r="CF142" i="6"/>
  <c r="CF272" i="5"/>
  <c r="CG272" i="5"/>
  <c r="CD130" i="7"/>
  <c r="AI312" i="7"/>
  <c r="CF497" i="6"/>
  <c r="CF265" i="6"/>
  <c r="CG133" i="2"/>
  <c r="CG143" i="2"/>
  <c r="CG141" i="2"/>
  <c r="CF141" i="2"/>
  <c r="CB223" i="7"/>
  <c r="CB139" i="7"/>
  <c r="CG271" i="5"/>
  <c r="CG381" i="2"/>
  <c r="CF381" i="2"/>
  <c r="CF491" i="6"/>
  <c r="CG491" i="6"/>
  <c r="CG385" i="6"/>
  <c r="CF385" i="6"/>
  <c r="CF273" i="2"/>
  <c r="CG273" i="2"/>
  <c r="CG139" i="2"/>
  <c r="CF139" i="2"/>
  <c r="CB119" i="7"/>
  <c r="CB174" i="7"/>
  <c r="CB325" i="7"/>
  <c r="CB179" i="7"/>
  <c r="CB89" i="7"/>
  <c r="CF494" i="5"/>
  <c r="CG494" i="5"/>
  <c r="CB247" i="7"/>
  <c r="CG498" i="5"/>
  <c r="CF498" i="5"/>
  <c r="CG270" i="5"/>
  <c r="CF270" i="5"/>
  <c r="CF268" i="6"/>
  <c r="CG268" i="6"/>
  <c r="CB122" i="7"/>
  <c r="CG275" i="5"/>
  <c r="CF275" i="5"/>
  <c r="CG501" i="6"/>
  <c r="CF501" i="6"/>
  <c r="CB58" i="7"/>
  <c r="CB125" i="7"/>
  <c r="CF382" i="2"/>
  <c r="CG382" i="2"/>
  <c r="CG491" i="5"/>
  <c r="CF491" i="5"/>
  <c r="CB56" i="7"/>
  <c r="CB114" i="7"/>
  <c r="CF492" i="5"/>
  <c r="CG492" i="5"/>
  <c r="CG272" i="6"/>
  <c r="CF272" i="6"/>
  <c r="CG378" i="2"/>
  <c r="CF378" i="2"/>
  <c r="CB269" i="7"/>
  <c r="CF138" i="2"/>
  <c r="CG138" i="2"/>
  <c r="CF139" i="6"/>
  <c r="CG139" i="6"/>
  <c r="CB79" i="7"/>
  <c r="CB330" i="7"/>
  <c r="CG380" i="5"/>
  <c r="CF380" i="5"/>
  <c r="CG383" i="2"/>
  <c r="CF383" i="2"/>
  <c r="CF502" i="5"/>
  <c r="CG502" i="5"/>
  <c r="CG383" i="6"/>
  <c r="CF383" i="6"/>
  <c r="CG269" i="5"/>
  <c r="CF269" i="5"/>
  <c r="CG489" i="5"/>
  <c r="CF489" i="5"/>
  <c r="CF488" i="6"/>
  <c r="CG488" i="6"/>
  <c r="CG134" i="5"/>
  <c r="CF134" i="5"/>
  <c r="CF500" i="2"/>
  <c r="CG500" i="2"/>
  <c r="CG268" i="2"/>
  <c r="CF268" i="2"/>
  <c r="CF498" i="2"/>
  <c r="CG498" i="2"/>
  <c r="CF495" i="2"/>
  <c r="CG495" i="2"/>
  <c r="CG137" i="2"/>
  <c r="CF137" i="2"/>
  <c r="CF269" i="2"/>
  <c r="CG269" i="2"/>
  <c r="CB83" i="7"/>
  <c r="CF271" i="2"/>
  <c r="CG271" i="2"/>
  <c r="CF267" i="6"/>
  <c r="CG267" i="6"/>
  <c r="CF140" i="6"/>
  <c r="CG140" i="6"/>
  <c r="CG134" i="2"/>
  <c r="CF134" i="2"/>
  <c r="CG266" i="2"/>
  <c r="CF266" i="2"/>
  <c r="CF275" i="2"/>
  <c r="CG275" i="2"/>
  <c r="CG133" i="6"/>
  <c r="CF133" i="6"/>
  <c r="CF271" i="6"/>
  <c r="CG271" i="6"/>
  <c r="CF378" i="6"/>
  <c r="CG378" i="6"/>
  <c r="CF136" i="6"/>
  <c r="CG136" i="6"/>
  <c r="CF270" i="6"/>
  <c r="CG270" i="6"/>
  <c r="CG501" i="5"/>
  <c r="CF501" i="5"/>
  <c r="CG142" i="5"/>
  <c r="CF142" i="5"/>
  <c r="CG140" i="2"/>
  <c r="CF140" i="2"/>
  <c r="CG490" i="5"/>
  <c r="CF490" i="5"/>
  <c r="CE32" i="7"/>
  <c r="CF133" i="2"/>
  <c r="CG138" i="5"/>
  <c r="CF377" i="2"/>
  <c r="CG380" i="2"/>
  <c r="CG143" i="6"/>
  <c r="CF487" i="6"/>
  <c r="CG377" i="2"/>
  <c r="CG500" i="5"/>
  <c r="CG500" i="6"/>
  <c r="CF500" i="6"/>
  <c r="CB29" i="7"/>
  <c r="CB226" i="7"/>
  <c r="CF137" i="5"/>
  <c r="CG137" i="5"/>
  <c r="CG273" i="5"/>
  <c r="CF273" i="5"/>
  <c r="CG135" i="5"/>
  <c r="CF135" i="5"/>
  <c r="CG487" i="2"/>
  <c r="CF487" i="2"/>
  <c r="CB167" i="7"/>
  <c r="CF142" i="2"/>
  <c r="CG142" i="2"/>
  <c r="CG495" i="5"/>
  <c r="CF495" i="5"/>
  <c r="CB75" i="7"/>
  <c r="CF138" i="6"/>
  <c r="CB202" i="7"/>
  <c r="CB41" i="7"/>
  <c r="CF265" i="5"/>
  <c r="CG265" i="5"/>
  <c r="CB290" i="7"/>
  <c r="CG265" i="2"/>
  <c r="CF265" i="2"/>
  <c r="CG379" i="6"/>
  <c r="CF379" i="6"/>
  <c r="CB28" i="7"/>
  <c r="CF489" i="6"/>
  <c r="CG489" i="6"/>
  <c r="CF380" i="6"/>
  <c r="CG380" i="6"/>
  <c r="CB218" i="7"/>
  <c r="CG274" i="5"/>
  <c r="CF274" i="5"/>
  <c r="CG385" i="5"/>
  <c r="CF385" i="5"/>
  <c r="CB266" i="7"/>
  <c r="CF137" i="6"/>
  <c r="CG137" i="6"/>
  <c r="CB276" i="7"/>
  <c r="CG269" i="6"/>
  <c r="CF269" i="6"/>
  <c r="CB43" i="7"/>
  <c r="CF270" i="2"/>
  <c r="CG270" i="2"/>
  <c r="CG488" i="5"/>
  <c r="CF488" i="5"/>
  <c r="CB320" i="7"/>
  <c r="CF489" i="2"/>
  <c r="CG489" i="2"/>
  <c r="CB120" i="7"/>
  <c r="CG272" i="2"/>
  <c r="CF272" i="2"/>
  <c r="CB157" i="7"/>
  <c r="CG134" i="6"/>
  <c r="CF134" i="6"/>
  <c r="CB239" i="7"/>
  <c r="CF494" i="6"/>
  <c r="CG494" i="6"/>
  <c r="CF498" i="6"/>
  <c r="CG498" i="6"/>
  <c r="CG494" i="2"/>
  <c r="CF494" i="2"/>
  <c r="CG384" i="5"/>
  <c r="CF384" i="5"/>
  <c r="CF274" i="2"/>
  <c r="CG274" i="2"/>
  <c r="D26" i="9"/>
  <c r="C27" i="9" s="1"/>
  <c r="AM140" i="7" l="1"/>
  <c r="AI197" i="7"/>
  <c r="AK197" i="7" s="1"/>
  <c r="AJ140" i="7"/>
  <c r="AI303" i="7"/>
  <c r="AJ303" i="7" s="1"/>
  <c r="AI163" i="7"/>
  <c r="AK163" i="7" s="1"/>
  <c r="CD254" i="7"/>
  <c r="CD140" i="7"/>
  <c r="CD159" i="7"/>
  <c r="AI159" i="7"/>
  <c r="AM159" i="7" s="1"/>
  <c r="CE163" i="7"/>
  <c r="AI57" i="7"/>
  <c r="AM57" i="7" s="1"/>
  <c r="CE298" i="7"/>
  <c r="CE197" i="7"/>
  <c r="CE140" i="7"/>
  <c r="CE52" i="7"/>
  <c r="AI86" i="7"/>
  <c r="AK86" i="7" s="1"/>
  <c r="CD52" i="7"/>
  <c r="CD305" i="7"/>
  <c r="CE305" i="7"/>
  <c r="AI216" i="7"/>
  <c r="AJ216" i="7" s="1"/>
  <c r="CE318" i="7"/>
  <c r="CE86" i="7"/>
  <c r="AI318" i="7"/>
  <c r="AJ318" i="7" s="1"/>
  <c r="AI98" i="7"/>
  <c r="AM98" i="7" s="1"/>
  <c r="AI230" i="7"/>
  <c r="AJ230" i="7" s="1"/>
  <c r="CD44" i="7"/>
  <c r="AI298" i="7"/>
  <c r="AK298" i="7" s="1"/>
  <c r="CE230" i="7"/>
  <c r="AI90" i="7"/>
  <c r="AM90" i="7" s="1"/>
  <c r="CD90" i="7"/>
  <c r="AI141" i="7"/>
  <c r="AM141" i="7" s="1"/>
  <c r="CE98" i="7"/>
  <c r="CE135" i="7"/>
  <c r="CE280" i="7"/>
  <c r="CE238" i="7"/>
  <c r="AI255" i="7"/>
  <c r="AK255" i="7" s="1"/>
  <c r="CD46" i="7"/>
  <c r="CD255" i="7"/>
  <c r="AI238" i="7"/>
  <c r="AK238" i="7" s="1"/>
  <c r="AI280" i="7"/>
  <c r="AJ280" i="7" s="1"/>
  <c r="CD141" i="7"/>
  <c r="AJ51" i="7"/>
  <c r="CD224" i="7"/>
  <c r="AK51" i="7"/>
  <c r="AI240" i="7"/>
  <c r="AK240" i="7" s="1"/>
  <c r="CD92" i="7"/>
  <c r="CE186" i="7"/>
  <c r="CE188" i="7"/>
  <c r="CD190" i="7"/>
  <c r="AI186" i="7"/>
  <c r="AM186" i="7" s="1"/>
  <c r="AI168" i="7"/>
  <c r="AK168" i="7" s="1"/>
  <c r="CE92" i="7"/>
  <c r="AI219" i="7"/>
  <c r="AJ219" i="7" s="1"/>
  <c r="CE240" i="7"/>
  <c r="AM297" i="7"/>
  <c r="CD267" i="7"/>
  <c r="CE106" i="7"/>
  <c r="AI188" i="7"/>
  <c r="AM188" i="7" s="1"/>
  <c r="AI100" i="7"/>
  <c r="AK100" i="7" s="1"/>
  <c r="CE267" i="7"/>
  <c r="CE44" i="7"/>
  <c r="CD106" i="7"/>
  <c r="AK106" i="7"/>
  <c r="AI224" i="7"/>
  <c r="AM224" i="7" s="1"/>
  <c r="AI39" i="7"/>
  <c r="AK39" i="7" s="1"/>
  <c r="AJ130" i="7"/>
  <c r="AK130" i="7"/>
  <c r="CD278" i="7"/>
  <c r="CE311" i="7"/>
  <c r="CE109" i="7"/>
  <c r="CE329" i="7"/>
  <c r="CD297" i="7"/>
  <c r="CE219" i="7"/>
  <c r="AI109" i="7"/>
  <c r="AJ109" i="7" s="1"/>
  <c r="AI329" i="7"/>
  <c r="AJ329" i="7" s="1"/>
  <c r="CE225" i="7"/>
  <c r="AM230" i="7"/>
  <c r="AI135" i="7"/>
  <c r="AM135" i="7" s="1"/>
  <c r="AM260" i="7"/>
  <c r="AK260" i="7"/>
  <c r="AM106" i="7"/>
  <c r="CE71" i="7"/>
  <c r="AI248" i="7"/>
  <c r="AJ248" i="7" s="1"/>
  <c r="AI16" i="7"/>
  <c r="AK16" i="7" s="1"/>
  <c r="CE51" i="7"/>
  <c r="CD63" i="7"/>
  <c r="AI285" i="7"/>
  <c r="AJ285" i="7" s="1"/>
  <c r="AI142" i="7"/>
  <c r="AM142" i="7" s="1"/>
  <c r="CD51" i="7"/>
  <c r="CE297" i="7"/>
  <c r="CD16" i="7"/>
  <c r="CD209" i="7"/>
  <c r="AI221" i="7"/>
  <c r="AM221" i="7" s="1"/>
  <c r="CE34" i="7"/>
  <c r="AI34" i="7"/>
  <c r="AJ34" i="7" s="1"/>
  <c r="AI162" i="7"/>
  <c r="AK162" i="7" s="1"/>
  <c r="CE265" i="7"/>
  <c r="CE144" i="7"/>
  <c r="AK57" i="7"/>
  <c r="CD221" i="7"/>
  <c r="AJ87" i="7"/>
  <c r="CE205" i="7"/>
  <c r="AI63" i="7"/>
  <c r="AK63" i="7" s="1"/>
  <c r="AJ297" i="7"/>
  <c r="CE283" i="7"/>
  <c r="CE134" i="7"/>
  <c r="CD126" i="7"/>
  <c r="AI211" i="7"/>
  <c r="AJ211" i="7" s="1"/>
  <c r="CE115" i="7"/>
  <c r="CE70" i="7"/>
  <c r="CD72" i="7"/>
  <c r="AI91" i="7"/>
  <c r="AK91" i="7" s="1"/>
  <c r="CE104" i="7"/>
  <c r="AK150" i="7"/>
  <c r="AM150" i="7"/>
  <c r="AJ150" i="7"/>
  <c r="AM92" i="7"/>
  <c r="AK92" i="7"/>
  <c r="AI171" i="7"/>
  <c r="AM171" i="7" s="1"/>
  <c r="CD184" i="7"/>
  <c r="CE260" i="7"/>
  <c r="AI286" i="7"/>
  <c r="AJ286" i="7" s="1"/>
  <c r="CD181" i="7"/>
  <c r="AI111" i="7"/>
  <c r="AK111" i="7" s="1"/>
  <c r="AK293" i="7"/>
  <c r="CD293" i="7"/>
  <c r="AI104" i="7"/>
  <c r="AM229" i="7"/>
  <c r="CE148" i="7"/>
  <c r="CD111" i="7"/>
  <c r="CE118" i="7"/>
  <c r="AI215" i="7"/>
  <c r="AM215" i="7" s="1"/>
  <c r="AI206" i="7"/>
  <c r="AJ206" i="7" s="1"/>
  <c r="CE271" i="7"/>
  <c r="CD39" i="7"/>
  <c r="AM313" i="7"/>
  <c r="AJ229" i="7"/>
  <c r="AI308" i="7"/>
  <c r="AJ308" i="7" s="1"/>
  <c r="AI80" i="7"/>
  <c r="AK80" i="7" s="1"/>
  <c r="AJ97" i="7"/>
  <c r="AK97" i="7"/>
  <c r="CE293" i="7"/>
  <c r="CD93" i="7"/>
  <c r="AM87" i="7"/>
  <c r="AI289" i="7"/>
  <c r="AK289" i="7" s="1"/>
  <c r="CD265" i="7"/>
  <c r="AI148" i="7"/>
  <c r="CE143" i="7"/>
  <c r="AJ293" i="7"/>
  <c r="AI283" i="7"/>
  <c r="AM283" i="7" s="1"/>
  <c r="AM104" i="7"/>
  <c r="CE299" i="7"/>
  <c r="AI328" i="7"/>
  <c r="AK328" i="7" s="1"/>
  <c r="AM197" i="7"/>
  <c r="AI31" i="7"/>
  <c r="AM31" i="7" s="1"/>
  <c r="CD328" i="7"/>
  <c r="CE136" i="7"/>
  <c r="AJ88" i="7"/>
  <c r="AK88" i="7"/>
  <c r="AM88" i="7"/>
  <c r="AM225" i="7"/>
  <c r="AK225" i="7"/>
  <c r="AM168" i="7"/>
  <c r="AK184" i="7"/>
  <c r="AM184" i="7"/>
  <c r="CE65" i="7"/>
  <c r="CD65" i="7"/>
  <c r="CE113" i="7"/>
  <c r="CD113" i="7"/>
  <c r="CD137" i="7"/>
  <c r="AI137" i="7"/>
  <c r="AK137" i="7" s="1"/>
  <c r="CE121" i="7"/>
  <c r="CD121" i="7"/>
  <c r="AI121" i="7"/>
  <c r="CE133" i="7"/>
  <c r="AI133" i="7"/>
  <c r="AJ133" i="7" s="1"/>
  <c r="AI158" i="7"/>
  <c r="CD158" i="7"/>
  <c r="CE287" i="7"/>
  <c r="CD287" i="7"/>
  <c r="AI287" i="7"/>
  <c r="CE155" i="7"/>
  <c r="AI155" i="7"/>
  <c r="AK155" i="7" s="1"/>
  <c r="AI322" i="7"/>
  <c r="AK322" i="7" s="1"/>
  <c r="CE322" i="7"/>
  <c r="CD322" i="7"/>
  <c r="AJ197" i="7"/>
  <c r="CD61" i="7"/>
  <c r="AI112" i="7"/>
  <c r="AM112" i="7" s="1"/>
  <c r="CD235" i="7"/>
  <c r="CE37" i="7"/>
  <c r="CE285" i="7"/>
  <c r="CE24" i="7"/>
  <c r="CD155" i="7"/>
  <c r="CE147" i="7"/>
  <c r="CE61" i="7"/>
  <c r="CD133" i="7"/>
  <c r="CD147" i="7"/>
  <c r="AI307" i="7"/>
  <c r="AM307" i="7" s="1"/>
  <c r="CE307" i="7"/>
  <c r="AI176" i="7"/>
  <c r="CE176" i="7"/>
  <c r="AM281" i="7"/>
  <c r="AJ281" i="7"/>
  <c r="AK281" i="7"/>
  <c r="AI20" i="7"/>
  <c r="AK20" i="7" s="1"/>
  <c r="CE20" i="7"/>
  <c r="AM97" i="7"/>
  <c r="AI62" i="7"/>
  <c r="AJ62" i="7" s="1"/>
  <c r="CE233" i="7"/>
  <c r="AM305" i="7"/>
  <c r="AJ305" i="7"/>
  <c r="AM240" i="7"/>
  <c r="CD168" i="7"/>
  <c r="AI275" i="7"/>
  <c r="AM275" i="7" s="1"/>
  <c r="CD275" i="7"/>
  <c r="CE275" i="7"/>
  <c r="AJ184" i="7"/>
  <c r="AJ57" i="7"/>
  <c r="CE31" i="7"/>
  <c r="CD18" i="7"/>
  <c r="CD299" i="7"/>
  <c r="AI241" i="7"/>
  <c r="AK241" i="7" s="1"/>
  <c r="CE241" i="7"/>
  <c r="CE158" i="7"/>
  <c r="CD132" i="7"/>
  <c r="AI132" i="7"/>
  <c r="AJ132" i="7" s="1"/>
  <c r="CE132" i="7"/>
  <c r="CD272" i="7"/>
  <c r="CE272" i="7"/>
  <c r="AI272" i="7"/>
  <c r="CE103" i="7"/>
  <c r="AI103" i="7"/>
  <c r="AJ103" i="7" s="1"/>
  <c r="CE251" i="7"/>
  <c r="CD251" i="7"/>
  <c r="AI251" i="7"/>
  <c r="AM251" i="7" s="1"/>
  <c r="CE319" i="7"/>
  <c r="AI319" i="7"/>
  <c r="AJ319" i="7" s="1"/>
  <c r="AI201" i="7"/>
  <c r="AK201" i="7" s="1"/>
  <c r="CE201" i="7"/>
  <c r="CD116" i="7"/>
  <c r="AI321" i="7"/>
  <c r="AK321" i="7" s="1"/>
  <c r="AM44" i="7"/>
  <c r="AJ44" i="7"/>
  <c r="CD258" i="7"/>
  <c r="AI258" i="7"/>
  <c r="CD60" i="7"/>
  <c r="CE60" i="7"/>
  <c r="AI317" i="7"/>
  <c r="CE317" i="7"/>
  <c r="CE127" i="7"/>
  <c r="CD127" i="7"/>
  <c r="CE207" i="7"/>
  <c r="AI207" i="7"/>
  <c r="AM207" i="7" s="1"/>
  <c r="AK17" i="7"/>
  <c r="CD261" i="7"/>
  <c r="CD307" i="7"/>
  <c r="CE309" i="7"/>
  <c r="AI309" i="7"/>
  <c r="CE279" i="7"/>
  <c r="CD279" i="7"/>
  <c r="CE213" i="7"/>
  <c r="AI213" i="7"/>
  <c r="AM213" i="7" s="1"/>
  <c r="CD273" i="7"/>
  <c r="AI273" i="7"/>
  <c r="CE227" i="7"/>
  <c r="CD227" i="7"/>
  <c r="CE231" i="7"/>
  <c r="CD231" i="7"/>
  <c r="CE45" i="7"/>
  <c r="AI45" i="7"/>
  <c r="CD45" i="7"/>
  <c r="AK73" i="7"/>
  <c r="AK169" i="7"/>
  <c r="AM169" i="7"/>
  <c r="AJ92" i="7"/>
  <c r="AI278" i="7"/>
  <c r="CE273" i="7"/>
  <c r="AJ126" i="7"/>
  <c r="AM126" i="7"/>
  <c r="CD207" i="7"/>
  <c r="CE74" i="7"/>
  <c r="CD50" i="7"/>
  <c r="CE257" i="7"/>
  <c r="AI257" i="7"/>
  <c r="AK257" i="7" s="1"/>
  <c r="AK299" i="7"/>
  <c r="AJ299" i="7"/>
  <c r="CE321" i="7"/>
  <c r="CE310" i="7"/>
  <c r="CD310" i="7"/>
  <c r="AI326" i="7"/>
  <c r="AI143" i="7"/>
  <c r="CD311" i="7"/>
  <c r="AM298" i="7"/>
  <c r="AI131" i="7"/>
  <c r="AM131" i="7" s="1"/>
  <c r="CE131" i="7"/>
  <c r="CD296" i="7"/>
  <c r="AI296" i="7"/>
  <c r="AJ296" i="7" s="1"/>
  <c r="CE296" i="7"/>
  <c r="AI67" i="7"/>
  <c r="AJ67" i="7" s="1"/>
  <c r="CE67" i="7"/>
  <c r="CD67" i="7"/>
  <c r="CE169" i="7"/>
  <c r="CD169" i="7"/>
  <c r="AJ261" i="7"/>
  <c r="AK261" i="7"/>
  <c r="AM261" i="7"/>
  <c r="AI107" i="7"/>
  <c r="CD107" i="7"/>
  <c r="CE107" i="7"/>
  <c r="AJ225" i="7"/>
  <c r="AM17" i="7"/>
  <c r="CE315" i="7"/>
  <c r="CD191" i="7"/>
  <c r="AI191" i="7"/>
  <c r="AJ191" i="7" s="1"/>
  <c r="CE49" i="7"/>
  <c r="CD49" i="7"/>
  <c r="CD291" i="7"/>
  <c r="AI291" i="7"/>
  <c r="AI175" i="7"/>
  <c r="CE175" i="7"/>
  <c r="AK44" i="7"/>
  <c r="AM73" i="7"/>
  <c r="AI49" i="7"/>
  <c r="AI231" i="7"/>
  <c r="AM231" i="7" s="1"/>
  <c r="AJ254" i="7"/>
  <c r="AM254" i="7"/>
  <c r="AI50" i="7"/>
  <c r="AJ50" i="7" s="1"/>
  <c r="AI127" i="7"/>
  <c r="AK209" i="7"/>
  <c r="AJ209" i="7"/>
  <c r="AJ145" i="7"/>
  <c r="AM145" i="7"/>
  <c r="CE261" i="7"/>
  <c r="AI60" i="7"/>
  <c r="CE137" i="7"/>
  <c r="AM77" i="7"/>
  <c r="AK77" i="7"/>
  <c r="CD313" i="7"/>
  <c r="CE313" i="7"/>
  <c r="CD212" i="7"/>
  <c r="CE212" i="7"/>
  <c r="AI212" i="7"/>
  <c r="AK212" i="7" s="1"/>
  <c r="CD76" i="7"/>
  <c r="CE76" i="7"/>
  <c r="AI99" i="7"/>
  <c r="CD99" i="7"/>
  <c r="CE99" i="7"/>
  <c r="CE234" i="7"/>
  <c r="AI234" i="7"/>
  <c r="CE108" i="7"/>
  <c r="AI108" i="7"/>
  <c r="AK108" i="7" s="1"/>
  <c r="AI172" i="7"/>
  <c r="AJ172" i="7" s="1"/>
  <c r="CE172" i="7"/>
  <c r="CD156" i="7"/>
  <c r="AI156" i="7"/>
  <c r="AM156" i="7" s="1"/>
  <c r="CE156" i="7"/>
  <c r="CD316" i="7"/>
  <c r="AI316" i="7"/>
  <c r="AJ316" i="7" s="1"/>
  <c r="AI64" i="7"/>
  <c r="AK64" i="7" s="1"/>
  <c r="CD64" i="7"/>
  <c r="CE246" i="7"/>
  <c r="CD246" i="7"/>
  <c r="AM46" i="7"/>
  <c r="AJ46" i="7"/>
  <c r="AK46" i="7"/>
  <c r="AK81" i="7"/>
  <c r="AJ77" i="7"/>
  <c r="CD234" i="7"/>
  <c r="AI262" i="7"/>
  <c r="CD95" i="7"/>
  <c r="CE77" i="7"/>
  <c r="CD77" i="7"/>
  <c r="AI193" i="7"/>
  <c r="AM193" i="7" s="1"/>
  <c r="CD193" i="7"/>
  <c r="AJ81" i="7"/>
  <c r="AI246" i="7"/>
  <c r="CE316" i="7"/>
  <c r="CD108" i="7"/>
  <c r="AM189" i="7"/>
  <c r="AJ189" i="7"/>
  <c r="AJ52" i="7"/>
  <c r="AM52" i="7"/>
  <c r="CE22" i="7"/>
  <c r="AI154" i="7"/>
  <c r="CE154" i="7"/>
  <c r="CE161" i="7"/>
  <c r="AI161" i="7"/>
  <c r="CE306" i="7"/>
  <c r="AI165" i="7"/>
  <c r="AJ165" i="7" s="1"/>
  <c r="AI204" i="7"/>
  <c r="CD85" i="7"/>
  <c r="CE214" i="7"/>
  <c r="CE47" i="7"/>
  <c r="CD253" i="7"/>
  <c r="AI253" i="7"/>
  <c r="AJ253" i="7" s="1"/>
  <c r="CD288" i="7"/>
  <c r="CE323" i="7"/>
  <c r="CD323" i="7"/>
  <c r="CE105" i="7"/>
  <c r="AI94" i="7"/>
  <c r="AM94" i="7" s="1"/>
  <c r="CE94" i="7"/>
  <c r="AI13" i="7"/>
  <c r="CE13" i="7"/>
  <c r="AI196" i="7"/>
  <c r="CD196" i="7"/>
  <c r="CE196" i="7"/>
  <c r="AI42" i="7"/>
  <c r="CD42" i="7"/>
  <c r="AI146" i="7"/>
  <c r="CD146" i="7"/>
  <c r="AI69" i="7"/>
  <c r="AK69" i="7" s="1"/>
  <c r="CE69" i="7"/>
  <c r="CE162" i="7"/>
  <c r="AI228" i="7"/>
  <c r="AK228" i="7" s="1"/>
  <c r="CD228" i="7"/>
  <c r="CE190" i="7"/>
  <c r="AI315" i="7"/>
  <c r="CD81" i="7"/>
  <c r="CE81" i="7"/>
  <c r="AI217" i="7"/>
  <c r="CD217" i="7"/>
  <c r="CD17" i="7"/>
  <c r="CE17" i="7"/>
  <c r="AJ311" i="7"/>
  <c r="AK311" i="7"/>
  <c r="AI93" i="7"/>
  <c r="CE242" i="7"/>
  <c r="CD242" i="7"/>
  <c r="AI78" i="7"/>
  <c r="AJ78" i="7" s="1"/>
  <c r="CD78" i="7"/>
  <c r="AI18" i="7"/>
  <c r="CD176" i="7"/>
  <c r="AI65" i="7"/>
  <c r="CE281" i="7"/>
  <c r="CD281" i="7"/>
  <c r="CD20" i="7"/>
  <c r="AI205" i="7"/>
  <c r="AK205" i="7" s="1"/>
  <c r="CD97" i="7"/>
  <c r="CE97" i="7"/>
  <c r="CD88" i="7"/>
  <c r="CE88" i="7"/>
  <c r="AI263" i="7"/>
  <c r="AJ263" i="7" s="1"/>
  <c r="CD263" i="7"/>
  <c r="AI37" i="7"/>
  <c r="AK37" i="7" s="1"/>
  <c r="CD91" i="7"/>
  <c r="AI144" i="7"/>
  <c r="AM144" i="7" s="1"/>
  <c r="CE14" i="7"/>
  <c r="AI14" i="7"/>
  <c r="AM14" i="7" s="1"/>
  <c r="CD206" i="7"/>
  <c r="CE150" i="7"/>
  <c r="CD150" i="7"/>
  <c r="AI271" i="7"/>
  <c r="CE33" i="7"/>
  <c r="AI33" i="7"/>
  <c r="AJ33" i="7" s="1"/>
  <c r="CD189" i="7"/>
  <c r="CE189" i="7"/>
  <c r="AI115" i="7"/>
  <c r="AJ115" i="7" s="1"/>
  <c r="AI70" i="7"/>
  <c r="AI181" i="7"/>
  <c r="AJ181" i="7" s="1"/>
  <c r="AI200" i="7"/>
  <c r="AK200" i="7" s="1"/>
  <c r="CE200" i="7"/>
  <c r="CD48" i="7"/>
  <c r="CD112" i="7"/>
  <c r="CE244" i="7"/>
  <c r="CD244" i="7"/>
  <c r="CD225" i="7"/>
  <c r="CE326" i="7"/>
  <c r="AI72" i="7"/>
  <c r="AI23" i="7"/>
  <c r="CD23" i="7"/>
  <c r="CE23" i="7"/>
  <c r="AK227" i="7"/>
  <c r="AJ227" i="7"/>
  <c r="AM227" i="7"/>
  <c r="AI48" i="7"/>
  <c r="CE48" i="7"/>
  <c r="CD62" i="7"/>
  <c r="AI105" i="7"/>
  <c r="AK105" i="7" s="1"/>
  <c r="CD105" i="7"/>
  <c r="CE100" i="7"/>
  <c r="CD117" i="7"/>
  <c r="AI117" i="7"/>
  <c r="CE117" i="7"/>
  <c r="CE235" i="7"/>
  <c r="CE164" i="7"/>
  <c r="CD164" i="7"/>
  <c r="AI164" i="7"/>
  <c r="AM164" i="7" s="1"/>
  <c r="CE145" i="7"/>
  <c r="CD145" i="7"/>
  <c r="CD308" i="7"/>
  <c r="AI134" i="7"/>
  <c r="CE171" i="7"/>
  <c r="CE126" i="7"/>
  <c r="CE184" i="7"/>
  <c r="CE80" i="7"/>
  <c r="AI38" i="7"/>
  <c r="AJ38" i="7" s="1"/>
  <c r="AI249" i="7"/>
  <c r="AM249" i="7" s="1"/>
  <c r="CD249" i="7"/>
  <c r="AI19" i="7"/>
  <c r="AM19" i="7" s="1"/>
  <c r="CD19" i="7"/>
  <c r="CD286" i="7"/>
  <c r="AI118" i="7"/>
  <c r="CE245" i="7"/>
  <c r="AI245" i="7"/>
  <c r="CD215" i="7"/>
  <c r="AI151" i="7"/>
  <c r="CD151" i="7"/>
  <c r="CE142" i="7"/>
  <c r="AI116" i="7"/>
  <c r="CD248" i="7"/>
  <c r="CD71" i="7"/>
  <c r="AI259" i="7"/>
  <c r="CE259" i="7"/>
  <c r="CE25" i="7"/>
  <c r="AI25" i="7"/>
  <c r="CD257" i="7"/>
  <c r="AI220" i="7"/>
  <c r="CE220" i="7"/>
  <c r="AI252" i="7"/>
  <c r="CE252" i="7"/>
  <c r="AI187" i="7"/>
  <c r="CD187" i="7"/>
  <c r="CE187" i="7"/>
  <c r="CE146" i="7"/>
  <c r="CE229" i="7"/>
  <c r="CD229" i="7"/>
  <c r="CD260" i="7"/>
  <c r="CE211" i="7"/>
  <c r="CD73" i="7"/>
  <c r="CE73" i="7"/>
  <c r="CD198" i="7"/>
  <c r="AI198" i="7"/>
  <c r="CE198" i="7"/>
  <c r="CE232" i="7"/>
  <c r="AI232" i="7"/>
  <c r="AJ232" i="7" s="1"/>
  <c r="CD182" i="7"/>
  <c r="AI182" i="7"/>
  <c r="AK182" i="7" s="1"/>
  <c r="AI22" i="7"/>
  <c r="CD22" i="7"/>
  <c r="CD309" i="7"/>
  <c r="CD154" i="7"/>
  <c r="AI279" i="7"/>
  <c r="AJ279" i="7" s="1"/>
  <c r="CD161" i="7"/>
  <c r="AI136" i="7"/>
  <c r="AM136" i="7" s="1"/>
  <c r="AI306" i="7"/>
  <c r="AJ306" i="7" s="1"/>
  <c r="CD306" i="7"/>
  <c r="CE183" i="7"/>
  <c r="AI183" i="7"/>
  <c r="AJ183" i="7" s="1"/>
  <c r="CE21" i="7"/>
  <c r="AI21" i="7"/>
  <c r="AK21" i="7" s="1"/>
  <c r="CD74" i="7"/>
  <c r="CE165" i="7"/>
  <c r="CD165" i="7"/>
  <c r="CE204" i="7"/>
  <c r="CD204" i="7"/>
  <c r="CD262" i="7"/>
  <c r="AI113" i="7"/>
  <c r="AJ113" i="7" s="1"/>
  <c r="AI85" i="7"/>
  <c r="CE85" i="7"/>
  <c r="CD36" i="7"/>
  <c r="CE36" i="7"/>
  <c r="CD214" i="7"/>
  <c r="AI214" i="7"/>
  <c r="AK214" i="7" s="1"/>
  <c r="AI47" i="7"/>
  <c r="AM47" i="7" s="1"/>
  <c r="CD47" i="7"/>
  <c r="AI24" i="7"/>
  <c r="CE95" i="7"/>
  <c r="AI95" i="7"/>
  <c r="AM95" i="7" s="1"/>
  <c r="CE253" i="7"/>
  <c r="AI233" i="7"/>
  <c r="AI288" i="7"/>
  <c r="CE288" i="7"/>
  <c r="AI323" i="7"/>
  <c r="AK323" i="7" s="1"/>
  <c r="AI310" i="7"/>
  <c r="AJ76" i="7"/>
  <c r="AM76" i="7"/>
  <c r="AJ147" i="7"/>
  <c r="AK147" i="7"/>
  <c r="AM147" i="7"/>
  <c r="CE209" i="7"/>
  <c r="AI256" i="7"/>
  <c r="CE256" i="7"/>
  <c r="AI243" i="7"/>
  <c r="CE243" i="7"/>
  <c r="AJ55" i="7"/>
  <c r="AM55" i="7"/>
  <c r="CD302" i="7"/>
  <c r="AI302" i="7"/>
  <c r="AJ302" i="7" s="1"/>
  <c r="CD84" i="7"/>
  <c r="CE84" i="7"/>
  <c r="CE101" i="7"/>
  <c r="CD101" i="7"/>
  <c r="CE300" i="7"/>
  <c r="AI300" i="7"/>
  <c r="AI30" i="7"/>
  <c r="AJ30" i="7" s="1"/>
  <c r="CE30" i="7"/>
  <c r="CD30" i="7"/>
  <c r="AK305" i="7"/>
  <c r="AK303" i="7"/>
  <c r="AK235" i="7"/>
  <c r="AM235" i="7"/>
  <c r="AI27" i="7"/>
  <c r="CE27" i="7"/>
  <c r="CD27" i="7"/>
  <c r="AI15" i="7"/>
  <c r="AK15" i="7" s="1"/>
  <c r="CD15" i="7"/>
  <c r="CE55" i="7"/>
  <c r="CD55" i="7"/>
  <c r="AI128" i="7"/>
  <c r="CE128" i="7"/>
  <c r="CD128" i="7"/>
  <c r="CE277" i="7"/>
  <c r="AI277" i="7"/>
  <c r="CE149" i="7"/>
  <c r="CD149" i="7"/>
  <c r="CD301" i="7"/>
  <c r="CE301" i="7"/>
  <c r="CE178" i="7"/>
  <c r="AI178" i="7"/>
  <c r="AI59" i="7"/>
  <c r="AK59" i="7" s="1"/>
  <c r="CD59" i="7"/>
  <c r="AI35" i="7"/>
  <c r="AK35" i="7" s="1"/>
  <c r="CE35" i="7"/>
  <c r="AI170" i="7"/>
  <c r="CE170" i="7"/>
  <c r="CD170" i="7"/>
  <c r="CE160" i="7"/>
  <c r="CD160" i="7"/>
  <c r="AI160" i="7"/>
  <c r="CE123" i="7"/>
  <c r="CD123" i="7"/>
  <c r="CD282" i="7"/>
  <c r="AI282" i="7"/>
  <c r="AJ282" i="7" s="1"/>
  <c r="CE282" i="7"/>
  <c r="AI177" i="7"/>
  <c r="AM177" i="7" s="1"/>
  <c r="CD177" i="7"/>
  <c r="AI199" i="7"/>
  <c r="AJ199" i="7" s="1"/>
  <c r="CD199" i="7"/>
  <c r="AI53" i="7"/>
  <c r="AM53" i="7" s="1"/>
  <c r="CE53" i="7"/>
  <c r="AM244" i="7"/>
  <c r="AJ244" i="7"/>
  <c r="AK244" i="7"/>
  <c r="AK203" i="7"/>
  <c r="AM203" i="7"/>
  <c r="AJ203" i="7"/>
  <c r="AI84" i="7"/>
  <c r="CD300" i="7"/>
  <c r="AM74" i="7"/>
  <c r="AJ74" i="7"/>
  <c r="AI301" i="7"/>
  <c r="AI123" i="7"/>
  <c r="AK123" i="7" s="1"/>
  <c r="CD53" i="7"/>
  <c r="AK242" i="7"/>
  <c r="AJ242" i="7"/>
  <c r="CD268" i="7"/>
  <c r="AI268" i="7"/>
  <c r="AJ268" i="7" s="1"/>
  <c r="CE102" i="7"/>
  <c r="AI102" i="7"/>
  <c r="AI292" i="7"/>
  <c r="AK292" i="7" s="1"/>
  <c r="CE292" i="7"/>
  <c r="CD292" i="7"/>
  <c r="CE192" i="7"/>
  <c r="AI192" i="7"/>
  <c r="AI237" i="7"/>
  <c r="AJ237" i="7" s="1"/>
  <c r="CE237" i="7"/>
  <c r="CD237" i="7"/>
  <c r="AK149" i="7"/>
  <c r="AM71" i="7"/>
  <c r="AJ71" i="7"/>
  <c r="AM163" i="7"/>
  <c r="AJ270" i="7"/>
  <c r="AK270" i="7"/>
  <c r="AM270" i="7"/>
  <c r="AM312" i="7"/>
  <c r="AJ312" i="7"/>
  <c r="AK312" i="7"/>
  <c r="CE302" i="7"/>
  <c r="AI101" i="7"/>
  <c r="AJ101" i="7" s="1"/>
  <c r="CD178" i="7"/>
  <c r="AI185" i="7"/>
  <c r="CE185" i="7"/>
  <c r="CD185" i="7"/>
  <c r="CE270" i="7"/>
  <c r="CD270" i="7"/>
  <c r="CD38" i="7"/>
  <c r="CE38" i="7"/>
  <c r="CE289" i="7"/>
  <c r="AI173" i="7"/>
  <c r="CE173" i="7"/>
  <c r="CD173" i="7"/>
  <c r="CE43" i="7"/>
  <c r="AI43" i="7"/>
  <c r="CD43" i="7"/>
  <c r="CD276" i="7"/>
  <c r="AI276" i="7"/>
  <c r="CE276" i="7"/>
  <c r="CE266" i="7"/>
  <c r="CD266" i="7"/>
  <c r="AI266" i="7"/>
  <c r="CD79" i="7"/>
  <c r="AI79" i="7"/>
  <c r="CE79" i="7"/>
  <c r="CE114" i="7"/>
  <c r="AI114" i="7"/>
  <c r="CD114" i="7"/>
  <c r="AI125" i="7"/>
  <c r="CE125" i="7"/>
  <c r="CD125" i="7"/>
  <c r="AI122" i="7"/>
  <c r="CD122" i="7"/>
  <c r="CE122" i="7"/>
  <c r="CE325" i="7"/>
  <c r="CD325" i="7"/>
  <c r="AI325" i="7"/>
  <c r="CE139" i="7"/>
  <c r="CD139" i="7"/>
  <c r="AI139" i="7"/>
  <c r="CD153" i="7"/>
  <c r="AI153" i="7"/>
  <c r="CE153" i="7"/>
  <c r="AJ313" i="7"/>
  <c r="AK55" i="7"/>
  <c r="AK254" i="7"/>
  <c r="AK190" i="7"/>
  <c r="AJ235" i="7"/>
  <c r="AJ61" i="7"/>
  <c r="AJ149" i="7"/>
  <c r="AJ36" i="7"/>
  <c r="AK61" i="7"/>
  <c r="AK74" i="7"/>
  <c r="AK126" i="7"/>
  <c r="CD239" i="7"/>
  <c r="CE239" i="7"/>
  <c r="AI239" i="7"/>
  <c r="CE157" i="7"/>
  <c r="CD157" i="7"/>
  <c r="AI157" i="7"/>
  <c r="CD120" i="7"/>
  <c r="AI120" i="7"/>
  <c r="CE120" i="7"/>
  <c r="CE320" i="7"/>
  <c r="AI320" i="7"/>
  <c r="CD320" i="7"/>
  <c r="CD167" i="7"/>
  <c r="CE167" i="7"/>
  <c r="AI167" i="7"/>
  <c r="AI56" i="7"/>
  <c r="CD56" i="7"/>
  <c r="CE56" i="7"/>
  <c r="AI58" i="7"/>
  <c r="CE58" i="7"/>
  <c r="CD58" i="7"/>
  <c r="CE174" i="7"/>
  <c r="AI174" i="7"/>
  <c r="CD174" i="7"/>
  <c r="CD223" i="7"/>
  <c r="AI223" i="7"/>
  <c r="CE223" i="7"/>
  <c r="CD195" i="7"/>
  <c r="AI195" i="7"/>
  <c r="CE195" i="7"/>
  <c r="CD129" i="7"/>
  <c r="AI129" i="7"/>
  <c r="CE129" i="7"/>
  <c r="AJ267" i="7"/>
  <c r="AK267" i="7"/>
  <c r="AM267" i="7"/>
  <c r="CE290" i="7"/>
  <c r="AI290" i="7"/>
  <c r="CD290" i="7"/>
  <c r="CD41" i="7"/>
  <c r="CE41" i="7"/>
  <c r="AI41" i="7"/>
  <c r="CE75" i="7"/>
  <c r="AI75" i="7"/>
  <c r="CD75" i="7"/>
  <c r="AI226" i="7"/>
  <c r="CD226" i="7"/>
  <c r="CE226" i="7"/>
  <c r="CD269" i="7"/>
  <c r="CE269" i="7"/>
  <c r="AI269" i="7"/>
  <c r="CE247" i="7"/>
  <c r="AI247" i="7"/>
  <c r="CD247" i="7"/>
  <c r="CD89" i="7"/>
  <c r="CE89" i="7"/>
  <c r="AI89" i="7"/>
  <c r="AI119" i="7"/>
  <c r="CE119" i="7"/>
  <c r="CD119" i="7"/>
  <c r="CD210" i="7"/>
  <c r="CE210" i="7"/>
  <c r="AI210" i="7"/>
  <c r="AM242" i="7"/>
  <c r="AM36" i="7"/>
  <c r="AK71" i="7"/>
  <c r="AM190" i="7"/>
  <c r="AI218" i="7"/>
  <c r="CE218" i="7"/>
  <c r="CD218" i="7"/>
  <c r="CD28" i="7"/>
  <c r="CE28" i="7"/>
  <c r="AI28" i="7"/>
  <c r="CD202" i="7"/>
  <c r="AI202" i="7"/>
  <c r="CE202" i="7"/>
  <c r="AI29" i="7"/>
  <c r="CD29" i="7"/>
  <c r="CE29" i="7"/>
  <c r="CE83" i="7"/>
  <c r="CD83" i="7"/>
  <c r="AI83" i="7"/>
  <c r="CD330" i="7"/>
  <c r="CE330" i="7"/>
  <c r="AI330" i="7"/>
  <c r="CE179" i="7"/>
  <c r="CD179" i="7"/>
  <c r="AI179" i="7"/>
  <c r="CE295" i="7"/>
  <c r="AI295" i="7"/>
  <c r="CD295" i="7"/>
  <c r="AI66" i="7"/>
  <c r="CD66" i="7"/>
  <c r="CE66" i="7"/>
  <c r="AK265" i="7"/>
  <c r="AM265" i="7"/>
  <c r="AJ265" i="7"/>
  <c r="B27" i="9"/>
  <c r="D27" i="9" s="1"/>
  <c r="C28" i="9" s="1"/>
  <c r="E27" i="9"/>
  <c r="F27" i="9"/>
  <c r="G27" i="9"/>
  <c r="AJ163" i="7" l="1"/>
  <c r="AK90" i="7"/>
  <c r="AM318" i="7"/>
  <c r="AK318" i="7"/>
  <c r="AK159" i="7"/>
  <c r="AJ298" i="7"/>
  <c r="AJ159" i="7"/>
  <c r="AM303" i="7"/>
  <c r="AM33" i="7"/>
  <c r="AK98" i="7"/>
  <c r="AJ98" i="7"/>
  <c r="AJ86" i="7"/>
  <c r="AM86" i="7"/>
  <c r="AJ90" i="7"/>
  <c r="AJ39" i="7"/>
  <c r="AK216" i="7"/>
  <c r="AM216" i="7"/>
  <c r="AK230" i="7"/>
  <c r="AJ141" i="7"/>
  <c r="AM255" i="7"/>
  <c r="AK141" i="7"/>
  <c r="AJ255" i="7"/>
  <c r="AJ186" i="7"/>
  <c r="AJ63" i="7"/>
  <c r="AM39" i="7"/>
  <c r="AM238" i="7"/>
  <c r="AK279" i="7"/>
  <c r="AK237" i="7"/>
  <c r="AJ100" i="7"/>
  <c r="AJ238" i="7"/>
  <c r="AM329" i="7"/>
  <c r="AM100" i="7"/>
  <c r="AJ224" i="7"/>
  <c r="AK280" i="7"/>
  <c r="AM280" i="7"/>
  <c r="AK186" i="7"/>
  <c r="AJ168" i="7"/>
  <c r="AM219" i="7"/>
  <c r="AJ240" i="7"/>
  <c r="AK219" i="7"/>
  <c r="AK224" i="7"/>
  <c r="AK188" i="7"/>
  <c r="AJ188" i="7"/>
  <c r="AM80" i="7"/>
  <c r="AM206" i="7"/>
  <c r="AM109" i="7"/>
  <c r="AK329" i="7"/>
  <c r="AK319" i="7"/>
  <c r="AM319" i="7"/>
  <c r="AK109" i="7"/>
  <c r="AK285" i="7"/>
  <c r="AJ135" i="7"/>
  <c r="AM211" i="7"/>
  <c r="AK211" i="7"/>
  <c r="AM285" i="7"/>
  <c r="AK248" i="7"/>
  <c r="AM248" i="7"/>
  <c r="AJ142" i="7"/>
  <c r="AK142" i="7"/>
  <c r="AK135" i="7"/>
  <c r="AJ20" i="7"/>
  <c r="AJ221" i="7"/>
  <c r="AJ283" i="7"/>
  <c r="AK47" i="7"/>
  <c r="AK221" i="7"/>
  <c r="AJ94" i="7"/>
  <c r="AJ215" i="7"/>
  <c r="AK215" i="7"/>
  <c r="AM111" i="7"/>
  <c r="AM16" i="7"/>
  <c r="AJ177" i="7"/>
  <c r="AJ16" i="7"/>
  <c r="AJ144" i="7"/>
  <c r="AM63" i="7"/>
  <c r="AK144" i="7"/>
  <c r="AJ162" i="7"/>
  <c r="AM228" i="7"/>
  <c r="AK263" i="7"/>
  <c r="AM162" i="7"/>
  <c r="AM34" i="7"/>
  <c r="AJ111" i="7"/>
  <c r="AM212" i="7"/>
  <c r="AK34" i="7"/>
  <c r="AM165" i="7"/>
  <c r="AJ91" i="7"/>
  <c r="AK95" i="7"/>
  <c r="AM91" i="7"/>
  <c r="AJ80" i="7"/>
  <c r="AJ213" i="7"/>
  <c r="AK50" i="7"/>
  <c r="AJ171" i="7"/>
  <c r="AK296" i="7"/>
  <c r="AK171" i="7"/>
  <c r="AM296" i="7"/>
  <c r="AM201" i="7"/>
  <c r="AM132" i="7"/>
  <c r="AM232" i="7"/>
  <c r="AK62" i="7"/>
  <c r="AM308" i="7"/>
  <c r="AM286" i="7"/>
  <c r="AJ241" i="7"/>
  <c r="AJ322" i="7"/>
  <c r="AM237" i="7"/>
  <c r="AJ231" i="7"/>
  <c r="AM268" i="7"/>
  <c r="AK112" i="7"/>
  <c r="AK191" i="7"/>
  <c r="AK231" i="7"/>
  <c r="AK206" i="7"/>
  <c r="AK308" i="7"/>
  <c r="AM67" i="7"/>
  <c r="AM133" i="7"/>
  <c r="AJ131" i="7"/>
  <c r="AJ95" i="7"/>
  <c r="AM20" i="7"/>
  <c r="AM289" i="7"/>
  <c r="AJ289" i="7"/>
  <c r="AJ249" i="7"/>
  <c r="AK286" i="7"/>
  <c r="AK133" i="7"/>
  <c r="AK283" i="7"/>
  <c r="AM322" i="7"/>
  <c r="AJ15" i="7"/>
  <c r="AJ47" i="7"/>
  <c r="AM64" i="7"/>
  <c r="AK249" i="7"/>
  <c r="AJ321" i="7"/>
  <c r="AM321" i="7"/>
  <c r="AJ104" i="7"/>
  <c r="AK104" i="7"/>
  <c r="AM148" i="7"/>
  <c r="AK148" i="7"/>
  <c r="AK306" i="7"/>
  <c r="AJ328" i="7"/>
  <c r="AJ112" i="7"/>
  <c r="AJ148" i="7"/>
  <c r="AM62" i="7"/>
  <c r="AM113" i="7"/>
  <c r="AM328" i="7"/>
  <c r="AK132" i="7"/>
  <c r="AK131" i="7"/>
  <c r="AM263" i="7"/>
  <c r="AM103" i="7"/>
  <c r="AM292" i="7"/>
  <c r="AM241" i="7"/>
  <c r="AJ64" i="7"/>
  <c r="AJ201" i="7"/>
  <c r="AK94" i="7"/>
  <c r="AK103" i="7"/>
  <c r="AK31" i="7"/>
  <c r="AJ31" i="7"/>
  <c r="AJ228" i="7"/>
  <c r="AM37" i="7"/>
  <c r="AJ156" i="7"/>
  <c r="AM50" i="7"/>
  <c r="AJ287" i="7"/>
  <c r="AM287" i="7"/>
  <c r="AK287" i="7"/>
  <c r="AK307" i="7"/>
  <c r="AM21" i="7"/>
  <c r="AJ292" i="7"/>
  <c r="AK213" i="7"/>
  <c r="AJ251" i="7"/>
  <c r="AK251" i="7"/>
  <c r="AJ307" i="7"/>
  <c r="AK14" i="7"/>
  <c r="AJ212" i="7"/>
  <c r="AJ37" i="7"/>
  <c r="AM279" i="7"/>
  <c r="AJ200" i="7"/>
  <c r="AK232" i="7"/>
  <c r="AM105" i="7"/>
  <c r="AK275" i="7"/>
  <c r="AJ137" i="7"/>
  <c r="AM272" i="7"/>
  <c r="AK272" i="7"/>
  <c r="AJ272" i="7"/>
  <c r="AJ155" i="7"/>
  <c r="AM155" i="7"/>
  <c r="AJ176" i="7"/>
  <c r="AM176" i="7"/>
  <c r="AK176" i="7"/>
  <c r="AJ158" i="7"/>
  <c r="AM158" i="7"/>
  <c r="AK158" i="7"/>
  <c r="AM137" i="7"/>
  <c r="AK121" i="7"/>
  <c r="AM121" i="7"/>
  <c r="AJ121" i="7"/>
  <c r="AM205" i="7"/>
  <c r="AM200" i="7"/>
  <c r="AJ275" i="7"/>
  <c r="AK156" i="7"/>
  <c r="AJ175" i="7"/>
  <c r="AK175" i="7"/>
  <c r="AM175" i="7"/>
  <c r="AM107" i="7"/>
  <c r="AJ107" i="7"/>
  <c r="AK107" i="7"/>
  <c r="AK172" i="7"/>
  <c r="AK78" i="7"/>
  <c r="AJ205" i="7"/>
  <c r="AM191" i="7"/>
  <c r="AJ105" i="7"/>
  <c r="AM253" i="7"/>
  <c r="AJ69" i="7"/>
  <c r="AM115" i="7"/>
  <c r="AM257" i="7"/>
  <c r="AJ257" i="7"/>
  <c r="AM278" i="7"/>
  <c r="AK278" i="7"/>
  <c r="AJ278" i="7"/>
  <c r="AJ45" i="7"/>
  <c r="AM45" i="7"/>
  <c r="AK45" i="7"/>
  <c r="AM172" i="7"/>
  <c r="AK253" i="7"/>
  <c r="AJ193" i="7"/>
  <c r="AM69" i="7"/>
  <c r="AK115" i="7"/>
  <c r="AK67" i="7"/>
  <c r="AK143" i="7"/>
  <c r="AM143" i="7"/>
  <c r="AJ143" i="7"/>
  <c r="AM309" i="7"/>
  <c r="AJ309" i="7"/>
  <c r="AK309" i="7"/>
  <c r="AJ207" i="7"/>
  <c r="AK207" i="7"/>
  <c r="AJ258" i="7"/>
  <c r="AK258" i="7"/>
  <c r="AM258" i="7"/>
  <c r="AM78" i="7"/>
  <c r="AK193" i="7"/>
  <c r="AK127" i="7"/>
  <c r="AJ127" i="7"/>
  <c r="AM127" i="7"/>
  <c r="AK49" i="7"/>
  <c r="AM49" i="7"/>
  <c r="AJ49" i="7"/>
  <c r="AM291" i="7"/>
  <c r="AJ291" i="7"/>
  <c r="AK291" i="7"/>
  <c r="AJ326" i="7"/>
  <c r="AM326" i="7"/>
  <c r="AK326" i="7"/>
  <c r="AM273" i="7"/>
  <c r="AK273" i="7"/>
  <c r="AJ273" i="7"/>
  <c r="AJ317" i="7"/>
  <c r="AK317" i="7"/>
  <c r="AM317" i="7"/>
  <c r="AJ60" i="7"/>
  <c r="AM60" i="7"/>
  <c r="AK60" i="7"/>
  <c r="AM65" i="7"/>
  <c r="AJ65" i="7"/>
  <c r="AK65" i="7"/>
  <c r="AM13" i="7"/>
  <c r="AK13" i="7"/>
  <c r="AK234" i="7"/>
  <c r="AM234" i="7"/>
  <c r="AJ234" i="7"/>
  <c r="AJ14" i="7"/>
  <c r="AM316" i="7"/>
  <c r="AJ13" i="7"/>
  <c r="AK165" i="7"/>
  <c r="AK18" i="7"/>
  <c r="AJ18" i="7"/>
  <c r="AM18" i="7"/>
  <c r="AJ196" i="7"/>
  <c r="AM196" i="7"/>
  <c r="AK196" i="7"/>
  <c r="AJ154" i="7"/>
  <c r="AM154" i="7"/>
  <c r="AK154" i="7"/>
  <c r="AJ262" i="7"/>
  <c r="AK262" i="7"/>
  <c r="AM262" i="7"/>
  <c r="AK113" i="7"/>
  <c r="AK302" i="7"/>
  <c r="AK136" i="7"/>
  <c r="AK177" i="7"/>
  <c r="AK282" i="7"/>
  <c r="AK316" i="7"/>
  <c r="AM181" i="7"/>
  <c r="AM306" i="7"/>
  <c r="AM72" i="7"/>
  <c r="AJ72" i="7"/>
  <c r="AK72" i="7"/>
  <c r="AJ93" i="7"/>
  <c r="AM93" i="7"/>
  <c r="AK93" i="7"/>
  <c r="AJ315" i="7"/>
  <c r="AM315" i="7"/>
  <c r="AK315" i="7"/>
  <c r="AK146" i="7"/>
  <c r="AJ146" i="7"/>
  <c r="AM146" i="7"/>
  <c r="AM42" i="7"/>
  <c r="AK42" i="7"/>
  <c r="AJ42" i="7"/>
  <c r="AJ161" i="7"/>
  <c r="AM161" i="7"/>
  <c r="AK161" i="7"/>
  <c r="AJ108" i="7"/>
  <c r="AM108" i="7"/>
  <c r="AK99" i="7"/>
  <c r="AJ99" i="7"/>
  <c r="AM99" i="7"/>
  <c r="AK268" i="7"/>
  <c r="AM302" i="7"/>
  <c r="AJ23" i="7"/>
  <c r="AM23" i="7"/>
  <c r="AK23" i="7"/>
  <c r="AK181" i="7"/>
  <c r="AJ136" i="7"/>
  <c r="AM15" i="7"/>
  <c r="AK33" i="7"/>
  <c r="AM70" i="7"/>
  <c r="AK70" i="7"/>
  <c r="AJ70" i="7"/>
  <c r="AM271" i="7"/>
  <c r="AJ271" i="7"/>
  <c r="AK271" i="7"/>
  <c r="AK217" i="7"/>
  <c r="AM217" i="7"/>
  <c r="AJ217" i="7"/>
  <c r="AJ204" i="7"/>
  <c r="AM204" i="7"/>
  <c r="AK204" i="7"/>
  <c r="AM246" i="7"/>
  <c r="AJ246" i="7"/>
  <c r="AK246" i="7"/>
  <c r="AJ214" i="7"/>
  <c r="AJ21" i="7"/>
  <c r="AJ19" i="7"/>
  <c r="AM323" i="7"/>
  <c r="AJ323" i="7"/>
  <c r="AM233" i="7"/>
  <c r="AJ233" i="7"/>
  <c r="AK233" i="7"/>
  <c r="AK198" i="7"/>
  <c r="AM198" i="7"/>
  <c r="AJ198" i="7"/>
  <c r="AK164" i="7"/>
  <c r="AJ164" i="7"/>
  <c r="AJ256" i="7"/>
  <c r="AK256" i="7"/>
  <c r="AM256" i="7"/>
  <c r="AJ118" i="7"/>
  <c r="AM118" i="7"/>
  <c r="AK118" i="7"/>
  <c r="AK48" i="7"/>
  <c r="AJ48" i="7"/>
  <c r="AM48" i="7"/>
  <c r="AM214" i="7"/>
  <c r="AM282" i="7"/>
  <c r="AM101" i="7"/>
  <c r="AJ310" i="7"/>
  <c r="AK310" i="7"/>
  <c r="AM310" i="7"/>
  <c r="AM288" i="7"/>
  <c r="AJ288" i="7"/>
  <c r="AK288" i="7"/>
  <c r="AJ24" i="7"/>
  <c r="AM24" i="7"/>
  <c r="AK24" i="7"/>
  <c r="AJ85" i="7"/>
  <c r="AK85" i="7"/>
  <c r="AM85" i="7"/>
  <c r="AM22" i="7"/>
  <c r="AK22" i="7"/>
  <c r="AJ22" i="7"/>
  <c r="AM182" i="7"/>
  <c r="AJ182" i="7"/>
  <c r="AJ25" i="7"/>
  <c r="AK25" i="7"/>
  <c r="AM25" i="7"/>
  <c r="AJ245" i="7"/>
  <c r="AK245" i="7"/>
  <c r="AM245" i="7"/>
  <c r="AJ117" i="7"/>
  <c r="AM117" i="7"/>
  <c r="AK117" i="7"/>
  <c r="AK252" i="7"/>
  <c r="AJ252" i="7"/>
  <c r="AM252" i="7"/>
  <c r="AM259" i="7"/>
  <c r="AJ259" i="7"/>
  <c r="AK259" i="7"/>
  <c r="AK38" i="7"/>
  <c r="AM38" i="7"/>
  <c r="AK101" i="7"/>
  <c r="AK19" i="7"/>
  <c r="AM243" i="7"/>
  <c r="AJ243" i="7"/>
  <c r="AK243" i="7"/>
  <c r="AK183" i="7"/>
  <c r="AM183" i="7"/>
  <c r="AK187" i="7"/>
  <c r="AJ187" i="7"/>
  <c r="AM187" i="7"/>
  <c r="AK220" i="7"/>
  <c r="AM220" i="7"/>
  <c r="AJ220" i="7"/>
  <c r="AM116" i="7"/>
  <c r="AK116" i="7"/>
  <c r="AJ116" i="7"/>
  <c r="AM151" i="7"/>
  <c r="AK151" i="7"/>
  <c r="AJ151" i="7"/>
  <c r="AJ134" i="7"/>
  <c r="AM134" i="7"/>
  <c r="AK134" i="7"/>
  <c r="AM185" i="7"/>
  <c r="AJ185" i="7"/>
  <c r="AK185" i="7"/>
  <c r="AM192" i="7"/>
  <c r="AK192" i="7"/>
  <c r="AJ192" i="7"/>
  <c r="AM199" i="7"/>
  <c r="AK199" i="7"/>
  <c r="AM128" i="7"/>
  <c r="AK128" i="7"/>
  <c r="AJ128" i="7"/>
  <c r="AM30" i="7"/>
  <c r="AK30" i="7"/>
  <c r="AJ178" i="7"/>
  <c r="AM178" i="7"/>
  <c r="AK178" i="7"/>
  <c r="AK102" i="7"/>
  <c r="AJ102" i="7"/>
  <c r="AM102" i="7"/>
  <c r="AM123" i="7"/>
  <c r="AJ123" i="7"/>
  <c r="AJ301" i="7"/>
  <c r="AK301" i="7"/>
  <c r="AM301" i="7"/>
  <c r="AM84" i="7"/>
  <c r="AJ84" i="7"/>
  <c r="AK84" i="7"/>
  <c r="AJ53" i="7"/>
  <c r="AK53" i="7"/>
  <c r="AJ59" i="7"/>
  <c r="AM59" i="7"/>
  <c r="AK27" i="7"/>
  <c r="AM27" i="7"/>
  <c r="AJ27" i="7"/>
  <c r="AM300" i="7"/>
  <c r="AK300" i="7"/>
  <c r="AJ300" i="7"/>
  <c r="AK170" i="7"/>
  <c r="AJ170" i="7"/>
  <c r="AM170" i="7"/>
  <c r="AM277" i="7"/>
  <c r="AJ277" i="7"/>
  <c r="AK277" i="7"/>
  <c r="AM173" i="7"/>
  <c r="AJ173" i="7"/>
  <c r="AK173" i="7"/>
  <c r="AM160" i="7"/>
  <c r="AK160" i="7"/>
  <c r="AJ160" i="7"/>
  <c r="AJ35" i="7"/>
  <c r="AM35" i="7"/>
  <c r="AM210" i="7"/>
  <c r="AJ210" i="7"/>
  <c r="AK210" i="7"/>
  <c r="AM247" i="7"/>
  <c r="AJ247" i="7"/>
  <c r="AK247" i="7"/>
  <c r="AJ290" i="7"/>
  <c r="AM290" i="7"/>
  <c r="AK290" i="7"/>
  <c r="AK195" i="7"/>
  <c r="AJ195" i="7"/>
  <c r="AM195" i="7"/>
  <c r="AJ56" i="7"/>
  <c r="AM56" i="7"/>
  <c r="AK56" i="7"/>
  <c r="AM125" i="7"/>
  <c r="AK125" i="7"/>
  <c r="AJ125" i="7"/>
  <c r="AK266" i="7"/>
  <c r="AM266" i="7"/>
  <c r="AJ266" i="7"/>
  <c r="AJ28" i="7"/>
  <c r="AK28" i="7"/>
  <c r="AM28" i="7"/>
  <c r="AJ218" i="7"/>
  <c r="AK218" i="7"/>
  <c r="AM218" i="7"/>
  <c r="AJ119" i="7"/>
  <c r="AM119" i="7"/>
  <c r="AK119" i="7"/>
  <c r="AK226" i="7"/>
  <c r="AM226" i="7"/>
  <c r="AJ226" i="7"/>
  <c r="AK129" i="7"/>
  <c r="AJ129" i="7"/>
  <c r="AM129" i="7"/>
  <c r="AK58" i="7"/>
  <c r="AM58" i="7"/>
  <c r="AJ58" i="7"/>
  <c r="AJ167" i="7"/>
  <c r="AM167" i="7"/>
  <c r="AK167" i="7"/>
  <c r="AK157" i="7"/>
  <c r="AM157" i="7"/>
  <c r="AJ157" i="7"/>
  <c r="AJ239" i="7"/>
  <c r="AM239" i="7"/>
  <c r="AK239" i="7"/>
  <c r="AK153" i="7"/>
  <c r="AM153" i="7"/>
  <c r="AJ153" i="7"/>
  <c r="AM114" i="7"/>
  <c r="AK114" i="7"/>
  <c r="AJ114" i="7"/>
  <c r="AM43" i="7"/>
  <c r="AK43" i="7"/>
  <c r="AJ43" i="7"/>
  <c r="AK295" i="7"/>
  <c r="AJ295" i="7"/>
  <c r="AM295" i="7"/>
  <c r="AM330" i="7"/>
  <c r="AK330" i="7"/>
  <c r="AJ330" i="7"/>
  <c r="AJ83" i="7"/>
  <c r="AK83" i="7"/>
  <c r="AM83" i="7"/>
  <c r="AJ29" i="7"/>
  <c r="AK29" i="7"/>
  <c r="AM29" i="7"/>
  <c r="AK202" i="7"/>
  <c r="AM202" i="7"/>
  <c r="AJ202" i="7"/>
  <c r="AM89" i="7"/>
  <c r="AK89" i="7"/>
  <c r="AJ89" i="7"/>
  <c r="AM269" i="7"/>
  <c r="AK269" i="7"/>
  <c r="AJ269" i="7"/>
  <c r="AM41" i="7"/>
  <c r="AJ41" i="7"/>
  <c r="AK41" i="7"/>
  <c r="AJ223" i="7"/>
  <c r="AK223" i="7"/>
  <c r="AM223" i="7"/>
  <c r="AM174" i="7"/>
  <c r="AK174" i="7"/>
  <c r="AJ174" i="7"/>
  <c r="AJ139" i="7"/>
  <c r="AK139" i="7"/>
  <c r="AM139" i="7"/>
  <c r="AM325" i="7"/>
  <c r="AK325" i="7"/>
  <c r="AJ325" i="7"/>
  <c r="AM122" i="7"/>
  <c r="AK122" i="7"/>
  <c r="AJ122" i="7"/>
  <c r="AJ276" i="7"/>
  <c r="AK276" i="7"/>
  <c r="AM276" i="7"/>
  <c r="AJ66" i="7"/>
  <c r="AK66" i="7"/>
  <c r="AM66" i="7"/>
  <c r="AK179" i="7"/>
  <c r="AM179" i="7"/>
  <c r="AJ179" i="7"/>
  <c r="AJ75" i="7"/>
  <c r="AM75" i="7"/>
  <c r="AK75" i="7"/>
  <c r="AJ320" i="7"/>
  <c r="AM320" i="7"/>
  <c r="AK320" i="7"/>
  <c r="AK120" i="7"/>
  <c r="AJ120" i="7"/>
  <c r="AM120" i="7"/>
  <c r="AJ79" i="7"/>
  <c r="AM79" i="7"/>
  <c r="AK79" i="7"/>
  <c r="B28" i="9"/>
  <c r="D28" i="9" s="1"/>
  <c r="B29" i="9" s="1"/>
  <c r="E28" i="9"/>
  <c r="F28" i="9"/>
  <c r="G28" i="9"/>
  <c r="E29" i="9" l="1"/>
  <c r="G29" i="9"/>
  <c r="C29" i="9"/>
  <c r="D29" i="9" s="1"/>
  <c r="E30" i="9" s="1"/>
  <c r="F29" i="9"/>
  <c r="C30" i="9" l="1"/>
  <c r="F30" i="9"/>
  <c r="B30" i="9"/>
  <c r="G30" i="9"/>
  <c r="D30" i="9" l="1"/>
  <c r="B31" i="9" s="1"/>
  <c r="F31" i="9" l="1"/>
  <c r="E31" i="9"/>
  <c r="C31" i="9"/>
  <c r="D31" i="9" s="1"/>
  <c r="E32" i="9" s="1"/>
  <c r="G31" i="9"/>
  <c r="F32" i="9" l="1"/>
  <c r="G32" i="9"/>
  <c r="B32" i="9"/>
  <c r="C32" i="9"/>
  <c r="D32" i="9" l="1"/>
  <c r="E33" i="9" s="1"/>
  <c r="E34" i="9" s="1"/>
  <c r="C66" i="9" s="1"/>
  <c r="G33" i="9" l="1"/>
  <c r="G34" i="9" s="1"/>
  <c r="C33" i="9"/>
  <c r="C34" i="9" s="1"/>
  <c r="D58" i="9" s="1"/>
  <c r="E58" i="9" s="1"/>
  <c r="F59" i="9" s="1"/>
  <c r="V247" i="5" s="1"/>
  <c r="B33" i="9"/>
  <c r="B34" i="9" s="1"/>
  <c r="B49" i="9" s="1"/>
  <c r="D330" i="7" s="1"/>
  <c r="F33" i="9"/>
  <c r="F34" i="9" s="1"/>
  <c r="C76" i="9" s="1"/>
  <c r="D49" i="9" l="1"/>
  <c r="T329" i="7" s="1"/>
  <c r="U329" i="7" s="1"/>
  <c r="V329" i="7" s="1"/>
  <c r="V250" i="6"/>
  <c r="B43" i="9"/>
  <c r="D44" i="9" s="1"/>
  <c r="V502" i="5" s="1"/>
  <c r="W502" i="5" s="1"/>
  <c r="X502" i="5" s="1"/>
  <c r="H34" i="9"/>
  <c r="V244" i="5"/>
  <c r="V242" i="5"/>
  <c r="V243" i="2"/>
  <c r="V248" i="2"/>
  <c r="V251" i="5"/>
  <c r="T149" i="7"/>
  <c r="V249" i="5"/>
  <c r="T144" i="7"/>
  <c r="V246" i="2"/>
  <c r="T140" i="7"/>
  <c r="V245" i="5"/>
  <c r="T146" i="7"/>
  <c r="V246" i="5"/>
  <c r="T151" i="7"/>
  <c r="T139" i="7"/>
  <c r="V249" i="2"/>
  <c r="T145" i="7"/>
  <c r="T147" i="7"/>
  <c r="T143" i="7"/>
  <c r="V250" i="2"/>
  <c r="D48" i="9"/>
  <c r="T142" i="7"/>
  <c r="V244" i="6"/>
  <c r="V249" i="6"/>
  <c r="F60" i="9"/>
  <c r="T225" i="7" s="1"/>
  <c r="V251" i="2"/>
  <c r="B46" i="9"/>
  <c r="D47" i="9" s="1"/>
  <c r="V502" i="6" s="1"/>
  <c r="W502" i="6" s="1"/>
  <c r="X502" i="6" s="1"/>
  <c r="D50" i="9"/>
  <c r="T330" i="7" s="1"/>
  <c r="U330" i="7" s="1"/>
  <c r="V330" i="7" s="1"/>
  <c r="V242" i="2"/>
  <c r="D33" i="9"/>
  <c r="J58" i="9" s="1"/>
  <c r="V241" i="5"/>
  <c r="V250" i="5"/>
  <c r="B40" i="9"/>
  <c r="D39" i="9" s="1"/>
  <c r="V500" i="2" s="1"/>
  <c r="W500" i="2" s="1"/>
  <c r="X500" i="2" s="1"/>
  <c r="V243" i="5"/>
  <c r="V245" i="2"/>
  <c r="D12" i="8"/>
  <c r="V247" i="2"/>
  <c r="T148" i="7"/>
  <c r="V246" i="6"/>
  <c r="V244" i="2"/>
  <c r="V241" i="6"/>
  <c r="F58" i="9"/>
  <c r="V110" i="5" s="1"/>
  <c r="V248" i="6"/>
  <c r="V245" i="6"/>
  <c r="T150" i="7"/>
  <c r="V248" i="5"/>
  <c r="V242" i="6"/>
  <c r="V243" i="6"/>
  <c r="T141" i="7"/>
  <c r="V251" i="6"/>
  <c r="V247" i="6"/>
  <c r="V241" i="2"/>
  <c r="T234" i="7"/>
  <c r="D43" i="9" l="1"/>
  <c r="V501" i="5" s="1"/>
  <c r="W501" i="5" s="1"/>
  <c r="X501" i="5" s="1"/>
  <c r="T60" i="7"/>
  <c r="T230" i="7"/>
  <c r="V117" i="5"/>
  <c r="V114" i="6"/>
  <c r="V119" i="2"/>
  <c r="V113" i="6"/>
  <c r="T64" i="7"/>
  <c r="T62" i="7"/>
  <c r="T57" i="7"/>
  <c r="V118" i="6"/>
  <c r="T66" i="7"/>
  <c r="V119" i="5"/>
  <c r="D45" i="9"/>
  <c r="V500" i="6" s="1"/>
  <c r="W500" i="6" s="1"/>
  <c r="X500" i="6" s="1"/>
  <c r="V116" i="2"/>
  <c r="V117" i="6"/>
  <c r="T67" i="7"/>
  <c r="V115" i="6"/>
  <c r="D46" i="9"/>
  <c r="V501" i="6" s="1"/>
  <c r="W501" i="6" s="1"/>
  <c r="X501" i="6" s="1"/>
  <c r="D42" i="9"/>
  <c r="V500" i="5" s="1"/>
  <c r="W500" i="5" s="1"/>
  <c r="X500" i="5" s="1"/>
  <c r="B67" i="9"/>
  <c r="E49" i="9"/>
  <c r="V358" i="2"/>
  <c r="T328" i="7"/>
  <c r="U328" i="7" s="1"/>
  <c r="V328" i="7" s="1"/>
  <c r="V112" i="6"/>
  <c r="N67" i="9"/>
  <c r="V112" i="5"/>
  <c r="V111" i="2"/>
  <c r="T58" i="7"/>
  <c r="T55" i="7"/>
  <c r="V360" i="2"/>
  <c r="V362" i="2"/>
  <c r="V364" i="5"/>
  <c r="V362" i="5"/>
  <c r="V363" i="6"/>
  <c r="V360" i="5"/>
  <c r="V357" i="6"/>
  <c r="V357" i="2"/>
  <c r="V363" i="5"/>
  <c r="V361" i="6"/>
  <c r="V359" i="5"/>
  <c r="T228" i="7"/>
  <c r="V359" i="6"/>
  <c r="T231" i="7"/>
  <c r="V360" i="6"/>
  <c r="V358" i="6"/>
  <c r="V364" i="2"/>
  <c r="V361" i="5"/>
  <c r="T229" i="7"/>
  <c r="T227" i="7"/>
  <c r="V365" i="6"/>
  <c r="V365" i="2"/>
  <c r="T233" i="7"/>
  <c r="V358" i="5"/>
  <c r="T226" i="7"/>
  <c r="V359" i="2"/>
  <c r="V361" i="2"/>
  <c r="V365" i="5"/>
  <c r="V364" i="6"/>
  <c r="T235" i="7"/>
  <c r="D40" i="9"/>
  <c r="V501" i="2" s="1"/>
  <c r="W501" i="2" s="1"/>
  <c r="X501" i="2" s="1"/>
  <c r="V111" i="5"/>
  <c r="T63" i="7"/>
  <c r="V116" i="6"/>
  <c r="V119" i="6"/>
  <c r="V362" i="6"/>
  <c r="V113" i="2"/>
  <c r="T61" i="7"/>
  <c r="V110" i="6"/>
  <c r="V109" i="5"/>
  <c r="V113" i="5"/>
  <c r="T56" i="7"/>
  <c r="D41" i="9"/>
  <c r="V502" i="2" s="1"/>
  <c r="W502" i="2" s="1"/>
  <c r="X502" i="2" s="1"/>
  <c r="T59" i="7"/>
  <c r="V357" i="5"/>
  <c r="V109" i="6"/>
  <c r="V115" i="5"/>
  <c r="T224" i="7"/>
  <c r="T232" i="7"/>
  <c r="V116" i="5"/>
  <c r="V117" i="2"/>
  <c r="V111" i="6"/>
  <c r="V118" i="5"/>
  <c r="T77" i="9"/>
  <c r="T223" i="7"/>
  <c r="T65" i="7"/>
  <c r="V110" i="2"/>
  <c r="V115" i="2"/>
  <c r="V114" i="2"/>
  <c r="V118" i="2"/>
  <c r="V112" i="2"/>
  <c r="V109" i="2"/>
  <c r="V114" i="5"/>
  <c r="B51" i="9"/>
  <c r="V363" i="2"/>
  <c r="E43" i="9" l="1"/>
  <c r="E46" i="9"/>
  <c r="E40" i="9"/>
  <c r="B66" i="9"/>
  <c r="D66" i="9" s="1"/>
  <c r="E66" i="9" s="1"/>
  <c r="W116" i="2" s="1"/>
  <c r="I58" i="9"/>
  <c r="B68" i="9"/>
  <c r="D51" i="9"/>
  <c r="E51" i="9" l="1"/>
  <c r="B70" i="9"/>
  <c r="H66" i="9"/>
  <c r="U59" i="7"/>
  <c r="V59" i="7" s="1"/>
  <c r="V73" i="7" s="1"/>
  <c r="W109" i="5"/>
  <c r="U58" i="7"/>
  <c r="W111" i="5"/>
  <c r="W110" i="2"/>
  <c r="U65" i="7"/>
  <c r="V65" i="7" s="1"/>
  <c r="V79" i="7" s="1"/>
  <c r="W109" i="2"/>
  <c r="W118" i="6"/>
  <c r="U62" i="7"/>
  <c r="V62" i="7" s="1"/>
  <c r="V76" i="7" s="1"/>
  <c r="U63" i="7"/>
  <c r="V63" i="7" s="1"/>
  <c r="V77" i="7" s="1"/>
  <c r="W110" i="5"/>
  <c r="W114" i="6"/>
  <c r="U66" i="7"/>
  <c r="V66" i="7" s="1"/>
  <c r="V80" i="7" s="1"/>
  <c r="W117" i="6"/>
  <c r="W119" i="2"/>
  <c r="W116" i="5"/>
  <c r="W117" i="2"/>
  <c r="W115" i="6"/>
  <c r="W110" i="6"/>
  <c r="U64" i="7"/>
  <c r="V64" i="7" s="1"/>
  <c r="V78" i="7" s="1"/>
  <c r="U55" i="7"/>
  <c r="U56" i="7"/>
  <c r="W115" i="2"/>
  <c r="U57" i="7"/>
  <c r="U67" i="7"/>
  <c r="V67" i="7" s="1"/>
  <c r="V81" i="7" s="1"/>
  <c r="W113" i="2"/>
  <c r="W113" i="6"/>
  <c r="U60" i="7"/>
  <c r="V60" i="7" s="1"/>
  <c r="V74" i="7" s="1"/>
  <c r="W109" i="6"/>
  <c r="W119" i="6"/>
  <c r="W113" i="5"/>
  <c r="W112" i="2"/>
  <c r="W118" i="2"/>
  <c r="W114" i="2"/>
  <c r="W115" i="5"/>
  <c r="W112" i="5"/>
  <c r="W117" i="5"/>
  <c r="W111" i="6"/>
  <c r="W119" i="5"/>
  <c r="U61" i="7"/>
  <c r="V61" i="7" s="1"/>
  <c r="V75" i="7" s="1"/>
  <c r="W118" i="5"/>
  <c r="W116" i="6"/>
  <c r="W111" i="2"/>
  <c r="W114" i="5"/>
  <c r="W112" i="6"/>
  <c r="B76" i="9" l="1"/>
  <c r="D76" i="9" s="1"/>
  <c r="E76" i="9" s="1"/>
  <c r="X117" i="2" s="1"/>
  <c r="X129" i="2" s="1"/>
  <c r="V55" i="7" l="1"/>
  <c r="V69" i="7" s="1"/>
  <c r="X114" i="2"/>
  <c r="X126" i="2" s="1"/>
  <c r="X110" i="2"/>
  <c r="X122" i="2" s="1"/>
  <c r="X113" i="6"/>
  <c r="X125" i="6" s="1"/>
  <c r="X116" i="6"/>
  <c r="X128" i="6" s="1"/>
  <c r="X118" i="5"/>
  <c r="X130" i="5" s="1"/>
  <c r="X113" i="2"/>
  <c r="X125" i="2" s="1"/>
  <c r="X119" i="2"/>
  <c r="X131" i="2" s="1"/>
  <c r="X116" i="2"/>
  <c r="X128" i="2" s="1"/>
  <c r="X116" i="5"/>
  <c r="X128" i="5" s="1"/>
  <c r="X112" i="6"/>
  <c r="X124" i="6" s="1"/>
  <c r="X119" i="6"/>
  <c r="X131" i="6" s="1"/>
  <c r="X115" i="2"/>
  <c r="X127" i="2" s="1"/>
  <c r="X109" i="2"/>
  <c r="X121" i="2" s="1"/>
  <c r="X118" i="6"/>
  <c r="X130" i="6" s="1"/>
  <c r="X111" i="6"/>
  <c r="X123" i="6" s="1"/>
  <c r="X117" i="5"/>
  <c r="X129" i="5" s="1"/>
  <c r="X111" i="2"/>
  <c r="X123" i="2" s="1"/>
  <c r="X117" i="6"/>
  <c r="X129" i="6" s="1"/>
  <c r="X113" i="5"/>
  <c r="X125" i="5" s="1"/>
  <c r="X112" i="5"/>
  <c r="X124" i="5" s="1"/>
  <c r="X111" i="5"/>
  <c r="X123" i="5" s="1"/>
  <c r="X115" i="5"/>
  <c r="X127" i="5" s="1"/>
  <c r="X118" i="2"/>
  <c r="X130" i="2" s="1"/>
  <c r="X115" i="6"/>
  <c r="X127" i="6" s="1"/>
  <c r="X109" i="5"/>
  <c r="X121" i="5" s="1"/>
  <c r="X119" i="5"/>
  <c r="X131" i="5" s="1"/>
  <c r="X109" i="6"/>
  <c r="X121" i="6" s="1"/>
  <c r="X112" i="2"/>
  <c r="X124" i="2" s="1"/>
  <c r="X110" i="6"/>
  <c r="X122" i="6" s="1"/>
  <c r="X110" i="5"/>
  <c r="X122" i="5" s="1"/>
  <c r="X114" i="6"/>
  <c r="X126" i="6" s="1"/>
  <c r="X114" i="5"/>
  <c r="X126" i="5" s="1"/>
  <c r="I66" i="9" l="1"/>
  <c r="J66" i="9" s="1"/>
  <c r="AP265" i="6"/>
  <c r="AP266" i="6"/>
  <c r="AP267" i="6"/>
  <c r="AP268" i="6"/>
  <c r="AP269" i="6"/>
  <c r="AP270" i="6"/>
  <c r="AP271" i="6"/>
  <c r="AP272" i="6"/>
  <c r="AP273" i="6"/>
  <c r="AP274" i="6"/>
  <c r="AP275" i="6"/>
  <c r="AB274" i="6" l="1"/>
  <c r="AB266" i="6"/>
  <c r="AB265" i="6"/>
  <c r="AB272" i="6"/>
  <c r="AB268" i="6"/>
  <c r="AB270" i="6"/>
  <c r="AB273" i="6"/>
  <c r="AB269" i="6"/>
  <c r="AB275" i="6"/>
  <c r="AB271" i="6"/>
  <c r="AB267" i="6"/>
  <c r="C67" i="9"/>
  <c r="D67" i="9" s="1"/>
  <c r="H67" i="9" s="1"/>
  <c r="I67" i="9" s="1"/>
  <c r="W92" i="2"/>
  <c r="W140" i="2" s="1"/>
  <c r="X140" i="2" s="1"/>
  <c r="W95" i="5"/>
  <c r="W143" i="5" s="1"/>
  <c r="X143" i="5" s="1"/>
  <c r="W90" i="6"/>
  <c r="W138" i="6" s="1"/>
  <c r="X138" i="6" s="1"/>
  <c r="W87" i="5"/>
  <c r="W135" i="5" s="1"/>
  <c r="X135" i="5" s="1"/>
  <c r="U35" i="7"/>
  <c r="U91" i="7" s="1"/>
  <c r="V91" i="7" s="1"/>
  <c r="U27" i="7"/>
  <c r="U83" i="7" s="1"/>
  <c r="V83" i="7" s="1"/>
  <c r="W85" i="2"/>
  <c r="W89" i="2"/>
  <c r="W93" i="2"/>
  <c r="W86" i="5"/>
  <c r="W90" i="5"/>
  <c r="W94" i="5"/>
  <c r="W85" i="6"/>
  <c r="W89" i="6"/>
  <c r="W93" i="6"/>
  <c r="U30" i="7"/>
  <c r="U34" i="7"/>
  <c r="U38" i="7"/>
  <c r="W87" i="2"/>
  <c r="W91" i="2"/>
  <c r="W95" i="2"/>
  <c r="W88" i="5"/>
  <c r="W92" i="5"/>
  <c r="W87" i="6"/>
  <c r="W91" i="6"/>
  <c r="W95" i="6"/>
  <c r="U28" i="7"/>
  <c r="U32" i="7"/>
  <c r="U36" i="7"/>
  <c r="W86" i="2"/>
  <c r="W94" i="2"/>
  <c r="W85" i="5"/>
  <c r="W93" i="5"/>
  <c r="W88" i="6"/>
  <c r="U33" i="7"/>
  <c r="W90" i="2"/>
  <c r="W89" i="5"/>
  <c r="W92" i="6"/>
  <c r="U29" i="7"/>
  <c r="U37" i="7"/>
  <c r="W88" i="2"/>
  <c r="W86" i="6"/>
  <c r="U31" i="7"/>
  <c r="W91" i="5"/>
  <c r="W94" i="6"/>
  <c r="U39" i="7"/>
  <c r="E67" i="9" l="1"/>
  <c r="W242" i="2" s="1"/>
  <c r="L76" i="9"/>
  <c r="U93" i="7"/>
  <c r="V93" i="7" s="1"/>
  <c r="W133" i="5"/>
  <c r="X133" i="5" s="1"/>
  <c r="W135" i="6"/>
  <c r="X135" i="6" s="1"/>
  <c r="W139" i="2"/>
  <c r="X139" i="2" s="1"/>
  <c r="W137" i="2"/>
  <c r="X137" i="2" s="1"/>
  <c r="W142" i="6"/>
  <c r="X142" i="6" s="1"/>
  <c r="U92" i="7"/>
  <c r="V92" i="7" s="1"/>
  <c r="W143" i="2"/>
  <c r="X143" i="2" s="1"/>
  <c r="W133" i="6"/>
  <c r="X133" i="6" s="1"/>
  <c r="W141" i="2"/>
  <c r="X141" i="2" s="1"/>
  <c r="U87" i="7"/>
  <c r="V87" i="7" s="1"/>
  <c r="U85" i="7"/>
  <c r="V85" i="7" s="1"/>
  <c r="U89" i="7"/>
  <c r="V89" i="7" s="1"/>
  <c r="W142" i="2"/>
  <c r="X142" i="2" s="1"/>
  <c r="U84" i="7"/>
  <c r="V84" i="7" s="1"/>
  <c r="W140" i="5"/>
  <c r="X140" i="5" s="1"/>
  <c r="W135" i="2"/>
  <c r="X135" i="2" s="1"/>
  <c r="W141" i="6"/>
  <c r="X141" i="6" s="1"/>
  <c r="W138" i="5"/>
  <c r="X138" i="5" s="1"/>
  <c r="G76" i="9"/>
  <c r="W133" i="2"/>
  <c r="X133" i="2" s="1"/>
  <c r="J67" i="9"/>
  <c r="C68" i="9"/>
  <c r="D68" i="9" s="1"/>
  <c r="W139" i="5"/>
  <c r="X139" i="5" s="1"/>
  <c r="W138" i="2"/>
  <c r="X138" i="2" s="1"/>
  <c r="U88" i="7"/>
  <c r="V88" i="7" s="1"/>
  <c r="U86" i="7"/>
  <c r="V86" i="7" s="1"/>
  <c r="W142" i="5"/>
  <c r="X142" i="5" s="1"/>
  <c r="W136" i="2"/>
  <c r="X136" i="2" s="1"/>
  <c r="W137" i="5"/>
  <c r="X137" i="5" s="1"/>
  <c r="W141" i="5"/>
  <c r="X141" i="5" s="1"/>
  <c r="W139" i="6"/>
  <c r="X139" i="6" s="1"/>
  <c r="U90" i="7"/>
  <c r="V90" i="7" s="1"/>
  <c r="U95" i="7"/>
  <c r="V95" i="7" s="1"/>
  <c r="W134" i="6"/>
  <c r="X134" i="6" s="1"/>
  <c r="W140" i="6"/>
  <c r="X140" i="6" s="1"/>
  <c r="W136" i="6"/>
  <c r="X136" i="6" s="1"/>
  <c r="W134" i="2"/>
  <c r="X134" i="2" s="1"/>
  <c r="W143" i="6"/>
  <c r="X143" i="6" s="1"/>
  <c r="W136" i="5"/>
  <c r="X136" i="5" s="1"/>
  <c r="U94" i="7"/>
  <c r="V94" i="7" s="1"/>
  <c r="W137" i="6"/>
  <c r="X137" i="6" s="1"/>
  <c r="W134" i="5"/>
  <c r="X134" i="5" s="1"/>
  <c r="U145" i="7" l="1"/>
  <c r="W245" i="2"/>
  <c r="W249" i="6"/>
  <c r="W250" i="5"/>
  <c r="W249" i="5"/>
  <c r="W242" i="5"/>
  <c r="W248" i="5"/>
  <c r="U143" i="7"/>
  <c r="W248" i="2"/>
  <c r="U150" i="7"/>
  <c r="W242" i="6"/>
  <c r="W246" i="2"/>
  <c r="U140" i="7"/>
  <c r="W247" i="2"/>
  <c r="W244" i="5"/>
  <c r="U149" i="7"/>
  <c r="W243" i="5"/>
  <c r="W244" i="6"/>
  <c r="W243" i="2"/>
  <c r="W251" i="2"/>
  <c r="W241" i="6"/>
  <c r="W247" i="6"/>
  <c r="W251" i="6"/>
  <c r="W241" i="2"/>
  <c r="W250" i="6"/>
  <c r="W247" i="5"/>
  <c r="U151" i="7"/>
  <c r="W248" i="6"/>
  <c r="W241" i="5"/>
  <c r="U144" i="7"/>
  <c r="W243" i="6"/>
  <c r="W246" i="6"/>
  <c r="U147" i="7"/>
  <c r="W250" i="2"/>
  <c r="U148" i="7"/>
  <c r="W245" i="6"/>
  <c r="W246" i="5"/>
  <c r="U142" i="7"/>
  <c r="U146" i="7"/>
  <c r="W249" i="2"/>
  <c r="U141" i="7"/>
  <c r="W251" i="5"/>
  <c r="W244" i="2"/>
  <c r="U139" i="7"/>
  <c r="W245" i="5"/>
  <c r="W218" i="2"/>
  <c r="W266" i="2" s="1"/>
  <c r="X266" i="2" s="1"/>
  <c r="W222" i="2"/>
  <c r="W226" i="2"/>
  <c r="W220" i="5"/>
  <c r="W224" i="5"/>
  <c r="W219" i="6"/>
  <c r="W267" i="6" s="1"/>
  <c r="X267" i="6" s="1"/>
  <c r="W223" i="6"/>
  <c r="W227" i="6"/>
  <c r="U112" i="7"/>
  <c r="U116" i="7"/>
  <c r="U120" i="7"/>
  <c r="W220" i="2"/>
  <c r="W224" i="2"/>
  <c r="W218" i="5"/>
  <c r="W222" i="5"/>
  <c r="W226" i="5"/>
  <c r="W217" i="6"/>
  <c r="W221" i="6"/>
  <c r="W225" i="6"/>
  <c r="U114" i="7"/>
  <c r="U118" i="7"/>
  <c r="U122" i="7"/>
  <c r="W221" i="2"/>
  <c r="W219" i="5"/>
  <c r="W227" i="5"/>
  <c r="W275" i="5" s="1"/>
  <c r="X275" i="5" s="1"/>
  <c r="W222" i="6"/>
  <c r="U115" i="7"/>
  <c r="U123" i="7"/>
  <c r="W217" i="2"/>
  <c r="W225" i="2"/>
  <c r="W223" i="5"/>
  <c r="W218" i="6"/>
  <c r="W226" i="6"/>
  <c r="U111" i="7"/>
  <c r="U119" i="7"/>
  <c r="W219" i="2"/>
  <c r="W225" i="5"/>
  <c r="U121" i="7"/>
  <c r="W227" i="2"/>
  <c r="W217" i="5"/>
  <c r="W220" i="6"/>
  <c r="U113" i="7"/>
  <c r="W221" i="5"/>
  <c r="U117" i="7"/>
  <c r="U173" i="7" s="1"/>
  <c r="V173" i="7" s="1"/>
  <c r="W223" i="2"/>
  <c r="W224" i="6"/>
  <c r="H68" i="9"/>
  <c r="I68" i="9" s="1"/>
  <c r="E68" i="9"/>
  <c r="W267" i="2" l="1"/>
  <c r="X267" i="2" s="1"/>
  <c r="W266" i="6"/>
  <c r="X266" i="6" s="1"/>
  <c r="W274" i="5"/>
  <c r="X274" i="5" s="1"/>
  <c r="U175" i="7"/>
  <c r="V175" i="7" s="1"/>
  <c r="W271" i="5"/>
  <c r="X271" i="5" s="1"/>
  <c r="U176" i="7"/>
  <c r="V176" i="7" s="1"/>
  <c r="W273" i="6"/>
  <c r="X273" i="6" s="1"/>
  <c r="W269" i="2"/>
  <c r="X269" i="2" s="1"/>
  <c r="W274" i="2"/>
  <c r="X274" i="2" s="1"/>
  <c r="W273" i="2"/>
  <c r="X273" i="2" s="1"/>
  <c r="W269" i="6"/>
  <c r="X269" i="6" s="1"/>
  <c r="B77" i="9"/>
  <c r="C77" i="9" s="1"/>
  <c r="D77" i="9" s="1"/>
  <c r="E77" i="9" s="1"/>
  <c r="W275" i="2"/>
  <c r="X275" i="2" s="1"/>
  <c r="U171" i="7"/>
  <c r="V171" i="7" s="1"/>
  <c r="U179" i="7"/>
  <c r="V179" i="7" s="1"/>
  <c r="W268" i="2"/>
  <c r="X268" i="2" s="1"/>
  <c r="W275" i="6"/>
  <c r="X275" i="6" s="1"/>
  <c r="W268" i="5"/>
  <c r="X268" i="5" s="1"/>
  <c r="U170" i="7"/>
  <c r="V170" i="7" s="1"/>
  <c r="W271" i="6"/>
  <c r="X271" i="6" s="1"/>
  <c r="U167" i="7"/>
  <c r="V167" i="7" s="1"/>
  <c r="U178" i="7"/>
  <c r="V178" i="7" s="1"/>
  <c r="W270" i="2"/>
  <c r="X270" i="2" s="1"/>
  <c r="W269" i="5"/>
  <c r="X269" i="5" s="1"/>
  <c r="W270" i="5"/>
  <c r="X270" i="5" s="1"/>
  <c r="W265" i="5"/>
  <c r="X265" i="5" s="1"/>
  <c r="W267" i="5"/>
  <c r="X267" i="5" s="1"/>
  <c r="W270" i="6"/>
  <c r="X270" i="6" s="1"/>
  <c r="G77" i="9"/>
  <c r="C69" i="9"/>
  <c r="D69" i="9" s="1"/>
  <c r="J68" i="9"/>
  <c r="L77" i="9"/>
  <c r="W357" i="2"/>
  <c r="W361" i="2"/>
  <c r="W365" i="2"/>
  <c r="W358" i="5"/>
  <c r="W362" i="5"/>
  <c r="W357" i="6"/>
  <c r="W361" i="6"/>
  <c r="W365" i="6"/>
  <c r="U224" i="7"/>
  <c r="U228" i="7"/>
  <c r="U232" i="7"/>
  <c r="W359" i="2"/>
  <c r="W363" i="2"/>
  <c r="W360" i="5"/>
  <c r="W364" i="5"/>
  <c r="W359" i="6"/>
  <c r="W363" i="6"/>
  <c r="U226" i="7"/>
  <c r="U230" i="7"/>
  <c r="U234" i="7"/>
  <c r="W360" i="2"/>
  <c r="W357" i="5"/>
  <c r="W365" i="5"/>
  <c r="W360" i="6"/>
  <c r="U223" i="7"/>
  <c r="U231" i="7"/>
  <c r="W364" i="2"/>
  <c r="W361" i="5"/>
  <c r="W364" i="6"/>
  <c r="U227" i="7"/>
  <c r="U235" i="7"/>
  <c r="W358" i="2"/>
  <c r="W358" i="6"/>
  <c r="U229" i="7"/>
  <c r="W363" i="5"/>
  <c r="W362" i="2"/>
  <c r="W362" i="6"/>
  <c r="U233" i="7"/>
  <c r="W359" i="5"/>
  <c r="U225" i="7"/>
  <c r="W271" i="2"/>
  <c r="X271" i="2" s="1"/>
  <c r="U174" i="7"/>
  <c r="V174" i="7" s="1"/>
  <c r="W273" i="5"/>
  <c r="X273" i="5" s="1"/>
  <c r="W272" i="2"/>
  <c r="X272" i="2" s="1"/>
  <c r="U168" i="7"/>
  <c r="V168" i="7" s="1"/>
  <c r="W274" i="6"/>
  <c r="X274" i="6" s="1"/>
  <c r="W265" i="2"/>
  <c r="U172" i="7"/>
  <c r="V172" i="7" s="1"/>
  <c r="W268" i="6"/>
  <c r="X268" i="6" s="1"/>
  <c r="W265" i="6"/>
  <c r="X265" i="6" s="1"/>
  <c r="W272" i="5"/>
  <c r="X272" i="5" s="1"/>
  <c r="W266" i="5"/>
  <c r="X266" i="5" s="1"/>
  <c r="U177" i="7"/>
  <c r="V177" i="7" s="1"/>
  <c r="U169" i="7"/>
  <c r="V169" i="7" s="1"/>
  <c r="W272" i="6"/>
  <c r="X272" i="6" s="1"/>
  <c r="V56" i="7" l="1"/>
  <c r="X251" i="2"/>
  <c r="X241" i="6"/>
  <c r="X250" i="6"/>
  <c r="X241" i="5"/>
  <c r="V148" i="7"/>
  <c r="V146" i="7"/>
  <c r="X243" i="5"/>
  <c r="V150" i="7"/>
  <c r="X249" i="5"/>
  <c r="X246" i="6"/>
  <c r="X249" i="2"/>
  <c r="V141" i="7"/>
  <c r="X243" i="6"/>
  <c r="X243" i="2"/>
  <c r="X248" i="6"/>
  <c r="X246" i="5"/>
  <c r="V142" i="7"/>
  <c r="X248" i="5"/>
  <c r="V145" i="7"/>
  <c r="X248" i="2"/>
  <c r="X244" i="5"/>
  <c r="X250" i="2"/>
  <c r="V151" i="7"/>
  <c r="X245" i="6"/>
  <c r="X251" i="5"/>
  <c r="V139" i="7"/>
  <c r="X242" i="2"/>
  <c r="X247" i="2"/>
  <c r="X244" i="6"/>
  <c r="X242" i="6"/>
  <c r="X246" i="2"/>
  <c r="V147" i="7"/>
  <c r="X247" i="6"/>
  <c r="X247" i="5"/>
  <c r="X244" i="2"/>
  <c r="V149" i="7"/>
  <c r="X250" i="5"/>
  <c r="X245" i="2"/>
  <c r="V143" i="7"/>
  <c r="V144" i="7"/>
  <c r="X251" i="6"/>
  <c r="X241" i="2"/>
  <c r="X245" i="5"/>
  <c r="V140" i="7"/>
  <c r="X242" i="5"/>
  <c r="X249" i="6"/>
  <c r="H69" i="9"/>
  <c r="I69" i="9" s="1"/>
  <c r="E69" i="9"/>
  <c r="W339" i="2"/>
  <c r="W379" i="2" s="1"/>
  <c r="X379" i="2" s="1"/>
  <c r="W343" i="2"/>
  <c r="W339" i="5"/>
  <c r="W343" i="5"/>
  <c r="W383" i="5" s="1"/>
  <c r="X383" i="5" s="1"/>
  <c r="W338" i="6"/>
  <c r="W342" i="6"/>
  <c r="U197" i="7"/>
  <c r="U253" i="7" s="1"/>
  <c r="V253" i="7" s="1"/>
  <c r="U201" i="7"/>
  <c r="U257" i="7" s="1"/>
  <c r="V257" i="7" s="1"/>
  <c r="U205" i="7"/>
  <c r="U261" i="7" s="1"/>
  <c r="V261" i="7" s="1"/>
  <c r="W337" i="2"/>
  <c r="W341" i="2"/>
  <c r="W345" i="2"/>
  <c r="W385" i="2" s="1"/>
  <c r="X385" i="2" s="1"/>
  <c r="W337" i="5"/>
  <c r="W377" i="5" s="1"/>
  <c r="X377" i="5" s="1"/>
  <c r="W341" i="5"/>
  <c r="W345" i="5"/>
  <c r="W340" i="6"/>
  <c r="W380" i="6" s="1"/>
  <c r="X380" i="6" s="1"/>
  <c r="W344" i="6"/>
  <c r="W384" i="6" s="1"/>
  <c r="X384" i="6" s="1"/>
  <c r="U195" i="7"/>
  <c r="U199" i="7"/>
  <c r="U203" i="7"/>
  <c r="U259" i="7" s="1"/>
  <c r="V259" i="7" s="1"/>
  <c r="U207" i="7"/>
  <c r="W342" i="2"/>
  <c r="W382" i="2" s="1"/>
  <c r="X382" i="2" s="1"/>
  <c r="W338" i="5"/>
  <c r="W378" i="5" s="1"/>
  <c r="X378" i="5" s="1"/>
  <c r="W341" i="6"/>
  <c r="U200" i="7"/>
  <c r="U256" i="7" s="1"/>
  <c r="V256" i="7" s="1"/>
  <c r="W338" i="2"/>
  <c r="W342" i="5"/>
  <c r="W337" i="6"/>
  <c r="W377" i="6" s="1"/>
  <c r="X377" i="6" s="1"/>
  <c r="W345" i="6"/>
  <c r="W385" i="6" s="1"/>
  <c r="X385" i="6" s="1"/>
  <c r="U196" i="7"/>
  <c r="U204" i="7"/>
  <c r="U260" i="7" s="1"/>
  <c r="V260" i="7" s="1"/>
  <c r="W344" i="5"/>
  <c r="U198" i="7"/>
  <c r="W340" i="2"/>
  <c r="W339" i="6"/>
  <c r="W379" i="6" s="1"/>
  <c r="X379" i="6" s="1"/>
  <c r="U206" i="7"/>
  <c r="U262" i="7" s="1"/>
  <c r="V262" i="7" s="1"/>
  <c r="W340" i="5"/>
  <c r="W380" i="5" s="1"/>
  <c r="X380" i="5" s="1"/>
  <c r="W343" i="6"/>
  <c r="U202" i="7"/>
  <c r="U258" i="7" s="1"/>
  <c r="V258" i="7" s="1"/>
  <c r="W344" i="2"/>
  <c r="W378" i="6"/>
  <c r="X378" i="6" s="1"/>
  <c r="U251" i="7"/>
  <c r="V251" i="7" s="1"/>
  <c r="B78" i="9"/>
  <c r="X265" i="2"/>
  <c r="L78" i="9" l="1"/>
  <c r="G78" i="9"/>
  <c r="V154" i="7"/>
  <c r="V158" i="7"/>
  <c r="V163" i="7"/>
  <c r="V161" i="7"/>
  <c r="X259" i="2"/>
  <c r="X257" i="6"/>
  <c r="X260" i="2"/>
  <c r="X258" i="5"/>
  <c r="V155" i="7"/>
  <c r="V164" i="7"/>
  <c r="X253" i="5"/>
  <c r="V70" i="7"/>
  <c r="C78" i="9"/>
  <c r="D78" i="9" s="1"/>
  <c r="E78" i="9" s="1"/>
  <c r="X254" i="5"/>
  <c r="X263" i="6"/>
  <c r="X262" i="5"/>
  <c r="X259" i="6"/>
  <c r="X256" i="6"/>
  <c r="X263" i="5"/>
  <c r="X256" i="5"/>
  <c r="V156" i="7"/>
  <c r="X255" i="6"/>
  <c r="X261" i="5"/>
  <c r="V162" i="7"/>
  <c r="X263" i="2"/>
  <c r="W383" i="2"/>
  <c r="X383" i="2" s="1"/>
  <c r="W385" i="5"/>
  <c r="X385" i="5" s="1"/>
  <c r="W379" i="5"/>
  <c r="X379" i="5" s="1"/>
  <c r="W381" i="2"/>
  <c r="X381" i="2" s="1"/>
  <c r="U255" i="7"/>
  <c r="V255" i="7" s="1"/>
  <c r="W380" i="2"/>
  <c r="X380" i="2" s="1"/>
  <c r="J69" i="9"/>
  <c r="D25" i="8"/>
  <c r="X261" i="6"/>
  <c r="X253" i="2"/>
  <c r="X257" i="2"/>
  <c r="X259" i="5"/>
  <c r="X254" i="6"/>
  <c r="V153" i="7"/>
  <c r="X262" i="2"/>
  <c r="X260" i="5"/>
  <c r="X255" i="2"/>
  <c r="X258" i="6"/>
  <c r="V160" i="7"/>
  <c r="X253" i="6"/>
  <c r="W470" i="2"/>
  <c r="W474" i="2"/>
  <c r="W469" i="5"/>
  <c r="W473" i="5"/>
  <c r="W468" i="6"/>
  <c r="W472" i="6"/>
  <c r="U297" i="7"/>
  <c r="U301" i="7"/>
  <c r="W468" i="2"/>
  <c r="W472" i="2"/>
  <c r="W467" i="5"/>
  <c r="W471" i="5"/>
  <c r="W475" i="5"/>
  <c r="W470" i="6"/>
  <c r="W474" i="6"/>
  <c r="U295" i="7"/>
  <c r="U299" i="7"/>
  <c r="U303" i="7"/>
  <c r="W469" i="2"/>
  <c r="W472" i="5"/>
  <c r="W467" i="6"/>
  <c r="W475" i="6"/>
  <c r="U300" i="7"/>
  <c r="W473" i="2"/>
  <c r="W468" i="5"/>
  <c r="W471" i="6"/>
  <c r="U296" i="7"/>
  <c r="W467" i="2"/>
  <c r="W470" i="5"/>
  <c r="W473" i="6"/>
  <c r="U298" i="7"/>
  <c r="W475" i="2"/>
  <c r="W471" i="2"/>
  <c r="U302" i="7"/>
  <c r="W474" i="5"/>
  <c r="W469" i="6"/>
  <c r="X257" i="5"/>
  <c r="V157" i="7"/>
  <c r="X256" i="2"/>
  <c r="X258" i="2"/>
  <c r="X254" i="2"/>
  <c r="V165" i="7"/>
  <c r="V159" i="7"/>
  <c r="X260" i="6"/>
  <c r="X261" i="2"/>
  <c r="X255" i="5"/>
  <c r="X262" i="6"/>
  <c r="W381" i="5"/>
  <c r="X381" i="5" s="1"/>
  <c r="U252" i="7"/>
  <c r="V252" i="7" s="1"/>
  <c r="W384" i="2"/>
  <c r="X384" i="2" s="1"/>
  <c r="W378" i="2"/>
  <c r="X378" i="2" s="1"/>
  <c r="W377" i="2"/>
  <c r="W383" i="6"/>
  <c r="X383" i="6" s="1"/>
  <c r="W381" i="6"/>
  <c r="X381" i="6" s="1"/>
  <c r="W384" i="5"/>
  <c r="X384" i="5" s="1"/>
  <c r="U263" i="7"/>
  <c r="V263" i="7" s="1"/>
  <c r="U254" i="7"/>
  <c r="V254" i="7" s="1"/>
  <c r="W382" i="5"/>
  <c r="X382" i="5" s="1"/>
  <c r="W382" i="6"/>
  <c r="X382" i="6" s="1"/>
  <c r="V57" i="7" l="1"/>
  <c r="X364" i="6"/>
  <c r="X360" i="2"/>
  <c r="V233" i="7"/>
  <c r="V228" i="7"/>
  <c r="X361" i="2"/>
  <c r="X361" i="5"/>
  <c r="X359" i="2"/>
  <c r="V227" i="7"/>
  <c r="X359" i="5"/>
  <c r="X365" i="5"/>
  <c r="X358" i="6"/>
  <c r="V223" i="7"/>
  <c r="X357" i="2"/>
  <c r="V229" i="7"/>
  <c r="V225" i="7"/>
  <c r="X362" i="2"/>
  <c r="X360" i="6"/>
  <c r="X365" i="6"/>
  <c r="X359" i="6"/>
  <c r="X363" i="2"/>
  <c r="V231" i="7"/>
  <c r="X357" i="6"/>
  <c r="X363" i="5"/>
  <c r="V230" i="7"/>
  <c r="X364" i="5"/>
  <c r="X361" i="6"/>
  <c r="X365" i="2"/>
  <c r="X357" i="5"/>
  <c r="X358" i="2"/>
  <c r="V234" i="7"/>
  <c r="X358" i="5"/>
  <c r="X362" i="6"/>
  <c r="X362" i="5"/>
  <c r="V226" i="7"/>
  <c r="X360" i="5"/>
  <c r="V235" i="7"/>
  <c r="X364" i="2"/>
  <c r="V232" i="7"/>
  <c r="X363" i="6"/>
  <c r="V224" i="7"/>
  <c r="X343" i="6"/>
  <c r="X337" i="2"/>
  <c r="X343" i="2"/>
  <c r="X339" i="6"/>
  <c r="X341" i="2"/>
  <c r="X339" i="5"/>
  <c r="X344" i="5"/>
  <c r="X341" i="6"/>
  <c r="X340" i="6"/>
  <c r="X342" i="6"/>
  <c r="X337" i="6"/>
  <c r="X345" i="2"/>
  <c r="X341" i="5"/>
  <c r="X342" i="5"/>
  <c r="X344" i="2"/>
  <c r="X340" i="2"/>
  <c r="X338" i="2"/>
  <c r="X338" i="5"/>
  <c r="X340" i="5"/>
  <c r="X345" i="6"/>
  <c r="X337" i="5"/>
  <c r="X338" i="6"/>
  <c r="X345" i="5"/>
  <c r="X343" i="5"/>
  <c r="X342" i="2"/>
  <c r="X344" i="6"/>
  <c r="X339" i="2"/>
  <c r="X377" i="2"/>
  <c r="B79" i="9"/>
  <c r="L80" i="9"/>
  <c r="G80" i="9"/>
  <c r="W448" i="2"/>
  <c r="W488" i="2" s="1"/>
  <c r="X488" i="2" s="1"/>
  <c r="W452" i="2"/>
  <c r="W450" i="5"/>
  <c r="W454" i="5"/>
  <c r="W449" i="6"/>
  <c r="W489" i="6" s="1"/>
  <c r="X489" i="6" s="1"/>
  <c r="W453" i="6"/>
  <c r="U278" i="7"/>
  <c r="U318" i="7" s="1"/>
  <c r="V318" i="7" s="1"/>
  <c r="U282" i="7"/>
  <c r="U322" i="7" s="1"/>
  <c r="V322" i="7" s="1"/>
  <c r="W450" i="2"/>
  <c r="W490" i="2" s="1"/>
  <c r="X490" i="2" s="1"/>
  <c r="W454" i="2"/>
  <c r="W448" i="5"/>
  <c r="W452" i="5"/>
  <c r="W447" i="6"/>
  <c r="W487" i="6" s="1"/>
  <c r="X487" i="6" s="1"/>
  <c r="W451" i="6"/>
  <c r="W455" i="6"/>
  <c r="U276" i="7"/>
  <c r="U280" i="7"/>
  <c r="U320" i="7" s="1"/>
  <c r="V320" i="7" s="1"/>
  <c r="W451" i="2"/>
  <c r="W453" i="5"/>
  <c r="W448" i="6"/>
  <c r="W488" i="6" s="1"/>
  <c r="X488" i="6" s="1"/>
  <c r="U281" i="7"/>
  <c r="U321" i="7" s="1"/>
  <c r="V321" i="7" s="1"/>
  <c r="W447" i="2"/>
  <c r="W455" i="2"/>
  <c r="W495" i="2" s="1"/>
  <c r="X495" i="2" s="1"/>
  <c r="W449" i="5"/>
  <c r="W489" i="5" s="1"/>
  <c r="X489" i="5" s="1"/>
  <c r="W452" i="6"/>
  <c r="W492" i="6" s="1"/>
  <c r="X492" i="6" s="1"/>
  <c r="U277" i="7"/>
  <c r="W449" i="2"/>
  <c r="W489" i="2" s="1"/>
  <c r="X489" i="2" s="1"/>
  <c r="W451" i="5"/>
  <c r="W454" i="6"/>
  <c r="U279" i="7"/>
  <c r="U319" i="7" s="1"/>
  <c r="V319" i="7" s="1"/>
  <c r="W455" i="5"/>
  <c r="W447" i="5"/>
  <c r="W487" i="5" s="1"/>
  <c r="X487" i="5" s="1"/>
  <c r="U275" i="7"/>
  <c r="U315" i="7" s="1"/>
  <c r="V315" i="7" s="1"/>
  <c r="W450" i="6"/>
  <c r="U283" i="7"/>
  <c r="U323" i="7" s="1"/>
  <c r="V323" i="7" s="1"/>
  <c r="W453" i="2"/>
  <c r="X355" i="6" l="1"/>
  <c r="X355" i="2"/>
  <c r="X349" i="6"/>
  <c r="V249" i="7"/>
  <c r="X367" i="5"/>
  <c r="X373" i="2"/>
  <c r="X372" i="2"/>
  <c r="V241" i="7"/>
  <c r="V242" i="7"/>
  <c r="X352" i="2"/>
  <c r="X347" i="5"/>
  <c r="X348" i="2"/>
  <c r="X351" i="5"/>
  <c r="X350" i="6"/>
  <c r="X351" i="2"/>
  <c r="X353" i="6"/>
  <c r="X374" i="2"/>
  <c r="X372" i="5"/>
  <c r="X368" i="2"/>
  <c r="V245" i="7"/>
  <c r="X370" i="6"/>
  <c r="X367" i="2"/>
  <c r="X369" i="5"/>
  <c r="X371" i="2"/>
  <c r="X374" i="6"/>
  <c r="X354" i="6"/>
  <c r="X348" i="6"/>
  <c r="X348" i="5"/>
  <c r="X352" i="5"/>
  <c r="X352" i="6"/>
  <c r="X349" i="5"/>
  <c r="X347" i="2"/>
  <c r="V246" i="7"/>
  <c r="V240" i="7"/>
  <c r="V248" i="7"/>
  <c r="X371" i="6"/>
  <c r="X367" i="6"/>
  <c r="X375" i="6"/>
  <c r="V243" i="7"/>
  <c r="X375" i="5"/>
  <c r="X371" i="5"/>
  <c r="X370" i="2"/>
  <c r="W492" i="2"/>
  <c r="X492" i="2" s="1"/>
  <c r="W491" i="6"/>
  <c r="X491" i="6" s="1"/>
  <c r="U316" i="7"/>
  <c r="V316" i="7" s="1"/>
  <c r="W488" i="5"/>
  <c r="X488" i="5" s="1"/>
  <c r="W493" i="5"/>
  <c r="X493" i="5" s="1"/>
  <c r="W491" i="5"/>
  <c r="X491" i="5" s="1"/>
  <c r="U317" i="7"/>
  <c r="V317" i="7" s="1"/>
  <c r="G79" i="9"/>
  <c r="X353" i="5"/>
  <c r="X350" i="2"/>
  <c r="X351" i="6"/>
  <c r="V238" i="7"/>
  <c r="X372" i="6"/>
  <c r="V244" i="7"/>
  <c r="V237" i="7"/>
  <c r="V71" i="7"/>
  <c r="C79" i="9"/>
  <c r="D79" i="9" s="1"/>
  <c r="E79" i="9" s="1"/>
  <c r="B80" i="9"/>
  <c r="X374" i="5"/>
  <c r="X349" i="2"/>
  <c r="X355" i="5"/>
  <c r="X350" i="5"/>
  <c r="X354" i="2"/>
  <c r="X347" i="6"/>
  <c r="X354" i="5"/>
  <c r="X353" i="2"/>
  <c r="X373" i="6"/>
  <c r="X370" i="5"/>
  <c r="X368" i="5"/>
  <c r="X375" i="2"/>
  <c r="X373" i="5"/>
  <c r="X369" i="6"/>
  <c r="V239" i="7"/>
  <c r="X368" i="6"/>
  <c r="X369" i="2"/>
  <c r="V247" i="7"/>
  <c r="W494" i="2"/>
  <c r="X494" i="2" s="1"/>
  <c r="W491" i="2"/>
  <c r="X491" i="2" s="1"/>
  <c r="W495" i="6"/>
  <c r="X495" i="6" s="1"/>
  <c r="W490" i="6"/>
  <c r="X490" i="6" s="1"/>
  <c r="W493" i="6"/>
  <c r="X493" i="6" s="1"/>
  <c r="W493" i="2"/>
  <c r="X493" i="2" s="1"/>
  <c r="W494" i="5"/>
  <c r="X494" i="5" s="1"/>
  <c r="W495" i="5"/>
  <c r="X495" i="5" s="1"/>
  <c r="W490" i="5"/>
  <c r="X490" i="5" s="1"/>
  <c r="W492" i="5"/>
  <c r="X492" i="5" s="1"/>
  <c r="W487" i="2"/>
  <c r="X487" i="2" s="1"/>
  <c r="W494" i="6"/>
  <c r="X494" i="6" s="1"/>
  <c r="V58" i="7" l="1"/>
  <c r="V300" i="7"/>
  <c r="X471" i="5"/>
  <c r="X468" i="5"/>
  <c r="X467" i="6"/>
  <c r="X468" i="2"/>
  <c r="X468" i="6"/>
  <c r="V301" i="7"/>
  <c r="X475" i="6"/>
  <c r="X472" i="2"/>
  <c r="X472" i="6"/>
  <c r="X474" i="6"/>
  <c r="X473" i="5"/>
  <c r="X470" i="2"/>
  <c r="X473" i="2"/>
  <c r="X473" i="6"/>
  <c r="X470" i="6"/>
  <c r="V298" i="7"/>
  <c r="V297" i="7"/>
  <c r="X472" i="5"/>
  <c r="X475" i="5"/>
  <c r="X474" i="5"/>
  <c r="X469" i="2"/>
  <c r="X469" i="5"/>
  <c r="X469" i="6"/>
  <c r="X467" i="2"/>
  <c r="X471" i="2"/>
  <c r="V299" i="7"/>
  <c r="X467" i="5"/>
  <c r="X475" i="2"/>
  <c r="V302" i="7"/>
  <c r="V303" i="7"/>
  <c r="X474" i="2"/>
  <c r="X470" i="5"/>
  <c r="V296" i="7"/>
  <c r="V295" i="7"/>
  <c r="X471" i="6"/>
  <c r="M67" i="9"/>
  <c r="Y494" i="5" s="1"/>
  <c r="C80" i="9"/>
  <c r="H76" i="9" s="1"/>
  <c r="I76" i="9" s="1"/>
  <c r="Y493" i="6" l="1"/>
  <c r="Y367" i="5"/>
  <c r="Y351" i="5"/>
  <c r="Y370" i="6"/>
  <c r="Y348" i="5"/>
  <c r="Y371" i="6"/>
  <c r="Y488" i="5"/>
  <c r="W237" i="7"/>
  <c r="Y354" i="5"/>
  <c r="W239" i="7"/>
  <c r="Y494" i="6"/>
  <c r="W241" i="7"/>
  <c r="Y353" i="6"/>
  <c r="Y371" i="2"/>
  <c r="W246" i="7"/>
  <c r="Y371" i="5"/>
  <c r="W238" i="7"/>
  <c r="Y349" i="2"/>
  <c r="Y370" i="5"/>
  <c r="W247" i="7"/>
  <c r="W317" i="7"/>
  <c r="Y487" i="2"/>
  <c r="Y493" i="5"/>
  <c r="Y355" i="6"/>
  <c r="W242" i="7"/>
  <c r="Y374" i="2"/>
  <c r="Y374" i="6"/>
  <c r="Y347" i="2"/>
  <c r="Y375" i="5"/>
  <c r="Y351" i="6"/>
  <c r="Y355" i="5"/>
  <c r="Y368" i="5"/>
  <c r="Y490" i="6"/>
  <c r="W249" i="7"/>
  <c r="Y348" i="2"/>
  <c r="W245" i="7"/>
  <c r="Y352" i="5"/>
  <c r="Y367" i="6"/>
  <c r="Y491" i="5"/>
  <c r="W71" i="7"/>
  <c r="Y347" i="6"/>
  <c r="Y369" i="6"/>
  <c r="Y492" i="5"/>
  <c r="Y491" i="2"/>
  <c r="Y492" i="2"/>
  <c r="Y490" i="5"/>
  <c r="Y372" i="2"/>
  <c r="Y351" i="2"/>
  <c r="Y369" i="5"/>
  <c r="Y352" i="6"/>
  <c r="Y375" i="6"/>
  <c r="Y353" i="5"/>
  <c r="Y373" i="6"/>
  <c r="Y369" i="2"/>
  <c r="Y355" i="2"/>
  <c r="Y352" i="2"/>
  <c r="Y372" i="5"/>
  <c r="Y348" i="6"/>
  <c r="W248" i="7"/>
  <c r="Y491" i="6"/>
  <c r="W244" i="7"/>
  <c r="Y350" i="5"/>
  <c r="Y375" i="2"/>
  <c r="Y493" i="2"/>
  <c r="Y494" i="2"/>
  <c r="Y495" i="6"/>
  <c r="Y349" i="6"/>
  <c r="Y347" i="5"/>
  <c r="Y368" i="2"/>
  <c r="Y354" i="6"/>
  <c r="W240" i="7"/>
  <c r="Y370" i="2"/>
  <c r="Y372" i="6"/>
  <c r="Y354" i="2"/>
  <c r="Y373" i="5"/>
  <c r="Y495" i="5"/>
  <c r="Y373" i="2"/>
  <c r="Y350" i="6"/>
  <c r="Y367" i="2"/>
  <c r="Y349" i="5"/>
  <c r="W243" i="7"/>
  <c r="Y350" i="2"/>
  <c r="Y374" i="5"/>
  <c r="Y353" i="2"/>
  <c r="Y368" i="6"/>
  <c r="W316" i="7"/>
  <c r="AA349" i="6"/>
  <c r="W296" i="7"/>
  <c r="V306" i="7"/>
  <c r="W306" i="7" s="1"/>
  <c r="W302" i="7"/>
  <c r="V312" i="7"/>
  <c r="W312" i="7" s="1"/>
  <c r="Y471" i="2"/>
  <c r="X481" i="2"/>
  <c r="Y481" i="2" s="1"/>
  <c r="Y469" i="2"/>
  <c r="X479" i="2"/>
  <c r="Y479" i="2" s="1"/>
  <c r="W297" i="7"/>
  <c r="V307" i="7"/>
  <c r="W307" i="7" s="1"/>
  <c r="Y473" i="2"/>
  <c r="X483" i="2"/>
  <c r="Y483" i="2" s="1"/>
  <c r="Y472" i="6"/>
  <c r="X482" i="6"/>
  <c r="Y482" i="6" s="1"/>
  <c r="Y468" i="6"/>
  <c r="X478" i="6"/>
  <c r="Y478" i="6" s="1"/>
  <c r="Y471" i="5"/>
  <c r="X481" i="5"/>
  <c r="Y481" i="5" s="1"/>
  <c r="AN494" i="5"/>
  <c r="AF494" i="5"/>
  <c r="W295" i="7"/>
  <c r="V305" i="7"/>
  <c r="W305" i="7" s="1"/>
  <c r="W303" i="7"/>
  <c r="V313" i="7"/>
  <c r="W313" i="7" s="1"/>
  <c r="W299" i="7"/>
  <c r="V309" i="7"/>
  <c r="W309" i="7" s="1"/>
  <c r="Y469" i="5"/>
  <c r="X479" i="5"/>
  <c r="Y479" i="5" s="1"/>
  <c r="Y472" i="5"/>
  <c r="X482" i="5"/>
  <c r="Y482" i="5" s="1"/>
  <c r="Y473" i="6"/>
  <c r="X483" i="6"/>
  <c r="Y483" i="6" s="1"/>
  <c r="Y474" i="6"/>
  <c r="X484" i="6"/>
  <c r="Y484" i="6" s="1"/>
  <c r="W301" i="7"/>
  <c r="V311" i="7"/>
  <c r="W311" i="7" s="1"/>
  <c r="Y468" i="5"/>
  <c r="X478" i="5"/>
  <c r="Y478" i="5" s="1"/>
  <c r="J76" i="9"/>
  <c r="H77" i="9"/>
  <c r="I77" i="9" s="1"/>
  <c r="Y471" i="6"/>
  <c r="X481" i="6"/>
  <c r="Y481" i="6" s="1"/>
  <c r="Y474" i="2"/>
  <c r="X484" i="2"/>
  <c r="Y484" i="2" s="1"/>
  <c r="Y467" i="5"/>
  <c r="X477" i="5"/>
  <c r="Y477" i="5" s="1"/>
  <c r="Y469" i="6"/>
  <c r="X479" i="6"/>
  <c r="Y479" i="6" s="1"/>
  <c r="Y475" i="5"/>
  <c r="X485" i="5"/>
  <c r="Y485" i="5" s="1"/>
  <c r="Y470" i="6"/>
  <c r="X480" i="6"/>
  <c r="Y480" i="6" s="1"/>
  <c r="Y473" i="5"/>
  <c r="X483" i="5"/>
  <c r="Y483" i="5" s="1"/>
  <c r="Y475" i="6"/>
  <c r="X485" i="6"/>
  <c r="Y485" i="6" s="1"/>
  <c r="Y467" i="6"/>
  <c r="X477" i="6"/>
  <c r="Y477" i="6" s="1"/>
  <c r="W58" i="7"/>
  <c r="V72" i="7"/>
  <c r="W72" i="7" s="1"/>
  <c r="Y28" i="2"/>
  <c r="Y32" i="2"/>
  <c r="Y37" i="2"/>
  <c r="Y41" i="2"/>
  <c r="Y45" i="2"/>
  <c r="Y50" i="2"/>
  <c r="Y54" i="2"/>
  <c r="Y58" i="2"/>
  <c r="Y112" i="2"/>
  <c r="Y116" i="2"/>
  <c r="Y121" i="2"/>
  <c r="Y125" i="2"/>
  <c r="Y129" i="2"/>
  <c r="Y182" i="2"/>
  <c r="Y186" i="2"/>
  <c r="Y190" i="2"/>
  <c r="Y26" i="2"/>
  <c r="Y30" i="2"/>
  <c r="Y34" i="2"/>
  <c r="Y39" i="2"/>
  <c r="Y43" i="2"/>
  <c r="Y47" i="2"/>
  <c r="Y52" i="2"/>
  <c r="Y56" i="2"/>
  <c r="Y110" i="2"/>
  <c r="Y114" i="2"/>
  <c r="Y118" i="2"/>
  <c r="Y123" i="2"/>
  <c r="Y127" i="2"/>
  <c r="Y131" i="2"/>
  <c r="Y184" i="2"/>
  <c r="Y188" i="2"/>
  <c r="Y16" i="2"/>
  <c r="Y20" i="2"/>
  <c r="Y25" i="2"/>
  <c r="Y33" i="2"/>
  <c r="Y42" i="2"/>
  <c r="Y51" i="2"/>
  <c r="Y59" i="2"/>
  <c r="Y109" i="2"/>
  <c r="Y117" i="2"/>
  <c r="Y126" i="2"/>
  <c r="Y183" i="2"/>
  <c r="Y191" i="2"/>
  <c r="Y287" i="2"/>
  <c r="Y291" i="2"/>
  <c r="Y295" i="2"/>
  <c r="Y310" i="2"/>
  <c r="Y314" i="2"/>
  <c r="Y37" i="5"/>
  <c r="Y41" i="5"/>
  <c r="Y45" i="5"/>
  <c r="Y50" i="5"/>
  <c r="Y54" i="5"/>
  <c r="Y58" i="5"/>
  <c r="Y14" i="2"/>
  <c r="Y18" i="2"/>
  <c r="Y22" i="2"/>
  <c r="Y29" i="2"/>
  <c r="Y38" i="2"/>
  <c r="Y46" i="2"/>
  <c r="Y55" i="2"/>
  <c r="Y113" i="2"/>
  <c r="Y122" i="2"/>
  <c r="Y130" i="2"/>
  <c r="Y187" i="2"/>
  <c r="Y289" i="2"/>
  <c r="Y293" i="2"/>
  <c r="Y308" i="2"/>
  <c r="Y312" i="2"/>
  <c r="Y39" i="5"/>
  <c r="Y43" i="5"/>
  <c r="Y47" i="5"/>
  <c r="Y52" i="5"/>
  <c r="Y56" i="5"/>
  <c r="Y13" i="2"/>
  <c r="Y21" i="2"/>
  <c r="Y35" i="2"/>
  <c r="Y53" i="2"/>
  <c r="Y119" i="2"/>
  <c r="Y185" i="2"/>
  <c r="Y292" i="2"/>
  <c r="Y311" i="2"/>
  <c r="Y42" i="5"/>
  <c r="Y51" i="5"/>
  <c r="Y59" i="5"/>
  <c r="Y112" i="5"/>
  <c r="Y116" i="5"/>
  <c r="Y121" i="5"/>
  <c r="Y125" i="5"/>
  <c r="Y129" i="5"/>
  <c r="Y158" i="5"/>
  <c r="Y162" i="5"/>
  <c r="Y166" i="5"/>
  <c r="Y171" i="5"/>
  <c r="Y175" i="5"/>
  <c r="Y179" i="5"/>
  <c r="Y184" i="5"/>
  <c r="Y188" i="5"/>
  <c r="Y50" i="6"/>
  <c r="Y54" i="6"/>
  <c r="Y58" i="6"/>
  <c r="Y111" i="6"/>
  <c r="Y115" i="6"/>
  <c r="Y119" i="6"/>
  <c r="Y148" i="6"/>
  <c r="Y152" i="6"/>
  <c r="Y157" i="6"/>
  <c r="Y161" i="6"/>
  <c r="Y165" i="6"/>
  <c r="Y170" i="6"/>
  <c r="Y174" i="6"/>
  <c r="Y178" i="6"/>
  <c r="Y183" i="6"/>
  <c r="Y187" i="6"/>
  <c r="Y191" i="6"/>
  <c r="Y279" i="6"/>
  <c r="Y283" i="6"/>
  <c r="Y288" i="6"/>
  <c r="Y292" i="6"/>
  <c r="Y297" i="6"/>
  <c r="Y301" i="6"/>
  <c r="Y305" i="6"/>
  <c r="Y310" i="6"/>
  <c r="Y314" i="6"/>
  <c r="Y17" i="2"/>
  <c r="Y27" i="2"/>
  <c r="Y44" i="2"/>
  <c r="Y111" i="2"/>
  <c r="Y128" i="2"/>
  <c r="Y288" i="2"/>
  <c r="Y307" i="2"/>
  <c r="Y315" i="2"/>
  <c r="Y38" i="5"/>
  <c r="Y46" i="5"/>
  <c r="Y55" i="5"/>
  <c r="Y110" i="5"/>
  <c r="Y114" i="5"/>
  <c r="Y118" i="5"/>
  <c r="Y123" i="5"/>
  <c r="Y127" i="5"/>
  <c r="Y131" i="5"/>
  <c r="Y160" i="5"/>
  <c r="Y164" i="5"/>
  <c r="Y169" i="5"/>
  <c r="Y173" i="5"/>
  <c r="Y177" i="5"/>
  <c r="Y182" i="5"/>
  <c r="Y186" i="5"/>
  <c r="Y190" i="5"/>
  <c r="Y52" i="6"/>
  <c r="Y56" i="6"/>
  <c r="Y109" i="6"/>
  <c r="Y113" i="6"/>
  <c r="Y117" i="6"/>
  <c r="Y146" i="6"/>
  <c r="Y150" i="6"/>
  <c r="Y154" i="6"/>
  <c r="Y159" i="6"/>
  <c r="Y163" i="6"/>
  <c r="Y167" i="6"/>
  <c r="Y172" i="6"/>
  <c r="Y176" i="6"/>
  <c r="Y181" i="6"/>
  <c r="Y185" i="6"/>
  <c r="Y189" i="6"/>
  <c r="Y277" i="6"/>
  <c r="Y281" i="6"/>
  <c r="Y285" i="6"/>
  <c r="Y290" i="6"/>
  <c r="Y294" i="6"/>
  <c r="Y299" i="6"/>
  <c r="Y303" i="6"/>
  <c r="Y308" i="6"/>
  <c r="Y312" i="6"/>
  <c r="Y23" i="2"/>
  <c r="Y57" i="2"/>
  <c r="Y124" i="2"/>
  <c r="Y294" i="2"/>
  <c r="Y44" i="5"/>
  <c r="Y113" i="5"/>
  <c r="Y122" i="5"/>
  <c r="Y130" i="5"/>
  <c r="Y163" i="5"/>
  <c r="Y172" i="5"/>
  <c r="Y181" i="5"/>
  <c r="Y189" i="5"/>
  <c r="Y31" i="2"/>
  <c r="Y181" i="2"/>
  <c r="Y309" i="2"/>
  <c r="Y49" i="5"/>
  <c r="Y115" i="5"/>
  <c r="Y124" i="5"/>
  <c r="Y157" i="5"/>
  <c r="Y165" i="5"/>
  <c r="Y174" i="5"/>
  <c r="Y183" i="5"/>
  <c r="Y191" i="5"/>
  <c r="Y53" i="6"/>
  <c r="Y110" i="6"/>
  <c r="Y118" i="6"/>
  <c r="Y151" i="6"/>
  <c r="Y160" i="6"/>
  <c r="Y169" i="6"/>
  <c r="Y177" i="6"/>
  <c r="Y186" i="6"/>
  <c r="Y280" i="6"/>
  <c r="Y289" i="6"/>
  <c r="Y298" i="6"/>
  <c r="Y307" i="6"/>
  <c r="Y315" i="6"/>
  <c r="Y19" i="2"/>
  <c r="Y40" i="5"/>
  <c r="Y111" i="5"/>
  <c r="Y128" i="5"/>
  <c r="Y170" i="5"/>
  <c r="Y187" i="5"/>
  <c r="Y51" i="6"/>
  <c r="Y145" i="6"/>
  <c r="Y149" i="6"/>
  <c r="Y164" i="6"/>
  <c r="Y179" i="6"/>
  <c r="Y184" i="6"/>
  <c r="Y282" i="6"/>
  <c r="Y287" i="6"/>
  <c r="Y302" i="6"/>
  <c r="Y146" i="2"/>
  <c r="Y148" i="2"/>
  <c r="Y150" i="2"/>
  <c r="Y152" i="2"/>
  <c r="Y154" i="2"/>
  <c r="Y498" i="2"/>
  <c r="Y501" i="2"/>
  <c r="Y388" i="5"/>
  <c r="Y390" i="5"/>
  <c r="Y392" i="5"/>
  <c r="Y394" i="5"/>
  <c r="Y397" i="5"/>
  <c r="Y399" i="5"/>
  <c r="Y401" i="5"/>
  <c r="Y403" i="5"/>
  <c r="Y405" i="5"/>
  <c r="Y408" i="5"/>
  <c r="Y410" i="5"/>
  <c r="Y412" i="5"/>
  <c r="Y414" i="5"/>
  <c r="Y417" i="5"/>
  <c r="Y419" i="5"/>
  <c r="Y421" i="5"/>
  <c r="Y423" i="5"/>
  <c r="Y425" i="5"/>
  <c r="Y428" i="5"/>
  <c r="Y430" i="5"/>
  <c r="Y432" i="5"/>
  <c r="Y434" i="5"/>
  <c r="Y437" i="5"/>
  <c r="Y439" i="5"/>
  <c r="Y441" i="5"/>
  <c r="Y443" i="5"/>
  <c r="Y445" i="5"/>
  <c r="Y14" i="6"/>
  <c r="Y16" i="6"/>
  <c r="Y18" i="6"/>
  <c r="Y20" i="6"/>
  <c r="Y22" i="6"/>
  <c r="Y37" i="6"/>
  <c r="Y39" i="6"/>
  <c r="Y41" i="6"/>
  <c r="Y43" i="6"/>
  <c r="Y45" i="6"/>
  <c r="Y47" i="6"/>
  <c r="Y49" i="2"/>
  <c r="Y115" i="2"/>
  <c r="Y290" i="2"/>
  <c r="Y57" i="5"/>
  <c r="Y119" i="5"/>
  <c r="Y161" i="5"/>
  <c r="Y178" i="5"/>
  <c r="Y49" i="6"/>
  <c r="Y147" i="6"/>
  <c r="Y162" i="6"/>
  <c r="Y166" i="6"/>
  <c r="Y182" i="6"/>
  <c r="Y284" i="6"/>
  <c r="Y300" i="6"/>
  <c r="Y304" i="6"/>
  <c r="Y145" i="2"/>
  <c r="Y147" i="2"/>
  <c r="Y149" i="2"/>
  <c r="Y151" i="2"/>
  <c r="Y153" i="2"/>
  <c r="Y155" i="2"/>
  <c r="Y497" i="2"/>
  <c r="Y500" i="2"/>
  <c r="Y502" i="2"/>
  <c r="Y387" i="5"/>
  <c r="Y389" i="5"/>
  <c r="Y391" i="5"/>
  <c r="Y393" i="5"/>
  <c r="Y395" i="5"/>
  <c r="Y398" i="5"/>
  <c r="Y400" i="5"/>
  <c r="Y402" i="5"/>
  <c r="Y404" i="5"/>
  <c r="Y407" i="5"/>
  <c r="Y409" i="5"/>
  <c r="Y411" i="5"/>
  <c r="Y413" i="5"/>
  <c r="Y415" i="5"/>
  <c r="Y418" i="5"/>
  <c r="Y420" i="5"/>
  <c r="Y422" i="5"/>
  <c r="Y424" i="5"/>
  <c r="Y427" i="5"/>
  <c r="Y429" i="5"/>
  <c r="Y431" i="5"/>
  <c r="Y433" i="5"/>
  <c r="Y435" i="5"/>
  <c r="Y438" i="5"/>
  <c r="Y440" i="5"/>
  <c r="Y442" i="5"/>
  <c r="Y444" i="5"/>
  <c r="Y13" i="6"/>
  <c r="Y15" i="6"/>
  <c r="Y17" i="6"/>
  <c r="Y19" i="6"/>
  <c r="Y21" i="6"/>
  <c r="Y23" i="6"/>
  <c r="Y38" i="6"/>
  <c r="Y40" i="6"/>
  <c r="Y42" i="6"/>
  <c r="Y44" i="6"/>
  <c r="Y46" i="6"/>
  <c r="Y388" i="6"/>
  <c r="Y390" i="6"/>
  <c r="Y392" i="6"/>
  <c r="Y394" i="6"/>
  <c r="Y397" i="6"/>
  <c r="Y399" i="6"/>
  <c r="Y401" i="6"/>
  <c r="Y403" i="6"/>
  <c r="Y405" i="6"/>
  <c r="Y408" i="6"/>
  <c r="Y410" i="6"/>
  <c r="Y412" i="6"/>
  <c r="Y414" i="6"/>
  <c r="Y417" i="6"/>
  <c r="Y419" i="6"/>
  <c r="Y421" i="6"/>
  <c r="Y423" i="6"/>
  <c r="Y425" i="6"/>
  <c r="Y428" i="6"/>
  <c r="Y430" i="6"/>
  <c r="Y432" i="6"/>
  <c r="Y434" i="6"/>
  <c r="Y437" i="6"/>
  <c r="Y439" i="6"/>
  <c r="Y441" i="6"/>
  <c r="Y443" i="6"/>
  <c r="Y445" i="6"/>
  <c r="Y189" i="2"/>
  <c r="Y313" i="2"/>
  <c r="Y109" i="5"/>
  <c r="Y167" i="5"/>
  <c r="Y57" i="6"/>
  <c r="Y112" i="6"/>
  <c r="Y175" i="6"/>
  <c r="Y190" i="6"/>
  <c r="Y313" i="6"/>
  <c r="Y390" i="2"/>
  <c r="Y394" i="2"/>
  <c r="Y399" i="2"/>
  <c r="Y403" i="2"/>
  <c r="Y408" i="2"/>
  <c r="Y412" i="2"/>
  <c r="Y417" i="2"/>
  <c r="Y421" i="2"/>
  <c r="Y425" i="2"/>
  <c r="Y430" i="2"/>
  <c r="Y434" i="2"/>
  <c r="Y439" i="2"/>
  <c r="Y443" i="2"/>
  <c r="Y16" i="5"/>
  <c r="Y20" i="5"/>
  <c r="Y280" i="5"/>
  <c r="Y284" i="5"/>
  <c r="Y497" i="5"/>
  <c r="Y502" i="5"/>
  <c r="Y389" i="6"/>
  <c r="Y398" i="6"/>
  <c r="Y407" i="6"/>
  <c r="Y415" i="6"/>
  <c r="Y424" i="6"/>
  <c r="Y433" i="6"/>
  <c r="Y442" i="6"/>
  <c r="Y498" i="6"/>
  <c r="Y501" i="6"/>
  <c r="W91" i="7"/>
  <c r="W98" i="7"/>
  <c r="W100" i="7"/>
  <c r="W102" i="7"/>
  <c r="W104" i="7"/>
  <c r="W106" i="7"/>
  <c r="W108" i="7"/>
  <c r="W326" i="7"/>
  <c r="W329" i="7"/>
  <c r="Y53" i="5"/>
  <c r="Y117" i="5"/>
  <c r="Y176" i="5"/>
  <c r="Y55" i="6"/>
  <c r="Y158" i="6"/>
  <c r="Y173" i="6"/>
  <c r="Y188" i="6"/>
  <c r="Y295" i="6"/>
  <c r="Y311" i="6"/>
  <c r="Y389" i="2"/>
  <c r="Y393" i="2"/>
  <c r="Y398" i="2"/>
  <c r="Y402" i="2"/>
  <c r="Y407" i="2"/>
  <c r="Y411" i="2"/>
  <c r="Y415" i="2"/>
  <c r="Y420" i="2"/>
  <c r="Y424" i="2"/>
  <c r="Y429" i="2"/>
  <c r="Y433" i="2"/>
  <c r="Y438" i="2"/>
  <c r="Y442" i="2"/>
  <c r="Y15" i="5"/>
  <c r="Y19" i="5"/>
  <c r="Y23" i="5"/>
  <c r="Y279" i="5"/>
  <c r="Y283" i="5"/>
  <c r="Y501" i="5"/>
  <c r="Y391" i="6"/>
  <c r="Y400" i="6"/>
  <c r="Y409" i="6"/>
  <c r="Y418" i="6"/>
  <c r="Y427" i="6"/>
  <c r="Y435" i="6"/>
  <c r="Y444" i="6"/>
  <c r="W14" i="7"/>
  <c r="W16" i="7"/>
  <c r="W18" i="7"/>
  <c r="W20" i="7"/>
  <c r="W22" i="7"/>
  <c r="W24" i="7"/>
  <c r="W182" i="7"/>
  <c r="W184" i="7"/>
  <c r="W186" i="7"/>
  <c r="W188" i="7"/>
  <c r="W190" i="7"/>
  <c r="W192" i="7"/>
  <c r="W265" i="7"/>
  <c r="W267" i="7"/>
  <c r="W269" i="7"/>
  <c r="W271" i="7"/>
  <c r="W273" i="7"/>
  <c r="Y159" i="5"/>
  <c r="Y114" i="6"/>
  <c r="Y153" i="6"/>
  <c r="Y387" i="2"/>
  <c r="Y395" i="2"/>
  <c r="Y404" i="2"/>
  <c r="Y413" i="2"/>
  <c r="Y422" i="2"/>
  <c r="Y431" i="2"/>
  <c r="Y440" i="2"/>
  <c r="Y13" i="5"/>
  <c r="Y21" i="5"/>
  <c r="Y281" i="5"/>
  <c r="Y387" i="6"/>
  <c r="Y404" i="6"/>
  <c r="Y422" i="6"/>
  <c r="Y440" i="6"/>
  <c r="W15" i="7"/>
  <c r="W19" i="7"/>
  <c r="W23" i="7"/>
  <c r="W97" i="7"/>
  <c r="W101" i="7"/>
  <c r="W105" i="7"/>
  <c r="W109" i="7"/>
  <c r="W325" i="7"/>
  <c r="W330" i="7"/>
  <c r="Y162" i="2"/>
  <c r="Y163" i="2"/>
  <c r="Y171" i="2"/>
  <c r="Y172" i="2"/>
  <c r="Y179" i="2"/>
  <c r="Y278" i="2"/>
  <c r="Y280" i="2"/>
  <c r="Y282" i="2"/>
  <c r="Y284" i="2"/>
  <c r="Y288" i="5"/>
  <c r="Y290" i="5"/>
  <c r="Y292" i="5"/>
  <c r="Y294" i="5"/>
  <c r="Y126" i="5"/>
  <c r="Y278" i="6"/>
  <c r="Y293" i="6"/>
  <c r="Y309" i="6"/>
  <c r="Y392" i="2"/>
  <c r="Y401" i="2"/>
  <c r="Y410" i="2"/>
  <c r="Y419" i="2"/>
  <c r="Y428" i="2"/>
  <c r="Y437" i="2"/>
  <c r="Y445" i="2"/>
  <c r="Y18" i="5"/>
  <c r="Y278" i="5"/>
  <c r="Y500" i="5"/>
  <c r="Y402" i="6"/>
  <c r="Y420" i="6"/>
  <c r="Y438" i="6"/>
  <c r="Y500" i="6"/>
  <c r="W183" i="7"/>
  <c r="W187" i="7"/>
  <c r="W191" i="7"/>
  <c r="W268" i="7"/>
  <c r="W272" i="7"/>
  <c r="Y160" i="2"/>
  <c r="Y161" i="2"/>
  <c r="Y169" i="2"/>
  <c r="Y170" i="2"/>
  <c r="Y177" i="2"/>
  <c r="Y178" i="2"/>
  <c r="Y298" i="2"/>
  <c r="Y300" i="2"/>
  <c r="Y302" i="2"/>
  <c r="Y304" i="2"/>
  <c r="Y26" i="5"/>
  <c r="Y28" i="5"/>
  <c r="Y30" i="5"/>
  <c r="Y32" i="5"/>
  <c r="Y34" i="5"/>
  <c r="Y146" i="5"/>
  <c r="Y148" i="5"/>
  <c r="Y150" i="5"/>
  <c r="Y152" i="5"/>
  <c r="Y154" i="5"/>
  <c r="Y40" i="2"/>
  <c r="Y388" i="2"/>
  <c r="Y405" i="2"/>
  <c r="Y423" i="2"/>
  <c r="Y441" i="2"/>
  <c r="Y14" i="5"/>
  <c r="Y282" i="5"/>
  <c r="Y411" i="6"/>
  <c r="Y502" i="6"/>
  <c r="W99" i="7"/>
  <c r="W107" i="7"/>
  <c r="Y158" i="2"/>
  <c r="Y167" i="2"/>
  <c r="Y175" i="2"/>
  <c r="Y279" i="2"/>
  <c r="Y283" i="2"/>
  <c r="Y287" i="5"/>
  <c r="Y291" i="5"/>
  <c r="Y297" i="5"/>
  <c r="Y299" i="5"/>
  <c r="Y301" i="5"/>
  <c r="Y303" i="5"/>
  <c r="Y305" i="5"/>
  <c r="Y308" i="5"/>
  <c r="Y310" i="5"/>
  <c r="Y312" i="5"/>
  <c r="Y314" i="5"/>
  <c r="Y26" i="6"/>
  <c r="Y28" i="6"/>
  <c r="Y30" i="6"/>
  <c r="Y32" i="6"/>
  <c r="Y34" i="6"/>
  <c r="W74" i="7"/>
  <c r="W76" i="7"/>
  <c r="W78" i="7"/>
  <c r="W80" i="7"/>
  <c r="Y15" i="2"/>
  <c r="Y185" i="5"/>
  <c r="Y116" i="6"/>
  <c r="Y171" i="6"/>
  <c r="Y291" i="6"/>
  <c r="Y400" i="2"/>
  <c r="Y418" i="2"/>
  <c r="Y435" i="2"/>
  <c r="Y277" i="5"/>
  <c r="Y395" i="6"/>
  <c r="Y431" i="6"/>
  <c r="W17" i="7"/>
  <c r="W25" i="7"/>
  <c r="W181" i="7"/>
  <c r="W189" i="7"/>
  <c r="W266" i="7"/>
  <c r="Y165" i="2"/>
  <c r="Y173" i="2"/>
  <c r="Y297" i="2"/>
  <c r="Y301" i="2"/>
  <c r="Y305" i="2"/>
  <c r="Y27" i="5"/>
  <c r="Y31" i="5"/>
  <c r="Y35" i="5"/>
  <c r="Y145" i="5"/>
  <c r="Y149" i="5"/>
  <c r="Y153" i="5"/>
  <c r="Y122" i="6"/>
  <c r="Y124" i="6"/>
  <c r="Y126" i="6"/>
  <c r="Y128" i="6"/>
  <c r="Y130" i="6"/>
  <c r="W60" i="7"/>
  <c r="W62" i="7"/>
  <c r="W64" i="7"/>
  <c r="W66" i="7"/>
  <c r="W69" i="7"/>
  <c r="Y59" i="6"/>
  <c r="Y397" i="2"/>
  <c r="Y432" i="2"/>
  <c r="Y22" i="5"/>
  <c r="Y429" i="6"/>
  <c r="Y497" i="6"/>
  <c r="W103" i="7"/>
  <c r="W328" i="7"/>
  <c r="Y159" i="2"/>
  <c r="Y166" i="2"/>
  <c r="Y277" i="2"/>
  <c r="Y285" i="2"/>
  <c r="Y293" i="5"/>
  <c r="Y295" i="5"/>
  <c r="Y300" i="5"/>
  <c r="Y304" i="5"/>
  <c r="Y309" i="5"/>
  <c r="Y313" i="5"/>
  <c r="Y27" i="6"/>
  <c r="Y31" i="6"/>
  <c r="Y35" i="6"/>
  <c r="W55" i="7"/>
  <c r="W75" i="7"/>
  <c r="W79" i="7"/>
  <c r="Y155" i="6"/>
  <c r="Y391" i="2"/>
  <c r="Y427" i="2"/>
  <c r="Y17" i="5"/>
  <c r="W21" i="7"/>
  <c r="W185" i="7"/>
  <c r="W270" i="7"/>
  <c r="Y174" i="2"/>
  <c r="Y299" i="2"/>
  <c r="Y29" i="5"/>
  <c r="Y147" i="5"/>
  <c r="Y155" i="5"/>
  <c r="Y123" i="6"/>
  <c r="Y127" i="6"/>
  <c r="Y131" i="6"/>
  <c r="W61" i="7"/>
  <c r="W65" i="7"/>
  <c r="Y409" i="2"/>
  <c r="Y413" i="6"/>
  <c r="Y289" i="5"/>
  <c r="Y298" i="5"/>
  <c r="Y307" i="5"/>
  <c r="Y315" i="5"/>
  <c r="Y29" i="6"/>
  <c r="W59" i="7"/>
  <c r="W67" i="7"/>
  <c r="Y444" i="2"/>
  <c r="Y285" i="5"/>
  <c r="Y498" i="5"/>
  <c r="W13" i="7"/>
  <c r="Y176" i="2"/>
  <c r="Y281" i="2"/>
  <c r="Y302" i="5"/>
  <c r="Y311" i="5"/>
  <c r="Y25" i="6"/>
  <c r="Y33" i="6"/>
  <c r="W63" i="7"/>
  <c r="Y164" i="2"/>
  <c r="Y125" i="6"/>
  <c r="W81" i="7"/>
  <c r="Y25" i="5"/>
  <c r="Y129" i="6"/>
  <c r="Y121" i="6"/>
  <c r="Y393" i="6"/>
  <c r="W193" i="7"/>
  <c r="Y151" i="5"/>
  <c r="W77" i="7"/>
  <c r="Y414" i="2"/>
  <c r="Y157" i="2"/>
  <c r="W73" i="7"/>
  <c r="Y33" i="5"/>
  <c r="Y303" i="2"/>
  <c r="Y138" i="6"/>
  <c r="Y143" i="5"/>
  <c r="Y135" i="5"/>
  <c r="W83" i="7"/>
  <c r="Y140" i="2"/>
  <c r="Y137" i="5"/>
  <c r="W87" i="7"/>
  <c r="Y142" i="2"/>
  <c r="Y140" i="6"/>
  <c r="W89" i="7"/>
  <c r="Y136" i="6"/>
  <c r="Y141" i="6"/>
  <c r="W86" i="7"/>
  <c r="W85" i="7"/>
  <c r="Y143" i="6"/>
  <c r="Y139" i="2"/>
  <c r="Y142" i="5"/>
  <c r="Y134" i="2"/>
  <c r="Y136" i="2"/>
  <c r="W88" i="7"/>
  <c r="Y142" i="6"/>
  <c r="Y139" i="6"/>
  <c r="W90" i="7"/>
  <c r="Y133" i="2"/>
  <c r="W95" i="7"/>
  <c r="Y140" i="5"/>
  <c r="W94" i="7"/>
  <c r="Y136" i="5"/>
  <c r="Y139" i="5"/>
  <c r="Y133" i="5"/>
  <c r="W84" i="7"/>
  <c r="Y138" i="2"/>
  <c r="Y141" i="5"/>
  <c r="Y135" i="2"/>
  <c r="W93" i="7"/>
  <c r="Y138" i="5"/>
  <c r="Y137" i="2"/>
  <c r="Y135" i="6"/>
  <c r="Y134" i="6"/>
  <c r="W92" i="7"/>
  <c r="Y133" i="6"/>
  <c r="Y141" i="2"/>
  <c r="Y137" i="6"/>
  <c r="Y134" i="5"/>
  <c r="Y143" i="2"/>
  <c r="Y266" i="2"/>
  <c r="Y271" i="6"/>
  <c r="Y273" i="2"/>
  <c r="W176" i="7"/>
  <c r="Y275" i="6"/>
  <c r="Y270" i="6"/>
  <c r="Y273" i="6"/>
  <c r="Y267" i="6"/>
  <c r="W171" i="7"/>
  <c r="Y275" i="5"/>
  <c r="Y274" i="5"/>
  <c r="Y267" i="2"/>
  <c r="Y269" i="2"/>
  <c r="W179" i="7"/>
  <c r="Y270" i="2"/>
  <c r="Y267" i="5"/>
  <c r="W167" i="7"/>
  <c r="Y268" i="2"/>
  <c r="Y271" i="5"/>
  <c r="Y269" i="6"/>
  <c r="Y268" i="5"/>
  <c r="Y265" i="5"/>
  <c r="W178" i="7"/>
  <c r="Y269" i="5"/>
  <c r="W175" i="7"/>
  <c r="Y274" i="2"/>
  <c r="W173" i="7"/>
  <c r="W170" i="7"/>
  <c r="Y275" i="2"/>
  <c r="Y266" i="6"/>
  <c r="Y270" i="5"/>
  <c r="W177" i="7"/>
  <c r="Y274" i="6"/>
  <c r="Y265" i="6"/>
  <c r="Y266" i="5"/>
  <c r="Y268" i="6"/>
  <c r="W169" i="7"/>
  <c r="Y271" i="2"/>
  <c r="W172" i="7"/>
  <c r="W174" i="7"/>
  <c r="W168" i="7"/>
  <c r="Y272" i="5"/>
  <c r="Y272" i="6"/>
  <c r="Y272" i="2"/>
  <c r="Y273" i="5"/>
  <c r="W144" i="7"/>
  <c r="W147" i="7"/>
  <c r="Y245" i="6"/>
  <c r="Y246" i="5"/>
  <c r="W150" i="7"/>
  <c r="W56" i="7"/>
  <c r="Y251" i="6"/>
  <c r="Y247" i="6"/>
  <c r="Y251" i="5"/>
  <c r="W142" i="7"/>
  <c r="Y249" i="5"/>
  <c r="Y251" i="2"/>
  <c r="Y383" i="5"/>
  <c r="Y385" i="6"/>
  <c r="Y377" i="5"/>
  <c r="W261" i="7"/>
  <c r="Y265" i="2"/>
  <c r="W149" i="7"/>
  <c r="Y248" i="2"/>
  <c r="Y241" i="5"/>
  <c r="Y250" i="5"/>
  <c r="Y244" i="5"/>
  <c r="W148" i="7"/>
  <c r="W259" i="7"/>
  <c r="Y378" i="6"/>
  <c r="W262" i="7"/>
  <c r="W253" i="7"/>
  <c r="Y246" i="2"/>
  <c r="Y248" i="6"/>
  <c r="Y378" i="5"/>
  <c r="Y384" i="6"/>
  <c r="W256" i="7"/>
  <c r="W258" i="7"/>
  <c r="Y249" i="6"/>
  <c r="Y245" i="2"/>
  <c r="Y242" i="6"/>
  <c r="Y250" i="2"/>
  <c r="Y243" i="2"/>
  <c r="W146" i="7"/>
  <c r="Y245" i="5"/>
  <c r="Y244" i="2"/>
  <c r="Y242" i="2"/>
  <c r="W145" i="7"/>
  <c r="Y249" i="2"/>
  <c r="Y250" i="6"/>
  <c r="Y382" i="2"/>
  <c r="Y380" i="5"/>
  <c r="W257" i="7"/>
  <c r="W140" i="7"/>
  <c r="Y247" i="2"/>
  <c r="W141" i="7"/>
  <c r="Y242" i="5"/>
  <c r="Y244" i="6"/>
  <c r="Y243" i="6"/>
  <c r="Y385" i="2"/>
  <c r="Y379" i="2"/>
  <c r="Y379" i="6"/>
  <c r="Y380" i="6"/>
  <c r="Y377" i="6"/>
  <c r="Y241" i="2"/>
  <c r="Y247" i="5"/>
  <c r="W139" i="7"/>
  <c r="Y248" i="5"/>
  <c r="Y246" i="6"/>
  <c r="Y241" i="6"/>
  <c r="W143" i="7"/>
  <c r="W151" i="7"/>
  <c r="Y243" i="5"/>
  <c r="W251" i="7"/>
  <c r="W260" i="7"/>
  <c r="Y381" i="2"/>
  <c r="Y257" i="6"/>
  <c r="Y258" i="2"/>
  <c r="W255" i="7"/>
  <c r="Y381" i="5"/>
  <c r="W162" i="7"/>
  <c r="Y262" i="5"/>
  <c r="Y260" i="2"/>
  <c r="W263" i="7"/>
  <c r="Y263" i="6"/>
  <c r="W254" i="7"/>
  <c r="W157" i="7"/>
  <c r="Y382" i="6"/>
  <c r="Y261" i="2"/>
  <c r="Y257" i="5"/>
  <c r="Y254" i="6"/>
  <c r="Y259" i="6"/>
  <c r="Y383" i="6"/>
  <c r="Y260" i="5"/>
  <c r="Y381" i="6"/>
  <c r="Y385" i="5"/>
  <c r="Y256" i="5"/>
  <c r="Y253" i="5"/>
  <c r="W163" i="7"/>
  <c r="Y261" i="5"/>
  <c r="Y258" i="5"/>
  <c r="W153" i="7"/>
  <c r="Y254" i="2"/>
  <c r="Y261" i="6"/>
  <c r="W156" i="7"/>
  <c r="Y253" i="6"/>
  <c r="Y380" i="2"/>
  <c r="Y254" i="5"/>
  <c r="Y263" i="2"/>
  <c r="W70" i="7"/>
  <c r="Y258" i="6"/>
  <c r="W159" i="7"/>
  <c r="Y257" i="2"/>
  <c r="W164" i="7"/>
  <c r="Y260" i="6"/>
  <c r="Y259" i="5"/>
  <c r="Y378" i="2"/>
  <c r="Y383" i="2"/>
  <c r="Y256" i="6"/>
  <c r="W155" i="7"/>
  <c r="W154" i="7"/>
  <c r="Y263" i="5"/>
  <c r="W161" i="7"/>
  <c r="W165" i="7"/>
  <c r="Y253" i="2"/>
  <c r="Y262" i="6"/>
  <c r="Y256" i="2"/>
  <c r="Y262" i="2"/>
  <c r="Y379" i="5"/>
  <c r="Y255" i="5"/>
  <c r="W252" i="7"/>
  <c r="Y255" i="2"/>
  <c r="W158" i="7"/>
  <c r="Y382" i="5"/>
  <c r="Y255" i="6"/>
  <c r="Y259" i="2"/>
  <c r="Y384" i="2"/>
  <c r="Y384" i="5"/>
  <c r="W160" i="7"/>
  <c r="W319" i="7"/>
  <c r="Y345" i="2"/>
  <c r="W235" i="7"/>
  <c r="Y363" i="2"/>
  <c r="W227" i="7"/>
  <c r="Y342" i="2"/>
  <c r="Y338" i="2"/>
  <c r="Y340" i="6"/>
  <c r="Y343" i="6"/>
  <c r="Y362" i="5"/>
  <c r="W231" i="7"/>
  <c r="Y357" i="2"/>
  <c r="Y361" i="2"/>
  <c r="Y338" i="6"/>
  <c r="Y342" i="5"/>
  <c r="Y339" i="5"/>
  <c r="W232" i="7"/>
  <c r="W234" i="7"/>
  <c r="Y357" i="6"/>
  <c r="W229" i="7"/>
  <c r="Y361" i="5"/>
  <c r="Y490" i="2"/>
  <c r="Y340" i="2"/>
  <c r="W224" i="7"/>
  <c r="W230" i="7"/>
  <c r="W57" i="7"/>
  <c r="Y364" i="5"/>
  <c r="Y339" i="2"/>
  <c r="Y340" i="5"/>
  <c r="Y337" i="6"/>
  <c r="Y343" i="2"/>
  <c r="Y360" i="5"/>
  <c r="Y365" i="2"/>
  <c r="Y359" i="6"/>
  <c r="Y358" i="6"/>
  <c r="W233" i="7"/>
  <c r="W322" i="7"/>
  <c r="Y487" i="6"/>
  <c r="Y488" i="2"/>
  <c r="Y377" i="2"/>
  <c r="W323" i="7"/>
  <c r="Y492" i="6"/>
  <c r="Y488" i="6"/>
  <c r="W318" i="7"/>
  <c r="Y489" i="6"/>
  <c r="Y495" i="2"/>
  <c r="W321" i="7"/>
  <c r="Y489" i="5"/>
  <c r="W315" i="7"/>
  <c r="Y345" i="6"/>
  <c r="Y339" i="6"/>
  <c r="Y357" i="5"/>
  <c r="Y362" i="2"/>
  <c r="W228" i="7"/>
  <c r="Y337" i="5"/>
  <c r="Y341" i="5"/>
  <c r="Y341" i="2"/>
  <c r="Y364" i="2"/>
  <c r="Y358" i="2"/>
  <c r="Y360" i="6"/>
  <c r="Y359" i="5"/>
  <c r="Y364" i="6"/>
  <c r="Y344" i="6"/>
  <c r="Y338" i="5"/>
  <c r="Y342" i="6"/>
  <c r="Y337" i="2"/>
  <c r="W226" i="7"/>
  <c r="Y361" i="6"/>
  <c r="Y365" i="6"/>
  <c r="Y365" i="5"/>
  <c r="Y360" i="2"/>
  <c r="Y489" i="2"/>
  <c r="Y343" i="5"/>
  <c r="Y341" i="6"/>
  <c r="Y362" i="6"/>
  <c r="W223" i="7"/>
  <c r="Y345" i="5"/>
  <c r="Y344" i="2"/>
  <c r="Y344" i="5"/>
  <c r="Y363" i="6"/>
  <c r="Y358" i="5"/>
  <c r="Y363" i="5"/>
  <c r="W225" i="7"/>
  <c r="Y359" i="2"/>
  <c r="Y487" i="5"/>
  <c r="W320" i="7"/>
  <c r="Y470" i="5"/>
  <c r="X480" i="5"/>
  <c r="Y480" i="5" s="1"/>
  <c r="Y475" i="2"/>
  <c r="X485" i="2"/>
  <c r="Y485" i="2" s="1"/>
  <c r="Y467" i="2"/>
  <c r="X477" i="2"/>
  <c r="Y477" i="2" s="1"/>
  <c r="Y474" i="5"/>
  <c r="X484" i="5"/>
  <c r="Y484" i="5" s="1"/>
  <c r="W298" i="7"/>
  <c r="V308" i="7"/>
  <c r="W308" i="7" s="1"/>
  <c r="Y470" i="2"/>
  <c r="X480" i="2"/>
  <c r="Y480" i="2" s="1"/>
  <c r="Y472" i="2"/>
  <c r="X482" i="2"/>
  <c r="Y482" i="2" s="1"/>
  <c r="Y468" i="2"/>
  <c r="X478" i="2"/>
  <c r="Y478" i="2" s="1"/>
  <c r="W300" i="7"/>
  <c r="V310" i="7"/>
  <c r="W310" i="7" s="1"/>
  <c r="AN150" i="6" l="1"/>
  <c r="AN147" i="6"/>
  <c r="AN149" i="6"/>
  <c r="AN163" i="6"/>
  <c r="Z163" i="6" s="1"/>
  <c r="AN146" i="6"/>
  <c r="AN157" i="6"/>
  <c r="Z157" i="6" s="1"/>
  <c r="AN161" i="6"/>
  <c r="Z161" i="6" s="1"/>
  <c r="AN158" i="6"/>
  <c r="Z158" i="6" s="1"/>
  <c r="AN145" i="6"/>
  <c r="AN160" i="6"/>
  <c r="Z160" i="6" s="1"/>
  <c r="AN159" i="6"/>
  <c r="Z159" i="6" s="1"/>
  <c r="AN152" i="6"/>
  <c r="AN153" i="6"/>
  <c r="AN162" i="6"/>
  <c r="Z162" i="6" s="1"/>
  <c r="AN164" i="6"/>
  <c r="Z164" i="6" s="1"/>
  <c r="AN167" i="6"/>
  <c r="Z167" i="6" s="1"/>
  <c r="AN155" i="6"/>
  <c r="AN166" i="6"/>
  <c r="Z166" i="6" s="1"/>
  <c r="AN151" i="6"/>
  <c r="AN154" i="6"/>
  <c r="AN165" i="6"/>
  <c r="Z165" i="6" s="1"/>
  <c r="AN148" i="6"/>
  <c r="AN126" i="5"/>
  <c r="AN122" i="5"/>
  <c r="AN131" i="5"/>
  <c r="AN38" i="5"/>
  <c r="Z38" i="5" s="1"/>
  <c r="AN125" i="5"/>
  <c r="AN59" i="5"/>
  <c r="AN52" i="5"/>
  <c r="AN54" i="5"/>
  <c r="AN37" i="5"/>
  <c r="Z37" i="5" s="1"/>
  <c r="AN40" i="5"/>
  <c r="Z40" i="5" s="1"/>
  <c r="AN124" i="5"/>
  <c r="AN127" i="5"/>
  <c r="AN121" i="5"/>
  <c r="AN51" i="5"/>
  <c r="AN47" i="5"/>
  <c r="Z47" i="5" s="1"/>
  <c r="AN50" i="5"/>
  <c r="AN44" i="5"/>
  <c r="Z44" i="5" s="1"/>
  <c r="AN123" i="5"/>
  <c r="AN55" i="5"/>
  <c r="AN42" i="5"/>
  <c r="Z42" i="5" s="1"/>
  <c r="AN43" i="5"/>
  <c r="Z43" i="5" s="1"/>
  <c r="AN45" i="5"/>
  <c r="Z45" i="5" s="1"/>
  <c r="AN53" i="5"/>
  <c r="AN57" i="5"/>
  <c r="AN128" i="5"/>
  <c r="AN49" i="5"/>
  <c r="AN130" i="5"/>
  <c r="AN46" i="5"/>
  <c r="Z46" i="5" s="1"/>
  <c r="AN129" i="5"/>
  <c r="AN56" i="5"/>
  <c r="AN39" i="5"/>
  <c r="Z39" i="5" s="1"/>
  <c r="AN58" i="5"/>
  <c r="AN41" i="5"/>
  <c r="Z41" i="5" s="1"/>
  <c r="AA347" i="2"/>
  <c r="AN384" i="2"/>
  <c r="Z384" i="2" s="1"/>
  <c r="AN378" i="2"/>
  <c r="Z378" i="2" s="1"/>
  <c r="AN383" i="6"/>
  <c r="Z383" i="6" s="1"/>
  <c r="AN379" i="2"/>
  <c r="Z379" i="2" s="1"/>
  <c r="AN274" i="6"/>
  <c r="AN275" i="6"/>
  <c r="AN157" i="2"/>
  <c r="AN25" i="5"/>
  <c r="AL63" i="7"/>
  <c r="AN302" i="5"/>
  <c r="Z302" i="5" s="1"/>
  <c r="AL59" i="7"/>
  <c r="AN298" i="5"/>
  <c r="Z298" i="5" s="1"/>
  <c r="AL65" i="7"/>
  <c r="AN299" i="2"/>
  <c r="Z299" i="2" s="1"/>
  <c r="AN35" i="6"/>
  <c r="Z35" i="6" s="1"/>
  <c r="AN309" i="5"/>
  <c r="AN293" i="5"/>
  <c r="AN159" i="2"/>
  <c r="AN59" i="6"/>
  <c r="AL62" i="7"/>
  <c r="AN149" i="5"/>
  <c r="AN27" i="5"/>
  <c r="AN173" i="2"/>
  <c r="Z173" i="2" s="1"/>
  <c r="AL76" i="7"/>
  <c r="X76" i="7" s="1"/>
  <c r="AN30" i="6"/>
  <c r="Z30" i="6" s="1"/>
  <c r="AN312" i="5"/>
  <c r="AN303" i="5"/>
  <c r="Z303" i="5" s="1"/>
  <c r="AN291" i="5"/>
  <c r="AN175" i="2"/>
  <c r="Z175" i="2" s="1"/>
  <c r="AN150" i="5"/>
  <c r="AN32" i="5"/>
  <c r="AN304" i="2"/>
  <c r="Z304" i="2" s="1"/>
  <c r="AN178" i="2"/>
  <c r="Z178" i="2" s="1"/>
  <c r="AN161" i="2"/>
  <c r="AN288" i="5"/>
  <c r="AN278" i="2"/>
  <c r="AN163" i="2"/>
  <c r="AN55" i="6"/>
  <c r="AN51" i="6"/>
  <c r="AN157" i="5"/>
  <c r="AN17" i="2"/>
  <c r="AN58" i="6"/>
  <c r="AN166" i="5"/>
  <c r="AN22" i="2"/>
  <c r="AN20" i="2"/>
  <c r="AN382" i="6"/>
  <c r="Z382" i="6" s="1"/>
  <c r="AN381" i="2"/>
  <c r="Z381" i="2" s="1"/>
  <c r="AN377" i="6"/>
  <c r="Z377" i="6" s="1"/>
  <c r="AN385" i="2"/>
  <c r="Z385" i="2" s="1"/>
  <c r="AN384" i="6"/>
  <c r="Z384" i="6" s="1"/>
  <c r="AN268" i="6"/>
  <c r="AN269" i="6"/>
  <c r="AN267" i="6"/>
  <c r="AN303" i="2"/>
  <c r="Z303" i="2" s="1"/>
  <c r="AL81" i="7"/>
  <c r="X81" i="7" s="1"/>
  <c r="AN33" i="6"/>
  <c r="Z33" i="6" s="1"/>
  <c r="AN281" i="2"/>
  <c r="AN29" i="6"/>
  <c r="Z29" i="6" s="1"/>
  <c r="AN289" i="5"/>
  <c r="AL61" i="7"/>
  <c r="AN155" i="5"/>
  <c r="AN174" i="2"/>
  <c r="Z174" i="2" s="1"/>
  <c r="AL79" i="7"/>
  <c r="X79" i="7" s="1"/>
  <c r="AN31" i="6"/>
  <c r="Z31" i="6" s="1"/>
  <c r="AN304" i="5"/>
  <c r="Z304" i="5" s="1"/>
  <c r="AN285" i="2"/>
  <c r="AL60" i="7"/>
  <c r="AN145" i="5"/>
  <c r="AN305" i="2"/>
  <c r="Z305" i="2" s="1"/>
  <c r="AN165" i="2"/>
  <c r="AN15" i="2"/>
  <c r="AL74" i="7"/>
  <c r="X74" i="7" s="1"/>
  <c r="AN28" i="6"/>
  <c r="Z28" i="6" s="1"/>
  <c r="AN310" i="5"/>
  <c r="AN301" i="5"/>
  <c r="Z301" i="5" s="1"/>
  <c r="AN287" i="5"/>
  <c r="AN167" i="2"/>
  <c r="AN148" i="5"/>
  <c r="AN30" i="5"/>
  <c r="AN302" i="2"/>
  <c r="Z302" i="2" s="1"/>
  <c r="AN177" i="2"/>
  <c r="Z177" i="2" s="1"/>
  <c r="AN160" i="2"/>
  <c r="AN294" i="5"/>
  <c r="AN284" i="2"/>
  <c r="AN179" i="2"/>
  <c r="Z179" i="2" s="1"/>
  <c r="AN162" i="2"/>
  <c r="AN57" i="6"/>
  <c r="AN161" i="5"/>
  <c r="AN54" i="6"/>
  <c r="AN162" i="5"/>
  <c r="AN21" i="2"/>
  <c r="AN18" i="2"/>
  <c r="AN16" i="2"/>
  <c r="AN377" i="2"/>
  <c r="Z377" i="2" s="1"/>
  <c r="AN380" i="2"/>
  <c r="Z380" i="2" s="1"/>
  <c r="AN381" i="6"/>
  <c r="Z381" i="6" s="1"/>
  <c r="AN380" i="6"/>
  <c r="Z380" i="6" s="1"/>
  <c r="AN382" i="2"/>
  <c r="Z382" i="2" s="1"/>
  <c r="AN385" i="6"/>
  <c r="Z385" i="6" s="1"/>
  <c r="AN272" i="6"/>
  <c r="AN273" i="6"/>
  <c r="AN33" i="5"/>
  <c r="AL77" i="7"/>
  <c r="X77" i="7" s="1"/>
  <c r="AN25" i="6"/>
  <c r="Z25" i="6" s="1"/>
  <c r="AN176" i="2"/>
  <c r="Z176" i="2" s="1"/>
  <c r="AN315" i="5"/>
  <c r="AN147" i="5"/>
  <c r="AL75" i="7"/>
  <c r="X75" i="7" s="1"/>
  <c r="AN27" i="6"/>
  <c r="Z27" i="6" s="1"/>
  <c r="AN300" i="5"/>
  <c r="Z300" i="5" s="1"/>
  <c r="AN277" i="2"/>
  <c r="AL66" i="7"/>
  <c r="AN35" i="5"/>
  <c r="AN301" i="2"/>
  <c r="Z301" i="2" s="1"/>
  <c r="AL80" i="7"/>
  <c r="X80" i="7" s="1"/>
  <c r="AN34" i="6"/>
  <c r="Z34" i="6" s="1"/>
  <c r="AN26" i="6"/>
  <c r="Z26" i="6" s="1"/>
  <c r="AN308" i="5"/>
  <c r="AN299" i="5"/>
  <c r="Z299" i="5" s="1"/>
  <c r="AN283" i="2"/>
  <c r="AN158" i="2"/>
  <c r="AN154" i="5"/>
  <c r="AN146" i="5"/>
  <c r="AN28" i="5"/>
  <c r="AN300" i="2"/>
  <c r="Z300" i="2" s="1"/>
  <c r="AN170" i="2"/>
  <c r="Z170" i="2" s="1"/>
  <c r="AN292" i="5"/>
  <c r="AN282" i="2"/>
  <c r="AN172" i="2"/>
  <c r="Z172" i="2" s="1"/>
  <c r="AN167" i="5"/>
  <c r="AN19" i="2"/>
  <c r="AN163" i="5"/>
  <c r="AN23" i="2"/>
  <c r="AN56" i="6"/>
  <c r="AN164" i="5"/>
  <c r="AN50" i="6"/>
  <c r="AN158" i="5"/>
  <c r="AN13" i="2"/>
  <c r="AN14" i="2"/>
  <c r="AN491" i="6"/>
  <c r="AN491" i="2"/>
  <c r="AN383" i="2"/>
  <c r="Z383" i="2" s="1"/>
  <c r="AN379" i="6"/>
  <c r="Z379" i="6" s="1"/>
  <c r="AN378" i="6"/>
  <c r="Z378" i="6" s="1"/>
  <c r="AN265" i="6"/>
  <c r="AN266" i="6"/>
  <c r="AN270" i="6"/>
  <c r="AN271" i="6"/>
  <c r="AL73" i="7"/>
  <c r="X73" i="7" s="1"/>
  <c r="AN151" i="5"/>
  <c r="AN164" i="2"/>
  <c r="AN311" i="5"/>
  <c r="AL67" i="7"/>
  <c r="AN307" i="5"/>
  <c r="AN29" i="5"/>
  <c r="AN313" i="5"/>
  <c r="AN295" i="5"/>
  <c r="AN166" i="2"/>
  <c r="AL64" i="7"/>
  <c r="AN153" i="5"/>
  <c r="AN31" i="5"/>
  <c r="AN297" i="2"/>
  <c r="Z297" i="2" s="1"/>
  <c r="AL78" i="7"/>
  <c r="X78" i="7" s="1"/>
  <c r="AN32" i="6"/>
  <c r="Z32" i="6" s="1"/>
  <c r="AN314" i="5"/>
  <c r="AN305" i="5"/>
  <c r="Z305" i="5" s="1"/>
  <c r="AN297" i="5"/>
  <c r="Z297" i="5" s="1"/>
  <c r="AN279" i="2"/>
  <c r="AN152" i="5"/>
  <c r="AN34" i="5"/>
  <c r="AN26" i="5"/>
  <c r="AN298" i="2"/>
  <c r="Z298" i="2" s="1"/>
  <c r="AN169" i="2"/>
  <c r="Z169" i="2" s="1"/>
  <c r="AN290" i="5"/>
  <c r="AN280" i="2"/>
  <c r="AN171" i="2"/>
  <c r="Z171" i="2" s="1"/>
  <c r="AN159" i="5"/>
  <c r="AN49" i="6"/>
  <c r="AN53" i="6"/>
  <c r="AN165" i="5"/>
  <c r="AN52" i="6"/>
  <c r="AN160" i="5"/>
  <c r="AN363" i="5"/>
  <c r="AN365" i="5"/>
  <c r="AL57" i="7"/>
  <c r="AN362" i="5"/>
  <c r="AN123" i="6"/>
  <c r="AN126" i="6"/>
  <c r="AN350" i="5"/>
  <c r="AN367" i="5"/>
  <c r="AN474" i="5"/>
  <c r="AN358" i="5"/>
  <c r="AN345" i="5"/>
  <c r="AN343" i="5"/>
  <c r="AN359" i="5"/>
  <c r="AN340" i="5"/>
  <c r="AN361" i="5"/>
  <c r="AL151" i="7"/>
  <c r="AL141" i="7"/>
  <c r="AL145" i="7"/>
  <c r="AL146" i="7"/>
  <c r="AL148" i="7"/>
  <c r="AL69" i="7"/>
  <c r="AN124" i="6"/>
  <c r="AN467" i="6"/>
  <c r="AN473" i="5"/>
  <c r="AN475" i="5"/>
  <c r="AN467" i="5"/>
  <c r="AN471" i="6"/>
  <c r="AN468" i="5"/>
  <c r="AN474" i="6"/>
  <c r="AN472" i="5"/>
  <c r="AL299" i="7"/>
  <c r="AL295" i="7"/>
  <c r="AN471" i="5"/>
  <c r="AN472" i="6"/>
  <c r="AL297" i="7"/>
  <c r="AL296" i="7"/>
  <c r="AN372" i="5"/>
  <c r="AN369" i="5"/>
  <c r="AN352" i="5"/>
  <c r="AN375" i="5"/>
  <c r="AN354" i="5"/>
  <c r="AN348" i="5"/>
  <c r="AN338" i="5"/>
  <c r="AN341" i="5"/>
  <c r="AN357" i="5"/>
  <c r="AN360" i="5"/>
  <c r="AN339" i="5"/>
  <c r="AL143" i="7"/>
  <c r="AL139" i="7"/>
  <c r="AL149" i="7"/>
  <c r="AL142" i="7"/>
  <c r="AL56" i="7"/>
  <c r="AL147" i="7"/>
  <c r="AN121" i="6"/>
  <c r="AN125" i="6"/>
  <c r="AN131" i="6"/>
  <c r="AN130" i="6"/>
  <c r="AN122" i="6"/>
  <c r="AL72" i="7"/>
  <c r="AN349" i="5"/>
  <c r="AN347" i="5"/>
  <c r="AA352" i="2"/>
  <c r="AF353" i="5"/>
  <c r="AN353" i="5"/>
  <c r="AL71" i="7"/>
  <c r="AD245" i="7"/>
  <c r="AN368" i="5"/>
  <c r="AF371" i="5"/>
  <c r="AN371" i="5"/>
  <c r="AL241" i="7"/>
  <c r="AA370" i="6"/>
  <c r="AL300" i="7"/>
  <c r="AL298" i="7"/>
  <c r="AN470" i="5"/>
  <c r="AN344" i="5"/>
  <c r="AN337" i="5"/>
  <c r="AN364" i="5"/>
  <c r="AN342" i="5"/>
  <c r="AL70" i="7"/>
  <c r="AL140" i="7"/>
  <c r="AL150" i="7"/>
  <c r="AL144" i="7"/>
  <c r="AN129" i="6"/>
  <c r="AN127" i="6"/>
  <c r="AL55" i="7"/>
  <c r="AN128" i="6"/>
  <c r="AL58" i="7"/>
  <c r="AN475" i="6"/>
  <c r="AN470" i="6"/>
  <c r="AN469" i="6"/>
  <c r="AL301" i="7"/>
  <c r="AN473" i="6"/>
  <c r="AN469" i="5"/>
  <c r="AL303" i="7"/>
  <c r="AN468" i="6"/>
  <c r="AL302" i="7"/>
  <c r="AN374" i="5"/>
  <c r="AN373" i="5"/>
  <c r="AN355" i="5"/>
  <c r="AN370" i="5"/>
  <c r="AN351" i="5"/>
  <c r="AA354" i="2"/>
  <c r="AD247" i="7"/>
  <c r="AA372" i="2"/>
  <c r="AN494" i="6"/>
  <c r="AN488" i="5"/>
  <c r="AF495" i="5"/>
  <c r="AA370" i="2"/>
  <c r="AN493" i="2"/>
  <c r="AA375" i="6"/>
  <c r="AN492" i="5"/>
  <c r="AA374" i="6"/>
  <c r="AF493" i="5"/>
  <c r="AF493" i="2"/>
  <c r="AF491" i="2"/>
  <c r="AL245" i="7"/>
  <c r="AL237" i="7"/>
  <c r="AD241" i="7"/>
  <c r="AA351" i="2"/>
  <c r="AF368" i="5"/>
  <c r="AL247" i="7"/>
  <c r="AD237" i="7"/>
  <c r="AA355" i="6"/>
  <c r="AF491" i="6"/>
  <c r="AD71" i="7"/>
  <c r="AA353" i="2"/>
  <c r="AF349" i="5"/>
  <c r="AF495" i="6"/>
  <c r="AN490" i="5"/>
  <c r="AN487" i="2"/>
  <c r="AF491" i="5"/>
  <c r="AF488" i="5"/>
  <c r="AN490" i="6"/>
  <c r="AD317" i="7"/>
  <c r="AN493" i="6"/>
  <c r="AN495" i="5"/>
  <c r="AA373" i="2"/>
  <c r="AL244" i="7"/>
  <c r="AL238" i="7"/>
  <c r="AF354" i="5"/>
  <c r="AF367" i="5"/>
  <c r="AD240" i="7"/>
  <c r="AA375" i="2"/>
  <c r="AD248" i="7"/>
  <c r="AA348" i="2"/>
  <c r="AF355" i="5"/>
  <c r="AF370" i="5"/>
  <c r="AL246" i="7"/>
  <c r="AF351" i="5"/>
  <c r="AF352" i="5"/>
  <c r="AL242" i="7"/>
  <c r="AA350" i="6"/>
  <c r="AA367" i="6"/>
  <c r="AD239" i="7"/>
  <c r="AA371" i="6"/>
  <c r="AF374" i="5"/>
  <c r="AA367" i="2"/>
  <c r="AF373" i="5"/>
  <c r="AA355" i="2"/>
  <c r="AL248" i="7"/>
  <c r="AL240" i="7"/>
  <c r="AF494" i="6"/>
  <c r="AF492" i="5"/>
  <c r="AN491" i="5"/>
  <c r="AN493" i="5"/>
  <c r="AD246" i="7"/>
  <c r="AA348" i="6"/>
  <c r="AL249" i="7"/>
  <c r="AA352" i="6"/>
  <c r="AA351" i="6"/>
  <c r="AA373" i="6"/>
  <c r="AF348" i="5"/>
  <c r="AF350" i="5"/>
  <c r="AA369" i="2"/>
  <c r="AF490" i="5"/>
  <c r="AA369" i="6"/>
  <c r="AD249" i="7"/>
  <c r="AA350" i="2"/>
  <c r="AF347" i="5"/>
  <c r="AA349" i="2"/>
  <c r="AA371" i="2"/>
  <c r="AA374" i="2"/>
  <c r="AF487" i="2"/>
  <c r="AA368" i="2"/>
  <c r="AF369" i="5"/>
  <c r="AL243" i="7"/>
  <c r="AA354" i="6"/>
  <c r="AD238" i="7"/>
  <c r="AF493" i="6"/>
  <c r="AA372" i="6"/>
  <c r="AN494" i="2"/>
  <c r="AL239" i="7"/>
  <c r="AF492" i="2"/>
  <c r="AN492" i="2"/>
  <c r="AD316" i="7"/>
  <c r="AL316" i="7"/>
  <c r="AD242" i="7"/>
  <c r="AL317" i="7"/>
  <c r="AA368" i="6"/>
  <c r="AD243" i="7"/>
  <c r="AN495" i="6"/>
  <c r="AF494" i="2"/>
  <c r="AA353" i="6"/>
  <c r="AD244" i="7"/>
  <c r="AF372" i="5"/>
  <c r="AA347" i="6"/>
  <c r="AF375" i="5"/>
  <c r="AF490" i="6"/>
  <c r="AD300" i="7"/>
  <c r="AN472" i="2"/>
  <c r="AF472" i="2"/>
  <c r="AN467" i="2"/>
  <c r="AF467" i="2"/>
  <c r="AF470" i="5"/>
  <c r="AF344" i="5"/>
  <c r="AL226" i="7"/>
  <c r="AD226" i="7"/>
  <c r="AF337" i="5"/>
  <c r="AL321" i="7"/>
  <c r="AD321" i="7"/>
  <c r="AN488" i="6"/>
  <c r="AF488" i="6"/>
  <c r="AF342" i="5"/>
  <c r="AL231" i="7"/>
  <c r="AD231" i="7"/>
  <c r="AL235" i="7"/>
  <c r="AD235" i="7"/>
  <c r="AN384" i="5"/>
  <c r="AF384" i="5"/>
  <c r="AA255" i="5"/>
  <c r="AA263" i="5"/>
  <c r="AL164" i="7"/>
  <c r="AD164" i="7"/>
  <c r="AD70" i="7"/>
  <c r="AL153" i="7"/>
  <c r="AD153" i="7"/>
  <c r="AA253" i="5"/>
  <c r="AA257" i="5"/>
  <c r="AA262" i="5"/>
  <c r="AA258" i="2"/>
  <c r="AA241" i="6"/>
  <c r="AA247" i="5"/>
  <c r="AA244" i="6"/>
  <c r="AA250" i="6"/>
  <c r="AA250" i="2"/>
  <c r="AA248" i="6"/>
  <c r="AN383" i="5"/>
  <c r="AF383" i="5"/>
  <c r="AN271" i="2"/>
  <c r="AF271" i="2"/>
  <c r="AN468" i="2"/>
  <c r="AF468" i="2"/>
  <c r="AN470" i="2"/>
  <c r="AF470" i="2"/>
  <c r="AF474" i="5"/>
  <c r="AN475" i="2"/>
  <c r="AF475" i="2"/>
  <c r="AN487" i="5"/>
  <c r="AF487" i="5"/>
  <c r="AF358" i="5"/>
  <c r="AF345" i="5"/>
  <c r="AF343" i="5"/>
  <c r="AF359" i="5"/>
  <c r="AL315" i="7"/>
  <c r="AD315" i="7"/>
  <c r="AN489" i="6"/>
  <c r="AF489" i="6"/>
  <c r="AL323" i="7"/>
  <c r="AD323" i="7"/>
  <c r="AL322" i="7"/>
  <c r="AD322" i="7"/>
  <c r="AF340" i="5"/>
  <c r="AL230" i="7"/>
  <c r="AD230" i="7"/>
  <c r="AF361" i="5"/>
  <c r="AL232" i="7"/>
  <c r="AD232" i="7"/>
  <c r="AL227" i="7"/>
  <c r="AD227" i="7"/>
  <c r="AL319" i="7"/>
  <c r="AD319" i="7"/>
  <c r="AA259" i="2"/>
  <c r="AA255" i="2"/>
  <c r="AA262" i="2"/>
  <c r="AL165" i="7"/>
  <c r="AD165" i="7"/>
  <c r="AL155" i="7"/>
  <c r="AD155" i="7"/>
  <c r="AA259" i="5"/>
  <c r="AL159" i="7"/>
  <c r="AD159" i="7"/>
  <c r="AA254" i="5"/>
  <c r="AA261" i="6"/>
  <c r="AA261" i="5"/>
  <c r="AN385" i="5"/>
  <c r="AF385" i="5"/>
  <c r="AA259" i="6"/>
  <c r="AL263" i="7"/>
  <c r="AD263" i="7"/>
  <c r="AN381" i="5"/>
  <c r="AF381" i="5"/>
  <c r="AF381" i="2"/>
  <c r="AD151" i="7"/>
  <c r="AA248" i="5"/>
  <c r="AF385" i="2"/>
  <c r="AD141" i="7"/>
  <c r="AN380" i="5"/>
  <c r="AF380" i="5"/>
  <c r="AD145" i="7"/>
  <c r="AD146" i="7"/>
  <c r="AA245" i="2"/>
  <c r="AL253" i="7"/>
  <c r="AD253" i="7"/>
  <c r="AD148" i="7"/>
  <c r="AA248" i="2"/>
  <c r="AN377" i="5"/>
  <c r="AF377" i="5"/>
  <c r="AA249" i="5"/>
  <c r="AA251" i="6"/>
  <c r="AA245" i="6"/>
  <c r="AN272" i="2"/>
  <c r="AF272" i="2"/>
  <c r="AL174" i="7"/>
  <c r="AD174" i="7"/>
  <c r="AF268" i="6"/>
  <c r="AL177" i="7"/>
  <c r="AD177" i="7"/>
  <c r="AL170" i="7"/>
  <c r="AD170" i="7"/>
  <c r="AN269" i="5"/>
  <c r="AF269" i="5"/>
  <c r="AF269" i="6"/>
  <c r="AN267" i="5"/>
  <c r="AF267" i="5"/>
  <c r="AN267" i="2"/>
  <c r="AF267" i="2"/>
  <c r="AF267" i="6"/>
  <c r="AL176" i="7"/>
  <c r="AD176" i="7"/>
  <c r="AN143" i="2"/>
  <c r="AF143" i="2"/>
  <c r="AN133" i="6"/>
  <c r="AF133" i="6"/>
  <c r="AN137" i="2"/>
  <c r="AF137" i="2"/>
  <c r="AN141" i="5"/>
  <c r="AF141" i="5"/>
  <c r="AN139" i="5"/>
  <c r="AF139" i="5"/>
  <c r="AL95" i="7"/>
  <c r="AD95" i="7"/>
  <c r="AN142" i="6"/>
  <c r="AF142" i="6"/>
  <c r="AN142" i="5"/>
  <c r="AF142" i="5"/>
  <c r="AN478" i="2"/>
  <c r="AF478" i="2"/>
  <c r="AN480" i="2"/>
  <c r="AF480" i="2"/>
  <c r="AN484" i="5"/>
  <c r="AF484" i="5"/>
  <c r="AN485" i="2"/>
  <c r="AF485" i="2"/>
  <c r="AL320" i="7"/>
  <c r="AD320" i="7"/>
  <c r="AF363" i="5"/>
  <c r="AF365" i="5"/>
  <c r="AL228" i="7"/>
  <c r="AD228" i="7"/>
  <c r="AN495" i="2"/>
  <c r="AF495" i="2"/>
  <c r="AN492" i="6"/>
  <c r="AF492" i="6"/>
  <c r="AN487" i="6"/>
  <c r="AF487" i="6"/>
  <c r="AD57" i="7"/>
  <c r="AN490" i="2"/>
  <c r="AF490" i="2"/>
  <c r="AL234" i="7"/>
  <c r="AD234" i="7"/>
  <c r="AF362" i="5"/>
  <c r="AF384" i="2"/>
  <c r="AL158" i="7"/>
  <c r="AD158" i="7"/>
  <c r="AN379" i="5"/>
  <c r="AF379" i="5"/>
  <c r="AA253" i="2"/>
  <c r="AL154" i="7"/>
  <c r="AD154" i="7"/>
  <c r="AF378" i="2"/>
  <c r="AA257" i="2"/>
  <c r="AA263" i="2"/>
  <c r="AL156" i="7"/>
  <c r="AD156" i="7"/>
  <c r="AA258" i="5"/>
  <c r="AA256" i="5"/>
  <c r="AF468" i="6"/>
  <c r="AN473" i="2"/>
  <c r="AF473" i="2"/>
  <c r="AN469" i="2"/>
  <c r="AF469" i="2"/>
  <c r="AD302" i="7"/>
  <c r="AD298" i="7"/>
  <c r="AL225" i="7"/>
  <c r="AD225" i="7"/>
  <c r="AN488" i="2"/>
  <c r="AF488" i="2"/>
  <c r="AF364" i="5"/>
  <c r="AN382" i="5"/>
  <c r="AF382" i="5"/>
  <c r="AA262" i="6"/>
  <c r="AF383" i="2"/>
  <c r="AA253" i="6"/>
  <c r="AA260" i="5"/>
  <c r="AL254" i="7"/>
  <c r="AD254" i="7"/>
  <c r="AL251" i="7"/>
  <c r="AD251" i="7"/>
  <c r="AD140" i="7"/>
  <c r="AA244" i="2"/>
  <c r="AL258" i="7"/>
  <c r="AD258" i="7"/>
  <c r="AA250" i="5"/>
  <c r="AN265" i="2"/>
  <c r="AF265" i="2"/>
  <c r="AA251" i="5"/>
  <c r="AD150" i="7"/>
  <c r="AD144" i="7"/>
  <c r="AN272" i="5"/>
  <c r="AF272" i="5"/>
  <c r="AF265" i="6"/>
  <c r="AF266" i="6"/>
  <c r="AN274" i="2"/>
  <c r="AF274" i="2"/>
  <c r="AN265" i="5"/>
  <c r="AF265" i="5"/>
  <c r="AN268" i="2"/>
  <c r="AF268" i="2"/>
  <c r="AL179" i="7"/>
  <c r="AD179" i="7"/>
  <c r="AN275" i="5"/>
  <c r="AF275" i="5"/>
  <c r="AF270" i="6"/>
  <c r="AF271" i="6"/>
  <c r="AN137" i="6"/>
  <c r="AF137" i="6"/>
  <c r="AN134" i="6"/>
  <c r="AF134" i="6"/>
  <c r="AL93" i="7"/>
  <c r="AD93" i="7"/>
  <c r="AL84" i="7"/>
  <c r="AD84" i="7"/>
  <c r="AL94" i="7"/>
  <c r="AD94" i="7"/>
  <c r="AL90" i="7"/>
  <c r="AD90" i="7"/>
  <c r="AN136" i="2"/>
  <c r="AF136" i="2"/>
  <c r="AN143" i="6"/>
  <c r="AF143" i="6"/>
  <c r="AN136" i="6"/>
  <c r="AF136" i="6"/>
  <c r="AL87" i="7"/>
  <c r="AD87" i="7"/>
  <c r="AN135" i="5"/>
  <c r="AF135" i="5"/>
  <c r="AD73" i="7"/>
  <c r="AF151" i="5"/>
  <c r="AF129" i="6"/>
  <c r="AF164" i="2"/>
  <c r="AF311" i="5"/>
  <c r="AL13" i="7"/>
  <c r="AD13" i="7"/>
  <c r="AD67" i="7"/>
  <c r="AF307" i="5"/>
  <c r="AN409" i="2"/>
  <c r="Z409" i="2" s="1"/>
  <c r="AF409" i="2"/>
  <c r="AF127" i="6"/>
  <c r="AF29" i="5"/>
  <c r="AL185" i="7"/>
  <c r="AD185" i="7"/>
  <c r="AN391" i="2"/>
  <c r="AF391" i="2"/>
  <c r="AD55" i="7"/>
  <c r="AF313" i="5"/>
  <c r="AF295" i="5"/>
  <c r="AF166" i="2"/>
  <c r="AN497" i="6"/>
  <c r="AF497" i="6"/>
  <c r="AN397" i="2"/>
  <c r="AF397" i="2"/>
  <c r="AD64" i="7"/>
  <c r="AF128" i="6"/>
  <c r="AF153" i="5"/>
  <c r="AF31" i="5"/>
  <c r="AL189" i="7"/>
  <c r="AD189" i="7"/>
  <c r="AN431" i="6"/>
  <c r="Z431" i="6" s="1"/>
  <c r="AF431" i="6"/>
  <c r="AN418" i="2"/>
  <c r="AF418" i="2"/>
  <c r="AA116" i="6"/>
  <c r="AD78" i="7"/>
  <c r="AF32" i="6"/>
  <c r="AF314" i="5"/>
  <c r="AF305" i="5"/>
  <c r="AF297" i="5"/>
  <c r="AF279" i="2"/>
  <c r="AL107" i="7"/>
  <c r="AD107" i="7"/>
  <c r="AN282" i="5"/>
  <c r="AF282" i="5"/>
  <c r="AN405" i="2"/>
  <c r="AF405" i="2"/>
  <c r="AF152" i="5"/>
  <c r="AF34" i="5"/>
  <c r="AF26" i="5"/>
  <c r="AF169" i="2"/>
  <c r="AL268" i="7"/>
  <c r="AD268" i="7"/>
  <c r="AN500" i="6"/>
  <c r="AF500" i="6"/>
  <c r="AN500" i="5"/>
  <c r="AF500" i="5"/>
  <c r="AN437" i="2"/>
  <c r="Z437" i="2" s="1"/>
  <c r="AF437" i="2"/>
  <c r="AN401" i="2"/>
  <c r="AF401" i="2"/>
  <c r="AF290" i="5"/>
  <c r="AF280" i="2"/>
  <c r="AF171" i="2"/>
  <c r="AL325" i="7"/>
  <c r="AD325" i="7"/>
  <c r="AL97" i="7"/>
  <c r="AD97" i="7"/>
  <c r="AN440" i="6"/>
  <c r="Z440" i="6" s="1"/>
  <c r="AF440" i="6"/>
  <c r="AN281" i="5"/>
  <c r="AF281" i="5"/>
  <c r="AN431" i="2"/>
  <c r="Z431" i="2" s="1"/>
  <c r="AF431" i="2"/>
  <c r="AN395" i="2"/>
  <c r="AF395" i="2"/>
  <c r="AL267" i="7"/>
  <c r="AD267" i="7"/>
  <c r="AL188" i="7"/>
  <c r="AD188" i="7"/>
  <c r="AL24" i="7"/>
  <c r="AD24" i="7"/>
  <c r="AL16" i="7"/>
  <c r="AD16" i="7"/>
  <c r="AN427" i="6"/>
  <c r="Z427" i="6" s="1"/>
  <c r="AF427" i="6"/>
  <c r="AN391" i="6"/>
  <c r="AF391" i="6"/>
  <c r="AN23" i="5"/>
  <c r="AF23" i="5"/>
  <c r="AN438" i="2"/>
  <c r="Z438" i="2" s="1"/>
  <c r="AF438" i="2"/>
  <c r="AN420" i="2"/>
  <c r="AF420" i="2"/>
  <c r="AN402" i="2"/>
  <c r="AF402" i="2"/>
  <c r="AL106" i="7"/>
  <c r="AD106" i="7"/>
  <c r="AL98" i="7"/>
  <c r="AD98" i="7"/>
  <c r="AN442" i="6"/>
  <c r="Z442" i="6" s="1"/>
  <c r="AF442" i="6"/>
  <c r="AN407" i="6"/>
  <c r="AF407" i="6"/>
  <c r="AN497" i="5"/>
  <c r="AF497" i="5"/>
  <c r="AN16" i="5"/>
  <c r="AF16" i="5"/>
  <c r="AN430" i="2"/>
  <c r="Z430" i="2" s="1"/>
  <c r="AF430" i="2"/>
  <c r="AN412" i="2"/>
  <c r="Z412" i="2" s="1"/>
  <c r="AF412" i="2"/>
  <c r="AF471" i="5"/>
  <c r="AF472" i="6"/>
  <c r="AD297" i="7"/>
  <c r="AN471" i="2"/>
  <c r="AF471" i="2"/>
  <c r="AD296" i="7"/>
  <c r="AL310" i="7"/>
  <c r="AD310" i="7"/>
  <c r="AN482" i="2"/>
  <c r="AF482" i="2"/>
  <c r="AL308" i="7"/>
  <c r="AD308" i="7"/>
  <c r="AN477" i="2"/>
  <c r="AF477" i="2"/>
  <c r="AN480" i="5"/>
  <c r="AF480" i="5"/>
  <c r="AL223" i="7"/>
  <c r="AD223" i="7"/>
  <c r="AN489" i="2"/>
  <c r="AF489" i="2"/>
  <c r="AF338" i="5"/>
  <c r="AF341" i="5"/>
  <c r="AF357" i="5"/>
  <c r="AN489" i="5"/>
  <c r="AF489" i="5"/>
  <c r="AL318" i="7"/>
  <c r="AD318" i="7"/>
  <c r="AF377" i="2"/>
  <c r="AL233" i="7"/>
  <c r="AD233" i="7"/>
  <c r="AF360" i="5"/>
  <c r="AL224" i="7"/>
  <c r="AD224" i="7"/>
  <c r="AL229" i="7"/>
  <c r="AD229" i="7"/>
  <c r="AF339" i="5"/>
  <c r="AL160" i="7"/>
  <c r="AD160" i="7"/>
  <c r="AA255" i="6"/>
  <c r="AL252" i="7"/>
  <c r="AD252" i="7"/>
  <c r="AA256" i="2"/>
  <c r="AL161" i="7"/>
  <c r="AD161" i="7"/>
  <c r="AA256" i="6"/>
  <c r="AA260" i="6"/>
  <c r="AA258" i="6"/>
  <c r="AF380" i="2"/>
  <c r="AA254" i="2"/>
  <c r="AL163" i="7"/>
  <c r="AD163" i="7"/>
  <c r="AA254" i="6"/>
  <c r="AL157" i="7"/>
  <c r="AD157" i="7"/>
  <c r="AA260" i="2"/>
  <c r="AL255" i="7"/>
  <c r="AD255" i="7"/>
  <c r="AL260" i="7"/>
  <c r="AD260" i="7"/>
  <c r="AD143" i="7"/>
  <c r="AD139" i="7"/>
  <c r="AA243" i="6"/>
  <c r="AA247" i="2"/>
  <c r="AF382" i="2"/>
  <c r="AA242" i="2"/>
  <c r="AA243" i="2"/>
  <c r="AA249" i="6"/>
  <c r="AN378" i="5"/>
  <c r="AF378" i="5"/>
  <c r="AL262" i="7"/>
  <c r="AD262" i="7"/>
  <c r="AA244" i="5"/>
  <c r="AD149" i="7"/>
  <c r="AD142" i="7"/>
  <c r="AD56" i="7"/>
  <c r="AD147" i="7"/>
  <c r="AF272" i="6"/>
  <c r="AL172" i="7"/>
  <c r="AD172" i="7"/>
  <c r="AN266" i="5"/>
  <c r="AF266" i="5"/>
  <c r="AN270" i="5"/>
  <c r="AF270" i="5"/>
  <c r="AL173" i="7"/>
  <c r="AD173" i="7"/>
  <c r="AL178" i="7"/>
  <c r="AD178" i="7"/>
  <c r="AN271" i="5"/>
  <c r="AF271" i="5"/>
  <c r="AN270" i="2"/>
  <c r="AF270" i="2"/>
  <c r="AN274" i="5"/>
  <c r="AF274" i="5"/>
  <c r="AF273" i="6"/>
  <c r="AN273" i="2"/>
  <c r="AF273" i="2"/>
  <c r="AN134" i="5"/>
  <c r="AF134" i="5"/>
  <c r="AL92" i="7"/>
  <c r="AD92" i="7"/>
  <c r="AN138" i="5"/>
  <c r="AF138" i="5"/>
  <c r="AN138" i="2"/>
  <c r="AF138" i="2"/>
  <c r="AN136" i="5"/>
  <c r="AF136" i="5"/>
  <c r="AN133" i="2"/>
  <c r="AF133" i="2"/>
  <c r="AL88" i="7"/>
  <c r="AD88" i="7"/>
  <c r="AN139" i="2"/>
  <c r="AF139" i="2"/>
  <c r="AN141" i="6"/>
  <c r="AF141" i="6"/>
  <c r="AN142" i="2"/>
  <c r="AF142" i="2"/>
  <c r="AL83" i="7"/>
  <c r="AD83" i="7"/>
  <c r="AF33" i="5"/>
  <c r="AD77" i="7"/>
  <c r="AF121" i="6"/>
  <c r="AF125" i="6"/>
  <c r="AF25" i="6"/>
  <c r="AF176" i="2"/>
  <c r="AN444" i="2"/>
  <c r="Z444" i="2" s="1"/>
  <c r="AF444" i="2"/>
  <c r="AF315" i="5"/>
  <c r="AN413" i="6"/>
  <c r="AF413" i="6"/>
  <c r="AF131" i="6"/>
  <c r="AF147" i="5"/>
  <c r="AL270" i="7"/>
  <c r="AD270" i="7"/>
  <c r="AN427" i="2"/>
  <c r="Z427" i="2" s="1"/>
  <c r="AF427" i="2"/>
  <c r="AD75" i="7"/>
  <c r="AF27" i="6"/>
  <c r="AF300" i="5"/>
  <c r="AL103" i="7"/>
  <c r="AD103" i="7"/>
  <c r="AN432" i="2"/>
  <c r="Z432" i="2" s="1"/>
  <c r="AF432" i="2"/>
  <c r="AD66" i="7"/>
  <c r="AF130" i="6"/>
  <c r="AF122" i="6"/>
  <c r="AF35" i="5"/>
  <c r="AL266" i="7"/>
  <c r="AD266" i="7"/>
  <c r="AL17" i="7"/>
  <c r="AD17" i="7"/>
  <c r="AN435" i="2"/>
  <c r="Z435" i="2" s="1"/>
  <c r="AF435" i="2"/>
  <c r="AD80" i="7"/>
  <c r="AF34" i="6"/>
  <c r="AF26" i="6"/>
  <c r="AF308" i="5"/>
  <c r="AF299" i="5"/>
  <c r="AF283" i="2"/>
  <c r="AF158" i="2"/>
  <c r="AN411" i="6"/>
  <c r="AF411" i="6"/>
  <c r="AN423" i="2"/>
  <c r="AF423" i="2"/>
  <c r="AF154" i="5"/>
  <c r="AF146" i="5"/>
  <c r="AF28" i="5"/>
  <c r="AF170" i="2"/>
  <c r="AL272" i="7"/>
  <c r="AD272" i="7"/>
  <c r="AL183" i="7"/>
  <c r="AD183" i="7"/>
  <c r="AN402" i="6"/>
  <c r="Z402" i="6" s="1"/>
  <c r="AF402" i="6"/>
  <c r="AN445" i="2"/>
  <c r="Z445" i="2" s="1"/>
  <c r="AF445" i="2"/>
  <c r="AN410" i="2"/>
  <c r="Z410" i="2" s="1"/>
  <c r="AF410" i="2"/>
  <c r="AA293" i="6"/>
  <c r="AF292" i="5"/>
  <c r="AF282" i="2"/>
  <c r="AF172" i="2"/>
  <c r="AL330" i="7"/>
  <c r="AD330" i="7"/>
  <c r="AL101" i="7"/>
  <c r="AD101" i="7"/>
  <c r="AL15" i="7"/>
  <c r="AD15" i="7"/>
  <c r="AN387" i="6"/>
  <c r="AF387" i="6"/>
  <c r="AN440" i="2"/>
  <c r="Z440" i="2" s="1"/>
  <c r="AF440" i="2"/>
  <c r="AN404" i="2"/>
  <c r="AF404" i="2"/>
  <c r="AA114" i="6"/>
  <c r="AL269" i="7"/>
  <c r="AD269" i="7"/>
  <c r="AL190" i="7"/>
  <c r="AD190" i="7"/>
  <c r="AL182" i="7"/>
  <c r="AD182" i="7"/>
  <c r="AL18" i="7"/>
  <c r="AD18" i="7"/>
  <c r="AN435" i="6"/>
  <c r="Z435" i="6" s="1"/>
  <c r="AF435" i="6"/>
  <c r="AN400" i="6"/>
  <c r="Z400" i="6" s="1"/>
  <c r="AF400" i="6"/>
  <c r="AN279" i="5"/>
  <c r="AF279" i="5"/>
  <c r="AN442" i="2"/>
  <c r="Z442" i="2" s="1"/>
  <c r="AF442" i="2"/>
  <c r="AN424" i="2"/>
  <c r="AF424" i="2"/>
  <c r="AN407" i="2"/>
  <c r="Z407" i="2" s="1"/>
  <c r="AF407" i="2"/>
  <c r="AN389" i="2"/>
  <c r="AF389" i="2"/>
  <c r="AA117" i="5"/>
  <c r="AL108" i="7"/>
  <c r="AD108" i="7"/>
  <c r="AL100" i="7"/>
  <c r="AD100" i="7"/>
  <c r="AN498" i="6"/>
  <c r="AF498" i="6"/>
  <c r="AN415" i="6"/>
  <c r="AF415" i="6"/>
  <c r="AN502" i="5"/>
  <c r="AF502" i="5"/>
  <c r="AN20" i="5"/>
  <c r="AF20" i="5"/>
  <c r="AN434" i="2"/>
  <c r="Z434" i="2" s="1"/>
  <c r="AF434" i="2"/>
  <c r="AN417" i="2"/>
  <c r="AF417" i="2"/>
  <c r="AN399" i="2"/>
  <c r="AF399" i="2"/>
  <c r="AA190" i="6"/>
  <c r="AN445" i="6"/>
  <c r="Z445" i="6" s="1"/>
  <c r="AF445" i="6"/>
  <c r="AN437" i="6"/>
  <c r="Z437" i="6" s="1"/>
  <c r="AF437" i="6"/>
  <c r="AN428" i="6"/>
  <c r="Z428" i="6" s="1"/>
  <c r="AF428" i="6"/>
  <c r="AN419" i="6"/>
  <c r="AF419" i="6"/>
  <c r="AN410" i="6"/>
  <c r="AF410" i="6"/>
  <c r="AN401" i="6"/>
  <c r="Z401" i="6" s="1"/>
  <c r="AF401" i="6"/>
  <c r="AN392" i="6"/>
  <c r="AF392" i="6"/>
  <c r="AN44" i="6"/>
  <c r="AF44" i="6"/>
  <c r="AN23" i="6"/>
  <c r="AF23" i="6"/>
  <c r="AN15" i="6"/>
  <c r="AF15" i="6"/>
  <c r="AN440" i="5"/>
  <c r="Z440" i="5" s="1"/>
  <c r="AF440" i="5"/>
  <c r="AN431" i="5"/>
  <c r="Z431" i="5" s="1"/>
  <c r="AF431" i="5"/>
  <c r="AN422" i="5"/>
  <c r="AF422" i="5"/>
  <c r="AN413" i="5"/>
  <c r="Z413" i="5" s="1"/>
  <c r="AF413" i="5"/>
  <c r="AN404" i="5"/>
  <c r="AF404" i="5"/>
  <c r="AN395" i="5"/>
  <c r="AF395" i="5"/>
  <c r="AN387" i="5"/>
  <c r="AF387" i="5"/>
  <c r="AN155" i="2"/>
  <c r="AF155" i="2"/>
  <c r="AN147" i="2"/>
  <c r="AF147" i="2"/>
  <c r="AA119" i="5"/>
  <c r="AA49" i="2"/>
  <c r="AN41" i="6"/>
  <c r="AF41" i="6"/>
  <c r="AN20" i="6"/>
  <c r="AF20" i="6"/>
  <c r="AN445" i="5"/>
  <c r="Z445" i="5" s="1"/>
  <c r="AF445" i="5"/>
  <c r="AN437" i="5"/>
  <c r="Z437" i="5" s="1"/>
  <c r="AF437" i="5"/>
  <c r="AN428" i="5"/>
  <c r="Z428" i="5" s="1"/>
  <c r="AF428" i="5"/>
  <c r="AN419" i="5"/>
  <c r="AF419" i="5"/>
  <c r="AN410" i="5"/>
  <c r="Z410" i="5" s="1"/>
  <c r="AF410" i="5"/>
  <c r="AN401" i="5"/>
  <c r="AF401" i="5"/>
  <c r="AN392" i="5"/>
  <c r="AF392" i="5"/>
  <c r="AN498" i="2"/>
  <c r="AF498" i="2"/>
  <c r="AN148" i="2"/>
  <c r="AF148" i="2"/>
  <c r="AA170" i="5"/>
  <c r="AF19" i="2"/>
  <c r="AA289" i="6"/>
  <c r="AA110" i="6"/>
  <c r="AA174" i="5"/>
  <c r="AA115" i="5"/>
  <c r="AA31" i="2"/>
  <c r="AF23" i="2"/>
  <c r="AA181" i="6"/>
  <c r="AA44" i="2"/>
  <c r="AA292" i="6"/>
  <c r="AA191" i="6"/>
  <c r="AA115" i="6"/>
  <c r="AA175" i="5"/>
  <c r="AA116" i="5"/>
  <c r="AA119" i="2"/>
  <c r="AF13" i="2"/>
  <c r="AA122" i="2"/>
  <c r="AA38" i="2"/>
  <c r="AF14" i="2"/>
  <c r="AA109" i="2"/>
  <c r="AA33" i="2"/>
  <c r="AA123" i="2"/>
  <c r="AA56" i="2"/>
  <c r="AA39" i="2"/>
  <c r="AA125" i="2"/>
  <c r="AA58" i="2"/>
  <c r="AA41" i="2"/>
  <c r="AF467" i="6"/>
  <c r="AF473" i="5"/>
  <c r="AF475" i="5"/>
  <c r="AF467" i="5"/>
  <c r="AF471" i="6"/>
  <c r="X90" i="6"/>
  <c r="X95" i="5"/>
  <c r="X87" i="5"/>
  <c r="X92" i="2"/>
  <c r="X85" i="5"/>
  <c r="X89" i="2"/>
  <c r="X94" i="2"/>
  <c r="X91" i="5"/>
  <c r="X90" i="2"/>
  <c r="X94" i="5"/>
  <c r="X88" i="2"/>
  <c r="X91" i="6"/>
  <c r="X92" i="6"/>
  <c r="X95" i="6"/>
  <c r="X89" i="6"/>
  <c r="X86" i="5"/>
  <c r="X93" i="2"/>
  <c r="X93" i="5"/>
  <c r="X86" i="6"/>
  <c r="X88" i="5"/>
  <c r="X95" i="2"/>
  <c r="X85" i="6"/>
  <c r="X87" i="2"/>
  <c r="X93" i="6"/>
  <c r="X90" i="5"/>
  <c r="X88" i="6"/>
  <c r="X86" i="2"/>
  <c r="X87" i="6"/>
  <c r="X91" i="2"/>
  <c r="X94" i="6"/>
  <c r="X92" i="5"/>
  <c r="X85" i="2"/>
  <c r="X89" i="5"/>
  <c r="AD301" i="7"/>
  <c r="AF473" i="6"/>
  <c r="AF469" i="5"/>
  <c r="AD303" i="7"/>
  <c r="AP349" i="6"/>
  <c r="AA261" i="2"/>
  <c r="AA263" i="6"/>
  <c r="AL162" i="7"/>
  <c r="AD162" i="7"/>
  <c r="AA257" i="6"/>
  <c r="AA243" i="5"/>
  <c r="AA246" i="6"/>
  <c r="AA241" i="2"/>
  <c r="AF379" i="2"/>
  <c r="AA242" i="5"/>
  <c r="AL257" i="7"/>
  <c r="AD257" i="7"/>
  <c r="AA249" i="2"/>
  <c r="AA245" i="5"/>
  <c r="AA242" i="6"/>
  <c r="AL256" i="7"/>
  <c r="AD256" i="7"/>
  <c r="AA246" i="2"/>
  <c r="AL259" i="7"/>
  <c r="AD259" i="7"/>
  <c r="AA241" i="5"/>
  <c r="AL261" i="7"/>
  <c r="AD261" i="7"/>
  <c r="AA251" i="2"/>
  <c r="AA247" i="6"/>
  <c r="AA246" i="5"/>
  <c r="AN273" i="5"/>
  <c r="AF273" i="5"/>
  <c r="AL168" i="7"/>
  <c r="AD168" i="7"/>
  <c r="AL169" i="7"/>
  <c r="AD169" i="7"/>
  <c r="AF274" i="6"/>
  <c r="AN275" i="2"/>
  <c r="AF275" i="2"/>
  <c r="AL175" i="7"/>
  <c r="AD175" i="7"/>
  <c r="AN268" i="5"/>
  <c r="AF268" i="5"/>
  <c r="AL167" i="7"/>
  <c r="AD167" i="7"/>
  <c r="AN269" i="2"/>
  <c r="AF269" i="2"/>
  <c r="AL171" i="7"/>
  <c r="AD171" i="7"/>
  <c r="AF275" i="6"/>
  <c r="AN266" i="2"/>
  <c r="AF266" i="2"/>
  <c r="AN141" i="2"/>
  <c r="AF141" i="2"/>
  <c r="AN135" i="6"/>
  <c r="AF135" i="6"/>
  <c r="AN135" i="2"/>
  <c r="AF135" i="2"/>
  <c r="AN133" i="5"/>
  <c r="AF133" i="5"/>
  <c r="AN140" i="5"/>
  <c r="AF140" i="5"/>
  <c r="AN139" i="6"/>
  <c r="AF139" i="6"/>
  <c r="AN134" i="2"/>
  <c r="AF134" i="2"/>
  <c r="AL85" i="7"/>
  <c r="AD85" i="7"/>
  <c r="AL89" i="7"/>
  <c r="AD89" i="7"/>
  <c r="AN137" i="5"/>
  <c r="AF137" i="5"/>
  <c r="AN143" i="5"/>
  <c r="AF143" i="5"/>
  <c r="AF157" i="2"/>
  <c r="AL193" i="7"/>
  <c r="AD193" i="7"/>
  <c r="AF25" i="5"/>
  <c r="AD63" i="7"/>
  <c r="AF302" i="5"/>
  <c r="AN498" i="5"/>
  <c r="AF498" i="5"/>
  <c r="AD59" i="7"/>
  <c r="AF298" i="5"/>
  <c r="AD65" i="7"/>
  <c r="AF123" i="6"/>
  <c r="AL21" i="7"/>
  <c r="AD21" i="7"/>
  <c r="AF35" i="6"/>
  <c r="AF309" i="5"/>
  <c r="AF293" i="5"/>
  <c r="AF159" i="2"/>
  <c r="AN429" i="6"/>
  <c r="Z429" i="6" s="1"/>
  <c r="AF429" i="6"/>
  <c r="AD62" i="7"/>
  <c r="AF126" i="6"/>
  <c r="AF149" i="5"/>
  <c r="AF27" i="5"/>
  <c r="AF173" i="2"/>
  <c r="AL181" i="7"/>
  <c r="AD181" i="7"/>
  <c r="AN395" i="6"/>
  <c r="AF395" i="6"/>
  <c r="AN400" i="2"/>
  <c r="AF400" i="2"/>
  <c r="AD76" i="7"/>
  <c r="AF30" i="6"/>
  <c r="AF312" i="5"/>
  <c r="AF303" i="5"/>
  <c r="AF291" i="5"/>
  <c r="AF175" i="2"/>
  <c r="AL99" i="7"/>
  <c r="AD99" i="7"/>
  <c r="AN14" i="5"/>
  <c r="AF14" i="5"/>
  <c r="AN388" i="2"/>
  <c r="AF388" i="2"/>
  <c r="AF150" i="5"/>
  <c r="AF32" i="5"/>
  <c r="AF178" i="2"/>
  <c r="AF161" i="2"/>
  <c r="AL191" i="7"/>
  <c r="AD191" i="7"/>
  <c r="AN438" i="6"/>
  <c r="Z438" i="6" s="1"/>
  <c r="AF438" i="6"/>
  <c r="AN278" i="5"/>
  <c r="AF278" i="5"/>
  <c r="AN428" i="2"/>
  <c r="Z428" i="2" s="1"/>
  <c r="AF428" i="2"/>
  <c r="AN392" i="2"/>
  <c r="AF392" i="2"/>
  <c r="AF288" i="5"/>
  <c r="AF278" i="2"/>
  <c r="AF163" i="2"/>
  <c r="AL109" i="7"/>
  <c r="AD109" i="7"/>
  <c r="AL23" i="7"/>
  <c r="AD23" i="7"/>
  <c r="AN422" i="6"/>
  <c r="AF422" i="6"/>
  <c r="AN21" i="5"/>
  <c r="AF21" i="5"/>
  <c r="AN422" i="2"/>
  <c r="AF422" i="2"/>
  <c r="AN387" i="2"/>
  <c r="AF387" i="2"/>
  <c r="AL273" i="7"/>
  <c r="AD273" i="7"/>
  <c r="AL265" i="7"/>
  <c r="AD265" i="7"/>
  <c r="AL186" i="7"/>
  <c r="AD186" i="7"/>
  <c r="AL22" i="7"/>
  <c r="AD22" i="7"/>
  <c r="AL14" i="7"/>
  <c r="AD14" i="7"/>
  <c r="AN418" i="6"/>
  <c r="AF418" i="6"/>
  <c r="AN501" i="5"/>
  <c r="AF501" i="5"/>
  <c r="AN19" i="5"/>
  <c r="AF19" i="5"/>
  <c r="AN433" i="2"/>
  <c r="Z433" i="2" s="1"/>
  <c r="AF433" i="2"/>
  <c r="AN415" i="2"/>
  <c r="Z415" i="2" s="1"/>
  <c r="AF415" i="2"/>
  <c r="AN398" i="2"/>
  <c r="AF398" i="2"/>
  <c r="AA295" i="6"/>
  <c r="AL329" i="7"/>
  <c r="AD329" i="7"/>
  <c r="AL104" i="7"/>
  <c r="AD104" i="7"/>
  <c r="AL91" i="7"/>
  <c r="AD91" i="7"/>
  <c r="AN433" i="6"/>
  <c r="Z433" i="6" s="1"/>
  <c r="AF433" i="6"/>
  <c r="AN398" i="6"/>
  <c r="Z398" i="6" s="1"/>
  <c r="AF398" i="6"/>
  <c r="AN284" i="5"/>
  <c r="AF284" i="5"/>
  <c r="AN443" i="2"/>
  <c r="Z443" i="2" s="1"/>
  <c r="AF443" i="2"/>
  <c r="AN425" i="2"/>
  <c r="AF425" i="2"/>
  <c r="AN408" i="2"/>
  <c r="Z408" i="2" s="1"/>
  <c r="AF408" i="2"/>
  <c r="AN390" i="2"/>
  <c r="AF390" i="2"/>
  <c r="AA112" i="6"/>
  <c r="AN441" i="6"/>
  <c r="Z441" i="6" s="1"/>
  <c r="AF441" i="6"/>
  <c r="AN432" i="6"/>
  <c r="Z432" i="6" s="1"/>
  <c r="AF432" i="6"/>
  <c r="AN423" i="6"/>
  <c r="AF423" i="6"/>
  <c r="AN414" i="6"/>
  <c r="AF414" i="6"/>
  <c r="AN405" i="6"/>
  <c r="Z405" i="6" s="1"/>
  <c r="AF405" i="6"/>
  <c r="AN397" i="6"/>
  <c r="Z397" i="6" s="1"/>
  <c r="AF397" i="6"/>
  <c r="AN388" i="6"/>
  <c r="AF388" i="6"/>
  <c r="AN40" i="6"/>
  <c r="AF40" i="6"/>
  <c r="AN19" i="6"/>
  <c r="AF19" i="6"/>
  <c r="AN444" i="5"/>
  <c r="Z444" i="5" s="1"/>
  <c r="AF444" i="5"/>
  <c r="AN435" i="5"/>
  <c r="Z435" i="5" s="1"/>
  <c r="AF435" i="5"/>
  <c r="AN427" i="5"/>
  <c r="Z427" i="5" s="1"/>
  <c r="AF427" i="5"/>
  <c r="AN418" i="5"/>
  <c r="AF418" i="5"/>
  <c r="AN409" i="5"/>
  <c r="Z409" i="5" s="1"/>
  <c r="AF409" i="5"/>
  <c r="AN400" i="5"/>
  <c r="AF400" i="5"/>
  <c r="AN391" i="5"/>
  <c r="AF391" i="5"/>
  <c r="AN500" i="2"/>
  <c r="AF500" i="2"/>
  <c r="AN151" i="2"/>
  <c r="AF151" i="2"/>
  <c r="AA178" i="5"/>
  <c r="AN45" i="6"/>
  <c r="AF45" i="6"/>
  <c r="AN37" i="6"/>
  <c r="AF37" i="6"/>
  <c r="AN16" i="6"/>
  <c r="AF16" i="6"/>
  <c r="AN441" i="5"/>
  <c r="Z441" i="5" s="1"/>
  <c r="AF441" i="5"/>
  <c r="AN432" i="5"/>
  <c r="Z432" i="5" s="1"/>
  <c r="AF432" i="5"/>
  <c r="AN423" i="5"/>
  <c r="AF423" i="5"/>
  <c r="AN414" i="5"/>
  <c r="Z414" i="5" s="1"/>
  <c r="AF414" i="5"/>
  <c r="AN405" i="5"/>
  <c r="AF405" i="5"/>
  <c r="AN397" i="5"/>
  <c r="AF397" i="5"/>
  <c r="AN388" i="5"/>
  <c r="AF388" i="5"/>
  <c r="AN152" i="2"/>
  <c r="AF152" i="2"/>
  <c r="AA111" i="5"/>
  <c r="AA186" i="6"/>
  <c r="AA124" i="2"/>
  <c r="AA290" i="6"/>
  <c r="AA189" i="6"/>
  <c r="AA113" i="6"/>
  <c r="AA173" i="5"/>
  <c r="AA114" i="5"/>
  <c r="AA128" i="2"/>
  <c r="AF17" i="2"/>
  <c r="AA183" i="6"/>
  <c r="AA35" i="2"/>
  <c r="AA55" i="2"/>
  <c r="AF22" i="2"/>
  <c r="AA126" i="2"/>
  <c r="AA51" i="2"/>
  <c r="AF20" i="2"/>
  <c r="AA131" i="2"/>
  <c r="AA114" i="2"/>
  <c r="AA47" i="2"/>
  <c r="AA30" i="2"/>
  <c r="AA116" i="2"/>
  <c r="AA50" i="2"/>
  <c r="AA32" i="2"/>
  <c r="AD58" i="7"/>
  <c r="AF475" i="6"/>
  <c r="AF470" i="6"/>
  <c r="AF469" i="6"/>
  <c r="AN474" i="2"/>
  <c r="AF474" i="2"/>
  <c r="AF468" i="5"/>
  <c r="AF474" i="6"/>
  <c r="AF472" i="5"/>
  <c r="AD299" i="7"/>
  <c r="AD295" i="7"/>
  <c r="AL86" i="7"/>
  <c r="AD86" i="7"/>
  <c r="AN140" i="6"/>
  <c r="AF140" i="6"/>
  <c r="AN140" i="2"/>
  <c r="AF140" i="2"/>
  <c r="AN138" i="6"/>
  <c r="AF138" i="6"/>
  <c r="AN414" i="2"/>
  <c r="Z414" i="2" s="1"/>
  <c r="AF414" i="2"/>
  <c r="AN393" i="6"/>
  <c r="AF393" i="6"/>
  <c r="AD81" i="7"/>
  <c r="AF33" i="6"/>
  <c r="AF281" i="2"/>
  <c r="AN285" i="5"/>
  <c r="AF285" i="5"/>
  <c r="AF29" i="6"/>
  <c r="AF289" i="5"/>
  <c r="AD61" i="7"/>
  <c r="AF155" i="5"/>
  <c r="AF174" i="2"/>
  <c r="AN17" i="5"/>
  <c r="AF17" i="5"/>
  <c r="AD79" i="7"/>
  <c r="AF31" i="6"/>
  <c r="AF304" i="5"/>
  <c r="AF285" i="2"/>
  <c r="AL328" i="7"/>
  <c r="AD328" i="7"/>
  <c r="AN22" i="5"/>
  <c r="AF22" i="5"/>
  <c r="AD69" i="7"/>
  <c r="AD60" i="7"/>
  <c r="AF124" i="6"/>
  <c r="AF145" i="5"/>
  <c r="AF165" i="2"/>
  <c r="AL25" i="7"/>
  <c r="AD25" i="7"/>
  <c r="AN277" i="5"/>
  <c r="AF277" i="5"/>
  <c r="AA291" i="6"/>
  <c r="AF15" i="2"/>
  <c r="AD74" i="7"/>
  <c r="AF28" i="6"/>
  <c r="AF310" i="5"/>
  <c r="AF301" i="5"/>
  <c r="AF287" i="5"/>
  <c r="AF167" i="2"/>
  <c r="AN502" i="6"/>
  <c r="AF502" i="6"/>
  <c r="AN441" i="2"/>
  <c r="Z441" i="2" s="1"/>
  <c r="AF441" i="2"/>
  <c r="AA40" i="2"/>
  <c r="AF148" i="5"/>
  <c r="AF30" i="5"/>
  <c r="AF177" i="2"/>
  <c r="AF160" i="2"/>
  <c r="AL187" i="7"/>
  <c r="AD187" i="7"/>
  <c r="AN420" i="6"/>
  <c r="AF420" i="6"/>
  <c r="AN18" i="5"/>
  <c r="AF18" i="5"/>
  <c r="AN419" i="2"/>
  <c r="AF419" i="2"/>
  <c r="AF294" i="5"/>
  <c r="AF284" i="2"/>
  <c r="AF179" i="2"/>
  <c r="AF162" i="2"/>
  <c r="AL105" i="7"/>
  <c r="AD105" i="7"/>
  <c r="AL19" i="7"/>
  <c r="AD19" i="7"/>
  <c r="AN404" i="6"/>
  <c r="Z404" i="6" s="1"/>
  <c r="AF404" i="6"/>
  <c r="AN13" i="5"/>
  <c r="AF13" i="5"/>
  <c r="AN413" i="2"/>
  <c r="Z413" i="2" s="1"/>
  <c r="AF413" i="2"/>
  <c r="AL271" i="7"/>
  <c r="AD271" i="7"/>
  <c r="AL192" i="7"/>
  <c r="AD192" i="7"/>
  <c r="AL184" i="7"/>
  <c r="AD184" i="7"/>
  <c r="AL20" i="7"/>
  <c r="AD20" i="7"/>
  <c r="AN444" i="6"/>
  <c r="Z444" i="6" s="1"/>
  <c r="AF444" i="6"/>
  <c r="AN409" i="6"/>
  <c r="AF409" i="6"/>
  <c r="AN283" i="5"/>
  <c r="AF283" i="5"/>
  <c r="AN15" i="5"/>
  <c r="AF15" i="5"/>
  <c r="AN429" i="2"/>
  <c r="Z429" i="2" s="1"/>
  <c r="AF429" i="2"/>
  <c r="AN411" i="2"/>
  <c r="Z411" i="2" s="1"/>
  <c r="AF411" i="2"/>
  <c r="AN393" i="2"/>
  <c r="AF393" i="2"/>
  <c r="AA188" i="6"/>
  <c r="AA176" i="5"/>
  <c r="AL326" i="7"/>
  <c r="AD326" i="7"/>
  <c r="AL102" i="7"/>
  <c r="AD102" i="7"/>
  <c r="AN501" i="6"/>
  <c r="AF501" i="6"/>
  <c r="AN424" i="6"/>
  <c r="AF424" i="6"/>
  <c r="AN389" i="6"/>
  <c r="AF389" i="6"/>
  <c r="AN280" i="5"/>
  <c r="AF280" i="5"/>
  <c r="AN439" i="2"/>
  <c r="Z439" i="2" s="1"/>
  <c r="AF439" i="2"/>
  <c r="AN421" i="2"/>
  <c r="AF421" i="2"/>
  <c r="AN403" i="2"/>
  <c r="AF403" i="2"/>
  <c r="AN439" i="6"/>
  <c r="Z439" i="6" s="1"/>
  <c r="AF439" i="6"/>
  <c r="AN430" i="6"/>
  <c r="Z430" i="6" s="1"/>
  <c r="AF430" i="6"/>
  <c r="AN421" i="6"/>
  <c r="AF421" i="6"/>
  <c r="AN412" i="6"/>
  <c r="AF412" i="6"/>
  <c r="AN403" i="6"/>
  <c r="Z403" i="6" s="1"/>
  <c r="AF403" i="6"/>
  <c r="AN394" i="6"/>
  <c r="AF394" i="6"/>
  <c r="AN46" i="6"/>
  <c r="AF46" i="6"/>
  <c r="AN38" i="6"/>
  <c r="AF38" i="6"/>
  <c r="AN17" i="6"/>
  <c r="AF17" i="6"/>
  <c r="AN442" i="5"/>
  <c r="Z442" i="5" s="1"/>
  <c r="AF442" i="5"/>
  <c r="AN433" i="5"/>
  <c r="Z433" i="5" s="1"/>
  <c r="AF433" i="5"/>
  <c r="AN424" i="5"/>
  <c r="AF424" i="5"/>
  <c r="AN415" i="5"/>
  <c r="Z415" i="5" s="1"/>
  <c r="AF415" i="5"/>
  <c r="AN407" i="5"/>
  <c r="Z407" i="5" s="1"/>
  <c r="AF407" i="5"/>
  <c r="AN398" i="5"/>
  <c r="AF398" i="5"/>
  <c r="AN389" i="5"/>
  <c r="AF389" i="5"/>
  <c r="AN497" i="2"/>
  <c r="AF497" i="2"/>
  <c r="AN149" i="2"/>
  <c r="AF149" i="2"/>
  <c r="AA115" i="2"/>
  <c r="AN43" i="6"/>
  <c r="AF43" i="6"/>
  <c r="AN22" i="6"/>
  <c r="AF22" i="6"/>
  <c r="AN14" i="6"/>
  <c r="AF14" i="6"/>
  <c r="AN439" i="5"/>
  <c r="Z439" i="5" s="1"/>
  <c r="AF439" i="5"/>
  <c r="AN430" i="5"/>
  <c r="Z430" i="5" s="1"/>
  <c r="AF430" i="5"/>
  <c r="AN421" i="5"/>
  <c r="AF421" i="5"/>
  <c r="AN412" i="5"/>
  <c r="Z412" i="5" s="1"/>
  <c r="AF412" i="5"/>
  <c r="AN403" i="5"/>
  <c r="AF403" i="5"/>
  <c r="AN394" i="5"/>
  <c r="AF394" i="5"/>
  <c r="AN501" i="2"/>
  <c r="AF501" i="2"/>
  <c r="AN150" i="2"/>
  <c r="AF150" i="2"/>
  <c r="AA287" i="6"/>
  <c r="AA118" i="6"/>
  <c r="AA172" i="5"/>
  <c r="AA113" i="5"/>
  <c r="AA57" i="2"/>
  <c r="AA185" i="6"/>
  <c r="AA109" i="6"/>
  <c r="AA169" i="5"/>
  <c r="AA110" i="5"/>
  <c r="AA111" i="2"/>
  <c r="AA119" i="6"/>
  <c r="AA179" i="5"/>
  <c r="AF21" i="2"/>
  <c r="AA130" i="2"/>
  <c r="AA46" i="2"/>
  <c r="AF18" i="2"/>
  <c r="AA117" i="2"/>
  <c r="AA42" i="2"/>
  <c r="AF16" i="2"/>
  <c r="AA127" i="2"/>
  <c r="AA110" i="2"/>
  <c r="AA43" i="2"/>
  <c r="AA26" i="2"/>
  <c r="AA129" i="2"/>
  <c r="AA112" i="2"/>
  <c r="AA45" i="2"/>
  <c r="AA28" i="2"/>
  <c r="AD72" i="7"/>
  <c r="AN485" i="6"/>
  <c r="AF485" i="6"/>
  <c r="AN480" i="6"/>
  <c r="AF480" i="6"/>
  <c r="AN479" i="6"/>
  <c r="AF479" i="6"/>
  <c r="AN484" i="2"/>
  <c r="AF484" i="2"/>
  <c r="AL311" i="7"/>
  <c r="AD311" i="7"/>
  <c r="AN483" i="6"/>
  <c r="AF483" i="6"/>
  <c r="AN479" i="5"/>
  <c r="AF479" i="5"/>
  <c r="AL313" i="7"/>
  <c r="AD313" i="7"/>
  <c r="AN481" i="5"/>
  <c r="AF481" i="5"/>
  <c r="AN482" i="6"/>
  <c r="AF482" i="6"/>
  <c r="AL307" i="7"/>
  <c r="AD307" i="7"/>
  <c r="AN481" i="2"/>
  <c r="AF481" i="2"/>
  <c r="AL306" i="7"/>
  <c r="AD306" i="7"/>
  <c r="AN394" i="2"/>
  <c r="AF394" i="2"/>
  <c r="AA109" i="5"/>
  <c r="AN443" i="6"/>
  <c r="Z443" i="6" s="1"/>
  <c r="AF443" i="6"/>
  <c r="AN434" i="6"/>
  <c r="Z434" i="6" s="1"/>
  <c r="AF434" i="6"/>
  <c r="AN425" i="6"/>
  <c r="AF425" i="6"/>
  <c r="AN417" i="6"/>
  <c r="AF417" i="6"/>
  <c r="AN408" i="6"/>
  <c r="Z408" i="6" s="1"/>
  <c r="AF408" i="6"/>
  <c r="AN399" i="6"/>
  <c r="Z399" i="6" s="1"/>
  <c r="AF399" i="6"/>
  <c r="AN390" i="6"/>
  <c r="AF390" i="6"/>
  <c r="AN42" i="6"/>
  <c r="AF42" i="6"/>
  <c r="AN21" i="6"/>
  <c r="AF21" i="6"/>
  <c r="AN13" i="6"/>
  <c r="AF13" i="6"/>
  <c r="AN438" i="5"/>
  <c r="Z438" i="5" s="1"/>
  <c r="AF438" i="5"/>
  <c r="AN429" i="5"/>
  <c r="Z429" i="5" s="1"/>
  <c r="AF429" i="5"/>
  <c r="AN420" i="5"/>
  <c r="AF420" i="5"/>
  <c r="AN411" i="5"/>
  <c r="Z411" i="5" s="1"/>
  <c r="AF411" i="5"/>
  <c r="AN402" i="5"/>
  <c r="AF402" i="5"/>
  <c r="AN393" i="5"/>
  <c r="AF393" i="5"/>
  <c r="AN502" i="2"/>
  <c r="AF502" i="2"/>
  <c r="AN153" i="2"/>
  <c r="AF153" i="2"/>
  <c r="AN145" i="2"/>
  <c r="AF145" i="2"/>
  <c r="AA182" i="6"/>
  <c r="AN47" i="6"/>
  <c r="AF47" i="6"/>
  <c r="AN39" i="6"/>
  <c r="AF39" i="6"/>
  <c r="AN18" i="6"/>
  <c r="AF18" i="6"/>
  <c r="AN443" i="5"/>
  <c r="Z443" i="5" s="1"/>
  <c r="AF443" i="5"/>
  <c r="AN434" i="5"/>
  <c r="Z434" i="5" s="1"/>
  <c r="AF434" i="5"/>
  <c r="AN425" i="5"/>
  <c r="AF425" i="5"/>
  <c r="AN417" i="5"/>
  <c r="AF417" i="5"/>
  <c r="AN408" i="5"/>
  <c r="Z408" i="5" s="1"/>
  <c r="AF408" i="5"/>
  <c r="AN399" i="5"/>
  <c r="AF399" i="5"/>
  <c r="AN390" i="5"/>
  <c r="AF390" i="5"/>
  <c r="AN154" i="2"/>
  <c r="AF154" i="2"/>
  <c r="AN146" i="2"/>
  <c r="AF146" i="2"/>
  <c r="AA184" i="6"/>
  <c r="AA294" i="6"/>
  <c r="AA117" i="6"/>
  <c r="AA177" i="5"/>
  <c r="AA118" i="5"/>
  <c r="AA27" i="2"/>
  <c r="AA288" i="6"/>
  <c r="AA187" i="6"/>
  <c r="AA111" i="6"/>
  <c r="AA171" i="5"/>
  <c r="AA112" i="5"/>
  <c r="AA53" i="2"/>
  <c r="AA113" i="2"/>
  <c r="AA29" i="2"/>
  <c r="AA59" i="2"/>
  <c r="AA25" i="2"/>
  <c r="AA118" i="2"/>
  <c r="AA52" i="2"/>
  <c r="AA34" i="2"/>
  <c r="AA121" i="2"/>
  <c r="AA54" i="2"/>
  <c r="AA37" i="2"/>
  <c r="AN477" i="6"/>
  <c r="AF477" i="6"/>
  <c r="AN483" i="5"/>
  <c r="AF483" i="5"/>
  <c r="AN485" i="5"/>
  <c r="AF485" i="5"/>
  <c r="AN477" i="5"/>
  <c r="AF477" i="5"/>
  <c r="AN481" i="6"/>
  <c r="AF481" i="6"/>
  <c r="J77" i="9"/>
  <c r="H78" i="9"/>
  <c r="I78" i="9" s="1"/>
  <c r="AN478" i="5"/>
  <c r="AF478" i="5"/>
  <c r="AN484" i="6"/>
  <c r="AF484" i="6"/>
  <c r="AN482" i="5"/>
  <c r="AF482" i="5"/>
  <c r="AL309" i="7"/>
  <c r="AD309" i="7"/>
  <c r="AL305" i="7"/>
  <c r="AD305" i="7"/>
  <c r="AN478" i="6"/>
  <c r="AF478" i="6"/>
  <c r="AN483" i="2"/>
  <c r="AF483" i="2"/>
  <c r="AN479" i="2"/>
  <c r="AF479" i="2"/>
  <c r="AL312" i="7"/>
  <c r="AD312" i="7"/>
  <c r="AP372" i="6" l="1"/>
  <c r="AP371" i="2"/>
  <c r="AP351" i="6"/>
  <c r="AP375" i="6"/>
  <c r="AP372" i="2"/>
  <c r="AP349" i="2"/>
  <c r="AP348" i="6"/>
  <c r="AP371" i="6"/>
  <c r="AP350" i="6"/>
  <c r="AP348" i="2"/>
  <c r="AP353" i="2"/>
  <c r="AP370" i="2"/>
  <c r="AP370" i="6"/>
  <c r="AP352" i="2"/>
  <c r="AP354" i="6"/>
  <c r="AP368" i="2"/>
  <c r="AP374" i="2"/>
  <c r="AP350" i="2"/>
  <c r="AP369" i="2"/>
  <c r="AP352" i="6"/>
  <c r="AP355" i="2"/>
  <c r="AP354" i="2"/>
  <c r="AP347" i="6"/>
  <c r="AP353" i="6"/>
  <c r="AP368" i="6"/>
  <c r="AP369" i="6"/>
  <c r="AP373" i="6"/>
  <c r="AP367" i="2"/>
  <c r="AP367" i="6"/>
  <c r="AP375" i="2"/>
  <c r="AP373" i="2"/>
  <c r="AP355" i="6"/>
  <c r="AP351" i="2"/>
  <c r="AP374" i="6"/>
  <c r="AP347" i="2"/>
  <c r="AA41" i="5"/>
  <c r="AA39" i="5"/>
  <c r="AA43" i="5"/>
  <c r="AA44" i="5"/>
  <c r="AA47" i="5"/>
  <c r="AA37" i="5"/>
  <c r="AA165" i="6"/>
  <c r="AP165" i="6" s="1"/>
  <c r="AA166" i="6"/>
  <c r="AP166" i="6" s="1"/>
  <c r="AA167" i="6"/>
  <c r="AP167" i="6" s="1"/>
  <c r="AA162" i="6"/>
  <c r="AP162" i="6" s="1"/>
  <c r="AA159" i="6"/>
  <c r="AP159" i="6" s="1"/>
  <c r="AA160" i="6"/>
  <c r="AP160" i="6" s="1"/>
  <c r="AA161" i="6"/>
  <c r="AA157" i="6"/>
  <c r="AA46" i="5"/>
  <c r="AA45" i="5"/>
  <c r="AA42" i="5"/>
  <c r="AA40" i="5"/>
  <c r="AA38" i="5"/>
  <c r="AA164" i="6"/>
  <c r="AP164" i="6" s="1"/>
  <c r="AA158" i="6"/>
  <c r="AP158" i="6" s="1"/>
  <c r="AA299" i="2"/>
  <c r="AP299" i="2" s="1"/>
  <c r="AB299" i="2" s="1"/>
  <c r="AF299" i="2" s="1"/>
  <c r="AA163" i="6"/>
  <c r="AP163" i="6" s="1"/>
  <c r="AA304" i="5"/>
  <c r="AA383" i="2"/>
  <c r="AA174" i="2"/>
  <c r="AA29" i="6"/>
  <c r="AA303" i="2"/>
  <c r="AP303" i="2" s="1"/>
  <c r="AB303" i="2" s="1"/>
  <c r="AF303" i="2" s="1"/>
  <c r="AA25" i="6"/>
  <c r="AA380" i="6"/>
  <c r="AP380" i="6" s="1"/>
  <c r="AA382" i="6"/>
  <c r="AP382" i="6" s="1"/>
  <c r="AA383" i="6"/>
  <c r="AP383" i="6" s="1"/>
  <c r="AA34" i="6"/>
  <c r="AA300" i="5"/>
  <c r="AA169" i="2"/>
  <c r="Y73" i="7"/>
  <c r="Y75" i="7"/>
  <c r="AA384" i="6"/>
  <c r="AP384" i="6" s="1"/>
  <c r="AA302" i="5"/>
  <c r="AA171" i="2"/>
  <c r="AA298" i="2"/>
  <c r="AP298" i="2" s="1"/>
  <c r="AB298" i="2" s="1"/>
  <c r="AF298" i="2" s="1"/>
  <c r="AA32" i="6"/>
  <c r="AA299" i="5"/>
  <c r="Y80" i="7"/>
  <c r="Y77" i="7"/>
  <c r="AA381" i="6"/>
  <c r="AP381" i="6" s="1"/>
  <c r="AA179" i="2"/>
  <c r="AA177" i="2"/>
  <c r="AA28" i="6"/>
  <c r="AA305" i="2"/>
  <c r="AP305" i="2" s="1"/>
  <c r="AB305" i="2" s="1"/>
  <c r="AF305" i="2" s="1"/>
  <c r="AA385" i="2"/>
  <c r="AA178" i="2"/>
  <c r="AA175" i="2"/>
  <c r="AA30" i="6"/>
  <c r="AA378" i="2"/>
  <c r="AA297" i="5"/>
  <c r="Y78" i="7"/>
  <c r="AA378" i="6"/>
  <c r="AP378" i="6" s="1"/>
  <c r="AA170" i="2"/>
  <c r="AA301" i="2"/>
  <c r="AP301" i="2" s="1"/>
  <c r="AB301" i="2" s="1"/>
  <c r="AF301" i="2" s="1"/>
  <c r="AA385" i="6"/>
  <c r="AP385" i="6" s="1"/>
  <c r="AA380" i="2"/>
  <c r="AA302" i="2"/>
  <c r="AP302" i="2" s="1"/>
  <c r="AB302" i="2" s="1"/>
  <c r="AF302" i="2" s="1"/>
  <c r="Y74" i="7"/>
  <c r="AA31" i="6"/>
  <c r="AA33" i="6"/>
  <c r="AA377" i="6"/>
  <c r="AP377" i="6" s="1"/>
  <c r="AA304" i="2"/>
  <c r="AP304" i="2" s="1"/>
  <c r="AB304" i="2" s="1"/>
  <c r="AF304" i="2" s="1"/>
  <c r="Y76" i="7"/>
  <c r="AA298" i="5"/>
  <c r="AA384" i="2"/>
  <c r="AA305" i="5"/>
  <c r="AA297" i="2"/>
  <c r="AP297" i="2" s="1"/>
  <c r="AB297" i="2" s="1"/>
  <c r="AF297" i="2" s="1"/>
  <c r="AA379" i="6"/>
  <c r="AP379" i="6" s="1"/>
  <c r="AA172" i="2"/>
  <c r="AA300" i="2"/>
  <c r="AP300" i="2" s="1"/>
  <c r="AB300" i="2" s="1"/>
  <c r="AF300" i="2" s="1"/>
  <c r="AA26" i="6"/>
  <c r="AA27" i="6"/>
  <c r="AA176" i="2"/>
  <c r="AA382" i="2"/>
  <c r="AA377" i="2"/>
  <c r="AA301" i="5"/>
  <c r="Y79" i="7"/>
  <c r="Y81" i="7"/>
  <c r="AA381" i="2"/>
  <c r="AA303" i="5"/>
  <c r="AA173" i="2"/>
  <c r="AA35" i="6"/>
  <c r="AA379" i="2"/>
  <c r="AA403" i="6"/>
  <c r="AA443" i="6"/>
  <c r="AA440" i="2"/>
  <c r="AA442" i="6"/>
  <c r="AA443" i="5"/>
  <c r="AA429" i="5"/>
  <c r="AA408" i="6"/>
  <c r="AA415" i="5"/>
  <c r="AA413" i="2"/>
  <c r="AA427" i="2"/>
  <c r="AA412" i="5"/>
  <c r="AA444" i="6"/>
  <c r="AA441" i="5"/>
  <c r="AA408" i="5"/>
  <c r="AA433" i="5"/>
  <c r="AA439" i="6"/>
  <c r="AA439" i="2"/>
  <c r="AA445" i="2"/>
  <c r="AA432" i="2"/>
  <c r="AA412" i="2"/>
  <c r="AA437" i="2"/>
  <c r="AA431" i="6"/>
  <c r="AA430" i="5"/>
  <c r="AA429" i="2"/>
  <c r="AA437" i="6"/>
  <c r="AA410" i="2"/>
  <c r="AA402" i="6"/>
  <c r="AA430" i="2"/>
  <c r="AA431" i="2"/>
  <c r="AP27" i="2"/>
  <c r="AP28" i="2"/>
  <c r="AP43" i="2"/>
  <c r="AP179" i="5"/>
  <c r="AP111" i="2"/>
  <c r="AP124" i="5"/>
  <c r="AP40" i="5"/>
  <c r="AA407" i="5"/>
  <c r="AP50" i="2"/>
  <c r="AP47" i="2"/>
  <c r="AP38" i="5"/>
  <c r="AP178" i="5"/>
  <c r="AA427" i="5"/>
  <c r="AA435" i="2"/>
  <c r="X227" i="5"/>
  <c r="X217" i="6"/>
  <c r="X224" i="6"/>
  <c r="X222" i="2"/>
  <c r="X223" i="6"/>
  <c r="X226" i="2"/>
  <c r="X225" i="5"/>
  <c r="X225" i="2"/>
  <c r="X218" i="5"/>
  <c r="X221" i="5"/>
  <c r="X226" i="5"/>
  <c r="X220" i="6"/>
  <c r="X226" i="6"/>
  <c r="X224" i="2"/>
  <c r="X222" i="6"/>
  <c r="X221" i="6"/>
  <c r="X227" i="2"/>
  <c r="X223" i="5"/>
  <c r="X221" i="2"/>
  <c r="X222" i="5"/>
  <c r="X219" i="2"/>
  <c r="X220" i="2"/>
  <c r="X220" i="5"/>
  <c r="X224" i="5"/>
  <c r="X219" i="6"/>
  <c r="X227" i="6"/>
  <c r="X223" i="2"/>
  <c r="X217" i="2"/>
  <c r="X218" i="2"/>
  <c r="X225" i="6"/>
  <c r="X217" i="5"/>
  <c r="X218" i="6"/>
  <c r="X219" i="5"/>
  <c r="AP37" i="2"/>
  <c r="AP25" i="2"/>
  <c r="AP187" i="6"/>
  <c r="AP26" i="2"/>
  <c r="AP113" i="5"/>
  <c r="AP188" i="6"/>
  <c r="AP256" i="5"/>
  <c r="J78" i="9"/>
  <c r="H79" i="9"/>
  <c r="I79" i="9" s="1"/>
  <c r="AP113" i="2"/>
  <c r="AP171" i="5"/>
  <c r="AP177" i="5"/>
  <c r="AP184" i="6"/>
  <c r="AA434" i="5"/>
  <c r="AA399" i="6"/>
  <c r="AP42" i="2"/>
  <c r="AP130" i="2"/>
  <c r="AP169" i="5"/>
  <c r="AP57" i="2"/>
  <c r="AA442" i="5"/>
  <c r="AA430" i="6"/>
  <c r="AP176" i="5"/>
  <c r="AP51" i="2"/>
  <c r="AP189" i="6"/>
  <c r="AP122" i="5"/>
  <c r="AP111" i="5"/>
  <c r="AP34" i="2"/>
  <c r="AP41" i="5"/>
  <c r="AP53" i="2"/>
  <c r="AA434" i="6"/>
  <c r="AP45" i="2"/>
  <c r="AP185" i="6"/>
  <c r="AP287" i="6"/>
  <c r="AA439" i="5"/>
  <c r="AA434" i="2"/>
  <c r="AA407" i="2"/>
  <c r="AA400" i="6"/>
  <c r="AA438" i="5"/>
  <c r="AA411" i="2"/>
  <c r="AP30" i="2"/>
  <c r="AP183" i="6"/>
  <c r="AP173" i="5"/>
  <c r="AP124" i="2"/>
  <c r="AA443" i="2"/>
  <c r="AP126" i="5"/>
  <c r="Y94" i="6"/>
  <c r="X106" i="6"/>
  <c r="Y106" i="6" s="1"/>
  <c r="Y85" i="6"/>
  <c r="X97" i="6"/>
  <c r="Y97" i="6" s="1"/>
  <c r="Y95" i="6"/>
  <c r="X107" i="6"/>
  <c r="Y107" i="6" s="1"/>
  <c r="Y89" i="2"/>
  <c r="X101" i="2"/>
  <c r="Y101" i="2" s="1"/>
  <c r="AA428" i="5"/>
  <c r="AP251" i="6"/>
  <c r="AP121" i="2"/>
  <c r="AP118" i="2"/>
  <c r="AP29" i="2"/>
  <c r="AP129" i="5"/>
  <c r="AP118" i="5"/>
  <c r="AP117" i="6"/>
  <c r="AP294" i="6"/>
  <c r="AP182" i="6"/>
  <c r="AP109" i="5"/>
  <c r="AP129" i="2"/>
  <c r="AP127" i="2"/>
  <c r="AP46" i="2"/>
  <c r="AP161" i="6"/>
  <c r="AP127" i="5"/>
  <c r="AP115" i="2"/>
  <c r="AP131" i="2"/>
  <c r="AP55" i="2"/>
  <c r="AP35" i="2"/>
  <c r="AP131" i="5"/>
  <c r="AA414" i="5"/>
  <c r="AA409" i="5"/>
  <c r="AA444" i="5"/>
  <c r="AA433" i="6"/>
  <c r="AP295" i="6"/>
  <c r="AP243" i="6"/>
  <c r="AA438" i="2"/>
  <c r="AA440" i="6"/>
  <c r="AP263" i="2"/>
  <c r="AP248" i="2"/>
  <c r="AP248" i="6"/>
  <c r="AP250" i="6"/>
  <c r="AA411" i="5"/>
  <c r="AA404" i="6"/>
  <c r="AA441" i="2"/>
  <c r="AA414" i="2"/>
  <c r="AP32" i="2"/>
  <c r="AP37" i="5"/>
  <c r="AP128" i="2"/>
  <c r="AP112" i="6"/>
  <c r="AA438" i="6"/>
  <c r="AP261" i="2"/>
  <c r="Y88" i="6"/>
  <c r="X100" i="6"/>
  <c r="Y100" i="6" s="1"/>
  <c r="Y93" i="5"/>
  <c r="X105" i="5"/>
  <c r="Y105" i="5" s="1"/>
  <c r="Y94" i="5"/>
  <c r="X106" i="5"/>
  <c r="Y106" i="5" s="1"/>
  <c r="Y95" i="5"/>
  <c r="X107" i="5"/>
  <c r="Y107" i="5" s="1"/>
  <c r="AP115" i="6"/>
  <c r="AP255" i="5"/>
  <c r="AP54" i="2"/>
  <c r="AP52" i="2"/>
  <c r="AP59" i="2"/>
  <c r="AP39" i="5"/>
  <c r="AP112" i="5"/>
  <c r="AP111" i="6"/>
  <c r="AP288" i="6"/>
  <c r="AP46" i="5"/>
  <c r="AP130" i="5"/>
  <c r="AP128" i="5"/>
  <c r="AP112" i="2"/>
  <c r="AP110" i="2"/>
  <c r="AP117" i="2"/>
  <c r="AP47" i="5"/>
  <c r="AP121" i="5"/>
  <c r="AP119" i="6"/>
  <c r="AP110" i="5"/>
  <c r="AP109" i="6"/>
  <c r="AP172" i="5"/>
  <c r="AP118" i="6"/>
  <c r="AP40" i="2"/>
  <c r="AP291" i="6"/>
  <c r="AP116" i="2"/>
  <c r="AP114" i="2"/>
  <c r="AP126" i="2"/>
  <c r="AP125" i="5"/>
  <c r="AP114" i="5"/>
  <c r="AP113" i="6"/>
  <c r="AP290" i="6"/>
  <c r="AA432" i="5"/>
  <c r="AA435" i="5"/>
  <c r="AA429" i="6"/>
  <c r="AP116" i="5"/>
  <c r="AP110" i="6"/>
  <c r="AA431" i="5"/>
  <c r="AA445" i="6"/>
  <c r="AP190" i="6"/>
  <c r="AA435" i="6"/>
  <c r="AA427" i="6"/>
  <c r="AP261" i="5"/>
  <c r="AP254" i="5"/>
  <c r="AA405" i="6"/>
  <c r="AA441" i="6"/>
  <c r="AA408" i="2"/>
  <c r="AA398" i="6"/>
  <c r="AA433" i="2"/>
  <c r="AA428" i="2"/>
  <c r="AP249" i="2"/>
  <c r="AP58" i="2"/>
  <c r="AP109" i="2"/>
  <c r="AP43" i="5"/>
  <c r="AP119" i="2"/>
  <c r="AP44" i="2"/>
  <c r="AP115" i="5"/>
  <c r="AP170" i="5"/>
  <c r="AA410" i="5"/>
  <c r="AA445" i="5"/>
  <c r="AP119" i="5"/>
  <c r="AA413" i="5"/>
  <c r="AA401" i="6"/>
  <c r="AP244" i="5"/>
  <c r="AP260" i="2"/>
  <c r="AP260" i="6"/>
  <c r="AP250" i="5"/>
  <c r="AA397" i="6"/>
  <c r="AA432" i="6"/>
  <c r="AA415" i="2"/>
  <c r="AP247" i="6"/>
  <c r="AP241" i="5"/>
  <c r="AP242" i="6"/>
  <c r="AP246" i="6"/>
  <c r="AP257" i="6"/>
  <c r="Y85" i="2"/>
  <c r="X97" i="2"/>
  <c r="Y97" i="2" s="1"/>
  <c r="Y87" i="6"/>
  <c r="X99" i="6"/>
  <c r="Y99" i="6" s="1"/>
  <c r="Y93" i="6"/>
  <c r="X105" i="6"/>
  <c r="Y105" i="6" s="1"/>
  <c r="Y88" i="5"/>
  <c r="X100" i="5"/>
  <c r="Y100" i="5" s="1"/>
  <c r="Y86" i="5"/>
  <c r="X98" i="5"/>
  <c r="Y98" i="5" s="1"/>
  <c r="Y91" i="6"/>
  <c r="X103" i="6"/>
  <c r="Y103" i="6" s="1"/>
  <c r="Y91" i="5"/>
  <c r="X103" i="5"/>
  <c r="Y103" i="5" s="1"/>
  <c r="Y92" i="2"/>
  <c r="X104" i="2"/>
  <c r="Y104" i="2" s="1"/>
  <c r="AP56" i="2"/>
  <c r="AP122" i="2"/>
  <c r="AP175" i="5"/>
  <c r="AP292" i="6"/>
  <c r="AP289" i="6"/>
  <c r="AA437" i="5"/>
  <c r="AA440" i="5"/>
  <c r="AA428" i="6"/>
  <c r="AA442" i="2"/>
  <c r="AA444" i="2"/>
  <c r="AP243" i="2"/>
  <c r="AP256" i="2"/>
  <c r="AA409" i="2"/>
  <c r="AP260" i="5"/>
  <c r="AP262" i="2"/>
  <c r="AP259" i="2"/>
  <c r="AP247" i="5"/>
  <c r="AP258" i="2"/>
  <c r="AP257" i="5"/>
  <c r="AP186" i="6"/>
  <c r="AP246" i="5"/>
  <c r="AP246" i="2"/>
  <c r="AP245" i="5"/>
  <c r="AP242" i="5"/>
  <c r="AP243" i="5"/>
  <c r="AP263" i="6"/>
  <c r="Y89" i="5"/>
  <c r="X101" i="5"/>
  <c r="Y101" i="5" s="1"/>
  <c r="Y91" i="2"/>
  <c r="X103" i="2"/>
  <c r="Y103" i="2" s="1"/>
  <c r="Y90" i="5"/>
  <c r="X102" i="5"/>
  <c r="Y102" i="5" s="1"/>
  <c r="Y95" i="2"/>
  <c r="X107" i="2"/>
  <c r="Y107" i="2" s="1"/>
  <c r="Y93" i="2"/>
  <c r="X105" i="2"/>
  <c r="Y105" i="2" s="1"/>
  <c r="Y92" i="6"/>
  <c r="X104" i="6"/>
  <c r="Y104" i="6" s="1"/>
  <c r="Y90" i="2"/>
  <c r="X102" i="2"/>
  <c r="Y102" i="2" s="1"/>
  <c r="Y85" i="5"/>
  <c r="X97" i="5"/>
  <c r="Y97" i="5" s="1"/>
  <c r="X102" i="6"/>
  <c r="Y102" i="6" s="1"/>
  <c r="Y90" i="6"/>
  <c r="AP125" i="2"/>
  <c r="AP123" i="2"/>
  <c r="AP38" i="2"/>
  <c r="AP42" i="5"/>
  <c r="AP191" i="6"/>
  <c r="AP181" i="6"/>
  <c r="AP44" i="5"/>
  <c r="AP174" i="5"/>
  <c r="AP117" i="5"/>
  <c r="AP114" i="6"/>
  <c r="AP293" i="6"/>
  <c r="AP249" i="6"/>
  <c r="AP247" i="2"/>
  <c r="AP254" i="6"/>
  <c r="AP254" i="2"/>
  <c r="AP256" i="6"/>
  <c r="AP116" i="6"/>
  <c r="AP244" i="2"/>
  <c r="AP253" i="6"/>
  <c r="AP249" i="5"/>
  <c r="AP245" i="2"/>
  <c r="AP248" i="5"/>
  <c r="AP259" i="6"/>
  <c r="AP261" i="6"/>
  <c r="AP259" i="5"/>
  <c r="AP250" i="2"/>
  <c r="AP241" i="6"/>
  <c r="AP253" i="5"/>
  <c r="AP251" i="2"/>
  <c r="AP241" i="2"/>
  <c r="Y92" i="5"/>
  <c r="X104" i="5"/>
  <c r="Y104" i="5" s="1"/>
  <c r="Y86" i="2"/>
  <c r="X98" i="2"/>
  <c r="Y98" i="2" s="1"/>
  <c r="Y87" i="2"/>
  <c r="X99" i="2"/>
  <c r="Y99" i="2" s="1"/>
  <c r="Y86" i="6"/>
  <c r="X98" i="6"/>
  <c r="Y98" i="6" s="1"/>
  <c r="Y89" i="6"/>
  <c r="X101" i="6"/>
  <c r="Y101" i="6" s="1"/>
  <c r="Y88" i="2"/>
  <c r="X100" i="2"/>
  <c r="Y100" i="2" s="1"/>
  <c r="Y94" i="2"/>
  <c r="X106" i="2"/>
  <c r="Y106" i="2" s="1"/>
  <c r="Y87" i="5"/>
  <c r="X99" i="5"/>
  <c r="Y99" i="5" s="1"/>
  <c r="AP41" i="2"/>
  <c r="AP39" i="2"/>
  <c r="AP33" i="2"/>
  <c r="AP45" i="5"/>
  <c r="AP157" i="6"/>
  <c r="AP123" i="5"/>
  <c r="AP31" i="2"/>
  <c r="AP49" i="2"/>
  <c r="AP242" i="2"/>
  <c r="AP258" i="6"/>
  <c r="AP255" i="6"/>
  <c r="AP251" i="5"/>
  <c r="AP262" i="6"/>
  <c r="AP258" i="5"/>
  <c r="AP257" i="2"/>
  <c r="AP253" i="2"/>
  <c r="AP245" i="6"/>
  <c r="AP255" i="2"/>
  <c r="AP244" i="6"/>
  <c r="AP262" i="5"/>
  <c r="AP263" i="5"/>
  <c r="AB249" i="6" l="1"/>
  <c r="AB56" i="2"/>
  <c r="AB257" i="6"/>
  <c r="AB58" i="2"/>
  <c r="AB163" i="6"/>
  <c r="AB47" i="5"/>
  <c r="AB288" i="6"/>
  <c r="AB39" i="5"/>
  <c r="AC39" i="5" s="1"/>
  <c r="AB32" i="2"/>
  <c r="AB250" i="6"/>
  <c r="AB131" i="2"/>
  <c r="AC131" i="2" s="1"/>
  <c r="AB129" i="2"/>
  <c r="AB30" i="2"/>
  <c r="AB287" i="6"/>
  <c r="AF287" i="6" s="1"/>
  <c r="AB41" i="5"/>
  <c r="AB169" i="5"/>
  <c r="AB354" i="6"/>
  <c r="AB353" i="2"/>
  <c r="AB351" i="6"/>
  <c r="AB258" i="5"/>
  <c r="AB251" i="2"/>
  <c r="AB166" i="6"/>
  <c r="AB250" i="2"/>
  <c r="AC250" i="2" s="1"/>
  <c r="AB261" i="6"/>
  <c r="AC261" i="6" s="1"/>
  <c r="AB259" i="6"/>
  <c r="AB116" i="6"/>
  <c r="AB117" i="5"/>
  <c r="AB191" i="6"/>
  <c r="AF191" i="6" s="1"/>
  <c r="AB38" i="2"/>
  <c r="AB175" i="5"/>
  <c r="AB246" i="6"/>
  <c r="AB115" i="5"/>
  <c r="AB43" i="5"/>
  <c r="AB118" i="6"/>
  <c r="AB59" i="2"/>
  <c r="AB54" i="2"/>
  <c r="AB248" i="6"/>
  <c r="AC248" i="6" s="1"/>
  <c r="AB295" i="6"/>
  <c r="AB165" i="6"/>
  <c r="AB35" i="2"/>
  <c r="AB115" i="2"/>
  <c r="AB129" i="5"/>
  <c r="AB113" i="2"/>
  <c r="AB37" i="2"/>
  <c r="AB167" i="6"/>
  <c r="AB371" i="2"/>
  <c r="AB257" i="2"/>
  <c r="AB158" i="6"/>
  <c r="AB258" i="6"/>
  <c r="AC258" i="6" s="1"/>
  <c r="AB248" i="5"/>
  <c r="AB114" i="6"/>
  <c r="AF114" i="6" s="1"/>
  <c r="AB174" i="5"/>
  <c r="AB44" i="5"/>
  <c r="AB245" i="5"/>
  <c r="AB246" i="2"/>
  <c r="AC246" i="2" s="1"/>
  <c r="AB258" i="2"/>
  <c r="AB260" i="5"/>
  <c r="AB119" i="2"/>
  <c r="AB249" i="2"/>
  <c r="AC249" i="2" s="1"/>
  <c r="AB261" i="5"/>
  <c r="AB113" i="6"/>
  <c r="AB116" i="2"/>
  <c r="AB172" i="5"/>
  <c r="AB128" i="2"/>
  <c r="AB46" i="2"/>
  <c r="AB127" i="2"/>
  <c r="AB160" i="6"/>
  <c r="AB294" i="6"/>
  <c r="AC294" i="6" s="1"/>
  <c r="AB117" i="6"/>
  <c r="AB29" i="2"/>
  <c r="AF29" i="2" s="1"/>
  <c r="AB126" i="5"/>
  <c r="AB45" i="2"/>
  <c r="AF45" i="2" s="1"/>
  <c r="AB189" i="6"/>
  <c r="AB176" i="5"/>
  <c r="AB57" i="2"/>
  <c r="AB171" i="5"/>
  <c r="AC171" i="5" s="1"/>
  <c r="AB162" i="6"/>
  <c r="AB187" i="6"/>
  <c r="AB178" i="5"/>
  <c r="AB355" i="6"/>
  <c r="AC355" i="6" s="1"/>
  <c r="AB353" i="6"/>
  <c r="AB355" i="2"/>
  <c r="AC355" i="2" s="1"/>
  <c r="AB374" i="2"/>
  <c r="AB372" i="2"/>
  <c r="AB372" i="6"/>
  <c r="AC372" i="6" s="1"/>
  <c r="AB263" i="5"/>
  <c r="AB157" i="6"/>
  <c r="AB33" i="2"/>
  <c r="AB259" i="5"/>
  <c r="AC259" i="5" s="1"/>
  <c r="AB249" i="5"/>
  <c r="AB293" i="6"/>
  <c r="AB263" i="6"/>
  <c r="AB186" i="6"/>
  <c r="AB262" i="2"/>
  <c r="AC262" i="2" s="1"/>
  <c r="AB170" i="5"/>
  <c r="AB118" i="2"/>
  <c r="AB251" i="6"/>
  <c r="AB173" i="5"/>
  <c r="AB185" i="6"/>
  <c r="AB53" i="2"/>
  <c r="AB34" i="2"/>
  <c r="AB188" i="6"/>
  <c r="AF188" i="6" s="1"/>
  <c r="AB113" i="5"/>
  <c r="AC113" i="5" s="1"/>
  <c r="AB159" i="6"/>
  <c r="AF159" i="6" s="1"/>
  <c r="AB43" i="2"/>
  <c r="AB381" i="6"/>
  <c r="AB384" i="6"/>
  <c r="AB382" i="6"/>
  <c r="AF382" i="6" s="1"/>
  <c r="AB374" i="6"/>
  <c r="AB375" i="2"/>
  <c r="AF375" i="2" s="1"/>
  <c r="AB262" i="6"/>
  <c r="AB45" i="5"/>
  <c r="AC45" i="5" s="1"/>
  <c r="AB247" i="2"/>
  <c r="AB125" i="2"/>
  <c r="AC125" i="2" s="1"/>
  <c r="AB257" i="5"/>
  <c r="AB250" i="5"/>
  <c r="AC250" i="5" s="1"/>
  <c r="AB260" i="6"/>
  <c r="AC260" i="6" s="1"/>
  <c r="AB119" i="5"/>
  <c r="AB44" i="2"/>
  <c r="AC44" i="2" s="1"/>
  <c r="AB190" i="6"/>
  <c r="AF190" i="6" s="1"/>
  <c r="AB114" i="5"/>
  <c r="AF114" i="5" s="1"/>
  <c r="AB125" i="5"/>
  <c r="AF125" i="5" s="1"/>
  <c r="AB46" i="5"/>
  <c r="AB115" i="6"/>
  <c r="AB263" i="2"/>
  <c r="AB164" i="6"/>
  <c r="AC164" i="6" s="1"/>
  <c r="AB118" i="5"/>
  <c r="AC118" i="5" s="1"/>
  <c r="AB130" i="2"/>
  <c r="AB40" i="5"/>
  <c r="AB385" i="6"/>
  <c r="AB351" i="2"/>
  <c r="AC351" i="2" s="1"/>
  <c r="AB354" i="2"/>
  <c r="AB352" i="2"/>
  <c r="AB262" i="5"/>
  <c r="AC262" i="5" s="1"/>
  <c r="AB245" i="6"/>
  <c r="AB251" i="5"/>
  <c r="AB31" i="2"/>
  <c r="AC31" i="2" s="1"/>
  <c r="AB39" i="2"/>
  <c r="AC39" i="2" s="1"/>
  <c r="AB41" i="2"/>
  <c r="AB245" i="2"/>
  <c r="AF245" i="2" s="1"/>
  <c r="AB42" i="5"/>
  <c r="AF42" i="5" s="1"/>
  <c r="AB246" i="5"/>
  <c r="AB247" i="5"/>
  <c r="AB259" i="2"/>
  <c r="AB289" i="6"/>
  <c r="AB292" i="6"/>
  <c r="AB247" i="6"/>
  <c r="AB260" i="2"/>
  <c r="AB116" i="5"/>
  <c r="AF116" i="5" s="1"/>
  <c r="AB290" i="6"/>
  <c r="AB126" i="2"/>
  <c r="AB114" i="2"/>
  <c r="AB291" i="6"/>
  <c r="AB40" i="2"/>
  <c r="AB119" i="6"/>
  <c r="AC119" i="6" s="1"/>
  <c r="AB117" i="2"/>
  <c r="AB128" i="5"/>
  <c r="AB130" i="5"/>
  <c r="AF130" i="5" s="1"/>
  <c r="AB261" i="2"/>
  <c r="AB248" i="2"/>
  <c r="AB131" i="5"/>
  <c r="AB55" i="2"/>
  <c r="AB127" i="5"/>
  <c r="AB161" i="6"/>
  <c r="AB42" i="2"/>
  <c r="AF42" i="2" s="1"/>
  <c r="AB177" i="5"/>
  <c r="AB38" i="5"/>
  <c r="AC38" i="5" s="1"/>
  <c r="AB47" i="2"/>
  <c r="AB179" i="5"/>
  <c r="AB383" i="6"/>
  <c r="AF383" i="6" s="1"/>
  <c r="AB373" i="2"/>
  <c r="AB373" i="6"/>
  <c r="AB352" i="6"/>
  <c r="AC352" i="6" s="1"/>
  <c r="AB371" i="6"/>
  <c r="AB375" i="6"/>
  <c r="AF375" i="6" s="1"/>
  <c r="AC428" i="6"/>
  <c r="AC437" i="5"/>
  <c r="AC413" i="5"/>
  <c r="AC435" i="6"/>
  <c r="AC445" i="6"/>
  <c r="AC431" i="5"/>
  <c r="AC435" i="5"/>
  <c r="AC432" i="5"/>
  <c r="AC414" i="2"/>
  <c r="AC428" i="5"/>
  <c r="AC434" i="6"/>
  <c r="AC430" i="6"/>
  <c r="AC410" i="2"/>
  <c r="AC431" i="6"/>
  <c r="AC445" i="2"/>
  <c r="AC408" i="5"/>
  <c r="AC443" i="5"/>
  <c r="AC443" i="6"/>
  <c r="AC379" i="2"/>
  <c r="AC381" i="2"/>
  <c r="AC377" i="2"/>
  <c r="AC26" i="6"/>
  <c r="AC297" i="2"/>
  <c r="AC298" i="5"/>
  <c r="AC33" i="6"/>
  <c r="AC380" i="2"/>
  <c r="AC30" i="6"/>
  <c r="AC305" i="2"/>
  <c r="AC32" i="6"/>
  <c r="AC302" i="5"/>
  <c r="AC169" i="2"/>
  <c r="AC303" i="2"/>
  <c r="AC409" i="2"/>
  <c r="AC440" i="5"/>
  <c r="AC415" i="2"/>
  <c r="AC432" i="6"/>
  <c r="AC401" i="6"/>
  <c r="AC410" i="5"/>
  <c r="AC408" i="2"/>
  <c r="AC427" i="6"/>
  <c r="AC441" i="2"/>
  <c r="AC438" i="2"/>
  <c r="AC443" i="2"/>
  <c r="AC435" i="2"/>
  <c r="AC431" i="2"/>
  <c r="AC437" i="6"/>
  <c r="AC437" i="2"/>
  <c r="AC439" i="2"/>
  <c r="AC412" i="5"/>
  <c r="AC427" i="2"/>
  <c r="AC413" i="2"/>
  <c r="AC442" i="6"/>
  <c r="AC35" i="6"/>
  <c r="AA81" i="7"/>
  <c r="AC382" i="2"/>
  <c r="AC300" i="2"/>
  <c r="AC305" i="5"/>
  <c r="AA76" i="7"/>
  <c r="AC31" i="6"/>
  <c r="AA78" i="7"/>
  <c r="AC175" i="2"/>
  <c r="AC28" i="6"/>
  <c r="AA77" i="7"/>
  <c r="AC298" i="2"/>
  <c r="AC29" i="6"/>
  <c r="AC299" i="2"/>
  <c r="AC444" i="2"/>
  <c r="AC442" i="2"/>
  <c r="AC397" i="6"/>
  <c r="AC445" i="5"/>
  <c r="AC433" i="2"/>
  <c r="AC398" i="6"/>
  <c r="AC405" i="6"/>
  <c r="AC429" i="6"/>
  <c r="AC438" i="6"/>
  <c r="AC404" i="6"/>
  <c r="AC409" i="5"/>
  <c r="AC414" i="5"/>
  <c r="AC411" i="2"/>
  <c r="AC434" i="2"/>
  <c r="AC439" i="5"/>
  <c r="AC434" i="5"/>
  <c r="AC430" i="2"/>
  <c r="AC429" i="2"/>
  <c r="AC412" i="2"/>
  <c r="AC439" i="6"/>
  <c r="AC441" i="5"/>
  <c r="AC415" i="5"/>
  <c r="AC440" i="2"/>
  <c r="AC173" i="2"/>
  <c r="AA79" i="7"/>
  <c r="AC176" i="2"/>
  <c r="AC172" i="2"/>
  <c r="AC304" i="2"/>
  <c r="AA74" i="7"/>
  <c r="AC301" i="2"/>
  <c r="AC297" i="5"/>
  <c r="AC178" i="2"/>
  <c r="AC177" i="2"/>
  <c r="AA80" i="7"/>
  <c r="AC171" i="2"/>
  <c r="AA75" i="7"/>
  <c r="AC174" i="2"/>
  <c r="AC383" i="2"/>
  <c r="AC428" i="2"/>
  <c r="AC441" i="6"/>
  <c r="AC411" i="5"/>
  <c r="AC440" i="6"/>
  <c r="AC433" i="6"/>
  <c r="AC444" i="5"/>
  <c r="AC438" i="5"/>
  <c r="AC400" i="6"/>
  <c r="AC407" i="2"/>
  <c r="AC442" i="5"/>
  <c r="AC399" i="6"/>
  <c r="AC427" i="5"/>
  <c r="AC407" i="5"/>
  <c r="AC402" i="6"/>
  <c r="AC430" i="5"/>
  <c r="AC432" i="2"/>
  <c r="AC433" i="5"/>
  <c r="AC444" i="6"/>
  <c r="AC408" i="6"/>
  <c r="AC429" i="5"/>
  <c r="AC403" i="6"/>
  <c r="AC303" i="5"/>
  <c r="AC301" i="5"/>
  <c r="AC27" i="6"/>
  <c r="AC384" i="2"/>
  <c r="AC302" i="2"/>
  <c r="AC170" i="2"/>
  <c r="AC378" i="2"/>
  <c r="AC385" i="2"/>
  <c r="AC179" i="2"/>
  <c r="AC299" i="5"/>
  <c r="AA73" i="7"/>
  <c r="AC300" i="5"/>
  <c r="AC34" i="6"/>
  <c r="AC25" i="6"/>
  <c r="AC304" i="5"/>
  <c r="AN99" i="5"/>
  <c r="AN107" i="5"/>
  <c r="AN105" i="5"/>
  <c r="AN102" i="5"/>
  <c r="AN101" i="5"/>
  <c r="AN103" i="5"/>
  <c r="AN98" i="5"/>
  <c r="AN104" i="5"/>
  <c r="AN106" i="5"/>
  <c r="AN97" i="5"/>
  <c r="AN100" i="5"/>
  <c r="AN101" i="6"/>
  <c r="AN104" i="6"/>
  <c r="AN103" i="6"/>
  <c r="AN99" i="6"/>
  <c r="AN100" i="6"/>
  <c r="AN97" i="6"/>
  <c r="AN98" i="6"/>
  <c r="AN105" i="6"/>
  <c r="AN107" i="6"/>
  <c r="AN106" i="6"/>
  <c r="AN102" i="6"/>
  <c r="AF101" i="6"/>
  <c r="AF104" i="6"/>
  <c r="AA107" i="2"/>
  <c r="AA100" i="2"/>
  <c r="AF98" i="6"/>
  <c r="AA98" i="2"/>
  <c r="AA90" i="6"/>
  <c r="AA102" i="2"/>
  <c r="AA105" i="2"/>
  <c r="AA92" i="2"/>
  <c r="AA91" i="6"/>
  <c r="AA88" i="5"/>
  <c r="AA87" i="6"/>
  <c r="AF100" i="6"/>
  <c r="AF107" i="6"/>
  <c r="AF106" i="6"/>
  <c r="Y225" i="6"/>
  <c r="X237" i="6"/>
  <c r="Y237" i="6" s="1"/>
  <c r="Y227" i="6"/>
  <c r="X239" i="6"/>
  <c r="Y239" i="6" s="1"/>
  <c r="Y220" i="2"/>
  <c r="X232" i="2"/>
  <c r="Y232" i="2" s="1"/>
  <c r="Y223" i="5"/>
  <c r="X235" i="5"/>
  <c r="Y235" i="5" s="1"/>
  <c r="Y224" i="2"/>
  <c r="X236" i="2"/>
  <c r="Y236" i="2" s="1"/>
  <c r="Y221" i="5"/>
  <c r="X233" i="5"/>
  <c r="Y233" i="5" s="1"/>
  <c r="Y226" i="2"/>
  <c r="X238" i="2"/>
  <c r="Y238" i="2" s="1"/>
  <c r="Y217" i="6"/>
  <c r="X229" i="6"/>
  <c r="Y229" i="6" s="1"/>
  <c r="AA94" i="2"/>
  <c r="AA89" i="6"/>
  <c r="AA87" i="2"/>
  <c r="AA92" i="5"/>
  <c r="AA85" i="5"/>
  <c r="AA92" i="6"/>
  <c r="AA95" i="2"/>
  <c r="AA91" i="2"/>
  <c r="AA104" i="2"/>
  <c r="AF103" i="6"/>
  <c r="AF99" i="6"/>
  <c r="AA95" i="5"/>
  <c r="AA93" i="5"/>
  <c r="AA89" i="2"/>
  <c r="AA85" i="6"/>
  <c r="Y217" i="5"/>
  <c r="X229" i="5"/>
  <c r="Y229" i="5" s="1"/>
  <c r="Y223" i="2"/>
  <c r="X235" i="2"/>
  <c r="Y235" i="2" s="1"/>
  <c r="Y220" i="5"/>
  <c r="X232" i="5"/>
  <c r="Y232" i="5" s="1"/>
  <c r="Y221" i="2"/>
  <c r="X233" i="2"/>
  <c r="Y233" i="2" s="1"/>
  <c r="Y222" i="6"/>
  <c r="X234" i="6"/>
  <c r="Y234" i="6" s="1"/>
  <c r="Y226" i="5"/>
  <c r="X238" i="5"/>
  <c r="Y238" i="5" s="1"/>
  <c r="Y225" i="5"/>
  <c r="X237" i="5"/>
  <c r="Y237" i="5" s="1"/>
  <c r="Y224" i="6"/>
  <c r="X236" i="6"/>
  <c r="Y236" i="6" s="1"/>
  <c r="AA106" i="2"/>
  <c r="AA99" i="2"/>
  <c r="AA103" i="2"/>
  <c r="AA91" i="5"/>
  <c r="AA86" i="5"/>
  <c r="AA93" i="6"/>
  <c r="AA85" i="2"/>
  <c r="AB37" i="5"/>
  <c r="AA101" i="2"/>
  <c r="AF97" i="6"/>
  <c r="H80" i="9"/>
  <c r="M76" i="9" s="1"/>
  <c r="N76" i="9" s="1"/>
  <c r="J79" i="9"/>
  <c r="Y218" i="6"/>
  <c r="X230" i="6"/>
  <c r="Y230" i="6" s="1"/>
  <c r="Y217" i="2"/>
  <c r="X229" i="2"/>
  <c r="Y229" i="2" s="1"/>
  <c r="Y224" i="5"/>
  <c r="X236" i="5"/>
  <c r="Y236" i="5" s="1"/>
  <c r="Y222" i="5"/>
  <c r="X234" i="5"/>
  <c r="Y234" i="5" s="1"/>
  <c r="Y221" i="6"/>
  <c r="X233" i="6"/>
  <c r="Y233" i="6" s="1"/>
  <c r="Y220" i="6"/>
  <c r="X232" i="6"/>
  <c r="Y232" i="6" s="1"/>
  <c r="Y225" i="2"/>
  <c r="X237" i="2"/>
  <c r="Y237" i="2" s="1"/>
  <c r="Y222" i="2"/>
  <c r="X234" i="2"/>
  <c r="Y234" i="2" s="1"/>
  <c r="AA87" i="5"/>
  <c r="AA88" i="2"/>
  <c r="AA86" i="6"/>
  <c r="AA86" i="2"/>
  <c r="AF102" i="6"/>
  <c r="AA90" i="2"/>
  <c r="AA93" i="2"/>
  <c r="AA90" i="5"/>
  <c r="AA89" i="5"/>
  <c r="AF105" i="6"/>
  <c r="AA97" i="2"/>
  <c r="AA94" i="5"/>
  <c r="AA88" i="6"/>
  <c r="AA95" i="6"/>
  <c r="AA94" i="6"/>
  <c r="Y219" i="5"/>
  <c r="X231" i="5"/>
  <c r="Y231" i="5" s="1"/>
  <c r="Y218" i="2"/>
  <c r="X230" i="2"/>
  <c r="Y230" i="2" s="1"/>
  <c r="Y219" i="6"/>
  <c r="X231" i="6"/>
  <c r="Y231" i="6" s="1"/>
  <c r="Y219" i="2"/>
  <c r="X231" i="2"/>
  <c r="Y231" i="2" s="1"/>
  <c r="Y227" i="2"/>
  <c r="X239" i="2"/>
  <c r="Y239" i="2" s="1"/>
  <c r="Y226" i="6"/>
  <c r="X238" i="6"/>
  <c r="Y238" i="6" s="1"/>
  <c r="Y218" i="5"/>
  <c r="X230" i="5"/>
  <c r="Y230" i="5" s="1"/>
  <c r="Y223" i="6"/>
  <c r="X235" i="6"/>
  <c r="Y235" i="6" s="1"/>
  <c r="Y227" i="5"/>
  <c r="X239" i="5"/>
  <c r="Y239" i="5" s="1"/>
  <c r="AC162" i="6" l="1"/>
  <c r="AC189" i="6"/>
  <c r="AC117" i="6"/>
  <c r="AF43" i="5"/>
  <c r="AF47" i="2"/>
  <c r="AC130" i="2"/>
  <c r="AF251" i="2"/>
  <c r="AC53" i="2"/>
  <c r="AC114" i="2"/>
  <c r="AC43" i="5"/>
  <c r="AC249" i="6"/>
  <c r="AC113" i="6"/>
  <c r="AF117" i="6"/>
  <c r="AF248" i="6"/>
  <c r="AC30" i="2"/>
  <c r="AF30" i="2"/>
  <c r="AF161" i="6"/>
  <c r="AF259" i="6"/>
  <c r="AC44" i="5"/>
  <c r="AC260" i="2"/>
  <c r="AF260" i="5"/>
  <c r="AF38" i="2"/>
  <c r="AF258" i="6"/>
  <c r="AF115" i="6"/>
  <c r="AC46" i="2"/>
  <c r="AF163" i="6"/>
  <c r="AF44" i="5"/>
  <c r="AF32" i="2"/>
  <c r="AF249" i="6"/>
  <c r="AC115" i="2"/>
  <c r="AC163" i="6"/>
  <c r="AC260" i="5"/>
  <c r="AC251" i="2"/>
  <c r="AF167" i="6"/>
  <c r="AC259" i="6"/>
  <c r="AF259" i="2"/>
  <c r="AC38" i="2"/>
  <c r="AC167" i="6"/>
  <c r="AF115" i="2"/>
  <c r="AF162" i="6"/>
  <c r="AF113" i="6"/>
  <c r="AC32" i="2"/>
  <c r="AF189" i="6"/>
  <c r="AF46" i="2"/>
  <c r="AC263" i="6"/>
  <c r="AC354" i="6"/>
  <c r="AC291" i="6"/>
  <c r="AF354" i="6"/>
  <c r="AC57" i="2"/>
  <c r="AF113" i="2"/>
  <c r="AF59" i="2"/>
  <c r="AF247" i="2"/>
  <c r="AF372" i="2"/>
  <c r="AC385" i="6"/>
  <c r="AC113" i="2"/>
  <c r="AC257" i="6"/>
  <c r="AF257" i="6"/>
  <c r="AF131" i="2"/>
  <c r="AF249" i="2"/>
  <c r="AF246" i="6"/>
  <c r="AF250" i="2"/>
  <c r="AF57" i="2"/>
  <c r="AF246" i="2"/>
  <c r="AF257" i="2"/>
  <c r="AC172" i="5"/>
  <c r="AC41" i="5"/>
  <c r="AC257" i="2"/>
  <c r="AC165" i="6"/>
  <c r="AF351" i="6"/>
  <c r="AC43" i="2"/>
  <c r="AF295" i="6"/>
  <c r="AC187" i="6"/>
  <c r="AC114" i="5"/>
  <c r="AC186" i="6"/>
  <c r="AC42" i="2"/>
  <c r="AF128" i="5"/>
  <c r="AC289" i="6"/>
  <c r="AC56" i="2"/>
  <c r="AC34" i="2"/>
  <c r="AF260" i="6"/>
  <c r="AF129" i="5"/>
  <c r="AC247" i="2"/>
  <c r="AF289" i="6"/>
  <c r="AC119" i="2"/>
  <c r="AC295" i="6"/>
  <c r="AC177" i="5"/>
  <c r="AC59" i="2"/>
  <c r="AC290" i="6"/>
  <c r="AC117" i="5"/>
  <c r="AF172" i="5"/>
  <c r="AF126" i="5"/>
  <c r="AF117" i="5"/>
  <c r="AC246" i="6"/>
  <c r="AC249" i="5"/>
  <c r="AC160" i="6"/>
  <c r="AC288" i="6"/>
  <c r="AC351" i="6"/>
  <c r="AC40" i="2"/>
  <c r="AC114" i="6"/>
  <c r="AF41" i="5"/>
  <c r="AF160" i="6"/>
  <c r="AF165" i="6"/>
  <c r="AF288" i="6"/>
  <c r="AF258" i="5"/>
  <c r="AC263" i="5"/>
  <c r="AF118" i="5"/>
  <c r="AC179" i="5"/>
  <c r="AF166" i="6"/>
  <c r="AC263" i="2"/>
  <c r="AC353" i="6"/>
  <c r="AF374" i="6"/>
  <c r="AC352" i="2"/>
  <c r="AC29" i="2"/>
  <c r="AC247" i="5"/>
  <c r="AC166" i="6"/>
  <c r="AF116" i="6"/>
  <c r="AF127" i="2"/>
  <c r="AF186" i="6"/>
  <c r="AC251" i="6"/>
  <c r="AC116" i="5"/>
  <c r="AF352" i="6"/>
  <c r="AF259" i="5"/>
  <c r="AF31" i="2"/>
  <c r="AC40" i="5"/>
  <c r="AF251" i="6"/>
  <c r="AF179" i="5"/>
  <c r="AC42" i="5"/>
  <c r="AC374" i="6"/>
  <c r="AF352" i="2"/>
  <c r="AC185" i="6"/>
  <c r="AC126" i="2"/>
  <c r="AC261" i="5"/>
  <c r="AC257" i="5"/>
  <c r="AC116" i="6"/>
  <c r="AF263" i="2"/>
  <c r="AF119" i="6"/>
  <c r="AF245" i="5"/>
  <c r="AF43" i="2"/>
  <c r="AF187" i="6"/>
  <c r="AF34" i="2"/>
  <c r="AF250" i="6"/>
  <c r="AF291" i="6"/>
  <c r="AF119" i="2"/>
  <c r="AF40" i="5"/>
  <c r="AF131" i="5"/>
  <c r="AF47" i="5"/>
  <c r="AC176" i="5"/>
  <c r="AC127" i="2"/>
  <c r="AF353" i="6"/>
  <c r="AF372" i="6"/>
  <c r="AF371" i="2"/>
  <c r="AC128" i="2"/>
  <c r="AF261" i="2"/>
  <c r="AF44" i="2"/>
  <c r="AC54" i="2"/>
  <c r="AC258" i="2"/>
  <c r="AF262" i="6"/>
  <c r="AF38" i="5"/>
  <c r="AF113" i="5"/>
  <c r="AF127" i="5"/>
  <c r="AF171" i="5"/>
  <c r="AF185" i="6"/>
  <c r="AF157" i="6"/>
  <c r="AF178" i="5"/>
  <c r="AF293" i="6"/>
  <c r="AF258" i="2"/>
  <c r="AC45" i="2"/>
  <c r="AC293" i="6"/>
  <c r="AC373" i="2"/>
  <c r="AC374" i="2"/>
  <c r="AF247" i="6"/>
  <c r="AC261" i="2"/>
  <c r="AF128" i="2"/>
  <c r="AC157" i="6"/>
  <c r="AF169" i="5"/>
  <c r="AF126" i="2"/>
  <c r="AF115" i="5"/>
  <c r="AF247" i="5"/>
  <c r="AC191" i="6"/>
  <c r="AF384" i="6"/>
  <c r="AC384" i="6"/>
  <c r="AC170" i="5"/>
  <c r="AC41" i="2"/>
  <c r="AC178" i="5"/>
  <c r="AC46" i="5"/>
  <c r="AC247" i="6"/>
  <c r="AF374" i="2"/>
  <c r="AC373" i="6"/>
  <c r="AF351" i="2"/>
  <c r="AC262" i="6"/>
  <c r="AF46" i="5"/>
  <c r="AF170" i="5"/>
  <c r="AF261" i="6"/>
  <c r="AF41" i="2"/>
  <c r="AF245" i="6"/>
  <c r="AC158" i="6"/>
  <c r="AC375" i="6"/>
  <c r="AF39" i="5"/>
  <c r="AF261" i="5"/>
  <c r="AF257" i="5"/>
  <c r="AC245" i="6"/>
  <c r="AF294" i="6"/>
  <c r="AF54" i="2"/>
  <c r="AC37" i="2"/>
  <c r="AF373" i="2"/>
  <c r="AF262" i="5"/>
  <c r="AF164" i="6"/>
  <c r="AF45" i="5"/>
  <c r="AF55" i="2"/>
  <c r="AF114" i="2"/>
  <c r="AF381" i="6"/>
  <c r="AF39" i="2"/>
  <c r="AC188" i="6"/>
  <c r="AC251" i="5"/>
  <c r="AF371" i="6"/>
  <c r="AF354" i="2"/>
  <c r="AC129" i="2"/>
  <c r="AC58" i="2"/>
  <c r="AC175" i="5"/>
  <c r="AC174" i="5"/>
  <c r="AC383" i="6"/>
  <c r="AC33" i="2"/>
  <c r="AF40" i="2"/>
  <c r="AF290" i="6"/>
  <c r="AF58" i="2"/>
  <c r="AF260" i="2"/>
  <c r="AF175" i="5"/>
  <c r="AC173" i="5"/>
  <c r="AC35" i="2"/>
  <c r="AC47" i="5"/>
  <c r="AF292" i="6"/>
  <c r="AF158" i="6"/>
  <c r="AF53" i="2"/>
  <c r="AF173" i="5"/>
  <c r="AF35" i="2"/>
  <c r="AF248" i="2"/>
  <c r="AF174" i="5"/>
  <c r="AF248" i="5"/>
  <c r="AC159" i="6"/>
  <c r="AC116" i="2"/>
  <c r="AC292" i="6"/>
  <c r="AC258" i="5"/>
  <c r="AC169" i="5"/>
  <c r="AC287" i="6"/>
  <c r="AC118" i="2"/>
  <c r="AC55" i="2"/>
  <c r="AC118" i="6"/>
  <c r="AC250" i="6"/>
  <c r="AC353" i="2"/>
  <c r="AF353" i="2"/>
  <c r="AC371" i="2"/>
  <c r="AC115" i="6"/>
  <c r="AF250" i="5"/>
  <c r="AF262" i="2"/>
  <c r="AF125" i="2"/>
  <c r="AC161" i="6"/>
  <c r="AC119" i="5"/>
  <c r="AC245" i="2"/>
  <c r="AF385" i="6"/>
  <c r="AF249" i="5"/>
  <c r="AC382" i="6"/>
  <c r="AC246" i="5"/>
  <c r="AF355" i="6"/>
  <c r="AC115" i="5"/>
  <c r="AC248" i="5"/>
  <c r="AF176" i="5"/>
  <c r="AF117" i="2"/>
  <c r="AF56" i="2"/>
  <c r="AF246" i="5"/>
  <c r="AF263" i="6"/>
  <c r="AF251" i="5"/>
  <c r="AF263" i="5"/>
  <c r="AF177" i="5"/>
  <c r="AF129" i="2"/>
  <c r="AC47" i="2"/>
  <c r="AC248" i="2"/>
  <c r="AC190" i="6"/>
  <c r="AF37" i="2"/>
  <c r="AF130" i="2"/>
  <c r="AF118" i="2"/>
  <c r="AF118" i="6"/>
  <c r="AF116" i="2"/>
  <c r="AF119" i="5"/>
  <c r="AF33" i="2"/>
  <c r="AC117" i="2"/>
  <c r="AC381" i="6"/>
  <c r="AC259" i="2"/>
  <c r="AC245" i="5"/>
  <c r="AC372" i="2"/>
  <c r="AF355" i="2"/>
  <c r="AC371" i="6"/>
  <c r="AF373" i="6"/>
  <c r="AC375" i="2"/>
  <c r="AC354" i="2"/>
  <c r="AA230" i="5"/>
  <c r="AA231" i="6"/>
  <c r="AP88" i="6"/>
  <c r="AA221" i="6"/>
  <c r="AA218" i="6"/>
  <c r="AA235" i="6"/>
  <c r="AA238" i="6"/>
  <c r="AA231" i="2"/>
  <c r="AA230" i="2"/>
  <c r="AP98" i="5"/>
  <c r="AP89" i="5"/>
  <c r="AP86" i="6"/>
  <c r="AA222" i="2"/>
  <c r="AA220" i="6"/>
  <c r="AA222" i="5"/>
  <c r="AA217" i="2"/>
  <c r="O76" i="9"/>
  <c r="M77" i="9"/>
  <c r="N77" i="9" s="1"/>
  <c r="AP107" i="5"/>
  <c r="AP91" i="5"/>
  <c r="AP106" i="2"/>
  <c r="AA224" i="6"/>
  <c r="AA226" i="5"/>
  <c r="AA221" i="2"/>
  <c r="AA223" i="2"/>
  <c r="AP95" i="5"/>
  <c r="AP104" i="2"/>
  <c r="AP85" i="5"/>
  <c r="AP87" i="2"/>
  <c r="AA217" i="6"/>
  <c r="AA221" i="5"/>
  <c r="AA223" i="5"/>
  <c r="AA227" i="6"/>
  <c r="AP87" i="6"/>
  <c r="AP105" i="2"/>
  <c r="AA227" i="5"/>
  <c r="AA218" i="5"/>
  <c r="AA227" i="2"/>
  <c r="AA219" i="6"/>
  <c r="AA219" i="5"/>
  <c r="AP95" i="6"/>
  <c r="AP94" i="5"/>
  <c r="AP90" i="2"/>
  <c r="AP86" i="2"/>
  <c r="AA234" i="2"/>
  <c r="AA232" i="6"/>
  <c r="AA234" i="5"/>
  <c r="AA229" i="2"/>
  <c r="V277" i="7"/>
  <c r="X451" i="6"/>
  <c r="X453" i="5"/>
  <c r="X453" i="2"/>
  <c r="X451" i="5"/>
  <c r="V279" i="7"/>
  <c r="X455" i="2"/>
  <c r="V281" i="7"/>
  <c r="X449" i="6"/>
  <c r="X448" i="5"/>
  <c r="X450" i="5"/>
  <c r="V275" i="7"/>
  <c r="X452" i="6"/>
  <c r="X450" i="2"/>
  <c r="X448" i="2"/>
  <c r="X452" i="2"/>
  <c r="V283" i="7"/>
  <c r="X448" i="6"/>
  <c r="X452" i="5"/>
  <c r="X454" i="5"/>
  <c r="X454" i="2"/>
  <c r="V278" i="7"/>
  <c r="X454" i="6"/>
  <c r="X447" i="6"/>
  <c r="X450" i="6"/>
  <c r="X451" i="2"/>
  <c r="X453" i="6"/>
  <c r="X449" i="2"/>
  <c r="X447" i="5"/>
  <c r="X449" i="5"/>
  <c r="V276" i="7"/>
  <c r="V282" i="7"/>
  <c r="X447" i="2"/>
  <c r="X455" i="5"/>
  <c r="X455" i="6"/>
  <c r="V280" i="7"/>
  <c r="AF37" i="5"/>
  <c r="AC37" i="5"/>
  <c r="AP105" i="5"/>
  <c r="AP86" i="5"/>
  <c r="AP99" i="2"/>
  <c r="AA236" i="6"/>
  <c r="AA238" i="5"/>
  <c r="AA233" i="2"/>
  <c r="AA235" i="2"/>
  <c r="AP93" i="5"/>
  <c r="AP92" i="6"/>
  <c r="AP92" i="5"/>
  <c r="AA229" i="6"/>
  <c r="AA233" i="5"/>
  <c r="AA235" i="5"/>
  <c r="AA239" i="6"/>
  <c r="AP92" i="2"/>
  <c r="AP102" i="5"/>
  <c r="AP98" i="2"/>
  <c r="AP104" i="5"/>
  <c r="AA239" i="5"/>
  <c r="AA239" i="2"/>
  <c r="AA231" i="5"/>
  <c r="AP94" i="6"/>
  <c r="AP97" i="2"/>
  <c r="AP93" i="2"/>
  <c r="AP87" i="5"/>
  <c r="AA225" i="2"/>
  <c r="AA224" i="5"/>
  <c r="AP101" i="2"/>
  <c r="AP93" i="6"/>
  <c r="AP97" i="5"/>
  <c r="AA225" i="5"/>
  <c r="AA222" i="6"/>
  <c r="AA220" i="5"/>
  <c r="AA217" i="5"/>
  <c r="AP89" i="2"/>
  <c r="AP100" i="5"/>
  <c r="AP95" i="2"/>
  <c r="AP94" i="2"/>
  <c r="AA226" i="2"/>
  <c r="AA224" i="2"/>
  <c r="AA220" i="2"/>
  <c r="AA225" i="6"/>
  <c r="AP91" i="6"/>
  <c r="AP101" i="5"/>
  <c r="AP90" i="6"/>
  <c r="AP99" i="5"/>
  <c r="AA223" i="6"/>
  <c r="AA226" i="6"/>
  <c r="AA219" i="2"/>
  <c r="AA218" i="2"/>
  <c r="AP103" i="5"/>
  <c r="AP90" i="5"/>
  <c r="AP88" i="2"/>
  <c r="AA237" i="2"/>
  <c r="AA233" i="6"/>
  <c r="AA236" i="5"/>
  <c r="AA230" i="6"/>
  <c r="AP85" i="2"/>
  <c r="AP103" i="2"/>
  <c r="AA237" i="5"/>
  <c r="AA234" i="6"/>
  <c r="AA232" i="5"/>
  <c r="AA229" i="5"/>
  <c r="AP85" i="6"/>
  <c r="AP91" i="2"/>
  <c r="AP89" i="6"/>
  <c r="AA238" i="2"/>
  <c r="AA236" i="2"/>
  <c r="AA232" i="2"/>
  <c r="AA237" i="6"/>
  <c r="AP106" i="5"/>
  <c r="AP88" i="5"/>
  <c r="AP102" i="2"/>
  <c r="AP100" i="2"/>
  <c r="AP107" i="2"/>
  <c r="AB89" i="6" l="1"/>
  <c r="AC89" i="6" s="1"/>
  <c r="AB103" i="5"/>
  <c r="AB91" i="6"/>
  <c r="AB101" i="2"/>
  <c r="AB90" i="2"/>
  <c r="AB91" i="2"/>
  <c r="AB103" i="2"/>
  <c r="AB104" i="5"/>
  <c r="AB106" i="5"/>
  <c r="AB101" i="5"/>
  <c r="AB89" i="2"/>
  <c r="AB93" i="2"/>
  <c r="AB92" i="2"/>
  <c r="AB93" i="5"/>
  <c r="AB105" i="2"/>
  <c r="AB104" i="2"/>
  <c r="AB95" i="5"/>
  <c r="AF95" i="5" s="1"/>
  <c r="AB91" i="5"/>
  <c r="AB89" i="5"/>
  <c r="AB107" i="2"/>
  <c r="AF107" i="2" s="1"/>
  <c r="AB90" i="5"/>
  <c r="AB94" i="2"/>
  <c r="AB93" i="6"/>
  <c r="AB94" i="6"/>
  <c r="AB94" i="5"/>
  <c r="AB107" i="5"/>
  <c r="AB102" i="2"/>
  <c r="AB90" i="6"/>
  <c r="AB102" i="5"/>
  <c r="AB92" i="5"/>
  <c r="AB95" i="2"/>
  <c r="AB92" i="6"/>
  <c r="AF92" i="6" s="1"/>
  <c r="AB105" i="5"/>
  <c r="AB95" i="6"/>
  <c r="AB106" i="2"/>
  <c r="AP236" i="5"/>
  <c r="AP236" i="2"/>
  <c r="AP232" i="5"/>
  <c r="AP237" i="2"/>
  <c r="AP226" i="6"/>
  <c r="AP225" i="6"/>
  <c r="AP217" i="5"/>
  <c r="AP224" i="5"/>
  <c r="AP231" i="5"/>
  <c r="AP235" i="5"/>
  <c r="AP233" i="2"/>
  <c r="Y455" i="6"/>
  <c r="X465" i="6"/>
  <c r="Y465" i="6" s="1"/>
  <c r="W276" i="7"/>
  <c r="V286" i="7"/>
  <c r="W286" i="7" s="1"/>
  <c r="Y453" i="6"/>
  <c r="X463" i="6"/>
  <c r="Y463" i="6" s="1"/>
  <c r="Y454" i="6"/>
  <c r="X464" i="6"/>
  <c r="Y464" i="6" s="1"/>
  <c r="Y452" i="5"/>
  <c r="X462" i="5"/>
  <c r="Y462" i="5" s="1"/>
  <c r="Y448" i="2"/>
  <c r="X458" i="2"/>
  <c r="Y458" i="2" s="1"/>
  <c r="Y450" i="5"/>
  <c r="X460" i="5"/>
  <c r="Y460" i="5" s="1"/>
  <c r="Y455" i="2"/>
  <c r="X465" i="2"/>
  <c r="Y465" i="2" s="1"/>
  <c r="Y453" i="5"/>
  <c r="X463" i="5"/>
  <c r="Y463" i="5" s="1"/>
  <c r="AP234" i="5"/>
  <c r="AP219" i="6"/>
  <c r="AP217" i="6"/>
  <c r="AP223" i="2"/>
  <c r="AP222" i="5"/>
  <c r="AP231" i="2"/>
  <c r="AP229" i="5"/>
  <c r="AP233" i="6"/>
  <c r="AP219" i="2"/>
  <c r="AP226" i="2"/>
  <c r="AP225" i="5"/>
  <c r="AP239" i="6"/>
  <c r="AP235" i="2"/>
  <c r="W280" i="7"/>
  <c r="V290" i="7"/>
  <c r="W290" i="7" s="1"/>
  <c r="W282" i="7"/>
  <c r="V292" i="7"/>
  <c r="W292" i="7" s="1"/>
  <c r="Y449" i="2"/>
  <c r="X459" i="2"/>
  <c r="Y459" i="2" s="1"/>
  <c r="Y447" i="6"/>
  <c r="X457" i="6"/>
  <c r="Y457" i="6" s="1"/>
  <c r="Y454" i="5"/>
  <c r="X464" i="5"/>
  <c r="Y464" i="5" s="1"/>
  <c r="Y452" i="2"/>
  <c r="X462" i="2"/>
  <c r="Y462" i="2" s="1"/>
  <c r="W275" i="7"/>
  <c r="V285" i="7"/>
  <c r="W285" i="7" s="1"/>
  <c r="W281" i="7"/>
  <c r="V291" i="7"/>
  <c r="W291" i="7" s="1"/>
  <c r="Y453" i="2"/>
  <c r="X463" i="2"/>
  <c r="Y463" i="2" s="1"/>
  <c r="AP229" i="2"/>
  <c r="AP219" i="5"/>
  <c r="AP227" i="5"/>
  <c r="AP221" i="5"/>
  <c r="AP224" i="6"/>
  <c r="AP217" i="2"/>
  <c r="AP230" i="2"/>
  <c r="AP232" i="2"/>
  <c r="AP237" i="6"/>
  <c r="AP237" i="5"/>
  <c r="AP218" i="2"/>
  <c r="AP224" i="2"/>
  <c r="AP222" i="6"/>
  <c r="AP239" i="5"/>
  <c r="AP229" i="6"/>
  <c r="AP236" i="6"/>
  <c r="Y447" i="2"/>
  <c r="X457" i="2"/>
  <c r="Y457" i="2" s="1"/>
  <c r="Y447" i="5"/>
  <c r="X457" i="5"/>
  <c r="Y457" i="5" s="1"/>
  <c r="Y450" i="6"/>
  <c r="X460" i="6"/>
  <c r="Y460" i="6" s="1"/>
  <c r="Y454" i="2"/>
  <c r="X464" i="2"/>
  <c r="Y464" i="2" s="1"/>
  <c r="W283" i="7"/>
  <c r="V293" i="7"/>
  <c r="W293" i="7" s="1"/>
  <c r="Y452" i="6"/>
  <c r="X462" i="6"/>
  <c r="Y462" i="6" s="1"/>
  <c r="Y449" i="6"/>
  <c r="X459" i="6"/>
  <c r="Y459" i="6" s="1"/>
  <c r="Y451" i="5"/>
  <c r="X461" i="5"/>
  <c r="Y461" i="5" s="1"/>
  <c r="W277" i="7"/>
  <c r="V287" i="7"/>
  <c r="W287" i="7" s="1"/>
  <c r="AP234" i="2"/>
  <c r="AP218" i="5"/>
  <c r="AP223" i="5"/>
  <c r="AP226" i="5"/>
  <c r="X61" i="2"/>
  <c r="X62" i="2"/>
  <c r="X63" i="2"/>
  <c r="X64" i="2"/>
  <c r="X65" i="2"/>
  <c r="X66" i="2"/>
  <c r="X67" i="2"/>
  <c r="X68" i="2"/>
  <c r="X69" i="2"/>
  <c r="X70" i="2"/>
  <c r="X71" i="2"/>
  <c r="X61" i="5"/>
  <c r="X62" i="5"/>
  <c r="X63" i="5"/>
  <c r="X64" i="5"/>
  <c r="X65" i="5"/>
  <c r="X66" i="5"/>
  <c r="X67" i="5"/>
  <c r="X68" i="5"/>
  <c r="X69" i="5"/>
  <c r="X70" i="5"/>
  <c r="X71" i="5"/>
  <c r="X61" i="6"/>
  <c r="X62" i="6"/>
  <c r="X63" i="6"/>
  <c r="X64" i="6"/>
  <c r="X65" i="6"/>
  <c r="X66" i="6"/>
  <c r="X67" i="6"/>
  <c r="X68" i="6"/>
  <c r="X69" i="6"/>
  <c r="X70" i="6"/>
  <c r="X71" i="6"/>
  <c r="V27" i="7"/>
  <c r="V35" i="7"/>
  <c r="V34" i="7"/>
  <c r="V38" i="7"/>
  <c r="V28" i="7"/>
  <c r="V32" i="7"/>
  <c r="V37" i="7"/>
  <c r="V36" i="7"/>
  <c r="V29" i="7"/>
  <c r="V33" i="7"/>
  <c r="V31" i="7"/>
  <c r="V30" i="7"/>
  <c r="V39" i="7"/>
  <c r="AP222" i="2"/>
  <c r="AP235" i="6"/>
  <c r="AP221" i="6"/>
  <c r="AP230" i="5"/>
  <c r="AP238" i="2"/>
  <c r="AP234" i="6"/>
  <c r="AP230" i="6"/>
  <c r="AP223" i="6"/>
  <c r="AP220" i="2"/>
  <c r="AP220" i="5"/>
  <c r="AP225" i="2"/>
  <c r="AP239" i="2"/>
  <c r="AP233" i="5"/>
  <c r="AP238" i="5"/>
  <c r="Y455" i="5"/>
  <c r="X465" i="5"/>
  <c r="Y465" i="5" s="1"/>
  <c r="Y449" i="5"/>
  <c r="X459" i="5"/>
  <c r="Y459" i="5" s="1"/>
  <c r="Y451" i="2"/>
  <c r="X461" i="2"/>
  <c r="Y461" i="2" s="1"/>
  <c r="W278" i="7"/>
  <c r="V288" i="7"/>
  <c r="W288" i="7" s="1"/>
  <c r="Y448" i="6"/>
  <c r="X458" i="6"/>
  <c r="Y458" i="6" s="1"/>
  <c r="Y450" i="2"/>
  <c r="X460" i="2"/>
  <c r="Y460" i="2" s="1"/>
  <c r="Y448" i="5"/>
  <c r="X458" i="5"/>
  <c r="Y458" i="5" s="1"/>
  <c r="W279" i="7"/>
  <c r="V289" i="7"/>
  <c r="W289" i="7" s="1"/>
  <c r="Y451" i="6"/>
  <c r="X461" i="6"/>
  <c r="Y461" i="6" s="1"/>
  <c r="AP232" i="6"/>
  <c r="AP227" i="2"/>
  <c r="AP227" i="6"/>
  <c r="AP221" i="2"/>
  <c r="O77" i="9"/>
  <c r="M78" i="9"/>
  <c r="N78" i="9" s="1"/>
  <c r="AP220" i="6"/>
  <c r="AP238" i="6"/>
  <c r="AP218" i="6"/>
  <c r="AP231" i="6"/>
  <c r="AF106" i="5" l="1"/>
  <c r="AC95" i="5"/>
  <c r="AF90" i="5"/>
  <c r="AC90" i="5"/>
  <c r="AF89" i="6"/>
  <c r="AC90" i="2"/>
  <c r="AF92" i="2"/>
  <c r="AF102" i="5"/>
  <c r="AC92" i="2"/>
  <c r="AF105" i="5"/>
  <c r="AC94" i="5"/>
  <c r="AF94" i="5"/>
  <c r="AF90" i="2"/>
  <c r="AF106" i="2"/>
  <c r="AC105" i="2"/>
  <c r="AC91" i="6"/>
  <c r="AF102" i="2"/>
  <c r="AC89" i="5"/>
  <c r="AC95" i="2"/>
  <c r="AC106" i="2"/>
  <c r="AF105" i="2"/>
  <c r="AF103" i="2"/>
  <c r="AF89" i="5"/>
  <c r="AF93" i="6"/>
  <c r="AC89" i="2"/>
  <c r="AF95" i="2"/>
  <c r="AC102" i="2"/>
  <c r="AF89" i="2"/>
  <c r="AF91" i="6"/>
  <c r="AC93" i="6"/>
  <c r="AC103" i="2"/>
  <c r="AC95" i="6"/>
  <c r="AF91" i="5"/>
  <c r="AC92" i="5"/>
  <c r="AF94" i="2"/>
  <c r="AC91" i="2"/>
  <c r="AF101" i="5"/>
  <c r="AF91" i="2"/>
  <c r="AF101" i="2"/>
  <c r="AC93" i="2"/>
  <c r="AF104" i="2"/>
  <c r="AF93" i="2"/>
  <c r="AB238" i="5"/>
  <c r="AB221" i="6"/>
  <c r="AF221" i="6" s="1"/>
  <c r="AB224" i="2"/>
  <c r="AB227" i="2"/>
  <c r="AC90" i="6"/>
  <c r="AB227" i="5"/>
  <c r="AC92" i="6"/>
  <c r="AC104" i="2"/>
  <c r="AB239" i="2"/>
  <c r="AB223" i="6"/>
  <c r="AC223" i="6" s="1"/>
  <c r="AB234" i="6"/>
  <c r="AC93" i="5"/>
  <c r="AB223" i="5"/>
  <c r="AB236" i="6"/>
  <c r="AF104" i="5"/>
  <c r="AB237" i="5"/>
  <c r="AB237" i="6"/>
  <c r="AF237" i="6" s="1"/>
  <c r="AB221" i="5"/>
  <c r="AF95" i="6"/>
  <c r="AF93" i="5"/>
  <c r="AF94" i="6"/>
  <c r="AB225" i="5"/>
  <c r="AF225" i="5" s="1"/>
  <c r="AB226" i="2"/>
  <c r="AF90" i="6"/>
  <c r="AB234" i="5"/>
  <c r="AF103" i="5"/>
  <c r="AB236" i="2"/>
  <c r="AB236" i="5"/>
  <c r="AC236" i="5" s="1"/>
  <c r="AC101" i="2"/>
  <c r="AC94" i="2"/>
  <c r="AC107" i="2"/>
  <c r="AB221" i="2"/>
  <c r="AC221" i="2" s="1"/>
  <c r="AB235" i="6"/>
  <c r="AB239" i="5"/>
  <c r="AF239" i="5" s="1"/>
  <c r="AB224" i="6"/>
  <c r="AB226" i="6"/>
  <c r="AB237" i="2"/>
  <c r="AF237" i="2" s="1"/>
  <c r="AB238" i="6"/>
  <c r="AF238" i="6" s="1"/>
  <c r="AB225" i="2"/>
  <c r="AC91" i="5"/>
  <c r="AF107" i="5"/>
  <c r="AF92" i="5"/>
  <c r="AB239" i="6"/>
  <c r="AB225" i="6"/>
  <c r="AB227" i="6"/>
  <c r="AB233" i="5"/>
  <c r="AB238" i="2"/>
  <c r="AC94" i="6"/>
  <c r="AB222" i="2"/>
  <c r="AB226" i="5"/>
  <c r="AB234" i="2"/>
  <c r="AC234" i="2" s="1"/>
  <c r="AB222" i="6"/>
  <c r="AB235" i="2"/>
  <c r="AB233" i="6"/>
  <c r="AB222" i="5"/>
  <c r="AB223" i="2"/>
  <c r="AB233" i="2"/>
  <c r="AF233" i="2" s="1"/>
  <c r="AB235" i="5"/>
  <c r="AB224" i="5"/>
  <c r="AL289" i="7"/>
  <c r="AD289" i="7"/>
  <c r="V49" i="7"/>
  <c r="W49" i="7" s="1"/>
  <c r="W35" i="7"/>
  <c r="X81" i="6"/>
  <c r="Y81" i="6" s="1"/>
  <c r="Y69" i="6"/>
  <c r="X77" i="6"/>
  <c r="Y77" i="6" s="1"/>
  <c r="Y65" i="6"/>
  <c r="X73" i="6"/>
  <c r="Y73" i="6" s="1"/>
  <c r="Y61" i="6"/>
  <c r="X83" i="2"/>
  <c r="Y83" i="2" s="1"/>
  <c r="Y71" i="2"/>
  <c r="X79" i="2"/>
  <c r="Y79" i="2" s="1"/>
  <c r="Y67" i="2"/>
  <c r="X75" i="2"/>
  <c r="Y75" i="2" s="1"/>
  <c r="Y63" i="2"/>
  <c r="AN461" i="5"/>
  <c r="AF461" i="5"/>
  <c r="AN462" i="6"/>
  <c r="AF462" i="6"/>
  <c r="AN464" i="2"/>
  <c r="AF464" i="2"/>
  <c r="AN457" i="5"/>
  <c r="AF457" i="5"/>
  <c r="AN453" i="2"/>
  <c r="AF453" i="2"/>
  <c r="AL275" i="7"/>
  <c r="AD275" i="7"/>
  <c r="AN454" i="5"/>
  <c r="AF454" i="5"/>
  <c r="AN449" i="2"/>
  <c r="AF449" i="2"/>
  <c r="AL280" i="7"/>
  <c r="AD280" i="7"/>
  <c r="AN463" i="5"/>
  <c r="AF463" i="5"/>
  <c r="AN460" i="5"/>
  <c r="AF460" i="5"/>
  <c r="AN462" i="5"/>
  <c r="AF462" i="5"/>
  <c r="AN463" i="6"/>
  <c r="AF463" i="6"/>
  <c r="AN465" i="6"/>
  <c r="AF465" i="6"/>
  <c r="X193" i="2"/>
  <c r="X197" i="2"/>
  <c r="X201" i="2"/>
  <c r="X195" i="2"/>
  <c r="X199" i="2"/>
  <c r="X203" i="2"/>
  <c r="X194" i="2"/>
  <c r="X202" i="2"/>
  <c r="X193" i="5"/>
  <c r="X194" i="5"/>
  <c r="X195" i="5"/>
  <c r="X196" i="5"/>
  <c r="X197" i="5"/>
  <c r="X198" i="5"/>
  <c r="X199" i="5"/>
  <c r="X200" i="5"/>
  <c r="X201" i="5"/>
  <c r="X202" i="5"/>
  <c r="X203" i="5"/>
  <c r="X198" i="2"/>
  <c r="X195" i="6"/>
  <c r="X200" i="6"/>
  <c r="X203" i="6"/>
  <c r="X200" i="2"/>
  <c r="X196" i="6"/>
  <c r="X199" i="6"/>
  <c r="X197" i="6"/>
  <c r="X202" i="6"/>
  <c r="X201" i="6"/>
  <c r="X196" i="2"/>
  <c r="X198" i="6"/>
  <c r="X194" i="6"/>
  <c r="X193" i="6"/>
  <c r="V112" i="7"/>
  <c r="V121" i="7"/>
  <c r="V117" i="7"/>
  <c r="V114" i="7"/>
  <c r="V115" i="7"/>
  <c r="V120" i="7"/>
  <c r="V118" i="7"/>
  <c r="V111" i="7"/>
  <c r="V116" i="7"/>
  <c r="V123" i="7"/>
  <c r="V113" i="7"/>
  <c r="V122" i="7"/>
  <c r="V119" i="7"/>
  <c r="AN451" i="6"/>
  <c r="AF451" i="6"/>
  <c r="AN448" i="5"/>
  <c r="AF448" i="5"/>
  <c r="AN448" i="6"/>
  <c r="AF448" i="6"/>
  <c r="AN451" i="2"/>
  <c r="AF451" i="2"/>
  <c r="AN455" i="5"/>
  <c r="AF455" i="5"/>
  <c r="W31" i="7"/>
  <c r="V45" i="7"/>
  <c r="W45" i="7" s="1"/>
  <c r="W37" i="7"/>
  <c r="V51" i="7"/>
  <c r="W51" i="7" s="1"/>
  <c r="W34" i="7"/>
  <c r="V48" i="7"/>
  <c r="W48" i="7" s="1"/>
  <c r="Y70" i="6"/>
  <c r="X82" i="6"/>
  <c r="Y82" i="6" s="1"/>
  <c r="Y66" i="6"/>
  <c r="X78" i="6"/>
  <c r="Y78" i="6" s="1"/>
  <c r="Y62" i="6"/>
  <c r="X74" i="6"/>
  <c r="Y74" i="6" s="1"/>
  <c r="Y69" i="5"/>
  <c r="X81" i="5"/>
  <c r="Y81" i="5" s="1"/>
  <c r="Y65" i="5"/>
  <c r="X77" i="5"/>
  <c r="Y77" i="5" s="1"/>
  <c r="Y61" i="5"/>
  <c r="X73" i="5"/>
  <c r="Y73" i="5" s="1"/>
  <c r="X80" i="2"/>
  <c r="Y80" i="2" s="1"/>
  <c r="Y68" i="2"/>
  <c r="X76" i="2"/>
  <c r="Y76" i="2" s="1"/>
  <c r="Y64" i="2"/>
  <c r="AL277" i="7"/>
  <c r="AD277" i="7"/>
  <c r="AN449" i="6"/>
  <c r="AF449" i="6"/>
  <c r="AL283" i="7"/>
  <c r="AD283" i="7"/>
  <c r="AN450" i="6"/>
  <c r="AF450" i="6"/>
  <c r="AN447" i="2"/>
  <c r="AF447" i="2"/>
  <c r="AN463" i="2"/>
  <c r="AF463" i="2"/>
  <c r="AL285" i="7"/>
  <c r="AD285" i="7"/>
  <c r="AN464" i="5"/>
  <c r="AF464" i="5"/>
  <c r="AN459" i="2"/>
  <c r="AF459" i="2"/>
  <c r="AL290" i="7"/>
  <c r="AD290" i="7"/>
  <c r="AN455" i="2"/>
  <c r="AF455" i="2"/>
  <c r="AN448" i="2"/>
  <c r="AF448" i="2"/>
  <c r="AN454" i="6"/>
  <c r="AF454" i="6"/>
  <c r="AL276" i="7"/>
  <c r="AD276" i="7"/>
  <c r="AL288" i="7"/>
  <c r="AD288" i="7"/>
  <c r="W32" i="7"/>
  <c r="V46" i="7"/>
  <c r="W46" i="7" s="1"/>
  <c r="Y68" i="5"/>
  <c r="X80" i="5"/>
  <c r="Y80" i="5" s="1"/>
  <c r="D23" i="8"/>
  <c r="O78" i="9"/>
  <c r="AN461" i="6"/>
  <c r="AF461" i="6"/>
  <c r="AN458" i="5"/>
  <c r="AF458" i="5"/>
  <c r="AN458" i="6"/>
  <c r="AF458" i="6"/>
  <c r="AN461" i="2"/>
  <c r="AF461" i="2"/>
  <c r="AN465" i="5"/>
  <c r="AF465" i="5"/>
  <c r="W30" i="7"/>
  <c r="V44" i="7"/>
  <c r="W44" i="7" s="1"/>
  <c r="W36" i="7"/>
  <c r="V50" i="7"/>
  <c r="W50" i="7" s="1"/>
  <c r="W38" i="7"/>
  <c r="V52" i="7"/>
  <c r="W52" i="7" s="1"/>
  <c r="X83" i="6"/>
  <c r="Y83" i="6" s="1"/>
  <c r="Y71" i="6"/>
  <c r="Y67" i="6"/>
  <c r="X79" i="6"/>
  <c r="Y79" i="6" s="1"/>
  <c r="X75" i="6"/>
  <c r="Y75" i="6" s="1"/>
  <c r="Y63" i="6"/>
  <c r="Y70" i="5"/>
  <c r="X82" i="5"/>
  <c r="Y82" i="5" s="1"/>
  <c r="Y66" i="5"/>
  <c r="X78" i="5"/>
  <c r="Y78" i="5" s="1"/>
  <c r="Y62" i="5"/>
  <c r="X74" i="5"/>
  <c r="Y74" i="5" s="1"/>
  <c r="X81" i="2"/>
  <c r="Y81" i="2" s="1"/>
  <c r="Y69" i="2"/>
  <c r="X77" i="2"/>
  <c r="Y77" i="2" s="1"/>
  <c r="Y65" i="2"/>
  <c r="X73" i="2"/>
  <c r="Y73" i="2" s="1"/>
  <c r="Y61" i="2"/>
  <c r="AL287" i="7"/>
  <c r="AD287" i="7"/>
  <c r="AN459" i="6"/>
  <c r="AF459" i="6"/>
  <c r="AL293" i="7"/>
  <c r="AD293" i="7"/>
  <c r="AN460" i="6"/>
  <c r="AF460" i="6"/>
  <c r="AN457" i="2"/>
  <c r="AF457" i="2"/>
  <c r="AL281" i="7"/>
  <c r="AD281" i="7"/>
  <c r="AN452" i="2"/>
  <c r="AF452" i="2"/>
  <c r="AN447" i="6"/>
  <c r="AF447" i="6"/>
  <c r="AL282" i="7"/>
  <c r="AD282" i="7"/>
  <c r="AN465" i="2"/>
  <c r="AF465" i="2"/>
  <c r="AN458" i="2"/>
  <c r="AF458" i="2"/>
  <c r="AN464" i="6"/>
  <c r="AF464" i="6"/>
  <c r="AL286" i="7"/>
  <c r="AD286" i="7"/>
  <c r="AN460" i="2"/>
  <c r="AF460" i="2"/>
  <c r="AN459" i="5"/>
  <c r="AF459" i="5"/>
  <c r="W33" i="7"/>
  <c r="V47" i="7"/>
  <c r="W47" i="7" s="1"/>
  <c r="Y64" i="5"/>
  <c r="X76" i="5"/>
  <c r="Y76" i="5" s="1"/>
  <c r="AL279" i="7"/>
  <c r="AD279" i="7"/>
  <c r="AN450" i="2"/>
  <c r="AF450" i="2"/>
  <c r="AL278" i="7"/>
  <c r="AD278" i="7"/>
  <c r="AN449" i="5"/>
  <c r="AF449" i="5"/>
  <c r="W39" i="7"/>
  <c r="V53" i="7"/>
  <c r="W53" i="7" s="1"/>
  <c r="W29" i="7"/>
  <c r="V43" i="7"/>
  <c r="W43" i="7" s="1"/>
  <c r="W28" i="7"/>
  <c r="V42" i="7"/>
  <c r="W42" i="7" s="1"/>
  <c r="V41" i="7"/>
  <c r="W41" i="7" s="1"/>
  <c r="W27" i="7"/>
  <c r="Y68" i="6"/>
  <c r="X80" i="6"/>
  <c r="Y80" i="6" s="1"/>
  <c r="Y64" i="6"/>
  <c r="X76" i="6"/>
  <c r="Y76" i="6" s="1"/>
  <c r="Y71" i="5"/>
  <c r="X83" i="5"/>
  <c r="Y83" i="5" s="1"/>
  <c r="Y67" i="5"/>
  <c r="X79" i="5"/>
  <c r="Y79" i="5" s="1"/>
  <c r="Y63" i="5"/>
  <c r="X75" i="5"/>
  <c r="Y75" i="5" s="1"/>
  <c r="X82" i="2"/>
  <c r="Y82" i="2" s="1"/>
  <c r="Y70" i="2"/>
  <c r="X78" i="2"/>
  <c r="Y78" i="2" s="1"/>
  <c r="Y66" i="2"/>
  <c r="X74" i="2"/>
  <c r="Y74" i="2" s="1"/>
  <c r="Y62" i="2"/>
  <c r="AN451" i="5"/>
  <c r="AF451" i="5"/>
  <c r="AN452" i="6"/>
  <c r="AF452" i="6"/>
  <c r="AN454" i="2"/>
  <c r="AF454" i="2"/>
  <c r="AN447" i="5"/>
  <c r="AF447" i="5"/>
  <c r="AL291" i="7"/>
  <c r="AD291" i="7"/>
  <c r="AN462" i="2"/>
  <c r="AF462" i="2"/>
  <c r="AN457" i="6"/>
  <c r="AF457" i="6"/>
  <c r="AL292" i="7"/>
  <c r="AD292" i="7"/>
  <c r="AN453" i="5"/>
  <c r="AF453" i="5"/>
  <c r="AN450" i="5"/>
  <c r="AF450" i="5"/>
  <c r="AN452" i="5"/>
  <c r="AF452" i="5"/>
  <c r="AN453" i="6"/>
  <c r="AF453" i="6"/>
  <c r="AN455" i="6"/>
  <c r="AF455" i="6"/>
  <c r="AF238" i="5" l="1"/>
  <c r="AC236" i="6"/>
  <c r="AC234" i="5"/>
  <c r="AC223" i="2"/>
  <c r="AC239" i="5"/>
  <c r="AC238" i="6"/>
  <c r="AF236" i="6"/>
  <c r="AC238" i="5"/>
  <c r="AC234" i="6"/>
  <c r="AF233" i="6"/>
  <c r="AF235" i="2"/>
  <c r="AC235" i="2"/>
  <c r="AC224" i="2"/>
  <c r="AC224" i="5"/>
  <c r="AF237" i="5"/>
  <c r="AF224" i="5"/>
  <c r="AF222" i="5"/>
  <c r="AC222" i="5"/>
  <c r="AF234" i="2"/>
  <c r="AF239" i="6"/>
  <c r="AC235" i="6"/>
  <c r="AC238" i="2"/>
  <c r="AF236" i="5"/>
  <c r="AF238" i="2"/>
  <c r="AC239" i="6"/>
  <c r="AF223" i="6"/>
  <c r="AC224" i="6"/>
  <c r="AF227" i="2"/>
  <c r="AF227" i="5"/>
  <c r="AC237" i="5"/>
  <c r="AF221" i="5"/>
  <c r="AC227" i="6"/>
  <c r="AF227" i="6"/>
  <c r="AC221" i="5"/>
  <c r="AF222" i="2"/>
  <c r="AF224" i="6"/>
  <c r="AC233" i="2"/>
  <c r="AC222" i="2"/>
  <c r="AC225" i="5"/>
  <c r="AF225" i="2"/>
  <c r="AC225" i="2"/>
  <c r="AC239" i="2"/>
  <c r="AC226" i="5"/>
  <c r="AC233" i="6"/>
  <c r="AC233" i="5"/>
  <c r="AF224" i="2"/>
  <c r="AF226" i="2"/>
  <c r="AF221" i="2"/>
  <c r="AC226" i="6"/>
  <c r="AF226" i="6"/>
  <c r="AC226" i="2"/>
  <c r="AF234" i="5"/>
  <c r="AC227" i="5"/>
  <c r="AC225" i="6"/>
  <c r="AF236" i="2"/>
  <c r="AF226" i="5"/>
  <c r="AC223" i="5"/>
  <c r="AF222" i="6"/>
  <c r="AF223" i="5"/>
  <c r="AC227" i="2"/>
  <c r="AC236" i="2"/>
  <c r="AC222" i="6"/>
  <c r="AC221" i="6"/>
  <c r="AC237" i="2"/>
  <c r="AF234" i="6"/>
  <c r="AF233" i="5"/>
  <c r="AF225" i="6"/>
  <c r="AC235" i="5"/>
  <c r="AC237" i="6"/>
  <c r="AF235" i="6"/>
  <c r="AF239" i="2"/>
  <c r="AF235" i="5"/>
  <c r="AF223" i="2"/>
  <c r="AN68" i="6"/>
  <c r="Z68" i="6" s="1"/>
  <c r="AN63" i="6"/>
  <c r="Z63" i="6" s="1"/>
  <c r="AN71" i="6"/>
  <c r="Z71" i="6" s="1"/>
  <c r="AN62" i="6"/>
  <c r="Z62" i="6" s="1"/>
  <c r="AN70" i="6"/>
  <c r="Z70" i="6" s="1"/>
  <c r="AN65" i="6"/>
  <c r="Z65" i="6" s="1"/>
  <c r="AN64" i="6"/>
  <c r="Z64" i="6" s="1"/>
  <c r="AN66" i="6"/>
  <c r="Z66" i="6" s="1"/>
  <c r="AN61" i="6"/>
  <c r="Z61" i="6" s="1"/>
  <c r="AN69" i="6"/>
  <c r="Z69" i="6" s="1"/>
  <c r="AN67" i="6"/>
  <c r="Z67" i="6" s="1"/>
  <c r="AN78" i="5"/>
  <c r="Z78" i="5" s="1"/>
  <c r="AN80" i="5"/>
  <c r="Z80" i="5" s="1"/>
  <c r="AN77" i="5"/>
  <c r="Z77" i="5" s="1"/>
  <c r="AN79" i="5"/>
  <c r="Z79" i="5" s="1"/>
  <c r="AN76" i="5"/>
  <c r="Z76" i="5" s="1"/>
  <c r="AN74" i="5"/>
  <c r="Z74" i="5" s="1"/>
  <c r="AN82" i="5"/>
  <c r="Z82" i="5" s="1"/>
  <c r="AN73" i="5"/>
  <c r="Z73" i="5" s="1"/>
  <c r="AN81" i="5"/>
  <c r="Z81" i="5" s="1"/>
  <c r="AN75" i="5"/>
  <c r="Z75" i="5" s="1"/>
  <c r="AN83" i="5"/>
  <c r="Z83" i="5" s="1"/>
  <c r="AL27" i="7"/>
  <c r="AL43" i="7"/>
  <c r="AL36" i="7"/>
  <c r="AL37" i="7"/>
  <c r="AL41" i="7"/>
  <c r="AL29" i="7"/>
  <c r="AL52" i="7"/>
  <c r="AL44" i="7"/>
  <c r="AL46" i="7"/>
  <c r="AL48" i="7"/>
  <c r="AL45" i="7"/>
  <c r="AL35" i="7"/>
  <c r="AL42" i="7"/>
  <c r="AL53" i="7"/>
  <c r="AL47" i="7"/>
  <c r="AL38" i="7"/>
  <c r="AL30" i="7"/>
  <c r="AL32" i="7"/>
  <c r="AL34" i="7"/>
  <c r="AL31" i="7"/>
  <c r="AL49" i="7"/>
  <c r="AL28" i="7"/>
  <c r="AL39" i="7"/>
  <c r="AL33" i="7"/>
  <c r="AL50" i="7"/>
  <c r="AL51" i="7"/>
  <c r="AA71" i="5"/>
  <c r="AD28" i="7"/>
  <c r="AA81" i="2"/>
  <c r="AA66" i="5"/>
  <c r="AN83" i="6"/>
  <c r="Z83" i="6" s="1"/>
  <c r="AF83" i="6"/>
  <c r="AD36" i="7"/>
  <c r="AD32" i="7"/>
  <c r="AA80" i="2"/>
  <c r="AA65" i="5"/>
  <c r="AD37" i="7"/>
  <c r="W122" i="7"/>
  <c r="V136" i="7"/>
  <c r="W136" i="7" s="1"/>
  <c r="W111" i="7"/>
  <c r="V125" i="7"/>
  <c r="W125" i="7" s="1"/>
  <c r="W114" i="7"/>
  <c r="V128" i="7"/>
  <c r="W128" i="7" s="1"/>
  <c r="Y193" i="6"/>
  <c r="X205" i="6"/>
  <c r="Y205" i="6" s="1"/>
  <c r="Y201" i="6"/>
  <c r="X213" i="6"/>
  <c r="Y213" i="6" s="1"/>
  <c r="Y196" i="6"/>
  <c r="X208" i="6"/>
  <c r="Y208" i="6" s="1"/>
  <c r="Y195" i="6"/>
  <c r="X207" i="6"/>
  <c r="Y207" i="6" s="1"/>
  <c r="X213" i="5"/>
  <c r="Y213" i="5" s="1"/>
  <c r="Y201" i="5"/>
  <c r="X209" i="5"/>
  <c r="Y209" i="5" s="1"/>
  <c r="Y197" i="5"/>
  <c r="X205" i="5"/>
  <c r="Y205" i="5" s="1"/>
  <c r="Y193" i="5"/>
  <c r="Y199" i="2"/>
  <c r="X211" i="2"/>
  <c r="Y211" i="2" s="1"/>
  <c r="Y193" i="2"/>
  <c r="X205" i="2"/>
  <c r="Y205" i="2" s="1"/>
  <c r="AA79" i="2"/>
  <c r="AN73" i="6"/>
  <c r="AF73" i="6"/>
  <c r="AN81" i="6"/>
  <c r="Z81" i="6" s="1"/>
  <c r="AF81" i="6"/>
  <c r="AA66" i="2"/>
  <c r="AN80" i="6"/>
  <c r="Z80" i="6" s="1"/>
  <c r="AF80" i="6"/>
  <c r="AD42" i="7"/>
  <c r="AD53" i="7"/>
  <c r="AD47" i="7"/>
  <c r="AA61" i="2"/>
  <c r="AA69" i="2"/>
  <c r="AD50" i="7"/>
  <c r="X317" i="2"/>
  <c r="X318" i="2"/>
  <c r="X319" i="2"/>
  <c r="X320" i="2"/>
  <c r="X321" i="2"/>
  <c r="X322" i="2"/>
  <c r="X323" i="2"/>
  <c r="X324" i="2"/>
  <c r="X325" i="2"/>
  <c r="X317" i="6"/>
  <c r="X318" i="6"/>
  <c r="X319" i="6"/>
  <c r="X320" i="6"/>
  <c r="X321" i="6"/>
  <c r="X322" i="6"/>
  <c r="X323" i="6"/>
  <c r="X324" i="6"/>
  <c r="X325" i="6"/>
  <c r="X317" i="5"/>
  <c r="X321" i="5"/>
  <c r="X325" i="5"/>
  <c r="X318" i="5"/>
  <c r="X322" i="5"/>
  <c r="X319" i="5"/>
  <c r="X320" i="5"/>
  <c r="X323" i="5"/>
  <c r="X324" i="5"/>
  <c r="V196" i="7"/>
  <c r="V199" i="7"/>
  <c r="V201" i="7"/>
  <c r="V204" i="7"/>
  <c r="V197" i="7"/>
  <c r="V198" i="7"/>
  <c r="V195" i="7"/>
  <c r="V202" i="7"/>
  <c r="V206" i="7"/>
  <c r="V207" i="7"/>
  <c r="V203" i="7"/>
  <c r="V205" i="7"/>
  <c r="V200" i="7"/>
  <c r="AD46" i="7"/>
  <c r="AA68" i="2"/>
  <c r="AN74" i="6"/>
  <c r="Z74" i="6" s="1"/>
  <c r="AF74" i="6"/>
  <c r="AN82" i="6"/>
  <c r="Z82" i="6" s="1"/>
  <c r="AF82" i="6"/>
  <c r="AD51" i="7"/>
  <c r="W119" i="7"/>
  <c r="V133" i="7"/>
  <c r="W133" i="7" s="1"/>
  <c r="W116" i="7"/>
  <c r="V130" i="7"/>
  <c r="W130" i="7" s="1"/>
  <c r="W115" i="7"/>
  <c r="V129" i="7"/>
  <c r="W129" i="7" s="1"/>
  <c r="W112" i="7"/>
  <c r="V126" i="7"/>
  <c r="W126" i="7" s="1"/>
  <c r="Y196" i="2"/>
  <c r="X208" i="2"/>
  <c r="Y208" i="2" s="1"/>
  <c r="Y199" i="6"/>
  <c r="X211" i="6"/>
  <c r="Y211" i="6" s="1"/>
  <c r="Y200" i="6"/>
  <c r="X212" i="6"/>
  <c r="Y212" i="6" s="1"/>
  <c r="X214" i="5"/>
  <c r="Y214" i="5" s="1"/>
  <c r="Y202" i="5"/>
  <c r="X210" i="5"/>
  <c r="Y210" i="5" s="1"/>
  <c r="Y198" i="5"/>
  <c r="X206" i="5"/>
  <c r="Y206" i="5" s="1"/>
  <c r="Y194" i="5"/>
  <c r="Y203" i="2"/>
  <c r="X215" i="2"/>
  <c r="Y215" i="2" s="1"/>
  <c r="Y197" i="2"/>
  <c r="X209" i="2"/>
  <c r="Y209" i="2" s="1"/>
  <c r="AA67" i="2"/>
  <c r="AA78" i="2"/>
  <c r="AD39" i="7"/>
  <c r="AD33" i="7"/>
  <c r="AA73" i="2"/>
  <c r="AA74" i="2"/>
  <c r="AA82" i="2"/>
  <c r="AA67" i="5"/>
  <c r="AD41" i="7"/>
  <c r="AD29" i="7"/>
  <c r="AA64" i="5"/>
  <c r="AA77" i="2"/>
  <c r="AA62" i="5"/>
  <c r="AA70" i="5"/>
  <c r="AD38" i="7"/>
  <c r="AD30" i="7"/>
  <c r="AA68" i="5"/>
  <c r="AA76" i="2"/>
  <c r="AA61" i="5"/>
  <c r="AA69" i="5"/>
  <c r="AD34" i="7"/>
  <c r="AD31" i="7"/>
  <c r="W123" i="7"/>
  <c r="V137" i="7"/>
  <c r="W137" i="7" s="1"/>
  <c r="W120" i="7"/>
  <c r="V134" i="7"/>
  <c r="W134" i="7" s="1"/>
  <c r="W121" i="7"/>
  <c r="V135" i="7"/>
  <c r="W135" i="7" s="1"/>
  <c r="Y198" i="6"/>
  <c r="X210" i="6"/>
  <c r="Y210" i="6" s="1"/>
  <c r="Y197" i="6"/>
  <c r="X209" i="6"/>
  <c r="Y209" i="6" s="1"/>
  <c r="Y203" i="6"/>
  <c r="X215" i="6"/>
  <c r="Y215" i="6" s="1"/>
  <c r="X215" i="5"/>
  <c r="Y215" i="5" s="1"/>
  <c r="Y203" i="5"/>
  <c r="X211" i="5"/>
  <c r="Y211" i="5" s="1"/>
  <c r="Y199" i="5"/>
  <c r="X207" i="5"/>
  <c r="Y207" i="5" s="1"/>
  <c r="Y195" i="5"/>
  <c r="Y194" i="2"/>
  <c r="X206" i="2"/>
  <c r="Y206" i="2" s="1"/>
  <c r="X213" i="2"/>
  <c r="Y213" i="2" s="1"/>
  <c r="Y201" i="2"/>
  <c r="AA75" i="2"/>
  <c r="AA83" i="2"/>
  <c r="AN77" i="6"/>
  <c r="Z77" i="6" s="1"/>
  <c r="AF77" i="6"/>
  <c r="AD49" i="7"/>
  <c r="AA63" i="5"/>
  <c r="AN75" i="6"/>
  <c r="Z75" i="6" s="1"/>
  <c r="AF75" i="6"/>
  <c r="AA62" i="2"/>
  <c r="AA70" i="2"/>
  <c r="AN76" i="6"/>
  <c r="Z76" i="6" s="1"/>
  <c r="AF76" i="6"/>
  <c r="AD27" i="7"/>
  <c r="AD43" i="7"/>
  <c r="AA65" i="2"/>
  <c r="AN79" i="6"/>
  <c r="Z79" i="6" s="1"/>
  <c r="AF79" i="6"/>
  <c r="AD52" i="7"/>
  <c r="AD44" i="7"/>
  <c r="AA64" i="2"/>
  <c r="AN78" i="6"/>
  <c r="Z78" i="6" s="1"/>
  <c r="AF78" i="6"/>
  <c r="AD48" i="7"/>
  <c r="AD45" i="7"/>
  <c r="W113" i="7"/>
  <c r="V127" i="7"/>
  <c r="W127" i="7" s="1"/>
  <c r="W118" i="7"/>
  <c r="V132" i="7"/>
  <c r="W132" i="7" s="1"/>
  <c r="W117" i="7"/>
  <c r="V131" i="7"/>
  <c r="W131" i="7" s="1"/>
  <c r="Y194" i="6"/>
  <c r="X206" i="6"/>
  <c r="Y206" i="6" s="1"/>
  <c r="Y202" i="6"/>
  <c r="X214" i="6"/>
  <c r="Y214" i="6" s="1"/>
  <c r="Y200" i="2"/>
  <c r="X212" i="2"/>
  <c r="Y212" i="2" s="1"/>
  <c r="Y198" i="2"/>
  <c r="X210" i="2"/>
  <c r="Y210" i="2" s="1"/>
  <c r="X212" i="5"/>
  <c r="Y212" i="5" s="1"/>
  <c r="Y200" i="5"/>
  <c r="X208" i="5"/>
  <c r="Y208" i="5" s="1"/>
  <c r="Y196" i="5"/>
  <c r="Y202" i="2"/>
  <c r="X214" i="2"/>
  <c r="Y214" i="2" s="1"/>
  <c r="Y195" i="2"/>
  <c r="X207" i="2"/>
  <c r="Y207" i="2" s="1"/>
  <c r="AA63" i="2"/>
  <c r="AA71" i="2"/>
  <c r="AD35" i="7"/>
  <c r="AA75" i="5" l="1"/>
  <c r="AA73" i="5"/>
  <c r="AA74" i="5"/>
  <c r="AA79" i="5"/>
  <c r="AA80" i="5"/>
  <c r="AA67" i="6"/>
  <c r="AA61" i="6"/>
  <c r="AA66" i="6"/>
  <c r="AA70" i="6"/>
  <c r="AA63" i="6"/>
  <c r="AA68" i="6"/>
  <c r="AA83" i="5"/>
  <c r="AA81" i="5"/>
  <c r="AA82" i="5"/>
  <c r="AA76" i="5"/>
  <c r="AA77" i="5"/>
  <c r="AA78" i="5"/>
  <c r="AA69" i="6"/>
  <c r="AA64" i="6"/>
  <c r="AA65" i="6"/>
  <c r="AA62" i="6"/>
  <c r="AA71" i="6"/>
  <c r="AN206" i="6"/>
  <c r="Z206" i="6" s="1"/>
  <c r="AN211" i="6"/>
  <c r="Z211" i="6" s="1"/>
  <c r="AN215" i="6"/>
  <c r="Z215" i="6" s="1"/>
  <c r="AN210" i="6"/>
  <c r="Z210" i="6" s="1"/>
  <c r="AN207" i="6"/>
  <c r="Z207" i="6" s="1"/>
  <c r="AN213" i="6"/>
  <c r="Z213" i="6" s="1"/>
  <c r="AN214" i="6"/>
  <c r="Z214" i="6" s="1"/>
  <c r="AN212" i="6"/>
  <c r="Z212" i="6" s="1"/>
  <c r="AN209" i="6"/>
  <c r="Z209" i="6" s="1"/>
  <c r="AN208" i="6"/>
  <c r="Z208" i="6" s="1"/>
  <c r="AN205" i="6"/>
  <c r="Z205" i="6" s="1"/>
  <c r="AN207" i="2"/>
  <c r="Z207" i="2" s="1"/>
  <c r="AN210" i="2"/>
  <c r="Z210" i="2" s="1"/>
  <c r="AN206" i="2"/>
  <c r="Z206" i="2" s="1"/>
  <c r="AN210" i="5"/>
  <c r="Z210" i="5" s="1"/>
  <c r="AN211" i="2"/>
  <c r="Z211" i="2" s="1"/>
  <c r="AN208" i="5"/>
  <c r="Z208" i="5" s="1"/>
  <c r="AN211" i="5"/>
  <c r="Z211" i="5" s="1"/>
  <c r="AN209" i="2"/>
  <c r="Z209" i="2" s="1"/>
  <c r="AN209" i="5"/>
  <c r="Z209" i="5" s="1"/>
  <c r="AN214" i="2"/>
  <c r="Z214" i="2" s="1"/>
  <c r="AN212" i="2"/>
  <c r="Z212" i="2" s="1"/>
  <c r="AN206" i="5"/>
  <c r="Z206" i="5" s="1"/>
  <c r="AN214" i="5"/>
  <c r="Z214" i="5" s="1"/>
  <c r="AN205" i="2"/>
  <c r="AN212" i="5"/>
  <c r="Z212" i="5" s="1"/>
  <c r="AN213" i="2"/>
  <c r="Z213" i="2" s="1"/>
  <c r="AN207" i="5"/>
  <c r="Z207" i="5" s="1"/>
  <c r="AN215" i="5"/>
  <c r="Z215" i="5" s="1"/>
  <c r="AN215" i="2"/>
  <c r="Z215" i="2" s="1"/>
  <c r="AN208" i="2"/>
  <c r="Z208" i="2" s="1"/>
  <c r="AN205" i="5"/>
  <c r="AN213" i="5"/>
  <c r="Z213" i="5" s="1"/>
  <c r="AA76" i="6"/>
  <c r="AA79" i="6"/>
  <c r="AA77" i="6"/>
  <c r="AA83" i="6"/>
  <c r="AA74" i="6"/>
  <c r="AA78" i="6"/>
  <c r="AA81" i="6"/>
  <c r="AF207" i="2"/>
  <c r="AF210" i="2"/>
  <c r="AL127" i="7"/>
  <c r="AD127" i="7"/>
  <c r="AP64" i="2"/>
  <c r="AP63" i="5"/>
  <c r="AA201" i="2"/>
  <c r="AA203" i="5"/>
  <c r="AL137" i="7"/>
  <c r="AD137" i="7"/>
  <c r="AP70" i="5"/>
  <c r="AP64" i="6"/>
  <c r="AP73" i="2"/>
  <c r="AP78" i="2"/>
  <c r="AA196" i="2"/>
  <c r="AL119" i="7"/>
  <c r="AD119" i="7"/>
  <c r="W205" i="7"/>
  <c r="V219" i="7"/>
  <c r="W219" i="7" s="1"/>
  <c r="W204" i="7"/>
  <c r="V218" i="7"/>
  <c r="W218" i="7" s="1"/>
  <c r="Y322" i="5"/>
  <c r="X332" i="5"/>
  <c r="Y332" i="5" s="1"/>
  <c r="X327" i="5"/>
  <c r="Y327" i="5" s="1"/>
  <c r="Y317" i="5"/>
  <c r="X328" i="6"/>
  <c r="Y328" i="6" s="1"/>
  <c r="Y318" i="6"/>
  <c r="Y323" i="2"/>
  <c r="X333" i="2"/>
  <c r="Y333" i="2" s="1"/>
  <c r="AA197" i="5"/>
  <c r="AL128" i="7"/>
  <c r="AD128" i="7"/>
  <c r="AP71" i="5"/>
  <c r="AA202" i="2"/>
  <c r="AA194" i="6"/>
  <c r="AL118" i="7"/>
  <c r="AD118" i="7"/>
  <c r="AP82" i="5"/>
  <c r="AP62" i="2"/>
  <c r="AA203" i="6"/>
  <c r="AA198" i="6"/>
  <c r="AL120" i="7"/>
  <c r="AD120" i="7"/>
  <c r="AP69" i="5"/>
  <c r="AP68" i="5"/>
  <c r="AP67" i="6"/>
  <c r="AP74" i="2"/>
  <c r="AP68" i="6"/>
  <c r="AP67" i="2"/>
  <c r="AF215" i="2"/>
  <c r="AA198" i="5"/>
  <c r="AF208" i="2"/>
  <c r="AL129" i="7"/>
  <c r="AD129" i="7"/>
  <c r="AD133" i="7"/>
  <c r="AL133" i="7"/>
  <c r="AP77" i="5"/>
  <c r="W200" i="7"/>
  <c r="V214" i="7"/>
  <c r="W214" i="7" s="1"/>
  <c r="W206" i="7"/>
  <c r="V220" i="7"/>
  <c r="W220" i="7" s="1"/>
  <c r="W197" i="7"/>
  <c r="V211" i="7"/>
  <c r="W211" i="7" s="1"/>
  <c r="W196" i="7"/>
  <c r="V210" i="7"/>
  <c r="W210" i="7" s="1"/>
  <c r="Y319" i="5"/>
  <c r="X329" i="5"/>
  <c r="Y329" i="5" s="1"/>
  <c r="X331" i="5"/>
  <c r="Y331" i="5" s="1"/>
  <c r="Y321" i="5"/>
  <c r="X333" i="6"/>
  <c r="Y333" i="6" s="1"/>
  <c r="Y323" i="6"/>
  <c r="X329" i="6"/>
  <c r="Y329" i="6" s="1"/>
  <c r="Y319" i="6"/>
  <c r="Y324" i="2"/>
  <c r="X334" i="2"/>
  <c r="Y334" i="2" s="1"/>
  <c r="Y320" i="2"/>
  <c r="X330" i="2"/>
  <c r="Y330" i="2" s="1"/>
  <c r="AP63" i="6"/>
  <c r="AP66" i="2"/>
  <c r="AA193" i="2"/>
  <c r="AA196" i="6"/>
  <c r="AA193" i="6"/>
  <c r="AL111" i="7"/>
  <c r="AD111" i="7"/>
  <c r="AP70" i="6"/>
  <c r="AP81" i="2"/>
  <c r="AF214" i="2"/>
  <c r="AA200" i="5"/>
  <c r="AF212" i="2"/>
  <c r="AL132" i="7"/>
  <c r="AD132" i="7"/>
  <c r="AP81" i="5"/>
  <c r="AP80" i="5"/>
  <c r="AP76" i="5"/>
  <c r="AP70" i="2"/>
  <c r="AF206" i="2"/>
  <c r="AA199" i="5"/>
  <c r="AL134" i="7"/>
  <c r="AD134" i="7"/>
  <c r="AP66" i="6"/>
  <c r="AP76" i="2"/>
  <c r="AP77" i="2"/>
  <c r="AP82" i="2"/>
  <c r="AP61" i="6"/>
  <c r="AA197" i="2"/>
  <c r="AA199" i="6"/>
  <c r="AL112" i="7"/>
  <c r="AD112" i="7"/>
  <c r="AL116" i="7"/>
  <c r="AD116" i="7"/>
  <c r="W207" i="7"/>
  <c r="V221" i="7"/>
  <c r="W221" i="7" s="1"/>
  <c r="W198" i="7"/>
  <c r="V212" i="7"/>
  <c r="W212" i="7" s="1"/>
  <c r="W199" i="7"/>
  <c r="V213" i="7"/>
  <c r="W213" i="7" s="1"/>
  <c r="X330" i="5"/>
  <c r="Y330" i="5" s="1"/>
  <c r="Y320" i="5"/>
  <c r="X335" i="5"/>
  <c r="Y335" i="5" s="1"/>
  <c r="Y325" i="5"/>
  <c r="X334" i="6"/>
  <c r="Y334" i="6" s="1"/>
  <c r="Y324" i="6"/>
  <c r="X330" i="6"/>
  <c r="Y330" i="6" s="1"/>
  <c r="Y320" i="6"/>
  <c r="Y325" i="2"/>
  <c r="X335" i="2"/>
  <c r="Y335" i="2" s="1"/>
  <c r="Y321" i="2"/>
  <c r="X331" i="2"/>
  <c r="Y331" i="2" s="1"/>
  <c r="Y317" i="2"/>
  <c r="X327" i="2"/>
  <c r="Y327" i="2" s="1"/>
  <c r="AP71" i="6"/>
  <c r="AP75" i="5"/>
  <c r="AF205" i="2"/>
  <c r="AA193" i="5"/>
  <c r="AA201" i="5"/>
  <c r="AL125" i="7"/>
  <c r="AD125" i="7"/>
  <c r="AP80" i="2"/>
  <c r="AP66" i="5"/>
  <c r="AA82" i="6"/>
  <c r="AA80" i="6"/>
  <c r="AA75" i="6"/>
  <c r="AP71" i="2"/>
  <c r="AA196" i="5"/>
  <c r="AL131" i="7"/>
  <c r="AD131" i="7"/>
  <c r="AP74" i="5"/>
  <c r="AP75" i="2"/>
  <c r="AA195" i="5"/>
  <c r="AL135" i="7"/>
  <c r="AD135" i="7"/>
  <c r="AP69" i="6"/>
  <c r="AA203" i="2"/>
  <c r="AA200" i="6"/>
  <c r="AL115" i="7"/>
  <c r="AD115" i="7"/>
  <c r="AP68" i="2"/>
  <c r="W202" i="7"/>
  <c r="V216" i="7"/>
  <c r="W216" i="7" s="1"/>
  <c r="X334" i="5"/>
  <c r="Y334" i="5" s="1"/>
  <c r="Y324" i="5"/>
  <c r="X332" i="6"/>
  <c r="Y332" i="6" s="1"/>
  <c r="Y322" i="6"/>
  <c r="Y319" i="2"/>
  <c r="X329" i="2"/>
  <c r="Y329" i="2" s="1"/>
  <c r="AP78" i="5"/>
  <c r="AP61" i="2"/>
  <c r="Z73" i="6"/>
  <c r="AF211" i="2"/>
  <c r="AL136" i="7"/>
  <c r="AD136" i="7"/>
  <c r="AP62" i="6"/>
  <c r="AP65" i="6"/>
  <c r="AA200" i="2"/>
  <c r="AP73" i="5"/>
  <c r="AP83" i="2"/>
  <c r="AA194" i="2"/>
  <c r="AP63" i="2"/>
  <c r="AA195" i="2"/>
  <c r="AA198" i="2"/>
  <c r="AA202" i="6"/>
  <c r="AL117" i="7"/>
  <c r="AD117" i="7"/>
  <c r="AL113" i="7"/>
  <c r="AD113" i="7"/>
  <c r="AP65" i="2"/>
  <c r="AP79" i="5"/>
  <c r="AF213" i="2"/>
  <c r="AA197" i="6"/>
  <c r="AL121" i="7"/>
  <c r="AD121" i="7"/>
  <c r="AL123" i="7"/>
  <c r="AD123" i="7"/>
  <c r="AP61" i="5"/>
  <c r="AP62" i="5"/>
  <c r="AP64" i="5"/>
  <c r="AP67" i="5"/>
  <c r="AF209" i="2"/>
  <c r="AA194" i="5"/>
  <c r="AA202" i="5"/>
  <c r="AL126" i="7"/>
  <c r="AD126" i="7"/>
  <c r="AL130" i="7"/>
  <c r="AD130" i="7"/>
  <c r="W203" i="7"/>
  <c r="V217" i="7"/>
  <c r="W217" i="7" s="1"/>
  <c r="W195" i="7"/>
  <c r="V209" i="7"/>
  <c r="W209" i="7" s="1"/>
  <c r="W201" i="7"/>
  <c r="V215" i="7"/>
  <c r="W215" i="7" s="1"/>
  <c r="Y323" i="5"/>
  <c r="X333" i="5"/>
  <c r="Y333" i="5" s="1"/>
  <c r="Y318" i="5"/>
  <c r="X328" i="5"/>
  <c r="Y328" i="5" s="1"/>
  <c r="X335" i="6"/>
  <c r="Y335" i="6" s="1"/>
  <c r="Y325" i="6"/>
  <c r="X331" i="6"/>
  <c r="Y331" i="6" s="1"/>
  <c r="Y321" i="6"/>
  <c r="X327" i="6"/>
  <c r="Y327" i="6" s="1"/>
  <c r="Y317" i="6"/>
  <c r="Y322" i="2"/>
  <c r="X332" i="2"/>
  <c r="Y332" i="2" s="1"/>
  <c r="Y318" i="2"/>
  <c r="X328" i="2"/>
  <c r="Y328" i="2" s="1"/>
  <c r="AP69" i="2"/>
  <c r="AP83" i="5"/>
  <c r="AP79" i="2"/>
  <c r="AA199" i="2"/>
  <c r="AA195" i="6"/>
  <c r="AA201" i="6"/>
  <c r="AL114" i="7"/>
  <c r="AD114" i="7"/>
  <c r="AL122" i="7"/>
  <c r="AD122" i="7"/>
  <c r="AP65" i="5"/>
  <c r="AB69" i="2" l="1"/>
  <c r="AC69" i="2" s="1"/>
  <c r="AB65" i="6"/>
  <c r="AC65" i="6" s="1"/>
  <c r="AB71" i="6"/>
  <c r="AB66" i="2"/>
  <c r="AB62" i="2"/>
  <c r="AB66" i="5"/>
  <c r="AB81" i="2"/>
  <c r="AB68" i="5"/>
  <c r="AB83" i="5"/>
  <c r="AC83" i="5" s="1"/>
  <c r="AB64" i="5"/>
  <c r="AF64" i="5" s="1"/>
  <c r="AB63" i="2"/>
  <c r="AB68" i="2"/>
  <c r="AB77" i="2"/>
  <c r="AB66" i="6"/>
  <c r="AB70" i="2"/>
  <c r="AB81" i="5"/>
  <c r="AB63" i="6"/>
  <c r="AB67" i="6"/>
  <c r="AC67" i="6" s="1"/>
  <c r="AB69" i="5"/>
  <c r="AC69" i="5" s="1"/>
  <c r="AB82" i="5"/>
  <c r="AB71" i="5"/>
  <c r="AB64" i="6"/>
  <c r="AB64" i="2"/>
  <c r="AB69" i="6"/>
  <c r="AF69" i="6" s="1"/>
  <c r="AB80" i="2"/>
  <c r="AB82" i="2"/>
  <c r="AC82" i="2" s="1"/>
  <c r="AB70" i="6"/>
  <c r="AB77" i="5"/>
  <c r="AC77" i="5" s="1"/>
  <c r="AB78" i="2"/>
  <c r="AB79" i="2"/>
  <c r="AB62" i="6"/>
  <c r="AB71" i="2"/>
  <c r="AC71" i="2" s="1"/>
  <c r="AB76" i="2"/>
  <c r="AB76" i="5"/>
  <c r="AF76" i="5" s="1"/>
  <c r="AB80" i="5"/>
  <c r="AF80" i="5" s="1"/>
  <c r="AB73" i="2"/>
  <c r="AB65" i="5"/>
  <c r="AC65" i="5" s="1"/>
  <c r="AB67" i="5"/>
  <c r="AC67" i="5" s="1"/>
  <c r="AB62" i="5"/>
  <c r="AB79" i="5"/>
  <c r="AB65" i="2"/>
  <c r="AC65" i="2" s="1"/>
  <c r="AB83" i="2"/>
  <c r="AB73" i="5"/>
  <c r="AC73" i="5" s="1"/>
  <c r="AB78" i="5"/>
  <c r="AB75" i="2"/>
  <c r="AB74" i="5"/>
  <c r="AB75" i="5"/>
  <c r="AC75" i="5" s="1"/>
  <c r="AB67" i="2"/>
  <c r="AB68" i="6"/>
  <c r="AC68" i="6" s="1"/>
  <c r="AB74" i="2"/>
  <c r="AB70" i="5"/>
  <c r="AC70" i="5" s="1"/>
  <c r="AB63" i="5"/>
  <c r="AC63" i="5" s="1"/>
  <c r="AC75" i="6"/>
  <c r="AC81" i="6"/>
  <c r="AC77" i="6"/>
  <c r="AC80" i="6"/>
  <c r="AC78" i="6"/>
  <c r="AC79" i="6"/>
  <c r="AC82" i="6"/>
  <c r="AC74" i="6"/>
  <c r="AC76" i="6"/>
  <c r="AC83" i="6"/>
  <c r="AA208" i="6"/>
  <c r="AA209" i="6"/>
  <c r="AA212" i="6"/>
  <c r="AP212" i="6" s="1"/>
  <c r="AA207" i="6"/>
  <c r="AP207" i="6" s="1"/>
  <c r="AA210" i="6"/>
  <c r="AP210" i="6" s="1"/>
  <c r="AA205" i="6"/>
  <c r="AP205" i="6" s="1"/>
  <c r="AA214" i="6"/>
  <c r="AP214" i="6" s="1"/>
  <c r="AA213" i="6"/>
  <c r="AP213" i="6" s="1"/>
  <c r="AA215" i="6"/>
  <c r="AP215" i="6" s="1"/>
  <c r="AA211" i="6"/>
  <c r="AA206" i="6"/>
  <c r="AP206" i="6" s="1"/>
  <c r="AA208" i="5"/>
  <c r="AN504" i="6"/>
  <c r="AA207" i="5"/>
  <c r="AA210" i="5"/>
  <c r="AA213" i="2"/>
  <c r="AA206" i="2"/>
  <c r="AA214" i="5"/>
  <c r="AA209" i="2"/>
  <c r="AA208" i="2"/>
  <c r="AA206" i="5"/>
  <c r="AA211" i="5"/>
  <c r="AA215" i="2"/>
  <c r="AA212" i="5"/>
  <c r="AA212" i="2"/>
  <c r="AA210" i="2"/>
  <c r="AA213" i="5"/>
  <c r="AA215" i="5"/>
  <c r="AA214" i="2"/>
  <c r="AA209" i="5"/>
  <c r="AA211" i="2"/>
  <c r="AA207" i="2"/>
  <c r="AN323" i="5"/>
  <c r="Z323" i="5" s="1"/>
  <c r="AN329" i="2"/>
  <c r="Z329" i="2" s="1"/>
  <c r="AN324" i="5"/>
  <c r="Z324" i="5" s="1"/>
  <c r="AN327" i="2"/>
  <c r="Z327" i="2" s="1"/>
  <c r="AN335" i="2"/>
  <c r="Z335" i="2" s="1"/>
  <c r="AN320" i="5"/>
  <c r="Z320" i="5" s="1"/>
  <c r="AN331" i="5"/>
  <c r="Z331" i="5" s="1"/>
  <c r="AN332" i="5"/>
  <c r="Z332" i="5" s="1"/>
  <c r="AN332" i="2"/>
  <c r="Z332" i="2" s="1"/>
  <c r="AN328" i="5"/>
  <c r="Z328" i="5" s="1"/>
  <c r="AN334" i="5"/>
  <c r="Z334" i="5" s="1"/>
  <c r="AN330" i="5"/>
  <c r="Z330" i="5" s="1"/>
  <c r="AN334" i="2"/>
  <c r="Z334" i="2" s="1"/>
  <c r="AN329" i="5"/>
  <c r="Z329" i="5" s="1"/>
  <c r="AN322" i="5"/>
  <c r="Z322" i="5" s="1"/>
  <c r="Z205" i="2"/>
  <c r="AN318" i="5"/>
  <c r="Z318" i="5" s="1"/>
  <c r="AN331" i="2"/>
  <c r="Z331" i="2" s="1"/>
  <c r="AN325" i="5"/>
  <c r="Z325" i="5" s="1"/>
  <c r="AN319" i="5"/>
  <c r="Z319" i="5" s="1"/>
  <c r="AN333" i="2"/>
  <c r="Z333" i="2" s="1"/>
  <c r="AN317" i="5"/>
  <c r="Z317" i="5" s="1"/>
  <c r="AN328" i="2"/>
  <c r="Z328" i="2" s="1"/>
  <c r="AN333" i="5"/>
  <c r="Z333" i="5" s="1"/>
  <c r="AN335" i="5"/>
  <c r="Z335" i="5" s="1"/>
  <c r="AN330" i="2"/>
  <c r="Z330" i="2" s="1"/>
  <c r="AN321" i="5"/>
  <c r="Z321" i="5" s="1"/>
  <c r="AN327" i="5"/>
  <c r="Z327" i="5" s="1"/>
  <c r="Z205" i="5"/>
  <c r="Y504" i="6"/>
  <c r="S77" i="9"/>
  <c r="AP199" i="2"/>
  <c r="AF328" i="2"/>
  <c r="AF333" i="5"/>
  <c r="AP194" i="5"/>
  <c r="AP209" i="5"/>
  <c r="AA331" i="6"/>
  <c r="AL201" i="7"/>
  <c r="AD201" i="7"/>
  <c r="AP202" i="5"/>
  <c r="AP215" i="5"/>
  <c r="AP195" i="2"/>
  <c r="AA319" i="2"/>
  <c r="AP196" i="5"/>
  <c r="AP208" i="6"/>
  <c r="AA321" i="2"/>
  <c r="AA330" i="6"/>
  <c r="AF335" i="5"/>
  <c r="AL199" i="7"/>
  <c r="AD199" i="7"/>
  <c r="AL207" i="7"/>
  <c r="AD207" i="7"/>
  <c r="AP197" i="2"/>
  <c r="AF334" i="2"/>
  <c r="AA323" i="6"/>
  <c r="AF329" i="5"/>
  <c r="AL211" i="7"/>
  <c r="AD211" i="7"/>
  <c r="AL214" i="7"/>
  <c r="AD214" i="7"/>
  <c r="AP211" i="5"/>
  <c r="AF333" i="2"/>
  <c r="AF317" i="5"/>
  <c r="AL218" i="7"/>
  <c r="AD218" i="7"/>
  <c r="AP195" i="6"/>
  <c r="AF332" i="2"/>
  <c r="AA321" i="6"/>
  <c r="AF328" i="5"/>
  <c r="AL215" i="7"/>
  <c r="AD215" i="7"/>
  <c r="AL217" i="7"/>
  <c r="AD217" i="7"/>
  <c r="AP211" i="6"/>
  <c r="AB61" i="5"/>
  <c r="AP197" i="6"/>
  <c r="AP208" i="5"/>
  <c r="AA73" i="6"/>
  <c r="AF329" i="2"/>
  <c r="AF324" i="5"/>
  <c r="AF331" i="2"/>
  <c r="AA320" i="6"/>
  <c r="AF325" i="5"/>
  <c r="AL213" i="7"/>
  <c r="AD213" i="7"/>
  <c r="AD221" i="7"/>
  <c r="AL221" i="7"/>
  <c r="AP206" i="5"/>
  <c r="AB61" i="6"/>
  <c r="AP199" i="5"/>
  <c r="AP213" i="5"/>
  <c r="AA320" i="2"/>
  <c r="AA329" i="6"/>
  <c r="AF331" i="5"/>
  <c r="AL196" i="7"/>
  <c r="AD196" i="7"/>
  <c r="AL206" i="7"/>
  <c r="AD206" i="7"/>
  <c r="AP203" i="6"/>
  <c r="AP202" i="2"/>
  <c r="AP197" i="5"/>
  <c r="AA328" i="6"/>
  <c r="AF322" i="5"/>
  <c r="AL205" i="7"/>
  <c r="AD205" i="7"/>
  <c r="AP210" i="5"/>
  <c r="AP201" i="2"/>
  <c r="Y504" i="5"/>
  <c r="AA325" i="6"/>
  <c r="AL209" i="7"/>
  <c r="AD209" i="7"/>
  <c r="AA322" i="2"/>
  <c r="AF318" i="5"/>
  <c r="AL203" i="7"/>
  <c r="AD203" i="7"/>
  <c r="AF334" i="5"/>
  <c r="AP195" i="5"/>
  <c r="AP201" i="6"/>
  <c r="AA318" i="2"/>
  <c r="AA327" i="6"/>
  <c r="AA335" i="6"/>
  <c r="AF323" i="5"/>
  <c r="AL195" i="7"/>
  <c r="AD195" i="7"/>
  <c r="AP198" i="2"/>
  <c r="AA332" i="6"/>
  <c r="AL202" i="7"/>
  <c r="AD202" i="7"/>
  <c r="AP203" i="2"/>
  <c r="AP193" i="5"/>
  <c r="AA317" i="2"/>
  <c r="AA325" i="2"/>
  <c r="AA334" i="6"/>
  <c r="AF330" i="5"/>
  <c r="AL198" i="7"/>
  <c r="AD198" i="7"/>
  <c r="AP214" i="5"/>
  <c r="AP196" i="6"/>
  <c r="AF330" i="2"/>
  <c r="AA319" i="6"/>
  <c r="AF321" i="5"/>
  <c r="AL210" i="7"/>
  <c r="AD210" i="7"/>
  <c r="AL220" i="7"/>
  <c r="AD220" i="7"/>
  <c r="AP198" i="5"/>
  <c r="AP198" i="6"/>
  <c r="AP212" i="5"/>
  <c r="AA318" i="6"/>
  <c r="AF332" i="5"/>
  <c r="AL219" i="7"/>
  <c r="AD219" i="7"/>
  <c r="AP196" i="2"/>
  <c r="AP203" i="5"/>
  <c r="W332" i="7"/>
  <c r="Y504" i="2"/>
  <c r="R77" i="9"/>
  <c r="AA317" i="6"/>
  <c r="AP207" i="5"/>
  <c r="AP202" i="6"/>
  <c r="AP194" i="2"/>
  <c r="AP200" i="2"/>
  <c r="AB61" i="2"/>
  <c r="AA322" i="6"/>
  <c r="AL216" i="7"/>
  <c r="AD216" i="7"/>
  <c r="AP200" i="6"/>
  <c r="AP201" i="5"/>
  <c r="AF327" i="2"/>
  <c r="AF335" i="2"/>
  <c r="AA324" i="6"/>
  <c r="AF320" i="5"/>
  <c r="AL212" i="7"/>
  <c r="AD212" i="7"/>
  <c r="AP199" i="6"/>
  <c r="AP200" i="5"/>
  <c r="AP193" i="6"/>
  <c r="AP193" i="2"/>
  <c r="AA324" i="2"/>
  <c r="AA333" i="6"/>
  <c r="AF319" i="5"/>
  <c r="AL197" i="7"/>
  <c r="AD197" i="7"/>
  <c r="AL200" i="7"/>
  <c r="AD200" i="7"/>
  <c r="AP194" i="6"/>
  <c r="AA323" i="2"/>
  <c r="AF327" i="5"/>
  <c r="AD204" i="7"/>
  <c r="AL204" i="7"/>
  <c r="AP209" i="6"/>
  <c r="AF62" i="2" l="1"/>
  <c r="AF68" i="2"/>
  <c r="AC62" i="2"/>
  <c r="AF83" i="5"/>
  <c r="AF69" i="2"/>
  <c r="AF67" i="6"/>
  <c r="AF71" i="6"/>
  <c r="AF63" i="2"/>
  <c r="AF81" i="2"/>
  <c r="AC71" i="6"/>
  <c r="AC81" i="2"/>
  <c r="AC63" i="2"/>
  <c r="AC76" i="2"/>
  <c r="AF66" i="5"/>
  <c r="AF80" i="2"/>
  <c r="AC71" i="5"/>
  <c r="AF65" i="2"/>
  <c r="AF78" i="2"/>
  <c r="AF75" i="2"/>
  <c r="AC77" i="2"/>
  <c r="AF63" i="6"/>
  <c r="AF65" i="5"/>
  <c r="AC75" i="2"/>
  <c r="AC64" i="2"/>
  <c r="AC80" i="2"/>
  <c r="AC70" i="2"/>
  <c r="AF71" i="5"/>
  <c r="AC78" i="2"/>
  <c r="AC64" i="5"/>
  <c r="AC63" i="6"/>
  <c r="AF68" i="6"/>
  <c r="AF76" i="2"/>
  <c r="AF77" i="2"/>
  <c r="AF62" i="5"/>
  <c r="AF69" i="5"/>
  <c r="AF62" i="6"/>
  <c r="AF73" i="5"/>
  <c r="AF70" i="5"/>
  <c r="AF70" i="2"/>
  <c r="AC80" i="5"/>
  <c r="AC62" i="6"/>
  <c r="AF70" i="6"/>
  <c r="AC62" i="5"/>
  <c r="AC70" i="6"/>
  <c r="AF64" i="2"/>
  <c r="AF75" i="5"/>
  <c r="AC66" i="2"/>
  <c r="AF66" i="2"/>
  <c r="AC68" i="5"/>
  <c r="AB209" i="6"/>
  <c r="AB210" i="6"/>
  <c r="AB200" i="2"/>
  <c r="AB212" i="5"/>
  <c r="AB196" i="6"/>
  <c r="AB206" i="5"/>
  <c r="AB197" i="6"/>
  <c r="AB202" i="5"/>
  <c r="AC202" i="5" s="1"/>
  <c r="AB193" i="6"/>
  <c r="AF81" i="5"/>
  <c r="AB194" i="2"/>
  <c r="AF82" i="5"/>
  <c r="AB198" i="6"/>
  <c r="AF77" i="5"/>
  <c r="AB203" i="2"/>
  <c r="AC76" i="5"/>
  <c r="AC68" i="2"/>
  <c r="AB201" i="2"/>
  <c r="AB203" i="6"/>
  <c r="AC203" i="6" s="1"/>
  <c r="AF74" i="2"/>
  <c r="AF82" i="2"/>
  <c r="AB208" i="5"/>
  <c r="AF208" i="5" s="1"/>
  <c r="AC82" i="5"/>
  <c r="AC69" i="6"/>
  <c r="AC73" i="2"/>
  <c r="AC81" i="5"/>
  <c r="AC83" i="2"/>
  <c r="AC74" i="2"/>
  <c r="AF63" i="5"/>
  <c r="AF73" i="2"/>
  <c r="AF68" i="5"/>
  <c r="AF67" i="2"/>
  <c r="AF71" i="2"/>
  <c r="AB203" i="5"/>
  <c r="AB195" i="5"/>
  <c r="AC195" i="5" s="1"/>
  <c r="AC78" i="5"/>
  <c r="AF64" i="6"/>
  <c r="AB197" i="5"/>
  <c r="AB213" i="5"/>
  <c r="AB199" i="5"/>
  <c r="AC199" i="5" s="1"/>
  <c r="AF74" i="5"/>
  <c r="AB211" i="6"/>
  <c r="AF66" i="6"/>
  <c r="AB197" i="2"/>
  <c r="AB208" i="6"/>
  <c r="AF208" i="6" s="1"/>
  <c r="AF78" i="5"/>
  <c r="AB209" i="5"/>
  <c r="AB194" i="6"/>
  <c r="AB200" i="5"/>
  <c r="AC200" i="5" s="1"/>
  <c r="AB200" i="6"/>
  <c r="AB202" i="6"/>
  <c r="AC202" i="6" s="1"/>
  <c r="AB207" i="5"/>
  <c r="AB207" i="6"/>
  <c r="AB193" i="5"/>
  <c r="AB210" i="5"/>
  <c r="AB215" i="5"/>
  <c r="AF215" i="5" s="1"/>
  <c r="AB201" i="5"/>
  <c r="AB198" i="5"/>
  <c r="AF198" i="5" s="1"/>
  <c r="AB213" i="6"/>
  <c r="AB206" i="6"/>
  <c r="AF206" i="6" s="1"/>
  <c r="AB205" i="6"/>
  <c r="AC205" i="6" s="1"/>
  <c r="AF67" i="5"/>
  <c r="AB211" i="5"/>
  <c r="AB196" i="5"/>
  <c r="AB194" i="5"/>
  <c r="AF194" i="5" s="1"/>
  <c r="AC64" i="6"/>
  <c r="AC67" i="2"/>
  <c r="AB212" i="6"/>
  <c r="AB193" i="2"/>
  <c r="AB199" i="6"/>
  <c r="AB214" i="6"/>
  <c r="AB196" i="2"/>
  <c r="AB215" i="6"/>
  <c r="AB214" i="5"/>
  <c r="AC214" i="5" s="1"/>
  <c r="AB198" i="2"/>
  <c r="AF79" i="5"/>
  <c r="AB201" i="6"/>
  <c r="AF201" i="6" s="1"/>
  <c r="AC66" i="6"/>
  <c r="AB202" i="2"/>
  <c r="AF65" i="6"/>
  <c r="AF83" i="2"/>
  <c r="AF79" i="2"/>
  <c r="AB195" i="6"/>
  <c r="AB195" i="2"/>
  <c r="AF195" i="2" s="1"/>
  <c r="AB199" i="2"/>
  <c r="AC74" i="5"/>
  <c r="AC66" i="5"/>
  <c r="AC79" i="5"/>
  <c r="AC79" i="2"/>
  <c r="AC211" i="2"/>
  <c r="AC215" i="2"/>
  <c r="AC213" i="2"/>
  <c r="AC214" i="2"/>
  <c r="AC210" i="2"/>
  <c r="AC209" i="2"/>
  <c r="AC73" i="6"/>
  <c r="AC207" i="2"/>
  <c r="AC212" i="2"/>
  <c r="AC208" i="2"/>
  <c r="AC206" i="2"/>
  <c r="AA332" i="5"/>
  <c r="AA327" i="2"/>
  <c r="AA321" i="5"/>
  <c r="AA325" i="5"/>
  <c r="AA328" i="2"/>
  <c r="AA334" i="2"/>
  <c r="AA332" i="2"/>
  <c r="AA320" i="5"/>
  <c r="AA329" i="2"/>
  <c r="AA330" i="2"/>
  <c r="AA317" i="5"/>
  <c r="AA331" i="2"/>
  <c r="AA330" i="5"/>
  <c r="AA335" i="2"/>
  <c r="AA323" i="5"/>
  <c r="AA335" i="5"/>
  <c r="AA333" i="2"/>
  <c r="AA318" i="5"/>
  <c r="AA322" i="5"/>
  <c r="AA334" i="5"/>
  <c r="AA327" i="5"/>
  <c r="AA333" i="5"/>
  <c r="AA319" i="5"/>
  <c r="AA329" i="5"/>
  <c r="AA328" i="5"/>
  <c r="AA331" i="5"/>
  <c r="AA324" i="5"/>
  <c r="AN504" i="5"/>
  <c r="AN504" i="2"/>
  <c r="AA205" i="2"/>
  <c r="AA205" i="5"/>
  <c r="AP319" i="6"/>
  <c r="AP320" i="6"/>
  <c r="AP328" i="6"/>
  <c r="AP329" i="6"/>
  <c r="AF61" i="6"/>
  <c r="AC61" i="6"/>
  <c r="AP323" i="6"/>
  <c r="AP330" i="6"/>
  <c r="AP324" i="6"/>
  <c r="AP325" i="2"/>
  <c r="AP327" i="6"/>
  <c r="AP333" i="6"/>
  <c r="AP322" i="6"/>
  <c r="AP317" i="6"/>
  <c r="AF61" i="2"/>
  <c r="AC61" i="2"/>
  <c r="AP317" i="2"/>
  <c r="AP332" i="6"/>
  <c r="AP318" i="2"/>
  <c r="AP325" i="6"/>
  <c r="AF61" i="5"/>
  <c r="AC61" i="5"/>
  <c r="AP319" i="2"/>
  <c r="AP331" i="6"/>
  <c r="W335" i="7"/>
  <c r="AL332" i="7"/>
  <c r="AP323" i="2"/>
  <c r="AP324" i="2"/>
  <c r="AP321" i="6"/>
  <c r="AP318" i="6"/>
  <c r="AP334" i="6"/>
  <c r="AP335" i="6"/>
  <c r="AP322" i="2"/>
  <c r="AP320" i="2"/>
  <c r="AP321" i="2"/>
  <c r="AF201" i="2" l="1"/>
  <c r="AC211" i="6"/>
  <c r="AC193" i="2"/>
  <c r="AF202" i="6"/>
  <c r="AC195" i="6"/>
  <c r="AC212" i="5"/>
  <c r="AF214" i="5"/>
  <c r="AF203" i="2"/>
  <c r="AF195" i="6"/>
  <c r="AF210" i="6"/>
  <c r="AF210" i="5"/>
  <c r="AF201" i="5"/>
  <c r="AC193" i="6"/>
  <c r="AF205" i="6"/>
  <c r="AF198" i="6"/>
  <c r="AF199" i="6"/>
  <c r="AC194" i="2"/>
  <c r="AF199" i="2"/>
  <c r="AF194" i="2"/>
  <c r="AC199" i="2"/>
  <c r="AC213" i="5"/>
  <c r="AF213" i="5"/>
  <c r="AC203" i="2"/>
  <c r="AC207" i="6"/>
  <c r="AC208" i="5"/>
  <c r="AC200" i="2"/>
  <c r="AF209" i="5"/>
  <c r="AF200" i="2"/>
  <c r="AC195" i="2"/>
  <c r="AC215" i="6"/>
  <c r="AF215" i="6"/>
  <c r="AF207" i="6"/>
  <c r="AC197" i="2"/>
  <c r="AC201" i="5"/>
  <c r="AF203" i="6"/>
  <c r="AF200" i="5"/>
  <c r="AC210" i="5"/>
  <c r="AC198" i="6"/>
  <c r="AC213" i="6"/>
  <c r="AF193" i="6"/>
  <c r="AF197" i="2"/>
  <c r="AF213" i="6"/>
  <c r="AC196" i="2"/>
  <c r="AC196" i="5"/>
  <c r="AC197" i="5"/>
  <c r="AC215" i="5"/>
  <c r="AF196" i="5"/>
  <c r="AF197" i="6"/>
  <c r="AC209" i="5"/>
  <c r="AC197" i="6"/>
  <c r="AC199" i="6"/>
  <c r="AC196" i="6"/>
  <c r="AC198" i="5"/>
  <c r="AC214" i="6"/>
  <c r="AC212" i="6"/>
  <c r="AF214" i="6"/>
  <c r="AF211" i="6"/>
  <c r="AF196" i="6"/>
  <c r="AC200" i="6"/>
  <c r="AC209" i="6"/>
  <c r="AF200" i="6"/>
  <c r="AF199" i="5"/>
  <c r="AC198" i="2"/>
  <c r="AF193" i="5"/>
  <c r="AC202" i="2"/>
  <c r="AF198" i="2"/>
  <c r="AF212" i="6"/>
  <c r="AF209" i="6"/>
  <c r="AB324" i="6"/>
  <c r="AF197" i="5"/>
  <c r="AF195" i="5"/>
  <c r="AC203" i="5"/>
  <c r="AC201" i="6"/>
  <c r="AC194" i="5"/>
  <c r="AC208" i="6"/>
  <c r="AC206" i="5"/>
  <c r="AC193" i="5"/>
  <c r="AF211" i="5"/>
  <c r="AB320" i="2"/>
  <c r="AB335" i="6"/>
  <c r="AF207" i="5"/>
  <c r="AF203" i="5"/>
  <c r="AC201" i="2"/>
  <c r="AC194" i="6"/>
  <c r="AB325" i="6"/>
  <c r="AF196" i="2"/>
  <c r="AB317" i="6"/>
  <c r="AF206" i="5"/>
  <c r="AB325" i="2"/>
  <c r="AF212" i="5"/>
  <c r="AB320" i="6"/>
  <c r="AB327" i="6"/>
  <c r="AB330" i="6"/>
  <c r="AB329" i="6"/>
  <c r="AB321" i="2"/>
  <c r="AC321" i="2" s="1"/>
  <c r="AB321" i="6"/>
  <c r="AF321" i="6" s="1"/>
  <c r="AB324" i="2"/>
  <c r="AB318" i="2"/>
  <c r="AB332" i="6"/>
  <c r="AC332" i="6" s="1"/>
  <c r="AB328" i="6"/>
  <c r="AB319" i="6"/>
  <c r="AF319" i="6" s="1"/>
  <c r="AC211" i="5"/>
  <c r="AF202" i="5"/>
  <c r="AB322" i="2"/>
  <c r="AF322" i="2" s="1"/>
  <c r="AB334" i="6"/>
  <c r="AB318" i="6"/>
  <c r="AB323" i="2"/>
  <c r="AF323" i="2" s="1"/>
  <c r="AC206" i="6"/>
  <c r="AC210" i="6"/>
  <c r="AB331" i="6"/>
  <c r="AC331" i="6" s="1"/>
  <c r="AB319" i="2"/>
  <c r="AF193" i="2"/>
  <c r="AB322" i="6"/>
  <c r="AB333" i="6"/>
  <c r="AC333" i="6" s="1"/>
  <c r="AB323" i="6"/>
  <c r="AF323" i="6" s="1"/>
  <c r="AF202" i="2"/>
  <c r="AF194" i="6"/>
  <c r="AC207" i="5"/>
  <c r="AC322" i="5"/>
  <c r="AC323" i="5"/>
  <c r="AC327" i="2"/>
  <c r="AC328" i="5"/>
  <c r="AC327" i="5"/>
  <c r="AC334" i="5"/>
  <c r="AC335" i="5"/>
  <c r="AC331" i="2"/>
  <c r="AC334" i="2"/>
  <c r="AC332" i="5"/>
  <c r="AC329" i="2"/>
  <c r="AC205" i="2"/>
  <c r="AC324" i="5"/>
  <c r="AC319" i="5"/>
  <c r="AC318" i="5"/>
  <c r="AC335" i="2"/>
  <c r="AC330" i="2"/>
  <c r="AC320" i="5"/>
  <c r="AC329" i="5"/>
  <c r="AC317" i="5"/>
  <c r="AC328" i="2"/>
  <c r="AP205" i="5"/>
  <c r="AC331" i="5"/>
  <c r="AC333" i="5"/>
  <c r="AC333" i="2"/>
  <c r="AC330" i="5"/>
  <c r="AC332" i="2"/>
  <c r="AC325" i="5"/>
  <c r="AC321" i="5"/>
  <c r="C85" i="9"/>
  <c r="G48" i="8" s="1"/>
  <c r="AB317" i="2"/>
  <c r="AC325" i="6" l="1"/>
  <c r="AF327" i="6"/>
  <c r="AF333" i="6"/>
  <c r="AC329" i="6"/>
  <c r="AC321" i="6"/>
  <c r="AF325" i="6"/>
  <c r="AF322" i="6"/>
  <c r="AF328" i="6"/>
  <c r="AC328" i="6"/>
  <c r="AF334" i="6"/>
  <c r="AC322" i="6"/>
  <c r="AC327" i="6"/>
  <c r="AC323" i="6"/>
  <c r="AF329" i="6"/>
  <c r="AF320" i="6"/>
  <c r="AF318" i="6"/>
  <c r="AC318" i="2"/>
  <c r="AC320" i="6"/>
  <c r="AC319" i="6"/>
  <c r="AF318" i="2"/>
  <c r="AF319" i="2"/>
  <c r="AC319" i="2"/>
  <c r="AC334" i="6"/>
  <c r="AF335" i="6"/>
  <c r="AC335" i="6"/>
  <c r="AC317" i="6"/>
  <c r="AF324" i="6"/>
  <c r="AF317" i="6"/>
  <c r="AC324" i="6"/>
  <c r="AF325" i="2"/>
  <c r="AF332" i="6"/>
  <c r="AB205" i="5"/>
  <c r="AF320" i="2"/>
  <c r="AC318" i="6"/>
  <c r="AC325" i="2"/>
  <c r="AF330" i="6"/>
  <c r="AC330" i="6"/>
  <c r="AC322" i="2"/>
  <c r="AC323" i="2"/>
  <c r="AC324" i="2"/>
  <c r="AF331" i="6"/>
  <c r="AF321" i="2"/>
  <c r="AF324" i="2"/>
  <c r="AC320" i="2"/>
  <c r="C87" i="9"/>
  <c r="Z315" i="2"/>
  <c r="Z360" i="2"/>
  <c r="Z344" i="2"/>
  <c r="Z343" i="2"/>
  <c r="Z308" i="2"/>
  <c r="Z337" i="2"/>
  <c r="Z340" i="2"/>
  <c r="Z364" i="2"/>
  <c r="Z291" i="2"/>
  <c r="Z362" i="2"/>
  <c r="Z287" i="2"/>
  <c r="Z311" i="2"/>
  <c r="Z293" i="2"/>
  <c r="Z359" i="2"/>
  <c r="Z342" i="2"/>
  <c r="Z312" i="2"/>
  <c r="Z339" i="2"/>
  <c r="Z310" i="2"/>
  <c r="Z313" i="2"/>
  <c r="Z341" i="2"/>
  <c r="Z292" i="2"/>
  <c r="Z295" i="2"/>
  <c r="Z365" i="2"/>
  <c r="Z309" i="2"/>
  <c r="Z357" i="2"/>
  <c r="Z358" i="2"/>
  <c r="Z294" i="2"/>
  <c r="Z361" i="2"/>
  <c r="Z363" i="2"/>
  <c r="Z297" i="6"/>
  <c r="Z189" i="5"/>
  <c r="Z363" i="6"/>
  <c r="Z339" i="6"/>
  <c r="Z184" i="5"/>
  <c r="Z337" i="6"/>
  <c r="Z362" i="6"/>
  <c r="Z185" i="5"/>
  <c r="Z365" i="6"/>
  <c r="Z345" i="2"/>
  <c r="Z314" i="2"/>
  <c r="Z279" i="6"/>
  <c r="Z307" i="2"/>
  <c r="Z282" i="6"/>
  <c r="Z303" i="6"/>
  <c r="Z288" i="2"/>
  <c r="Z313" i="6"/>
  <c r="Z344" i="6"/>
  <c r="Z343" i="6"/>
  <c r="Z315" i="6"/>
  <c r="Z290" i="2"/>
  <c r="Z186" i="5"/>
  <c r="Z299" i="6"/>
  <c r="Z358" i="6"/>
  <c r="Z289" i="2"/>
  <c r="Z338" i="2"/>
  <c r="Z183" i="2"/>
  <c r="Z340" i="6"/>
  <c r="Z280" i="6"/>
  <c r="Z300" i="6"/>
  <c r="Z342" i="6"/>
  <c r="Z360" i="6"/>
  <c r="Z278" i="6"/>
  <c r="Z189" i="2"/>
  <c r="Z191" i="5"/>
  <c r="Z364" i="6"/>
  <c r="Z310" i="6"/>
  <c r="Z311" i="6"/>
  <c r="Z338" i="6"/>
  <c r="Z345" i="6"/>
  <c r="Z186" i="2"/>
  <c r="Z281" i="6"/>
  <c r="Z285" i="6"/>
  <c r="Z309" i="6"/>
  <c r="Z181" i="5"/>
  <c r="Z277" i="6"/>
  <c r="Z187" i="2"/>
  <c r="Z188" i="5"/>
  <c r="Z190" i="2"/>
  <c r="Z187" i="5"/>
  <c r="Z284" i="6"/>
  <c r="Z361" i="6"/>
  <c r="Z305" i="6"/>
  <c r="Z307" i="6"/>
  <c r="Z188" i="2"/>
  <c r="Z359" i="6"/>
  <c r="Z182" i="2"/>
  <c r="Z182" i="5"/>
  <c r="Z302" i="6"/>
  <c r="Z184" i="2"/>
  <c r="Z190" i="5"/>
  <c r="Z185" i="2"/>
  <c r="Z314" i="6"/>
  <c r="Z191" i="2"/>
  <c r="Z304" i="6"/>
  <c r="Z298" i="6"/>
  <c r="Z308" i="6"/>
  <c r="Z183" i="5"/>
  <c r="Z301" i="6"/>
  <c r="Z181" i="2"/>
  <c r="Z312" i="6"/>
  <c r="Z357" i="6"/>
  <c r="Z283" i="6"/>
  <c r="Z341" i="6"/>
  <c r="Z171" i="6"/>
  <c r="Z170" i="6"/>
  <c r="Z178" i="6"/>
  <c r="Z179" i="6"/>
  <c r="Z169" i="6"/>
  <c r="Z174" i="6"/>
  <c r="Z173" i="6"/>
  <c r="Z176" i="6"/>
  <c r="Z172" i="6"/>
  <c r="Z175" i="6"/>
  <c r="Z177" i="6"/>
  <c r="X72" i="7"/>
  <c r="Z131" i="6"/>
  <c r="Z363" i="5"/>
  <c r="Z364" i="5"/>
  <c r="Z361" i="5"/>
  <c r="Z360" i="5"/>
  <c r="Z358" i="5"/>
  <c r="Z359" i="5"/>
  <c r="Z362" i="5"/>
  <c r="Z357" i="5"/>
  <c r="Z365" i="5"/>
  <c r="Z493" i="6"/>
  <c r="Z493" i="5"/>
  <c r="Z488" i="5"/>
  <c r="Z494" i="5"/>
  <c r="Z490" i="5"/>
  <c r="Z491" i="6"/>
  <c r="Z495" i="5"/>
  <c r="Z490" i="6"/>
  <c r="Z493" i="2"/>
  <c r="Z494" i="6"/>
  <c r="Z487" i="2"/>
  <c r="Z491" i="2"/>
  <c r="Z492" i="5"/>
  <c r="Z491" i="5"/>
  <c r="X252" i="7"/>
  <c r="X256" i="7"/>
  <c r="Z495" i="2"/>
  <c r="Z488" i="6"/>
  <c r="X259" i="7"/>
  <c r="Z378" i="5"/>
  <c r="Z382" i="5"/>
  <c r="Z380" i="5"/>
  <c r="Z377" i="5"/>
  <c r="X261" i="7"/>
  <c r="X260" i="7"/>
  <c r="Z381" i="5"/>
  <c r="Z385" i="5"/>
  <c r="Z492" i="2"/>
  <c r="X318" i="7"/>
  <c r="Z494" i="2"/>
  <c r="Z489" i="5"/>
  <c r="X257" i="7"/>
  <c r="X321" i="7"/>
  <c r="X255" i="7"/>
  <c r="Z379" i="5"/>
  <c r="Z383" i="5"/>
  <c r="Z488" i="2"/>
  <c r="X323" i="7"/>
  <c r="X251" i="7"/>
  <c r="Z492" i="6"/>
  <c r="X253" i="7"/>
  <c r="X316" i="7"/>
  <c r="X315" i="7"/>
  <c r="X262" i="7"/>
  <c r="Z489" i="6"/>
  <c r="X258" i="7"/>
  <c r="X263" i="7"/>
  <c r="X317" i="7"/>
  <c r="X320" i="7"/>
  <c r="Z487" i="6"/>
  <c r="Z384" i="5"/>
  <c r="Z489" i="2"/>
  <c r="X254" i="7"/>
  <c r="Z487" i="5"/>
  <c r="Z495" i="6"/>
  <c r="Z490" i="2"/>
  <c r="X319" i="7"/>
  <c r="X322" i="7"/>
  <c r="AF317" i="2"/>
  <c r="AC317" i="2"/>
  <c r="AC205" i="5" l="1"/>
  <c r="AF205" i="5"/>
  <c r="Z107" i="6"/>
  <c r="Z459" i="6"/>
  <c r="Z459" i="2"/>
  <c r="Z460" i="2"/>
  <c r="Z462" i="2"/>
  <c r="Z459" i="5"/>
  <c r="X288" i="7"/>
  <c r="Z457" i="6"/>
  <c r="X286" i="7"/>
  <c r="X290" i="7"/>
  <c r="Z465" i="2"/>
  <c r="X291" i="7"/>
  <c r="Z464" i="5"/>
  <c r="Z457" i="2"/>
  <c r="Z460" i="6"/>
  <c r="Z457" i="5"/>
  <c r="Z461" i="6"/>
  <c r="Z464" i="6"/>
  <c r="X293" i="7"/>
  <c r="Z460" i="5"/>
  <c r="Z463" i="5"/>
  <c r="X287" i="7"/>
  <c r="Z463" i="6"/>
  <c r="X285" i="7"/>
  <c r="Z458" i="6"/>
  <c r="X289" i="7"/>
  <c r="Z465" i="6"/>
  <c r="X292" i="7"/>
  <c r="Z458" i="5"/>
  <c r="Z464" i="2"/>
  <c r="Z462" i="6"/>
  <c r="Z461" i="2"/>
  <c r="Z461" i="5"/>
  <c r="Z462" i="5"/>
  <c r="Z458" i="2"/>
  <c r="Z465" i="5"/>
  <c r="Z463" i="2"/>
  <c r="X53" i="7"/>
  <c r="X45" i="7"/>
  <c r="X49" i="7"/>
  <c r="X44" i="7"/>
  <c r="X48" i="7"/>
  <c r="X50" i="7"/>
  <c r="X52" i="7"/>
  <c r="X46" i="7"/>
  <c r="X47" i="7"/>
  <c r="X51" i="7"/>
  <c r="X221" i="7"/>
  <c r="X215" i="7"/>
  <c r="X212" i="7"/>
  <c r="X217" i="7"/>
  <c r="X220" i="7"/>
  <c r="X210" i="7"/>
  <c r="X216" i="7"/>
  <c r="X218" i="7"/>
  <c r="X213" i="7"/>
  <c r="X219" i="7"/>
  <c r="X214" i="7"/>
  <c r="X211" i="7"/>
  <c r="Z129" i="6"/>
  <c r="Z127" i="6"/>
  <c r="X71" i="7"/>
  <c r="Z123" i="6"/>
  <c r="Z126" i="6"/>
  <c r="X69" i="7"/>
  <c r="Z124" i="6"/>
  <c r="Z121" i="6"/>
  <c r="Z130" i="6"/>
  <c r="Z122" i="6"/>
  <c r="Z125" i="6"/>
  <c r="Z128" i="6"/>
  <c r="X70" i="7"/>
  <c r="Z102" i="6"/>
  <c r="X127" i="7"/>
  <c r="Z270" i="2"/>
  <c r="X171" i="7"/>
  <c r="Z270" i="6"/>
  <c r="X132" i="7"/>
  <c r="X128" i="7"/>
  <c r="X137" i="7"/>
  <c r="X130" i="7"/>
  <c r="Z482" i="2"/>
  <c r="Z267" i="6"/>
  <c r="X209" i="7"/>
  <c r="X134" i="7"/>
  <c r="Z485" i="5"/>
  <c r="Z265" i="5"/>
  <c r="Z275" i="5"/>
  <c r="Z272" i="6"/>
  <c r="X174" i="7"/>
  <c r="Z274" i="6"/>
  <c r="Z266" i="6"/>
  <c r="Z268" i="6"/>
  <c r="X42" i="7"/>
  <c r="X126" i="7"/>
  <c r="X133" i="7"/>
  <c r="X135" i="7"/>
  <c r="X131" i="7"/>
  <c r="X241" i="7"/>
  <c r="X178" i="7"/>
  <c r="Z271" i="6"/>
  <c r="Z273" i="6"/>
  <c r="Z265" i="6"/>
  <c r="X129" i="7"/>
  <c r="X125" i="7"/>
  <c r="X136" i="7"/>
  <c r="Z485" i="2"/>
  <c r="X168" i="7"/>
  <c r="Z269" i="6"/>
  <c r="Z275" i="6"/>
  <c r="X43" i="7"/>
  <c r="Z374" i="5"/>
  <c r="X162" i="7"/>
  <c r="Z101" i="6"/>
  <c r="Z483" i="6"/>
  <c r="X86" i="7"/>
  <c r="Z480" i="5"/>
  <c r="Z478" i="5"/>
  <c r="Z480" i="2"/>
  <c r="X311" i="7"/>
  <c r="Z483" i="2"/>
  <c r="X245" i="7"/>
  <c r="X41" i="7"/>
  <c r="Z373" i="5"/>
  <c r="Z479" i="2"/>
  <c r="Z479" i="6"/>
  <c r="X163" i="7"/>
  <c r="X242" i="7"/>
  <c r="Z352" i="5"/>
  <c r="Z104" i="6"/>
  <c r="Z51" i="6"/>
  <c r="Z289" i="5"/>
  <c r="Z133" i="5"/>
  <c r="X160" i="7"/>
  <c r="Z143" i="6"/>
  <c r="Z479" i="5"/>
  <c r="X155" i="7"/>
  <c r="Z477" i="2"/>
  <c r="Z481" i="6"/>
  <c r="X164" i="7"/>
  <c r="Z480" i="6"/>
  <c r="Z484" i="2"/>
  <c r="X310" i="7"/>
  <c r="Z477" i="6"/>
  <c r="Z482" i="6"/>
  <c r="X246" i="7"/>
  <c r="X237" i="7"/>
  <c r="X239" i="7"/>
  <c r="X240" i="7"/>
  <c r="Z351" i="5"/>
  <c r="Z375" i="5"/>
  <c r="Z368" i="5"/>
  <c r="Z350" i="5"/>
  <c r="Z105" i="6"/>
  <c r="Z98" i="6"/>
  <c r="Z97" i="6"/>
  <c r="Z484" i="5"/>
  <c r="X159" i="7"/>
  <c r="X313" i="7"/>
  <c r="Z483" i="5"/>
  <c r="X158" i="7"/>
  <c r="X165" i="7"/>
  <c r="Z478" i="6"/>
  <c r="Z136" i="6"/>
  <c r="X307" i="7"/>
  <c r="X161" i="7"/>
  <c r="Z478" i="2"/>
  <c r="Z484" i="6"/>
  <c r="Z481" i="2"/>
  <c r="X247" i="7"/>
  <c r="X244" i="7"/>
  <c r="X243" i="7"/>
  <c r="Z369" i="5"/>
  <c r="Z371" i="5"/>
  <c r="Z370" i="5"/>
  <c r="Z372" i="5"/>
  <c r="Z349" i="5"/>
  <c r="Z100" i="6"/>
  <c r="Z99" i="6"/>
  <c r="Z103" i="6"/>
  <c r="X308" i="7"/>
  <c r="X157" i="7"/>
  <c r="Z143" i="5"/>
  <c r="Z485" i="6"/>
  <c r="X312" i="7"/>
  <c r="X156" i="7"/>
  <c r="X306" i="7"/>
  <c r="X305" i="7"/>
  <c r="X154" i="7"/>
  <c r="X309" i="7"/>
  <c r="Z482" i="5"/>
  <c r="Z481" i="5"/>
  <c r="X153" i="7"/>
  <c r="Z477" i="5"/>
  <c r="X238" i="7"/>
  <c r="X249" i="7"/>
  <c r="X248" i="7"/>
  <c r="Z348" i="5"/>
  <c r="Z353" i="5"/>
  <c r="Z367" i="5"/>
  <c r="Z355" i="5"/>
  <c r="Z347" i="5"/>
  <c r="Z354" i="5"/>
  <c r="Z106" i="6"/>
  <c r="Z150" i="5"/>
  <c r="Z123" i="5"/>
  <c r="Z130" i="5"/>
  <c r="Z125" i="5"/>
  <c r="Z127" i="5"/>
  <c r="Z128" i="5"/>
  <c r="Z131" i="5"/>
  <c r="Z122" i="5"/>
  <c r="Z121" i="5"/>
  <c r="Z126" i="5"/>
  <c r="Z129" i="5"/>
  <c r="Z124" i="5"/>
  <c r="Z97" i="5"/>
  <c r="Z106" i="5"/>
  <c r="Z105" i="5"/>
  <c r="Z103" i="5"/>
  <c r="Z100" i="5"/>
  <c r="Z99" i="5"/>
  <c r="Z102" i="5"/>
  <c r="Z98" i="5"/>
  <c r="Z104" i="5"/>
  <c r="Z107" i="5"/>
  <c r="Z101" i="5"/>
  <c r="Z450" i="5"/>
  <c r="X199" i="7"/>
  <c r="Z450" i="2"/>
  <c r="X275" i="7"/>
  <c r="Z46" i="6"/>
  <c r="X283" i="7"/>
  <c r="X276" i="7"/>
  <c r="X207" i="7"/>
  <c r="X112" i="7"/>
  <c r="X116" i="7"/>
  <c r="Z447" i="6"/>
  <c r="Z452" i="6"/>
  <c r="Z281" i="5"/>
  <c r="X108" i="7"/>
  <c r="Z21" i="6"/>
  <c r="Z154" i="2"/>
  <c r="Z294" i="5"/>
  <c r="Z287" i="5"/>
  <c r="X67" i="7"/>
  <c r="X204" i="7"/>
  <c r="X113" i="7"/>
  <c r="X119" i="7"/>
  <c r="Z451" i="5"/>
  <c r="Z452" i="5"/>
  <c r="Z498" i="5"/>
  <c r="X325" i="7"/>
  <c r="Z389" i="2"/>
  <c r="Z26" i="5"/>
  <c r="Z293" i="5"/>
  <c r="Z17" i="2"/>
  <c r="Z160" i="2"/>
  <c r="Z25" i="5"/>
  <c r="Z307" i="5"/>
  <c r="Z308" i="5"/>
  <c r="X63" i="7"/>
  <c r="Z30" i="5"/>
  <c r="Z159" i="2"/>
  <c r="Z166" i="2"/>
  <c r="Z315" i="5"/>
  <c r="Z282" i="2"/>
  <c r="Z58" i="5"/>
  <c r="Z49" i="5"/>
  <c r="Z23" i="2"/>
  <c r="X39" i="7"/>
  <c r="Z311" i="5"/>
  <c r="Z314" i="5"/>
  <c r="Z277" i="2"/>
  <c r="Z341" i="5"/>
  <c r="Z343" i="5"/>
  <c r="Z337" i="5"/>
  <c r="X151" i="7"/>
  <c r="Z149" i="6"/>
  <c r="Z152" i="6"/>
  <c r="Z162" i="5"/>
  <c r="Z58" i="6"/>
  <c r="Z15" i="2"/>
  <c r="Z29" i="5"/>
  <c r="Z309" i="5"/>
  <c r="Z50" i="6"/>
  <c r="Z164" i="5"/>
  <c r="Z291" i="5"/>
  <c r="Z161" i="5"/>
  <c r="Z162" i="2"/>
  <c r="Z59" i="6"/>
  <c r="Z35" i="5"/>
  <c r="Z310" i="5"/>
  <c r="Z27" i="5"/>
  <c r="Z55" i="6"/>
  <c r="X38" i="7"/>
  <c r="Z13" i="2"/>
  <c r="Z32" i="5"/>
  <c r="X36" i="7"/>
  <c r="Z292" i="5"/>
  <c r="X31" i="7"/>
  <c r="X34" i="7"/>
  <c r="Z158" i="2"/>
  <c r="Z281" i="2"/>
  <c r="Z284" i="2"/>
  <c r="X61" i="7"/>
  <c r="X64" i="7"/>
  <c r="X60" i="7"/>
  <c r="Z339" i="5"/>
  <c r="X57" i="7"/>
  <c r="X56" i="7"/>
  <c r="Z150" i="6"/>
  <c r="Z154" i="6"/>
  <c r="Z50" i="5"/>
  <c r="Z53" i="6"/>
  <c r="Z49" i="6"/>
  <c r="Z167" i="2"/>
  <c r="Z290" i="5"/>
  <c r="Z57" i="6"/>
  <c r="Z20" i="2"/>
  <c r="Z56" i="6"/>
  <c r="Z157" i="2"/>
  <c r="Z164" i="2"/>
  <c r="Z19" i="2"/>
  <c r="Z18" i="2"/>
  <c r="Z54" i="6"/>
  <c r="Z34" i="5"/>
  <c r="Z22" i="2"/>
  <c r="Z14" i="2"/>
  <c r="Z163" i="2"/>
  <c r="X28" i="7"/>
  <c r="Z295" i="5"/>
  <c r="X37" i="7"/>
  <c r="X35" i="7"/>
  <c r="Z31" i="5"/>
  <c r="X33" i="7"/>
  <c r="Z280" i="2"/>
  <c r="Z285" i="2"/>
  <c r="X59" i="7"/>
  <c r="X62" i="7"/>
  <c r="Z342" i="5"/>
  <c r="Z344" i="5"/>
  <c r="Z470" i="5"/>
  <c r="Z338" i="5"/>
  <c r="Z340" i="5"/>
  <c r="X55" i="7"/>
  <c r="Z146" i="6"/>
  <c r="Z155" i="6"/>
  <c r="X233" i="7"/>
  <c r="Z21" i="2"/>
  <c r="Z163" i="5"/>
  <c r="Z159" i="5"/>
  <c r="Z288" i="5"/>
  <c r="Z16" i="2"/>
  <c r="Z52" i="6"/>
  <c r="Z167" i="5"/>
  <c r="Z33" i="5"/>
  <c r="Z160" i="5"/>
  <c r="Z158" i="5"/>
  <c r="Z165" i="5"/>
  <c r="Z166" i="5"/>
  <c r="Z165" i="2"/>
  <c r="Z312" i="5"/>
  <c r="Z313" i="5"/>
  <c r="X32" i="7"/>
  <c r="Z283" i="2"/>
  <c r="X30" i="7"/>
  <c r="Z161" i="2"/>
  <c r="X29" i="7"/>
  <c r="Z157" i="5"/>
  <c r="X27" i="7"/>
  <c r="Z28" i="5"/>
  <c r="Z278" i="2"/>
  <c r="Z279" i="2"/>
  <c r="X65" i="7"/>
  <c r="X66" i="7"/>
  <c r="Z345" i="5"/>
  <c r="X58" i="7"/>
  <c r="Z153" i="6"/>
  <c r="Z147" i="6"/>
  <c r="Z148" i="6"/>
  <c r="Z51" i="5"/>
  <c r="D48" i="8"/>
  <c r="Z151" i="6"/>
  <c r="Z145" i="6"/>
  <c r="Z54" i="5"/>
  <c r="Z57" i="5"/>
  <c r="Z52" i="5"/>
  <c r="Z59" i="5"/>
  <c r="Z53" i="5"/>
  <c r="Z56" i="5"/>
  <c r="Z55" i="5"/>
  <c r="Z472" i="2"/>
  <c r="Z467" i="6"/>
  <c r="Z471" i="5"/>
  <c r="Z468" i="6"/>
  <c r="Z475" i="2"/>
  <c r="X225" i="7"/>
  <c r="Z474" i="5"/>
  <c r="X227" i="7"/>
  <c r="Z472" i="5"/>
  <c r="Z469" i="6"/>
  <c r="X145" i="7"/>
  <c r="X143" i="7"/>
  <c r="X148" i="7"/>
  <c r="Y72" i="7"/>
  <c r="X205" i="7"/>
  <c r="X122" i="7"/>
  <c r="Z453" i="5"/>
  <c r="Z469" i="2"/>
  <c r="X235" i="7"/>
  <c r="X232" i="7"/>
  <c r="Z467" i="2"/>
  <c r="Z468" i="2"/>
  <c r="Z151" i="5"/>
  <c r="X298" i="7"/>
  <c r="Z475" i="5"/>
  <c r="X295" i="7"/>
  <c r="Z473" i="6"/>
  <c r="X297" i="7"/>
  <c r="X142" i="7"/>
  <c r="X147" i="7"/>
  <c r="X150" i="7"/>
  <c r="X195" i="7"/>
  <c r="X203" i="7"/>
  <c r="X198" i="7"/>
  <c r="X196" i="7"/>
  <c r="X120" i="7"/>
  <c r="X278" i="7"/>
  <c r="Z454" i="6"/>
  <c r="Z447" i="5"/>
  <c r="Z455" i="5"/>
  <c r="Z448" i="5"/>
  <c r="Z450" i="6"/>
  <c r="X280" i="7"/>
  <c r="Z455" i="2"/>
  <c r="X282" i="7"/>
  <c r="Z498" i="2"/>
  <c r="Z135" i="6"/>
  <c r="Z37" i="6"/>
  <c r="Z283" i="5"/>
  <c r="Z417" i="2"/>
  <c r="X187" i="7"/>
  <c r="Z38" i="6"/>
  <c r="X24" i="7"/>
  <c r="Z41" i="6"/>
  <c r="Z23" i="6"/>
  <c r="Z399" i="2"/>
  <c r="Z423" i="6"/>
  <c r="Z143" i="2"/>
  <c r="X192" i="7"/>
  <c r="X231" i="7"/>
  <c r="X234" i="7"/>
  <c r="Z473" i="2"/>
  <c r="Z471" i="2"/>
  <c r="X228" i="7"/>
  <c r="X224" i="7"/>
  <c r="Z155" i="5"/>
  <c r="Z473" i="5"/>
  <c r="Z471" i="6"/>
  <c r="Z470" i="6"/>
  <c r="Z472" i="6"/>
  <c r="X303" i="7"/>
  <c r="Z474" i="6"/>
  <c r="X301" i="7"/>
  <c r="X296" i="7"/>
  <c r="X302" i="7"/>
  <c r="X141" i="7"/>
  <c r="X146" i="7"/>
  <c r="X139" i="7"/>
  <c r="X197" i="7"/>
  <c r="X201" i="7"/>
  <c r="X202" i="7"/>
  <c r="X117" i="7"/>
  <c r="X111" i="7"/>
  <c r="X121" i="7"/>
  <c r="X115" i="7"/>
  <c r="Z452" i="2"/>
  <c r="Z454" i="2"/>
  <c r="Z454" i="5"/>
  <c r="Z448" i="2"/>
  <c r="Z453" i="6"/>
  <c r="X281" i="7"/>
  <c r="Z449" i="5"/>
  <c r="Z449" i="2"/>
  <c r="Z14" i="5"/>
  <c r="Z394" i="5"/>
  <c r="Z139" i="6"/>
  <c r="X267" i="7"/>
  <c r="X184" i="7"/>
  <c r="Z424" i="6"/>
  <c r="X189" i="7"/>
  <c r="Z148" i="2"/>
  <c r="X193" i="7"/>
  <c r="Z390" i="6"/>
  <c r="X22" i="7"/>
  <c r="Z420" i="5"/>
  <c r="Z145" i="2"/>
  <c r="Z413" i="6"/>
  <c r="Z418" i="6"/>
  <c r="Z497" i="2"/>
  <c r="X200" i="7"/>
  <c r="X206" i="7"/>
  <c r="X114" i="7"/>
  <c r="X118" i="7"/>
  <c r="X123" i="7"/>
  <c r="Z449" i="6"/>
  <c r="Z451" i="2"/>
  <c r="Z453" i="2"/>
  <c r="Z455" i="6"/>
  <c r="Z451" i="6"/>
  <c r="X279" i="7"/>
  <c r="Z448" i="6"/>
  <c r="X277" i="7"/>
  <c r="Z447" i="2"/>
  <c r="X87" i="7"/>
  <c r="X83" i="7"/>
  <c r="Z278" i="5"/>
  <c r="Z387" i="5"/>
  <c r="Z407" i="6"/>
  <c r="X106" i="7"/>
  <c r="Z284" i="5"/>
  <c r="Z17" i="6"/>
  <c r="Z398" i="2"/>
  <c r="Z40" i="6"/>
  <c r="Z42" i="6"/>
  <c r="Z402" i="5"/>
  <c r="X185" i="7"/>
  <c r="Z388" i="5"/>
  <c r="Z39" i="6"/>
  <c r="Z138" i="6"/>
  <c r="Z411" i="6"/>
  <c r="Z470" i="2"/>
  <c r="X223" i="7"/>
  <c r="X226" i="7"/>
  <c r="X229" i="7"/>
  <c r="Z474" i="2"/>
  <c r="X230" i="7"/>
  <c r="Z146" i="5"/>
  <c r="Z147" i="5"/>
  <c r="X299" i="7"/>
  <c r="Z469" i="5"/>
  <c r="X300" i="7"/>
  <c r="Z467" i="5"/>
  <c r="Z468" i="5"/>
  <c r="Z475" i="6"/>
  <c r="X149" i="7"/>
  <c r="X140" i="7"/>
  <c r="X144" i="7"/>
  <c r="X270" i="7"/>
  <c r="X268" i="7"/>
  <c r="X272" i="7"/>
  <c r="Z497" i="5"/>
  <c r="Z147" i="2"/>
  <c r="Z390" i="2"/>
  <c r="Z15" i="6"/>
  <c r="Z420" i="2"/>
  <c r="Z400" i="2"/>
  <c r="Z398" i="5"/>
  <c r="Z146" i="2"/>
  <c r="X15" i="7"/>
  <c r="X105" i="7"/>
  <c r="Z393" i="5"/>
  <c r="Z498" i="6"/>
  <c r="Z16" i="6"/>
  <c r="Z412" i="6"/>
  <c r="Z391" i="5"/>
  <c r="Z13" i="6"/>
  <c r="X97" i="7"/>
  <c r="Z404" i="2"/>
  <c r="Z423" i="5"/>
  <c r="X88" i="7"/>
  <c r="Z21" i="5"/>
  <c r="X182" i="7"/>
  <c r="Z500" i="2"/>
  <c r="Z395" i="5"/>
  <c r="Z419" i="2"/>
  <c r="Z422" i="2"/>
  <c r="Z19" i="5"/>
  <c r="X107" i="7"/>
  <c r="Z409" i="6"/>
  <c r="Z137" i="5"/>
  <c r="Z134" i="5"/>
  <c r="Z388" i="2"/>
  <c r="X93" i="7"/>
  <c r="Z392" i="6"/>
  <c r="X104" i="7"/>
  <c r="Z415" i="6"/>
  <c r="Z133" i="2"/>
  <c r="Z44" i="6"/>
  <c r="Z420" i="6"/>
  <c r="Z419" i="5"/>
  <c r="Z152" i="2"/>
  <c r="Z15" i="5"/>
  <c r="Z403" i="5"/>
  <c r="Z22" i="6"/>
  <c r="Z142" i="6"/>
  <c r="Z133" i="6"/>
  <c r="Z141" i="2"/>
  <c r="X17" i="7"/>
  <c r="Z392" i="2"/>
  <c r="X92" i="7"/>
  <c r="Z19" i="6"/>
  <c r="X89" i="7"/>
  <c r="Z421" i="6"/>
  <c r="Z425" i="6"/>
  <c r="Z391" i="2"/>
  <c r="Z151" i="2"/>
  <c r="Z417" i="6"/>
  <c r="X328" i="7"/>
  <c r="Z280" i="5"/>
  <c r="Z135" i="5"/>
  <c r="Z274" i="5"/>
  <c r="Z272" i="5"/>
  <c r="Z272" i="2"/>
  <c r="X179" i="7"/>
  <c r="Z269" i="2"/>
  <c r="X176" i="7"/>
  <c r="Z266" i="2"/>
  <c r="X177" i="7"/>
  <c r="X167" i="7"/>
  <c r="Z267" i="5"/>
  <c r="Z149" i="5"/>
  <c r="Z154" i="5"/>
  <c r="X94" i="7"/>
  <c r="Z142" i="5"/>
  <c r="X13" i="7"/>
  <c r="Z502" i="5"/>
  <c r="X265" i="7"/>
  <c r="Z279" i="5"/>
  <c r="Z45" i="6"/>
  <c r="Z135" i="2"/>
  <c r="Z389" i="6"/>
  <c r="Z153" i="2"/>
  <c r="Z18" i="5"/>
  <c r="Z140" i="6"/>
  <c r="X91" i="7"/>
  <c r="Z18" i="6"/>
  <c r="Z140" i="2"/>
  <c r="Z136" i="5"/>
  <c r="Z418" i="2"/>
  <c r="X103" i="7"/>
  <c r="X95" i="7"/>
  <c r="X330" i="7"/>
  <c r="Z23" i="5"/>
  <c r="X181" i="7"/>
  <c r="Z402" i="2"/>
  <c r="X14" i="7"/>
  <c r="X100" i="7"/>
  <c r="Z22" i="5"/>
  <c r="Z395" i="6"/>
  <c r="Z422" i="5"/>
  <c r="Z421" i="5"/>
  <c r="Z417" i="5"/>
  <c r="Z47" i="6"/>
  <c r="Z387" i="6"/>
  <c r="X18" i="7"/>
  <c r="X109" i="7"/>
  <c r="X266" i="7"/>
  <c r="Z418" i="5"/>
  <c r="Z424" i="2"/>
  <c r="Z17" i="5"/>
  <c r="Z497" i="6"/>
  <c r="X326" i="7"/>
  <c r="X186" i="7"/>
  <c r="Z421" i="2"/>
  <c r="X102" i="7"/>
  <c r="Z414" i="6"/>
  <c r="Z13" i="5"/>
  <c r="Z395" i="2"/>
  <c r="X99" i="7"/>
  <c r="Z141" i="6"/>
  <c r="Z405" i="2"/>
  <c r="Z140" i="5"/>
  <c r="X188" i="7"/>
  <c r="Z422" i="6"/>
  <c r="Z419" i="6"/>
  <c r="Z502" i="6"/>
  <c r="Z387" i="2"/>
  <c r="Z149" i="2"/>
  <c r="Z397" i="5"/>
  <c r="X19" i="7"/>
  <c r="Z502" i="2"/>
  <c r="Z270" i="5"/>
  <c r="Z268" i="5"/>
  <c r="X173" i="7"/>
  <c r="X169" i="7"/>
  <c r="X175" i="7"/>
  <c r="Z265" i="2"/>
  <c r="Z273" i="2"/>
  <c r="Z274" i="2"/>
  <c r="Z268" i="2"/>
  <c r="Z271" i="2"/>
  <c r="Z148" i="5"/>
  <c r="Z401" i="2"/>
  <c r="Z141" i="5"/>
  <c r="Z137" i="2"/>
  <c r="Z16" i="5"/>
  <c r="X21" i="7"/>
  <c r="Z405" i="5"/>
  <c r="Z142" i="2"/>
  <c r="X191" i="7"/>
  <c r="Z282" i="5"/>
  <c r="X329" i="7"/>
  <c r="Z20" i="5"/>
  <c r="X25" i="7"/>
  <c r="Z394" i="2"/>
  <c r="Z501" i="5"/>
  <c r="Z425" i="2"/>
  <c r="Z403" i="2"/>
  <c r="Z423" i="2"/>
  <c r="Z389" i="5"/>
  <c r="Z136" i="2"/>
  <c r="Z399" i="5"/>
  <c r="X23" i="7"/>
  <c r="X90" i="7"/>
  <c r="Z404" i="5"/>
  <c r="Z397" i="2"/>
  <c r="Z134" i="2"/>
  <c r="Z139" i="2"/>
  <c r="Z400" i="5"/>
  <c r="Z14" i="6"/>
  <c r="Z390" i="5"/>
  <c r="X16" i="7"/>
  <c r="Z501" i="6"/>
  <c r="X190" i="7"/>
  <c r="X84" i="7"/>
  <c r="Z501" i="2"/>
  <c r="X98" i="7"/>
  <c r="X183" i="7"/>
  <c r="Z138" i="5"/>
  <c r="X85" i="7"/>
  <c r="Z391" i="6"/>
  <c r="X273" i="7"/>
  <c r="Z138" i="2"/>
  <c r="Z388" i="6"/>
  <c r="Z43" i="6"/>
  <c r="Z425" i="5"/>
  <c r="Z277" i="5"/>
  <c r="X271" i="7"/>
  <c r="Z137" i="6"/>
  <c r="X20" i="7"/>
  <c r="Z500" i="5"/>
  <c r="X101" i="7"/>
  <c r="Z500" i="6"/>
  <c r="Z139" i="5"/>
  <c r="Z401" i="5"/>
  <c r="Z134" i="6"/>
  <c r="Z155" i="2"/>
  <c r="X269" i="7"/>
  <c r="Z393" i="6"/>
  <c r="Z150" i="2"/>
  <c r="Z20" i="6"/>
  <c r="Z393" i="2"/>
  <c r="Z392" i="5"/>
  <c r="Z410" i="6"/>
  <c r="Z285" i="5"/>
  <c r="Z424" i="5"/>
  <c r="Z394" i="6"/>
  <c r="Z271" i="5"/>
  <c r="Z269" i="5"/>
  <c r="Z266" i="5"/>
  <c r="Z275" i="2"/>
  <c r="X172" i="7"/>
  <c r="X170" i="7"/>
  <c r="Z267" i="2"/>
  <c r="Z273" i="5"/>
  <c r="Z153" i="5"/>
  <c r="Z152" i="5"/>
  <c r="Z145" i="5"/>
  <c r="AA177" i="6"/>
  <c r="AA173" i="6"/>
  <c r="AA170" i="6"/>
  <c r="AA357" i="6"/>
  <c r="AA301" i="6"/>
  <c r="AA304" i="6"/>
  <c r="AA185" i="2"/>
  <c r="AA182" i="5"/>
  <c r="AA188" i="2"/>
  <c r="AA361" i="6"/>
  <c r="AA190" i="2"/>
  <c r="AA277" i="6"/>
  <c r="AA285" i="6"/>
  <c r="AA310" i="6"/>
  <c r="AA278" i="6"/>
  <c r="AA280" i="6"/>
  <c r="AA289" i="2"/>
  <c r="AA290" i="2"/>
  <c r="AA313" i="6"/>
  <c r="AA307" i="2"/>
  <c r="AA365" i="6"/>
  <c r="AA184" i="5"/>
  <c r="AA189" i="5"/>
  <c r="AA361" i="2"/>
  <c r="AA309" i="2"/>
  <c r="AA341" i="2"/>
  <c r="AA312" i="2"/>
  <c r="AA311" i="2"/>
  <c r="AA364" i="2"/>
  <c r="AA343" i="2"/>
  <c r="AA175" i="6"/>
  <c r="AA172" i="6"/>
  <c r="AA174" i="6"/>
  <c r="AA179" i="6"/>
  <c r="AA171" i="6"/>
  <c r="AA312" i="6"/>
  <c r="AA183" i="5"/>
  <c r="AA191" i="2"/>
  <c r="AA190" i="5"/>
  <c r="AA182" i="2"/>
  <c r="AA284" i="6"/>
  <c r="AA181" i="5"/>
  <c r="AA345" i="6"/>
  <c r="AA364" i="6"/>
  <c r="AA360" i="6"/>
  <c r="AA340" i="6"/>
  <c r="AA358" i="6"/>
  <c r="AA315" i="6"/>
  <c r="AA288" i="2"/>
  <c r="AA279" i="6"/>
  <c r="AA185" i="5"/>
  <c r="AA339" i="6"/>
  <c r="AA297" i="6"/>
  <c r="AA294" i="2"/>
  <c r="AA365" i="2"/>
  <c r="AA313" i="2"/>
  <c r="AA342" i="2"/>
  <c r="AA287" i="2"/>
  <c r="AA340" i="2"/>
  <c r="AA344" i="2"/>
  <c r="AA176" i="6"/>
  <c r="AA341" i="6"/>
  <c r="AA308" i="6"/>
  <c r="AA184" i="2"/>
  <c r="AA359" i="6"/>
  <c r="AA307" i="6"/>
  <c r="AA188" i="5"/>
  <c r="AA281" i="6"/>
  <c r="AA338" i="6"/>
  <c r="AA191" i="5"/>
  <c r="AA342" i="6"/>
  <c r="AA183" i="2"/>
  <c r="AA299" i="6"/>
  <c r="AA343" i="6"/>
  <c r="AA303" i="6"/>
  <c r="AA314" i="2"/>
  <c r="AA362" i="6"/>
  <c r="AA363" i="2"/>
  <c r="AA358" i="2"/>
  <c r="AA295" i="2"/>
  <c r="AA310" i="2"/>
  <c r="AA359" i="2"/>
  <c r="AA362" i="2"/>
  <c r="AA337" i="2"/>
  <c r="AA360" i="2"/>
  <c r="AA169" i="6"/>
  <c r="AA178" i="6"/>
  <c r="AA283" i="6"/>
  <c r="AA181" i="2"/>
  <c r="AA298" i="6"/>
  <c r="AA314" i="6"/>
  <c r="AA302" i="6"/>
  <c r="AA305" i="6"/>
  <c r="AA187" i="5"/>
  <c r="AA187" i="2"/>
  <c r="AA309" i="6"/>
  <c r="AA186" i="2"/>
  <c r="AA311" i="6"/>
  <c r="AA189" i="2"/>
  <c r="AA300" i="6"/>
  <c r="AA338" i="2"/>
  <c r="AA186" i="5"/>
  <c r="AA344" i="6"/>
  <c r="AA282" i="6"/>
  <c r="AA345" i="2"/>
  <c r="AA337" i="6"/>
  <c r="AA363" i="6"/>
  <c r="AA357" i="2"/>
  <c r="AA292" i="2"/>
  <c r="AA339" i="2"/>
  <c r="AA293" i="2"/>
  <c r="AA291" i="2"/>
  <c r="AA308" i="2"/>
  <c r="AA315" i="2"/>
  <c r="AA363" i="5"/>
  <c r="AA131" i="6"/>
  <c r="AA360" i="5"/>
  <c r="AA362" i="5"/>
  <c r="AA358" i="5"/>
  <c r="AA361" i="5"/>
  <c r="AA364" i="5"/>
  <c r="AA365" i="5"/>
  <c r="AA357" i="5"/>
  <c r="AA359" i="5"/>
  <c r="Y322" i="7"/>
  <c r="Y254" i="7"/>
  <c r="AA487" i="6"/>
  <c r="Y315" i="7"/>
  <c r="AA492" i="6"/>
  <c r="Y323" i="7"/>
  <c r="AA379" i="5"/>
  <c r="Y257" i="7"/>
  <c r="AA494" i="2"/>
  <c r="AA492" i="2"/>
  <c r="AA381" i="5"/>
  <c r="Y261" i="7"/>
  <c r="AA378" i="5"/>
  <c r="AA492" i="5"/>
  <c r="AA493" i="2"/>
  <c r="AA490" i="5"/>
  <c r="AA493" i="6"/>
  <c r="AA384" i="5"/>
  <c r="Y258" i="7"/>
  <c r="Y253" i="7"/>
  <c r="AA383" i="5"/>
  <c r="Y321" i="7"/>
  <c r="AA489" i="5"/>
  <c r="Y260" i="7"/>
  <c r="AA382" i="5"/>
  <c r="AA495" i="2"/>
  <c r="AA491" i="5"/>
  <c r="AA494" i="6"/>
  <c r="AA491" i="6"/>
  <c r="AA493" i="5"/>
  <c r="AB380" i="6"/>
  <c r="AB379" i="6"/>
  <c r="AB378" i="6"/>
  <c r="AB377" i="6"/>
  <c r="Y319" i="7"/>
  <c r="AA495" i="6"/>
  <c r="AA487" i="5"/>
  <c r="Y320" i="7"/>
  <c r="Y263" i="7"/>
  <c r="Y262" i="7"/>
  <c r="Y316" i="7"/>
  <c r="AA380" i="5"/>
  <c r="AA488" i="6"/>
  <c r="Y252" i="7"/>
  <c r="AA487" i="2"/>
  <c r="AA495" i="5"/>
  <c r="AA488" i="5"/>
  <c r="AA490" i="2"/>
  <c r="AA489" i="2"/>
  <c r="Y317" i="7"/>
  <c r="AA489" i="6"/>
  <c r="Y251" i="7"/>
  <c r="AA488" i="2"/>
  <c r="Y255" i="7"/>
  <c r="Y318" i="7"/>
  <c r="AA385" i="5"/>
  <c r="AA377" i="5"/>
  <c r="Y259" i="7"/>
  <c r="Y256" i="7"/>
  <c r="AA491" i="2"/>
  <c r="AA490" i="6"/>
  <c r="AA494" i="5"/>
  <c r="AA123" i="6" l="1"/>
  <c r="AC123" i="6" s="1"/>
  <c r="AA127" i="6"/>
  <c r="AC127" i="6" s="1"/>
  <c r="AA107" i="6"/>
  <c r="AC107" i="6" s="1"/>
  <c r="Y213" i="7"/>
  <c r="AA213" i="7" s="1"/>
  <c r="Y220" i="7"/>
  <c r="AA220" i="7" s="1"/>
  <c r="Y221" i="7"/>
  <c r="AA221" i="7" s="1"/>
  <c r="Y52" i="7"/>
  <c r="AA52" i="7" s="1"/>
  <c r="Y49" i="7"/>
  <c r="AA49" i="7" s="1"/>
  <c r="AA465" i="5"/>
  <c r="AC465" i="5" s="1"/>
  <c r="AA461" i="2"/>
  <c r="AC461" i="2" s="1"/>
  <c r="Y292" i="7"/>
  <c r="AA292" i="7" s="1"/>
  <c r="Y285" i="7"/>
  <c r="AA285" i="7" s="1"/>
  <c r="AA460" i="5"/>
  <c r="AC460" i="5" s="1"/>
  <c r="AA457" i="5"/>
  <c r="AC457" i="5" s="1"/>
  <c r="AA460" i="2"/>
  <c r="AC460" i="2" s="1"/>
  <c r="Y211" i="7"/>
  <c r="AA211" i="7" s="1"/>
  <c r="Y218" i="7"/>
  <c r="AA218" i="7" s="1"/>
  <c r="Y217" i="7"/>
  <c r="AA217" i="7" s="1"/>
  <c r="Y51" i="7"/>
  <c r="AA51" i="7" s="1"/>
  <c r="Y50" i="7"/>
  <c r="AA50" i="7" s="1"/>
  <c r="Y45" i="7"/>
  <c r="AA45" i="7" s="1"/>
  <c r="AA458" i="2"/>
  <c r="AC458" i="2" s="1"/>
  <c r="AA462" i="6"/>
  <c r="AC462" i="6" s="1"/>
  <c r="AA465" i="6"/>
  <c r="AC465" i="6" s="1"/>
  <c r="AA463" i="6"/>
  <c r="AC463" i="6" s="1"/>
  <c r="Y293" i="7"/>
  <c r="AA293" i="7" s="1"/>
  <c r="AA460" i="6"/>
  <c r="AC460" i="6" s="1"/>
  <c r="AA465" i="2"/>
  <c r="AC465" i="2" s="1"/>
  <c r="Y288" i="7"/>
  <c r="AA288" i="7" s="1"/>
  <c r="AA459" i="2"/>
  <c r="AC459" i="2" s="1"/>
  <c r="Y291" i="7"/>
  <c r="AA291" i="7" s="1"/>
  <c r="Y214" i="7"/>
  <c r="AA214" i="7" s="1"/>
  <c r="Y216" i="7"/>
  <c r="AA216" i="7" s="1"/>
  <c r="Y212" i="7"/>
  <c r="AA212" i="7" s="1"/>
  <c r="Y47" i="7"/>
  <c r="AA47" i="7" s="1"/>
  <c r="Y48" i="7"/>
  <c r="AA48" i="7" s="1"/>
  <c r="Y53" i="7"/>
  <c r="AA53" i="7" s="1"/>
  <c r="AA462" i="5"/>
  <c r="AC462" i="5" s="1"/>
  <c r="AA464" i="2"/>
  <c r="AC464" i="2" s="1"/>
  <c r="Y289" i="7"/>
  <c r="AA289" i="7" s="1"/>
  <c r="Y287" i="7"/>
  <c r="AA287" i="7" s="1"/>
  <c r="AA464" i="6"/>
  <c r="AC464" i="6" s="1"/>
  <c r="AA457" i="2"/>
  <c r="AC457" i="2" s="1"/>
  <c r="Y290" i="7"/>
  <c r="AA290" i="7" s="1"/>
  <c r="AA459" i="5"/>
  <c r="AC459" i="5" s="1"/>
  <c r="AA459" i="6"/>
  <c r="AC459" i="6" s="1"/>
  <c r="AA457" i="6"/>
  <c r="AC457" i="6" s="1"/>
  <c r="Y219" i="7"/>
  <c r="AA219" i="7" s="1"/>
  <c r="Y210" i="7"/>
  <c r="AA210" i="7" s="1"/>
  <c r="Y215" i="7"/>
  <c r="AA215" i="7" s="1"/>
  <c r="Y46" i="7"/>
  <c r="AA46" i="7" s="1"/>
  <c r="Y44" i="7"/>
  <c r="AA44" i="7" s="1"/>
  <c r="AA463" i="2"/>
  <c r="AC463" i="2" s="1"/>
  <c r="AA461" i="5"/>
  <c r="AC461" i="5" s="1"/>
  <c r="AA458" i="5"/>
  <c r="AC458" i="5" s="1"/>
  <c r="AA458" i="6"/>
  <c r="AC458" i="6" s="1"/>
  <c r="AA463" i="5"/>
  <c r="AC463" i="5" s="1"/>
  <c r="AA461" i="6"/>
  <c r="AC461" i="6" s="1"/>
  <c r="AA464" i="5"/>
  <c r="AC464" i="5" s="1"/>
  <c r="Y286" i="7"/>
  <c r="AA286" i="7" s="1"/>
  <c r="AA462" i="2"/>
  <c r="AC462" i="2" s="1"/>
  <c r="AA129" i="6"/>
  <c r="AC129" i="6" s="1"/>
  <c r="Y71" i="7"/>
  <c r="AA71" i="7" s="1"/>
  <c r="AC490" i="6"/>
  <c r="AC377" i="5"/>
  <c r="AC489" i="6"/>
  <c r="AC489" i="2"/>
  <c r="AA252" i="7"/>
  <c r="AC380" i="5"/>
  <c r="AA262" i="7"/>
  <c r="AA320" i="7"/>
  <c r="AC491" i="5"/>
  <c r="AC382" i="5"/>
  <c r="AC493" i="2"/>
  <c r="AC381" i="5"/>
  <c r="AC494" i="2"/>
  <c r="AC492" i="6"/>
  <c r="AC487" i="6"/>
  <c r="AA322" i="7"/>
  <c r="AC363" i="5"/>
  <c r="AC488" i="2"/>
  <c r="AC495" i="5"/>
  <c r="AC495" i="6"/>
  <c r="AC491" i="6"/>
  <c r="AC489" i="5"/>
  <c r="AC383" i="5"/>
  <c r="AA258" i="7"/>
  <c r="AC493" i="6"/>
  <c r="AC378" i="5"/>
  <c r="AC379" i="5"/>
  <c r="AA72" i="7"/>
  <c r="AA256" i="7"/>
  <c r="AA318" i="7"/>
  <c r="AC494" i="5"/>
  <c r="AC491" i="2"/>
  <c r="AA259" i="7"/>
  <c r="AC385" i="5"/>
  <c r="AA255" i="7"/>
  <c r="AA251" i="7"/>
  <c r="AA317" i="7"/>
  <c r="AC490" i="2"/>
  <c r="AC488" i="5"/>
  <c r="AA316" i="7"/>
  <c r="AA263" i="7"/>
  <c r="AC487" i="5"/>
  <c r="AA319" i="7"/>
  <c r="AC493" i="5"/>
  <c r="AC494" i="6"/>
  <c r="AC495" i="2"/>
  <c r="AA260" i="7"/>
  <c r="AA253" i="7"/>
  <c r="AC384" i="5"/>
  <c r="AA261" i="7"/>
  <c r="AC492" i="2"/>
  <c r="AA323" i="7"/>
  <c r="AA315" i="7"/>
  <c r="AA254" i="7"/>
  <c r="AC487" i="2"/>
  <c r="AC488" i="6"/>
  <c r="AA321" i="7"/>
  <c r="AC490" i="5"/>
  <c r="AC492" i="5"/>
  <c r="AA257" i="7"/>
  <c r="AC359" i="5"/>
  <c r="AC357" i="5"/>
  <c r="AC365" i="5"/>
  <c r="AC364" i="5"/>
  <c r="AC361" i="5"/>
  <c r="AC358" i="5"/>
  <c r="AC362" i="5"/>
  <c r="AC360" i="5"/>
  <c r="AC131" i="6"/>
  <c r="AP308" i="2"/>
  <c r="AP339" i="2"/>
  <c r="AP357" i="2"/>
  <c r="AP337" i="6"/>
  <c r="AP338" i="2"/>
  <c r="AP300" i="6"/>
  <c r="AP309" i="6"/>
  <c r="AP298" i="6"/>
  <c r="AP181" i="2"/>
  <c r="AP169" i="6"/>
  <c r="AP360" i="2"/>
  <c r="AP337" i="2"/>
  <c r="AP359" i="2"/>
  <c r="AP310" i="2"/>
  <c r="AP358" i="2"/>
  <c r="AP299" i="6"/>
  <c r="AP183" i="2"/>
  <c r="AP338" i="6"/>
  <c r="AP307" i="6"/>
  <c r="AP359" i="6"/>
  <c r="AP184" i="2"/>
  <c r="AP308" i="6"/>
  <c r="AP340" i="2"/>
  <c r="AP287" i="2"/>
  <c r="AP297" i="6"/>
  <c r="AP339" i="6"/>
  <c r="AP279" i="6"/>
  <c r="AP288" i="2"/>
  <c r="AP358" i="6"/>
  <c r="AP340" i="6"/>
  <c r="AP360" i="6"/>
  <c r="AP181" i="5"/>
  <c r="AP182" i="2"/>
  <c r="AP183" i="5"/>
  <c r="AP171" i="6"/>
  <c r="AP172" i="6"/>
  <c r="AP309" i="2"/>
  <c r="AP184" i="5"/>
  <c r="AP307" i="2"/>
  <c r="AP290" i="2"/>
  <c r="AP289" i="2"/>
  <c r="AP280" i="6"/>
  <c r="AP278" i="6"/>
  <c r="AP310" i="6"/>
  <c r="AP277" i="6"/>
  <c r="AP182" i="5"/>
  <c r="AP357" i="6"/>
  <c r="AP170" i="6"/>
  <c r="AA266" i="5"/>
  <c r="Y20" i="7"/>
  <c r="AA425" i="5"/>
  <c r="AA397" i="2"/>
  <c r="AA272" i="5"/>
  <c r="AA15" i="5"/>
  <c r="AA137" i="5"/>
  <c r="AA412" i="6"/>
  <c r="AA151" i="6"/>
  <c r="AP151" i="6" s="1"/>
  <c r="AA400" i="5"/>
  <c r="AA421" i="6"/>
  <c r="Y203" i="7"/>
  <c r="AA134" i="6"/>
  <c r="Y85" i="7"/>
  <c r="AA389" i="5"/>
  <c r="AA422" i="6"/>
  <c r="AA414" i="6"/>
  <c r="AA418" i="5"/>
  <c r="AA387" i="6"/>
  <c r="AA135" i="2"/>
  <c r="AA151" i="2"/>
  <c r="Y17" i="7"/>
  <c r="AA22" i="6"/>
  <c r="AA146" i="2"/>
  <c r="Y272" i="7"/>
  <c r="Y23" i="7"/>
  <c r="AA423" i="2"/>
  <c r="AA394" i="2"/>
  <c r="AA502" i="2"/>
  <c r="Y99" i="7"/>
  <c r="AA149" i="5"/>
  <c r="AA272" i="2"/>
  <c r="Y104" i="7"/>
  <c r="AA390" i="2"/>
  <c r="AA387" i="5"/>
  <c r="Y281" i="7"/>
  <c r="Y111" i="7"/>
  <c r="AA151" i="5"/>
  <c r="Y235" i="7"/>
  <c r="AA145" i="6"/>
  <c r="AA128" i="6"/>
  <c r="AA121" i="6"/>
  <c r="Y70" i="7"/>
  <c r="AA122" i="6"/>
  <c r="Y69" i="7"/>
  <c r="AA130" i="6"/>
  <c r="AA126" i="6"/>
  <c r="AA125" i="6"/>
  <c r="AA124" i="6"/>
  <c r="AA102" i="6"/>
  <c r="Y127" i="7"/>
  <c r="Y137" i="7"/>
  <c r="Y171" i="7"/>
  <c r="AA270" i="2"/>
  <c r="Y128" i="7"/>
  <c r="AA272" i="6"/>
  <c r="AA270" i="6"/>
  <c r="Y132" i="7"/>
  <c r="Y130" i="7"/>
  <c r="Y134" i="7"/>
  <c r="Y174" i="7"/>
  <c r="AA265" i="6"/>
  <c r="Y241" i="7"/>
  <c r="Y43" i="7"/>
  <c r="AA274" i="6"/>
  <c r="AA265" i="5"/>
  <c r="Y126" i="7"/>
  <c r="AA485" i="2"/>
  <c r="AA267" i="6"/>
  <c r="AA482" i="2"/>
  <c r="AA485" i="5"/>
  <c r="AA478" i="5"/>
  <c r="AA275" i="5"/>
  <c r="Y178" i="7"/>
  <c r="AA266" i="6"/>
  <c r="AA374" i="5"/>
  <c r="Y209" i="7"/>
  <c r="Y86" i="7"/>
  <c r="Y129" i="7"/>
  <c r="Y242" i="7"/>
  <c r="Y168" i="7"/>
  <c r="Y133" i="7"/>
  <c r="AA269" i="6"/>
  <c r="Y135" i="7"/>
  <c r="AA480" i="5"/>
  <c r="AA271" i="6"/>
  <c r="Y162" i="7"/>
  <c r="Y125" i="7"/>
  <c r="AA268" i="6"/>
  <c r="Y131" i="7"/>
  <c r="Y42" i="7"/>
  <c r="AA275" i="6"/>
  <c r="AA273" i="6"/>
  <c r="Y136" i="7"/>
  <c r="AA101" i="6"/>
  <c r="AA143" i="6"/>
  <c r="AA482" i="5"/>
  <c r="Y310" i="7"/>
  <c r="AA481" i="6"/>
  <c r="AA478" i="2"/>
  <c r="AA483" i="6"/>
  <c r="AA51" i="6"/>
  <c r="AA480" i="2"/>
  <c r="Y163" i="7"/>
  <c r="AA354" i="5"/>
  <c r="Y41" i="7"/>
  <c r="AA352" i="5"/>
  <c r="AA482" i="6"/>
  <c r="AA479" i="2"/>
  <c r="AA483" i="2"/>
  <c r="AA150" i="5"/>
  <c r="Y311" i="7"/>
  <c r="AA373" i="5"/>
  <c r="AA480" i="6"/>
  <c r="AA133" i="5"/>
  <c r="AA369" i="5"/>
  <c r="Y245" i="7"/>
  <c r="AA479" i="6"/>
  <c r="AA104" i="6"/>
  <c r="AA349" i="5"/>
  <c r="AA350" i="5"/>
  <c r="AA484" i="5"/>
  <c r="Y307" i="7"/>
  <c r="Y240" i="7"/>
  <c r="AA481" i="2"/>
  <c r="Y312" i="7"/>
  <c r="Y308" i="7"/>
  <c r="Y248" i="7"/>
  <c r="Y153" i="7"/>
  <c r="Y154" i="7"/>
  <c r="Y155" i="7"/>
  <c r="Y158" i="7"/>
  <c r="AA355" i="5"/>
  <c r="AA484" i="2"/>
  <c r="Y157" i="7"/>
  <c r="Y159" i="7"/>
  <c r="AA289" i="5"/>
  <c r="Y165" i="7"/>
  <c r="Y160" i="7"/>
  <c r="Y247" i="7"/>
  <c r="AA347" i="5"/>
  <c r="AA348" i="5"/>
  <c r="AA100" i="6"/>
  <c r="AA477" i="5"/>
  <c r="Y309" i="7"/>
  <c r="Y156" i="7"/>
  <c r="Y246" i="7"/>
  <c r="AA351" i="5"/>
  <c r="AA371" i="5"/>
  <c r="Y161" i="7"/>
  <c r="AA477" i="2"/>
  <c r="AA105" i="6"/>
  <c r="AA161" i="2"/>
  <c r="AA159" i="5"/>
  <c r="Y33" i="7"/>
  <c r="AA20" i="2"/>
  <c r="AA281" i="2"/>
  <c r="AA35" i="5"/>
  <c r="AA58" i="5"/>
  <c r="AA293" i="5"/>
  <c r="AA294" i="5"/>
  <c r="AA281" i="5"/>
  <c r="AA450" i="5"/>
  <c r="AA106" i="6"/>
  <c r="AA367" i="5"/>
  <c r="Y249" i="7"/>
  <c r="AA481" i="5"/>
  <c r="Y305" i="7"/>
  <c r="AA485" i="6"/>
  <c r="AA103" i="6"/>
  <c r="AA372" i="5"/>
  <c r="Y243" i="7"/>
  <c r="AA484" i="6"/>
  <c r="AA136" i="6"/>
  <c r="AA483" i="5"/>
  <c r="AA97" i="6"/>
  <c r="AA368" i="5"/>
  <c r="Y239" i="7"/>
  <c r="AA479" i="5"/>
  <c r="AA147" i="6"/>
  <c r="Y66" i="7"/>
  <c r="AA313" i="5"/>
  <c r="AA167" i="5"/>
  <c r="AA338" i="5"/>
  <c r="AA295" i="5"/>
  <c r="AA19" i="2"/>
  <c r="AA150" i="6"/>
  <c r="AP150" i="6" s="1"/>
  <c r="Y38" i="7"/>
  <c r="AA29" i="5"/>
  <c r="AA311" i="5"/>
  <c r="AA307" i="5"/>
  <c r="AA498" i="5"/>
  <c r="Y112" i="7"/>
  <c r="Y164" i="7"/>
  <c r="AA152" i="6"/>
  <c r="AP152" i="6" s="1"/>
  <c r="AA28" i="5"/>
  <c r="AA165" i="5"/>
  <c r="Y62" i="7"/>
  <c r="AA22" i="2"/>
  <c r="AA49" i="6"/>
  <c r="Y60" i="7"/>
  <c r="AA292" i="5"/>
  <c r="AA291" i="5"/>
  <c r="AA343" i="5"/>
  <c r="AA159" i="2"/>
  <c r="Y113" i="7"/>
  <c r="AA46" i="6"/>
  <c r="AA477" i="6"/>
  <c r="AA155" i="6"/>
  <c r="AP155" i="6" s="1"/>
  <c r="AA478" i="6"/>
  <c r="Y313" i="7"/>
  <c r="Y238" i="7"/>
  <c r="Y306" i="7"/>
  <c r="Y237" i="7"/>
  <c r="AA143" i="5"/>
  <c r="Y244" i="7"/>
  <c r="AA353" i="5"/>
  <c r="AA370" i="5"/>
  <c r="AA375" i="5"/>
  <c r="AA99" i="6"/>
  <c r="AA98" i="6"/>
  <c r="AA98" i="5"/>
  <c r="AA103" i="5"/>
  <c r="AA124" i="5"/>
  <c r="AA122" i="5"/>
  <c r="AA125" i="5"/>
  <c r="AA101" i="5"/>
  <c r="AA102" i="5"/>
  <c r="AA105" i="5"/>
  <c r="AA129" i="5"/>
  <c r="AA131" i="5"/>
  <c r="AA130" i="5"/>
  <c r="AA107" i="5"/>
  <c r="AA99" i="5"/>
  <c r="AA106" i="5"/>
  <c r="AA126" i="5"/>
  <c r="AA128" i="5"/>
  <c r="AA123" i="5"/>
  <c r="AA104" i="5"/>
  <c r="AA100" i="5"/>
  <c r="AA97" i="5"/>
  <c r="AA121" i="5"/>
  <c r="AA127" i="5"/>
  <c r="AA451" i="5"/>
  <c r="AA344" i="5"/>
  <c r="Y276" i="7"/>
  <c r="AA18" i="2"/>
  <c r="AA284" i="5"/>
  <c r="AA453" i="6"/>
  <c r="AA469" i="2"/>
  <c r="AA420" i="6"/>
  <c r="AA21" i="6"/>
  <c r="Y57" i="7"/>
  <c r="AA450" i="2"/>
  <c r="AA389" i="2"/>
  <c r="Y117" i="7"/>
  <c r="Y270" i="7"/>
  <c r="AA452" i="2"/>
  <c r="Y233" i="7"/>
  <c r="Y199" i="7"/>
  <c r="AA288" i="5"/>
  <c r="AA56" i="6"/>
  <c r="Y266" i="7"/>
  <c r="AA452" i="6"/>
  <c r="AA134" i="2"/>
  <c r="AA404" i="2"/>
  <c r="AA455" i="6"/>
  <c r="Y36" i="7"/>
  <c r="Y123" i="7"/>
  <c r="Y200" i="7"/>
  <c r="AA267" i="5"/>
  <c r="AA400" i="2"/>
  <c r="AA143" i="2"/>
  <c r="AA39" i="6"/>
  <c r="AA41" i="6"/>
  <c r="Y193" i="7"/>
  <c r="Y184" i="7"/>
  <c r="AA454" i="6"/>
  <c r="Y198" i="7"/>
  <c r="AA473" i="2"/>
  <c r="Y226" i="7"/>
  <c r="AA449" i="6"/>
  <c r="Y303" i="7"/>
  <c r="Y192" i="7"/>
  <c r="AA135" i="6"/>
  <c r="Y196" i="7"/>
  <c r="Y30" i="7"/>
  <c r="AA34" i="5"/>
  <c r="AA53" i="6"/>
  <c r="AA282" i="2"/>
  <c r="Y275" i="7"/>
  <c r="Y197" i="7"/>
  <c r="AA451" i="6"/>
  <c r="Y27" i="7"/>
  <c r="Y64" i="7"/>
  <c r="Y84" i="7"/>
  <c r="Y169" i="7"/>
  <c r="AA395" i="6"/>
  <c r="AA393" i="5"/>
  <c r="Y206" i="7"/>
  <c r="AA471" i="2"/>
  <c r="Y187" i="7"/>
  <c r="Y150" i="7"/>
  <c r="Y21" i="7"/>
  <c r="AA274" i="2"/>
  <c r="AA447" i="2"/>
  <c r="AA23" i="6"/>
  <c r="AA473" i="6"/>
  <c r="Y188" i="7"/>
  <c r="AA18" i="5"/>
  <c r="AA401" i="2"/>
  <c r="AA423" i="5"/>
  <c r="AA57" i="6"/>
  <c r="Y102" i="7"/>
  <c r="Y13" i="7"/>
  <c r="AA163" i="5"/>
  <c r="AA284" i="2"/>
  <c r="Y119" i="7"/>
  <c r="AA422" i="2"/>
  <c r="AA147" i="2"/>
  <c r="Y277" i="7"/>
  <c r="AA42" i="6"/>
  <c r="AA450" i="6"/>
  <c r="AA13" i="2"/>
  <c r="AA17" i="2"/>
  <c r="Y105" i="7"/>
  <c r="AA145" i="2"/>
  <c r="AA417" i="2"/>
  <c r="AA278" i="5"/>
  <c r="AA498" i="2"/>
  <c r="AA14" i="5"/>
  <c r="AA468" i="2"/>
  <c r="Y225" i="7"/>
  <c r="AA280" i="2"/>
  <c r="AA162" i="5"/>
  <c r="AA497" i="6"/>
  <c r="Y95" i="7"/>
  <c r="AA140" i="2"/>
  <c r="AA391" i="2"/>
  <c r="AA141" i="2"/>
  <c r="AA403" i="5"/>
  <c r="AA398" i="5"/>
  <c r="Y268" i="7"/>
  <c r="AA424" i="6"/>
  <c r="Y280" i="7"/>
  <c r="AA392" i="5"/>
  <c r="AA401" i="5"/>
  <c r="AA138" i="5"/>
  <c r="AA266" i="2"/>
  <c r="AA161" i="5"/>
  <c r="AA278" i="2"/>
  <c r="AA314" i="5"/>
  <c r="Y37" i="7"/>
  <c r="AA287" i="5"/>
  <c r="AA309" i="5"/>
  <c r="Y302" i="7"/>
  <c r="AA473" i="5"/>
  <c r="AA154" i="6"/>
  <c r="AP154" i="6" s="1"/>
  <c r="AA47" i="6"/>
  <c r="AA402" i="2"/>
  <c r="AA280" i="5"/>
  <c r="AA19" i="6"/>
  <c r="AA19" i="5"/>
  <c r="AA391" i="5"/>
  <c r="AA413" i="6"/>
  <c r="AA402" i="5"/>
  <c r="AA390" i="6"/>
  <c r="Y325" i="7"/>
  <c r="AA394" i="6"/>
  <c r="AA138" i="2"/>
  <c r="AA390" i="5"/>
  <c r="AA454" i="2"/>
  <c r="Y205" i="7"/>
  <c r="AA273" i="5"/>
  <c r="AA308" i="5"/>
  <c r="Y32" i="7"/>
  <c r="AA33" i="5"/>
  <c r="Y29" i="7"/>
  <c r="Y31" i="7"/>
  <c r="AA166" i="5"/>
  <c r="AA148" i="6"/>
  <c r="AA387" i="2"/>
  <c r="AA45" i="6"/>
  <c r="Y283" i="7"/>
  <c r="Y116" i="7"/>
  <c r="AA134" i="5"/>
  <c r="AA500" i="2"/>
  <c r="AA138" i="6"/>
  <c r="AA17" i="6"/>
  <c r="Y108" i="7"/>
  <c r="AA394" i="5"/>
  <c r="AA393" i="6"/>
  <c r="AA282" i="5"/>
  <c r="AA14" i="2"/>
  <c r="AA310" i="5"/>
  <c r="AA167" i="2"/>
  <c r="AA166" i="2"/>
  <c r="AA339" i="5"/>
  <c r="AA337" i="5"/>
  <c r="AA340" i="5"/>
  <c r="AA342" i="5"/>
  <c r="AA345" i="5"/>
  <c r="AA49" i="5"/>
  <c r="AA158" i="2"/>
  <c r="Y39" i="7"/>
  <c r="AA52" i="6"/>
  <c r="AA312" i="5"/>
  <c r="AA452" i="5"/>
  <c r="AA154" i="2"/>
  <c r="AA25" i="5"/>
  <c r="AA59" i="6"/>
  <c r="Y207" i="7"/>
  <c r="Y204" i="7"/>
  <c r="AA164" i="2"/>
  <c r="AA164" i="5"/>
  <c r="AA31" i="5"/>
  <c r="AA275" i="2"/>
  <c r="AA500" i="5"/>
  <c r="AA277" i="5"/>
  <c r="Y149" i="7"/>
  <c r="Y300" i="7"/>
  <c r="AA146" i="5"/>
  <c r="AA447" i="5"/>
  <c r="Y145" i="7"/>
  <c r="AA474" i="5"/>
  <c r="AA471" i="5"/>
  <c r="AA56" i="5"/>
  <c r="AA55" i="6"/>
  <c r="AA15" i="2"/>
  <c r="AA158" i="5"/>
  <c r="AA26" i="5"/>
  <c r="Y56" i="7"/>
  <c r="AA153" i="6"/>
  <c r="AP153" i="6" s="1"/>
  <c r="AA146" i="6"/>
  <c r="AA149" i="6"/>
  <c r="AP149" i="6" s="1"/>
  <c r="Y28" i="7"/>
  <c r="AA30" i="5"/>
  <c r="Y65" i="7"/>
  <c r="Y59" i="7"/>
  <c r="AA341" i="5"/>
  <c r="AA470" i="5"/>
  <c r="AA54" i="5"/>
  <c r="AA469" i="6"/>
  <c r="AA469" i="5"/>
  <c r="AA53" i="5"/>
  <c r="AA16" i="5"/>
  <c r="Y230" i="7"/>
  <c r="Y223" i="7"/>
  <c r="Y55" i="7"/>
  <c r="Y58" i="7"/>
  <c r="AA55" i="5"/>
  <c r="AA447" i="6"/>
  <c r="AA277" i="2"/>
  <c r="AP277" i="2" s="1"/>
  <c r="Y151" i="7"/>
  <c r="AA52" i="5"/>
  <c r="AA51" i="5"/>
  <c r="AA50" i="5"/>
  <c r="AA32" i="5"/>
  <c r="AA54" i="6"/>
  <c r="AA160" i="5"/>
  <c r="AA16" i="2"/>
  <c r="AA21" i="2"/>
  <c r="AA279" i="2"/>
  <c r="AA315" i="5"/>
  <c r="AA27" i="5"/>
  <c r="AA290" i="5"/>
  <c r="AA285" i="2"/>
  <c r="AA157" i="5"/>
  <c r="Y34" i="7"/>
  <c r="AA283" i="2"/>
  <c r="AA160" i="2"/>
  <c r="AA50" i="6"/>
  <c r="AA58" i="6"/>
  <c r="Y35" i="7"/>
  <c r="AA163" i="2"/>
  <c r="AA165" i="2"/>
  <c r="AA162" i="2"/>
  <c r="AA157" i="2"/>
  <c r="AA23" i="2"/>
  <c r="Y61" i="7"/>
  <c r="Y63" i="7"/>
  <c r="Y67" i="7"/>
  <c r="AA59" i="5"/>
  <c r="AA57" i="5"/>
  <c r="AA467" i="6"/>
  <c r="Y295" i="7"/>
  <c r="Y269" i="7"/>
  <c r="AA14" i="6"/>
  <c r="AA155" i="5"/>
  <c r="Y139" i="7"/>
  <c r="Y147" i="7"/>
  <c r="Y296" i="7"/>
  <c r="AA472" i="6"/>
  <c r="AA475" i="6"/>
  <c r="Y227" i="7"/>
  <c r="AA154" i="5"/>
  <c r="Y229" i="7"/>
  <c r="AA267" i="2"/>
  <c r="AA139" i="5"/>
  <c r="Y190" i="7"/>
  <c r="AA403" i="2"/>
  <c r="Y25" i="7"/>
  <c r="Y191" i="7"/>
  <c r="AA273" i="2"/>
  <c r="Y173" i="7"/>
  <c r="Y19" i="7"/>
  <c r="AA502" i="6"/>
  <c r="AA140" i="5"/>
  <c r="AA395" i="2"/>
  <c r="AA421" i="2"/>
  <c r="AA17" i="5"/>
  <c r="Y109" i="7"/>
  <c r="AA22" i="5"/>
  <c r="Y181" i="7"/>
  <c r="Y103" i="7"/>
  <c r="AA153" i="2"/>
  <c r="AA279" i="5"/>
  <c r="AA142" i="5"/>
  <c r="Y176" i="7"/>
  <c r="Y328" i="7"/>
  <c r="AA425" i="6"/>
  <c r="Y92" i="7"/>
  <c r="AA133" i="6"/>
  <c r="AA44" i="6"/>
  <c r="AA392" i="6"/>
  <c r="AA152" i="5"/>
  <c r="AA137" i="2"/>
  <c r="AA271" i="2"/>
  <c r="AA409" i="6"/>
  <c r="AA21" i="5"/>
  <c r="Y299" i="7"/>
  <c r="Y267" i="7"/>
  <c r="Y202" i="7"/>
  <c r="AA475" i="5"/>
  <c r="AA453" i="5"/>
  <c r="AA467" i="5"/>
  <c r="AA468" i="6"/>
  <c r="Y265" i="7"/>
  <c r="AA392" i="2"/>
  <c r="AA453" i="2"/>
  <c r="Y24" i="7"/>
  <c r="Y98" i="7"/>
  <c r="AA472" i="2"/>
  <c r="AA475" i="2"/>
  <c r="AA405" i="2"/>
  <c r="Y93" i="7"/>
  <c r="Y15" i="7"/>
  <c r="AA40" i="6"/>
  <c r="AA283" i="5"/>
  <c r="AA448" i="5"/>
  <c r="AA20" i="5"/>
  <c r="Y224" i="7"/>
  <c r="AA265" i="2"/>
  <c r="AA472" i="5"/>
  <c r="AA13" i="5"/>
  <c r="Y83" i="7"/>
  <c r="AA142" i="2"/>
  <c r="AA474" i="2"/>
  <c r="AA268" i="5"/>
  <c r="Y146" i="7"/>
  <c r="AA419" i="6"/>
  <c r="AA389" i="6"/>
  <c r="Y18" i="7"/>
  <c r="AA421" i="5"/>
  <c r="AA23" i="5"/>
  <c r="AA418" i="2"/>
  <c r="Y94" i="7"/>
  <c r="AA136" i="2"/>
  <c r="AA425" i="2"/>
  <c r="AA419" i="2"/>
  <c r="Y97" i="7"/>
  <c r="AA420" i="2"/>
  <c r="AA497" i="5"/>
  <c r="AA448" i="6"/>
  <c r="Y118" i="7"/>
  <c r="AA388" i="5"/>
  <c r="AA148" i="2"/>
  <c r="AA285" i="5"/>
  <c r="AA20" i="6"/>
  <c r="AA500" i="6"/>
  <c r="AA501" i="6"/>
  <c r="AA269" i="5"/>
  <c r="Y167" i="7"/>
  <c r="AA269" i="2"/>
  <c r="Y301" i="7"/>
  <c r="AA470" i="6"/>
  <c r="AA468" i="5"/>
  <c r="Y148" i="7"/>
  <c r="Y142" i="7"/>
  <c r="AA397" i="5"/>
  <c r="Y186" i="7"/>
  <c r="AA424" i="2"/>
  <c r="Y100" i="7"/>
  <c r="Y91" i="7"/>
  <c r="AA152" i="2"/>
  <c r="AA497" i="2"/>
  <c r="AA420" i="5"/>
  <c r="Y106" i="7"/>
  <c r="Y282" i="7"/>
  <c r="AA155" i="2"/>
  <c r="AA137" i="6"/>
  <c r="AA404" i="5"/>
  <c r="AA449" i="2"/>
  <c r="AA448" i="2"/>
  <c r="Y170" i="7"/>
  <c r="Y144" i="7"/>
  <c r="Y115" i="7"/>
  <c r="AA417" i="6"/>
  <c r="AA142" i="6"/>
  <c r="AA133" i="2"/>
  <c r="AA16" i="6"/>
  <c r="AA423" i="6"/>
  <c r="Y278" i="7"/>
  <c r="AA43" i="6"/>
  <c r="AA391" i="6"/>
  <c r="AA467" i="2"/>
  <c r="AA470" i="2"/>
  <c r="Y234" i="7"/>
  <c r="AA274" i="5"/>
  <c r="Y297" i="7"/>
  <c r="Y143" i="7"/>
  <c r="AA471" i="6"/>
  <c r="AA474" i="6"/>
  <c r="Y298" i="7"/>
  <c r="Y326" i="7"/>
  <c r="AA140" i="6"/>
  <c r="Y89" i="7"/>
  <c r="Y330" i="7"/>
  <c r="AA136" i="5"/>
  <c r="AA501" i="2"/>
  <c r="Y90" i="7"/>
  <c r="Y329" i="7"/>
  <c r="AA454" i="5"/>
  <c r="AA419" i="5"/>
  <c r="AA388" i="2"/>
  <c r="Y88" i="7"/>
  <c r="AA498" i="6"/>
  <c r="Y279" i="7"/>
  <c r="AA451" i="2"/>
  <c r="AA411" i="6"/>
  <c r="AA418" i="6"/>
  <c r="Y189" i="7"/>
  <c r="AA398" i="2"/>
  <c r="AA139" i="6"/>
  <c r="AA37" i="6"/>
  <c r="Y195" i="7"/>
  <c r="AA410" i="6"/>
  <c r="AA150" i="2"/>
  <c r="AA141" i="5"/>
  <c r="AA449" i="5"/>
  <c r="Y121" i="7"/>
  <c r="Y232" i="7"/>
  <c r="Y228" i="7"/>
  <c r="Y231" i="7"/>
  <c r="Y179" i="7"/>
  <c r="AA147" i="5"/>
  <c r="Y141" i="7"/>
  <c r="Y140" i="7"/>
  <c r="AA422" i="5"/>
  <c r="Y14" i="7"/>
  <c r="Y16" i="7"/>
  <c r="AA405" i="5"/>
  <c r="Y122" i="7"/>
  <c r="AA415" i="6"/>
  <c r="AA395" i="5"/>
  <c r="AA15" i="6"/>
  <c r="Y114" i="7"/>
  <c r="AA399" i="2"/>
  <c r="Y185" i="7"/>
  <c r="Y22" i="7"/>
  <c r="AA38" i="6"/>
  <c r="AA407" i="6"/>
  <c r="Y87" i="7"/>
  <c r="AA455" i="2"/>
  <c r="AA455" i="5"/>
  <c r="Y120" i="7"/>
  <c r="Y271" i="7"/>
  <c r="AA139" i="2"/>
  <c r="Y201" i="7"/>
  <c r="AA270" i="5"/>
  <c r="AA149" i="2"/>
  <c r="AA141" i="6"/>
  <c r="AA502" i="5"/>
  <c r="AA135" i="5"/>
  <c r="Y107" i="7"/>
  <c r="AA13" i="6"/>
  <c r="Y101" i="7"/>
  <c r="AA388" i="6"/>
  <c r="AA501" i="5"/>
  <c r="Y172" i="7"/>
  <c r="AA271" i="5"/>
  <c r="Y175" i="7"/>
  <c r="AA153" i="5"/>
  <c r="AA268" i="2"/>
  <c r="Y177" i="7"/>
  <c r="AA417" i="5"/>
  <c r="AA18" i="6"/>
  <c r="Y273" i="7"/>
  <c r="AA148" i="5"/>
  <c r="AA145" i="5"/>
  <c r="Y182" i="7"/>
  <c r="AA424" i="5"/>
  <c r="AA393" i="2"/>
  <c r="Y183" i="7"/>
  <c r="AA399" i="5"/>
  <c r="AP315" i="2"/>
  <c r="AP291" i="2"/>
  <c r="AP293" i="2"/>
  <c r="AP292" i="2"/>
  <c r="AP55" i="5"/>
  <c r="AP363" i="6"/>
  <c r="AP345" i="2"/>
  <c r="AP282" i="6"/>
  <c r="AP344" i="6"/>
  <c r="AP186" i="5"/>
  <c r="AP189" i="2"/>
  <c r="AP311" i="6"/>
  <c r="AP186" i="2"/>
  <c r="AP187" i="2"/>
  <c r="AP187" i="5"/>
  <c r="AP305" i="6"/>
  <c r="AP302" i="6"/>
  <c r="AP314" i="6"/>
  <c r="AP283" i="6"/>
  <c r="AP178" i="6"/>
  <c r="AP362" i="2"/>
  <c r="AP295" i="2"/>
  <c r="AP363" i="2"/>
  <c r="AP56" i="5"/>
  <c r="AP362" i="6"/>
  <c r="AP314" i="2"/>
  <c r="AP303" i="6"/>
  <c r="AP343" i="6"/>
  <c r="AP342" i="6"/>
  <c r="AP191" i="5"/>
  <c r="AP281" i="6"/>
  <c r="AP53" i="5"/>
  <c r="AP188" i="5"/>
  <c r="AP59" i="5"/>
  <c r="AP58" i="5"/>
  <c r="AP341" i="6"/>
  <c r="AP176" i="6"/>
  <c r="AP344" i="2"/>
  <c r="AP342" i="2"/>
  <c r="AP313" i="2"/>
  <c r="AP365" i="2"/>
  <c r="AP294" i="2"/>
  <c r="AP185" i="5"/>
  <c r="AP315" i="6"/>
  <c r="AP364" i="6"/>
  <c r="AP345" i="6"/>
  <c r="AP54" i="5"/>
  <c r="AP284" i="6"/>
  <c r="AP190" i="5"/>
  <c r="AP191" i="2"/>
  <c r="AP312" i="6"/>
  <c r="AP179" i="6"/>
  <c r="AP174" i="6"/>
  <c r="AP175" i="6"/>
  <c r="AP343" i="2"/>
  <c r="AP364" i="2"/>
  <c r="AP311" i="2"/>
  <c r="AP312" i="2"/>
  <c r="AP341" i="2"/>
  <c r="AP361" i="2"/>
  <c r="AP189" i="5"/>
  <c r="AP365" i="6"/>
  <c r="AP313" i="6"/>
  <c r="AP57" i="5"/>
  <c r="AP285" i="6"/>
  <c r="AP190" i="2"/>
  <c r="AP361" i="6"/>
  <c r="AP188" i="2"/>
  <c r="AP185" i="2"/>
  <c r="AP304" i="6"/>
  <c r="AP301" i="6"/>
  <c r="AP173" i="6"/>
  <c r="AP177" i="6"/>
  <c r="AP54" i="6"/>
  <c r="AP161" i="5"/>
  <c r="AP163" i="5"/>
  <c r="AP55" i="6"/>
  <c r="AP57" i="6"/>
  <c r="AP53" i="6"/>
  <c r="AP59" i="6"/>
  <c r="AP167" i="5"/>
  <c r="AP164" i="5"/>
  <c r="AP58" i="6"/>
  <c r="AP162" i="5"/>
  <c r="AP166" i="5"/>
  <c r="AP165" i="5"/>
  <c r="AP56" i="6"/>
  <c r="AC377" i="6"/>
  <c r="AF377" i="6"/>
  <c r="AC380" i="6"/>
  <c r="AF380" i="6"/>
  <c r="AF379" i="6"/>
  <c r="AC379" i="6"/>
  <c r="AC378" i="6"/>
  <c r="AF378" i="6"/>
  <c r="AB58" i="6" l="1"/>
  <c r="AF58" i="6" s="1"/>
  <c r="AB173" i="6"/>
  <c r="AB285" i="6"/>
  <c r="AB311" i="2"/>
  <c r="AF311" i="2" s="1"/>
  <c r="AB190" i="5"/>
  <c r="AB176" i="6"/>
  <c r="AB343" i="6"/>
  <c r="AB56" i="5"/>
  <c r="AF56" i="5" s="1"/>
  <c r="AB187" i="2"/>
  <c r="AC187" i="2" s="1"/>
  <c r="AB291" i="2"/>
  <c r="AB165" i="5"/>
  <c r="AC165" i="5" s="1"/>
  <c r="AB164" i="5"/>
  <c r="AC164" i="5" s="1"/>
  <c r="AB57" i="6"/>
  <c r="AF57" i="6" s="1"/>
  <c r="AB54" i="6"/>
  <c r="AC54" i="6" s="1"/>
  <c r="AB151" i="6"/>
  <c r="AB188" i="2"/>
  <c r="AB57" i="5"/>
  <c r="AB361" i="2"/>
  <c r="AC361" i="2" s="1"/>
  <c r="AB364" i="2"/>
  <c r="AB179" i="6"/>
  <c r="AB284" i="6"/>
  <c r="AF284" i="6" s="1"/>
  <c r="AB315" i="6"/>
  <c r="AC315" i="6" s="1"/>
  <c r="AB313" i="2"/>
  <c r="AB155" i="6"/>
  <c r="AF155" i="6" s="1"/>
  <c r="AB58" i="5"/>
  <c r="AC58" i="5" s="1"/>
  <c r="AB281" i="6"/>
  <c r="AC281" i="6" s="1"/>
  <c r="AB303" i="6"/>
  <c r="AB363" i="2"/>
  <c r="AB178" i="6"/>
  <c r="AF178" i="6" s="1"/>
  <c r="AB302" i="6"/>
  <c r="AC302" i="6" s="1"/>
  <c r="AB186" i="2"/>
  <c r="AB344" i="6"/>
  <c r="AB55" i="5"/>
  <c r="AF55" i="5" s="1"/>
  <c r="AB315" i="2"/>
  <c r="AC315" i="2" s="1"/>
  <c r="AB53" i="6"/>
  <c r="AC53" i="6" s="1"/>
  <c r="AB185" i="2"/>
  <c r="AB174" i="6"/>
  <c r="AF174" i="6" s="1"/>
  <c r="AB364" i="6"/>
  <c r="AB341" i="6"/>
  <c r="AC341" i="6" s="1"/>
  <c r="AB314" i="6"/>
  <c r="AB186" i="5"/>
  <c r="AC186" i="5" s="1"/>
  <c r="AB166" i="5"/>
  <c r="AB167" i="5"/>
  <c r="AF167" i="5" s="1"/>
  <c r="AB55" i="6"/>
  <c r="AF55" i="6" s="1"/>
  <c r="AB177" i="6"/>
  <c r="AB301" i="6"/>
  <c r="AC301" i="6" s="1"/>
  <c r="AB361" i="6"/>
  <c r="AB313" i="6"/>
  <c r="AC313" i="6" s="1"/>
  <c r="AB341" i="2"/>
  <c r="AB343" i="2"/>
  <c r="AF343" i="2" s="1"/>
  <c r="AB312" i="6"/>
  <c r="AB54" i="5"/>
  <c r="AC54" i="5" s="1"/>
  <c r="AB185" i="5"/>
  <c r="AF185" i="5" s="1"/>
  <c r="AB342" i="2"/>
  <c r="AB150" i="6"/>
  <c r="AB59" i="5"/>
  <c r="AC59" i="5" s="1"/>
  <c r="AB191" i="5"/>
  <c r="AB314" i="2"/>
  <c r="AC314" i="2" s="1"/>
  <c r="AB295" i="2"/>
  <c r="AB154" i="6"/>
  <c r="AB305" i="6"/>
  <c r="AB311" i="6"/>
  <c r="AB282" i="6"/>
  <c r="AF282" i="6" s="1"/>
  <c r="AB292" i="2"/>
  <c r="AC292" i="2" s="1"/>
  <c r="AB56" i="6"/>
  <c r="AB161" i="5"/>
  <c r="AB189" i="5"/>
  <c r="AB365" i="2"/>
  <c r="AC365" i="2" s="1"/>
  <c r="AB53" i="5"/>
  <c r="AF53" i="5" s="1"/>
  <c r="AB153" i="6"/>
  <c r="AB363" i="6"/>
  <c r="AC363" i="6" s="1"/>
  <c r="AB162" i="5"/>
  <c r="AC162" i="5" s="1"/>
  <c r="AB59" i="6"/>
  <c r="AB163" i="5"/>
  <c r="AF163" i="5" s="1"/>
  <c r="AB149" i="6"/>
  <c r="AC149" i="6" s="1"/>
  <c r="AB304" i="6"/>
  <c r="AC304" i="6" s="1"/>
  <c r="AB190" i="2"/>
  <c r="AB365" i="6"/>
  <c r="AB312" i="2"/>
  <c r="AB175" i="6"/>
  <c r="AC175" i="6" s="1"/>
  <c r="AB191" i="2"/>
  <c r="AF191" i="2" s="1"/>
  <c r="AB345" i="6"/>
  <c r="AB294" i="2"/>
  <c r="AC294" i="2" s="1"/>
  <c r="AB344" i="2"/>
  <c r="AC344" i="2" s="1"/>
  <c r="AB152" i="6"/>
  <c r="AB188" i="5"/>
  <c r="AB342" i="6"/>
  <c r="AF342" i="6" s="1"/>
  <c r="AB362" i="6"/>
  <c r="AC362" i="6" s="1"/>
  <c r="AB362" i="2"/>
  <c r="AC362" i="2" s="1"/>
  <c r="AB283" i="6"/>
  <c r="AB187" i="5"/>
  <c r="AC187" i="5" s="1"/>
  <c r="AB189" i="2"/>
  <c r="AC189" i="2" s="1"/>
  <c r="AB345" i="2"/>
  <c r="AB293" i="2"/>
  <c r="AF293" i="2" s="1"/>
  <c r="AC393" i="2"/>
  <c r="AA120" i="7"/>
  <c r="AA141" i="7"/>
  <c r="AA179" i="7"/>
  <c r="AA189" i="7"/>
  <c r="AC133" i="2"/>
  <c r="AC404" i="5"/>
  <c r="AC420" i="5"/>
  <c r="AA167" i="7"/>
  <c r="AC148" i="2"/>
  <c r="AC136" i="2"/>
  <c r="AA15" i="7"/>
  <c r="AA103" i="7"/>
  <c r="AA25" i="7"/>
  <c r="AA227" i="7"/>
  <c r="AA67" i="7"/>
  <c r="AC157" i="2"/>
  <c r="AA35" i="7"/>
  <c r="AC283" i="2"/>
  <c r="AC290" i="5"/>
  <c r="AC21" i="2"/>
  <c r="AP52" i="5"/>
  <c r="AA223" i="7"/>
  <c r="AC469" i="6"/>
  <c r="AA59" i="7"/>
  <c r="AC26" i="5"/>
  <c r="AC471" i="5"/>
  <c r="AC277" i="5"/>
  <c r="AC31" i="5"/>
  <c r="AA204" i="7"/>
  <c r="AA39" i="7"/>
  <c r="AC345" i="5"/>
  <c r="AC339" i="5"/>
  <c r="AC394" i="5"/>
  <c r="AC500" i="2"/>
  <c r="AA283" i="7"/>
  <c r="AP148" i="6"/>
  <c r="AA32" i="7"/>
  <c r="AC138" i="2"/>
  <c r="AC402" i="5"/>
  <c r="AC391" i="5"/>
  <c r="AC280" i="5"/>
  <c r="AA302" i="7"/>
  <c r="AC278" i="2"/>
  <c r="AC138" i="5"/>
  <c r="AC424" i="6"/>
  <c r="AC398" i="5"/>
  <c r="AC403" i="5"/>
  <c r="AC497" i="6"/>
  <c r="AC498" i="2"/>
  <c r="AC145" i="2"/>
  <c r="AC17" i="2"/>
  <c r="AC13" i="2"/>
  <c r="AC42" i="6"/>
  <c r="AC147" i="2"/>
  <c r="AC284" i="2"/>
  <c r="AA102" i="7"/>
  <c r="AC18" i="5"/>
  <c r="AC23" i="6"/>
  <c r="AA187" i="7"/>
  <c r="AA206" i="7"/>
  <c r="AA84" i="7"/>
  <c r="AA64" i="7"/>
  <c r="AA30" i="7"/>
  <c r="AC135" i="6"/>
  <c r="AC473" i="2"/>
  <c r="AC41" i="6"/>
  <c r="AC404" i="2"/>
  <c r="AC452" i="2"/>
  <c r="AC389" i="2"/>
  <c r="AC469" i="2"/>
  <c r="AC18" i="2"/>
  <c r="AC370" i="5"/>
  <c r="AA306" i="7"/>
  <c r="AC477" i="6"/>
  <c r="AC46" i="6"/>
  <c r="AA113" i="7"/>
  <c r="AC159" i="2"/>
  <c r="AC343" i="5"/>
  <c r="AC292" i="5"/>
  <c r="AA112" i="7"/>
  <c r="AC29" i="5"/>
  <c r="AC479" i="5"/>
  <c r="AA239" i="7"/>
  <c r="AA305" i="7"/>
  <c r="AC106" i="6"/>
  <c r="AC293" i="5"/>
  <c r="AA33" i="7"/>
  <c r="AP159" i="5"/>
  <c r="AA161" i="7"/>
  <c r="AC477" i="5"/>
  <c r="AC289" i="5"/>
  <c r="AA158" i="7"/>
  <c r="AA248" i="7"/>
  <c r="AA240" i="7"/>
  <c r="AC350" i="5"/>
  <c r="AC479" i="6"/>
  <c r="AC480" i="6"/>
  <c r="AC150" i="5"/>
  <c r="AC483" i="2"/>
  <c r="AC354" i="5"/>
  <c r="AC481" i="6"/>
  <c r="AA310" i="7"/>
  <c r="AC143" i="6"/>
  <c r="AA136" i="7"/>
  <c r="AC275" i="6"/>
  <c r="AA125" i="7"/>
  <c r="AA162" i="7"/>
  <c r="AA242" i="7"/>
  <c r="AC266" i="6"/>
  <c r="AC275" i="5"/>
  <c r="AC482" i="2"/>
  <c r="AC265" i="5"/>
  <c r="AA43" i="7"/>
  <c r="AA174" i="7"/>
  <c r="AA127" i="7"/>
  <c r="AC130" i="6"/>
  <c r="AC128" i="6"/>
  <c r="AC151" i="5"/>
  <c r="AA104" i="7"/>
  <c r="AC149" i="5"/>
  <c r="AA23" i="7"/>
  <c r="AA17" i="7"/>
  <c r="AC422" i="6"/>
  <c r="AC134" i="6"/>
  <c r="AC421" i="6"/>
  <c r="AA20" i="7"/>
  <c r="AC399" i="5"/>
  <c r="AC407" i="6"/>
  <c r="AA195" i="7"/>
  <c r="AA88" i="7"/>
  <c r="AA330" i="7"/>
  <c r="AC471" i="6"/>
  <c r="AA278" i="7"/>
  <c r="AC448" i="2"/>
  <c r="AA118" i="7"/>
  <c r="AC23" i="5"/>
  <c r="AC419" i="6"/>
  <c r="AC20" i="5"/>
  <c r="AA98" i="7"/>
  <c r="AC467" i="5"/>
  <c r="AA328" i="7"/>
  <c r="AA109" i="7"/>
  <c r="AC32" i="5"/>
  <c r="AA183" i="7"/>
  <c r="AC424" i="5"/>
  <c r="AC145" i="5"/>
  <c r="AA273" i="7"/>
  <c r="AA177" i="7"/>
  <c r="AC388" i="6"/>
  <c r="AA107" i="7"/>
  <c r="AC141" i="6"/>
  <c r="AC455" i="5"/>
  <c r="AC38" i="6"/>
  <c r="AA114" i="7"/>
  <c r="AA122" i="7"/>
  <c r="AA231" i="7"/>
  <c r="AC449" i="5"/>
  <c r="AC37" i="6"/>
  <c r="AC418" i="6"/>
  <c r="AC388" i="2"/>
  <c r="AC501" i="2"/>
  <c r="AC140" i="6"/>
  <c r="AA298" i="7"/>
  <c r="AA143" i="7"/>
  <c r="AC274" i="5"/>
  <c r="AC467" i="2"/>
  <c r="AC16" i="6"/>
  <c r="AC142" i="6"/>
  <c r="AA170" i="7"/>
  <c r="AC449" i="2"/>
  <c r="AA106" i="7"/>
  <c r="AC497" i="2"/>
  <c r="AC152" i="2"/>
  <c r="AA186" i="7"/>
  <c r="AC397" i="5"/>
  <c r="AC470" i="6"/>
  <c r="AC285" i="5"/>
  <c r="AC448" i="6"/>
  <c r="AC419" i="2"/>
  <c r="AA94" i="7"/>
  <c r="AC268" i="5"/>
  <c r="AC142" i="2"/>
  <c r="AC472" i="5"/>
  <c r="AC265" i="2"/>
  <c r="AC448" i="5"/>
  <c r="AC405" i="2"/>
  <c r="AA265" i="7"/>
  <c r="AC409" i="6"/>
  <c r="AC271" i="2"/>
  <c r="AC133" i="6"/>
  <c r="AC279" i="5"/>
  <c r="AA181" i="7"/>
  <c r="AC17" i="5"/>
  <c r="AC502" i="6"/>
  <c r="AC403" i="2"/>
  <c r="AA190" i="7"/>
  <c r="AC154" i="5"/>
  <c r="AA147" i="7"/>
  <c r="AA63" i="7"/>
  <c r="AC162" i="2"/>
  <c r="AA34" i="7"/>
  <c r="AC27" i="5"/>
  <c r="AC16" i="2"/>
  <c r="AP50" i="5"/>
  <c r="AA151" i="7"/>
  <c r="AC447" i="6"/>
  <c r="AA58" i="7"/>
  <c r="AA55" i="7"/>
  <c r="AA230" i="7"/>
  <c r="AA65" i="7"/>
  <c r="AA56" i="7"/>
  <c r="AP158" i="5"/>
  <c r="AC15" i="2"/>
  <c r="AA207" i="7"/>
  <c r="AC25" i="5"/>
  <c r="AP52" i="6"/>
  <c r="AC342" i="5"/>
  <c r="AC167" i="2"/>
  <c r="AC282" i="5"/>
  <c r="AA108" i="7"/>
  <c r="AC134" i="5"/>
  <c r="AC45" i="6"/>
  <c r="AA205" i="7"/>
  <c r="AC394" i="6"/>
  <c r="AC413" i="6"/>
  <c r="AC19" i="5"/>
  <c r="AC402" i="2"/>
  <c r="AC309" i="5"/>
  <c r="AC287" i="5"/>
  <c r="AC401" i="5"/>
  <c r="AC141" i="2"/>
  <c r="AA225" i="7"/>
  <c r="AC278" i="5"/>
  <c r="AA105" i="7"/>
  <c r="AC450" i="6"/>
  <c r="AC422" i="2"/>
  <c r="AA13" i="7"/>
  <c r="AC423" i="5"/>
  <c r="AA188" i="7"/>
  <c r="AC473" i="6"/>
  <c r="AC447" i="2"/>
  <c r="AC274" i="2"/>
  <c r="AC471" i="2"/>
  <c r="AC393" i="5"/>
  <c r="AA27" i="7"/>
  <c r="AA197" i="7"/>
  <c r="AC282" i="2"/>
  <c r="AA303" i="7"/>
  <c r="AC39" i="6"/>
  <c r="AA200" i="7"/>
  <c r="AC452" i="6"/>
  <c r="AA199" i="7"/>
  <c r="AC450" i="2"/>
  <c r="AC21" i="6"/>
  <c r="AC453" i="6"/>
  <c r="AA276" i="7"/>
  <c r="AC98" i="6"/>
  <c r="AC353" i="5"/>
  <c r="AA244" i="7"/>
  <c r="AA238" i="7"/>
  <c r="AC291" i="5"/>
  <c r="AA38" i="7"/>
  <c r="AC313" i="5"/>
  <c r="AA66" i="7"/>
  <c r="AC368" i="5"/>
  <c r="AC97" i="6"/>
  <c r="AC372" i="5"/>
  <c r="AA249" i="7"/>
  <c r="AC367" i="5"/>
  <c r="AC281" i="5"/>
  <c r="AC35" i="5"/>
  <c r="AC371" i="5"/>
  <c r="AA246" i="7"/>
  <c r="AC100" i="6"/>
  <c r="AA247" i="7"/>
  <c r="AA159" i="7"/>
  <c r="AC484" i="2"/>
  <c r="AA155" i="7"/>
  <c r="AA308" i="7"/>
  <c r="AA307" i="7"/>
  <c r="AC349" i="5"/>
  <c r="AC373" i="5"/>
  <c r="AC479" i="2"/>
  <c r="AC352" i="5"/>
  <c r="AP51" i="6"/>
  <c r="AC483" i="6"/>
  <c r="AC482" i="5"/>
  <c r="AA42" i="7"/>
  <c r="AC480" i="5"/>
  <c r="AA129" i="7"/>
  <c r="AC374" i="5"/>
  <c r="AC267" i="6"/>
  <c r="AC485" i="2"/>
  <c r="AA241" i="7"/>
  <c r="AA130" i="7"/>
  <c r="AA132" i="7"/>
  <c r="AC272" i="6"/>
  <c r="AA128" i="7"/>
  <c r="AA137" i="7"/>
  <c r="AA70" i="7"/>
  <c r="AA111" i="7"/>
  <c r="AA99" i="7"/>
  <c r="AC146" i="2"/>
  <c r="AC151" i="2"/>
  <c r="AC387" i="6"/>
  <c r="AA203" i="7"/>
  <c r="AC15" i="5"/>
  <c r="AC501" i="5"/>
  <c r="AC502" i="5"/>
  <c r="AC139" i="2"/>
  <c r="AC395" i="5"/>
  <c r="AA121" i="7"/>
  <c r="AC470" i="2"/>
  <c r="AC20" i="6"/>
  <c r="AA97" i="7"/>
  <c r="AC389" i="6"/>
  <c r="AC392" i="2"/>
  <c r="AC475" i="5"/>
  <c r="AC140" i="5"/>
  <c r="AA182" i="7"/>
  <c r="AC148" i="5"/>
  <c r="AC18" i="6"/>
  <c r="AC268" i="2"/>
  <c r="AA101" i="7"/>
  <c r="AC149" i="2"/>
  <c r="AA201" i="7"/>
  <c r="AA271" i="7"/>
  <c r="AC455" i="2"/>
  <c r="AA22" i="7"/>
  <c r="AC15" i="6"/>
  <c r="AC415" i="6"/>
  <c r="AC405" i="5"/>
  <c r="AA14" i="7"/>
  <c r="AA228" i="7"/>
  <c r="AC141" i="5"/>
  <c r="AC150" i="2"/>
  <c r="AC139" i="6"/>
  <c r="AC411" i="6"/>
  <c r="AC419" i="5"/>
  <c r="AC454" i="5"/>
  <c r="AC474" i="6"/>
  <c r="AC391" i="6"/>
  <c r="AC423" i="6"/>
  <c r="AC417" i="6"/>
  <c r="AA144" i="7"/>
  <c r="AC137" i="6"/>
  <c r="AA282" i="7"/>
  <c r="AA91" i="7"/>
  <c r="AA142" i="7"/>
  <c r="AA301" i="7"/>
  <c r="AC269" i="5"/>
  <c r="AC500" i="6"/>
  <c r="AC388" i="5"/>
  <c r="AC497" i="5"/>
  <c r="AC421" i="5"/>
  <c r="AA146" i="7"/>
  <c r="AC474" i="2"/>
  <c r="AA83" i="7"/>
  <c r="AA224" i="7"/>
  <c r="AC283" i="5"/>
  <c r="AA93" i="7"/>
  <c r="AC475" i="2"/>
  <c r="AA24" i="7"/>
  <c r="AC453" i="5"/>
  <c r="AA202" i="7"/>
  <c r="AA267" i="7"/>
  <c r="AC137" i="2"/>
  <c r="AC392" i="6"/>
  <c r="AA92" i="7"/>
  <c r="AA176" i="7"/>
  <c r="AC153" i="2"/>
  <c r="AC22" i="5"/>
  <c r="AC421" i="2"/>
  <c r="AA19" i="7"/>
  <c r="AC139" i="5"/>
  <c r="AC475" i="6"/>
  <c r="AA139" i="7"/>
  <c r="AC155" i="5"/>
  <c r="AC14" i="6"/>
  <c r="AA295" i="7"/>
  <c r="AA61" i="7"/>
  <c r="AC165" i="2"/>
  <c r="AP50" i="6"/>
  <c r="AP157" i="5"/>
  <c r="AC315" i="5"/>
  <c r="AP160" i="5"/>
  <c r="AP51" i="5"/>
  <c r="AC16" i="5"/>
  <c r="AC469" i="5"/>
  <c r="AC470" i="5"/>
  <c r="AA28" i="7"/>
  <c r="AC474" i="5"/>
  <c r="AC447" i="5"/>
  <c r="AA300" i="7"/>
  <c r="AC500" i="5"/>
  <c r="AC275" i="2"/>
  <c r="AC452" i="5"/>
  <c r="AC312" i="5"/>
  <c r="AC158" i="2"/>
  <c r="AP49" i="5"/>
  <c r="AC340" i="5"/>
  <c r="AC310" i="5"/>
  <c r="AC393" i="6"/>
  <c r="AC17" i="6"/>
  <c r="AC138" i="6"/>
  <c r="AA31" i="7"/>
  <c r="AC308" i="5"/>
  <c r="AC454" i="2"/>
  <c r="AA325" i="7"/>
  <c r="AC47" i="6"/>
  <c r="AA37" i="7"/>
  <c r="AC266" i="2"/>
  <c r="AC392" i="5"/>
  <c r="AA268" i="7"/>
  <c r="AC391" i="2"/>
  <c r="AC140" i="2"/>
  <c r="AC280" i="2"/>
  <c r="AC468" i="2"/>
  <c r="AC417" i="2"/>
  <c r="AA119" i="7"/>
  <c r="AA21" i="7"/>
  <c r="AA150" i="7"/>
  <c r="AC395" i="6"/>
  <c r="AC451" i="6"/>
  <c r="AA275" i="7"/>
  <c r="AA196" i="7"/>
  <c r="AA192" i="7"/>
  <c r="AC449" i="6"/>
  <c r="AA226" i="7"/>
  <c r="AA198" i="7"/>
  <c r="AA184" i="7"/>
  <c r="AC143" i="2"/>
  <c r="AC267" i="5"/>
  <c r="AA123" i="7"/>
  <c r="AC134" i="2"/>
  <c r="AA266" i="7"/>
  <c r="AC288" i="5"/>
  <c r="AA233" i="7"/>
  <c r="AA270" i="7"/>
  <c r="AC420" i="6"/>
  <c r="AC344" i="5"/>
  <c r="AC451" i="5"/>
  <c r="AC127" i="5"/>
  <c r="AC104" i="5"/>
  <c r="AC128" i="5"/>
  <c r="AC126" i="5"/>
  <c r="AC106" i="5"/>
  <c r="AC107" i="5"/>
  <c r="AC130" i="5"/>
  <c r="AC131" i="5"/>
  <c r="AC129" i="5"/>
  <c r="AC105" i="5"/>
  <c r="AC102" i="5"/>
  <c r="AC101" i="5"/>
  <c r="AC125" i="5"/>
  <c r="AC103" i="5"/>
  <c r="AC99" i="6"/>
  <c r="AC143" i="5"/>
  <c r="AA313" i="7"/>
  <c r="AP49" i="6"/>
  <c r="AC22" i="2"/>
  <c r="AA62" i="7"/>
  <c r="AC28" i="5"/>
  <c r="AA164" i="7"/>
  <c r="AC498" i="5"/>
  <c r="AC307" i="5"/>
  <c r="AC19" i="2"/>
  <c r="AC338" i="5"/>
  <c r="AC483" i="5"/>
  <c r="AC484" i="6"/>
  <c r="AC281" i="2"/>
  <c r="AC20" i="2"/>
  <c r="AC161" i="2"/>
  <c r="AA156" i="7"/>
  <c r="AC347" i="5"/>
  <c r="AA160" i="7"/>
  <c r="AA157" i="7"/>
  <c r="AA154" i="7"/>
  <c r="AA312" i="7"/>
  <c r="AC484" i="5"/>
  <c r="AC369" i="5"/>
  <c r="AC133" i="5"/>
  <c r="AA311" i="7"/>
  <c r="AA163" i="7"/>
  <c r="AC480" i="2"/>
  <c r="AC478" i="2"/>
  <c r="AC101" i="6"/>
  <c r="AA131" i="7"/>
  <c r="AC268" i="6"/>
  <c r="AC271" i="6"/>
  <c r="AA135" i="7"/>
  <c r="AC269" i="6"/>
  <c r="AA168" i="7"/>
  <c r="AA86" i="7"/>
  <c r="AC478" i="5"/>
  <c r="AA126" i="7"/>
  <c r="AC274" i="6"/>
  <c r="AC265" i="6"/>
  <c r="AA134" i="7"/>
  <c r="AC270" i="6"/>
  <c r="AC270" i="2"/>
  <c r="AC124" i="6"/>
  <c r="AA69" i="7"/>
  <c r="AP145" i="6"/>
  <c r="AC387" i="5"/>
  <c r="AC390" i="2"/>
  <c r="AC272" i="2"/>
  <c r="AC394" i="2"/>
  <c r="AC135" i="2"/>
  <c r="AC418" i="5"/>
  <c r="AA85" i="7"/>
  <c r="AC137" i="5"/>
  <c r="AC272" i="5"/>
  <c r="AC271" i="5"/>
  <c r="AC135" i="5"/>
  <c r="AC270" i="5"/>
  <c r="AC399" i="2"/>
  <c r="AA279" i="7"/>
  <c r="AA90" i="7"/>
  <c r="AA326" i="7"/>
  <c r="AC424" i="2"/>
  <c r="AC468" i="5"/>
  <c r="AC501" i="6"/>
  <c r="AC152" i="5"/>
  <c r="AC142" i="5"/>
  <c r="AC273" i="2"/>
  <c r="AA296" i="7"/>
  <c r="AC417" i="5"/>
  <c r="AC153" i="5"/>
  <c r="AA175" i="7"/>
  <c r="AA172" i="7"/>
  <c r="AC13" i="6"/>
  <c r="AA87" i="7"/>
  <c r="AA185" i="7"/>
  <c r="AA16" i="7"/>
  <c r="AC422" i="5"/>
  <c r="AA140" i="7"/>
  <c r="AC147" i="5"/>
  <c r="AA232" i="7"/>
  <c r="AC410" i="6"/>
  <c r="AC398" i="2"/>
  <c r="AC451" i="2"/>
  <c r="AC498" i="6"/>
  <c r="AA329" i="7"/>
  <c r="AC136" i="5"/>
  <c r="AA89" i="7"/>
  <c r="AA297" i="7"/>
  <c r="AA234" i="7"/>
  <c r="AC43" i="6"/>
  <c r="AA115" i="7"/>
  <c r="AC155" i="2"/>
  <c r="AA100" i="7"/>
  <c r="AA148" i="7"/>
  <c r="AC269" i="2"/>
  <c r="AC420" i="2"/>
  <c r="AC425" i="2"/>
  <c r="AC418" i="2"/>
  <c r="AA18" i="7"/>
  <c r="AC13" i="5"/>
  <c r="AC40" i="6"/>
  <c r="AC472" i="2"/>
  <c r="AC453" i="2"/>
  <c r="AC468" i="6"/>
  <c r="AA299" i="7"/>
  <c r="AC21" i="5"/>
  <c r="AC44" i="6"/>
  <c r="AC425" i="6"/>
  <c r="AC395" i="2"/>
  <c r="AA173" i="7"/>
  <c r="AA191" i="7"/>
  <c r="AC267" i="2"/>
  <c r="AA229" i="7"/>
  <c r="AC472" i="6"/>
  <c r="AA269" i="7"/>
  <c r="AC467" i="6"/>
  <c r="AC23" i="2"/>
  <c r="AC163" i="2"/>
  <c r="AC160" i="2"/>
  <c r="AC285" i="2"/>
  <c r="AC279" i="2"/>
  <c r="AC341" i="5"/>
  <c r="AC30" i="5"/>
  <c r="AP146" i="6"/>
  <c r="AA145" i="7"/>
  <c r="AC146" i="5"/>
  <c r="AA149" i="7"/>
  <c r="AC164" i="2"/>
  <c r="AC154" i="2"/>
  <c r="AC337" i="5"/>
  <c r="AC166" i="2"/>
  <c r="AC14" i="2"/>
  <c r="AA116" i="7"/>
  <c r="AC387" i="2"/>
  <c r="AA29" i="7"/>
  <c r="AC33" i="5"/>
  <c r="AC273" i="5"/>
  <c r="AC390" i="5"/>
  <c r="AC390" i="6"/>
  <c r="AC19" i="6"/>
  <c r="AC473" i="5"/>
  <c r="AC314" i="5"/>
  <c r="AA280" i="7"/>
  <c r="AA95" i="7"/>
  <c r="AC14" i="5"/>
  <c r="AA277" i="7"/>
  <c r="AC401" i="2"/>
  <c r="AA169" i="7"/>
  <c r="AC34" i="5"/>
  <c r="AC454" i="6"/>
  <c r="AA193" i="7"/>
  <c r="AC400" i="2"/>
  <c r="AA36" i="7"/>
  <c r="AC455" i="6"/>
  <c r="AA117" i="7"/>
  <c r="AA57" i="7"/>
  <c r="AC284" i="5"/>
  <c r="AC375" i="5"/>
  <c r="AA237" i="7"/>
  <c r="AC478" i="6"/>
  <c r="AA60" i="7"/>
  <c r="AC311" i="5"/>
  <c r="AC295" i="5"/>
  <c r="AP147" i="6"/>
  <c r="AC136" i="6"/>
  <c r="AA243" i="7"/>
  <c r="AC103" i="6"/>
  <c r="AC485" i="6"/>
  <c r="AC481" i="5"/>
  <c r="AC450" i="5"/>
  <c r="AC294" i="5"/>
  <c r="AC105" i="6"/>
  <c r="AC477" i="2"/>
  <c r="AC351" i="5"/>
  <c r="AA309" i="7"/>
  <c r="AC348" i="5"/>
  <c r="AA165" i="7"/>
  <c r="AC355" i="5"/>
  <c r="AA153" i="7"/>
  <c r="AC481" i="2"/>
  <c r="AC104" i="6"/>
  <c r="AA245" i="7"/>
  <c r="AC482" i="6"/>
  <c r="AA41" i="7"/>
  <c r="AC273" i="6"/>
  <c r="AA133" i="7"/>
  <c r="AA209" i="7"/>
  <c r="AA178" i="7"/>
  <c r="AC485" i="5"/>
  <c r="AA171" i="7"/>
  <c r="AC102" i="6"/>
  <c r="AC125" i="6"/>
  <c r="AC126" i="6"/>
  <c r="AC122" i="6"/>
  <c r="AC121" i="6"/>
  <c r="AA235" i="7"/>
  <c r="AA281" i="7"/>
  <c r="AC502" i="2"/>
  <c r="AC423" i="2"/>
  <c r="AA272" i="7"/>
  <c r="AC22" i="6"/>
  <c r="AC414" i="6"/>
  <c r="AC389" i="5"/>
  <c r="AC400" i="5"/>
  <c r="AC412" i="6"/>
  <c r="AC397" i="2"/>
  <c r="AC425" i="5"/>
  <c r="AC266" i="5"/>
  <c r="AP504" i="2"/>
  <c r="AF365" i="2" l="1"/>
  <c r="AF57" i="5"/>
  <c r="AC55" i="6"/>
  <c r="AF304" i="6"/>
  <c r="AC284" i="6"/>
  <c r="AC314" i="6"/>
  <c r="AF362" i="6"/>
  <c r="AC190" i="5"/>
  <c r="AF187" i="2"/>
  <c r="AF154" i="6"/>
  <c r="AC57" i="5"/>
  <c r="AF344" i="2"/>
  <c r="AF292" i="2"/>
  <c r="AF54" i="5"/>
  <c r="AF190" i="5"/>
  <c r="AF313" i="6"/>
  <c r="AC154" i="6"/>
  <c r="AC178" i="6"/>
  <c r="AC58" i="6"/>
  <c r="AC57" i="6"/>
  <c r="AF314" i="6"/>
  <c r="AF59" i="5"/>
  <c r="AC55" i="5"/>
  <c r="AF58" i="5"/>
  <c r="AF175" i="6"/>
  <c r="AC343" i="6"/>
  <c r="AF177" i="6"/>
  <c r="AF364" i="2"/>
  <c r="AC56" i="6"/>
  <c r="AC342" i="2"/>
  <c r="AC166" i="5"/>
  <c r="AF283" i="6"/>
  <c r="AF165" i="5"/>
  <c r="AF186" i="2"/>
  <c r="AF345" i="6"/>
  <c r="AF151" i="6"/>
  <c r="AC311" i="6"/>
  <c r="AC161" i="5"/>
  <c r="AF161" i="5"/>
  <c r="AF303" i="6"/>
  <c r="AF305" i="6"/>
  <c r="AF364" i="6"/>
  <c r="AF285" i="6"/>
  <c r="AF301" i="6"/>
  <c r="AC303" i="6"/>
  <c r="AC364" i="2"/>
  <c r="AC153" i="6"/>
  <c r="AC285" i="6"/>
  <c r="AF166" i="5"/>
  <c r="AF53" i="6"/>
  <c r="AF313" i="2"/>
  <c r="AF311" i="6"/>
  <c r="AF153" i="6"/>
  <c r="AF343" i="6"/>
  <c r="AF342" i="2"/>
  <c r="AC343" i="2"/>
  <c r="AC186" i="2"/>
  <c r="AC313" i="2"/>
  <c r="AC151" i="6"/>
  <c r="AC364" i="6"/>
  <c r="AF365" i="6"/>
  <c r="AF314" i="2"/>
  <c r="AF56" i="6"/>
  <c r="AF291" i="2"/>
  <c r="AF341" i="2"/>
  <c r="AC53" i="5"/>
  <c r="AF191" i="5"/>
  <c r="AF345" i="2"/>
  <c r="AF176" i="6"/>
  <c r="AC305" i="6"/>
  <c r="AC152" i="6"/>
  <c r="AF59" i="6"/>
  <c r="AF362" i="2"/>
  <c r="AF173" i="6"/>
  <c r="AC341" i="2"/>
  <c r="AC59" i="6"/>
  <c r="AC173" i="6"/>
  <c r="AC345" i="2"/>
  <c r="AF54" i="6"/>
  <c r="AF315" i="2"/>
  <c r="AF152" i="6"/>
  <c r="AF190" i="2"/>
  <c r="AC185" i="5"/>
  <c r="AC177" i="6"/>
  <c r="AC291" i="2"/>
  <c r="AC174" i="6"/>
  <c r="AC190" i="2"/>
  <c r="AF315" i="6"/>
  <c r="AC191" i="5"/>
  <c r="AC344" i="6"/>
  <c r="AC363" i="2"/>
  <c r="AC155" i="6"/>
  <c r="AC179" i="6"/>
  <c r="AC188" i="2"/>
  <c r="AC176" i="6"/>
  <c r="AC191" i="2"/>
  <c r="AF302" i="6"/>
  <c r="AF281" i="6"/>
  <c r="AF361" i="2"/>
  <c r="AF186" i="5"/>
  <c r="AF189" i="5"/>
  <c r="AF188" i="2"/>
  <c r="AF150" i="6"/>
  <c r="AF312" i="2"/>
  <c r="AF312" i="6"/>
  <c r="AC282" i="6"/>
  <c r="AC295" i="2"/>
  <c r="AC150" i="6"/>
  <c r="AC312" i="6"/>
  <c r="AC361" i="6"/>
  <c r="AC312" i="2"/>
  <c r="AF164" i="5"/>
  <c r="AF363" i="2"/>
  <c r="AF295" i="2"/>
  <c r="AF185" i="2"/>
  <c r="AC56" i="5"/>
  <c r="AC342" i="6"/>
  <c r="AF179" i="6"/>
  <c r="AF149" i="6"/>
  <c r="AC185" i="2"/>
  <c r="AC167" i="5"/>
  <c r="AC311" i="2"/>
  <c r="AF344" i="6"/>
  <c r="AF187" i="5"/>
  <c r="AF294" i="2"/>
  <c r="AF363" i="6"/>
  <c r="AF341" i="6"/>
  <c r="AF361" i="6"/>
  <c r="AC189" i="5"/>
  <c r="AF188" i="5"/>
  <c r="AC163" i="5"/>
  <c r="AC293" i="2"/>
  <c r="AC283" i="6"/>
  <c r="AC188" i="5"/>
  <c r="AC345" i="6"/>
  <c r="AC365" i="6"/>
  <c r="AF162" i="5"/>
  <c r="AF189" i="2"/>
  <c r="AP504" i="6"/>
  <c r="AP504" i="5"/>
  <c r="C92" i="9" l="1"/>
  <c r="G55" i="8" s="1"/>
  <c r="D55" i="8" s="1"/>
  <c r="G78" i="8"/>
  <c r="G65" i="8"/>
  <c r="C94" i="9" l="1"/>
  <c r="AB241" i="5" s="1"/>
  <c r="D65" i="8"/>
  <c r="B64" i="8"/>
  <c r="C99" i="9" s="1"/>
  <c r="B77" i="8"/>
  <c r="D78" i="8"/>
  <c r="AB109" i="6"/>
  <c r="AB110" i="6"/>
  <c r="AB112" i="6"/>
  <c r="AB111" i="6"/>
  <c r="AB100" i="5"/>
  <c r="AB99" i="2"/>
  <c r="AB97" i="5"/>
  <c r="AB98" i="2"/>
  <c r="AB100" i="2"/>
  <c r="AB98" i="5"/>
  <c r="AB97" i="2"/>
  <c r="AB99" i="5"/>
  <c r="AB122" i="2"/>
  <c r="AB124" i="2"/>
  <c r="AB123" i="2"/>
  <c r="AB121" i="2"/>
  <c r="AB86" i="6"/>
  <c r="AB88" i="6"/>
  <c r="AB123" i="5"/>
  <c r="AB124" i="5"/>
  <c r="AB85" i="6"/>
  <c r="AB122" i="5"/>
  <c r="AB121" i="5"/>
  <c r="AB87" i="6"/>
  <c r="AB349" i="2"/>
  <c r="AB367" i="2"/>
  <c r="AB368" i="6"/>
  <c r="AB367" i="6"/>
  <c r="AB182" i="5"/>
  <c r="AB256" i="5"/>
  <c r="AB287" i="2"/>
  <c r="AB158" i="5"/>
  <c r="AB253" i="5"/>
  <c r="AB145" i="6"/>
  <c r="AB183" i="6"/>
  <c r="AB288" i="2"/>
  <c r="AB52" i="6"/>
  <c r="AB157" i="5"/>
  <c r="AB289" i="2"/>
  <c r="AB230" i="5"/>
  <c r="AB232" i="6"/>
  <c r="AB230" i="6"/>
  <c r="AB370" i="2"/>
  <c r="AB369" i="6"/>
  <c r="AB349" i="6"/>
  <c r="AB348" i="2"/>
  <c r="AB159" i="5"/>
  <c r="AB50" i="6"/>
  <c r="AB184" i="5"/>
  <c r="AB255" i="2"/>
  <c r="AB255" i="6"/>
  <c r="AB182" i="6"/>
  <c r="AB26" i="2"/>
  <c r="AB51" i="5"/>
  <c r="AB184" i="6"/>
  <c r="AB183" i="2"/>
  <c r="AB253" i="6"/>
  <c r="AB229" i="2"/>
  <c r="AB229" i="6"/>
  <c r="AB231" i="5"/>
  <c r="AB370" i="6"/>
  <c r="AB347" i="6"/>
  <c r="AB368" i="2"/>
  <c r="AB350" i="2"/>
  <c r="AB254" i="5"/>
  <c r="AB49" i="2"/>
  <c r="AB184" i="2"/>
  <c r="AB28" i="2"/>
  <c r="AB181" i="2"/>
  <c r="AB27" i="2"/>
  <c r="AB49" i="5"/>
  <c r="AB254" i="6"/>
  <c r="AB298" i="6"/>
  <c r="AB50" i="5"/>
  <c r="AB160" i="5"/>
  <c r="AB183" i="5"/>
  <c r="AB232" i="2"/>
  <c r="AB231" i="6"/>
  <c r="AB230" i="2"/>
  <c r="AB350" i="6"/>
  <c r="AB369" i="2"/>
  <c r="AB348" i="6"/>
  <c r="AB347" i="2"/>
  <c r="AB25" i="2"/>
  <c r="AB182" i="2"/>
  <c r="AB253" i="2"/>
  <c r="AB254" i="2"/>
  <c r="AB181" i="5"/>
  <c r="AB255" i="5"/>
  <c r="AB256" i="2"/>
  <c r="AB51" i="6"/>
  <c r="AB146" i="6"/>
  <c r="AB49" i="6"/>
  <c r="AB277" i="6"/>
  <c r="AB290" i="2"/>
  <c r="AB256" i="6"/>
  <c r="AB52" i="5"/>
  <c r="AB232" i="5"/>
  <c r="AB231" i="2"/>
  <c r="AB229" i="5"/>
  <c r="AB170" i="6" l="1"/>
  <c r="AC170" i="6" s="1"/>
  <c r="AB171" i="6"/>
  <c r="AF171" i="6" s="1"/>
  <c r="AG171" i="6" s="1"/>
  <c r="AB148" i="6"/>
  <c r="AF148" i="6" s="1"/>
  <c r="AG148" i="6" s="1"/>
  <c r="AB169" i="6"/>
  <c r="AF169" i="6" s="1"/>
  <c r="AG169" i="6" s="1"/>
  <c r="AB181" i="6"/>
  <c r="AC181" i="6" s="1"/>
  <c r="AB50" i="2"/>
  <c r="AC50" i="2" s="1"/>
  <c r="AB147" i="6"/>
  <c r="AC147" i="6" s="1"/>
  <c r="AB307" i="2"/>
  <c r="AC307" i="2" s="1"/>
  <c r="AB310" i="2"/>
  <c r="AC310" i="2" s="1"/>
  <c r="AB172" i="6"/>
  <c r="AF172" i="6" s="1"/>
  <c r="AG172" i="6" s="1"/>
  <c r="AB280" i="6"/>
  <c r="AC280" i="6" s="1"/>
  <c r="AB308" i="2"/>
  <c r="AF308" i="2" s="1"/>
  <c r="AG308" i="2" s="1"/>
  <c r="AB309" i="6"/>
  <c r="AF309" i="6" s="1"/>
  <c r="AG309" i="6" s="1"/>
  <c r="AB243" i="2"/>
  <c r="AF243" i="2" s="1"/>
  <c r="AG243" i="2" s="1"/>
  <c r="AB297" i="6"/>
  <c r="AF297" i="6" s="1"/>
  <c r="AG297" i="6" s="1"/>
  <c r="AB300" i="6"/>
  <c r="AF300" i="6" s="1"/>
  <c r="AG300" i="6" s="1"/>
  <c r="AB310" i="6"/>
  <c r="AC310" i="6" s="1"/>
  <c r="AB279" i="6"/>
  <c r="AC279" i="6" s="1"/>
  <c r="AB218" i="2"/>
  <c r="AF218" i="2" s="1"/>
  <c r="AG218" i="2" s="1"/>
  <c r="AB112" i="2"/>
  <c r="AC112" i="2" s="1"/>
  <c r="AB52" i="2"/>
  <c r="AC52" i="2" s="1"/>
  <c r="AB309" i="2"/>
  <c r="AC309" i="2" s="1"/>
  <c r="AB219" i="5"/>
  <c r="AC219" i="5" s="1"/>
  <c r="AB85" i="5"/>
  <c r="AC85" i="5" s="1"/>
  <c r="AB244" i="5"/>
  <c r="AC244" i="5" s="1"/>
  <c r="AB360" i="2"/>
  <c r="AF360" i="2" s="1"/>
  <c r="AG360" i="2" s="1"/>
  <c r="AB308" i="6"/>
  <c r="AC308" i="6" s="1"/>
  <c r="AB110" i="5"/>
  <c r="AF110" i="5" s="1"/>
  <c r="AG110" i="5" s="1"/>
  <c r="AB307" i="6"/>
  <c r="AF307" i="6" s="1"/>
  <c r="AG307" i="6" s="1"/>
  <c r="AB278" i="6"/>
  <c r="AC278" i="6" s="1"/>
  <c r="AB359" i="2"/>
  <c r="AF359" i="2" s="1"/>
  <c r="AG359" i="2" s="1"/>
  <c r="AB87" i="2"/>
  <c r="AC87" i="2" s="1"/>
  <c r="AB86" i="5"/>
  <c r="AF86" i="5" s="1"/>
  <c r="AG86" i="5" s="1"/>
  <c r="AB112" i="5"/>
  <c r="AC112" i="5" s="1"/>
  <c r="AB277" i="2"/>
  <c r="AB244" i="6"/>
  <c r="AC244" i="6" s="1"/>
  <c r="AB243" i="5"/>
  <c r="AC243" i="5" s="1"/>
  <c r="AB88" i="2"/>
  <c r="AF88" i="2" s="1"/>
  <c r="AG88" i="2" s="1"/>
  <c r="AB358" i="2"/>
  <c r="AF358" i="2" s="1"/>
  <c r="AG358" i="2" s="1"/>
  <c r="AB217" i="5"/>
  <c r="AC217" i="5" s="1"/>
  <c r="AB358" i="6"/>
  <c r="AC358" i="6" s="1"/>
  <c r="AB219" i="6"/>
  <c r="AF219" i="6" s="1"/>
  <c r="AG219" i="6" s="1"/>
  <c r="AB357" i="6"/>
  <c r="AC357" i="6" s="1"/>
  <c r="AB338" i="2"/>
  <c r="AF338" i="2" s="1"/>
  <c r="AG338" i="2" s="1"/>
  <c r="AB110" i="2"/>
  <c r="AC110" i="2" s="1"/>
  <c r="AB243" i="6"/>
  <c r="AC243" i="6" s="1"/>
  <c r="AB241" i="2"/>
  <c r="AC241" i="2" s="1"/>
  <c r="AB51" i="2"/>
  <c r="AC51" i="2" s="1"/>
  <c r="AB299" i="6"/>
  <c r="AF299" i="6" s="1"/>
  <c r="AG299" i="6" s="1"/>
  <c r="AB85" i="2"/>
  <c r="AC85" i="2" s="1"/>
  <c r="AB360" i="6"/>
  <c r="AC360" i="6" s="1"/>
  <c r="AB88" i="5"/>
  <c r="AF88" i="5" s="1"/>
  <c r="AG88" i="5" s="1"/>
  <c r="AB337" i="2"/>
  <c r="AF337" i="2" s="1"/>
  <c r="AG337" i="2" s="1"/>
  <c r="AB219" i="2"/>
  <c r="AF219" i="2" s="1"/>
  <c r="AG219" i="2" s="1"/>
  <c r="AB339" i="2"/>
  <c r="AC339" i="2" s="1"/>
  <c r="AB217" i="6"/>
  <c r="AF217" i="6" s="1"/>
  <c r="AG217" i="6" s="1"/>
  <c r="AB109" i="2"/>
  <c r="AF109" i="2" s="1"/>
  <c r="AG109" i="2" s="1"/>
  <c r="AB220" i="5"/>
  <c r="AC220" i="5" s="1"/>
  <c r="AB340" i="6"/>
  <c r="AC340" i="6" s="1"/>
  <c r="AB86" i="2"/>
  <c r="AC86" i="2" s="1"/>
  <c r="AB340" i="2"/>
  <c r="AF340" i="2" s="1"/>
  <c r="AG340" i="2" s="1"/>
  <c r="AB217" i="2"/>
  <c r="AC217" i="2" s="1"/>
  <c r="AB337" i="6"/>
  <c r="AF337" i="6" s="1"/>
  <c r="AG337" i="6" s="1"/>
  <c r="AB242" i="2"/>
  <c r="AC242" i="2" s="1"/>
  <c r="AB241" i="6"/>
  <c r="AF241" i="6" s="1"/>
  <c r="AG241" i="6" s="1"/>
  <c r="AB242" i="5"/>
  <c r="AC242" i="5" s="1"/>
  <c r="AB218" i="6"/>
  <c r="AF218" i="6" s="1"/>
  <c r="AG218" i="6" s="1"/>
  <c r="AB218" i="5"/>
  <c r="AC218" i="5" s="1"/>
  <c r="AB359" i="6"/>
  <c r="AF359" i="6" s="1"/>
  <c r="AG359" i="6" s="1"/>
  <c r="AB339" i="6"/>
  <c r="AF339" i="6" s="1"/>
  <c r="AG339" i="6" s="1"/>
  <c r="AB220" i="2"/>
  <c r="AC220" i="2" s="1"/>
  <c r="AB338" i="6"/>
  <c r="AF338" i="6" s="1"/>
  <c r="AG338" i="6" s="1"/>
  <c r="AB220" i="6"/>
  <c r="AF220" i="6" s="1"/>
  <c r="AG220" i="6" s="1"/>
  <c r="AB87" i="5"/>
  <c r="AC87" i="5" s="1"/>
  <c r="AB357" i="2"/>
  <c r="AC357" i="2" s="1"/>
  <c r="AB244" i="2"/>
  <c r="AF244" i="2" s="1"/>
  <c r="AG244" i="2" s="1"/>
  <c r="AB109" i="5"/>
  <c r="AF109" i="5" s="1"/>
  <c r="AG109" i="5" s="1"/>
  <c r="AB242" i="6"/>
  <c r="AF242" i="6" s="1"/>
  <c r="AG242" i="6" s="1"/>
  <c r="AB111" i="5"/>
  <c r="AF111" i="5" s="1"/>
  <c r="AG111" i="5" s="1"/>
  <c r="AB111" i="2"/>
  <c r="AF111" i="2" s="1"/>
  <c r="AG111" i="2" s="1"/>
  <c r="AG494" i="5"/>
  <c r="AE305" i="7"/>
  <c r="AG480" i="6"/>
  <c r="AG285" i="5"/>
  <c r="AG444" i="5"/>
  <c r="AE181" i="7"/>
  <c r="AG41" i="6"/>
  <c r="AG146" i="5"/>
  <c r="AE317" i="7"/>
  <c r="AG483" i="5"/>
  <c r="AG153" i="2"/>
  <c r="AG443" i="6"/>
  <c r="AG421" i="5"/>
  <c r="AG415" i="5"/>
  <c r="AG18" i="6"/>
  <c r="AG483" i="6"/>
  <c r="AG14" i="6"/>
  <c r="AG30" i="5"/>
  <c r="AG414" i="2"/>
  <c r="AG152" i="2"/>
  <c r="AG45" i="6"/>
  <c r="AG388" i="2"/>
  <c r="AE89" i="7"/>
  <c r="AG148" i="2"/>
  <c r="AG279" i="5"/>
  <c r="AG411" i="6"/>
  <c r="AG427" i="2"/>
  <c r="AG495" i="6"/>
  <c r="AG443" i="5"/>
  <c r="AG408" i="6"/>
  <c r="AG18" i="2"/>
  <c r="AG149" i="2"/>
  <c r="AG39" i="6"/>
  <c r="AG442" i="5"/>
  <c r="AG140" i="2"/>
  <c r="AG441" i="6"/>
  <c r="AG150" i="5"/>
  <c r="AG137" i="5"/>
  <c r="AG13" i="2"/>
  <c r="AG34" i="6"/>
  <c r="AE309" i="7"/>
  <c r="AG408" i="5"/>
  <c r="AG429" i="5"/>
  <c r="AE306" i="7"/>
  <c r="AG43" i="6"/>
  <c r="AG421" i="6"/>
  <c r="AG409" i="6"/>
  <c r="AG15" i="2"/>
  <c r="AG31" i="6"/>
  <c r="AG29" i="6"/>
  <c r="AG475" i="6"/>
  <c r="AG418" i="5"/>
  <c r="AG423" i="6"/>
  <c r="AE22" i="7"/>
  <c r="AG438" i="6"/>
  <c r="AG27" i="5"/>
  <c r="AG123" i="6"/>
  <c r="AE193" i="7"/>
  <c r="AG273" i="5"/>
  <c r="AG387" i="5"/>
  <c r="AG428" i="6"/>
  <c r="AG389" i="2"/>
  <c r="AG445" i="2"/>
  <c r="AE17" i="7"/>
  <c r="AG439" i="6"/>
  <c r="AE184" i="7"/>
  <c r="AG160" i="2"/>
  <c r="AG301" i="5"/>
  <c r="AG124" i="6"/>
  <c r="AG393" i="6"/>
  <c r="AG500" i="2"/>
  <c r="AG19" i="5"/>
  <c r="AG422" i="6"/>
  <c r="AG309" i="5"/>
  <c r="AG141" i="2"/>
  <c r="AE175" i="7"/>
  <c r="AE259" i="7"/>
  <c r="AG475" i="5"/>
  <c r="AG445" i="5"/>
  <c r="AG437" i="6"/>
  <c r="AE18" i="7"/>
  <c r="AE330" i="7"/>
  <c r="AG402" i="6"/>
  <c r="AG301" i="2"/>
  <c r="AG136" i="5"/>
  <c r="AG421" i="2"/>
  <c r="AG15" i="5"/>
  <c r="AE271" i="7"/>
  <c r="AG284" i="2"/>
  <c r="AG302" i="2"/>
  <c r="AE328" i="7"/>
  <c r="AE81" i="7"/>
  <c r="AG470" i="6"/>
  <c r="AG427" i="5"/>
  <c r="AG408" i="2"/>
  <c r="AG398" i="2"/>
  <c r="AE109" i="7"/>
  <c r="AG161" i="2"/>
  <c r="AG312" i="5"/>
  <c r="AG35" i="6"/>
  <c r="AG139" i="6"/>
  <c r="AG275" i="2"/>
  <c r="AG19" i="2"/>
  <c r="AG440" i="5"/>
  <c r="AG271" i="5"/>
  <c r="AE255" i="7"/>
  <c r="AG477" i="2"/>
  <c r="AE296" i="7"/>
  <c r="AG23" i="5"/>
  <c r="AE97" i="7"/>
  <c r="AE78" i="7"/>
  <c r="AG497" i="6"/>
  <c r="AG307" i="5"/>
  <c r="AE93" i="7"/>
  <c r="AE150" i="7"/>
  <c r="AE156" i="7"/>
  <c r="AG478" i="2"/>
  <c r="AG267" i="6"/>
  <c r="AE151" i="7"/>
  <c r="AG474" i="5"/>
  <c r="AG384" i="5"/>
  <c r="AE226" i="7"/>
  <c r="AE300" i="7"/>
  <c r="AE239" i="7"/>
  <c r="AG355" i="5"/>
  <c r="AG401" i="6"/>
  <c r="AG498" i="6"/>
  <c r="AE101" i="7"/>
  <c r="AG435" i="2"/>
  <c r="AE237" i="7"/>
  <c r="AG47" i="6"/>
  <c r="AG16" i="2"/>
  <c r="AG140" i="6"/>
  <c r="AG390" i="2"/>
  <c r="AG429" i="6"/>
  <c r="AG413" i="5"/>
  <c r="AG283" i="2"/>
  <c r="AG484" i="6"/>
  <c r="AG399" i="5"/>
  <c r="AG393" i="5"/>
  <c r="AG479" i="5"/>
  <c r="AG430" i="5"/>
  <c r="AG483" i="2"/>
  <c r="AG390" i="6"/>
  <c r="AE311" i="7"/>
  <c r="AE102" i="7"/>
  <c r="AE25" i="7"/>
  <c r="AG303" i="2"/>
  <c r="AG405" i="5"/>
  <c r="AG19" i="6"/>
  <c r="AG291" i="5"/>
  <c r="AG133" i="5"/>
  <c r="AG401" i="5"/>
  <c r="AE190" i="7"/>
  <c r="AG299" i="5"/>
  <c r="AE83" i="7"/>
  <c r="AG479" i="2"/>
  <c r="AG411" i="5"/>
  <c r="AE307" i="7"/>
  <c r="AG394" i="5"/>
  <c r="AG389" i="5"/>
  <c r="AG420" i="5"/>
  <c r="AG429" i="2"/>
  <c r="AE299" i="7"/>
  <c r="AG425" i="2"/>
  <c r="AG400" i="2"/>
  <c r="AG134" i="2"/>
  <c r="AG392" i="5"/>
  <c r="AG432" i="2"/>
  <c r="AG477" i="5"/>
  <c r="AG417" i="5"/>
  <c r="AG21" i="6"/>
  <c r="AG479" i="6"/>
  <c r="AG17" i="6"/>
  <c r="AG430" i="6"/>
  <c r="AG13" i="5"/>
  <c r="AG277" i="5"/>
  <c r="AG174" i="2"/>
  <c r="AE86" i="7"/>
  <c r="AG20" i="2"/>
  <c r="AG435" i="5"/>
  <c r="AG443" i="2"/>
  <c r="AG422" i="2"/>
  <c r="AG304" i="2"/>
  <c r="AG126" i="6"/>
  <c r="AE59" i="7"/>
  <c r="AG140" i="5"/>
  <c r="AE162" i="7"/>
  <c r="AG395" i="5"/>
  <c r="AG417" i="2"/>
  <c r="AG407" i="2"/>
  <c r="AG170" i="2"/>
  <c r="AG407" i="5"/>
  <c r="AG403" i="2"/>
  <c r="AG413" i="2"/>
  <c r="AG177" i="2"/>
  <c r="AG310" i="5"/>
  <c r="AG22" i="5"/>
  <c r="AG22" i="2"/>
  <c r="AG409" i="5"/>
  <c r="AG501" i="5"/>
  <c r="AE23" i="7"/>
  <c r="AG298" i="5"/>
  <c r="AG266" i="2"/>
  <c r="AG274" i="6"/>
  <c r="AE257" i="7"/>
  <c r="AG14" i="2"/>
  <c r="AG20" i="6"/>
  <c r="AG20" i="5"/>
  <c r="AG404" i="2"/>
  <c r="AG172" i="2"/>
  <c r="AE272" i="7"/>
  <c r="AE75" i="7"/>
  <c r="AE92" i="7"/>
  <c r="AG439" i="2"/>
  <c r="AG283" i="5"/>
  <c r="AE19" i="7"/>
  <c r="AG18" i="5"/>
  <c r="AG148" i="5"/>
  <c r="AE79" i="7"/>
  <c r="AG138" i="6"/>
  <c r="AG388" i="5"/>
  <c r="AG40" i="6"/>
  <c r="AG284" i="5"/>
  <c r="AG415" i="2"/>
  <c r="AG278" i="2"/>
  <c r="AG32" i="5"/>
  <c r="AG30" i="6"/>
  <c r="AE63" i="7"/>
  <c r="AG135" i="2"/>
  <c r="AE256" i="7"/>
  <c r="AG419" i="5"/>
  <c r="AG23" i="6"/>
  <c r="AE178" i="7"/>
  <c r="AE163" i="7"/>
  <c r="AE308" i="7"/>
  <c r="AG471" i="2"/>
  <c r="AE24" i="7"/>
  <c r="AE325" i="7"/>
  <c r="AG418" i="2"/>
  <c r="AG391" i="2"/>
  <c r="AG164" i="2"/>
  <c r="AG137" i="6"/>
  <c r="AG265" i="2"/>
  <c r="AE154" i="7"/>
  <c r="AG137" i="2"/>
  <c r="AG269" i="5"/>
  <c r="AE159" i="7"/>
  <c r="AG470" i="2"/>
  <c r="AE231" i="7"/>
  <c r="AG344" i="5"/>
  <c r="AE242" i="7"/>
  <c r="AG352" i="5"/>
  <c r="AE240" i="7"/>
  <c r="AG419" i="6"/>
  <c r="AG442" i="2"/>
  <c r="AG410" i="2"/>
  <c r="AG488" i="5"/>
  <c r="AG493" i="2"/>
  <c r="AG380" i="2"/>
  <c r="AE318" i="7"/>
  <c r="AG471" i="5"/>
  <c r="AG391" i="6"/>
  <c r="AG280" i="2"/>
  <c r="AG169" i="2"/>
  <c r="AG295" i="5"/>
  <c r="AG265" i="6"/>
  <c r="AE234" i="7"/>
  <c r="AE320" i="7"/>
  <c r="AE177" i="7"/>
  <c r="AG381" i="2"/>
  <c r="AG475" i="2"/>
  <c r="AE244" i="7"/>
  <c r="AG490" i="5"/>
  <c r="AG130" i="6"/>
  <c r="AG131" i="6"/>
  <c r="AG142" i="2"/>
  <c r="AG273" i="2"/>
  <c r="AG272" i="6"/>
  <c r="AE157" i="7"/>
  <c r="AG489" i="2"/>
  <c r="AE98" i="7"/>
  <c r="AG171" i="2"/>
  <c r="AG279" i="2"/>
  <c r="AE185" i="7"/>
  <c r="AE84" i="7"/>
  <c r="AG382" i="5"/>
  <c r="AG362" i="5"/>
  <c r="AG480" i="2"/>
  <c r="AE253" i="7"/>
  <c r="AG385" i="5"/>
  <c r="AE322" i="7"/>
  <c r="AG343" i="5"/>
  <c r="AE316" i="7"/>
  <c r="AG495" i="5"/>
  <c r="AG493" i="5"/>
  <c r="AG122" i="6"/>
  <c r="AG176" i="2"/>
  <c r="AE173" i="7"/>
  <c r="AE262" i="7"/>
  <c r="AG402" i="5"/>
  <c r="AG394" i="6"/>
  <c r="AG468" i="5"/>
  <c r="AG392" i="2"/>
  <c r="AE171" i="7"/>
  <c r="AG410" i="6"/>
  <c r="AE266" i="7"/>
  <c r="AG481" i="6"/>
  <c r="AG434" i="5"/>
  <c r="AG42" i="6"/>
  <c r="AG484" i="2"/>
  <c r="AG22" i="6"/>
  <c r="AG478" i="5"/>
  <c r="AG481" i="2"/>
  <c r="AG485" i="6"/>
  <c r="AG411" i="2"/>
  <c r="AG304" i="5"/>
  <c r="AE295" i="7"/>
  <c r="AG432" i="5"/>
  <c r="AG405" i="6"/>
  <c r="AG159" i="2"/>
  <c r="AG379" i="2"/>
  <c r="AG445" i="6"/>
  <c r="AE183" i="7"/>
  <c r="AE80" i="7"/>
  <c r="AG354" i="5"/>
  <c r="AG482" i="5"/>
  <c r="AG438" i="5"/>
  <c r="AG482" i="6"/>
  <c r="AG403" i="5"/>
  <c r="AG398" i="5"/>
  <c r="AG394" i="2"/>
  <c r="AG404" i="6"/>
  <c r="AG17" i="2"/>
  <c r="AE265" i="7"/>
  <c r="AG173" i="2"/>
  <c r="AE303" i="7"/>
  <c r="AG428" i="5"/>
  <c r="AE103" i="7"/>
  <c r="AG477" i="6"/>
  <c r="AG425" i="5"/>
  <c r="AG425" i="6"/>
  <c r="AE72" i="7"/>
  <c r="AG38" i="6"/>
  <c r="AG280" i="5"/>
  <c r="AG179" i="2"/>
  <c r="AG145" i="5"/>
  <c r="AG155" i="5"/>
  <c r="AG474" i="6"/>
  <c r="AG397" i="5"/>
  <c r="AG388" i="6"/>
  <c r="AG433" i="6"/>
  <c r="AG21" i="5"/>
  <c r="AG175" i="2"/>
  <c r="AG293" i="5"/>
  <c r="AG498" i="5"/>
  <c r="AG135" i="6"/>
  <c r="AE301" i="7"/>
  <c r="AG15" i="6"/>
  <c r="AG502" i="5"/>
  <c r="AG424" i="2"/>
  <c r="AG308" i="5"/>
  <c r="AG424" i="5"/>
  <c r="AG424" i="6"/>
  <c r="AG294" i="5"/>
  <c r="AG502" i="6"/>
  <c r="AG165" i="2"/>
  <c r="AG285" i="2"/>
  <c r="AG414" i="5"/>
  <c r="AG398" i="6"/>
  <c r="AE186" i="7"/>
  <c r="AG303" i="5"/>
  <c r="AG25" i="5"/>
  <c r="AG269" i="2"/>
  <c r="AE168" i="7"/>
  <c r="AG469" i="5"/>
  <c r="AG498" i="2"/>
  <c r="AG404" i="5"/>
  <c r="AG415" i="6"/>
  <c r="AG440" i="2"/>
  <c r="AG282" i="2"/>
  <c r="AG300" i="2"/>
  <c r="AG25" i="6"/>
  <c r="AG403" i="6"/>
  <c r="AG389" i="6"/>
  <c r="AG444" i="6"/>
  <c r="AE105" i="7"/>
  <c r="AG420" i="6"/>
  <c r="AE74" i="7"/>
  <c r="AG17" i="5"/>
  <c r="AG472" i="5"/>
  <c r="AG423" i="5"/>
  <c r="AG414" i="6"/>
  <c r="AE104" i="7"/>
  <c r="AG418" i="6"/>
  <c r="AG288" i="5"/>
  <c r="AG14" i="5"/>
  <c r="AE76" i="7"/>
  <c r="AG157" i="2"/>
  <c r="AG275" i="6"/>
  <c r="AG467" i="6"/>
  <c r="AG147" i="2"/>
  <c r="AG134" i="5"/>
  <c r="AE172" i="7"/>
  <c r="AG489" i="5"/>
  <c r="AG482" i="2"/>
  <c r="AG16" i="5"/>
  <c r="AG395" i="2"/>
  <c r="AG305" i="5"/>
  <c r="AG31" i="5"/>
  <c r="AG127" i="6"/>
  <c r="AG129" i="6"/>
  <c r="AG268" i="2"/>
  <c r="AE258" i="7"/>
  <c r="AE158" i="7"/>
  <c r="AG133" i="6"/>
  <c r="AG268" i="6"/>
  <c r="AE227" i="7"/>
  <c r="AG468" i="2"/>
  <c r="AG488" i="6"/>
  <c r="AG470" i="5"/>
  <c r="AG493" i="6"/>
  <c r="AG351" i="5"/>
  <c r="AG367" i="5"/>
  <c r="AG399" i="2"/>
  <c r="AG400" i="6"/>
  <c r="AG28" i="5"/>
  <c r="AE71" i="7"/>
  <c r="AG133" i="2"/>
  <c r="AG417" i="6"/>
  <c r="AG473" i="6"/>
  <c r="AG145" i="2"/>
  <c r="AG146" i="2"/>
  <c r="AG289" i="5"/>
  <c r="AE65" i="7"/>
  <c r="AG300" i="5"/>
  <c r="AG481" i="5"/>
  <c r="AG167" i="2"/>
  <c r="AG471" i="6"/>
  <c r="AG502" i="2"/>
  <c r="AG501" i="6"/>
  <c r="AG474" i="2"/>
  <c r="AG278" i="5"/>
  <c r="AE169" i="7"/>
  <c r="AE182" i="7"/>
  <c r="AG419" i="2"/>
  <c r="AG151" i="2"/>
  <c r="AG143" i="5"/>
  <c r="AG437" i="5"/>
  <c r="AG292" i="5"/>
  <c r="AE326" i="7"/>
  <c r="AE60" i="7"/>
  <c r="AG432" i="6"/>
  <c r="AE99" i="7"/>
  <c r="AG23" i="2"/>
  <c r="AG357" i="5"/>
  <c r="AG32" i="6"/>
  <c r="AG274" i="2"/>
  <c r="AE141" i="7"/>
  <c r="AG467" i="2"/>
  <c r="AG434" i="2"/>
  <c r="AE139" i="7"/>
  <c r="AG377" i="2"/>
  <c r="AG497" i="5"/>
  <c r="AG281" i="5"/>
  <c r="AG500" i="6"/>
  <c r="AG29" i="5"/>
  <c r="AG468" i="6"/>
  <c r="AG363" i="5"/>
  <c r="AE174" i="7"/>
  <c r="AG358" i="5"/>
  <c r="AE321" i="7"/>
  <c r="AG348" i="5"/>
  <c r="AE270" i="7"/>
  <c r="AG33" i="5"/>
  <c r="AG273" i="6"/>
  <c r="AE142" i="7"/>
  <c r="AE233" i="7"/>
  <c r="AG420" i="2"/>
  <c r="AG26" i="5"/>
  <c r="AG128" i="6"/>
  <c r="AG134" i="6"/>
  <c r="AG469" i="2"/>
  <c r="AG495" i="2"/>
  <c r="AE145" i="7"/>
  <c r="AE319" i="7"/>
  <c r="AG359" i="5"/>
  <c r="AG492" i="5"/>
  <c r="AG353" i="5"/>
  <c r="AG35" i="5"/>
  <c r="AG125" i="6"/>
  <c r="AE147" i="7"/>
  <c r="AG339" i="5"/>
  <c r="AG430" i="2"/>
  <c r="AG401" i="2"/>
  <c r="AG297" i="5"/>
  <c r="AG166" i="2"/>
  <c r="AG311" i="5"/>
  <c r="AE94" i="7"/>
  <c r="AG266" i="6"/>
  <c r="AE254" i="7"/>
  <c r="AG378" i="2"/>
  <c r="AG485" i="2"/>
  <c r="AG269" i="6"/>
  <c r="AG381" i="5"/>
  <c r="AG345" i="5"/>
  <c r="AG375" i="5"/>
  <c r="AE238" i="7"/>
  <c r="AG374" i="5"/>
  <c r="AG441" i="2"/>
  <c r="AE269" i="7"/>
  <c r="AG399" i="6"/>
  <c r="AE313" i="7"/>
  <c r="AE58" i="7"/>
  <c r="AG473" i="5"/>
  <c r="AG491" i="5"/>
  <c r="AG412" i="5"/>
  <c r="AG441" i="5"/>
  <c r="AG431" i="5"/>
  <c r="AG434" i="6"/>
  <c r="AG28" i="6"/>
  <c r="AG400" i="5"/>
  <c r="AG395" i="6"/>
  <c r="AG410" i="5"/>
  <c r="AG26" i="6"/>
  <c r="AG287" i="5"/>
  <c r="AE91" i="7"/>
  <c r="AE167" i="7"/>
  <c r="AG422" i="5"/>
  <c r="AG423" i="2"/>
  <c r="AE20" i="7"/>
  <c r="AG281" i="2"/>
  <c r="AE329" i="7"/>
  <c r="AE62" i="7"/>
  <c r="AG155" i="2"/>
  <c r="AE310" i="7"/>
  <c r="AE64" i="7"/>
  <c r="AE298" i="7"/>
  <c r="AG489" i="6"/>
  <c r="AG494" i="6"/>
  <c r="AE15" i="7"/>
  <c r="AE260" i="7"/>
  <c r="AG341" i="5"/>
  <c r="AE106" i="7"/>
  <c r="AG440" i="6"/>
  <c r="AG152" i="5"/>
  <c r="AG151" i="5"/>
  <c r="AG379" i="5"/>
  <c r="AG142" i="6"/>
  <c r="AE146" i="7"/>
  <c r="AG487" i="5"/>
  <c r="AE243" i="7"/>
  <c r="AE246" i="7"/>
  <c r="AG147" i="5"/>
  <c r="AG139" i="2"/>
  <c r="AG270" i="2"/>
  <c r="AG382" i="2"/>
  <c r="AG480" i="5"/>
  <c r="AG427" i="6"/>
  <c r="AG34" i="5"/>
  <c r="AE87" i="7"/>
  <c r="AG275" i="5"/>
  <c r="AG473" i="2"/>
  <c r="AG141" i="5"/>
  <c r="AG385" i="2"/>
  <c r="AE232" i="7"/>
  <c r="AG271" i="2"/>
  <c r="AG373" i="5"/>
  <c r="AG491" i="2"/>
  <c r="AE66" i="7"/>
  <c r="AG141" i="6"/>
  <c r="AE149" i="7"/>
  <c r="AG360" i="5"/>
  <c r="AG438" i="2"/>
  <c r="AE268" i="7"/>
  <c r="AG314" i="5"/>
  <c r="AG313" i="5"/>
  <c r="AG135" i="5"/>
  <c r="AG271" i="6"/>
  <c r="AG272" i="5"/>
  <c r="AG383" i="2"/>
  <c r="AG384" i="2"/>
  <c r="AG142" i="5"/>
  <c r="AE170" i="7"/>
  <c r="AE165" i="7"/>
  <c r="AE153" i="7"/>
  <c r="AG372" i="5"/>
  <c r="AG369" i="5"/>
  <c r="AG368" i="5"/>
  <c r="AG37" i="6"/>
  <c r="AG501" i="2"/>
  <c r="AG150" i="2"/>
  <c r="AG16" i="6"/>
  <c r="AE100" i="7"/>
  <c r="AG390" i="5"/>
  <c r="AE312" i="7"/>
  <c r="AG163" i="2"/>
  <c r="AG478" i="6"/>
  <c r="AG439" i="5"/>
  <c r="AE69" i="7"/>
  <c r="AG397" i="6"/>
  <c r="AG299" i="2"/>
  <c r="AG44" i="6"/>
  <c r="AG433" i="5"/>
  <c r="AG305" i="2"/>
  <c r="AE273" i="7"/>
  <c r="AE261" i="7"/>
  <c r="AG435" i="6"/>
  <c r="AE77" i="7"/>
  <c r="AG162" i="2"/>
  <c r="AG469" i="6"/>
  <c r="AG387" i="2"/>
  <c r="AE85" i="7"/>
  <c r="AG274" i="5"/>
  <c r="AG442" i="6"/>
  <c r="AG409" i="2"/>
  <c r="AG484" i="5"/>
  <c r="AG383" i="5"/>
  <c r="AG370" i="5"/>
  <c r="AG158" i="2"/>
  <c r="AE252" i="7"/>
  <c r="AG338" i="5"/>
  <c r="AG402" i="2"/>
  <c r="AG437" i="2"/>
  <c r="AG405" i="2"/>
  <c r="AG265" i="5"/>
  <c r="AG492" i="6"/>
  <c r="AG139" i="5"/>
  <c r="AG380" i="5"/>
  <c r="AE70" i="7"/>
  <c r="AG487" i="2"/>
  <c r="AE248" i="7"/>
  <c r="AG413" i="6"/>
  <c r="AE88" i="7"/>
  <c r="AG270" i="5"/>
  <c r="AE160" i="7"/>
  <c r="AE297" i="7"/>
  <c r="AE267" i="7"/>
  <c r="AG297" i="2"/>
  <c r="AG136" i="6"/>
  <c r="AE251" i="7"/>
  <c r="AG490" i="2"/>
  <c r="AG267" i="2"/>
  <c r="AE263" i="7"/>
  <c r="AE323" i="7"/>
  <c r="AE164" i="7"/>
  <c r="AG349" i="5"/>
  <c r="AG371" i="5"/>
  <c r="AG315" i="5"/>
  <c r="AG138" i="2"/>
  <c r="AG378" i="5"/>
  <c r="AE223" i="7"/>
  <c r="AE188" i="7"/>
  <c r="AG282" i="5"/>
  <c r="AE189" i="7"/>
  <c r="AE55" i="7"/>
  <c r="AG143" i="6"/>
  <c r="AG270" i="6"/>
  <c r="AE144" i="7"/>
  <c r="AG364" i="5"/>
  <c r="AG487" i="6"/>
  <c r="AE95" i="7"/>
  <c r="AG272" i="2"/>
  <c r="AE230" i="7"/>
  <c r="AG472" i="2"/>
  <c r="AG494" i="2"/>
  <c r="AG347" i="5"/>
  <c r="AE241" i="7"/>
  <c r="AE191" i="7"/>
  <c r="AG178" i="2"/>
  <c r="AE21" i="7"/>
  <c r="AG433" i="2"/>
  <c r="AG33" i="6"/>
  <c r="AG412" i="6"/>
  <c r="AG268" i="5"/>
  <c r="AG143" i="2"/>
  <c r="AE229" i="7"/>
  <c r="AG431" i="6"/>
  <c r="AG361" i="5"/>
  <c r="AG121" i="6"/>
  <c r="AG407" i="6"/>
  <c r="AG488" i="2"/>
  <c r="AE315" i="7"/>
  <c r="AG444" i="2"/>
  <c r="AG290" i="5"/>
  <c r="AG136" i="2"/>
  <c r="AE228" i="7"/>
  <c r="AG490" i="6"/>
  <c r="AG485" i="5"/>
  <c r="AG154" i="5"/>
  <c r="AG154" i="2"/>
  <c r="AG302" i="5"/>
  <c r="AG149" i="5"/>
  <c r="AE187" i="7"/>
  <c r="AE143" i="7"/>
  <c r="AG337" i="5"/>
  <c r="AG472" i="6"/>
  <c r="AE225" i="7"/>
  <c r="AE235" i="7"/>
  <c r="AG138" i="5"/>
  <c r="AG298" i="2"/>
  <c r="AE57" i="7"/>
  <c r="AG342" i="5"/>
  <c r="AG266" i="5"/>
  <c r="AE107" i="7"/>
  <c r="AE179" i="7"/>
  <c r="AG267" i="5"/>
  <c r="AG492" i="2"/>
  <c r="AE13" i="7"/>
  <c r="AG497" i="2"/>
  <c r="AG13" i="6"/>
  <c r="AG46" i="6"/>
  <c r="AE108" i="7"/>
  <c r="AG467" i="5"/>
  <c r="AG391" i="5"/>
  <c r="AG431" i="2"/>
  <c r="AG392" i="6"/>
  <c r="AE16" i="7"/>
  <c r="AG365" i="5"/>
  <c r="AE249" i="7"/>
  <c r="AE56" i="7"/>
  <c r="AG153" i="5"/>
  <c r="AG377" i="5"/>
  <c r="AE247" i="7"/>
  <c r="AE161" i="7"/>
  <c r="AG397" i="2"/>
  <c r="AE140" i="7"/>
  <c r="AE148" i="7"/>
  <c r="AG350" i="5"/>
  <c r="AE192" i="7"/>
  <c r="AG387" i="6"/>
  <c r="AG500" i="5"/>
  <c r="AE90" i="7"/>
  <c r="AE67" i="7"/>
  <c r="AE14" i="7"/>
  <c r="AG21" i="2"/>
  <c r="AG428" i="2"/>
  <c r="AE176" i="7"/>
  <c r="AE155" i="7"/>
  <c r="AE302" i="7"/>
  <c r="AE61" i="7"/>
  <c r="AE73" i="7"/>
  <c r="AG27" i="6"/>
  <c r="AE245" i="7"/>
  <c r="AG340" i="5"/>
  <c r="AG393" i="2"/>
  <c r="AG491" i="6"/>
  <c r="AG412" i="2"/>
  <c r="AE224" i="7"/>
  <c r="AG355" i="6"/>
  <c r="AG372" i="2"/>
  <c r="AG375" i="6"/>
  <c r="AG373" i="6"/>
  <c r="AG374" i="2"/>
  <c r="AG375" i="2"/>
  <c r="AG354" i="2"/>
  <c r="AG371" i="2"/>
  <c r="AG351" i="6"/>
  <c r="AG351" i="2"/>
  <c r="AG372" i="6"/>
  <c r="AG355" i="2"/>
  <c r="AG352" i="6"/>
  <c r="AG374" i="6"/>
  <c r="AG352" i="2"/>
  <c r="AG371" i="6"/>
  <c r="AG353" i="2"/>
  <c r="AG353" i="6"/>
  <c r="AG373" i="2"/>
  <c r="AG354" i="6"/>
  <c r="AG97" i="6"/>
  <c r="AG290" i="6"/>
  <c r="AG257" i="5"/>
  <c r="AG293" i="6"/>
  <c r="AG40" i="5"/>
  <c r="AG107" i="6"/>
  <c r="AG262" i="6"/>
  <c r="AG176" i="5"/>
  <c r="AG165" i="6"/>
  <c r="AG172" i="5"/>
  <c r="AG382" i="6"/>
  <c r="AG38" i="2"/>
  <c r="AG263" i="5"/>
  <c r="AG177" i="5"/>
  <c r="AG129" i="2"/>
  <c r="AG37" i="2"/>
  <c r="AG131" i="2"/>
  <c r="AG116" i="2"/>
  <c r="AG170" i="5"/>
  <c r="AG289" i="6"/>
  <c r="AG245" i="2"/>
  <c r="AG128" i="2"/>
  <c r="AG113" i="6"/>
  <c r="AG247" i="5"/>
  <c r="AG41" i="2"/>
  <c r="AG30" i="2"/>
  <c r="AG32" i="2"/>
  <c r="AG166" i="6"/>
  <c r="AG169" i="5"/>
  <c r="AG115" i="2"/>
  <c r="AG119" i="6"/>
  <c r="AG262" i="2"/>
  <c r="AG251" i="2"/>
  <c r="AG187" i="6"/>
  <c r="AG126" i="5"/>
  <c r="AG45" i="5"/>
  <c r="AG251" i="6"/>
  <c r="AG46" i="5"/>
  <c r="AG249" i="2"/>
  <c r="AG54" i="2"/>
  <c r="AG258" i="2"/>
  <c r="AG98" i="6"/>
  <c r="AG40" i="2"/>
  <c r="AG260" i="2"/>
  <c r="AG292" i="6"/>
  <c r="AG158" i="6"/>
  <c r="AG173" i="5"/>
  <c r="AG35" i="2"/>
  <c r="AG248" i="5"/>
  <c r="AG117" i="6"/>
  <c r="AG261" i="2"/>
  <c r="AG247" i="6"/>
  <c r="AG263" i="6"/>
  <c r="AG31" i="2"/>
  <c r="AG162" i="6"/>
  <c r="AG185" i="6"/>
  <c r="AG383" i="6"/>
  <c r="AG287" i="6"/>
  <c r="AG288" i="6"/>
  <c r="AG163" i="6"/>
  <c r="AG190" i="6"/>
  <c r="AG191" i="6"/>
  <c r="AG33" i="2"/>
  <c r="AG39" i="5"/>
  <c r="AG115" i="5"/>
  <c r="AG44" i="5"/>
  <c r="AG179" i="5"/>
  <c r="AG161" i="6"/>
  <c r="AG245" i="6"/>
  <c r="AG38" i="5"/>
  <c r="AG118" i="5"/>
  <c r="AG248" i="6"/>
  <c r="AG250" i="5"/>
  <c r="AG125" i="2"/>
  <c r="AG262" i="5"/>
  <c r="AG42" i="2"/>
  <c r="AG164" i="6"/>
  <c r="AG159" i="6"/>
  <c r="AG55" i="2"/>
  <c r="AG114" i="2"/>
  <c r="AG381" i="6"/>
  <c r="AG385" i="6"/>
  <c r="AG249" i="5"/>
  <c r="AG114" i="5"/>
  <c r="AG175" i="5"/>
  <c r="AG246" i="2"/>
  <c r="AG257" i="2"/>
  <c r="AG106" i="6"/>
  <c r="AG248" i="2"/>
  <c r="AG188" i="6"/>
  <c r="AG127" i="5"/>
  <c r="AG117" i="2"/>
  <c r="AG56" i="2"/>
  <c r="AG102" i="6"/>
  <c r="AG251" i="5"/>
  <c r="AG113" i="2"/>
  <c r="AG29" i="2"/>
  <c r="AG157" i="6"/>
  <c r="AG118" i="2"/>
  <c r="AG118" i="6"/>
  <c r="AG43" i="5"/>
  <c r="AG119" i="5"/>
  <c r="AG247" i="2"/>
  <c r="AG105" i="6"/>
  <c r="AG126" i="2"/>
  <c r="AG257" i="6"/>
  <c r="AG261" i="6"/>
  <c r="AG47" i="2"/>
  <c r="AG131" i="5"/>
  <c r="AG114" i="6"/>
  <c r="AG113" i="5"/>
  <c r="AG160" i="6"/>
  <c r="AG128" i="5"/>
  <c r="AG260" i="5"/>
  <c r="AG42" i="5"/>
  <c r="AG43" i="2"/>
  <c r="AG34" i="2"/>
  <c r="AG116" i="6"/>
  <c r="AG189" i="6"/>
  <c r="AG250" i="6"/>
  <c r="AG116" i="5"/>
  <c r="AG99" i="6"/>
  <c r="AG246" i="6"/>
  <c r="AG259" i="6"/>
  <c r="AG59" i="2"/>
  <c r="AG53" i="2"/>
  <c r="AG263" i="2"/>
  <c r="AG167" i="6"/>
  <c r="AG384" i="6"/>
  <c r="AG104" i="6"/>
  <c r="AG258" i="5"/>
  <c r="AG41" i="5"/>
  <c r="AG258" i="6"/>
  <c r="AG127" i="2"/>
  <c r="AG249" i="6"/>
  <c r="AG45" i="2"/>
  <c r="AG130" i="2"/>
  <c r="AG259" i="2"/>
  <c r="AG245" i="5"/>
  <c r="AG47" i="5"/>
  <c r="AG58" i="2"/>
  <c r="AG46" i="2"/>
  <c r="AG260" i="6"/>
  <c r="AG57" i="2"/>
  <c r="AG125" i="5"/>
  <c r="AG115" i="6"/>
  <c r="AG294" i="6"/>
  <c r="AG295" i="6"/>
  <c r="AG171" i="5"/>
  <c r="AG291" i="6"/>
  <c r="AG39" i="2"/>
  <c r="AG250" i="2"/>
  <c r="AG186" i="6"/>
  <c r="AG101" i="6"/>
  <c r="AG178" i="5"/>
  <c r="AG103" i="6"/>
  <c r="AG174" i="5"/>
  <c r="AG246" i="5"/>
  <c r="AG117" i="5"/>
  <c r="AG130" i="5"/>
  <c r="AG261" i="5"/>
  <c r="AG100" i="6"/>
  <c r="AG44" i="2"/>
  <c r="AG129" i="5"/>
  <c r="AG119" i="2"/>
  <c r="AG259" i="5"/>
  <c r="AG37" i="5"/>
  <c r="AG93" i="2"/>
  <c r="AG92" i="5"/>
  <c r="AG106" i="5"/>
  <c r="AG102" i="2"/>
  <c r="AG104" i="5"/>
  <c r="AG95" i="6"/>
  <c r="AG90" i="2"/>
  <c r="AG91" i="5"/>
  <c r="AG103" i="2"/>
  <c r="AG93" i="6"/>
  <c r="AG95" i="2"/>
  <c r="AG90" i="6"/>
  <c r="AG105" i="2"/>
  <c r="AG101" i="2"/>
  <c r="AG90" i="5"/>
  <c r="AG101" i="5"/>
  <c r="AG102" i="5"/>
  <c r="AG89" i="2"/>
  <c r="AG93" i="5"/>
  <c r="AG91" i="6"/>
  <c r="AG94" i="5"/>
  <c r="AG89" i="5"/>
  <c r="AG107" i="5"/>
  <c r="AG95" i="5"/>
  <c r="AG94" i="2"/>
  <c r="AG91" i="2"/>
  <c r="AG89" i="6"/>
  <c r="AG104" i="2"/>
  <c r="AG105" i="5"/>
  <c r="AG106" i="2"/>
  <c r="AG94" i="6"/>
  <c r="AG103" i="5"/>
  <c r="AG92" i="6"/>
  <c r="AG107" i="2"/>
  <c r="AG92" i="2"/>
  <c r="AG453" i="5"/>
  <c r="AG461" i="6"/>
  <c r="AG461" i="5"/>
  <c r="AG452" i="6"/>
  <c r="AG452" i="2"/>
  <c r="AG455" i="2"/>
  <c r="AG450" i="6"/>
  <c r="AG226" i="6"/>
  <c r="AG227" i="5"/>
  <c r="AG447" i="6"/>
  <c r="AE285" i="7"/>
  <c r="AG452" i="5"/>
  <c r="AG224" i="2"/>
  <c r="AG225" i="2"/>
  <c r="AG227" i="2"/>
  <c r="AG239" i="6"/>
  <c r="AG233" i="2"/>
  <c r="AG464" i="5"/>
  <c r="AG463" i="5"/>
  <c r="AG453" i="6"/>
  <c r="AG223" i="6"/>
  <c r="AG221" i="6"/>
  <c r="AE275" i="7"/>
  <c r="AG447" i="5"/>
  <c r="AE281" i="7"/>
  <c r="AG459" i="6"/>
  <c r="AG448" i="2"/>
  <c r="AG451" i="2"/>
  <c r="AG460" i="5"/>
  <c r="AG239" i="2"/>
  <c r="AG237" i="2"/>
  <c r="AG455" i="6"/>
  <c r="AG450" i="2"/>
  <c r="AG461" i="2"/>
  <c r="AE290" i="7"/>
  <c r="AG449" i="6"/>
  <c r="AG463" i="6"/>
  <c r="AG462" i="2"/>
  <c r="AG237" i="6"/>
  <c r="AG462" i="5"/>
  <c r="AG234" i="5"/>
  <c r="AG451" i="5"/>
  <c r="AG233" i="5"/>
  <c r="AG225" i="6"/>
  <c r="AE282" i="7"/>
  <c r="AG454" i="6"/>
  <c r="AG463" i="2"/>
  <c r="AG233" i="6"/>
  <c r="AG237" i="5"/>
  <c r="AG227" i="6"/>
  <c r="AG235" i="2"/>
  <c r="AG462" i="6"/>
  <c r="AG449" i="5"/>
  <c r="AG457" i="2"/>
  <c r="AG226" i="5"/>
  <c r="AG221" i="5"/>
  <c r="AG448" i="6"/>
  <c r="AG223" i="5"/>
  <c r="AE278" i="7"/>
  <c r="AG447" i="2"/>
  <c r="AG457" i="6"/>
  <c r="AE286" i="7"/>
  <c r="AG458" i="5"/>
  <c r="AG224" i="6"/>
  <c r="AE277" i="7"/>
  <c r="AE280" i="7"/>
  <c r="AE279" i="7"/>
  <c r="AG465" i="5"/>
  <c r="AG449" i="2"/>
  <c r="AE292" i="7"/>
  <c r="AG222" i="2"/>
  <c r="AG221" i="2"/>
  <c r="AG464" i="6"/>
  <c r="AG458" i="6"/>
  <c r="AG226" i="2"/>
  <c r="AE283" i="7"/>
  <c r="AG457" i="5"/>
  <c r="AG234" i="2"/>
  <c r="AG236" i="5"/>
  <c r="AG238" i="2"/>
  <c r="AG236" i="2"/>
  <c r="AG460" i="2"/>
  <c r="AG460" i="6"/>
  <c r="AE288" i="7"/>
  <c r="AG222" i="6"/>
  <c r="AG224" i="5"/>
  <c r="AG225" i="5"/>
  <c r="AG464" i="2"/>
  <c r="AG454" i="2"/>
  <c r="AG458" i="2"/>
  <c r="AG238" i="6"/>
  <c r="AG239" i="5"/>
  <c r="AG451" i="6"/>
  <c r="AG454" i="5"/>
  <c r="AG235" i="5"/>
  <c r="AG223" i="2"/>
  <c r="AG453" i="2"/>
  <c r="AE291" i="7"/>
  <c r="AG234" i="6"/>
  <c r="AG459" i="5"/>
  <c r="AG222" i="5"/>
  <c r="AG238" i="5"/>
  <c r="AG459" i="2"/>
  <c r="AG455" i="5"/>
  <c r="AE289" i="7"/>
  <c r="AG235" i="6"/>
  <c r="AE287" i="7"/>
  <c r="AG448" i="5"/>
  <c r="AG450" i="5"/>
  <c r="AG465" i="2"/>
  <c r="AE293" i="7"/>
  <c r="AE276" i="7"/>
  <c r="AG236" i="6"/>
  <c r="AG465" i="6"/>
  <c r="AE46" i="7"/>
  <c r="AE34" i="7"/>
  <c r="AE50" i="7"/>
  <c r="AG75" i="6"/>
  <c r="AE44" i="7"/>
  <c r="AE41" i="7"/>
  <c r="AE37" i="7"/>
  <c r="AE49" i="7"/>
  <c r="AE52" i="7"/>
  <c r="AG73" i="6"/>
  <c r="AE29" i="7"/>
  <c r="AE30" i="7"/>
  <c r="AE27" i="7"/>
  <c r="AE51" i="7"/>
  <c r="AG79" i="6"/>
  <c r="AE43" i="7"/>
  <c r="AE39" i="7"/>
  <c r="AE42" i="7"/>
  <c r="AE36" i="7"/>
  <c r="AE31" i="7"/>
  <c r="AG74" i="6"/>
  <c r="AE32" i="7"/>
  <c r="AE45" i="7"/>
  <c r="AG77" i="6"/>
  <c r="AG76" i="6"/>
  <c r="AG82" i="6"/>
  <c r="AE35" i="7"/>
  <c r="AE48" i="7"/>
  <c r="AE38" i="7"/>
  <c r="AG81" i="6"/>
  <c r="AE28" i="7"/>
  <c r="AG78" i="6"/>
  <c r="AG80" i="6"/>
  <c r="AG83" i="6"/>
  <c r="AE47" i="7"/>
  <c r="AE33" i="7"/>
  <c r="AE53" i="7"/>
  <c r="AG209" i="2"/>
  <c r="AE114" i="7"/>
  <c r="AE135" i="7"/>
  <c r="AE133" i="7"/>
  <c r="AE130" i="7"/>
  <c r="AG211" i="2"/>
  <c r="AG206" i="2"/>
  <c r="AE120" i="7"/>
  <c r="AE121" i="7"/>
  <c r="AG210" i="2"/>
  <c r="AE125" i="7"/>
  <c r="AE117" i="7"/>
  <c r="AE112" i="7"/>
  <c r="AG215" i="2"/>
  <c r="AG213" i="2"/>
  <c r="AE131" i="7"/>
  <c r="AG212" i="2"/>
  <c r="AE126" i="7"/>
  <c r="AE113" i="7"/>
  <c r="AG207" i="2"/>
  <c r="AE136" i="7"/>
  <c r="AE132" i="7"/>
  <c r="AE118" i="7"/>
  <c r="AE134" i="7"/>
  <c r="AG205" i="2"/>
  <c r="AE129" i="7"/>
  <c r="AE128" i="7"/>
  <c r="AG214" i="2"/>
  <c r="AE122" i="7"/>
  <c r="AE115" i="7"/>
  <c r="AE111" i="7"/>
  <c r="AE127" i="7"/>
  <c r="AE123" i="7"/>
  <c r="AE116" i="7"/>
  <c r="AG208" i="2"/>
  <c r="AE137" i="7"/>
  <c r="AE119" i="7"/>
  <c r="AG75" i="5"/>
  <c r="AE197" i="7"/>
  <c r="AG327" i="2"/>
  <c r="AG77" i="5"/>
  <c r="AE195" i="7"/>
  <c r="AG63" i="6"/>
  <c r="AG62" i="6"/>
  <c r="AG66" i="2"/>
  <c r="AG333" i="5"/>
  <c r="AG73" i="2"/>
  <c r="AG71" i="2"/>
  <c r="AG322" i="5"/>
  <c r="AE218" i="7"/>
  <c r="AG78" i="5"/>
  <c r="AG64" i="5"/>
  <c r="AG331" i="5"/>
  <c r="AG324" i="5"/>
  <c r="AG328" i="5"/>
  <c r="AG71" i="5"/>
  <c r="AG334" i="2"/>
  <c r="AG64" i="2"/>
  <c r="AG320" i="5"/>
  <c r="AE198" i="7"/>
  <c r="AG323" i="5"/>
  <c r="AE206" i="7"/>
  <c r="AG317" i="5"/>
  <c r="AE201" i="7"/>
  <c r="AG63" i="2"/>
  <c r="AG319" i="5"/>
  <c r="AG71" i="6"/>
  <c r="AG76" i="2"/>
  <c r="AG65" i="5"/>
  <c r="AG81" i="2"/>
  <c r="AG67" i="5"/>
  <c r="AG70" i="2"/>
  <c r="AG327" i="5"/>
  <c r="AE204" i="7"/>
  <c r="AG332" i="5"/>
  <c r="AG62" i="2"/>
  <c r="AG66" i="6"/>
  <c r="AG328" i="2"/>
  <c r="AE209" i="7"/>
  <c r="AG70" i="6"/>
  <c r="AG65" i="6"/>
  <c r="AG332" i="2"/>
  <c r="AE214" i="7"/>
  <c r="AG76" i="5"/>
  <c r="AG70" i="5"/>
  <c r="AG335" i="2"/>
  <c r="AG80" i="2"/>
  <c r="AG334" i="5"/>
  <c r="AG80" i="5"/>
  <c r="AG333" i="2"/>
  <c r="AG68" i="6"/>
  <c r="AG81" i="5"/>
  <c r="AE219" i="7"/>
  <c r="AG330" i="5"/>
  <c r="AE205" i="7"/>
  <c r="AG82" i="2"/>
  <c r="AE215" i="7"/>
  <c r="AE199" i="7"/>
  <c r="AG330" i="2"/>
  <c r="AG68" i="5"/>
  <c r="AE220" i="7"/>
  <c r="AG74" i="5"/>
  <c r="AE207" i="7"/>
  <c r="AG69" i="6"/>
  <c r="AG69" i="5"/>
  <c r="AE221" i="7"/>
  <c r="AG83" i="2"/>
  <c r="AG69" i="2"/>
  <c r="AE211" i="7"/>
  <c r="AE216" i="7"/>
  <c r="AG67" i="6"/>
  <c r="AG66" i="5"/>
  <c r="AG75" i="2"/>
  <c r="AE203" i="7"/>
  <c r="AG325" i="5"/>
  <c r="AG77" i="2"/>
  <c r="AE210" i="7"/>
  <c r="AE212" i="7"/>
  <c r="AG82" i="5"/>
  <c r="AE202" i="7"/>
  <c r="AG74" i="2"/>
  <c r="AG329" i="2"/>
  <c r="AG83" i="5"/>
  <c r="AG73" i="5"/>
  <c r="AG63" i="5"/>
  <c r="AG67" i="2"/>
  <c r="AG64" i="6"/>
  <c r="AE217" i="7"/>
  <c r="AG335" i="5"/>
  <c r="AG79" i="5"/>
  <c r="AE196" i="7"/>
  <c r="AE213" i="7"/>
  <c r="AG65" i="2"/>
  <c r="AG79" i="2"/>
  <c r="AG329" i="5"/>
  <c r="AG321" i="5"/>
  <c r="AE200" i="7"/>
  <c r="AG78" i="2"/>
  <c r="AG62" i="5"/>
  <c r="AG318" i="5"/>
  <c r="AG331" i="2"/>
  <c r="AG68" i="2"/>
  <c r="AG202" i="5"/>
  <c r="AG200" i="6"/>
  <c r="AG196" i="5"/>
  <c r="AG201" i="2"/>
  <c r="AG196" i="2"/>
  <c r="AG207" i="6"/>
  <c r="AG201" i="6"/>
  <c r="AG215" i="6"/>
  <c r="AG195" i="2"/>
  <c r="AG197" i="2"/>
  <c r="AG194" i="6"/>
  <c r="AG207" i="5"/>
  <c r="AG214" i="5"/>
  <c r="AG196" i="6"/>
  <c r="AG199" i="6"/>
  <c r="AG195" i="5"/>
  <c r="AG210" i="6"/>
  <c r="AG211" i="6"/>
  <c r="AG194" i="5"/>
  <c r="AG206" i="5"/>
  <c r="AG197" i="5"/>
  <c r="AG198" i="2"/>
  <c r="AG202" i="6"/>
  <c r="AG208" i="6"/>
  <c r="AG206" i="6"/>
  <c r="AG209" i="5"/>
  <c r="AG203" i="5"/>
  <c r="AG214" i="6"/>
  <c r="AG203" i="2"/>
  <c r="AG193" i="6"/>
  <c r="AG212" i="6"/>
  <c r="AG61" i="6"/>
  <c r="AG205" i="6"/>
  <c r="AG212" i="5"/>
  <c r="AG193" i="5"/>
  <c r="AG198" i="5"/>
  <c r="AG201" i="5"/>
  <c r="AG208" i="5"/>
  <c r="AG202" i="2"/>
  <c r="AG211" i="5"/>
  <c r="AG199" i="2"/>
  <c r="AG61" i="2"/>
  <c r="AG197" i="6"/>
  <c r="AG194" i="2"/>
  <c r="AG209" i="6"/>
  <c r="AG213" i="5"/>
  <c r="AG61" i="5"/>
  <c r="AG200" i="2"/>
  <c r="AG203" i="6"/>
  <c r="AG200" i="5"/>
  <c r="AG193" i="2"/>
  <c r="AG215" i="5"/>
  <c r="AG213" i="6"/>
  <c r="AG195" i="6"/>
  <c r="AG210" i="5"/>
  <c r="AG199" i="5"/>
  <c r="AG198" i="6"/>
  <c r="AG327" i="6"/>
  <c r="AG318" i="2"/>
  <c r="AG331" i="6"/>
  <c r="AG324" i="2"/>
  <c r="AG325" i="2"/>
  <c r="AG205" i="5"/>
  <c r="AG320" i="2"/>
  <c r="AG319" i="6"/>
  <c r="AG325" i="6"/>
  <c r="AG322" i="2"/>
  <c r="AG324" i="6"/>
  <c r="AG332" i="6"/>
  <c r="AG328" i="6"/>
  <c r="AG319" i="2"/>
  <c r="AG330" i="6"/>
  <c r="AG323" i="2"/>
  <c r="AG321" i="2"/>
  <c r="AG333" i="6"/>
  <c r="AG320" i="6"/>
  <c r="AG322" i="6"/>
  <c r="AG334" i="6"/>
  <c r="AG317" i="6"/>
  <c r="AG323" i="6"/>
  <c r="AG321" i="6"/>
  <c r="AG329" i="6"/>
  <c r="AG318" i="6"/>
  <c r="AG335" i="6"/>
  <c r="AG317" i="2"/>
  <c r="AG380" i="6"/>
  <c r="AG378" i="6"/>
  <c r="AG377" i="6"/>
  <c r="AG379" i="6"/>
  <c r="AG161" i="5"/>
  <c r="AG58" i="6"/>
  <c r="AG188" i="5"/>
  <c r="AG313" i="2"/>
  <c r="AG292" i="2"/>
  <c r="AG191" i="5"/>
  <c r="AG190" i="5"/>
  <c r="AG301" i="6"/>
  <c r="AG178" i="6"/>
  <c r="AG188" i="2"/>
  <c r="AG189" i="5"/>
  <c r="AG165" i="5"/>
  <c r="AG189" i="2"/>
  <c r="AG365" i="2"/>
  <c r="AG315" i="2"/>
  <c r="AG362" i="6"/>
  <c r="AG345" i="6"/>
  <c r="AG361" i="2"/>
  <c r="AG304" i="6"/>
  <c r="AG282" i="6"/>
  <c r="AG154" i="6"/>
  <c r="AG53" i="5"/>
  <c r="AG185" i="5"/>
  <c r="AG361" i="6"/>
  <c r="AG163" i="5"/>
  <c r="AG166" i="5"/>
  <c r="AG58" i="5"/>
  <c r="AG191" i="2"/>
  <c r="AG311" i="6"/>
  <c r="AG176" i="6"/>
  <c r="AG341" i="2"/>
  <c r="AG54" i="6"/>
  <c r="AG303" i="6"/>
  <c r="AG295" i="2"/>
  <c r="AG185" i="2"/>
  <c r="AG293" i="2"/>
  <c r="AG186" i="2"/>
  <c r="AG56" i="6"/>
  <c r="AG344" i="6"/>
  <c r="AG344" i="2"/>
  <c r="AG284" i="6"/>
  <c r="AG365" i="6"/>
  <c r="AG151" i="6"/>
  <c r="AG186" i="5"/>
  <c r="AG153" i="6"/>
  <c r="AG59" i="5"/>
  <c r="AG174" i="6"/>
  <c r="AG177" i="6"/>
  <c r="AG55" i="6"/>
  <c r="AG362" i="2"/>
  <c r="AG152" i="6"/>
  <c r="AG179" i="6"/>
  <c r="AG305" i="6"/>
  <c r="AG364" i="6"/>
  <c r="AG313" i="6"/>
  <c r="AG164" i="5"/>
  <c r="AG342" i="6"/>
  <c r="AG150" i="6"/>
  <c r="AG173" i="6"/>
  <c r="AG55" i="5"/>
  <c r="AG187" i="5"/>
  <c r="AG167" i="5"/>
  <c r="AG283" i="6"/>
  <c r="AG294" i="2"/>
  <c r="AG175" i="6"/>
  <c r="AG57" i="5"/>
  <c r="AG291" i="2"/>
  <c r="AG187" i="2"/>
  <c r="AG56" i="5"/>
  <c r="AG341" i="6"/>
  <c r="AG343" i="2"/>
  <c r="AG57" i="6"/>
  <c r="AG281" i="6"/>
  <c r="AG155" i="6"/>
  <c r="AG149" i="6"/>
  <c r="AG314" i="2"/>
  <c r="AG54" i="5"/>
  <c r="AG285" i="6"/>
  <c r="AG59" i="6"/>
  <c r="AG364" i="2"/>
  <c r="AG312" i="6"/>
  <c r="AG162" i="5"/>
  <c r="AG345" i="2"/>
  <c r="AG302" i="6"/>
  <c r="AG53" i="6"/>
  <c r="AG363" i="2"/>
  <c r="AG315" i="6"/>
  <c r="AG312" i="2"/>
  <c r="AG190" i="2"/>
  <c r="AG363" i="6"/>
  <c r="AG314" i="6"/>
  <c r="AG343" i="6"/>
  <c r="AG342" i="2"/>
  <c r="AG311" i="2"/>
  <c r="AD317" i="2"/>
  <c r="AB72" i="7"/>
  <c r="AD302" i="2"/>
  <c r="AD34" i="6"/>
  <c r="AD380" i="2"/>
  <c r="AD25" i="6"/>
  <c r="AD29" i="6"/>
  <c r="AB81" i="7"/>
  <c r="AB76" i="7"/>
  <c r="AD301" i="2"/>
  <c r="AD303" i="2"/>
  <c r="AD383" i="2"/>
  <c r="AD300" i="2"/>
  <c r="AB75" i="7"/>
  <c r="AD178" i="2"/>
  <c r="AD35" i="6"/>
  <c r="AD385" i="2"/>
  <c r="AD413" i="2"/>
  <c r="AD402" i="6"/>
  <c r="AD355" i="2"/>
  <c r="AD442" i="6"/>
  <c r="AD430" i="5"/>
  <c r="AD351" i="2"/>
  <c r="AD374" i="2"/>
  <c r="AD432" i="2"/>
  <c r="AD408" i="5"/>
  <c r="AD375" i="2"/>
  <c r="AD403" i="6"/>
  <c r="AD441" i="6"/>
  <c r="AD428" i="5"/>
  <c r="AD443" i="2"/>
  <c r="AD407" i="5"/>
  <c r="AD428" i="6"/>
  <c r="AD441" i="2"/>
  <c r="AD427" i="6"/>
  <c r="AD409" i="5"/>
  <c r="AD411" i="5"/>
  <c r="AD429" i="6"/>
  <c r="AD397" i="6"/>
  <c r="AD434" i="5"/>
  <c r="AD444" i="5"/>
  <c r="AD431" i="5"/>
  <c r="AD119" i="2"/>
  <c r="AD118" i="5"/>
  <c r="AD258" i="6"/>
  <c r="AD288" i="6"/>
  <c r="AD44" i="2"/>
  <c r="AD42" i="5"/>
  <c r="AD382" i="6"/>
  <c r="AD384" i="6"/>
  <c r="AD260" i="5"/>
  <c r="AD131" i="2"/>
  <c r="AD251" i="6"/>
  <c r="AD41" i="5"/>
  <c r="AD257" i="2"/>
  <c r="AD178" i="5"/>
  <c r="AD293" i="6"/>
  <c r="AD163" i="6"/>
  <c r="AD115" i="2"/>
  <c r="AD250" i="6"/>
  <c r="AD249" i="2"/>
  <c r="AD113" i="6"/>
  <c r="AD191" i="6"/>
  <c r="AD47" i="5"/>
  <c r="AD57" i="2"/>
  <c r="AD187" i="6"/>
  <c r="AD129" i="2"/>
  <c r="AD128" i="2"/>
  <c r="AD259" i="6"/>
  <c r="AD58" i="2"/>
  <c r="AD175" i="5"/>
  <c r="AD32" i="2"/>
  <c r="AD246" i="6"/>
  <c r="AD29" i="2"/>
  <c r="AD289" i="6"/>
  <c r="AD34" i="2"/>
  <c r="AD290" i="6"/>
  <c r="AD179" i="5"/>
  <c r="AD257" i="5"/>
  <c r="AD89" i="5"/>
  <c r="AD95" i="6"/>
  <c r="AD101" i="2"/>
  <c r="AD92" i="5"/>
  <c r="AD95" i="2"/>
  <c r="AD224" i="6"/>
  <c r="AD103" i="2"/>
  <c r="AD93" i="2"/>
  <c r="AD233" i="2"/>
  <c r="AD236" i="5"/>
  <c r="AD235" i="2"/>
  <c r="AD227" i="2"/>
  <c r="AD221" i="2"/>
  <c r="AD236" i="2"/>
  <c r="AD222" i="5"/>
  <c r="AD235" i="6"/>
  <c r="AD237" i="2"/>
  <c r="AD237" i="6"/>
  <c r="AD459" i="6"/>
  <c r="AD463" i="5"/>
  <c r="AD457" i="5"/>
  <c r="AD458" i="6"/>
  <c r="AD462" i="5"/>
  <c r="AB46" i="7"/>
  <c r="AB292" i="7"/>
  <c r="AD457" i="6"/>
  <c r="AD458" i="2"/>
  <c r="AB48" i="7"/>
  <c r="AB52" i="7"/>
  <c r="AD81" i="6"/>
  <c r="AD214" i="2"/>
  <c r="AD82" i="6"/>
  <c r="AD75" i="6"/>
  <c r="AD210" i="2"/>
  <c r="AD64" i="2"/>
  <c r="AD70" i="6"/>
  <c r="AD335" i="5"/>
  <c r="AD76" i="5"/>
  <c r="AD67" i="6"/>
  <c r="AD75" i="5"/>
  <c r="AD81" i="2"/>
  <c r="AD321" i="5"/>
  <c r="AD67" i="2"/>
  <c r="AD71" i="2"/>
  <c r="AD69" i="2"/>
  <c r="AD332" i="5"/>
  <c r="AD334" i="2"/>
  <c r="AD76" i="2"/>
  <c r="AD75" i="2"/>
  <c r="AD68" i="2"/>
  <c r="AD70" i="2"/>
  <c r="AD211" i="5"/>
  <c r="AD195" i="5"/>
  <c r="AD318" i="5"/>
  <c r="AD199" i="5"/>
  <c r="AD193" i="2"/>
  <c r="AD199" i="2"/>
  <c r="AD198" i="2"/>
  <c r="AD319" i="5"/>
  <c r="AD197" i="6"/>
  <c r="AD194" i="5"/>
  <c r="AD213" i="6"/>
  <c r="AD333" i="5"/>
  <c r="AB221" i="7"/>
  <c r="AD198" i="6"/>
  <c r="AD199" i="6"/>
  <c r="AD202" i="2"/>
  <c r="AD207" i="5"/>
  <c r="AD214" i="5"/>
  <c r="AD210" i="6"/>
  <c r="AD206" i="6"/>
  <c r="AB215" i="7"/>
  <c r="AD335" i="6"/>
  <c r="AD333" i="6"/>
  <c r="AD324" i="2"/>
  <c r="AD320" i="6"/>
  <c r="AD317" i="6"/>
  <c r="AD319" i="2"/>
  <c r="AD321" i="2"/>
  <c r="AD107" i="6"/>
  <c r="AD357" i="5"/>
  <c r="AD358" i="5"/>
  <c r="AD131" i="6"/>
  <c r="AD28" i="6"/>
  <c r="AD382" i="2"/>
  <c r="AD297" i="2"/>
  <c r="AD299" i="2"/>
  <c r="AD33" i="6"/>
  <c r="AD170" i="2"/>
  <c r="AD305" i="5"/>
  <c r="AB77" i="7"/>
  <c r="AB74" i="7"/>
  <c r="AD27" i="6"/>
  <c r="AD26" i="6"/>
  <c r="AD381" i="2"/>
  <c r="AB73" i="7"/>
  <c r="AD297" i="5"/>
  <c r="AD410" i="2"/>
  <c r="AD353" i="2"/>
  <c r="AD444" i="6"/>
  <c r="AD431" i="6"/>
  <c r="AD371" i="2"/>
  <c r="AD408" i="6"/>
  <c r="AD445" i="2"/>
  <c r="AD371" i="6"/>
  <c r="AD429" i="5"/>
  <c r="AD437" i="6"/>
  <c r="AD439" i="6"/>
  <c r="AD352" i="6"/>
  <c r="AD435" i="6"/>
  <c r="AD432" i="6"/>
  <c r="AD373" i="2"/>
  <c r="AD438" i="6"/>
  <c r="AD407" i="2"/>
  <c r="AD438" i="5"/>
  <c r="AD438" i="2"/>
  <c r="AD435" i="2"/>
  <c r="AD430" i="6"/>
  <c r="AD433" i="6"/>
  <c r="AD445" i="6"/>
  <c r="AD428" i="2"/>
  <c r="AD439" i="5"/>
  <c r="AD400" i="6"/>
  <c r="AD263" i="5"/>
  <c r="AD116" i="5"/>
  <c r="AD55" i="2"/>
  <c r="AD56" i="2"/>
  <c r="AD262" i="5"/>
  <c r="AD176" i="5"/>
  <c r="AD38" i="5"/>
  <c r="AD259" i="5"/>
  <c r="AD251" i="5"/>
  <c r="AD246" i="5"/>
  <c r="AD114" i="2"/>
  <c r="AD263" i="6"/>
  <c r="AD165" i="6"/>
  <c r="AD46" i="5"/>
  <c r="AD116" i="2"/>
  <c r="AD45" i="2"/>
  <c r="AD44" i="5"/>
  <c r="AD381" i="6"/>
  <c r="AD251" i="2"/>
  <c r="AD174" i="5"/>
  <c r="AD164" i="6"/>
  <c r="AD247" i="2"/>
  <c r="AD114" i="5"/>
  <c r="AD260" i="2"/>
  <c r="AD117" i="5"/>
  <c r="AD115" i="5"/>
  <c r="AD166" i="6"/>
  <c r="AD116" i="6"/>
  <c r="AD33" i="2"/>
  <c r="AD245" i="6"/>
  <c r="AD113" i="2"/>
  <c r="AD257" i="6"/>
  <c r="AD115" i="6"/>
  <c r="AD126" i="2"/>
  <c r="AD54" i="2"/>
  <c r="AD245" i="2"/>
  <c r="AD46" i="2"/>
  <c r="AD92" i="6"/>
  <c r="AD105" i="2"/>
  <c r="AD93" i="6"/>
  <c r="AD94" i="2"/>
  <c r="AD89" i="2"/>
  <c r="AD94" i="5"/>
  <c r="AD95" i="5"/>
  <c r="AD223" i="2"/>
  <c r="AD222" i="2"/>
  <c r="AD226" i="6"/>
  <c r="AD238" i="6"/>
  <c r="AD223" i="6"/>
  <c r="AD222" i="6"/>
  <c r="AD239" i="2"/>
  <c r="AD225" i="5"/>
  <c r="AD238" i="2"/>
  <c r="AD235" i="5"/>
  <c r="AD227" i="5"/>
  <c r="AB285" i="7"/>
  <c r="AD463" i="2"/>
  <c r="AD463" i="6"/>
  <c r="AD459" i="5"/>
  <c r="AD464" i="5"/>
  <c r="AB290" i="7"/>
  <c r="AB287" i="7"/>
  <c r="AD465" i="5"/>
  <c r="AB286" i="7"/>
  <c r="AD461" i="5"/>
  <c r="AD465" i="6"/>
  <c r="AD78" i="6"/>
  <c r="AD211" i="2"/>
  <c r="AD80" i="6"/>
  <c r="AD213" i="2"/>
  <c r="AD78" i="2"/>
  <c r="AD80" i="2"/>
  <c r="AD66" i="5"/>
  <c r="AD330" i="2"/>
  <c r="AD333" i="2"/>
  <c r="AD73" i="2"/>
  <c r="AD64" i="6"/>
  <c r="AD215" i="2"/>
  <c r="AD78" i="5"/>
  <c r="AD81" i="5"/>
  <c r="AD68" i="5"/>
  <c r="AD209" i="2"/>
  <c r="AD335" i="2"/>
  <c r="AD69" i="6"/>
  <c r="AD62" i="6"/>
  <c r="AD77" i="5"/>
  <c r="AD322" i="5"/>
  <c r="AD66" i="2"/>
  <c r="AD202" i="5"/>
  <c r="AD196" i="2"/>
  <c r="AD194" i="6"/>
  <c r="AB216" i="7"/>
  <c r="AD61" i="6"/>
  <c r="AD205" i="6"/>
  <c r="AD214" i="6"/>
  <c r="AB213" i="7"/>
  <c r="AD61" i="2"/>
  <c r="AD196" i="6"/>
  <c r="AD207" i="6"/>
  <c r="AD198" i="5"/>
  <c r="AD327" i="5"/>
  <c r="AD212" i="5"/>
  <c r="AB211" i="7"/>
  <c r="AD203" i="2"/>
  <c r="AD330" i="5"/>
  <c r="AD329" i="2"/>
  <c r="AB217" i="7"/>
  <c r="AD208" i="5"/>
  <c r="AD200" i="6"/>
  <c r="AD319" i="6"/>
  <c r="AD330" i="6"/>
  <c r="AD318" i="2"/>
  <c r="AD324" i="6"/>
  <c r="AD323" i="6"/>
  <c r="AD328" i="6"/>
  <c r="AD127" i="6"/>
  <c r="AD365" i="5"/>
  <c r="AD362" i="5"/>
  <c r="AD171" i="2"/>
  <c r="AD378" i="2"/>
  <c r="AB80" i="7"/>
  <c r="AD384" i="2"/>
  <c r="AD379" i="2"/>
  <c r="AD30" i="6"/>
  <c r="AD298" i="5"/>
  <c r="AD32" i="6"/>
  <c r="AB79" i="7"/>
  <c r="AB78" i="7"/>
  <c r="AD300" i="5"/>
  <c r="AD179" i="2"/>
  <c r="AD177" i="2"/>
  <c r="AD298" i="2"/>
  <c r="AD443" i="5"/>
  <c r="AD430" i="2"/>
  <c r="AD353" i="6"/>
  <c r="AD443" i="6"/>
  <c r="AD429" i="2"/>
  <c r="AD355" i="6"/>
  <c r="AD431" i="2"/>
  <c r="AD412" i="2"/>
  <c r="AD372" i="2"/>
  <c r="AD427" i="2"/>
  <c r="AD440" i="2"/>
  <c r="AD354" i="6"/>
  <c r="AD415" i="2"/>
  <c r="AD410" i="5"/>
  <c r="AD435" i="5"/>
  <c r="AD414" i="2"/>
  <c r="AD411" i="2"/>
  <c r="AD427" i="5"/>
  <c r="AD399" i="6"/>
  <c r="AD434" i="2"/>
  <c r="AD440" i="5"/>
  <c r="AD351" i="6"/>
  <c r="AD404" i="6"/>
  <c r="AD401" i="6"/>
  <c r="AD442" i="2"/>
  <c r="AD434" i="6"/>
  <c r="AD295" i="6"/>
  <c r="AD37" i="2"/>
  <c r="AD170" i="5"/>
  <c r="AD38" i="2"/>
  <c r="AD262" i="2"/>
  <c r="AD118" i="6"/>
  <c r="AD292" i="6"/>
  <c r="AD160" i="6"/>
  <c r="AD248" i="6"/>
  <c r="AD263" i="2"/>
  <c r="AD41" i="2"/>
  <c r="AD287" i="6"/>
  <c r="AD291" i="6"/>
  <c r="AD125" i="2"/>
  <c r="AD258" i="5"/>
  <c r="AD172" i="5"/>
  <c r="AD118" i="2"/>
  <c r="AD246" i="2"/>
  <c r="AD250" i="5"/>
  <c r="AD247" i="5"/>
  <c r="AD261" i="5"/>
  <c r="AD383" i="6"/>
  <c r="AD114" i="6"/>
  <c r="AD248" i="5"/>
  <c r="AD161" i="6"/>
  <c r="AD173" i="5"/>
  <c r="AD248" i="2"/>
  <c r="AD47" i="2"/>
  <c r="AD177" i="5"/>
  <c r="AD59" i="2"/>
  <c r="AD249" i="6"/>
  <c r="AD39" i="2"/>
  <c r="AD186" i="6"/>
  <c r="AD53" i="2"/>
  <c r="AD258" i="2"/>
  <c r="AD162" i="6"/>
  <c r="AD249" i="5"/>
  <c r="AD90" i="5"/>
  <c r="AD106" i="2"/>
  <c r="AD104" i="2"/>
  <c r="AD90" i="2"/>
  <c r="AD102" i="2"/>
  <c r="AD91" i="2"/>
  <c r="AD93" i="5"/>
  <c r="AD225" i="2"/>
  <c r="AD221" i="6"/>
  <c r="AD224" i="5"/>
  <c r="AD234" i="5"/>
  <c r="AD233" i="5"/>
  <c r="AD224" i="2"/>
  <c r="AD227" i="6"/>
  <c r="AD233" i="6"/>
  <c r="AD234" i="2"/>
  <c r="AD239" i="6"/>
  <c r="AB289" i="7"/>
  <c r="AD461" i="6"/>
  <c r="AB51" i="7"/>
  <c r="AD461" i="2"/>
  <c r="AD460" i="6"/>
  <c r="AD462" i="6"/>
  <c r="AD458" i="5"/>
  <c r="AD459" i="2"/>
  <c r="AB291" i="7"/>
  <c r="AD465" i="2"/>
  <c r="AB45" i="7"/>
  <c r="AB53" i="7"/>
  <c r="AD206" i="2"/>
  <c r="AD76" i="6"/>
  <c r="AD83" i="6"/>
  <c r="AD79" i="6"/>
  <c r="AD67" i="5"/>
  <c r="AD79" i="2"/>
  <c r="AD74" i="2"/>
  <c r="AD73" i="6"/>
  <c r="AD82" i="5"/>
  <c r="AD83" i="2"/>
  <c r="AD65" i="5"/>
  <c r="AD71" i="5"/>
  <c r="AD80" i="5"/>
  <c r="AD65" i="2"/>
  <c r="AD63" i="5"/>
  <c r="AD77" i="2"/>
  <c r="AD73" i="5"/>
  <c r="AD71" i="6"/>
  <c r="AD63" i="6"/>
  <c r="AD70" i="5"/>
  <c r="AD325" i="5"/>
  <c r="AD328" i="2"/>
  <c r="AD317" i="5"/>
  <c r="AD332" i="2"/>
  <c r="AD206" i="5"/>
  <c r="AD197" i="5"/>
  <c r="AD213" i="5"/>
  <c r="AD205" i="2"/>
  <c r="AD210" i="5"/>
  <c r="AD200" i="2"/>
  <c r="AD208" i="6"/>
  <c r="AB220" i="7"/>
  <c r="AD203" i="6"/>
  <c r="AD201" i="6"/>
  <c r="AD202" i="6"/>
  <c r="AD195" i="2"/>
  <c r="AB214" i="7"/>
  <c r="AD197" i="2"/>
  <c r="AB218" i="7"/>
  <c r="AD324" i="5"/>
  <c r="AD61" i="5"/>
  <c r="AD201" i="2"/>
  <c r="AD322" i="2"/>
  <c r="AD318" i="6"/>
  <c r="AD322" i="6"/>
  <c r="AD325" i="6"/>
  <c r="AD327" i="6"/>
  <c r="AD334" i="6"/>
  <c r="AD332" i="6"/>
  <c r="AD359" i="5"/>
  <c r="AD364" i="5"/>
  <c r="AD360" i="5"/>
  <c r="AD169" i="2"/>
  <c r="AD303" i="5"/>
  <c r="AD175" i="2"/>
  <c r="AD176" i="2"/>
  <c r="AD305" i="2"/>
  <c r="AD172" i="2"/>
  <c r="AD377" i="2"/>
  <c r="AD302" i="5"/>
  <c r="AD301" i="5"/>
  <c r="AD31" i="6"/>
  <c r="AD173" i="2"/>
  <c r="AD299" i="5"/>
  <c r="AD174" i="2"/>
  <c r="AD304" i="5"/>
  <c r="AD304" i="2"/>
  <c r="AD437" i="2"/>
  <c r="AD441" i="5"/>
  <c r="AD374" i="6"/>
  <c r="AD439" i="2"/>
  <c r="AD415" i="5"/>
  <c r="AD375" i="6"/>
  <c r="AD412" i="5"/>
  <c r="AD372" i="6"/>
  <c r="AD373" i="6"/>
  <c r="AD354" i="2"/>
  <c r="AD433" i="5"/>
  <c r="AD409" i="2"/>
  <c r="AD352" i="2"/>
  <c r="AD440" i="6"/>
  <c r="AD433" i="2"/>
  <c r="AD442" i="5"/>
  <c r="AD398" i="6"/>
  <c r="AD413" i="5"/>
  <c r="AD437" i="5"/>
  <c r="AD405" i="6"/>
  <c r="AD408" i="2"/>
  <c r="AD444" i="2"/>
  <c r="AD414" i="5"/>
  <c r="AD432" i="5"/>
  <c r="AD445" i="5"/>
  <c r="AD159" i="6"/>
  <c r="AD260" i="6"/>
  <c r="AD261" i="2"/>
  <c r="AD189" i="6"/>
  <c r="AD117" i="6"/>
  <c r="AD130" i="2"/>
  <c r="AD250" i="2"/>
  <c r="AD169" i="5"/>
  <c r="AD117" i="2"/>
  <c r="AD247" i="6"/>
  <c r="AD158" i="6"/>
  <c r="AD245" i="5"/>
  <c r="AD119" i="6"/>
  <c r="AD259" i="2"/>
  <c r="AD43" i="5"/>
  <c r="AD127" i="2"/>
  <c r="AD261" i="6"/>
  <c r="AD188" i="6"/>
  <c r="AD113" i="5"/>
  <c r="AD31" i="2"/>
  <c r="AD294" i="6"/>
  <c r="AD40" i="5"/>
  <c r="AD35" i="2"/>
  <c r="AD385" i="6"/>
  <c r="AD43" i="2"/>
  <c r="AD262" i="6"/>
  <c r="AD190" i="6"/>
  <c r="AD185" i="6"/>
  <c r="AD119" i="5"/>
  <c r="AD39" i="5"/>
  <c r="AD45" i="5"/>
  <c r="AD167" i="6"/>
  <c r="AD30" i="2"/>
  <c r="AD157" i="6"/>
  <c r="AD171" i="5"/>
  <c r="AD42" i="2"/>
  <c r="AD40" i="2"/>
  <c r="AD37" i="5"/>
  <c r="AD89" i="6"/>
  <c r="AD90" i="6"/>
  <c r="AD92" i="2"/>
  <c r="AD91" i="6"/>
  <c r="AD91" i="5"/>
  <c r="AD107" i="2"/>
  <c r="AD94" i="6"/>
  <c r="AD234" i="6"/>
  <c r="AD239" i="5"/>
  <c r="AD238" i="5"/>
  <c r="AD226" i="2"/>
  <c r="AD225" i="6"/>
  <c r="AD237" i="5"/>
  <c r="AD223" i="5"/>
  <c r="AD236" i="6"/>
  <c r="AD221" i="5"/>
  <c r="AD226" i="5"/>
  <c r="AD462" i="2"/>
  <c r="AB49" i="7"/>
  <c r="AD464" i="2"/>
  <c r="AB288" i="7"/>
  <c r="AD457" i="2"/>
  <c r="AD460" i="2"/>
  <c r="AB293" i="7"/>
  <c r="AB44" i="7"/>
  <c r="AB47" i="7"/>
  <c r="AD464" i="6"/>
  <c r="AD460" i="5"/>
  <c r="AB50" i="7"/>
  <c r="AD207" i="2"/>
  <c r="AD74" i="6"/>
  <c r="AD208" i="2"/>
  <c r="AD77" i="6"/>
  <c r="AD74" i="5"/>
  <c r="AD62" i="5"/>
  <c r="AD212" i="2"/>
  <c r="AD331" i="5"/>
  <c r="AD62" i="2"/>
  <c r="AD69" i="5"/>
  <c r="AD63" i="2"/>
  <c r="AD66" i="6"/>
  <c r="AD82" i="2"/>
  <c r="AD68" i="6"/>
  <c r="AD79" i="5"/>
  <c r="AD327" i="2"/>
  <c r="AD331" i="2"/>
  <c r="AD64" i="5"/>
  <c r="AD65" i="6"/>
  <c r="AD83" i="5"/>
  <c r="AD329" i="5"/>
  <c r="AB219" i="7"/>
  <c r="AD195" i="6"/>
  <c r="AD328" i="5"/>
  <c r="AD196" i="5"/>
  <c r="AD215" i="6"/>
  <c r="AD212" i="6"/>
  <c r="AD320" i="5"/>
  <c r="AB210" i="7"/>
  <c r="AD193" i="5"/>
  <c r="AB212" i="7"/>
  <c r="AD209" i="6"/>
  <c r="AD323" i="5"/>
  <c r="AD200" i="5"/>
  <c r="AD209" i="5"/>
  <c r="AD215" i="5"/>
  <c r="AD194" i="2"/>
  <c r="AD203" i="5"/>
  <c r="AD193" i="6"/>
  <c r="AD334" i="5"/>
  <c r="AD211" i="6"/>
  <c r="AD201" i="5"/>
  <c r="AD323" i="2"/>
  <c r="AD320" i="2"/>
  <c r="AD329" i="6"/>
  <c r="AD325" i="2"/>
  <c r="AD205" i="5"/>
  <c r="AD321" i="6"/>
  <c r="AD331" i="6"/>
  <c r="AD123" i="6"/>
  <c r="AD361" i="5"/>
  <c r="AD129" i="6"/>
  <c r="AD488" i="2"/>
  <c r="AB323" i="7"/>
  <c r="AD385" i="5"/>
  <c r="AD495" i="6"/>
  <c r="AB254" i="7"/>
  <c r="AB316" i="7"/>
  <c r="AD488" i="6"/>
  <c r="AD487" i="6"/>
  <c r="AD488" i="5"/>
  <c r="AD493" i="6"/>
  <c r="AB253" i="7"/>
  <c r="AB71" i="7"/>
  <c r="AB251" i="7"/>
  <c r="AB252" i="7"/>
  <c r="AD490" i="5"/>
  <c r="AD487" i="2"/>
  <c r="AD382" i="5"/>
  <c r="AD492" i="6"/>
  <c r="AD491" i="2"/>
  <c r="AD489" i="6"/>
  <c r="AB320" i="7"/>
  <c r="AB258" i="7"/>
  <c r="AB256" i="7"/>
  <c r="AB260" i="7"/>
  <c r="AD381" i="5"/>
  <c r="AD363" i="5"/>
  <c r="AB261" i="7"/>
  <c r="AD487" i="5"/>
  <c r="AB318" i="7"/>
  <c r="AD494" i="2"/>
  <c r="AD490" i="6"/>
  <c r="AD489" i="2"/>
  <c r="AB263" i="7"/>
  <c r="AD489" i="5"/>
  <c r="AB257" i="7"/>
  <c r="AD494" i="6"/>
  <c r="AD492" i="2"/>
  <c r="AB322" i="7"/>
  <c r="AD377" i="5"/>
  <c r="AD380" i="5"/>
  <c r="AB319" i="7"/>
  <c r="AD491" i="6"/>
  <c r="AD378" i="5"/>
  <c r="AD495" i="5"/>
  <c r="AD384" i="5"/>
  <c r="AB315" i="7"/>
  <c r="AB255" i="7"/>
  <c r="AD490" i="2"/>
  <c r="AD383" i="5"/>
  <c r="AD495" i="2"/>
  <c r="AD494" i="5"/>
  <c r="AB262" i="7"/>
  <c r="AB321" i="7"/>
  <c r="AD379" i="5"/>
  <c r="AD491" i="5"/>
  <c r="AD493" i="2"/>
  <c r="AB317" i="7"/>
  <c r="AD492" i="5"/>
  <c r="AD493" i="5"/>
  <c r="AB259" i="7"/>
  <c r="AB14" i="7"/>
  <c r="AD390" i="2"/>
  <c r="AD418" i="5"/>
  <c r="AD13" i="6"/>
  <c r="AD14" i="5"/>
  <c r="AD122" i="6"/>
  <c r="AD502" i="2"/>
  <c r="AD414" i="6"/>
  <c r="AD397" i="2"/>
  <c r="AD130" i="6"/>
  <c r="AD149" i="5"/>
  <c r="AD134" i="6"/>
  <c r="AB70" i="7"/>
  <c r="AD151" i="2"/>
  <c r="AB183" i="7"/>
  <c r="AB177" i="7"/>
  <c r="AD455" i="5"/>
  <c r="AB231" i="7"/>
  <c r="AD388" i="2"/>
  <c r="AB143" i="7"/>
  <c r="AD142" i="6"/>
  <c r="AD497" i="2"/>
  <c r="AD470" i="6"/>
  <c r="AB94" i="7"/>
  <c r="AD265" i="2"/>
  <c r="AB299" i="7"/>
  <c r="AD392" i="6"/>
  <c r="AD142" i="5"/>
  <c r="AB109" i="7"/>
  <c r="AD273" i="2"/>
  <c r="AB269" i="7"/>
  <c r="AB35" i="7"/>
  <c r="AD32" i="5"/>
  <c r="AD30" i="5"/>
  <c r="AD275" i="2"/>
  <c r="AD337" i="5"/>
  <c r="AB32" i="7"/>
  <c r="AD280" i="5"/>
  <c r="AD424" i="6"/>
  <c r="AD280" i="2"/>
  <c r="AD423" i="5"/>
  <c r="AB206" i="7"/>
  <c r="AD282" i="2"/>
  <c r="AD400" i="2"/>
  <c r="AD452" i="2"/>
  <c r="AB276" i="7"/>
  <c r="AB306" i="7"/>
  <c r="AD22" i="2"/>
  <c r="AB239" i="7"/>
  <c r="AB161" i="7"/>
  <c r="AD289" i="5"/>
  <c r="AD480" i="6"/>
  <c r="AD478" i="2"/>
  <c r="AB125" i="7"/>
  <c r="AD482" i="2"/>
  <c r="AB132" i="7"/>
  <c r="AD148" i="5"/>
  <c r="AD149" i="2"/>
  <c r="AB22" i="7"/>
  <c r="AB228" i="7"/>
  <c r="AD411" i="6"/>
  <c r="AD391" i="6"/>
  <c r="AD137" i="6"/>
  <c r="AB301" i="7"/>
  <c r="AD497" i="5"/>
  <c r="AB83" i="7"/>
  <c r="AD475" i="2"/>
  <c r="AB63" i="7"/>
  <c r="AD16" i="2"/>
  <c r="AD469" i="6"/>
  <c r="AD146" i="5"/>
  <c r="AD25" i="5"/>
  <c r="AD500" i="2"/>
  <c r="AD413" i="6"/>
  <c r="AD287" i="5"/>
  <c r="AD42" i="6"/>
  <c r="AB150" i="7"/>
  <c r="AD449" i="6"/>
  <c r="AD453" i="6"/>
  <c r="AD107" i="5"/>
  <c r="AB244" i="7"/>
  <c r="AB38" i="7"/>
  <c r="AD481" i="5"/>
  <c r="AD293" i="5"/>
  <c r="AB160" i="7"/>
  <c r="AB245" i="7"/>
  <c r="AD275" i="6"/>
  <c r="AB209" i="7"/>
  <c r="AB137" i="7"/>
  <c r="AB172" i="7"/>
  <c r="AD422" i="5"/>
  <c r="AD410" i="6"/>
  <c r="AB329" i="7"/>
  <c r="AB234" i="7"/>
  <c r="AB100" i="7"/>
  <c r="AD425" i="2"/>
  <c r="AD472" i="2"/>
  <c r="AD475" i="5"/>
  <c r="AD152" i="5"/>
  <c r="AD279" i="5"/>
  <c r="AD502" i="6"/>
  <c r="AB190" i="7"/>
  <c r="AB147" i="7"/>
  <c r="AD15" i="2"/>
  <c r="AB39" i="7"/>
  <c r="AB108" i="7"/>
  <c r="AD308" i="5"/>
  <c r="AB37" i="7"/>
  <c r="AD391" i="2"/>
  <c r="AD450" i="6"/>
  <c r="AD395" i="6"/>
  <c r="AB226" i="7"/>
  <c r="AD452" i="6"/>
  <c r="AD18" i="2"/>
  <c r="AD99" i="6"/>
  <c r="AD498" i="5"/>
  <c r="AD368" i="5"/>
  <c r="AD161" i="2"/>
  <c r="AB159" i="7"/>
  <c r="AB307" i="7"/>
  <c r="AD150" i="5"/>
  <c r="AD143" i="6"/>
  <c r="AD271" i="6"/>
  <c r="AD274" i="6"/>
  <c r="AD399" i="5"/>
  <c r="AD135" i="5"/>
  <c r="AB120" i="7"/>
  <c r="AB141" i="7"/>
  <c r="AB189" i="7"/>
  <c r="AB330" i="7"/>
  <c r="AB278" i="7"/>
  <c r="AD420" i="5"/>
  <c r="AD501" i="6"/>
  <c r="AB97" i="7"/>
  <c r="AD419" i="6"/>
  <c r="AD392" i="2"/>
  <c r="AD155" i="5"/>
  <c r="AD160" i="2"/>
  <c r="AB230" i="7"/>
  <c r="AD500" i="5"/>
  <c r="AD393" i="6"/>
  <c r="AD33" i="5"/>
  <c r="AD19" i="6"/>
  <c r="AB95" i="7"/>
  <c r="AB119" i="7"/>
  <c r="AD23" i="6"/>
  <c r="AB197" i="7"/>
  <c r="AD143" i="2"/>
  <c r="AB266" i="7"/>
  <c r="AD21" i="6"/>
  <c r="AD131" i="5"/>
  <c r="AB237" i="7"/>
  <c r="AD343" i="5"/>
  <c r="AD29" i="5"/>
  <c r="AD136" i="6"/>
  <c r="AD294" i="5"/>
  <c r="AD351" i="5"/>
  <c r="AB154" i="7"/>
  <c r="AD479" i="6"/>
  <c r="AD483" i="6"/>
  <c r="AB129" i="7"/>
  <c r="AD485" i="2"/>
  <c r="AB127" i="7"/>
  <c r="AD124" i="6"/>
  <c r="AD272" i="2"/>
  <c r="AB85" i="7"/>
  <c r="AD13" i="5"/>
  <c r="AD102" i="6"/>
  <c r="AD121" i="6"/>
  <c r="AD423" i="2"/>
  <c r="AD389" i="5"/>
  <c r="AD425" i="5"/>
  <c r="AD128" i="6"/>
  <c r="AB23" i="7"/>
  <c r="AD421" i="6"/>
  <c r="AB111" i="7"/>
  <c r="AD387" i="6"/>
  <c r="AD424" i="5"/>
  <c r="AD388" i="6"/>
  <c r="AD38" i="6"/>
  <c r="AD449" i="5"/>
  <c r="AD501" i="2"/>
  <c r="AD274" i="5"/>
  <c r="AB170" i="7"/>
  <c r="AD152" i="2"/>
  <c r="AD285" i="5"/>
  <c r="AD268" i="5"/>
  <c r="AD448" i="5"/>
  <c r="AD21" i="5"/>
  <c r="AB92" i="7"/>
  <c r="AD153" i="2"/>
  <c r="AD421" i="2"/>
  <c r="AB25" i="7"/>
  <c r="AD467" i="6"/>
  <c r="AD283" i="2"/>
  <c r="AB58" i="7"/>
  <c r="AD474" i="5"/>
  <c r="AD164" i="2"/>
  <c r="AD166" i="2"/>
  <c r="AD138" i="2"/>
  <c r="AB302" i="7"/>
  <c r="AD398" i="5"/>
  <c r="AD468" i="2"/>
  <c r="AB188" i="7"/>
  <c r="AB84" i="7"/>
  <c r="AB303" i="7"/>
  <c r="AD267" i="5"/>
  <c r="AD420" i="6"/>
  <c r="AD129" i="5"/>
  <c r="AD291" i="5"/>
  <c r="AB62" i="7"/>
  <c r="AB249" i="7"/>
  <c r="AD477" i="5"/>
  <c r="AB153" i="7"/>
  <c r="AB311" i="7"/>
  <c r="AB310" i="7"/>
  <c r="AB133" i="7"/>
  <c r="AB126" i="7"/>
  <c r="AD270" i="6"/>
  <c r="AD18" i="6"/>
  <c r="AB201" i="7"/>
  <c r="AD15" i="6"/>
  <c r="AD141" i="5"/>
  <c r="AD419" i="5"/>
  <c r="AD423" i="6"/>
  <c r="AB282" i="7"/>
  <c r="AD269" i="5"/>
  <c r="AD421" i="5"/>
  <c r="AB224" i="7"/>
  <c r="AB24" i="7"/>
  <c r="AD162" i="2"/>
  <c r="AB151" i="7"/>
  <c r="AB59" i="7"/>
  <c r="AB300" i="7"/>
  <c r="AD345" i="5"/>
  <c r="AB283" i="7"/>
  <c r="AD19" i="5"/>
  <c r="AD401" i="5"/>
  <c r="AD147" i="2"/>
  <c r="AD393" i="5"/>
  <c r="AD473" i="2"/>
  <c r="AD344" i="5"/>
  <c r="AD105" i="5"/>
  <c r="AB238" i="7"/>
  <c r="AD483" i="5"/>
  <c r="AD367" i="5"/>
  <c r="AD371" i="5"/>
  <c r="AB158" i="7"/>
  <c r="AD482" i="6"/>
  <c r="AD480" i="5"/>
  <c r="AD275" i="5"/>
  <c r="AD417" i="5"/>
  <c r="AB87" i="7"/>
  <c r="AB140" i="7"/>
  <c r="AD398" i="2"/>
  <c r="AD136" i="5"/>
  <c r="AD43" i="6"/>
  <c r="AB148" i="7"/>
  <c r="AD418" i="2"/>
  <c r="AD453" i="2"/>
  <c r="AB202" i="7"/>
  <c r="AD44" i="6"/>
  <c r="AB181" i="7"/>
  <c r="AB173" i="7"/>
  <c r="AD267" i="2"/>
  <c r="AB61" i="7"/>
  <c r="AB223" i="7"/>
  <c r="AB145" i="7"/>
  <c r="AD342" i="5"/>
  <c r="AD134" i="5"/>
  <c r="AD454" i="2"/>
  <c r="AD266" i="2"/>
  <c r="AD140" i="2"/>
  <c r="AD422" i="2"/>
  <c r="AB64" i="7"/>
  <c r="AD39" i="6"/>
  <c r="AB233" i="7"/>
  <c r="AD126" i="5"/>
  <c r="AD143" i="5"/>
  <c r="AD295" i="5"/>
  <c r="AD103" i="6"/>
  <c r="AB156" i="7"/>
  <c r="AD484" i="2"/>
  <c r="AD104" i="6"/>
  <c r="AD483" i="2"/>
  <c r="AB136" i="7"/>
  <c r="AD269" i="6"/>
  <c r="AD265" i="6"/>
  <c r="AD393" i="2"/>
  <c r="AD502" i="5"/>
  <c r="AD407" i="6"/>
  <c r="AB179" i="7"/>
  <c r="AB279" i="7"/>
  <c r="AB326" i="7"/>
  <c r="AD133" i="2"/>
  <c r="AD424" i="2"/>
  <c r="AD20" i="6"/>
  <c r="AD136" i="2"/>
  <c r="AD20" i="5"/>
  <c r="AD467" i="5"/>
  <c r="AB295" i="7"/>
  <c r="AD285" i="2"/>
  <c r="AD470" i="5"/>
  <c r="AD154" i="2"/>
  <c r="AD17" i="6"/>
  <c r="AD273" i="5"/>
  <c r="AD473" i="5"/>
  <c r="AB225" i="7"/>
  <c r="AB102" i="7"/>
  <c r="AB187" i="7"/>
  <c r="AD135" i="6"/>
  <c r="AB200" i="7"/>
  <c r="AB199" i="7"/>
  <c r="AD127" i="5"/>
  <c r="AD101" i="5"/>
  <c r="AD478" i="6"/>
  <c r="AD28" i="5"/>
  <c r="AB66" i="7"/>
  <c r="AD484" i="6"/>
  <c r="AD20" i="2"/>
  <c r="AB309" i="7"/>
  <c r="AB312" i="7"/>
  <c r="AD373" i="5"/>
  <c r="AB131" i="7"/>
  <c r="AD374" i="5"/>
  <c r="AD265" i="5"/>
  <c r="AB69" i="7"/>
  <c r="AD394" i="2"/>
  <c r="AD137" i="5"/>
  <c r="AD14" i="6"/>
  <c r="AD125" i="6"/>
  <c r="AB235" i="7"/>
  <c r="AB272" i="7"/>
  <c r="AD400" i="5"/>
  <c r="AD266" i="5"/>
  <c r="AD151" i="5"/>
  <c r="AB17" i="7"/>
  <c r="AB20" i="7"/>
  <c r="AB99" i="7"/>
  <c r="AB203" i="7"/>
  <c r="AD145" i="5"/>
  <c r="AB107" i="7"/>
  <c r="AB114" i="7"/>
  <c r="AD37" i="6"/>
  <c r="AD140" i="6"/>
  <c r="AD467" i="2"/>
  <c r="AD449" i="2"/>
  <c r="AB186" i="7"/>
  <c r="AD448" i="6"/>
  <c r="AD142" i="2"/>
  <c r="AD405" i="2"/>
  <c r="AD409" i="6"/>
  <c r="AB328" i="7"/>
  <c r="AB103" i="7"/>
  <c r="AD140" i="5"/>
  <c r="AD139" i="5"/>
  <c r="AB67" i="7"/>
  <c r="AD290" i="5"/>
  <c r="AD16" i="5"/>
  <c r="AD447" i="5"/>
  <c r="AD312" i="5"/>
  <c r="AB116" i="7"/>
  <c r="AD402" i="5"/>
  <c r="AD278" i="2"/>
  <c r="AD403" i="5"/>
  <c r="AD417" i="2"/>
  <c r="AD447" i="2"/>
  <c r="AD451" i="6"/>
  <c r="AD454" i="6"/>
  <c r="AB123" i="7"/>
  <c r="AD469" i="2"/>
  <c r="AD125" i="5"/>
  <c r="AD292" i="5"/>
  <c r="AB164" i="7"/>
  <c r="AD281" i="5"/>
  <c r="AD100" i="6"/>
  <c r="AD481" i="2"/>
  <c r="AD352" i="5"/>
  <c r="AD101" i="6"/>
  <c r="AB86" i="7"/>
  <c r="AB241" i="7"/>
  <c r="AD270" i="2"/>
  <c r="AD268" i="2"/>
  <c r="AB271" i="7"/>
  <c r="AD415" i="6"/>
  <c r="AD150" i="2"/>
  <c r="AD454" i="5"/>
  <c r="AD417" i="6"/>
  <c r="AB91" i="7"/>
  <c r="AD500" i="6"/>
  <c r="AB146" i="7"/>
  <c r="AD283" i="5"/>
  <c r="AB227" i="7"/>
  <c r="AB34" i="7"/>
  <c r="AD447" i="6"/>
  <c r="AD26" i="5"/>
  <c r="AD31" i="5"/>
  <c r="AD339" i="5"/>
  <c r="AB205" i="7"/>
  <c r="AD402" i="2"/>
  <c r="AD141" i="2"/>
  <c r="AD284" i="2"/>
  <c r="AB196" i="7"/>
  <c r="AD41" i="6"/>
  <c r="AD451" i="5"/>
  <c r="AD98" i="6"/>
  <c r="AD477" i="6"/>
  <c r="AB243" i="7"/>
  <c r="AD106" i="6"/>
  <c r="AB246" i="7"/>
  <c r="AB248" i="7"/>
  <c r="AB163" i="7"/>
  <c r="AB135" i="7"/>
  <c r="AB43" i="7"/>
  <c r="AD153" i="5"/>
  <c r="AB185" i="7"/>
  <c r="AD147" i="5"/>
  <c r="AD451" i="2"/>
  <c r="AB89" i="7"/>
  <c r="AB115" i="7"/>
  <c r="AD269" i="2"/>
  <c r="AB18" i="7"/>
  <c r="AD468" i="6"/>
  <c r="AB267" i="7"/>
  <c r="AD133" i="6"/>
  <c r="AD17" i="5"/>
  <c r="AB191" i="7"/>
  <c r="AB229" i="7"/>
  <c r="AD165" i="2"/>
  <c r="AB65" i="7"/>
  <c r="AB207" i="7"/>
  <c r="AD167" i="2"/>
  <c r="AD45" i="6"/>
  <c r="AB325" i="7"/>
  <c r="AD392" i="5"/>
  <c r="AD498" i="2"/>
  <c r="AD401" i="2"/>
  <c r="AD34" i="5"/>
  <c r="AB36" i="7"/>
  <c r="AB270" i="7"/>
  <c r="AD130" i="5"/>
  <c r="AB313" i="7"/>
  <c r="AD338" i="5"/>
  <c r="AD281" i="2"/>
  <c r="AD348" i="5"/>
  <c r="AB155" i="7"/>
  <c r="AD369" i="5"/>
  <c r="AB41" i="7"/>
  <c r="AB42" i="7"/>
  <c r="AD478" i="5"/>
  <c r="AB174" i="7"/>
  <c r="AD271" i="5"/>
  <c r="AD270" i="5"/>
  <c r="AD399" i="2"/>
  <c r="AB121" i="7"/>
  <c r="AB88" i="7"/>
  <c r="AD471" i="6"/>
  <c r="AD448" i="2"/>
  <c r="AD468" i="5"/>
  <c r="AD148" i="2"/>
  <c r="AD23" i="5"/>
  <c r="AB15" i="7"/>
  <c r="AD475" i="6"/>
  <c r="AD23" i="2"/>
  <c r="AD279" i="2"/>
  <c r="AB28" i="7"/>
  <c r="AD340" i="5"/>
  <c r="AD138" i="6"/>
  <c r="AD390" i="5"/>
  <c r="AD314" i="5"/>
  <c r="AD278" i="5"/>
  <c r="AD18" i="5"/>
  <c r="AB169" i="7"/>
  <c r="AB198" i="7"/>
  <c r="AD404" i="2"/>
  <c r="AB117" i="7"/>
  <c r="AD104" i="5"/>
  <c r="AD103" i="5"/>
  <c r="AB113" i="7"/>
  <c r="AB112" i="7"/>
  <c r="AD479" i="5"/>
  <c r="AD372" i="5"/>
  <c r="AD105" i="6"/>
  <c r="AB157" i="7"/>
  <c r="AD484" i="5"/>
  <c r="AD479" i="2"/>
  <c r="AB162" i="7"/>
  <c r="AD266" i="6"/>
  <c r="AB128" i="7"/>
  <c r="AD387" i="5"/>
  <c r="AD135" i="2"/>
  <c r="AD272" i="5"/>
  <c r="AD14" i="2"/>
  <c r="AD126" i="6"/>
  <c r="AB281" i="7"/>
  <c r="AD22" i="6"/>
  <c r="AD412" i="6"/>
  <c r="AD13" i="2"/>
  <c r="AB104" i="7"/>
  <c r="AD422" i="6"/>
  <c r="AB13" i="7"/>
  <c r="AD146" i="2"/>
  <c r="AD15" i="5"/>
  <c r="AB273" i="7"/>
  <c r="AD141" i="6"/>
  <c r="AB122" i="7"/>
  <c r="AD418" i="6"/>
  <c r="AB298" i="7"/>
  <c r="AD16" i="6"/>
  <c r="AB106" i="7"/>
  <c r="AD397" i="5"/>
  <c r="AD419" i="2"/>
  <c r="AD472" i="5"/>
  <c r="AB265" i="7"/>
  <c r="AD271" i="2"/>
  <c r="AB176" i="7"/>
  <c r="AD22" i="5"/>
  <c r="AB19" i="7"/>
  <c r="AD472" i="6"/>
  <c r="AD157" i="2"/>
  <c r="AD21" i="2"/>
  <c r="AD341" i="5"/>
  <c r="AD277" i="5"/>
  <c r="AD158" i="2"/>
  <c r="AD387" i="2"/>
  <c r="AD391" i="5"/>
  <c r="AD138" i="5"/>
  <c r="AD497" i="6"/>
  <c r="AB277" i="7"/>
  <c r="AD471" i="2"/>
  <c r="AB275" i="7"/>
  <c r="AB193" i="7"/>
  <c r="AD288" i="5"/>
  <c r="AD284" i="5"/>
  <c r="AD370" i="5"/>
  <c r="AB60" i="7"/>
  <c r="AD19" i="2"/>
  <c r="AD35" i="5"/>
  <c r="AB247" i="7"/>
  <c r="AD349" i="5"/>
  <c r="AD480" i="2"/>
  <c r="AD273" i="6"/>
  <c r="AB178" i="7"/>
  <c r="AB134" i="7"/>
  <c r="AB182" i="7"/>
  <c r="AB101" i="7"/>
  <c r="AD455" i="2"/>
  <c r="AD405" i="5"/>
  <c r="AD139" i="6"/>
  <c r="AD474" i="6"/>
  <c r="AB144" i="7"/>
  <c r="AB142" i="7"/>
  <c r="AD388" i="5"/>
  <c r="AD474" i="2"/>
  <c r="AB93" i="7"/>
  <c r="AB296" i="7"/>
  <c r="AD27" i="5"/>
  <c r="AD469" i="5"/>
  <c r="AD471" i="5"/>
  <c r="AB204" i="7"/>
  <c r="AD394" i="5"/>
  <c r="AD394" i="6"/>
  <c r="AD309" i="5"/>
  <c r="AD17" i="2"/>
  <c r="AD274" i="2"/>
  <c r="AB192" i="7"/>
  <c r="AB57" i="7"/>
  <c r="AD128" i="5"/>
  <c r="AD353" i="5"/>
  <c r="AD311" i="5"/>
  <c r="AB305" i="7"/>
  <c r="AD450" i="5"/>
  <c r="AD347" i="5"/>
  <c r="AB240" i="7"/>
  <c r="AD482" i="5"/>
  <c r="AB242" i="7"/>
  <c r="AD272" i="6"/>
  <c r="AB175" i="7"/>
  <c r="AB16" i="7"/>
  <c r="AB232" i="7"/>
  <c r="AD498" i="6"/>
  <c r="AB297" i="7"/>
  <c r="AD155" i="2"/>
  <c r="AD420" i="2"/>
  <c r="AD40" i="6"/>
  <c r="AD453" i="5"/>
  <c r="AD137" i="2"/>
  <c r="AD425" i="6"/>
  <c r="AD395" i="2"/>
  <c r="AD403" i="2"/>
  <c r="AD154" i="5"/>
  <c r="AD315" i="5"/>
  <c r="AB56" i="7"/>
  <c r="AD452" i="5"/>
  <c r="AD282" i="5"/>
  <c r="AB31" i="7"/>
  <c r="AD47" i="6"/>
  <c r="AB268" i="7"/>
  <c r="AD145" i="2"/>
  <c r="AB21" i="7"/>
  <c r="AB30" i="7"/>
  <c r="AD455" i="6"/>
  <c r="AD389" i="2"/>
  <c r="AD102" i="5"/>
  <c r="AD46" i="6"/>
  <c r="AD313" i="5"/>
  <c r="AB33" i="7"/>
  <c r="AB165" i="7"/>
  <c r="AB308" i="7"/>
  <c r="AD133" i="5"/>
  <c r="AD481" i="6"/>
  <c r="AD268" i="6"/>
  <c r="AD485" i="5"/>
  <c r="AB130" i="7"/>
  <c r="AD501" i="5"/>
  <c r="AD139" i="2"/>
  <c r="AD395" i="5"/>
  <c r="AB195" i="7"/>
  <c r="AB90" i="7"/>
  <c r="AD470" i="2"/>
  <c r="AD404" i="5"/>
  <c r="AB167" i="7"/>
  <c r="AB118" i="7"/>
  <c r="AD389" i="6"/>
  <c r="AB98" i="7"/>
  <c r="AB139" i="7"/>
  <c r="AD163" i="2"/>
  <c r="AB55" i="7"/>
  <c r="AB149" i="7"/>
  <c r="AD310" i="5"/>
  <c r="AB29" i="7"/>
  <c r="AD390" i="6"/>
  <c r="AB280" i="7"/>
  <c r="AB105" i="7"/>
  <c r="AD473" i="6"/>
  <c r="AB27" i="7"/>
  <c r="AB184" i="7"/>
  <c r="AD134" i="2"/>
  <c r="AD450" i="2"/>
  <c r="AD106" i="5"/>
  <c r="AD375" i="5"/>
  <c r="AD159" i="2"/>
  <c r="AD307" i="5"/>
  <c r="AD97" i="6"/>
  <c r="AD485" i="6"/>
  <c r="AD477" i="2"/>
  <c r="AD355" i="5"/>
  <c r="AD350" i="5"/>
  <c r="AD354" i="5"/>
  <c r="AB168" i="7"/>
  <c r="AD267" i="6"/>
  <c r="AB171" i="7"/>
  <c r="AD379" i="6"/>
  <c r="AD377" i="6"/>
  <c r="AD380" i="6"/>
  <c r="AD378" i="6"/>
  <c r="AD282" i="6"/>
  <c r="AD150" i="6"/>
  <c r="AD361" i="6"/>
  <c r="AD55" i="5"/>
  <c r="AD58" i="5"/>
  <c r="AD57" i="5"/>
  <c r="AD291" i="2"/>
  <c r="AD53" i="5"/>
  <c r="AD189" i="5"/>
  <c r="AD345" i="2"/>
  <c r="AD152" i="6"/>
  <c r="AD190" i="2"/>
  <c r="AD311" i="6"/>
  <c r="AD342" i="2"/>
  <c r="AD301" i="6"/>
  <c r="AD344" i="6"/>
  <c r="AD155" i="6"/>
  <c r="AD188" i="2"/>
  <c r="AD187" i="2"/>
  <c r="AD365" i="2"/>
  <c r="AD173" i="6"/>
  <c r="AD189" i="2"/>
  <c r="AD344" i="2"/>
  <c r="AD304" i="6"/>
  <c r="AD305" i="6"/>
  <c r="AD185" i="5"/>
  <c r="AD177" i="6"/>
  <c r="AD186" i="2"/>
  <c r="AD313" i="2"/>
  <c r="AD151" i="6"/>
  <c r="AD186" i="5"/>
  <c r="AD176" i="6"/>
  <c r="AD185" i="2"/>
  <c r="AD187" i="5"/>
  <c r="AD294" i="2"/>
  <c r="AD149" i="6"/>
  <c r="AD154" i="6"/>
  <c r="AD54" i="5"/>
  <c r="AD55" i="6"/>
  <c r="AD302" i="6"/>
  <c r="AD315" i="6"/>
  <c r="AD164" i="5"/>
  <c r="AD153" i="6"/>
  <c r="AD190" i="5"/>
  <c r="AD57" i="6"/>
  <c r="AD283" i="6"/>
  <c r="AD345" i="6"/>
  <c r="AD56" i="6"/>
  <c r="AD295" i="2"/>
  <c r="AD312" i="6"/>
  <c r="AD163" i="5"/>
  <c r="AD178" i="6"/>
  <c r="AD284" i="6"/>
  <c r="AD53" i="6"/>
  <c r="AD314" i="6"/>
  <c r="AD364" i="6"/>
  <c r="AD161" i="5"/>
  <c r="AD362" i="2"/>
  <c r="AD191" i="2"/>
  <c r="AD54" i="6"/>
  <c r="AD314" i="2"/>
  <c r="AD343" i="2"/>
  <c r="AD167" i="5"/>
  <c r="AD363" i="2"/>
  <c r="AD179" i="6"/>
  <c r="AD166" i="5"/>
  <c r="AD343" i="6"/>
  <c r="AD311" i="2"/>
  <c r="AD165" i="5"/>
  <c r="AD362" i="6"/>
  <c r="AD175" i="6"/>
  <c r="AD191" i="5"/>
  <c r="AD341" i="2"/>
  <c r="AD59" i="6"/>
  <c r="AD303" i="6"/>
  <c r="AD364" i="2"/>
  <c r="AD58" i="6"/>
  <c r="AD56" i="5"/>
  <c r="AD174" i="6"/>
  <c r="AD162" i="5"/>
  <c r="AD342" i="6"/>
  <c r="AD312" i="2"/>
  <c r="AD292" i="2"/>
  <c r="AD59" i="5"/>
  <c r="AD313" i="6"/>
  <c r="AD315" i="2"/>
  <c r="AD281" i="6"/>
  <c r="AD361" i="2"/>
  <c r="AD363" i="6"/>
  <c r="AD341" i="6"/>
  <c r="AD285" i="6"/>
  <c r="AD293" i="2"/>
  <c r="AD188" i="5"/>
  <c r="AD365" i="6"/>
  <c r="AC241" i="5"/>
  <c r="AF241" i="5"/>
  <c r="AG241" i="5" s="1"/>
  <c r="AC112" i="6"/>
  <c r="AF112" i="6"/>
  <c r="AG112" i="6" s="1"/>
  <c r="AC111" i="6"/>
  <c r="AF111" i="6"/>
  <c r="AG111" i="6" s="1"/>
  <c r="AC110" i="6"/>
  <c r="AF110" i="6"/>
  <c r="AG110" i="6" s="1"/>
  <c r="AF109" i="6"/>
  <c r="AG109" i="6" s="1"/>
  <c r="AC109" i="6"/>
  <c r="AF99" i="5"/>
  <c r="AG99" i="5" s="1"/>
  <c r="AC99" i="5"/>
  <c r="AF98" i="2"/>
  <c r="AG98" i="2" s="1"/>
  <c r="AC98" i="2"/>
  <c r="AC97" i="2"/>
  <c r="AF97" i="2"/>
  <c r="AG97" i="2" s="1"/>
  <c r="AF97" i="5"/>
  <c r="AG97" i="5" s="1"/>
  <c r="AC97" i="5"/>
  <c r="AC98" i="5"/>
  <c r="AF98" i="5"/>
  <c r="AG98" i="5" s="1"/>
  <c r="AC99" i="2"/>
  <c r="AF99" i="2"/>
  <c r="AG99" i="2" s="1"/>
  <c r="AF100" i="2"/>
  <c r="AG100" i="2" s="1"/>
  <c r="AC100" i="2"/>
  <c r="AF100" i="5"/>
  <c r="AG100" i="5" s="1"/>
  <c r="AC100" i="5"/>
  <c r="AC85" i="6"/>
  <c r="AF85" i="6"/>
  <c r="AG85" i="6" s="1"/>
  <c r="AF88" i="6"/>
  <c r="AG88" i="6" s="1"/>
  <c r="AC88" i="6"/>
  <c r="AC121" i="2"/>
  <c r="AF121" i="2"/>
  <c r="AG121" i="2" s="1"/>
  <c r="AC122" i="2"/>
  <c r="AF122" i="2"/>
  <c r="AG122" i="2" s="1"/>
  <c r="AC218" i="2"/>
  <c r="AC123" i="2"/>
  <c r="AF123" i="2"/>
  <c r="AG123" i="2" s="1"/>
  <c r="AF87" i="6"/>
  <c r="AG87" i="6" s="1"/>
  <c r="AC87" i="6"/>
  <c r="AC121" i="5"/>
  <c r="AF121" i="5"/>
  <c r="AG121" i="5" s="1"/>
  <c r="AF86" i="6"/>
  <c r="AG86" i="6" s="1"/>
  <c r="AC86" i="6"/>
  <c r="AC122" i="5"/>
  <c r="AF122" i="5"/>
  <c r="AG122" i="5" s="1"/>
  <c r="AC124" i="5"/>
  <c r="AF124" i="5"/>
  <c r="AG124" i="5" s="1"/>
  <c r="AC124" i="2"/>
  <c r="AF124" i="2"/>
  <c r="AG124" i="2" s="1"/>
  <c r="AF123" i="5"/>
  <c r="AG123" i="5" s="1"/>
  <c r="AC123" i="5"/>
  <c r="AF231" i="2"/>
  <c r="AG231" i="2" s="1"/>
  <c r="AC231" i="2"/>
  <c r="AF146" i="6"/>
  <c r="AG146" i="6" s="1"/>
  <c r="AC146" i="6"/>
  <c r="AC254" i="6"/>
  <c r="AF254" i="6"/>
  <c r="AG254" i="6" s="1"/>
  <c r="AC370" i="6"/>
  <c r="AF370" i="6"/>
  <c r="AG370" i="6" s="1"/>
  <c r="AC253" i="6"/>
  <c r="AF253" i="6"/>
  <c r="AG253" i="6" s="1"/>
  <c r="AF369" i="6"/>
  <c r="AG369" i="6" s="1"/>
  <c r="AC369" i="6"/>
  <c r="AF232" i="5"/>
  <c r="AG232" i="5" s="1"/>
  <c r="AC232" i="5"/>
  <c r="AC290" i="2"/>
  <c r="AF290" i="2"/>
  <c r="AG290" i="2" s="1"/>
  <c r="AF51" i="6"/>
  <c r="AG51" i="6" s="1"/>
  <c r="AC51" i="6"/>
  <c r="AF181" i="5"/>
  <c r="AG181" i="5" s="1"/>
  <c r="AC181" i="5"/>
  <c r="AC148" i="6"/>
  <c r="AF348" i="6"/>
  <c r="AG348" i="6" s="1"/>
  <c r="AC348" i="6"/>
  <c r="AF231" i="6"/>
  <c r="AG231" i="6" s="1"/>
  <c r="AC231" i="6"/>
  <c r="AF50" i="5"/>
  <c r="AG50" i="5" s="1"/>
  <c r="AC50" i="5"/>
  <c r="AF49" i="5"/>
  <c r="AG49" i="5" s="1"/>
  <c r="AC49" i="5"/>
  <c r="AF350" i="2"/>
  <c r="AG350" i="2" s="1"/>
  <c r="AC350" i="2"/>
  <c r="AF231" i="5"/>
  <c r="AG231" i="5" s="1"/>
  <c r="AC231" i="5"/>
  <c r="AF255" i="6"/>
  <c r="AG255" i="6" s="1"/>
  <c r="AC255" i="6"/>
  <c r="AF50" i="6"/>
  <c r="AG50" i="6" s="1"/>
  <c r="AC50" i="6"/>
  <c r="AF370" i="2"/>
  <c r="AG370" i="2" s="1"/>
  <c r="AC370" i="2"/>
  <c r="AC289" i="2"/>
  <c r="AF289" i="2"/>
  <c r="AG289" i="2" s="1"/>
  <c r="AC288" i="2"/>
  <c r="AF288" i="2"/>
  <c r="AG288" i="2" s="1"/>
  <c r="AC253" i="5"/>
  <c r="AF253" i="5"/>
  <c r="AG253" i="5" s="1"/>
  <c r="AC256" i="5"/>
  <c r="AF256" i="5"/>
  <c r="AG256" i="5" s="1"/>
  <c r="AC367" i="2"/>
  <c r="AF367" i="2"/>
  <c r="AG367" i="2" s="1"/>
  <c r="AF52" i="5"/>
  <c r="AG52" i="5" s="1"/>
  <c r="AC52" i="5"/>
  <c r="AC277" i="6"/>
  <c r="AF277" i="6"/>
  <c r="AG277" i="6" s="1"/>
  <c r="AF256" i="2"/>
  <c r="AG256" i="2" s="1"/>
  <c r="AC256" i="2"/>
  <c r="AF254" i="2"/>
  <c r="AG254" i="2" s="1"/>
  <c r="AC254" i="2"/>
  <c r="AC182" i="2"/>
  <c r="AF182" i="2"/>
  <c r="AG182" i="2" s="1"/>
  <c r="AF369" i="2"/>
  <c r="AG369" i="2" s="1"/>
  <c r="AC369" i="2"/>
  <c r="AC232" i="2"/>
  <c r="AF232" i="2"/>
  <c r="AG232" i="2" s="1"/>
  <c r="AF298" i="6"/>
  <c r="AG298" i="6" s="1"/>
  <c r="AC298" i="6"/>
  <c r="AF27" i="2"/>
  <c r="AG27" i="2" s="1"/>
  <c r="AC27" i="2"/>
  <c r="AF181" i="2"/>
  <c r="AG181" i="2" s="1"/>
  <c r="AC181" i="2"/>
  <c r="AF49" i="2"/>
  <c r="AG49" i="2" s="1"/>
  <c r="AC49" i="2"/>
  <c r="AF368" i="2"/>
  <c r="AG368" i="2" s="1"/>
  <c r="AC368" i="2"/>
  <c r="AF229" i="6"/>
  <c r="AG229" i="6" s="1"/>
  <c r="AC229" i="6"/>
  <c r="AF184" i="6"/>
  <c r="AG184" i="6" s="1"/>
  <c r="AC184" i="6"/>
  <c r="AF51" i="5"/>
  <c r="AG51" i="5" s="1"/>
  <c r="AC51" i="5"/>
  <c r="AF255" i="2"/>
  <c r="AG255" i="2" s="1"/>
  <c r="AC255" i="2"/>
  <c r="AF348" i="2"/>
  <c r="AG348" i="2" s="1"/>
  <c r="AC348" i="2"/>
  <c r="AF230" i="6"/>
  <c r="AG230" i="6" s="1"/>
  <c r="AC230" i="6"/>
  <c r="AF157" i="5"/>
  <c r="AG157" i="5" s="1"/>
  <c r="AC157" i="5"/>
  <c r="AF170" i="6"/>
  <c r="AG170" i="6" s="1"/>
  <c r="AF158" i="5"/>
  <c r="AG158" i="5" s="1"/>
  <c r="AC158" i="5"/>
  <c r="AF182" i="5"/>
  <c r="AG182" i="5" s="1"/>
  <c r="AC182" i="5"/>
  <c r="AF349" i="2"/>
  <c r="AG349" i="2" s="1"/>
  <c r="AC349" i="2"/>
  <c r="AF229" i="5"/>
  <c r="AG229" i="5" s="1"/>
  <c r="AC229" i="5"/>
  <c r="AC49" i="6"/>
  <c r="AF49" i="6"/>
  <c r="AG49" i="6" s="1"/>
  <c r="AF255" i="5"/>
  <c r="AG255" i="5" s="1"/>
  <c r="AC255" i="5"/>
  <c r="AF253" i="2"/>
  <c r="AG253" i="2" s="1"/>
  <c r="AC253" i="2"/>
  <c r="AC25" i="2"/>
  <c r="AF25" i="2"/>
  <c r="AG25" i="2" s="1"/>
  <c r="AF350" i="6"/>
  <c r="AG350" i="6" s="1"/>
  <c r="AC350" i="6"/>
  <c r="AF183" i="5"/>
  <c r="AG183" i="5" s="1"/>
  <c r="AC183" i="5"/>
  <c r="AF28" i="2"/>
  <c r="AG28" i="2" s="1"/>
  <c r="AC28" i="2"/>
  <c r="AF147" i="6"/>
  <c r="AG147" i="6" s="1"/>
  <c r="AF347" i="6"/>
  <c r="AG347" i="6" s="1"/>
  <c r="AC347" i="6"/>
  <c r="AF229" i="2"/>
  <c r="AG229" i="2" s="1"/>
  <c r="AC229" i="2"/>
  <c r="AC26" i="2"/>
  <c r="AF26" i="2"/>
  <c r="AG26" i="2" s="1"/>
  <c r="AF184" i="5"/>
  <c r="AG184" i="5" s="1"/>
  <c r="AC184" i="5"/>
  <c r="AF349" i="6"/>
  <c r="AG349" i="6" s="1"/>
  <c r="AC349" i="6"/>
  <c r="AC232" i="6"/>
  <c r="AF232" i="6"/>
  <c r="AG232" i="6" s="1"/>
  <c r="AF52" i="6"/>
  <c r="AG52" i="6" s="1"/>
  <c r="AC52" i="6"/>
  <c r="AF183" i="6"/>
  <c r="AG183" i="6" s="1"/>
  <c r="AC183" i="6"/>
  <c r="AF280" i="6"/>
  <c r="AG280" i="6" s="1"/>
  <c r="AF287" i="2"/>
  <c r="AG287" i="2" s="1"/>
  <c r="AC287" i="2"/>
  <c r="AF367" i="6"/>
  <c r="AG367" i="6" s="1"/>
  <c r="AC367" i="6"/>
  <c r="AF347" i="2"/>
  <c r="AG347" i="2" s="1"/>
  <c r="AC347" i="2"/>
  <c r="AC254" i="5"/>
  <c r="AF254" i="5"/>
  <c r="AG254" i="5" s="1"/>
  <c r="AC182" i="6"/>
  <c r="AF182" i="6"/>
  <c r="AG182" i="6" s="1"/>
  <c r="AC159" i="5"/>
  <c r="AF159" i="5"/>
  <c r="AG159" i="5" s="1"/>
  <c r="AF145" i="6"/>
  <c r="AG145" i="6" s="1"/>
  <c r="AC145" i="6"/>
  <c r="AF368" i="6"/>
  <c r="AG368" i="6" s="1"/>
  <c r="AC368" i="6"/>
  <c r="AF256" i="6"/>
  <c r="AG256" i="6" s="1"/>
  <c r="AC256" i="6"/>
  <c r="AC160" i="5"/>
  <c r="AF160" i="5"/>
  <c r="AG160" i="5" s="1"/>
  <c r="AC184" i="2"/>
  <c r="AF184" i="2"/>
  <c r="AG184" i="2" s="1"/>
  <c r="AF279" i="6"/>
  <c r="AG279" i="6" s="1"/>
  <c r="AF183" i="2"/>
  <c r="AG183" i="2" s="1"/>
  <c r="AC183" i="2"/>
  <c r="AF230" i="2"/>
  <c r="AG230" i="2" s="1"/>
  <c r="AC230" i="2"/>
  <c r="AF230" i="5"/>
  <c r="AG230" i="5" s="1"/>
  <c r="AC230" i="5"/>
  <c r="AC169" i="6" l="1"/>
  <c r="AF307" i="2"/>
  <c r="AG307" i="2" s="1"/>
  <c r="AC308" i="2"/>
  <c r="AC171" i="6"/>
  <c r="AD171" i="6" s="1"/>
  <c r="AC172" i="6"/>
  <c r="AF50" i="2"/>
  <c r="AG50" i="2" s="1"/>
  <c r="AC360" i="2"/>
  <c r="AC243" i="2"/>
  <c r="AD243" i="2" s="1"/>
  <c r="AF309" i="2"/>
  <c r="AG309" i="2" s="1"/>
  <c r="AF310" i="2"/>
  <c r="AG310" i="2" s="1"/>
  <c r="AF181" i="6"/>
  <c r="AG181" i="6" s="1"/>
  <c r="AF52" i="2"/>
  <c r="AG52" i="2" s="1"/>
  <c r="AC86" i="5"/>
  <c r="AD86" i="5" s="1"/>
  <c r="AC297" i="6"/>
  <c r="AD297" i="6" s="1"/>
  <c r="AF219" i="5"/>
  <c r="AG219" i="5" s="1"/>
  <c r="AF308" i="6"/>
  <c r="AG308" i="6" s="1"/>
  <c r="AC309" i="6"/>
  <c r="AD309" i="6" s="1"/>
  <c r="AF310" i="6"/>
  <c r="AG310" i="6" s="1"/>
  <c r="AF244" i="5"/>
  <c r="AG244" i="5" s="1"/>
  <c r="AC300" i="6"/>
  <c r="AD300" i="6" s="1"/>
  <c r="AF112" i="2"/>
  <c r="AG112" i="2" s="1"/>
  <c r="AC359" i="2"/>
  <c r="AD359" i="2" s="1"/>
  <c r="AF85" i="5"/>
  <c r="AG85" i="5" s="1"/>
  <c r="AF86" i="2"/>
  <c r="AG86" i="2" s="1"/>
  <c r="AF244" i="6"/>
  <c r="AG244" i="6" s="1"/>
  <c r="AF51" i="2"/>
  <c r="AG51" i="2" s="1"/>
  <c r="AC110" i="5"/>
  <c r="AD110" i="5" s="1"/>
  <c r="AF87" i="2"/>
  <c r="AG87" i="2" s="1"/>
  <c r="AC307" i="6"/>
  <c r="AD307" i="6" s="1"/>
  <c r="AF242" i="5"/>
  <c r="AG242" i="5" s="1"/>
  <c r="AC109" i="5"/>
  <c r="AD109" i="5" s="1"/>
  <c r="AF278" i="6"/>
  <c r="AG278" i="6" s="1"/>
  <c r="AC219" i="2"/>
  <c r="AD219" i="2" s="1"/>
  <c r="AF220" i="5"/>
  <c r="AG220" i="5" s="1"/>
  <c r="AF217" i="2"/>
  <c r="AG217" i="2" s="1"/>
  <c r="AC219" i="6"/>
  <c r="AD219" i="6" s="1"/>
  <c r="AF85" i="2"/>
  <c r="AG85" i="2" s="1"/>
  <c r="AC88" i="2"/>
  <c r="AD88" i="2" s="1"/>
  <c r="AF112" i="5"/>
  <c r="AG112" i="5" s="1"/>
  <c r="AF243" i="6"/>
  <c r="AG243" i="6" s="1"/>
  <c r="AF277" i="2"/>
  <c r="AG277" i="2" s="1"/>
  <c r="AC277" i="2"/>
  <c r="AD277" i="2" s="1"/>
  <c r="AF360" i="6"/>
  <c r="AG360" i="6" s="1"/>
  <c r="AF110" i="2"/>
  <c r="AG110" i="2" s="1"/>
  <c r="AF243" i="5"/>
  <c r="AG243" i="5" s="1"/>
  <c r="AC358" i="2"/>
  <c r="AD358" i="2" s="1"/>
  <c r="AF241" i="2"/>
  <c r="AG241" i="2" s="1"/>
  <c r="AC111" i="5"/>
  <c r="AD111" i="5" s="1"/>
  <c r="AC337" i="6"/>
  <c r="AD337" i="6" s="1"/>
  <c r="AF340" i="6"/>
  <c r="AG340" i="6" s="1"/>
  <c r="AC299" i="6"/>
  <c r="AD299" i="6" s="1"/>
  <c r="AF220" i="2"/>
  <c r="AG220" i="2" s="1"/>
  <c r="AF357" i="6"/>
  <c r="AG357" i="6" s="1"/>
  <c r="AF357" i="2"/>
  <c r="AG357" i="2" s="1"/>
  <c r="AC218" i="6"/>
  <c r="AD218" i="6" s="1"/>
  <c r="AF339" i="2"/>
  <c r="AG339" i="2" s="1"/>
  <c r="AC337" i="2"/>
  <c r="AD337" i="2" s="1"/>
  <c r="AC109" i="2"/>
  <c r="AD109" i="2" s="1"/>
  <c r="AC88" i="5"/>
  <c r="AD88" i="5" s="1"/>
  <c r="AC338" i="6"/>
  <c r="AD338" i="6" s="1"/>
  <c r="AC338" i="2"/>
  <c r="AD338" i="2" s="1"/>
  <c r="AF217" i="5"/>
  <c r="AG217" i="5" s="1"/>
  <c r="AC244" i="2"/>
  <c r="AD244" i="2" s="1"/>
  <c r="AC111" i="2"/>
  <c r="AD111" i="2" s="1"/>
  <c r="AF242" i="2"/>
  <c r="AG242" i="2" s="1"/>
  <c r="AF218" i="5"/>
  <c r="AG218" i="5" s="1"/>
  <c r="AC217" i="6"/>
  <c r="AD217" i="6" s="1"/>
  <c r="AF358" i="6"/>
  <c r="AG358" i="6" s="1"/>
  <c r="AC220" i="6"/>
  <c r="AD220" i="6" s="1"/>
  <c r="AC359" i="6"/>
  <c r="AD359" i="6" s="1"/>
  <c r="AC340" i="2"/>
  <c r="AD340" i="2" s="1"/>
  <c r="AC241" i="6"/>
  <c r="AD241" i="6" s="1"/>
  <c r="AF87" i="5"/>
  <c r="AG87" i="5" s="1"/>
  <c r="AC339" i="6"/>
  <c r="AD339" i="6" s="1"/>
  <c r="AC242" i="6"/>
  <c r="AD242" i="6" s="1"/>
  <c r="AE365" i="6"/>
  <c r="AE341" i="6"/>
  <c r="AE315" i="2"/>
  <c r="AE312" i="2"/>
  <c r="AE56" i="5"/>
  <c r="AE59" i="6"/>
  <c r="AE362" i="6"/>
  <c r="AE166" i="5"/>
  <c r="AE343" i="2"/>
  <c r="AE362" i="2"/>
  <c r="AE53" i="6"/>
  <c r="AE312" i="6"/>
  <c r="AE283" i="6"/>
  <c r="AE164" i="5"/>
  <c r="AE54" i="5"/>
  <c r="AE187" i="5"/>
  <c r="AE151" i="6"/>
  <c r="AE185" i="5"/>
  <c r="AE189" i="2"/>
  <c r="AE188" i="2"/>
  <c r="AE342" i="2"/>
  <c r="AE345" i="2"/>
  <c r="AE57" i="5"/>
  <c r="AE150" i="6"/>
  <c r="AE377" i="6"/>
  <c r="AC168" i="7"/>
  <c r="AE477" i="2"/>
  <c r="AE159" i="2"/>
  <c r="AE134" i="2"/>
  <c r="AC105" i="7"/>
  <c r="AE310" i="5"/>
  <c r="AC139" i="7"/>
  <c r="AC167" i="7"/>
  <c r="AC195" i="7"/>
  <c r="AC130" i="7"/>
  <c r="AE133" i="5"/>
  <c r="AE313" i="5"/>
  <c r="AE455" i="6"/>
  <c r="AC268" i="7"/>
  <c r="AE452" i="5"/>
  <c r="AE403" i="2"/>
  <c r="AE453" i="5"/>
  <c r="AC297" i="7"/>
  <c r="AC175" i="7"/>
  <c r="AC240" i="7"/>
  <c r="AE311" i="5"/>
  <c r="AC192" i="7"/>
  <c r="AE394" i="6"/>
  <c r="AE469" i="5"/>
  <c r="AE474" i="2"/>
  <c r="AE474" i="6"/>
  <c r="AC101" i="7"/>
  <c r="AE273" i="6"/>
  <c r="AE35" i="5"/>
  <c r="AE284" i="5"/>
  <c r="AE471" i="2"/>
  <c r="AE391" i="5"/>
  <c r="AE341" i="5"/>
  <c r="AC19" i="7"/>
  <c r="AC265" i="7"/>
  <c r="AC106" i="7"/>
  <c r="AC122" i="7"/>
  <c r="AE146" i="2"/>
  <c r="AE13" i="2"/>
  <c r="AE126" i="6"/>
  <c r="AE387" i="5"/>
  <c r="AE479" i="2"/>
  <c r="AE372" i="5"/>
  <c r="AE103" i="5"/>
  <c r="AC198" i="7"/>
  <c r="AE314" i="5"/>
  <c r="AC28" i="7"/>
  <c r="AC15" i="7"/>
  <c r="AE448" i="2"/>
  <c r="AE399" i="2"/>
  <c r="AE478" i="5"/>
  <c r="AC155" i="7"/>
  <c r="AC313" i="7"/>
  <c r="AE34" i="5"/>
  <c r="AC325" i="7"/>
  <c r="AC65" i="7"/>
  <c r="AE17" i="5"/>
  <c r="AC18" i="7"/>
  <c r="AE451" i="2"/>
  <c r="AC43" i="7"/>
  <c r="AC246" i="7"/>
  <c r="AE98" i="6"/>
  <c r="AE284" i="2"/>
  <c r="AE339" i="5"/>
  <c r="AC34" i="7"/>
  <c r="AE500" i="6"/>
  <c r="AE150" i="2"/>
  <c r="AE270" i="2"/>
  <c r="AE352" i="5"/>
  <c r="AC164" i="7"/>
  <c r="AC123" i="7"/>
  <c r="AE417" i="2"/>
  <c r="AC116" i="7"/>
  <c r="AE290" i="5"/>
  <c r="AC103" i="7"/>
  <c r="AE142" i="2"/>
  <c r="AE467" i="2"/>
  <c r="AC107" i="7"/>
  <c r="AC20" i="7"/>
  <c r="AE400" i="5"/>
  <c r="AE14" i="6"/>
  <c r="AE265" i="5"/>
  <c r="AC312" i="7"/>
  <c r="AC66" i="7"/>
  <c r="AE127" i="5"/>
  <c r="AC187" i="7"/>
  <c r="AE273" i="5"/>
  <c r="AE285" i="2"/>
  <c r="AE136" i="2"/>
  <c r="AC326" i="7"/>
  <c r="AE502" i="5"/>
  <c r="AC136" i="7"/>
  <c r="AC156" i="7"/>
  <c r="AE126" i="5"/>
  <c r="AE422" i="2"/>
  <c r="AE134" i="5"/>
  <c r="AC61" i="7"/>
  <c r="AE44" i="6"/>
  <c r="AC148" i="7"/>
  <c r="AC140" i="7"/>
  <c r="AE480" i="5"/>
  <c r="AE367" i="5"/>
  <c r="AE344" i="5"/>
  <c r="AE401" i="5"/>
  <c r="AC300" i="7"/>
  <c r="AC24" i="7"/>
  <c r="AC282" i="7"/>
  <c r="AE15" i="6"/>
  <c r="AC126" i="7"/>
  <c r="AC153" i="7"/>
  <c r="AE291" i="5"/>
  <c r="AC303" i="7"/>
  <c r="AE398" i="5"/>
  <c r="AE164" i="2"/>
  <c r="AE467" i="6"/>
  <c r="AC92" i="7"/>
  <c r="AE285" i="5"/>
  <c r="AE501" i="2"/>
  <c r="AE424" i="5"/>
  <c r="AC23" i="7"/>
  <c r="AE423" i="2"/>
  <c r="AC85" i="7"/>
  <c r="AE485" i="2"/>
  <c r="AC154" i="7"/>
  <c r="AE29" i="5"/>
  <c r="AE21" i="6"/>
  <c r="AE23" i="6"/>
  <c r="AE33" i="5"/>
  <c r="AE160" i="2"/>
  <c r="AC97" i="7"/>
  <c r="AC330" i="7"/>
  <c r="AE135" i="5"/>
  <c r="AE143" i="6"/>
  <c r="AE161" i="2"/>
  <c r="AE18" i="2"/>
  <c r="AE450" i="6"/>
  <c r="AC108" i="7"/>
  <c r="AC147" i="7"/>
  <c r="AE152" i="5"/>
  <c r="AC100" i="7"/>
  <c r="AE422" i="5"/>
  <c r="AE275" i="6"/>
  <c r="AE481" i="5"/>
  <c r="AE453" i="6"/>
  <c r="AE287" i="5"/>
  <c r="AE146" i="5"/>
  <c r="AE475" i="2"/>
  <c r="AE137" i="6"/>
  <c r="AC22" i="7"/>
  <c r="AE482" i="2"/>
  <c r="AE289" i="5"/>
  <c r="AC306" i="7"/>
  <c r="AE282" i="2"/>
  <c r="AE424" i="6"/>
  <c r="AE275" i="2"/>
  <c r="AC269" i="7"/>
  <c r="AE392" i="6"/>
  <c r="AE470" i="6"/>
  <c r="AE388" i="2"/>
  <c r="AC183" i="7"/>
  <c r="AE149" i="5"/>
  <c r="AE502" i="2"/>
  <c r="AE418" i="5"/>
  <c r="AE493" i="5"/>
  <c r="AE491" i="5"/>
  <c r="AE494" i="5"/>
  <c r="AC255" i="7"/>
  <c r="AE378" i="5"/>
  <c r="AE377" i="5"/>
  <c r="AC257" i="7"/>
  <c r="AE490" i="6"/>
  <c r="AC261" i="7"/>
  <c r="AC256" i="7"/>
  <c r="AE491" i="2"/>
  <c r="AE490" i="5"/>
  <c r="AC253" i="7"/>
  <c r="AE488" i="6"/>
  <c r="AE385" i="5"/>
  <c r="AE361" i="5"/>
  <c r="AE205" i="5"/>
  <c r="AE323" i="2"/>
  <c r="AE193" i="6"/>
  <c r="AE209" i="5"/>
  <c r="AC212" i="7"/>
  <c r="AE212" i="6"/>
  <c r="AE195" i="6"/>
  <c r="AE65" i="6"/>
  <c r="AE79" i="5"/>
  <c r="AE63" i="2"/>
  <c r="AE212" i="2"/>
  <c r="AE208" i="2"/>
  <c r="AE460" i="5"/>
  <c r="AC293" i="7"/>
  <c r="AE464" i="2"/>
  <c r="AE221" i="5"/>
  <c r="AE225" i="6"/>
  <c r="AE234" i="6"/>
  <c r="AE91" i="6"/>
  <c r="AE37" i="5"/>
  <c r="AE157" i="6"/>
  <c r="AE39" i="5"/>
  <c r="AE262" i="6"/>
  <c r="AE40" i="5"/>
  <c r="AE188" i="6"/>
  <c r="AE259" i="2"/>
  <c r="AE247" i="6"/>
  <c r="AE130" i="2"/>
  <c r="AE260" i="6"/>
  <c r="AE414" i="5"/>
  <c r="AE437" i="5"/>
  <c r="AE433" i="2"/>
  <c r="AE433" i="5"/>
  <c r="AE412" i="5"/>
  <c r="AE374" i="6"/>
  <c r="AE304" i="5"/>
  <c r="AE31" i="6"/>
  <c r="AE172" i="2"/>
  <c r="AE303" i="5"/>
  <c r="AE359" i="5"/>
  <c r="AE325" i="6"/>
  <c r="AE201" i="2"/>
  <c r="AE197" i="2"/>
  <c r="AE201" i="6"/>
  <c r="AE200" i="2"/>
  <c r="AE197" i="5"/>
  <c r="AE328" i="2"/>
  <c r="AE71" i="6"/>
  <c r="AE65" i="2"/>
  <c r="AE83" i="2"/>
  <c r="AE79" i="2"/>
  <c r="AE76" i="6"/>
  <c r="AE465" i="2"/>
  <c r="AE462" i="6"/>
  <c r="AE461" i="6"/>
  <c r="AE233" i="6"/>
  <c r="AE234" i="5"/>
  <c r="AE93" i="5"/>
  <c r="AE104" i="2"/>
  <c r="AE162" i="6"/>
  <c r="AE39" i="2"/>
  <c r="AE47" i="2"/>
  <c r="AE248" i="5"/>
  <c r="AE247" i="5"/>
  <c r="AE172" i="5"/>
  <c r="AE287" i="6"/>
  <c r="AE160" i="6"/>
  <c r="AE38" i="2"/>
  <c r="AE434" i="6"/>
  <c r="AE351" i="6"/>
  <c r="AE427" i="5"/>
  <c r="AE410" i="5"/>
  <c r="AE427" i="2"/>
  <c r="AE355" i="6"/>
  <c r="AE430" i="2"/>
  <c r="AE179" i="2"/>
  <c r="AE32" i="6"/>
  <c r="AE384" i="2"/>
  <c r="AE362" i="5"/>
  <c r="AE323" i="6"/>
  <c r="AE319" i="6"/>
  <c r="AE329" i="2"/>
  <c r="AE212" i="5"/>
  <c r="AE196" i="6"/>
  <c r="AE205" i="6"/>
  <c r="AE196" i="2"/>
  <c r="AE77" i="5"/>
  <c r="AE209" i="2"/>
  <c r="AE215" i="2"/>
  <c r="AE330" i="2"/>
  <c r="AE213" i="2"/>
  <c r="AE465" i="6"/>
  <c r="AC287" i="7"/>
  <c r="AE463" i="6"/>
  <c r="AE235" i="5"/>
  <c r="AE222" i="6"/>
  <c r="AE222" i="2"/>
  <c r="AE89" i="2"/>
  <c r="AE92" i="6"/>
  <c r="AE126" i="2"/>
  <c r="AE245" i="6"/>
  <c r="AE115" i="5"/>
  <c r="AE247" i="2"/>
  <c r="AE381" i="6"/>
  <c r="AE46" i="5"/>
  <c r="AE246" i="5"/>
  <c r="AE176" i="5"/>
  <c r="AE116" i="5"/>
  <c r="AE428" i="2"/>
  <c r="AE435" i="2"/>
  <c r="AE438" i="6"/>
  <c r="AE352" i="6"/>
  <c r="AE371" i="6"/>
  <c r="AE431" i="6"/>
  <c r="AE297" i="5"/>
  <c r="AE27" i="6"/>
  <c r="AE170" i="2"/>
  <c r="AE382" i="2"/>
  <c r="AE357" i="5"/>
  <c r="AE317" i="6"/>
  <c r="AE335" i="6"/>
  <c r="AE214" i="5"/>
  <c r="AE198" i="6"/>
  <c r="AE194" i="5"/>
  <c r="AE199" i="2"/>
  <c r="AE195" i="5"/>
  <c r="AE75" i="2"/>
  <c r="AE69" i="2"/>
  <c r="AE81" i="2"/>
  <c r="AE335" i="5"/>
  <c r="AE75" i="6"/>
  <c r="AC52" i="7"/>
  <c r="AC292" i="7"/>
  <c r="AE457" i="5"/>
  <c r="AE237" i="2"/>
  <c r="AE221" i="2"/>
  <c r="AE233" i="2"/>
  <c r="AE95" i="2"/>
  <c r="AE89" i="5"/>
  <c r="AE34" i="2"/>
  <c r="AE32" i="2"/>
  <c r="AE128" i="2"/>
  <c r="AE47" i="5"/>
  <c r="AE250" i="6"/>
  <c r="AE178" i="5"/>
  <c r="AE131" i="2"/>
  <c r="AE42" i="5"/>
  <c r="AE118" i="5"/>
  <c r="AE434" i="5"/>
  <c r="AE409" i="5"/>
  <c r="AE407" i="5"/>
  <c r="AE403" i="6"/>
  <c r="AE374" i="2"/>
  <c r="AE355" i="2"/>
  <c r="AE35" i="6"/>
  <c r="AE383" i="2"/>
  <c r="AC81" i="7"/>
  <c r="AE34" i="6"/>
  <c r="AE188" i="5"/>
  <c r="AE363" i="6"/>
  <c r="AE313" i="6"/>
  <c r="AE342" i="6"/>
  <c r="AE58" i="6"/>
  <c r="AE341" i="2"/>
  <c r="AE165" i="5"/>
  <c r="AE179" i="6"/>
  <c r="AE314" i="2"/>
  <c r="AE161" i="5"/>
  <c r="AE284" i="6"/>
  <c r="AE295" i="2"/>
  <c r="AE57" i="6"/>
  <c r="AE315" i="6"/>
  <c r="AE154" i="6"/>
  <c r="AE185" i="2"/>
  <c r="AE313" i="2"/>
  <c r="AE305" i="6"/>
  <c r="AE173" i="6"/>
  <c r="AE155" i="6"/>
  <c r="AE311" i="6"/>
  <c r="AE189" i="5"/>
  <c r="AE58" i="5"/>
  <c r="AE282" i="6"/>
  <c r="AE379" i="6"/>
  <c r="AE354" i="5"/>
  <c r="AE485" i="6"/>
  <c r="AE375" i="5"/>
  <c r="AC184" i="7"/>
  <c r="AC280" i="7"/>
  <c r="AC149" i="7"/>
  <c r="AC98" i="7"/>
  <c r="AE404" i="5"/>
  <c r="AE395" i="5"/>
  <c r="AE485" i="5"/>
  <c r="AC308" i="7"/>
  <c r="AE46" i="6"/>
  <c r="AC30" i="7"/>
  <c r="AE47" i="6"/>
  <c r="AC56" i="7"/>
  <c r="AE395" i="2"/>
  <c r="AE40" i="6"/>
  <c r="AE498" i="6"/>
  <c r="AE272" i="6"/>
  <c r="AE347" i="5"/>
  <c r="AE353" i="5"/>
  <c r="AE274" i="2"/>
  <c r="AE394" i="5"/>
  <c r="AE27" i="5"/>
  <c r="AE388" i="5"/>
  <c r="AE139" i="6"/>
  <c r="AC182" i="7"/>
  <c r="AE480" i="2"/>
  <c r="AE19" i="2"/>
  <c r="AE288" i="5"/>
  <c r="AC277" i="7"/>
  <c r="AE387" i="2"/>
  <c r="AE21" i="2"/>
  <c r="AE22" i="5"/>
  <c r="AE472" i="5"/>
  <c r="AE16" i="6"/>
  <c r="AE141" i="6"/>
  <c r="AC13" i="7"/>
  <c r="AE412" i="6"/>
  <c r="AE14" i="2"/>
  <c r="AC128" i="7"/>
  <c r="AE484" i="5"/>
  <c r="AE479" i="5"/>
  <c r="AE104" i="5"/>
  <c r="AC169" i="7"/>
  <c r="AE390" i="5"/>
  <c r="AE279" i="2"/>
  <c r="AE23" i="5"/>
  <c r="AE471" i="6"/>
  <c r="AE270" i="5"/>
  <c r="AC42" i="7"/>
  <c r="AE348" i="5"/>
  <c r="AE130" i="5"/>
  <c r="AE401" i="2"/>
  <c r="AE45" i="6"/>
  <c r="AE165" i="2"/>
  <c r="AE133" i="6"/>
  <c r="AE269" i="2"/>
  <c r="AE147" i="5"/>
  <c r="AC135" i="7"/>
  <c r="AE106" i="6"/>
  <c r="AE451" i="5"/>
  <c r="AE141" i="2"/>
  <c r="AE31" i="5"/>
  <c r="AC227" i="7"/>
  <c r="AC91" i="7"/>
  <c r="AE415" i="6"/>
  <c r="AC241" i="7"/>
  <c r="AE481" i="2"/>
  <c r="AE292" i="5"/>
  <c r="AE454" i="6"/>
  <c r="AE403" i="5"/>
  <c r="AE312" i="5"/>
  <c r="AC67" i="7"/>
  <c r="AC328" i="7"/>
  <c r="AE448" i="6"/>
  <c r="AE140" i="6"/>
  <c r="AE145" i="5"/>
  <c r="AC17" i="7"/>
  <c r="AC272" i="7"/>
  <c r="AE137" i="5"/>
  <c r="AE374" i="5"/>
  <c r="AC309" i="7"/>
  <c r="AE28" i="5"/>
  <c r="AC199" i="7"/>
  <c r="AC102" i="7"/>
  <c r="AE17" i="6"/>
  <c r="AC295" i="7"/>
  <c r="AE20" i="6"/>
  <c r="AC279" i="7"/>
  <c r="AE393" i="2"/>
  <c r="AE483" i="2"/>
  <c r="AE103" i="6"/>
  <c r="AC233" i="7"/>
  <c r="AE140" i="2"/>
  <c r="AE342" i="5"/>
  <c r="AE267" i="2"/>
  <c r="AC202" i="7"/>
  <c r="AE43" i="6"/>
  <c r="AC87" i="7"/>
  <c r="AE482" i="6"/>
  <c r="AE483" i="5"/>
  <c r="AE473" i="2"/>
  <c r="AE19" i="5"/>
  <c r="AC59" i="7"/>
  <c r="AC224" i="7"/>
  <c r="AE423" i="6"/>
  <c r="AC201" i="7"/>
  <c r="AC133" i="7"/>
  <c r="AE477" i="5"/>
  <c r="AE129" i="5"/>
  <c r="AC84" i="7"/>
  <c r="AC302" i="7"/>
  <c r="AE474" i="5"/>
  <c r="AC25" i="7"/>
  <c r="AE21" i="5"/>
  <c r="AE152" i="2"/>
  <c r="AE449" i="5"/>
  <c r="AE387" i="6"/>
  <c r="AE128" i="6"/>
  <c r="AE121" i="6"/>
  <c r="AE272" i="2"/>
  <c r="AC129" i="7"/>
  <c r="AE351" i="5"/>
  <c r="AE343" i="5"/>
  <c r="AC266" i="7"/>
  <c r="AC119" i="7"/>
  <c r="AE393" i="6"/>
  <c r="AE155" i="5"/>
  <c r="AE501" i="6"/>
  <c r="AC189" i="7"/>
  <c r="AE399" i="5"/>
  <c r="AE150" i="5"/>
  <c r="AE368" i="5"/>
  <c r="AE452" i="6"/>
  <c r="AE391" i="2"/>
  <c r="AC39" i="7"/>
  <c r="AC190" i="7"/>
  <c r="AE475" i="5"/>
  <c r="AC234" i="7"/>
  <c r="AC172" i="7"/>
  <c r="AC245" i="7"/>
  <c r="AC38" i="7"/>
  <c r="AE449" i="6"/>
  <c r="AE413" i="6"/>
  <c r="AE469" i="6"/>
  <c r="AC83" i="7"/>
  <c r="AE391" i="6"/>
  <c r="AE149" i="2"/>
  <c r="AC125" i="7"/>
  <c r="AC161" i="7"/>
  <c r="AC276" i="7"/>
  <c r="AC206" i="7"/>
  <c r="AE280" i="5"/>
  <c r="AE30" i="5"/>
  <c r="AE273" i="2"/>
  <c r="AC299" i="7"/>
  <c r="AE497" i="2"/>
  <c r="AC231" i="7"/>
  <c r="AE151" i="2"/>
  <c r="AE130" i="6"/>
  <c r="AE122" i="6"/>
  <c r="AE390" i="2"/>
  <c r="AE492" i="5"/>
  <c r="AE379" i="5"/>
  <c r="AE495" i="2"/>
  <c r="AC315" i="7"/>
  <c r="AE491" i="6"/>
  <c r="AC322" i="7"/>
  <c r="AE489" i="5"/>
  <c r="AE494" i="2"/>
  <c r="AE363" i="5"/>
  <c r="AC258" i="7"/>
  <c r="AE492" i="6"/>
  <c r="AC252" i="7"/>
  <c r="AE493" i="6"/>
  <c r="AC316" i="7"/>
  <c r="AC323" i="7"/>
  <c r="AE123" i="6"/>
  <c r="AE325" i="2"/>
  <c r="AE201" i="5"/>
  <c r="AE203" i="5"/>
  <c r="AE200" i="5"/>
  <c r="AE193" i="5"/>
  <c r="AE215" i="6"/>
  <c r="AC219" i="7"/>
  <c r="AE64" i="5"/>
  <c r="AE68" i="6"/>
  <c r="AE69" i="5"/>
  <c r="AE62" i="5"/>
  <c r="AE74" i="6"/>
  <c r="AE464" i="6"/>
  <c r="AE460" i="2"/>
  <c r="AC49" i="7"/>
  <c r="AE236" i="6"/>
  <c r="AE226" i="2"/>
  <c r="AE94" i="6"/>
  <c r="AE92" i="2"/>
  <c r="AE40" i="2"/>
  <c r="AE30" i="2"/>
  <c r="AE119" i="5"/>
  <c r="AE43" i="2"/>
  <c r="AE294" i="6"/>
  <c r="AE261" i="6"/>
  <c r="AE119" i="6"/>
  <c r="AE117" i="2"/>
  <c r="AE117" i="6"/>
  <c r="AE159" i="6"/>
  <c r="AE444" i="2"/>
  <c r="AE413" i="5"/>
  <c r="AE440" i="6"/>
  <c r="AE354" i="2"/>
  <c r="AE375" i="6"/>
  <c r="AE441" i="5"/>
  <c r="AE174" i="2"/>
  <c r="AE301" i="5"/>
  <c r="AE305" i="2"/>
  <c r="AE169" i="2"/>
  <c r="AE332" i="6"/>
  <c r="AE322" i="6"/>
  <c r="AE61" i="5"/>
  <c r="AC214" i="7"/>
  <c r="AE203" i="6"/>
  <c r="AE210" i="5"/>
  <c r="AE206" i="5"/>
  <c r="AE325" i="5"/>
  <c r="AE73" i="5"/>
  <c r="AE80" i="5"/>
  <c r="AE82" i="5"/>
  <c r="AE67" i="5"/>
  <c r="AE206" i="2"/>
  <c r="AC291" i="7"/>
  <c r="AE460" i="6"/>
  <c r="AC289" i="7"/>
  <c r="AE227" i="6"/>
  <c r="AE224" i="5"/>
  <c r="AE91" i="2"/>
  <c r="AE106" i="2"/>
  <c r="AE258" i="2"/>
  <c r="AE249" i="6"/>
  <c r="AE248" i="2"/>
  <c r="AE114" i="6"/>
  <c r="AE250" i="5"/>
  <c r="AE258" i="5"/>
  <c r="AE41" i="2"/>
  <c r="AE292" i="6"/>
  <c r="AE170" i="5"/>
  <c r="AE442" i="2"/>
  <c r="AE440" i="5"/>
  <c r="AE411" i="2"/>
  <c r="AE415" i="2"/>
  <c r="AE372" i="2"/>
  <c r="AE429" i="2"/>
  <c r="AE443" i="5"/>
  <c r="AE300" i="5"/>
  <c r="AE298" i="5"/>
  <c r="AC80" i="7"/>
  <c r="AE365" i="5"/>
  <c r="AE324" i="6"/>
  <c r="AE200" i="6"/>
  <c r="AE330" i="5"/>
  <c r="AE327" i="5"/>
  <c r="AE61" i="2"/>
  <c r="AE61" i="6"/>
  <c r="AE202" i="5"/>
  <c r="AE62" i="6"/>
  <c r="AE68" i="5"/>
  <c r="AE64" i="6"/>
  <c r="AE66" i="5"/>
  <c r="AE80" i="6"/>
  <c r="AE461" i="5"/>
  <c r="AC290" i="7"/>
  <c r="AE463" i="2"/>
  <c r="AE238" i="2"/>
  <c r="AE223" i="6"/>
  <c r="AE223" i="2"/>
  <c r="AE94" i="2"/>
  <c r="AE46" i="2"/>
  <c r="AE115" i="6"/>
  <c r="AE33" i="2"/>
  <c r="AE117" i="5"/>
  <c r="AE164" i="6"/>
  <c r="AE44" i="5"/>
  <c r="AE165" i="6"/>
  <c r="AE251" i="5"/>
  <c r="AE262" i="5"/>
  <c r="AE263" i="5"/>
  <c r="AE445" i="6"/>
  <c r="AE438" i="2"/>
  <c r="AE373" i="2"/>
  <c r="AE439" i="6"/>
  <c r="AE445" i="2"/>
  <c r="AE444" i="6"/>
  <c r="AC73" i="7"/>
  <c r="AC74" i="7"/>
  <c r="AE33" i="6"/>
  <c r="AE28" i="6"/>
  <c r="AE107" i="6"/>
  <c r="AE320" i="6"/>
  <c r="AC215" i="7"/>
  <c r="AE207" i="5"/>
  <c r="AC221" i="7"/>
  <c r="AE197" i="6"/>
  <c r="AE193" i="2"/>
  <c r="AE211" i="5"/>
  <c r="AE76" i="2"/>
  <c r="AE71" i="2"/>
  <c r="AE75" i="5"/>
  <c r="AE70" i="6"/>
  <c r="AE82" i="6"/>
  <c r="AC48" i="7"/>
  <c r="AC46" i="7"/>
  <c r="AE463" i="5"/>
  <c r="AE235" i="6"/>
  <c r="AE227" i="2"/>
  <c r="AE93" i="2"/>
  <c r="AE92" i="5"/>
  <c r="AE257" i="5"/>
  <c r="AE289" i="6"/>
  <c r="AE175" i="5"/>
  <c r="AE129" i="2"/>
  <c r="AE191" i="6"/>
  <c r="AE115" i="2"/>
  <c r="AE257" i="2"/>
  <c r="AE260" i="5"/>
  <c r="AE44" i="2"/>
  <c r="AE119" i="2"/>
  <c r="AE397" i="6"/>
  <c r="AE427" i="6"/>
  <c r="AE443" i="2"/>
  <c r="AE375" i="2"/>
  <c r="AE351" i="2"/>
  <c r="AE402" i="6"/>
  <c r="AE178" i="2"/>
  <c r="AE303" i="2"/>
  <c r="AE29" i="6"/>
  <c r="AE302" i="2"/>
  <c r="AE293" i="2"/>
  <c r="AE361" i="2"/>
  <c r="AE59" i="5"/>
  <c r="AE162" i="5"/>
  <c r="AE364" i="2"/>
  <c r="AE191" i="5"/>
  <c r="AE311" i="2"/>
  <c r="AE363" i="2"/>
  <c r="AE54" i="6"/>
  <c r="AE364" i="6"/>
  <c r="AE178" i="6"/>
  <c r="AE56" i="6"/>
  <c r="AE190" i="5"/>
  <c r="AE302" i="6"/>
  <c r="AE149" i="6"/>
  <c r="AE176" i="6"/>
  <c r="AE186" i="2"/>
  <c r="AE304" i="6"/>
  <c r="AE365" i="2"/>
  <c r="AE344" i="6"/>
  <c r="AE190" i="2"/>
  <c r="AE53" i="5"/>
  <c r="AE55" i="5"/>
  <c r="AE378" i="6"/>
  <c r="AC171" i="7"/>
  <c r="AE350" i="5"/>
  <c r="AE97" i="6"/>
  <c r="AE106" i="5"/>
  <c r="AC27" i="7"/>
  <c r="AE390" i="6"/>
  <c r="AC55" i="7"/>
  <c r="AE389" i="6"/>
  <c r="AE470" i="2"/>
  <c r="AE139" i="2"/>
  <c r="AE268" i="6"/>
  <c r="AC165" i="7"/>
  <c r="AE102" i="5"/>
  <c r="AC21" i="7"/>
  <c r="AC31" i="7"/>
  <c r="AE315" i="5"/>
  <c r="AE425" i="6"/>
  <c r="AE420" i="2"/>
  <c r="AC232" i="7"/>
  <c r="AC242" i="7"/>
  <c r="AE450" i="5"/>
  <c r="AE128" i="5"/>
  <c r="AE17" i="2"/>
  <c r="AC204" i="7"/>
  <c r="AC296" i="7"/>
  <c r="AC142" i="7"/>
  <c r="AE405" i="5"/>
  <c r="AC134" i="7"/>
  <c r="AE349" i="5"/>
  <c r="AC60" i="7"/>
  <c r="AC193" i="7"/>
  <c r="AE497" i="6"/>
  <c r="AE158" i="2"/>
  <c r="AE157" i="2"/>
  <c r="AC176" i="7"/>
  <c r="AE419" i="2"/>
  <c r="AC298" i="7"/>
  <c r="AC273" i="7"/>
  <c r="AE422" i="6"/>
  <c r="AE22" i="6"/>
  <c r="AE272" i="5"/>
  <c r="AE266" i="6"/>
  <c r="AC157" i="7"/>
  <c r="AC112" i="7"/>
  <c r="AC117" i="7"/>
  <c r="AE18" i="5"/>
  <c r="AE138" i="6"/>
  <c r="AE23" i="2"/>
  <c r="AE148" i="2"/>
  <c r="AC88" i="7"/>
  <c r="AE271" i="5"/>
  <c r="AC41" i="7"/>
  <c r="AE281" i="2"/>
  <c r="AC270" i="7"/>
  <c r="AE498" i="2"/>
  <c r="AE167" i="2"/>
  <c r="AC229" i="7"/>
  <c r="AC267" i="7"/>
  <c r="AC115" i="7"/>
  <c r="AC185" i="7"/>
  <c r="AC163" i="7"/>
  <c r="AC243" i="7"/>
  <c r="AE41" i="6"/>
  <c r="AE402" i="2"/>
  <c r="AE26" i="5"/>
  <c r="AE283" i="5"/>
  <c r="AE417" i="6"/>
  <c r="AC271" i="7"/>
  <c r="AC86" i="7"/>
  <c r="AE100" i="6"/>
  <c r="AE125" i="5"/>
  <c r="AE451" i="6"/>
  <c r="AE278" i="2"/>
  <c r="AE447" i="5"/>
  <c r="AE139" i="5"/>
  <c r="AE409" i="6"/>
  <c r="AC186" i="7"/>
  <c r="AE37" i="6"/>
  <c r="AC203" i="7"/>
  <c r="AE151" i="5"/>
  <c r="AC235" i="7"/>
  <c r="AE394" i="2"/>
  <c r="AC131" i="7"/>
  <c r="AE20" i="2"/>
  <c r="AE478" i="6"/>
  <c r="AC200" i="7"/>
  <c r="AC225" i="7"/>
  <c r="AE154" i="2"/>
  <c r="AE467" i="5"/>
  <c r="AE424" i="2"/>
  <c r="AC179" i="7"/>
  <c r="AE265" i="6"/>
  <c r="AE104" i="6"/>
  <c r="AE295" i="5"/>
  <c r="AE39" i="6"/>
  <c r="AE266" i="2"/>
  <c r="AC145" i="7"/>
  <c r="AC173" i="7"/>
  <c r="AE453" i="2"/>
  <c r="AE136" i="5"/>
  <c r="AE417" i="5"/>
  <c r="AC158" i="7"/>
  <c r="AC238" i="7"/>
  <c r="AE393" i="5"/>
  <c r="AC283" i="7"/>
  <c r="AC151" i="7"/>
  <c r="AE421" i="5"/>
  <c r="AE419" i="5"/>
  <c r="AE18" i="6"/>
  <c r="AC310" i="7"/>
  <c r="AC249" i="7"/>
  <c r="AE420" i="6"/>
  <c r="AC188" i="7"/>
  <c r="AE138" i="2"/>
  <c r="AC58" i="7"/>
  <c r="AE421" i="2"/>
  <c r="AE448" i="5"/>
  <c r="AC170" i="7"/>
  <c r="AE38" i="6"/>
  <c r="AC111" i="7"/>
  <c r="AE425" i="5"/>
  <c r="AE102" i="6"/>
  <c r="AE124" i="6"/>
  <c r="AE483" i="6"/>
  <c r="AE294" i="5"/>
  <c r="AC237" i="7"/>
  <c r="AE143" i="2"/>
  <c r="AC95" i="7"/>
  <c r="AE500" i="5"/>
  <c r="AE392" i="2"/>
  <c r="AE420" i="5"/>
  <c r="AC141" i="7"/>
  <c r="AE274" i="6"/>
  <c r="AC307" i="7"/>
  <c r="AE498" i="5"/>
  <c r="AC226" i="7"/>
  <c r="AC37" i="7"/>
  <c r="AE15" i="2"/>
  <c r="AE502" i="6"/>
  <c r="AE472" i="2"/>
  <c r="AC329" i="7"/>
  <c r="AC137" i="7"/>
  <c r="AC160" i="7"/>
  <c r="AC244" i="7"/>
  <c r="AC150" i="7"/>
  <c r="AE500" i="2"/>
  <c r="AE16" i="2"/>
  <c r="AE497" i="5"/>
  <c r="AE411" i="6"/>
  <c r="AE148" i="5"/>
  <c r="AE478" i="2"/>
  <c r="AC239" i="7"/>
  <c r="AE452" i="2"/>
  <c r="AE423" i="5"/>
  <c r="AC32" i="7"/>
  <c r="AE32" i="5"/>
  <c r="AC109" i="7"/>
  <c r="AE265" i="2"/>
  <c r="AE142" i="6"/>
  <c r="AE455" i="5"/>
  <c r="AC70" i="7"/>
  <c r="AE397" i="2"/>
  <c r="AE14" i="5"/>
  <c r="AC14" i="7"/>
  <c r="AC317" i="7"/>
  <c r="AC321" i="7"/>
  <c r="AE383" i="5"/>
  <c r="AE384" i="5"/>
  <c r="AC319" i="7"/>
  <c r="AE492" i="2"/>
  <c r="AC263" i="7"/>
  <c r="AC318" i="7"/>
  <c r="AE381" i="5"/>
  <c r="AC320" i="7"/>
  <c r="AE382" i="5"/>
  <c r="AC251" i="7"/>
  <c r="AE488" i="5"/>
  <c r="AC254" i="7"/>
  <c r="AE488" i="2"/>
  <c r="AE331" i="6"/>
  <c r="AE329" i="6"/>
  <c r="AE211" i="6"/>
  <c r="AE194" i="2"/>
  <c r="AE323" i="5"/>
  <c r="AC210" i="7"/>
  <c r="AE196" i="5"/>
  <c r="AE329" i="5"/>
  <c r="AE331" i="2"/>
  <c r="AE82" i="2"/>
  <c r="AE62" i="2"/>
  <c r="AE74" i="5"/>
  <c r="AE207" i="2"/>
  <c r="AC47" i="7"/>
  <c r="AE457" i="2"/>
  <c r="AE462" i="2"/>
  <c r="AE223" i="5"/>
  <c r="AE238" i="5"/>
  <c r="AE107" i="2"/>
  <c r="AE90" i="6"/>
  <c r="AE42" i="2"/>
  <c r="AE167" i="6"/>
  <c r="AE185" i="6"/>
  <c r="AE385" i="6"/>
  <c r="AE31" i="2"/>
  <c r="AE127" i="2"/>
  <c r="AE245" i="5"/>
  <c r="AE169" i="5"/>
  <c r="AE189" i="6"/>
  <c r="AE445" i="5"/>
  <c r="AE408" i="2"/>
  <c r="AE398" i="6"/>
  <c r="AE352" i="2"/>
  <c r="AE373" i="6"/>
  <c r="AE415" i="5"/>
  <c r="AE437" i="2"/>
  <c r="AE299" i="5"/>
  <c r="AE302" i="5"/>
  <c r="AE176" i="2"/>
  <c r="AE360" i="5"/>
  <c r="AE334" i="6"/>
  <c r="AE318" i="6"/>
  <c r="AE324" i="5"/>
  <c r="AE195" i="2"/>
  <c r="AC220" i="7"/>
  <c r="AE205" i="2"/>
  <c r="AE332" i="2"/>
  <c r="AE70" i="5"/>
  <c r="AE77" i="2"/>
  <c r="AE71" i="5"/>
  <c r="AE73" i="6"/>
  <c r="AE79" i="6"/>
  <c r="AC53" i="7"/>
  <c r="AE459" i="2"/>
  <c r="AE461" i="2"/>
  <c r="AE239" i="6"/>
  <c r="AE224" i="2"/>
  <c r="AE221" i="6"/>
  <c r="AE102" i="2"/>
  <c r="AE90" i="5"/>
  <c r="AE53" i="2"/>
  <c r="AE59" i="2"/>
  <c r="AE173" i="5"/>
  <c r="AE383" i="6"/>
  <c r="AE246" i="2"/>
  <c r="AE125" i="2"/>
  <c r="AE263" i="2"/>
  <c r="AE118" i="6"/>
  <c r="AE37" i="2"/>
  <c r="AE401" i="6"/>
  <c r="AE434" i="2"/>
  <c r="AE414" i="2"/>
  <c r="AE354" i="6"/>
  <c r="AE412" i="2"/>
  <c r="AE443" i="6"/>
  <c r="AE298" i="2"/>
  <c r="AC78" i="7"/>
  <c r="AE30" i="6"/>
  <c r="AE378" i="2"/>
  <c r="AE127" i="6"/>
  <c r="AE318" i="2"/>
  <c r="AE208" i="5"/>
  <c r="AE203" i="2"/>
  <c r="AE198" i="5"/>
  <c r="AC213" i="7"/>
  <c r="AC216" i="7"/>
  <c r="AE66" i="2"/>
  <c r="AE69" i="6"/>
  <c r="AE81" i="5"/>
  <c r="AE73" i="2"/>
  <c r="AE80" i="2"/>
  <c r="AE211" i="2"/>
  <c r="AC286" i="7"/>
  <c r="AE464" i="5"/>
  <c r="AC285" i="7"/>
  <c r="AE225" i="5"/>
  <c r="AE238" i="6"/>
  <c r="AE95" i="5"/>
  <c r="AE93" i="6"/>
  <c r="AE245" i="2"/>
  <c r="AE257" i="6"/>
  <c r="AE116" i="6"/>
  <c r="AE260" i="2"/>
  <c r="AE174" i="5"/>
  <c r="AE45" i="2"/>
  <c r="AE263" i="6"/>
  <c r="AE259" i="5"/>
  <c r="AE56" i="2"/>
  <c r="AE400" i="6"/>
  <c r="AE433" i="6"/>
  <c r="AE438" i="5"/>
  <c r="AE432" i="6"/>
  <c r="AE437" i="6"/>
  <c r="AE408" i="6"/>
  <c r="AE353" i="2"/>
  <c r="AE381" i="2"/>
  <c r="AC77" i="7"/>
  <c r="AE299" i="2"/>
  <c r="AE131" i="6"/>
  <c r="AE321" i="2"/>
  <c r="AE324" i="2"/>
  <c r="AE206" i="6"/>
  <c r="AE202" i="2"/>
  <c r="AE333" i="5"/>
  <c r="AE319" i="5"/>
  <c r="AE199" i="5"/>
  <c r="AE70" i="2"/>
  <c r="AE334" i="2"/>
  <c r="AE67" i="2"/>
  <c r="AE67" i="6"/>
  <c r="AE64" i="2"/>
  <c r="AE214" i="2"/>
  <c r="AE458" i="2"/>
  <c r="AE462" i="5"/>
  <c r="AE459" i="6"/>
  <c r="AE222" i="5"/>
  <c r="AE235" i="2"/>
  <c r="AE103" i="2"/>
  <c r="AE101" i="2"/>
  <c r="AE179" i="5"/>
  <c r="AE29" i="2"/>
  <c r="AE58" i="2"/>
  <c r="AE187" i="6"/>
  <c r="AE113" i="6"/>
  <c r="AE163" i="6"/>
  <c r="AE41" i="5"/>
  <c r="AE384" i="6"/>
  <c r="AE288" i="6"/>
  <c r="AE431" i="5"/>
  <c r="AE429" i="6"/>
  <c r="AE441" i="2"/>
  <c r="AE428" i="5"/>
  <c r="AE408" i="5"/>
  <c r="AE430" i="5"/>
  <c r="AE413" i="2"/>
  <c r="AC75" i="7"/>
  <c r="AE301" i="2"/>
  <c r="AE25" i="6"/>
  <c r="AC72" i="7"/>
  <c r="AE285" i="6"/>
  <c r="AE281" i="6"/>
  <c r="AE292" i="2"/>
  <c r="AE174" i="6"/>
  <c r="AE303" i="6"/>
  <c r="AE175" i="6"/>
  <c r="AE343" i="6"/>
  <c r="AE167" i="5"/>
  <c r="AE191" i="2"/>
  <c r="AE314" i="6"/>
  <c r="AE163" i="5"/>
  <c r="AE345" i="6"/>
  <c r="AE153" i="6"/>
  <c r="AE55" i="6"/>
  <c r="AE294" i="2"/>
  <c r="AE186" i="5"/>
  <c r="AE177" i="6"/>
  <c r="AE344" i="2"/>
  <c r="AE187" i="2"/>
  <c r="AE301" i="6"/>
  <c r="AE152" i="6"/>
  <c r="AE291" i="2"/>
  <c r="AE361" i="6"/>
  <c r="AE380" i="6"/>
  <c r="AE267" i="6"/>
  <c r="AE355" i="5"/>
  <c r="AE307" i="5"/>
  <c r="AE450" i="2"/>
  <c r="AE473" i="6"/>
  <c r="AC29" i="7"/>
  <c r="AE163" i="2"/>
  <c r="AC118" i="7"/>
  <c r="AC90" i="7"/>
  <c r="AE501" i="5"/>
  <c r="AE481" i="6"/>
  <c r="AC33" i="7"/>
  <c r="AE389" i="2"/>
  <c r="AE145" i="2"/>
  <c r="AE282" i="5"/>
  <c r="AE154" i="5"/>
  <c r="AE137" i="2"/>
  <c r="AE155" i="2"/>
  <c r="AC16" i="7"/>
  <c r="AE482" i="5"/>
  <c r="AC305" i="7"/>
  <c r="AC57" i="7"/>
  <c r="AE309" i="5"/>
  <c r="AE471" i="5"/>
  <c r="AC93" i="7"/>
  <c r="AC144" i="7"/>
  <c r="AE455" i="2"/>
  <c r="AC178" i="7"/>
  <c r="AC247" i="7"/>
  <c r="AE370" i="5"/>
  <c r="AC275" i="7"/>
  <c r="AE138" i="5"/>
  <c r="AE277" i="5"/>
  <c r="AE472" i="6"/>
  <c r="AE271" i="2"/>
  <c r="AE397" i="5"/>
  <c r="AE418" i="6"/>
  <c r="AE15" i="5"/>
  <c r="AC104" i="7"/>
  <c r="AC281" i="7"/>
  <c r="AE135" i="2"/>
  <c r="AC162" i="7"/>
  <c r="AE105" i="6"/>
  <c r="AC113" i="7"/>
  <c r="AE404" i="2"/>
  <c r="AE278" i="5"/>
  <c r="AE340" i="5"/>
  <c r="AE475" i="6"/>
  <c r="AE468" i="5"/>
  <c r="AC121" i="7"/>
  <c r="AC174" i="7"/>
  <c r="AE369" i="5"/>
  <c r="AE338" i="5"/>
  <c r="AC36" i="7"/>
  <c r="AE392" i="5"/>
  <c r="AC207" i="7"/>
  <c r="AC191" i="7"/>
  <c r="AE468" i="6"/>
  <c r="AC89" i="7"/>
  <c r="AE153" i="5"/>
  <c r="AC248" i="7"/>
  <c r="AE477" i="6"/>
  <c r="AC196" i="7"/>
  <c r="AC205" i="7"/>
  <c r="AE447" i="6"/>
  <c r="AC146" i="7"/>
  <c r="AE454" i="5"/>
  <c r="AE268" i="2"/>
  <c r="AE101" i="6"/>
  <c r="AE281" i="5"/>
  <c r="AE469" i="2"/>
  <c r="AE447" i="2"/>
  <c r="AE402" i="5"/>
  <c r="AE16" i="5"/>
  <c r="AE140" i="5"/>
  <c r="AE405" i="2"/>
  <c r="AE449" i="2"/>
  <c r="AC114" i="7"/>
  <c r="AC99" i="7"/>
  <c r="AE266" i="5"/>
  <c r="AE125" i="6"/>
  <c r="AC69" i="7"/>
  <c r="AE373" i="5"/>
  <c r="AE484" i="6"/>
  <c r="AE101" i="5"/>
  <c r="AE135" i="6"/>
  <c r="AE473" i="5"/>
  <c r="AE470" i="5"/>
  <c r="AE20" i="5"/>
  <c r="AE133" i="2"/>
  <c r="AE407" i="6"/>
  <c r="AE269" i="6"/>
  <c r="AE484" i="2"/>
  <c r="AE143" i="5"/>
  <c r="AC64" i="7"/>
  <c r="AE454" i="2"/>
  <c r="AC223" i="7"/>
  <c r="AC181" i="7"/>
  <c r="AE418" i="2"/>
  <c r="AE398" i="2"/>
  <c r="AE275" i="5"/>
  <c r="AE371" i="5"/>
  <c r="AE105" i="5"/>
  <c r="AE147" i="2"/>
  <c r="AE345" i="5"/>
  <c r="AE162" i="2"/>
  <c r="AE269" i="5"/>
  <c r="AE141" i="5"/>
  <c r="AE270" i="6"/>
  <c r="AC311" i="7"/>
  <c r="AC62" i="7"/>
  <c r="AE267" i="5"/>
  <c r="AE468" i="2"/>
  <c r="AE166" i="2"/>
  <c r="AE283" i="2"/>
  <c r="AE153" i="2"/>
  <c r="AE268" i="5"/>
  <c r="AE274" i="5"/>
  <c r="AE388" i="6"/>
  <c r="AE421" i="6"/>
  <c r="AE389" i="5"/>
  <c r="AE13" i="5"/>
  <c r="AC127" i="7"/>
  <c r="AE479" i="6"/>
  <c r="AE136" i="6"/>
  <c r="AE131" i="5"/>
  <c r="AC197" i="7"/>
  <c r="AE19" i="6"/>
  <c r="AC230" i="7"/>
  <c r="AE419" i="6"/>
  <c r="AC278" i="7"/>
  <c r="AC120" i="7"/>
  <c r="AE271" i="6"/>
  <c r="AC159" i="7"/>
  <c r="AE99" i="6"/>
  <c r="AE395" i="6"/>
  <c r="AE308" i="5"/>
  <c r="AE279" i="5"/>
  <c r="AE425" i="2"/>
  <c r="AE410" i="6"/>
  <c r="AC209" i="7"/>
  <c r="AE293" i="5"/>
  <c r="AE107" i="5"/>
  <c r="AE42" i="6"/>
  <c r="AE25" i="5"/>
  <c r="AC63" i="7"/>
  <c r="AC301" i="7"/>
  <c r="AC228" i="7"/>
  <c r="AC132" i="7"/>
  <c r="AE480" i="6"/>
  <c r="AE22" i="2"/>
  <c r="AE400" i="2"/>
  <c r="AE280" i="2"/>
  <c r="AE337" i="5"/>
  <c r="AC35" i="7"/>
  <c r="AE142" i="5"/>
  <c r="AC94" i="7"/>
  <c r="AC143" i="7"/>
  <c r="AC177" i="7"/>
  <c r="AE134" i="6"/>
  <c r="AE414" i="6"/>
  <c r="AE13" i="6"/>
  <c r="AC259" i="7"/>
  <c r="AE493" i="2"/>
  <c r="AC262" i="7"/>
  <c r="AE490" i="2"/>
  <c r="AE495" i="5"/>
  <c r="AE380" i="5"/>
  <c r="AE494" i="6"/>
  <c r="AE489" i="2"/>
  <c r="AE487" i="5"/>
  <c r="AC260" i="7"/>
  <c r="AE489" i="6"/>
  <c r="AE487" i="2"/>
  <c r="AC71" i="7"/>
  <c r="AE487" i="6"/>
  <c r="AE495" i="6"/>
  <c r="AE129" i="6"/>
  <c r="AE321" i="6"/>
  <c r="AE320" i="2"/>
  <c r="AE334" i="5"/>
  <c r="AE215" i="5"/>
  <c r="AE209" i="6"/>
  <c r="AE320" i="5"/>
  <c r="AE328" i="5"/>
  <c r="AE83" i="5"/>
  <c r="AE327" i="2"/>
  <c r="AE66" i="6"/>
  <c r="AE331" i="5"/>
  <c r="AE77" i="6"/>
  <c r="AC50" i="7"/>
  <c r="AC44" i="7"/>
  <c r="AC288" i="7"/>
  <c r="AE226" i="5"/>
  <c r="AE237" i="5"/>
  <c r="AE239" i="5"/>
  <c r="AE91" i="5"/>
  <c r="AE89" i="6"/>
  <c r="AE171" i="5"/>
  <c r="AE45" i="5"/>
  <c r="AE190" i="6"/>
  <c r="AE35" i="2"/>
  <c r="AE113" i="5"/>
  <c r="AE43" i="5"/>
  <c r="AE158" i="6"/>
  <c r="AE250" i="2"/>
  <c r="AE261" i="2"/>
  <c r="AE432" i="5"/>
  <c r="AE405" i="6"/>
  <c r="AE442" i="5"/>
  <c r="AE409" i="2"/>
  <c r="AE372" i="6"/>
  <c r="AE439" i="2"/>
  <c r="AE304" i="2"/>
  <c r="AE173" i="2"/>
  <c r="AE377" i="2"/>
  <c r="AE175" i="2"/>
  <c r="AE364" i="5"/>
  <c r="AE327" i="6"/>
  <c r="AE322" i="2"/>
  <c r="AC218" i="7"/>
  <c r="AE202" i="6"/>
  <c r="AE208" i="6"/>
  <c r="AE213" i="5"/>
  <c r="AE317" i="5"/>
  <c r="AE63" i="6"/>
  <c r="AE63" i="5"/>
  <c r="AE65" i="5"/>
  <c r="AE74" i="2"/>
  <c r="AE83" i="6"/>
  <c r="AC45" i="7"/>
  <c r="AE458" i="5"/>
  <c r="AC51" i="7"/>
  <c r="AE234" i="2"/>
  <c r="AE233" i="5"/>
  <c r="AE225" i="2"/>
  <c r="AE90" i="2"/>
  <c r="AE249" i="5"/>
  <c r="AE186" i="6"/>
  <c r="AE177" i="5"/>
  <c r="AE161" i="6"/>
  <c r="AE261" i="5"/>
  <c r="AE118" i="2"/>
  <c r="AE291" i="6"/>
  <c r="AE248" i="6"/>
  <c r="AE262" i="2"/>
  <c r="AE295" i="6"/>
  <c r="AE404" i="6"/>
  <c r="AE399" i="6"/>
  <c r="AE435" i="5"/>
  <c r="AE440" i="2"/>
  <c r="AE431" i="2"/>
  <c r="AE353" i="6"/>
  <c r="AE177" i="2"/>
  <c r="AC79" i="7"/>
  <c r="AE379" i="2"/>
  <c r="AE171" i="2"/>
  <c r="AE328" i="6"/>
  <c r="AE330" i="6"/>
  <c r="AC217" i="7"/>
  <c r="AC211" i="7"/>
  <c r="AE207" i="6"/>
  <c r="AE214" i="6"/>
  <c r="AE194" i="6"/>
  <c r="AE322" i="5"/>
  <c r="AE335" i="2"/>
  <c r="AE78" i="5"/>
  <c r="AE333" i="2"/>
  <c r="AE78" i="2"/>
  <c r="AE78" i="6"/>
  <c r="AE465" i="5"/>
  <c r="AE459" i="5"/>
  <c r="AE227" i="5"/>
  <c r="AE239" i="2"/>
  <c r="AE226" i="6"/>
  <c r="AE94" i="5"/>
  <c r="AE105" i="2"/>
  <c r="AE54" i="2"/>
  <c r="AE113" i="2"/>
  <c r="AE166" i="6"/>
  <c r="AE114" i="5"/>
  <c r="AE251" i="2"/>
  <c r="AE116" i="2"/>
  <c r="AE114" i="2"/>
  <c r="AE38" i="5"/>
  <c r="AE55" i="2"/>
  <c r="AE439" i="5"/>
  <c r="AE430" i="6"/>
  <c r="AE407" i="2"/>
  <c r="AE435" i="6"/>
  <c r="AE429" i="5"/>
  <c r="AE371" i="2"/>
  <c r="AE410" i="2"/>
  <c r="AE26" i="6"/>
  <c r="AE305" i="5"/>
  <c r="AE297" i="2"/>
  <c r="AE358" i="5"/>
  <c r="AE319" i="2"/>
  <c r="AE333" i="6"/>
  <c r="AE210" i="6"/>
  <c r="AE199" i="6"/>
  <c r="AE213" i="6"/>
  <c r="AE198" i="2"/>
  <c r="AE318" i="5"/>
  <c r="AE68" i="2"/>
  <c r="AE332" i="5"/>
  <c r="AE321" i="5"/>
  <c r="AE76" i="5"/>
  <c r="AE210" i="2"/>
  <c r="AE81" i="6"/>
  <c r="AE457" i="6"/>
  <c r="AE458" i="6"/>
  <c r="AE237" i="6"/>
  <c r="AE236" i="2"/>
  <c r="AE236" i="5"/>
  <c r="AE224" i="6"/>
  <c r="AE95" i="6"/>
  <c r="AE290" i="6"/>
  <c r="AE246" i="6"/>
  <c r="AE259" i="6"/>
  <c r="AE57" i="2"/>
  <c r="AE249" i="2"/>
  <c r="AE293" i="6"/>
  <c r="AE251" i="6"/>
  <c r="AE382" i="6"/>
  <c r="AE258" i="6"/>
  <c r="AE444" i="5"/>
  <c r="AE411" i="5"/>
  <c r="AE428" i="6"/>
  <c r="AE441" i="6"/>
  <c r="AE432" i="2"/>
  <c r="AE442" i="6"/>
  <c r="AE385" i="2"/>
  <c r="AE300" i="2"/>
  <c r="AC76" i="7"/>
  <c r="AE380" i="2"/>
  <c r="AE317" i="2"/>
  <c r="AD109" i="6"/>
  <c r="AD241" i="2"/>
  <c r="AD244" i="6"/>
  <c r="AD242" i="2"/>
  <c r="AD110" i="6"/>
  <c r="AD110" i="2"/>
  <c r="AD112" i="5"/>
  <c r="AD243" i="5"/>
  <c r="AD112" i="2"/>
  <c r="AD241" i="5"/>
  <c r="AD111" i="6"/>
  <c r="AD243" i="6"/>
  <c r="AD112" i="6"/>
  <c r="AD242" i="5"/>
  <c r="AD244" i="5"/>
  <c r="AD100" i="5"/>
  <c r="AD97" i="5"/>
  <c r="AD99" i="2"/>
  <c r="AD97" i="2"/>
  <c r="AD100" i="2"/>
  <c r="AD98" i="2"/>
  <c r="AD99" i="5"/>
  <c r="AD98" i="5"/>
  <c r="AD85" i="5"/>
  <c r="AD219" i="5"/>
  <c r="AD86" i="6"/>
  <c r="AD121" i="5"/>
  <c r="AD87" i="6"/>
  <c r="AD220" i="2"/>
  <c r="AD218" i="5"/>
  <c r="AD360" i="6"/>
  <c r="AD218" i="2"/>
  <c r="AD121" i="2"/>
  <c r="AD88" i="6"/>
  <c r="AD85" i="6"/>
  <c r="AD123" i="5"/>
  <c r="AD217" i="2"/>
  <c r="AD124" i="5"/>
  <c r="AD123" i="2"/>
  <c r="AD87" i="2"/>
  <c r="AD339" i="2"/>
  <c r="AD358" i="6"/>
  <c r="AD217" i="5"/>
  <c r="AD124" i="2"/>
  <c r="AD357" i="6"/>
  <c r="AD340" i="6"/>
  <c r="AD122" i="5"/>
  <c r="AD87" i="5"/>
  <c r="AD86" i="2"/>
  <c r="AD220" i="5"/>
  <c r="AD85" i="2"/>
  <c r="AD122" i="2"/>
  <c r="AD360" i="2"/>
  <c r="AD357" i="2"/>
  <c r="AD184" i="2"/>
  <c r="AD287" i="2"/>
  <c r="AD279" i="6"/>
  <c r="AD160" i="5"/>
  <c r="AD309" i="2"/>
  <c r="AD159" i="5"/>
  <c r="AD280" i="6"/>
  <c r="AD349" i="6"/>
  <c r="AD147" i="6"/>
  <c r="AD183" i="5"/>
  <c r="AD25" i="2"/>
  <c r="AD253" i="2"/>
  <c r="AD157" i="5"/>
  <c r="AD255" i="2"/>
  <c r="AD368" i="2"/>
  <c r="AD298" i="6"/>
  <c r="AD230" i="5"/>
  <c r="AD145" i="6"/>
  <c r="AD52" i="2"/>
  <c r="AD182" i="6"/>
  <c r="AD347" i="2"/>
  <c r="AD183" i="6"/>
  <c r="AD28" i="2"/>
  <c r="AD350" i="6"/>
  <c r="AD158" i="5"/>
  <c r="AD49" i="2"/>
  <c r="AD256" i="2"/>
  <c r="AD52" i="5"/>
  <c r="AD253" i="5"/>
  <c r="AD172" i="6"/>
  <c r="AD278" i="6"/>
  <c r="AD255" i="6"/>
  <c r="AD50" i="2"/>
  <c r="AD181" i="5"/>
  <c r="AD51" i="6"/>
  <c r="AD290" i="2"/>
  <c r="AD370" i="6"/>
  <c r="AD256" i="6"/>
  <c r="AD308" i="6"/>
  <c r="AD254" i="5"/>
  <c r="AD367" i="6"/>
  <c r="AD52" i="6"/>
  <c r="AD232" i="6"/>
  <c r="AD310" i="2"/>
  <c r="AD184" i="5"/>
  <c r="AD308" i="2"/>
  <c r="AD229" i="5"/>
  <c r="AD170" i="6"/>
  <c r="AD230" i="6"/>
  <c r="AD348" i="2"/>
  <c r="AD51" i="5"/>
  <c r="AD184" i="6"/>
  <c r="AD181" i="2"/>
  <c r="AD369" i="2"/>
  <c r="AD254" i="2"/>
  <c r="AD277" i="6"/>
  <c r="AD50" i="6"/>
  <c r="AD181" i="6"/>
  <c r="AD231" i="6"/>
  <c r="AD348" i="6"/>
  <c r="AD148" i="6"/>
  <c r="AD310" i="6"/>
  <c r="AD26" i="2"/>
  <c r="AD347" i="6"/>
  <c r="AD169" i="6"/>
  <c r="AD49" i="6"/>
  <c r="AD349" i="2"/>
  <c r="AD51" i="2"/>
  <c r="AD229" i="6"/>
  <c r="AD27" i="2"/>
  <c r="AD232" i="2"/>
  <c r="AD182" i="2"/>
  <c r="AD367" i="2"/>
  <c r="AD256" i="5"/>
  <c r="AD288" i="2"/>
  <c r="AD231" i="5"/>
  <c r="AD49" i="5"/>
  <c r="AD254" i="6"/>
  <c r="AD146" i="6"/>
  <c r="AD230" i="2"/>
  <c r="AD368" i="6"/>
  <c r="AD183" i="2"/>
  <c r="AD229" i="2"/>
  <c r="AD255" i="5"/>
  <c r="AD182" i="5"/>
  <c r="AD289" i="2"/>
  <c r="AD370" i="2"/>
  <c r="AD307" i="2"/>
  <c r="AD350" i="2"/>
  <c r="AD50" i="5"/>
  <c r="AD232" i="5"/>
  <c r="AD369" i="6"/>
  <c r="AD253" i="6"/>
  <c r="AD231" i="2"/>
  <c r="AE277" i="2" l="1"/>
  <c r="AE300" i="6"/>
  <c r="AE253" i="6"/>
  <c r="AE370" i="2"/>
  <c r="AE229" i="2"/>
  <c r="AE254" i="6"/>
  <c r="AE49" i="5"/>
  <c r="AE231" i="5"/>
  <c r="AE49" i="6"/>
  <c r="AE148" i="6"/>
  <c r="AE181" i="2"/>
  <c r="AE184" i="6"/>
  <c r="AE170" i="6"/>
  <c r="AE52" i="6"/>
  <c r="AE181" i="5"/>
  <c r="AE50" i="2"/>
  <c r="AE256" i="2"/>
  <c r="AE182" i="6"/>
  <c r="AE253" i="2"/>
  <c r="AE309" i="2"/>
  <c r="AE88" i="2"/>
  <c r="AE338" i="6"/>
  <c r="AE86" i="2"/>
  <c r="AE339" i="6"/>
  <c r="AE340" i="6"/>
  <c r="AE87" i="2"/>
  <c r="AE123" i="2"/>
  <c r="AE220" i="6"/>
  <c r="AE217" i="2"/>
  <c r="AE123" i="5"/>
  <c r="AE218" i="2"/>
  <c r="AE87" i="6"/>
  <c r="AE98" i="2"/>
  <c r="AE100" i="2"/>
  <c r="AE99" i="2"/>
  <c r="AE111" i="2"/>
  <c r="AE109" i="5"/>
  <c r="AE241" i="5"/>
  <c r="AE110" i="5"/>
  <c r="AE241" i="6"/>
  <c r="AE112" i="5"/>
  <c r="AE110" i="2"/>
  <c r="AE110" i="6"/>
  <c r="AE109" i="2"/>
  <c r="AE111" i="5"/>
  <c r="AE369" i="6"/>
  <c r="AE289" i="2"/>
  <c r="AE183" i="2"/>
  <c r="AE368" i="6"/>
  <c r="AE299" i="6"/>
  <c r="AE169" i="6"/>
  <c r="AE347" i="6"/>
  <c r="AE348" i="6"/>
  <c r="AE51" i="5"/>
  <c r="AE367" i="6"/>
  <c r="AE254" i="5"/>
  <c r="AE158" i="5"/>
  <c r="AE52" i="2"/>
  <c r="AE25" i="2"/>
  <c r="AE160" i="5"/>
  <c r="AE297" i="6"/>
  <c r="AE357" i="2"/>
  <c r="AE360" i="2"/>
  <c r="AE122" i="2"/>
  <c r="AE86" i="5"/>
  <c r="AE218" i="6"/>
  <c r="AE87" i="5"/>
  <c r="AE357" i="6"/>
  <c r="AE217" i="5"/>
  <c r="AE358" i="6"/>
  <c r="AE337" i="2"/>
  <c r="AE338" i="2"/>
  <c r="AE124" i="5"/>
  <c r="AE85" i="6"/>
  <c r="AE88" i="6"/>
  <c r="AE360" i="6"/>
  <c r="AE121" i="5"/>
  <c r="AE86" i="6"/>
  <c r="AE97" i="2"/>
  <c r="AE112" i="6"/>
  <c r="AE242" i="6"/>
  <c r="AE112" i="2"/>
  <c r="AE243" i="2"/>
  <c r="AE232" i="5"/>
  <c r="AE50" i="5"/>
  <c r="AE350" i="2"/>
  <c r="AE230" i="2"/>
  <c r="AE288" i="2"/>
  <c r="AE256" i="5"/>
  <c r="AE232" i="2"/>
  <c r="AE51" i="2"/>
  <c r="AE349" i="2"/>
  <c r="AE26" i="2"/>
  <c r="AE310" i="6"/>
  <c r="AE231" i="6"/>
  <c r="AE254" i="2"/>
  <c r="AE348" i="2"/>
  <c r="AE184" i="5"/>
  <c r="AE308" i="6"/>
  <c r="AE370" i="6"/>
  <c r="AE290" i="2"/>
  <c r="AE255" i="6"/>
  <c r="AE172" i="6"/>
  <c r="AE145" i="6"/>
  <c r="AE298" i="6"/>
  <c r="AE368" i="2"/>
  <c r="AE255" i="2"/>
  <c r="AE183" i="5"/>
  <c r="AE147" i="6"/>
  <c r="AE309" i="6"/>
  <c r="AE279" i="6"/>
  <c r="AE287" i="2"/>
  <c r="AE184" i="2"/>
  <c r="AE88" i="5"/>
  <c r="AE85" i="2"/>
  <c r="AE220" i="5"/>
  <c r="AE359" i="2"/>
  <c r="AE124" i="2"/>
  <c r="AE339" i="2"/>
  <c r="AE219" i="6"/>
  <c r="AE121" i="2"/>
  <c r="AE359" i="6"/>
  <c r="AE219" i="5"/>
  <c r="AE219" i="2"/>
  <c r="AE244" i="5"/>
  <c r="AE243" i="6"/>
  <c r="AE111" i="6"/>
  <c r="AE244" i="6"/>
  <c r="AE241" i="2"/>
  <c r="AE307" i="2"/>
  <c r="AE182" i="5"/>
  <c r="AE255" i="5"/>
  <c r="AE146" i="6"/>
  <c r="AE367" i="2"/>
  <c r="AE182" i="2"/>
  <c r="AE27" i="2"/>
  <c r="AE229" i="6"/>
  <c r="AE171" i="6"/>
  <c r="AE181" i="6"/>
  <c r="AE50" i="6"/>
  <c r="AE277" i="6"/>
  <c r="AE369" i="2"/>
  <c r="AE230" i="6"/>
  <c r="AE229" i="5"/>
  <c r="AE308" i="2"/>
  <c r="AE310" i="2"/>
  <c r="AE232" i="6"/>
  <c r="AE256" i="6"/>
  <c r="AE307" i="6"/>
  <c r="AE51" i="6"/>
  <c r="AE278" i="6"/>
  <c r="AE253" i="5"/>
  <c r="AE52" i="5"/>
  <c r="AE49" i="2"/>
  <c r="AE350" i="6"/>
  <c r="AE28" i="2"/>
  <c r="AE183" i="6"/>
  <c r="AE347" i="2"/>
  <c r="AE230" i="5"/>
  <c r="AE157" i="5"/>
  <c r="AE349" i="6"/>
  <c r="AE280" i="6"/>
  <c r="AE159" i="5"/>
  <c r="AE122" i="5"/>
  <c r="AE340" i="2"/>
  <c r="AE217" i="6"/>
  <c r="AE218" i="5"/>
  <c r="AE220" i="2"/>
  <c r="AE85" i="5"/>
  <c r="AE358" i="2"/>
  <c r="AE337" i="6"/>
  <c r="AE98" i="5"/>
  <c r="AE99" i="5"/>
  <c r="AE97" i="5"/>
  <c r="AE100" i="5"/>
  <c r="AE242" i="5"/>
  <c r="AE243" i="5"/>
  <c r="AE242" i="2"/>
  <c r="AE244" i="2"/>
  <c r="AE109" i="6"/>
  <c r="AE231" i="2"/>
</calcChain>
</file>

<file path=xl/sharedStrings.xml><?xml version="1.0" encoding="utf-8"?>
<sst xmlns="http://schemas.openxmlformats.org/spreadsheetml/2006/main" count="5512" uniqueCount="375">
  <si>
    <t>4 frontages houses</t>
  </si>
  <si>
    <t>&lt;1945</t>
  </si>
  <si>
    <t>1946-1970</t>
  </si>
  <si>
    <t>1971-1990</t>
  </si>
  <si>
    <t>Walls insulated</t>
  </si>
  <si>
    <t>Windows insulated</t>
  </si>
  <si>
    <t>Roof insulated</t>
  </si>
  <si>
    <t>Elec</t>
  </si>
  <si>
    <t>Walls not insulated</t>
  </si>
  <si>
    <t>Windows  insulated</t>
  </si>
  <si>
    <t>Roof not insulated</t>
  </si>
  <si>
    <t>Windows not insulated</t>
  </si>
  <si>
    <t>Floor insulated</t>
  </si>
  <si>
    <t>Floor non insulated</t>
  </si>
  <si>
    <t>1990-2007</t>
  </si>
  <si>
    <t>Wall insulated (pondered)</t>
  </si>
  <si>
    <t>GN</t>
  </si>
  <si>
    <t>Autres</t>
  </si>
  <si>
    <t>Centralisé</t>
  </si>
  <si>
    <t>Decentralisé</t>
  </si>
  <si>
    <t>Décentralisé</t>
  </si>
  <si>
    <t>SH</t>
  </si>
  <si>
    <t>Fuel oil</t>
  </si>
  <si>
    <t>Direct</t>
  </si>
  <si>
    <t>DHW</t>
  </si>
  <si>
    <t>Type</t>
  </si>
  <si>
    <t>Wall insulation</t>
  </si>
  <si>
    <t>Year</t>
  </si>
  <si>
    <t>Windows insulation</t>
  </si>
  <si>
    <t>Roof insulation</t>
  </si>
  <si>
    <t>Floor insulation</t>
  </si>
  <si>
    <t>Kints et al. (2008)</t>
  </si>
  <si>
    <t>Sufiquad/Allacker (2010) + INS (2012)</t>
  </si>
  <si>
    <t>Wallon energy balance (2007)</t>
  </si>
  <si>
    <t>for the global repartition</t>
  </si>
  <si>
    <t xml:space="preserve"> evolution as for walls</t>
  </si>
  <si>
    <t xml:space="preserve">0.5*Floor non insulated </t>
  </si>
  <si>
    <t xml:space="preserve"> with roof insulated=</t>
  </si>
  <si>
    <t xml:space="preserve"> non insulated</t>
  </si>
  <si>
    <t xml:space="preserve">Floor noninsulated with roof </t>
  </si>
  <si>
    <t>http://www.building-typology.eu/downloads/public/docs/report/TABULA_TR2_D8_NationalEnergyBalances.pdf</t>
  </si>
  <si>
    <t xml:space="preserve"> </t>
  </si>
  <si>
    <t>Tabula (2012)</t>
  </si>
  <si>
    <t xml:space="preserve">Same repartition as the </t>
  </si>
  <si>
    <t xml:space="preserve">global repartition for </t>
  </si>
  <si>
    <t>each period</t>
  </si>
  <si>
    <t>vector = SH vector or elec</t>
  </si>
  <si>
    <t>Occurence</t>
  </si>
  <si>
    <t>Centr/Decent</t>
  </si>
  <si>
    <t>Type*YOC</t>
  </si>
  <si>
    <t>http://www.lehr.be/Reports/UCL_Les_logements_wallons.pdf</t>
  </si>
  <si>
    <t>https://lirias.kuleuven.be/handle/123456789/267749</t>
  </si>
  <si>
    <t>http://statbel.fgov.be/fr/binaries/WEB_FR_Batibouw_2012_tcm326-164335.pdf</t>
  </si>
  <si>
    <r>
      <rPr>
        <u/>
        <sz val="11"/>
        <color indexed="8"/>
        <rFont val="Calibri"/>
        <family val="2"/>
      </rPr>
      <t>Assumption:</t>
    </r>
    <r>
      <rPr>
        <sz val="11"/>
        <color theme="1"/>
        <rFont val="Calibri"/>
        <family val="2"/>
        <scheme val="minor"/>
      </rPr>
      <t xml:space="preserve"> same proportinal</t>
    </r>
  </si>
  <si>
    <r>
      <rPr>
        <u/>
        <sz val="11"/>
        <color indexed="8"/>
        <rFont val="Calibri"/>
        <family val="2"/>
      </rPr>
      <t xml:space="preserve">Assumption: </t>
    </r>
    <r>
      <rPr>
        <sz val="11"/>
        <color theme="1"/>
        <rFont val="Calibri"/>
        <family val="2"/>
        <scheme val="minor"/>
      </rPr>
      <t>same proportinal</t>
    </r>
  </si>
  <si>
    <r>
      <rPr>
        <u/>
        <sz val="11"/>
        <color indexed="8"/>
        <rFont val="Calibri"/>
        <family val="2"/>
      </rPr>
      <t>Assumptions:</t>
    </r>
    <r>
      <rPr>
        <sz val="11"/>
        <color theme="1"/>
        <rFont val="Calibri"/>
        <family val="2"/>
        <scheme val="minor"/>
      </rPr>
      <t xml:space="preserve"> same proportinal</t>
    </r>
  </si>
  <si>
    <t>Check</t>
  </si>
  <si>
    <t>Fuel/oil</t>
  </si>
  <si>
    <t>Centr</t>
  </si>
  <si>
    <t>Dec</t>
  </si>
  <si>
    <t>Ind</t>
  </si>
  <si>
    <t>Coll</t>
  </si>
  <si>
    <t>Ind/Coll</t>
  </si>
  <si>
    <t>g_gl_n</t>
  </si>
  <si>
    <t>U-value</t>
  </si>
  <si>
    <t>Capacity</t>
  </si>
  <si>
    <t>total solar energy transmittance for radiation perpendicular to the glazing</t>
  </si>
  <si>
    <t>average for both window types, considering refurbished state</t>
  </si>
  <si>
    <t>W/(m²K)</t>
  </si>
  <si>
    <t>J/m²K</t>
  </si>
  <si>
    <t>GN_SH</t>
  </si>
  <si>
    <t>Fuel_SH</t>
  </si>
  <si>
    <t>Elec_SH</t>
  </si>
  <si>
    <t>Autres_SH</t>
  </si>
  <si>
    <t>Parameters</t>
  </si>
  <si>
    <t>Decentr</t>
  </si>
  <si>
    <t>GN_DHW</t>
  </si>
  <si>
    <t>Fuel_DHW</t>
  </si>
  <si>
    <t>Elec_DHW</t>
  </si>
  <si>
    <t>Autres_DHW</t>
  </si>
  <si>
    <t>1 or 0</t>
  </si>
  <si>
    <t xml:space="preserve">element type roof </t>
  </si>
  <si>
    <t>U_Roof</t>
  </si>
  <si>
    <t>U_Wall</t>
  </si>
  <si>
    <t xml:space="preserve">element type wall </t>
  </si>
  <si>
    <t>U_Floor</t>
  </si>
  <si>
    <t>U_Window</t>
  </si>
  <si>
    <t>U_Door</t>
  </si>
  <si>
    <t xml:space="preserve">element type door </t>
  </si>
  <si>
    <t>element type window</t>
  </si>
  <si>
    <t>element type floor</t>
  </si>
  <si>
    <t>C_Roof</t>
  </si>
  <si>
    <t>element type roof</t>
  </si>
  <si>
    <t>C_Wall</t>
  </si>
  <si>
    <t>Geometry reference</t>
  </si>
  <si>
    <t>element type wall</t>
  </si>
  <si>
    <t>[-]</t>
  </si>
  <si>
    <t>see Arborescence geometry Excell file</t>
  </si>
  <si>
    <t xml:space="preserve">element type floor </t>
  </si>
  <si>
    <t xml:space="preserve">U_Roof </t>
  </si>
  <si>
    <t xml:space="preserve">U_Wall </t>
  </si>
  <si>
    <t xml:space="preserve">U_Floor </t>
  </si>
  <si>
    <t xml:space="preserve">U_Window </t>
  </si>
  <si>
    <t xml:space="preserve">U_Door </t>
  </si>
  <si>
    <t xml:space="preserve">C_Roof </t>
  </si>
  <si>
    <t xml:space="preserve">C_Wall </t>
  </si>
  <si>
    <t xml:space="preserve">C_Floor </t>
  </si>
  <si>
    <t xml:space="preserve">C_Window </t>
  </si>
  <si>
    <t xml:space="preserve">C_Door </t>
  </si>
  <si>
    <t xml:space="preserve">element type window   </t>
  </si>
  <si>
    <t xml:space="preserve">element type door   </t>
  </si>
  <si>
    <t xml:space="preserve">element type roof  </t>
  </si>
  <si>
    <t xml:space="preserve">element type wall  </t>
  </si>
  <si>
    <t xml:space="preserve">element type floor  </t>
  </si>
  <si>
    <t xml:space="preserve">element type window  </t>
  </si>
  <si>
    <t xml:space="preserve">element type door  </t>
  </si>
  <si>
    <t>C_floor</t>
  </si>
  <si>
    <t>Construction rate</t>
  </si>
  <si>
    <t>%</t>
  </si>
  <si>
    <t>Demolition rate</t>
  </si>
  <si>
    <t>Demolished dwellings</t>
  </si>
  <si>
    <t>C_t=C_0*(1+i)^t</t>
  </si>
  <si>
    <t>Used formula</t>
  </si>
  <si>
    <t>Total number of dwellings</t>
  </si>
  <si>
    <t>∑</t>
  </si>
  <si>
    <t>Unit</t>
  </si>
  <si>
    <t>Freestanding</t>
  </si>
  <si>
    <t>Semi-detached</t>
  </si>
  <si>
    <t>Terraced</t>
  </si>
  <si>
    <t>Apartment</t>
  </si>
  <si>
    <t>Global rate</t>
  </si>
  <si>
    <t>Total:</t>
  </si>
  <si>
    <t>2007-2012</t>
  </si>
  <si>
    <t>Occurrence 2012</t>
  </si>
  <si>
    <t>2030 (addition or soustraction: cfr. demolition rate)</t>
  </si>
  <si>
    <t>Occurrence of 2012 = absolute number of 2030</t>
  </si>
  <si>
    <t>New dwellings repartition (type)</t>
  </si>
  <si>
    <t>Fuel</t>
  </si>
  <si>
    <t>Reference</t>
  </si>
  <si>
    <t>Legend:</t>
  </si>
  <si>
    <t>: User input</t>
  </si>
  <si>
    <t>Light renovation rate</t>
  </si>
  <si>
    <t>Heavy renovation rate</t>
  </si>
  <si>
    <t>Heavy renovation</t>
  </si>
  <si>
    <t>Light renovation</t>
  </si>
  <si>
    <t>Total renovation</t>
  </si>
  <si>
    <t>Totally not insulated</t>
  </si>
  <si>
    <t xml:space="preserve">http://www.iweps.be/evolution-du-parc-de-logements </t>
  </si>
  <si>
    <t>Global light renovation rate</t>
  </si>
  <si>
    <t>Global heavy renovation rate</t>
  </si>
  <si>
    <t>Total renovation rate</t>
  </si>
  <si>
    <t>Range</t>
  </si>
  <si>
    <t>0.5-0.8</t>
  </si>
  <si>
    <t>https://monitoringdesquartiers.irisnet.be/</t>
  </si>
  <si>
    <t>Data for Brussels region (extended to the national level)</t>
  </si>
  <si>
    <t>Renovation (global rate)</t>
  </si>
  <si>
    <t>Repartition (per age of construction)</t>
  </si>
  <si>
    <t>Light or heavy</t>
  </si>
  <si>
    <t xml:space="preserve">Repartition heavy/light </t>
  </si>
  <si>
    <t>???</t>
  </si>
  <si>
    <t>No information</t>
  </si>
  <si>
    <t>Year of construction</t>
  </si>
  <si>
    <t>&lt; 1945</t>
  </si>
  <si>
    <t>1945-1970</t>
  </si>
  <si>
    <t>1970-1990</t>
  </si>
  <si>
    <t>Light</t>
  </si>
  <si>
    <t>Heavy</t>
  </si>
  <si>
    <t xml:space="preserve">Unit </t>
  </si>
  <si>
    <t>Type of building</t>
  </si>
  <si>
    <t>Repartition energetic vector (2012-2030)</t>
  </si>
  <si>
    <t>Elec.</t>
  </si>
  <si>
    <r>
      <rPr>
        <u/>
        <sz val="13"/>
        <color indexed="8"/>
        <rFont val="Times New Roman"/>
        <family val="1"/>
      </rPr>
      <t>Assumption:</t>
    </r>
    <r>
      <rPr>
        <sz val="12"/>
        <color indexed="8"/>
        <rFont val="Times New Roman"/>
        <family val="1"/>
      </rPr>
      <t xml:space="preserve"> same energetic vector is used for both space heating and domestic hot water production</t>
    </r>
  </si>
  <si>
    <r>
      <t>∑</t>
    </r>
    <r>
      <rPr>
        <sz val="16"/>
        <color indexed="8"/>
        <rFont val="Times New Roman"/>
        <family val="1"/>
      </rPr>
      <t xml:space="preserve"> for light renovation:</t>
    </r>
  </si>
  <si>
    <r>
      <t>∑</t>
    </r>
    <r>
      <rPr>
        <sz val="16"/>
        <color indexed="8"/>
        <rFont val="Times New Roman"/>
        <family val="1"/>
      </rPr>
      <t xml:space="preserve"> for heavy renovation:</t>
    </r>
  </si>
  <si>
    <r>
      <t>∑</t>
    </r>
    <r>
      <rPr>
        <sz val="16"/>
        <color indexed="8"/>
        <rFont val="Times New Roman"/>
        <family val="1"/>
      </rPr>
      <t xml:space="preserve"> for freestanding</t>
    </r>
  </si>
  <si>
    <r>
      <t>∑</t>
    </r>
    <r>
      <rPr>
        <sz val="16"/>
        <color indexed="8"/>
        <rFont val="Times New Roman"/>
        <family val="1"/>
      </rPr>
      <t xml:space="preserve"> for semi-detached</t>
    </r>
  </si>
  <si>
    <r>
      <t>∑</t>
    </r>
    <r>
      <rPr>
        <sz val="16"/>
        <color indexed="8"/>
        <rFont val="Times New Roman"/>
        <family val="1"/>
      </rPr>
      <t xml:space="preserve"> for terraced</t>
    </r>
  </si>
  <si>
    <r>
      <t>∑</t>
    </r>
    <r>
      <rPr>
        <sz val="16"/>
        <color indexed="8"/>
        <rFont val="Times New Roman"/>
        <family val="1"/>
      </rPr>
      <t xml:space="preserve"> for apartment</t>
    </r>
  </si>
  <si>
    <r>
      <rPr>
        <u/>
        <sz val="13"/>
        <color indexed="8"/>
        <rFont val="Times New Roman"/>
        <family val="1"/>
      </rPr>
      <t>Assumption:</t>
    </r>
    <r>
      <rPr>
        <sz val="12"/>
        <color indexed="8"/>
        <rFont val="Times New Roman"/>
        <family val="1"/>
      </rPr>
      <t xml:space="preserve"> the number of renovation is assumed to be proportionnaly slited up between types of building. The repartition is also assumed to be independant of the energetic vector</t>
    </r>
  </si>
  <si>
    <r>
      <t>VITO.</t>
    </r>
    <r>
      <rPr>
        <i/>
        <sz val="11"/>
        <color indexed="8"/>
        <rFont val="Times New Roman"/>
        <family val="1"/>
      </rPr>
      <t xml:space="preserve">TABULA Project, </t>
    </r>
    <r>
      <rPr>
        <i/>
        <u/>
        <sz val="11"/>
        <color indexed="12"/>
        <rFont val="Times New Roman"/>
        <family val="1"/>
      </rPr>
      <t>http://www.building-typology.eu/</t>
    </r>
    <r>
      <rPr>
        <i/>
        <sz val="11"/>
        <color indexed="8"/>
        <rFont val="Times New Roman"/>
        <family val="1"/>
      </rPr>
      <t xml:space="preserve"> . </t>
    </r>
    <r>
      <rPr>
        <sz val="11"/>
        <color indexed="8"/>
        <rFont val="Times New Roman"/>
        <family val="1"/>
      </rPr>
      <t>2011.</t>
    </r>
  </si>
  <si>
    <r>
      <t xml:space="preserve">Lepur. </t>
    </r>
    <r>
      <rPr>
        <i/>
        <sz val="11"/>
        <color indexed="8"/>
        <rFont val="Times New Roman"/>
        <family val="1"/>
      </rPr>
      <t xml:space="preserve">PRODUCTION DE L'HABITAT ET ENJEUX TERRITORIAUX - région wallonne. </t>
    </r>
    <r>
      <rPr>
        <sz val="11"/>
        <color indexed="8"/>
        <rFont val="Times New Roman"/>
        <family val="1"/>
      </rPr>
      <t>ULg : s.n., 2012.</t>
    </r>
  </si>
  <si>
    <r>
      <rPr>
        <b/>
        <sz val="11"/>
        <color indexed="8"/>
        <rFont val="Times New Roman"/>
        <family val="1"/>
      </rPr>
      <t>Mc Kinsey  Company.</t>
    </r>
    <r>
      <rPr>
        <sz val="11"/>
        <color indexed="8"/>
        <rFont val="Times New Roman"/>
        <family val="1"/>
      </rPr>
      <t xml:space="preserve"> Vers une efficacité énergétique de niveau mondial en Belgique. 2009.</t>
    </r>
  </si>
  <si>
    <r>
      <t xml:space="preserve">                  </t>
    </r>
    <r>
      <rPr>
        <sz val="11"/>
        <color indexed="8"/>
        <rFont val="Times New Roman"/>
        <family val="1"/>
      </rPr>
      <t>electricity is supposed to represent the introduction of  heat pumps on the market</t>
    </r>
  </si>
  <si>
    <t>New dwellings</t>
  </si>
  <si>
    <r>
      <rPr>
        <u/>
        <sz val="13"/>
        <color indexed="8"/>
        <rFont val="Times New Roman"/>
        <family val="1"/>
      </rPr>
      <t>Assumption:</t>
    </r>
    <r>
      <rPr>
        <sz val="12"/>
        <color indexed="8"/>
        <rFont val="Times New Roman"/>
        <family val="1"/>
      </rPr>
      <t xml:space="preserve"> demolition concerns building constructed before 1945  and totally not insulated. If the number of demolished number is higher than the total number of not insulated building before 1945, then a part of the building constructed after 1945 is taken into account.  </t>
    </r>
  </si>
  <si>
    <t>Absolute number 2030 before taking into account the renovation</t>
  </si>
  <si>
    <t>New dwellings repartition</t>
  </si>
  <si>
    <t>Freestandings</t>
  </si>
  <si>
    <t>Total</t>
  </si>
  <si>
    <t>Gaz</t>
  </si>
  <si>
    <t>2012-2030</t>
  </si>
  <si>
    <t>cfr. CS</t>
  </si>
  <si>
    <t>Absolute number 2030 before taking into account renovation</t>
  </si>
  <si>
    <r>
      <rPr>
        <b/>
        <sz val="11"/>
        <color indexed="8"/>
        <rFont val="Calibri"/>
        <family val="2"/>
      </rPr>
      <t>∑</t>
    </r>
    <r>
      <rPr>
        <b/>
        <sz val="11"/>
        <color indexed="8"/>
        <rFont val="Calibri"/>
        <family val="2"/>
      </rPr>
      <t xml:space="preserve">Occurrence 2012 (before 1945) </t>
    </r>
  </si>
  <si>
    <t xml:space="preserve">∑Occurrence 2012      (45-70) </t>
  </si>
  <si>
    <r>
      <rPr>
        <b/>
        <sz val="11"/>
        <color indexed="8"/>
        <rFont val="Calibri"/>
        <family val="2"/>
      </rPr>
      <t>∑</t>
    </r>
    <r>
      <rPr>
        <b/>
        <sz val="11"/>
        <color indexed="8"/>
        <rFont val="Calibri"/>
        <family val="2"/>
      </rPr>
      <t xml:space="preserve">Occurrence 2012       (70-90) </t>
    </r>
  </si>
  <si>
    <t>2012 occ. relative -&gt; 2030 absolute</t>
  </si>
  <si>
    <t>Intermediate calculus</t>
  </si>
  <si>
    <t xml:space="preserve">to be compared to </t>
  </si>
  <si>
    <t>Coefficient</t>
  </si>
  <si>
    <t>Case</t>
  </si>
  <si>
    <t>Verification arborescence</t>
  </si>
  <si>
    <t>Different cases are envisionned</t>
  </si>
  <si>
    <t xml:space="preserve">Total - (light + heavy) </t>
  </si>
  <si>
    <t>Absolute number 2030 by taking into account the heavy renovation rate</t>
  </si>
  <si>
    <t>Same total occurence but repartition (i.e. what is removed from one category is added to another)</t>
  </si>
  <si>
    <r>
      <t>∑</t>
    </r>
    <r>
      <rPr>
        <b/>
        <sz val="11"/>
        <color indexed="8"/>
        <rFont val="Calibri"/>
        <family val="2"/>
      </rPr>
      <t xml:space="preserve">Absolute 2030 (before 1945) </t>
    </r>
  </si>
  <si>
    <t xml:space="preserve">∑Absolute 2030        (45-70) </t>
  </si>
  <si>
    <r>
      <t>∑</t>
    </r>
    <r>
      <rPr>
        <b/>
        <sz val="11"/>
        <color indexed="8"/>
        <rFont val="Calibri"/>
        <family val="2"/>
      </rPr>
      <t xml:space="preserve">Absolute 2030        (70-90) </t>
    </r>
  </si>
  <si>
    <r>
      <t>∑</t>
    </r>
    <r>
      <rPr>
        <b/>
        <sz val="11"/>
        <color indexed="8"/>
        <rFont val="Calibri"/>
        <family val="2"/>
      </rPr>
      <t xml:space="preserve">Absolute 2030         (90-07) </t>
    </r>
  </si>
  <si>
    <t>Global rates</t>
  </si>
  <si>
    <t>Demolition</t>
  </si>
  <si>
    <t>Evolution</t>
  </si>
  <si>
    <t>C_0 =</t>
  </si>
  <si>
    <t xml:space="preserve">Totally not insulated                      </t>
  </si>
  <si>
    <t>YOC</t>
  </si>
  <si>
    <t>Totally not insulated except wind.</t>
  </si>
  <si>
    <t>OK</t>
  </si>
  <si>
    <t>: To be checked by the user (unconsistancy if the text and blackground colour are in red)</t>
  </si>
  <si>
    <t>with</t>
  </si>
  <si>
    <t>Comparison</t>
  </si>
  <si>
    <t>Actualized value (Heavy renovation)</t>
  </si>
  <si>
    <t>Total reno. rate</t>
  </si>
  <si>
    <t>Totally not insulated except wind. &amp; floor</t>
  </si>
  <si>
    <t>Absolute number 2030 by taking into account the heavy/light renovation rate</t>
  </si>
  <si>
    <t>Type*YOC 2012</t>
  </si>
  <si>
    <r>
      <t>∑abs</t>
    </r>
    <r>
      <rPr>
        <b/>
        <sz val="11"/>
        <color indexed="8"/>
        <rFont val="Calibri"/>
        <family val="2"/>
      </rPr>
      <t xml:space="preserve"> 2030</t>
    </r>
  </si>
  <si>
    <r>
      <t>∑occ</t>
    </r>
    <r>
      <rPr>
        <b/>
        <sz val="11"/>
        <color indexed="8"/>
        <rFont val="Calibri"/>
        <family val="2"/>
      </rPr>
      <t>. 2030</t>
    </r>
  </si>
  <si>
    <t>Floor not insulated</t>
  </si>
  <si>
    <t>Floor not  insulated</t>
  </si>
  <si>
    <t>Floornot  insulated</t>
  </si>
  <si>
    <r>
      <t>A</t>
    </r>
    <r>
      <rPr>
        <b/>
        <vertAlign val="subscript"/>
        <sz val="11"/>
        <color indexed="8"/>
        <rFont val="Times New Roman"/>
        <family val="1"/>
      </rPr>
      <t>int</t>
    </r>
  </si>
  <si>
    <r>
      <t>A</t>
    </r>
    <r>
      <rPr>
        <b/>
        <vertAlign val="subscript"/>
        <sz val="11"/>
        <color indexed="8"/>
        <rFont val="Times New Roman"/>
        <family val="1"/>
      </rPr>
      <t>adj</t>
    </r>
  </si>
  <si>
    <r>
      <t>A</t>
    </r>
    <r>
      <rPr>
        <b/>
        <vertAlign val="subscript"/>
        <sz val="11"/>
        <color indexed="8"/>
        <rFont val="Times New Roman"/>
        <family val="1"/>
      </rPr>
      <t>door</t>
    </r>
  </si>
  <si>
    <r>
      <t>A</t>
    </r>
    <r>
      <rPr>
        <b/>
        <vertAlign val="subscript"/>
        <sz val="11"/>
        <color indexed="8"/>
        <rFont val="Times New Roman"/>
        <family val="1"/>
      </rPr>
      <t>floor</t>
    </r>
  </si>
  <si>
    <r>
      <t>A</t>
    </r>
    <r>
      <rPr>
        <b/>
        <vertAlign val="subscript"/>
        <sz val="11"/>
        <color indexed="8"/>
        <rFont val="Times New Roman"/>
        <family val="1"/>
      </rPr>
      <t>roof</t>
    </r>
  </si>
  <si>
    <r>
      <t>A</t>
    </r>
    <r>
      <rPr>
        <b/>
        <vertAlign val="subscript"/>
        <sz val="11"/>
        <color indexed="8"/>
        <rFont val="Times New Roman"/>
        <family val="1"/>
      </rPr>
      <t>wind</t>
    </r>
  </si>
  <si>
    <r>
      <t>A</t>
    </r>
    <r>
      <rPr>
        <b/>
        <vertAlign val="subscript"/>
        <sz val="11"/>
        <color indexed="8"/>
        <rFont val="Times New Roman"/>
        <family val="1"/>
      </rPr>
      <t>wall</t>
    </r>
  </si>
  <si>
    <t>Corridor</t>
  </si>
  <si>
    <t>Unheated</t>
  </si>
  <si>
    <t>Bathroom</t>
  </si>
  <si>
    <t>Kitchen</t>
  </si>
  <si>
    <t>Night</t>
  </si>
  <si>
    <t>Life</t>
  </si>
  <si>
    <t>Zones</t>
  </si>
  <si>
    <r>
      <t>A</t>
    </r>
    <r>
      <rPr>
        <b/>
        <vertAlign val="subscript"/>
        <sz val="11"/>
        <color indexed="8"/>
        <rFont val="Times New Roman"/>
        <family val="1"/>
      </rPr>
      <t>corridor</t>
    </r>
  </si>
  <si>
    <r>
      <t>A</t>
    </r>
    <r>
      <rPr>
        <b/>
        <vertAlign val="subscript"/>
        <sz val="11"/>
        <color indexed="8"/>
        <rFont val="Times New Roman"/>
        <family val="1"/>
      </rPr>
      <t>unheated</t>
    </r>
  </si>
  <si>
    <r>
      <t>A</t>
    </r>
    <r>
      <rPr>
        <b/>
        <vertAlign val="subscript"/>
        <sz val="11"/>
        <color indexed="8"/>
        <rFont val="Times New Roman"/>
        <family val="1"/>
      </rPr>
      <t>bathroom</t>
    </r>
  </si>
  <si>
    <r>
      <t>A</t>
    </r>
    <r>
      <rPr>
        <b/>
        <vertAlign val="subscript"/>
        <sz val="11"/>
        <color indexed="8"/>
        <rFont val="Times New Roman"/>
        <family val="1"/>
      </rPr>
      <t>kitchen</t>
    </r>
  </si>
  <si>
    <r>
      <t>A</t>
    </r>
    <r>
      <rPr>
        <b/>
        <vertAlign val="subscript"/>
        <sz val="11"/>
        <color indexed="8"/>
        <rFont val="Times New Roman"/>
        <family val="1"/>
      </rPr>
      <t>night</t>
    </r>
  </si>
  <si>
    <r>
      <t>A</t>
    </r>
    <r>
      <rPr>
        <b/>
        <vertAlign val="subscript"/>
        <sz val="11"/>
        <color indexed="8"/>
        <rFont val="Times New Roman"/>
        <family val="1"/>
      </rPr>
      <t>life</t>
    </r>
  </si>
  <si>
    <r>
      <t>Volume [m</t>
    </r>
    <r>
      <rPr>
        <b/>
        <vertAlign val="superscript"/>
        <sz val="11"/>
        <color indexed="8"/>
        <rFont val="Times New Roman"/>
        <family val="1"/>
      </rPr>
      <t>3</t>
    </r>
    <r>
      <rPr>
        <b/>
        <sz val="11"/>
        <color indexed="8"/>
        <rFont val="Times New Roman"/>
        <family val="1"/>
      </rPr>
      <t>]</t>
    </r>
  </si>
  <si>
    <t>Floor area [m2]</t>
  </si>
  <si>
    <t>Zones floor area/volume</t>
  </si>
  <si>
    <r>
      <t>h</t>
    </r>
    <r>
      <rPr>
        <b/>
        <vertAlign val="subscript"/>
        <sz val="11"/>
        <color indexed="8"/>
        <rFont val="Times New Roman"/>
        <family val="1"/>
      </rPr>
      <t>level,3</t>
    </r>
  </si>
  <si>
    <r>
      <t>h</t>
    </r>
    <r>
      <rPr>
        <b/>
        <vertAlign val="subscript"/>
        <sz val="11"/>
        <color indexed="8"/>
        <rFont val="Times New Roman"/>
        <family val="1"/>
      </rPr>
      <t>level,2</t>
    </r>
  </si>
  <si>
    <r>
      <t>h</t>
    </r>
    <r>
      <rPr>
        <b/>
        <vertAlign val="subscript"/>
        <sz val="11"/>
        <color indexed="8"/>
        <rFont val="Times New Roman"/>
        <family val="1"/>
      </rPr>
      <t xml:space="preserve">level,1 </t>
    </r>
  </si>
  <si>
    <r>
      <t>h</t>
    </r>
    <r>
      <rPr>
        <b/>
        <vertAlign val="subscript"/>
        <sz val="11"/>
        <color indexed="8"/>
        <rFont val="Times New Roman"/>
        <family val="1"/>
      </rPr>
      <t>level,0</t>
    </r>
    <r>
      <rPr>
        <b/>
        <sz val="11"/>
        <color indexed="8"/>
        <rFont val="Times New Roman"/>
        <family val="1"/>
      </rPr>
      <t xml:space="preserve"> </t>
    </r>
  </si>
  <si>
    <t xml:space="preserve">Level </t>
  </si>
  <si>
    <r>
      <t>A</t>
    </r>
    <r>
      <rPr>
        <b/>
        <vertAlign val="subscript"/>
        <sz val="11"/>
        <color indexed="8"/>
        <rFont val="Times New Roman"/>
        <family val="1"/>
      </rPr>
      <t xml:space="preserve">floor,0  </t>
    </r>
  </si>
  <si>
    <r>
      <t>A</t>
    </r>
    <r>
      <rPr>
        <b/>
        <vertAlign val="subscript"/>
        <sz val="11"/>
        <color indexed="8"/>
        <rFont val="Times New Roman"/>
        <family val="1"/>
      </rPr>
      <t xml:space="preserve">tot,floor  </t>
    </r>
  </si>
  <si>
    <t>General characteristics</t>
  </si>
  <si>
    <r>
      <t>h</t>
    </r>
    <r>
      <rPr>
        <b/>
        <vertAlign val="subscript"/>
        <sz val="11"/>
        <color indexed="8"/>
        <rFont val="Times New Roman"/>
        <family val="1"/>
      </rPr>
      <t xml:space="preserve">level,2 </t>
    </r>
  </si>
  <si>
    <r>
      <t>h</t>
    </r>
    <r>
      <rPr>
        <b/>
        <vertAlign val="subscript"/>
        <sz val="11"/>
        <color indexed="8"/>
        <rFont val="Times New Roman"/>
        <family val="1"/>
      </rPr>
      <t>level,3</t>
    </r>
    <r>
      <rPr>
        <b/>
        <sz val="11"/>
        <color indexed="8"/>
        <rFont val="Times New Roman"/>
        <family val="1"/>
      </rPr>
      <t xml:space="preserve"> </t>
    </r>
  </si>
  <si>
    <t>0</t>
  </si>
  <si>
    <t>W/K</t>
  </si>
  <si>
    <t>AU</t>
  </si>
  <si>
    <t>U</t>
  </si>
  <si>
    <t>Weighted averaged</t>
  </si>
  <si>
    <t>Heat pump</t>
  </si>
  <si>
    <t>Occurrence 2030 BAU</t>
  </si>
  <si>
    <t>Q_dot</t>
  </si>
  <si>
    <t>W</t>
  </si>
  <si>
    <t>80% à -10°C</t>
  </si>
  <si>
    <t>Maximal heat pump occurrence</t>
  </si>
  <si>
    <t>Homogeneous repartion</t>
  </si>
  <si>
    <t>Maximal penetration rate</t>
  </si>
  <si>
    <t>Global penetration rate in 2030</t>
  </si>
  <si>
    <t>BAU unchanged after HP</t>
  </si>
  <si>
    <t>during</t>
  </si>
  <si>
    <t>h</t>
  </si>
  <si>
    <t>to be cost effective</t>
  </si>
  <si>
    <t>Micro cogen</t>
  </si>
  <si>
    <t>T</t>
  </si>
  <si>
    <t>°C</t>
  </si>
  <si>
    <t>if the occurrence of this t or t inferior is higher than Xh, then the microcogen is cost effective</t>
  </si>
  <si>
    <t>-</t>
  </si>
  <si>
    <t>Maximal cogen occurrence</t>
  </si>
  <si>
    <r>
      <rPr>
        <b/>
        <i/>
        <u/>
        <sz val="16"/>
        <color indexed="8"/>
        <rFont val="Calibri"/>
        <family val="2"/>
      </rPr>
      <t>µ</t>
    </r>
    <r>
      <rPr>
        <b/>
        <i/>
        <u/>
        <sz val="16"/>
        <color indexed="8"/>
        <rFont val="Times New Roman"/>
        <family val="1"/>
      </rPr>
      <t>CHP</t>
    </r>
  </si>
  <si>
    <t>Total chauffé</t>
  </si>
  <si>
    <t>District Heating</t>
  </si>
  <si>
    <t>BAU unchanged after HP + micro cogen</t>
  </si>
  <si>
    <t>BAU unchanged after micro cogen + HP</t>
  </si>
  <si>
    <t>BAU unchanged after HP + micro cogen+DH</t>
  </si>
  <si>
    <t xml:space="preserve">BAU unchanged after HP + micro cogen + PAC </t>
  </si>
  <si>
    <t>BAU unchanged after HP + micro cogen + DH</t>
  </si>
  <si>
    <t>District heating</t>
  </si>
  <si>
    <t>Heating power</t>
  </si>
  <si>
    <t xml:space="preserve">Maximal heat pump power </t>
  </si>
  <si>
    <t>µ-CHP</t>
  </si>
  <si>
    <t>DH</t>
  </si>
  <si>
    <t>at -10 °C</t>
  </si>
  <si>
    <t>at 7°C</t>
  </si>
  <si>
    <t>PV collectors</t>
  </si>
  <si>
    <t>Solar thermal collectors</t>
  </si>
  <si>
    <t>Maximal µ-CHP occurrence</t>
  </si>
  <si>
    <t>Occurrence 2030 BAU -MicroCogen</t>
  </si>
  <si>
    <t>Thermal solar repartition</t>
  </si>
  <si>
    <t>Ratio</t>
  </si>
  <si>
    <t>Absolute number 2030 by taking into account the heavy+light renovation rate</t>
  </si>
  <si>
    <t xml:space="preserve">Atot,floor  </t>
  </si>
  <si>
    <t>Vol tot</t>
  </si>
  <si>
    <t>A roof</t>
  </si>
  <si>
    <t>A wall</t>
  </si>
  <si>
    <t>A floor</t>
  </si>
  <si>
    <t>A window</t>
  </si>
  <si>
    <t>A door</t>
  </si>
  <si>
    <t>m^2</t>
  </si>
  <si>
    <t>h_in</t>
  </si>
  <si>
    <t>h_out</t>
  </si>
  <si>
    <t>W/m^2-K</t>
  </si>
  <si>
    <t>AU_roof</t>
  </si>
  <si>
    <t>AU_wall</t>
  </si>
  <si>
    <t>AU_floor</t>
  </si>
  <si>
    <t>AU_wd</t>
  </si>
  <si>
    <t>AU_door</t>
  </si>
  <si>
    <t>AU tot</t>
  </si>
  <si>
    <t>Ventilation</t>
  </si>
  <si>
    <t>h_in _wd</t>
  </si>
  <si>
    <t>h_out_wd</t>
  </si>
  <si>
    <t>T_out_design</t>
  </si>
  <si>
    <t>T_in_design</t>
  </si>
  <si>
    <t>DELTA_setback</t>
  </si>
  <si>
    <t>DELTA_gains</t>
  </si>
  <si>
    <t>°K</t>
  </si>
  <si>
    <t>NBN-NB62-301</t>
  </si>
  <si>
    <t>Heating Load</t>
  </si>
  <si>
    <t>kW</t>
  </si>
  <si>
    <t>Heating Demand</t>
  </si>
  <si>
    <t>A_unheated</t>
  </si>
  <si>
    <t>AU_unh</t>
  </si>
  <si>
    <t>T_in_eq</t>
  </si>
  <si>
    <t>HDD 15/15</t>
  </si>
  <si>
    <t>Heating days</t>
  </si>
  <si>
    <t>Uccle</t>
  </si>
  <si>
    <t>Infiltration rate</t>
  </si>
  <si>
    <t>1/h</t>
  </si>
  <si>
    <t>T_out_m</t>
  </si>
  <si>
    <t>Awin</t>
  </si>
  <si>
    <t>Adoor</t>
  </si>
  <si>
    <t>Awall</t>
  </si>
  <si>
    <t>Aroof</t>
  </si>
  <si>
    <t>A\ground</t>
  </si>
  <si>
    <t>A\cellar</t>
  </si>
  <si>
    <t>A\ventilated</t>
  </si>
  <si>
    <t>A\protected</t>
  </si>
  <si>
    <t>Thermal bridging</t>
  </si>
  <si>
    <t>DELTAU</t>
  </si>
  <si>
    <t>[W/m²K]</t>
  </si>
  <si>
    <t>Infiltrations</t>
  </si>
  <si>
    <t>à 50 Pa</t>
  </si>
  <si>
    <t>m³/hm²</t>
  </si>
  <si>
    <t>Date</t>
  </si>
  <si>
    <t>Authors</t>
  </si>
  <si>
    <t>Website</t>
  </si>
  <si>
    <t>Samuel GENDEBIEN, Emeline GEORGES, Stéphane BERTAGNOLIO, Vincent LEMORT</t>
  </si>
  <si>
    <t>March 2015</t>
  </si>
  <si>
    <t>www.labothap.ulg.ac.be</t>
  </si>
  <si>
    <t>Adress</t>
  </si>
  <si>
    <t>University of Liège 
Faculty of Applied Sciences
Thermodynamics Laboratory
Campus of Sart-tilman, B49 (P33)
B-4000 LIEGE (BELGIUM)</t>
  </si>
  <si>
    <t>Short description</t>
  </si>
  <si>
    <t>Belgian building stock tree structure: ProCEBaR Model v1.1</t>
  </si>
  <si>
    <t>Corresponding email</t>
  </si>
  <si>
    <t>sgendebien@ulg.ac.be</t>
  </si>
  <si>
    <t xml:space="preserve">The aim of the present tree structure consists in characterizing the current Belgian residential building stock (year 2012) in the frame of a bottom-up approach in order to model and simulate the domestic energy use. 992 cases supposed to represent the building stock are distinguished for the 2012 tree-structure description. The final tree-structure of 2012 is also turned into a so called “evolutionary” tree-structure to simulate possible evolutions of the building stock by taking into account a yearly demolition rate, a yearly construction rate, a yearly heavy retrofit rate and a yearly light retrofit rate. Those rates can be adjusted by the user.The 2030 horizon is particularly important for electricity and gas suppliers for mid-term planning and estimation of the global modification of the residential sector energy demand. 2030 prospective study could also give HVAC manufacturers indications about the potential introduction of an innovative system on the market.Insights regarding prospects for required installed power capacity for space heating per type of buildings are presented as well as potential penetration of given HVAC technologies such as heat pumps and μ-CHP.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</si>
</sst>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46" x14ac:knownFonts="1">
    <font>
      <sz val="11"/>
      <color theme="1"/>
      <name val="Calibri"/>
      <family val="2"/>
      <scheme val="minor"/>
    </font>
    <font>
      <u/>
      <sz val="11"/>
      <color indexed="8"/>
      <name val="Calibri"/>
      <family val="2"/>
    </font>
    <font>
      <sz val="8"/>
      <name val="Tahoma"/>
      <family val="2"/>
    </font>
    <font>
      <sz val="8"/>
      <name val="Tahoma"/>
      <family val="2"/>
    </font>
    <font>
      <sz val="8"/>
      <color indexed="12"/>
      <name val="Tahoma"/>
      <family val="2"/>
    </font>
    <font>
      <b/>
      <sz val="10"/>
      <color indexed="9"/>
      <name val="Tahoma"/>
      <family val="2"/>
    </font>
    <font>
      <u/>
      <sz val="10"/>
      <color indexed="12"/>
      <name val="Arial"/>
      <family val="2"/>
    </font>
    <font>
      <b/>
      <sz val="8"/>
      <name val="Tahoma"/>
      <family val="2"/>
    </font>
    <font>
      <b/>
      <sz val="8"/>
      <color indexed="9"/>
      <name val="Tahoma"/>
      <family val="2"/>
    </font>
    <font>
      <sz val="12"/>
      <color indexed="8"/>
      <name val="Times New Roman"/>
      <family val="1"/>
    </font>
    <font>
      <u/>
      <sz val="13"/>
      <color indexed="8"/>
      <name val="Times New Roman"/>
      <family val="1"/>
    </font>
    <font>
      <sz val="16"/>
      <color indexed="8"/>
      <name val="Times New Roman"/>
      <family val="1"/>
    </font>
    <font>
      <sz val="11"/>
      <color indexed="8"/>
      <name val="Times New Roman"/>
      <family val="1"/>
    </font>
    <font>
      <i/>
      <sz val="11"/>
      <color indexed="8"/>
      <name val="Times New Roman"/>
      <family val="1"/>
    </font>
    <font>
      <i/>
      <u/>
      <sz val="11"/>
      <color indexed="12"/>
      <name val="Times New Roman"/>
      <family val="1"/>
    </font>
    <font>
      <b/>
      <sz val="11"/>
      <color indexed="8"/>
      <name val="Times New Roman"/>
      <family val="1"/>
    </font>
    <font>
      <b/>
      <sz val="11"/>
      <color indexed="8"/>
      <name val="Calibri"/>
      <family val="2"/>
    </font>
    <font>
      <sz val="16"/>
      <name val="Times New Roman"/>
      <family val="1"/>
    </font>
    <font>
      <b/>
      <vertAlign val="subscript"/>
      <sz val="11"/>
      <color indexed="8"/>
      <name val="Times New Roman"/>
      <family val="1"/>
    </font>
    <font>
      <b/>
      <vertAlign val="superscript"/>
      <sz val="11"/>
      <color indexed="8"/>
      <name val="Times New Roman"/>
      <family val="1"/>
    </font>
    <font>
      <b/>
      <i/>
      <u/>
      <sz val="16"/>
      <color indexed="8"/>
      <name val="Times New Roman"/>
      <family val="1"/>
    </font>
    <font>
      <b/>
      <i/>
      <u/>
      <sz val="16"/>
      <color indexed="8"/>
      <name val="Calibri"/>
      <family val="2"/>
    </font>
    <font>
      <u/>
      <sz val="9.9"/>
      <color theme="10"/>
      <name val="Calibri"/>
      <family val="2"/>
    </font>
    <font>
      <b/>
      <sz val="11"/>
      <color theme="1"/>
      <name val="Calibri"/>
      <family val="2"/>
      <scheme val="minor"/>
    </font>
    <font>
      <sz val="11"/>
      <name val="Calibri"/>
      <family val="2"/>
      <scheme val="minor"/>
    </font>
    <font>
      <sz val="11"/>
      <color theme="1"/>
      <name val="Times New Roman"/>
      <family val="1"/>
    </font>
    <font>
      <sz val="16"/>
      <color theme="1"/>
      <name val="Times New Roman"/>
      <family val="1"/>
    </font>
    <font>
      <b/>
      <i/>
      <u/>
      <sz val="16"/>
      <color theme="1"/>
      <name val="Times New Roman"/>
      <family val="1"/>
    </font>
    <font>
      <sz val="16"/>
      <color theme="1"/>
      <name val="Calibri"/>
      <family val="2"/>
      <scheme val="minor"/>
    </font>
    <font>
      <i/>
      <sz val="16"/>
      <color theme="1"/>
      <name val="Times New Roman"/>
      <family val="1"/>
    </font>
    <font>
      <sz val="13"/>
      <color theme="1"/>
      <name val="Times New Roman"/>
      <family val="1"/>
    </font>
    <font>
      <sz val="13"/>
      <color theme="1"/>
      <name val="Calibri"/>
      <family val="2"/>
      <scheme val="minor"/>
    </font>
    <font>
      <u/>
      <sz val="16"/>
      <color theme="10"/>
      <name val="Times New Roman"/>
      <family val="1"/>
    </font>
    <font>
      <b/>
      <sz val="11"/>
      <color theme="1"/>
      <name val="Times New Roman"/>
      <family val="1"/>
    </font>
    <font>
      <u/>
      <sz val="11"/>
      <color theme="10"/>
      <name val="Times New Roman"/>
      <family val="1"/>
    </font>
    <font>
      <u/>
      <sz val="11"/>
      <color theme="10"/>
      <name val="Times"/>
      <family val="1"/>
    </font>
    <font>
      <b/>
      <i/>
      <u/>
      <sz val="11"/>
      <color theme="1"/>
      <name val="Calibri"/>
      <family val="2"/>
      <scheme val="minor"/>
    </font>
    <font>
      <b/>
      <sz val="11"/>
      <color theme="1"/>
      <name val="Calibri"/>
      <family val="2"/>
    </font>
    <font>
      <b/>
      <u/>
      <sz val="11"/>
      <color theme="1"/>
      <name val="Calibri"/>
      <family val="2"/>
      <scheme val="minor"/>
    </font>
    <font>
      <sz val="16"/>
      <color rgb="FFFF0000"/>
      <name val="Times New Roman"/>
      <family val="1"/>
    </font>
    <font>
      <sz val="12"/>
      <color theme="1"/>
      <name val="Times New Roman"/>
      <family val="1"/>
    </font>
    <font>
      <b/>
      <u/>
      <sz val="11"/>
      <color theme="1"/>
      <name val="Times New Roman"/>
      <family val="1"/>
    </font>
    <font>
      <b/>
      <sz val="14"/>
      <color theme="1"/>
      <name val="Times New Roman"/>
      <family val="1"/>
    </font>
    <font>
      <sz val="14"/>
      <color theme="1"/>
      <name val="Times New Roman"/>
      <family val="1"/>
    </font>
    <font>
      <u/>
      <sz val="12"/>
      <color theme="10"/>
      <name val="Times New Roman"/>
      <family val="1"/>
    </font>
    <font>
      <u/>
      <sz val="11"/>
      <color theme="1"/>
      <name val="Times New Roman"/>
      <family val="1"/>
    </font>
  </fonts>
  <fills count="2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9"/>
        <bgColor indexed="64"/>
      </patternFill>
    </fill>
    <fill>
      <patternFill patternType="solid">
        <fgColor indexed="54"/>
        <bgColor indexed="64"/>
      </patternFill>
    </fill>
    <fill>
      <patternFill patternType="solid">
        <fgColor indexed="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00B05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C000"/>
        <bgColor indexed="64"/>
      </patternFill>
    </fill>
    <fill>
      <patternFill patternType="solid">
        <fgColor theme="9" tint="-0.249977111117893"/>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s>
  <borders count="61">
    <border>
      <left/>
      <right/>
      <top/>
      <bottom/>
      <diagonal/>
    </border>
    <border>
      <left style="thin">
        <color indexed="22"/>
      </left>
      <right style="thin">
        <color indexed="22"/>
      </right>
      <top style="thin">
        <color indexed="22"/>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9">
    <xf numFmtId="0" fontId="0" fillId="0" borderId="0"/>
    <xf numFmtId="0" fontId="2" fillId="0" borderId="1">
      <alignment horizontal="left" vertical="center" wrapText="1"/>
    </xf>
    <xf numFmtId="0" fontId="7" fillId="2" borderId="2" applyFont="0" applyFill="0" applyBorder="0" applyAlignment="0">
      <alignment horizontal="left" vertical="top" wrapText="1"/>
    </xf>
    <xf numFmtId="0" fontId="4" fillId="3" borderId="1">
      <alignment vertical="center" shrinkToFit="1"/>
      <protection locked="0"/>
    </xf>
    <xf numFmtId="0" fontId="2" fillId="4" borderId="1">
      <alignment horizontal="center" vertical="center"/>
      <protection locked="0"/>
    </xf>
    <xf numFmtId="0" fontId="4" fillId="3" borderId="1">
      <alignment horizontal="center" vertical="center" shrinkToFit="1"/>
      <protection locked="0"/>
    </xf>
    <xf numFmtId="0" fontId="4" fillId="3" borderId="1">
      <alignment vertical="center" wrapText="1" shrinkToFit="1"/>
      <protection locked="0"/>
    </xf>
    <xf numFmtId="164" fontId="2" fillId="0" borderId="0" applyFont="0" applyFill="0" applyBorder="0" applyAlignment="0" applyProtection="0">
      <alignment vertical="center"/>
    </xf>
    <xf numFmtId="0" fontId="2" fillId="5" borderId="1">
      <alignment horizontal="center" vertical="center"/>
    </xf>
    <xf numFmtId="0" fontId="2" fillId="5" borderId="1">
      <alignment horizontal="center" vertical="center"/>
    </xf>
    <xf numFmtId="0" fontId="5" fillId="6" borderId="0">
      <alignment horizontal="left" vertical="center" indent="1"/>
    </xf>
    <xf numFmtId="0" fontId="7" fillId="2" borderId="2">
      <alignment horizontal="left" vertical="top" wrapText="1"/>
    </xf>
    <xf numFmtId="0" fontId="2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 fillId="0" borderId="0">
      <alignment vertical="center"/>
    </xf>
    <xf numFmtId="9" fontId="3" fillId="0" borderId="0" applyFont="0" applyFill="0" applyBorder="0" applyAlignment="0" applyProtection="0"/>
    <xf numFmtId="9" fontId="2" fillId="0" borderId="0" applyFont="0" applyFill="0" applyBorder="0" applyAlignment="0" applyProtection="0"/>
    <xf numFmtId="0" fontId="2" fillId="0" borderId="0">
      <alignment vertical="center"/>
    </xf>
    <xf numFmtId="0" fontId="8" fillId="7" borderId="0">
      <alignment horizontal="left" vertical="center" indent="1"/>
    </xf>
  </cellStyleXfs>
  <cellXfs count="108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Fill="1"/>
    <xf numFmtId="0" fontId="0" fillId="8" borderId="0" xfId="0" applyFill="1" applyAlignment="1">
      <alignment horizontal="center"/>
    </xf>
    <xf numFmtId="0" fontId="0" fillId="9" borderId="0" xfId="0" applyFill="1" applyAlignment="1">
      <alignment horizontal="center"/>
    </xf>
    <xf numFmtId="0" fontId="0" fillId="0" borderId="0" xfId="0" applyFill="1" applyAlignment="1">
      <alignment horizontal="center"/>
    </xf>
    <xf numFmtId="0" fontId="0" fillId="9" borderId="0" xfId="0" applyFill="1" applyAlignment="1">
      <alignment horizontal="center" vertical="center"/>
    </xf>
    <xf numFmtId="0" fontId="0" fillId="0" borderId="0" xfId="0" applyFill="1" applyAlignment="1">
      <alignment horizontal="left"/>
    </xf>
    <xf numFmtId="0" fontId="0" fillId="10" borderId="0" xfId="0" applyFill="1"/>
    <xf numFmtId="0" fontId="0" fillId="10" borderId="0" xfId="0" applyFill="1" applyAlignment="1">
      <alignment horizontal="center"/>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13" borderId="0" xfId="0" applyFill="1"/>
    <xf numFmtId="0" fontId="0" fillId="13" borderId="0" xfId="0" applyFill="1" applyAlignment="1">
      <alignment horizontal="center"/>
    </xf>
    <xf numFmtId="0" fontId="0" fillId="13" borderId="0" xfId="0" applyFill="1" applyAlignment="1">
      <alignment horizontal="left"/>
    </xf>
    <xf numFmtId="0" fontId="0" fillId="14" borderId="0" xfId="0" applyFill="1"/>
    <xf numFmtId="0" fontId="0" fillId="14" borderId="0" xfId="0" applyFill="1" applyAlignment="1">
      <alignment horizontal="center"/>
    </xf>
    <xf numFmtId="0" fontId="23" fillId="0" borderId="0" xfId="0" applyFont="1" applyAlignment="1">
      <alignment horizontal="center"/>
    </xf>
    <xf numFmtId="0" fontId="23" fillId="0" borderId="0" xfId="0" applyFont="1" applyAlignment="1">
      <alignment horizontal="center" vertical="center"/>
    </xf>
    <xf numFmtId="0" fontId="0" fillId="10" borderId="0" xfId="0" applyFill="1" applyAlignment="1">
      <alignment horizontal="center" vertical="center"/>
    </xf>
    <xf numFmtId="0" fontId="0" fillId="11" borderId="0" xfId="0" applyFill="1" applyAlignment="1">
      <alignment horizontal="center" vertical="center"/>
    </xf>
    <xf numFmtId="0" fontId="0" fillId="8" borderId="0" xfId="0" applyFill="1" applyAlignment="1">
      <alignment horizontal="center" vertical="center"/>
    </xf>
    <xf numFmtId="0" fontId="0" fillId="0" borderId="0" xfId="0" applyFill="1" applyAlignment="1">
      <alignment horizontal="center" vertical="center"/>
    </xf>
    <xf numFmtId="0" fontId="0" fillId="12" borderId="0" xfId="0" applyFill="1" applyAlignment="1">
      <alignment horizontal="center" vertical="center"/>
    </xf>
    <xf numFmtId="0" fontId="0" fillId="0" borderId="0" xfId="0" applyAlignment="1">
      <alignment horizontal="justify" vertical="center"/>
    </xf>
    <xf numFmtId="0" fontId="0" fillId="0" borderId="3" xfId="0" applyBorder="1" applyAlignment="1">
      <alignment horizontal="center" vertical="center"/>
    </xf>
    <xf numFmtId="0" fontId="0" fillId="0" borderId="3" xfId="0" applyBorder="1"/>
    <xf numFmtId="0" fontId="0" fillId="0" borderId="0" xfId="0" applyBorder="1"/>
    <xf numFmtId="17" fontId="0" fillId="0" borderId="3" xfId="0" applyNumberFormat="1" applyBorder="1" applyAlignment="1">
      <alignment horizontal="center" vertical="center"/>
    </xf>
    <xf numFmtId="0" fontId="0" fillId="0" borderId="0" xfId="0" applyBorder="1" applyAlignment="1">
      <alignment horizontal="center" vertical="center"/>
    </xf>
    <xf numFmtId="0" fontId="0" fillId="14" borderId="0" xfId="0" applyFill="1" applyBorder="1"/>
    <xf numFmtId="0" fontId="0" fillId="12" borderId="0" xfId="0" applyFill="1" applyBorder="1"/>
    <xf numFmtId="0" fontId="0" fillId="0" borderId="0" xfId="0" applyFill="1" applyBorder="1"/>
    <xf numFmtId="0" fontId="0" fillId="10" borderId="0" xfId="0" applyFill="1" applyBorder="1"/>
    <xf numFmtId="0" fontId="0" fillId="0" borderId="4" xfId="0" applyBorder="1"/>
    <xf numFmtId="0" fontId="0" fillId="0" borderId="4" xfId="0" applyBorder="1" applyAlignment="1">
      <alignment horizontal="center" vertical="center"/>
    </xf>
    <xf numFmtId="0" fontId="0" fillId="14" borderId="4" xfId="0" applyFill="1" applyBorder="1"/>
    <xf numFmtId="0" fontId="0" fillId="10" borderId="4" xfId="0" applyFill="1" applyBorder="1"/>
    <xf numFmtId="0" fontId="0" fillId="14" borderId="0" xfId="0" applyFill="1" applyAlignment="1">
      <alignment horizontal="center" vertical="center"/>
    </xf>
    <xf numFmtId="0" fontId="0" fillId="14" borderId="3" xfId="0" applyFill="1" applyBorder="1" applyAlignment="1">
      <alignment horizontal="center" vertical="center"/>
    </xf>
    <xf numFmtId="0" fontId="0" fillId="12" borderId="3" xfId="0" applyFill="1" applyBorder="1" applyAlignment="1">
      <alignment horizontal="center" vertical="center"/>
    </xf>
    <xf numFmtId="0" fontId="0" fillId="0" borderId="3" xfId="0" applyFill="1" applyBorder="1" applyAlignment="1">
      <alignment horizontal="center" vertical="center"/>
    </xf>
    <xf numFmtId="0" fontId="0" fillId="10" borderId="3" xfId="0" applyFill="1" applyBorder="1" applyAlignment="1">
      <alignment horizontal="center" vertical="center"/>
    </xf>
    <xf numFmtId="0" fontId="0" fillId="14" borderId="4" xfId="0" applyFill="1" applyBorder="1" applyAlignment="1">
      <alignment horizontal="center" vertical="center"/>
    </xf>
    <xf numFmtId="0" fontId="0" fillId="12" borderId="4" xfId="0" applyFill="1" applyBorder="1" applyAlignment="1">
      <alignment horizontal="center" vertical="center"/>
    </xf>
    <xf numFmtId="0" fontId="0" fillId="0" borderId="4" xfId="0" applyFill="1" applyBorder="1" applyAlignment="1">
      <alignment horizontal="center" vertical="center"/>
    </xf>
    <xf numFmtId="0" fontId="0" fillId="10" borderId="4" xfId="0" applyFill="1" applyBorder="1" applyAlignment="1">
      <alignment horizontal="center" vertical="center"/>
    </xf>
    <xf numFmtId="0" fontId="0" fillId="11" borderId="4" xfId="0" applyFill="1" applyBorder="1" applyAlignment="1">
      <alignment horizontal="center" vertical="center"/>
    </xf>
    <xf numFmtId="0" fontId="0" fillId="0" borderId="5" xfId="0" applyBorder="1"/>
    <xf numFmtId="0" fontId="0" fillId="0" borderId="0" xfId="0" applyBorder="1" applyAlignment="1">
      <alignment horizontal="center"/>
    </xf>
    <xf numFmtId="0" fontId="0" fillId="0" borderId="0" xfId="0" applyBorder="1" applyAlignment="1">
      <alignment horizontal="left"/>
    </xf>
    <xf numFmtId="0" fontId="0" fillId="0" borderId="6" xfId="0" applyBorder="1" applyAlignment="1">
      <alignment horizontal="center"/>
    </xf>
    <xf numFmtId="0" fontId="22" fillId="0" borderId="5" xfId="12" applyBorder="1" applyAlignment="1" applyProtection="1"/>
    <xf numFmtId="0" fontId="22" fillId="0" borderId="0" xfId="12" applyBorder="1" applyAlignment="1" applyProtection="1">
      <alignment horizontal="left"/>
    </xf>
    <xf numFmtId="0" fontId="0" fillId="0" borderId="7" xfId="0" applyBorder="1"/>
    <xf numFmtId="0" fontId="0" fillId="0" borderId="8" xfId="0" applyBorder="1"/>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lignment horizontal="left"/>
    </xf>
    <xf numFmtId="0" fontId="22" fillId="0" borderId="5" xfId="12" applyBorder="1" applyAlignment="1" applyProtection="1">
      <alignment horizontal="left"/>
    </xf>
    <xf numFmtId="0" fontId="0" fillId="0" borderId="5" xfId="0" applyBorder="1" applyAlignment="1">
      <alignment horizontal="center"/>
    </xf>
    <xf numFmtId="0" fontId="0" fillId="0" borderId="7" xfId="0" applyBorder="1" applyAlignment="1">
      <alignment horizontal="center"/>
    </xf>
    <xf numFmtId="0" fontId="0" fillId="0" borderId="6" xfId="0"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0" fillId="15" borderId="0" xfId="0" applyFill="1" applyAlignment="1">
      <alignment horizontal="center" vertical="center"/>
    </xf>
    <xf numFmtId="0" fontId="24" fillId="10" borderId="0" xfId="0" applyFont="1" applyFill="1" applyAlignment="1">
      <alignment horizontal="center" vertical="center"/>
    </xf>
    <xf numFmtId="0" fontId="0" fillId="0" borderId="0" xfId="0" applyFill="1" applyAlignment="1">
      <alignment horizontal="center" vertical="center" wrapText="1"/>
    </xf>
    <xf numFmtId="0" fontId="23" fillId="0" borderId="13" xfId="0" applyFont="1" applyBorder="1" applyAlignment="1">
      <alignment horizontal="center" vertical="center"/>
    </xf>
    <xf numFmtId="0" fontId="0" fillId="0" borderId="14" xfId="0" applyBorder="1" applyAlignment="1">
      <alignment horizontal="center"/>
    </xf>
    <xf numFmtId="0" fontId="0" fillId="14" borderId="14" xfId="0" applyFill="1" applyBorder="1" applyAlignment="1">
      <alignment horizontal="center"/>
    </xf>
    <xf numFmtId="0" fontId="0" fillId="0" borderId="14" xfId="0" applyFill="1" applyBorder="1" applyAlignment="1">
      <alignment horizontal="center"/>
    </xf>
    <xf numFmtId="0" fontId="0" fillId="12" borderId="14" xfId="0" applyFill="1" applyBorder="1" applyAlignment="1">
      <alignment horizontal="center"/>
    </xf>
    <xf numFmtId="0" fontId="0" fillId="10" borderId="14" xfId="0" applyFill="1" applyBorder="1" applyAlignment="1">
      <alignment horizontal="center"/>
    </xf>
    <xf numFmtId="0" fontId="0" fillId="11" borderId="14" xfId="0" applyFill="1" applyBorder="1" applyAlignment="1">
      <alignment horizontal="center"/>
    </xf>
    <xf numFmtId="11" fontId="0" fillId="0" borderId="14" xfId="0" applyNumberFormat="1" applyFill="1" applyBorder="1" applyAlignment="1">
      <alignment horizontal="center"/>
    </xf>
    <xf numFmtId="0" fontId="0" fillId="10" borderId="14" xfId="0" applyFill="1" applyBorder="1"/>
    <xf numFmtId="0" fontId="0" fillId="0" borderId="14" xfId="0" applyBorder="1"/>
    <xf numFmtId="0" fontId="0" fillId="13" borderId="14" xfId="0" applyFill="1" applyBorder="1" applyAlignment="1">
      <alignment horizontal="center"/>
    </xf>
    <xf numFmtId="0" fontId="0" fillId="0" borderId="0" xfId="0" applyAlignment="1">
      <alignment horizontal="center" vertical="center" wrapText="1"/>
    </xf>
    <xf numFmtId="10" fontId="0" fillId="0" borderId="0" xfId="0" applyNumberFormat="1" applyAlignment="1">
      <alignment horizontal="center" vertical="center"/>
    </xf>
    <xf numFmtId="0" fontId="25" fillId="0" borderId="0" xfId="0" applyFont="1"/>
    <xf numFmtId="0" fontId="26" fillId="0" borderId="0" xfId="0" applyFont="1" applyAlignment="1">
      <alignment horizontal="center" vertical="center"/>
    </xf>
    <xf numFmtId="0" fontId="26" fillId="0" borderId="0" xfId="0" applyFont="1"/>
    <xf numFmtId="0" fontId="27" fillId="0" borderId="0" xfId="0" applyFont="1" applyAlignment="1">
      <alignment horizontal="center" vertical="center"/>
    </xf>
    <xf numFmtId="0" fontId="0" fillId="0" borderId="15" xfId="0" applyBorder="1"/>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7" fillId="0" borderId="18" xfId="0" applyFont="1" applyBorder="1" applyAlignment="1">
      <alignment horizontal="center" vertical="center"/>
    </xf>
    <xf numFmtId="0" fontId="26" fillId="0" borderId="18" xfId="0" applyFont="1" applyBorder="1" applyAlignment="1">
      <alignment horizontal="center" vertical="center"/>
    </xf>
    <xf numFmtId="0" fontId="26" fillId="13" borderId="18" xfId="0" applyFont="1" applyFill="1" applyBorder="1" applyAlignment="1">
      <alignment horizontal="center" vertical="center"/>
    </xf>
    <xf numFmtId="0" fontId="27" fillId="0" borderId="17" xfId="0" applyFont="1" applyBorder="1" applyAlignment="1">
      <alignment horizontal="center" vertical="center"/>
    </xf>
    <xf numFmtId="0" fontId="0" fillId="9" borderId="19" xfId="0" applyFill="1" applyBorder="1"/>
    <xf numFmtId="0" fontId="26" fillId="9" borderId="19" xfId="0" applyFont="1" applyFill="1" applyBorder="1" applyAlignment="1">
      <alignment horizontal="center" vertical="center"/>
    </xf>
    <xf numFmtId="0" fontId="26" fillId="9" borderId="19" xfId="0" applyFont="1" applyFill="1" applyBorder="1"/>
    <xf numFmtId="0" fontId="25" fillId="9" borderId="19" xfId="0" applyFont="1" applyFill="1" applyBorder="1"/>
    <xf numFmtId="0" fontId="26" fillId="0" borderId="18" xfId="0" applyFont="1" applyFill="1" applyBorder="1" applyAlignment="1">
      <alignment horizontal="center" vertical="center"/>
    </xf>
    <xf numFmtId="0" fontId="26" fillId="13" borderId="20"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21" xfId="0" applyFont="1" applyBorder="1" applyAlignment="1">
      <alignment horizontal="center" vertical="center"/>
    </xf>
    <xf numFmtId="0" fontId="28" fillId="0" borderId="0" xfId="0" applyFont="1"/>
    <xf numFmtId="0" fontId="27" fillId="0" borderId="0" xfId="0" applyFont="1"/>
    <xf numFmtId="0" fontId="28" fillId="13" borderId="18" xfId="0" applyFont="1" applyFill="1" applyBorder="1"/>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0" fillId="0" borderId="16" xfId="0" applyBorder="1"/>
    <xf numFmtId="0" fontId="0" fillId="0" borderId="17" xfId="0" applyBorder="1"/>
    <xf numFmtId="0" fontId="0" fillId="0" borderId="15" xfId="0" applyBorder="1" applyAlignment="1">
      <alignment horizontal="center" vertical="center"/>
    </xf>
    <xf numFmtId="0" fontId="26" fillId="0" borderId="15" xfId="0" applyFont="1" applyBorder="1" applyAlignment="1">
      <alignment horizontal="center" vertical="center"/>
    </xf>
    <xf numFmtId="0" fontId="0" fillId="0" borderId="17"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26" fillId="0" borderId="24" xfId="0" applyFont="1" applyBorder="1" applyAlignment="1">
      <alignment horizontal="center" vertical="center"/>
    </xf>
    <xf numFmtId="0" fontId="26" fillId="0" borderId="25" xfId="0" applyFont="1" applyBorder="1" applyAlignment="1">
      <alignment horizontal="center" vertical="center"/>
    </xf>
    <xf numFmtId="0" fontId="26" fillId="0" borderId="0" xfId="0" applyFont="1" applyFill="1" applyBorder="1" applyAlignment="1">
      <alignment horizontal="center" vertical="center"/>
    </xf>
    <xf numFmtId="0" fontId="26" fillId="13" borderId="26" xfId="0" applyFont="1" applyFill="1" applyBorder="1" applyAlignment="1">
      <alignment horizontal="center" vertical="center"/>
    </xf>
    <xf numFmtId="0" fontId="26" fillId="16" borderId="16" xfId="0" applyFont="1" applyFill="1" applyBorder="1" applyAlignment="1">
      <alignment horizontal="center" vertical="center"/>
    </xf>
    <xf numFmtId="0" fontId="26" fillId="16" borderId="15" xfId="0" applyFont="1" applyFill="1" applyBorder="1" applyAlignment="1">
      <alignment horizontal="center" vertical="center"/>
    </xf>
    <xf numFmtId="0" fontId="26" fillId="16" borderId="16" xfId="0" applyFont="1" applyFill="1" applyBorder="1" applyAlignment="1">
      <alignment horizontal="left" vertical="center"/>
    </xf>
    <xf numFmtId="0" fontId="28" fillId="16" borderId="18" xfId="0" applyFont="1" applyFill="1" applyBorder="1"/>
    <xf numFmtId="0" fontId="0" fillId="0" borderId="18" xfId="0" applyBorder="1"/>
    <xf numFmtId="0" fontId="26" fillId="0" borderId="15" xfId="0" applyFont="1" applyFill="1" applyBorder="1" applyAlignment="1">
      <alignment horizontal="left" vertical="center"/>
    </xf>
    <xf numFmtId="0" fontId="26" fillId="0" borderId="15" xfId="0" applyFont="1" applyFill="1" applyBorder="1" applyAlignment="1">
      <alignment horizontal="center" vertical="center"/>
    </xf>
    <xf numFmtId="0" fontId="27" fillId="0" borderId="0" xfId="0" applyFont="1" applyAlignment="1">
      <alignment horizontal="left" vertical="center"/>
    </xf>
    <xf numFmtId="0" fontId="29" fillId="0" borderId="18" xfId="0" applyFont="1" applyBorder="1" applyAlignment="1">
      <alignment horizontal="center" vertical="center"/>
    </xf>
    <xf numFmtId="0" fontId="30" fillId="0" borderId="0" xfId="0" applyFont="1"/>
    <xf numFmtId="0" fontId="31" fillId="0" borderId="0" xfId="0" applyFont="1"/>
    <xf numFmtId="0" fontId="31" fillId="9" borderId="19" xfId="0" applyFont="1" applyFill="1" applyBorder="1"/>
    <xf numFmtId="0" fontId="29" fillId="0" borderId="0" xfId="0" applyFont="1" applyBorder="1" applyAlignment="1">
      <alignment horizontal="center" vertical="center"/>
    </xf>
    <xf numFmtId="0" fontId="26" fillId="0" borderId="0" xfId="0" applyFont="1" applyFill="1"/>
    <xf numFmtId="0" fontId="26" fillId="0" borderId="0" xfId="0" applyFont="1" applyFill="1" applyBorder="1"/>
    <xf numFmtId="0" fontId="26" fillId="0" borderId="3" xfId="0" applyFont="1" applyBorder="1"/>
    <xf numFmtId="0" fontId="26" fillId="0" borderId="0" xfId="0" applyFont="1" applyBorder="1"/>
    <xf numFmtId="0" fontId="26" fillId="0" borderId="24" xfId="0" applyFont="1" applyFill="1" applyBorder="1" applyAlignment="1">
      <alignment horizontal="left" vertical="center"/>
    </xf>
    <xf numFmtId="0" fontId="26" fillId="0" borderId="24" xfId="0" applyFont="1" applyFill="1" applyBorder="1" applyAlignment="1">
      <alignment horizontal="center" vertical="center"/>
    </xf>
    <xf numFmtId="0" fontId="27" fillId="0" borderId="0" xfId="0" applyFont="1" applyAlignment="1">
      <alignment horizontal="left" vertical="top"/>
    </xf>
    <xf numFmtId="0" fontId="9" fillId="0" borderId="0" xfId="0" applyFont="1"/>
    <xf numFmtId="0" fontId="26" fillId="16" borderId="21" xfId="0" applyFont="1" applyFill="1" applyBorder="1" applyAlignment="1">
      <alignment horizontal="left" vertical="center"/>
    </xf>
    <xf numFmtId="0" fontId="26" fillId="16" borderId="24" xfId="0" applyFont="1" applyFill="1" applyBorder="1" applyAlignment="1">
      <alignment horizontal="center" vertical="center"/>
    </xf>
    <xf numFmtId="0" fontId="25" fillId="0" borderId="3" xfId="0" applyFont="1" applyBorder="1"/>
    <xf numFmtId="0" fontId="32" fillId="0" borderId="21" xfId="12" applyFont="1" applyBorder="1" applyAlignment="1" applyProtection="1"/>
    <xf numFmtId="0" fontId="26" fillId="0" borderId="0" xfId="0" applyFont="1" applyBorder="1" applyAlignment="1">
      <alignment horizontal="right" vertical="center"/>
    </xf>
    <xf numFmtId="0" fontId="26" fillId="0" borderId="4" xfId="0" applyFont="1" applyBorder="1"/>
    <xf numFmtId="0" fontId="25" fillId="0" borderId="15" xfId="0" applyFont="1" applyFill="1" applyBorder="1" applyAlignment="1">
      <alignment horizontal="center" vertical="center"/>
    </xf>
    <xf numFmtId="0" fontId="25" fillId="0" borderId="15" xfId="0" applyFont="1" applyBorder="1" applyAlignment="1">
      <alignment horizontal="center" vertical="center"/>
    </xf>
    <xf numFmtId="0" fontId="25" fillId="0" borderId="17" xfId="0" applyFont="1" applyBorder="1" applyAlignment="1">
      <alignment horizontal="right" vertical="center"/>
    </xf>
    <xf numFmtId="0" fontId="25" fillId="0" borderId="16" xfId="0" applyFont="1" applyBorder="1"/>
    <xf numFmtId="0" fontId="25" fillId="0" borderId="15" xfId="0" applyFont="1" applyBorder="1"/>
    <xf numFmtId="0" fontId="25" fillId="0" borderId="17" xfId="0" applyFont="1" applyBorder="1"/>
    <xf numFmtId="0" fontId="33" fillId="0" borderId="0" xfId="0" applyFont="1"/>
    <xf numFmtId="0" fontId="25" fillId="0" borderId="0" xfId="0" applyFont="1" applyBorder="1" applyAlignment="1">
      <alignment horizontal="center" vertical="center"/>
    </xf>
    <xf numFmtId="0" fontId="25" fillId="0" borderId="4" xfId="0" applyFont="1" applyBorder="1" applyAlignment="1">
      <alignment horizontal="center" vertical="center"/>
    </xf>
    <xf numFmtId="0" fontId="25" fillId="0" borderId="17" xfId="0" applyFont="1" applyBorder="1" applyAlignment="1">
      <alignment horizontal="center" vertical="center"/>
    </xf>
    <xf numFmtId="0" fontId="34" fillId="0" borderId="0" xfId="12" applyFont="1" applyAlignment="1" applyProtection="1"/>
    <xf numFmtId="0" fontId="35" fillId="0" borderId="3" xfId="12" applyFont="1" applyBorder="1" applyAlignment="1" applyProtection="1">
      <alignment horizontal="left" vertical="center"/>
    </xf>
    <xf numFmtId="0" fontId="34" fillId="0" borderId="16" xfId="12" applyFont="1" applyBorder="1" applyAlignment="1" applyProtection="1"/>
    <xf numFmtId="0" fontId="0" fillId="0" borderId="22" xfId="0" applyBorder="1"/>
    <xf numFmtId="0" fontId="29" fillId="0" borderId="0" xfId="0" applyFont="1" applyBorder="1" applyAlignment="1">
      <alignment horizontal="left" vertical="center"/>
    </xf>
    <xf numFmtId="0" fontId="26" fillId="0" borderId="0" xfId="0" applyFont="1" applyAlignment="1">
      <alignment horizontal="left" vertical="center"/>
    </xf>
    <xf numFmtId="0" fontId="9" fillId="0" borderId="0" xfId="0" applyFont="1" applyAlignment="1">
      <alignment horizontal="left" wrapText="1"/>
    </xf>
    <xf numFmtId="0" fontId="9" fillId="0" borderId="0" xfId="0" applyFont="1" applyBorder="1" applyAlignment="1">
      <alignment horizontal="left" wrapText="1"/>
    </xf>
    <xf numFmtId="0" fontId="0" fillId="0" borderId="27" xfId="0" applyBorder="1" applyAlignment="1">
      <alignment horizontal="center" vertical="center"/>
    </xf>
    <xf numFmtId="0" fontId="0" fillId="0" borderId="28" xfId="0" applyBorder="1"/>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9" borderId="19" xfId="0" applyFill="1"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17" borderId="35" xfId="0" applyFill="1" applyBorder="1" applyAlignment="1">
      <alignment horizontal="center" vertical="center"/>
    </xf>
    <xf numFmtId="0" fontId="0" fillId="17" borderId="30" xfId="0" applyFill="1" applyBorder="1" applyAlignment="1">
      <alignment horizontal="center" vertical="center"/>
    </xf>
    <xf numFmtId="0" fontId="0" fillId="0" borderId="36" xfId="0" applyBorder="1"/>
    <xf numFmtId="0" fontId="0" fillId="0" borderId="37" xfId="0" applyBorder="1"/>
    <xf numFmtId="0" fontId="0" fillId="9" borderId="14" xfId="0" applyFill="1" applyBorder="1" applyAlignment="1">
      <alignment horizontal="center" vertical="center"/>
    </xf>
    <xf numFmtId="0" fontId="0" fillId="0" borderId="38" xfId="0" applyBorder="1"/>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27" xfId="0" applyFont="1" applyBorder="1"/>
    <xf numFmtId="0" fontId="23" fillId="0" borderId="39" xfId="0" applyFont="1" applyBorder="1" applyAlignment="1">
      <alignment horizontal="center" vertical="center"/>
    </xf>
    <xf numFmtId="0" fontId="23" fillId="0" borderId="29" xfId="0" applyFont="1" applyBorder="1" applyAlignment="1">
      <alignment horizontal="center" vertical="center"/>
    </xf>
    <xf numFmtId="0" fontId="23" fillId="0" borderId="0" xfId="0" applyFont="1" applyBorder="1" applyAlignment="1">
      <alignment horizontal="center" vertical="center"/>
    </xf>
    <xf numFmtId="0" fontId="23" fillId="0" borderId="31" xfId="0" applyFont="1" applyBorder="1" applyAlignment="1">
      <alignment horizontal="center" vertical="center"/>
    </xf>
    <xf numFmtId="0" fontId="23" fillId="0" borderId="30" xfId="0" applyFont="1" applyBorder="1" applyAlignment="1">
      <alignment horizontal="center" vertical="center"/>
    </xf>
    <xf numFmtId="0" fontId="0" fillId="17" borderId="40" xfId="0" applyFill="1" applyBorder="1" applyAlignment="1">
      <alignment horizontal="center" vertical="center"/>
    </xf>
    <xf numFmtId="0" fontId="0" fillId="0" borderId="11" xfId="0" applyBorder="1" applyAlignment="1">
      <alignment horizontal="center" vertical="center"/>
    </xf>
    <xf numFmtId="0" fontId="23" fillId="0" borderId="11" xfId="0" applyFont="1" applyBorder="1" applyAlignment="1">
      <alignment horizontal="left" vertical="center"/>
    </xf>
    <xf numFmtId="0" fontId="23"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14" xfId="0" applyFill="1" applyBorder="1" applyAlignment="1">
      <alignment horizontal="center" vertical="center"/>
    </xf>
    <xf numFmtId="0" fontId="23" fillId="0" borderId="13" xfId="0" applyFont="1" applyBorder="1" applyAlignment="1">
      <alignment horizontal="center"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0" xfId="0" applyBorder="1" applyAlignment="1">
      <alignment horizontal="center" vertical="center" wrapText="1"/>
    </xf>
    <xf numFmtId="0" fontId="23" fillId="0" borderId="41"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xf numFmtId="0" fontId="23" fillId="0" borderId="7" xfId="0" applyFont="1" applyBorder="1" applyAlignment="1">
      <alignment horizontal="left" vertical="center"/>
    </xf>
    <xf numFmtId="0" fontId="36" fillId="0" borderId="9" xfId="0" applyFont="1" applyBorder="1" applyAlignment="1">
      <alignment horizontal="center" vertical="center"/>
    </xf>
    <xf numFmtId="0" fontId="23" fillId="0" borderId="47" xfId="0" applyFont="1" applyBorder="1" applyAlignment="1">
      <alignment horizontal="center" vertical="center" wrapText="1"/>
    </xf>
    <xf numFmtId="0" fontId="0" fillId="0" borderId="16" xfId="0" applyBorder="1" applyAlignment="1">
      <alignment horizontal="center" vertical="center"/>
    </xf>
    <xf numFmtId="0" fontId="0" fillId="10" borderId="10" xfId="0" applyFill="1" applyBorder="1" applyAlignment="1">
      <alignment horizontal="center" vertical="center" wrapText="1"/>
    </xf>
    <xf numFmtId="0" fontId="0" fillId="10" borderId="11" xfId="0" applyFill="1" applyBorder="1" applyAlignment="1">
      <alignment horizontal="center" vertical="center"/>
    </xf>
    <xf numFmtId="0" fontId="0" fillId="10" borderId="40" xfId="0" applyFill="1" applyBorder="1" applyAlignment="1">
      <alignment horizontal="center" vertical="center"/>
    </xf>
    <xf numFmtId="0" fontId="0" fillId="10" borderId="38" xfId="0" applyFill="1" applyBorder="1" applyAlignment="1">
      <alignment horizontal="center" vertical="center"/>
    </xf>
    <xf numFmtId="0" fontId="0" fillId="10" borderId="0" xfId="0" applyFill="1" applyAlignment="1">
      <alignment horizontal="left"/>
    </xf>
    <xf numFmtId="0" fontId="23" fillId="0" borderId="10" xfId="0" applyFont="1" applyFill="1" applyBorder="1" applyAlignment="1">
      <alignment horizontal="center" vertical="center" wrapText="1"/>
    </xf>
    <xf numFmtId="0" fontId="0" fillId="18" borderId="43" xfId="0" applyFill="1" applyBorder="1" applyAlignment="1">
      <alignment horizontal="center" vertical="center"/>
    </xf>
    <xf numFmtId="0" fontId="0" fillId="18" borderId="40" xfId="0" applyFill="1" applyBorder="1" applyAlignment="1">
      <alignment horizontal="center" vertical="center"/>
    </xf>
    <xf numFmtId="0" fontId="37" fillId="0" borderId="0" xfId="0" applyFont="1" applyFill="1" applyBorder="1" applyAlignment="1">
      <alignment horizontal="center" vertical="center" wrapText="1"/>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0" fillId="8" borderId="40" xfId="0" applyFill="1" applyBorder="1" applyAlignment="1">
      <alignment horizontal="center" vertical="center"/>
    </xf>
    <xf numFmtId="0" fontId="37" fillId="19" borderId="40" xfId="0" applyFont="1"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8" borderId="38" xfId="0" applyFill="1" applyBorder="1" applyAlignment="1">
      <alignment horizontal="center" vertical="center"/>
    </xf>
    <xf numFmtId="0" fontId="0" fillId="0" borderId="50" xfId="0" applyBorder="1" applyAlignment="1">
      <alignment horizontal="center" vertical="center"/>
    </xf>
    <xf numFmtId="0" fontId="23" fillId="14" borderId="0" xfId="0" applyFont="1" applyFill="1" applyBorder="1" applyAlignment="1">
      <alignment horizontal="center" vertical="center"/>
    </xf>
    <xf numFmtId="0" fontId="0" fillId="14" borderId="0" xfId="0" applyFill="1" applyBorder="1" applyAlignment="1">
      <alignment horizontal="center" vertical="center"/>
    </xf>
    <xf numFmtId="0" fontId="23" fillId="14" borderId="0" xfId="0" applyFont="1" applyFill="1" applyAlignment="1">
      <alignment horizontal="center" vertical="center"/>
    </xf>
    <xf numFmtId="0" fontId="23" fillId="0" borderId="40" xfId="0" applyFont="1" applyBorder="1" applyAlignment="1">
      <alignment horizontal="center" vertical="center"/>
    </xf>
    <xf numFmtId="0" fontId="23" fillId="0" borderId="13" xfId="0" applyFont="1" applyBorder="1" applyAlignment="1">
      <alignment horizontal="center" vertical="center"/>
    </xf>
    <xf numFmtId="0" fontId="23" fillId="0" borderId="40" xfId="0" applyFont="1" applyBorder="1" applyAlignment="1">
      <alignment vertical="center" wrapText="1"/>
    </xf>
    <xf numFmtId="0" fontId="23" fillId="0" borderId="48" xfId="0" applyFont="1" applyBorder="1" applyAlignment="1">
      <alignment horizontal="center" vertical="center" wrapText="1"/>
    </xf>
    <xf numFmtId="0" fontId="16" fillId="0" borderId="48" xfId="0" applyFont="1" applyBorder="1" applyAlignment="1">
      <alignment horizontal="center" vertical="center" wrapText="1"/>
    </xf>
    <xf numFmtId="0" fontId="23" fillId="0" borderId="51" xfId="0" applyFont="1" applyBorder="1" applyAlignment="1">
      <alignment horizontal="left" vertical="center"/>
    </xf>
    <xf numFmtId="0" fontId="23" fillId="0" borderId="10" xfId="0" applyFont="1" applyBorder="1" applyAlignment="1">
      <alignment horizontal="left" vertical="center"/>
    </xf>
    <xf numFmtId="0" fontId="23" fillId="0" borderId="12" xfId="0" applyFont="1" applyBorder="1" applyAlignment="1">
      <alignment horizontal="left" vertical="center"/>
    </xf>
    <xf numFmtId="0" fontId="0" fillId="0" borderId="27" xfId="0" applyBorder="1" applyAlignment="1">
      <alignment horizontal="left"/>
    </xf>
    <xf numFmtId="0" fontId="0" fillId="0" borderId="46" xfId="0" applyBorder="1" applyAlignment="1">
      <alignment horizontal="center"/>
    </xf>
    <xf numFmtId="0" fontId="23" fillId="0" borderId="13" xfId="0" applyFont="1" applyBorder="1" applyAlignment="1">
      <alignment horizontal="center" vertical="center" wrapText="1"/>
    </xf>
    <xf numFmtId="0" fontId="23" fillId="0" borderId="13" xfId="0" applyFont="1" applyBorder="1" applyAlignment="1">
      <alignment horizontal="center" vertical="center"/>
    </xf>
    <xf numFmtId="0" fontId="26" fillId="16" borderId="43" xfId="0" applyFont="1" applyFill="1" applyBorder="1" applyAlignment="1">
      <alignment horizontal="center" vertical="center"/>
    </xf>
    <xf numFmtId="0" fontId="26" fillId="16" borderId="42" xfId="0" applyFont="1" applyFill="1" applyBorder="1" applyAlignment="1">
      <alignment horizontal="center" vertical="center"/>
    </xf>
    <xf numFmtId="0" fontId="17" fillId="0" borderId="42" xfId="0" applyFont="1" applyBorder="1" applyAlignment="1">
      <alignment horizontal="center" vertical="center"/>
    </xf>
    <xf numFmtId="0" fontId="23" fillId="0" borderId="13" xfId="0" applyFont="1" applyBorder="1" applyAlignment="1">
      <alignment horizontal="center" vertical="center" wrapText="1"/>
    </xf>
    <xf numFmtId="0" fontId="0" fillId="0" borderId="52" xfId="0" applyBorder="1" applyAlignment="1">
      <alignment horizontal="center" vertical="center"/>
    </xf>
    <xf numFmtId="0" fontId="0" fillId="20" borderId="0" xfId="0" applyFill="1"/>
    <xf numFmtId="0" fontId="38" fillId="0" borderId="0" xfId="0" applyFont="1" applyAlignment="1">
      <alignment horizontal="center" vertical="center"/>
    </xf>
    <xf numFmtId="0" fontId="23" fillId="0" borderId="50" xfId="0" applyFont="1" applyBorder="1" applyAlignment="1">
      <alignment horizontal="center" vertical="center"/>
    </xf>
    <xf numFmtId="0" fontId="23" fillId="0" borderId="43" xfId="0" applyFont="1" applyBorder="1"/>
    <xf numFmtId="0" fontId="16" fillId="0" borderId="53" xfId="0" applyFont="1" applyBorder="1" applyAlignment="1">
      <alignment horizontal="center" vertical="center" wrapText="1"/>
    </xf>
    <xf numFmtId="0" fontId="16" fillId="0" borderId="49" xfId="0" applyFont="1" applyBorder="1" applyAlignment="1">
      <alignment horizontal="center" vertical="center" wrapText="1"/>
    </xf>
    <xf numFmtId="0" fontId="0" fillId="21" borderId="40" xfId="0" applyFill="1" applyBorder="1" applyAlignment="1">
      <alignment horizontal="center" vertical="center"/>
    </xf>
    <xf numFmtId="0" fontId="0" fillId="21" borderId="50" xfId="0" applyFill="1" applyBorder="1" applyAlignment="1">
      <alignment horizontal="center" vertical="center"/>
    </xf>
    <xf numFmtId="0" fontId="23" fillId="0" borderId="0" xfId="0" applyFont="1" applyBorder="1" applyAlignment="1">
      <alignment horizontal="left" vertical="center"/>
    </xf>
    <xf numFmtId="0" fontId="0" fillId="0" borderId="7" xfId="0" applyBorder="1" applyAlignment="1">
      <alignment horizontal="center" vertical="center"/>
    </xf>
    <xf numFmtId="0" fontId="39" fillId="0" borderId="0" xfId="0" applyFont="1" applyFill="1" applyBorder="1" applyAlignment="1">
      <alignment horizontal="left" vertical="center"/>
    </xf>
    <xf numFmtId="0" fontId="17" fillId="0" borderId="0" xfId="0" applyFont="1" applyBorder="1" applyAlignment="1">
      <alignment horizontal="center" vertical="center"/>
    </xf>
    <xf numFmtId="0" fontId="17" fillId="0" borderId="18" xfId="0" applyFont="1" applyBorder="1" applyAlignment="1">
      <alignment horizontal="center" vertical="center"/>
    </xf>
    <xf numFmtId="0" fontId="26" fillId="0" borderId="50" xfId="0" applyFont="1" applyBorder="1" applyAlignment="1">
      <alignment horizontal="center" vertical="center"/>
    </xf>
    <xf numFmtId="0" fontId="26" fillId="0" borderId="13" xfId="0" applyFont="1" applyFill="1" applyBorder="1" applyAlignment="1">
      <alignment horizontal="center" vertical="center"/>
    </xf>
    <xf numFmtId="0" fontId="26" fillId="0" borderId="13" xfId="0" applyFont="1" applyBorder="1" applyAlignment="1">
      <alignment horizontal="center" vertical="center"/>
    </xf>
    <xf numFmtId="0" fontId="0" fillId="11" borderId="0" xfId="0" applyFill="1" applyBorder="1"/>
    <xf numFmtId="0" fontId="23" fillId="12" borderId="0" xfId="0" applyFont="1" applyFill="1" applyAlignment="1">
      <alignment horizontal="center"/>
    </xf>
    <xf numFmtId="0" fontId="23" fillId="11" borderId="0" xfId="0" applyFont="1" applyFill="1" applyAlignment="1">
      <alignment horizontal="center"/>
    </xf>
    <xf numFmtId="11" fontId="0" fillId="12" borderId="14" xfId="0" applyNumberFormat="1" applyFill="1" applyBorder="1" applyAlignment="1">
      <alignment horizontal="center"/>
    </xf>
    <xf numFmtId="0" fontId="0" fillId="14" borderId="14" xfId="0" applyFill="1" applyBorder="1"/>
    <xf numFmtId="0" fontId="0" fillId="12" borderId="14" xfId="0" applyFill="1" applyBorder="1"/>
    <xf numFmtId="0" fontId="0" fillId="0" borderId="14" xfId="0" applyFill="1" applyBorder="1"/>
    <xf numFmtId="0" fontId="23" fillId="0" borderId="24" xfId="0" applyFont="1" applyBorder="1" applyAlignment="1">
      <alignment horizontal="center" vertical="center" wrapText="1"/>
    </xf>
    <xf numFmtId="0" fontId="0" fillId="0" borderId="0" xfId="0" applyBorder="1" applyAlignment="1">
      <alignment horizontal="center" vertical="center" wrapText="1"/>
    </xf>
    <xf numFmtId="0" fontId="0" fillId="12" borderId="0" xfId="0" applyFill="1" applyBorder="1" applyAlignment="1">
      <alignment horizontal="center" vertical="center"/>
    </xf>
    <xf numFmtId="0" fontId="0" fillId="11" borderId="0" xfId="0" applyFill="1" applyBorder="1" applyAlignment="1">
      <alignment horizontal="center" vertical="center"/>
    </xf>
    <xf numFmtId="0" fontId="0" fillId="10" borderId="0" xfId="0" applyFill="1" applyBorder="1" applyAlignment="1">
      <alignment horizontal="center" vertical="center"/>
    </xf>
    <xf numFmtId="0" fontId="0" fillId="0" borderId="0" xfId="0" applyFont="1" applyBorder="1" applyAlignment="1">
      <alignment horizontal="center" vertical="center"/>
    </xf>
    <xf numFmtId="0" fontId="0" fillId="12"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10" borderId="14" xfId="0" applyFill="1" applyBorder="1" applyAlignment="1">
      <alignment horizontal="center" vertical="center"/>
    </xf>
    <xf numFmtId="0" fontId="0" fillId="22" borderId="40" xfId="0" applyFill="1" applyBorder="1" applyAlignment="1">
      <alignment horizontal="center" vertical="center"/>
    </xf>
    <xf numFmtId="0" fontId="23" fillId="0" borderId="13" xfId="0" applyFont="1" applyBorder="1" applyAlignment="1">
      <alignment horizontal="center" vertical="center" wrapTex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0" fillId="0" borderId="14" xfId="0" applyBorder="1" applyAlignment="1">
      <alignment horizontal="center" vertical="center" wrapText="1"/>
    </xf>
    <xf numFmtId="0" fontId="0" fillId="11" borderId="14" xfId="0" applyFill="1" applyBorder="1"/>
    <xf numFmtId="0" fontId="23" fillId="0" borderId="14" xfId="0" applyFont="1" applyFill="1" applyBorder="1" applyAlignment="1">
      <alignment horizontal="center" vertical="center"/>
    </xf>
    <xf numFmtId="0" fontId="0" fillId="14" borderId="14" xfId="0" applyFill="1" applyBorder="1" applyAlignment="1">
      <alignment horizontal="center" vertical="center"/>
    </xf>
    <xf numFmtId="0" fontId="0" fillId="12" borderId="14" xfId="0" applyFill="1" applyBorder="1" applyAlignment="1">
      <alignment horizontal="center" vertical="center"/>
    </xf>
    <xf numFmtId="0" fontId="0" fillId="11" borderId="14" xfId="0" applyFill="1" applyBorder="1" applyAlignment="1">
      <alignment horizontal="center" vertical="center"/>
    </xf>
    <xf numFmtId="0" fontId="23" fillId="0" borderId="14" xfId="0" applyFont="1" applyBorder="1" applyAlignment="1">
      <alignment horizontal="center"/>
    </xf>
    <xf numFmtId="0" fontId="23" fillId="12" borderId="14" xfId="0" applyFont="1" applyFill="1" applyBorder="1" applyAlignment="1">
      <alignment horizontal="center"/>
    </xf>
    <xf numFmtId="0" fontId="23" fillId="11" borderId="14" xfId="0" applyFont="1" applyFill="1" applyBorder="1" applyAlignment="1">
      <alignment horizontal="center"/>
    </xf>
    <xf numFmtId="0" fontId="23" fillId="0" borderId="13" xfId="0" applyFont="1" applyBorder="1" applyAlignment="1">
      <alignment vertical="center"/>
    </xf>
    <xf numFmtId="0" fontId="0" fillId="13" borderId="14" xfId="0" applyFill="1" applyBorder="1" applyAlignment="1">
      <alignment horizontal="center" vertical="center"/>
    </xf>
    <xf numFmtId="0" fontId="0" fillId="22" borderId="50" xfId="0" applyFill="1" applyBorder="1" applyAlignment="1">
      <alignment horizontal="center" vertical="center"/>
    </xf>
    <xf numFmtId="0" fontId="23" fillId="0" borderId="54" xfId="0" applyFont="1" applyBorder="1" applyAlignment="1">
      <alignment horizontal="center"/>
    </xf>
    <xf numFmtId="0" fontId="0" fillId="0" borderId="55" xfId="0" applyBorder="1" applyAlignment="1">
      <alignment horizontal="center"/>
    </xf>
    <xf numFmtId="0" fontId="23" fillId="0" borderId="55" xfId="0" applyFont="1" applyBorder="1" applyAlignment="1">
      <alignment horizontal="center"/>
    </xf>
    <xf numFmtId="0" fontId="0" fillId="0" borderId="51" xfId="0" applyBorder="1" applyAlignment="1">
      <alignment horizontal="center"/>
    </xf>
    <xf numFmtId="0" fontId="23" fillId="17" borderId="27" xfId="0" applyFont="1" applyFill="1" applyBorder="1"/>
    <xf numFmtId="0" fontId="23" fillId="17" borderId="46" xfId="0" applyFont="1" applyFill="1" applyBorder="1" applyAlignment="1">
      <alignment horizontal="left" vertical="center"/>
    </xf>
    <xf numFmtId="0" fontId="0" fillId="23" borderId="0" xfId="0" applyFill="1"/>
    <xf numFmtId="0" fontId="23" fillId="0" borderId="0" xfId="0" applyFont="1" applyBorder="1" applyAlignment="1">
      <alignment horizontal="center" vertical="center" wrapText="1"/>
    </xf>
    <xf numFmtId="0" fontId="0" fillId="24" borderId="22" xfId="0" applyFill="1" applyBorder="1" applyAlignment="1">
      <alignment horizontal="center"/>
    </xf>
    <xf numFmtId="0" fontId="0" fillId="24" borderId="4" xfId="0" applyFill="1" applyBorder="1" applyAlignment="1">
      <alignment horizontal="center"/>
    </xf>
    <xf numFmtId="11" fontId="0" fillId="24" borderId="4" xfId="0" applyNumberFormat="1" applyFill="1" applyBorder="1" applyAlignment="1">
      <alignment horizontal="center"/>
    </xf>
    <xf numFmtId="0" fontId="0" fillId="24" borderId="4" xfId="0" applyFill="1" applyBorder="1"/>
    <xf numFmtId="0" fontId="0" fillId="24" borderId="0" xfId="0" applyFill="1" applyBorder="1"/>
    <xf numFmtId="0" fontId="0" fillId="24" borderId="0" xfId="0" applyFill="1" applyAlignment="1">
      <alignment horizontal="center"/>
    </xf>
    <xf numFmtId="0" fontId="0" fillId="24" borderId="0" xfId="0" applyFill="1"/>
    <xf numFmtId="0" fontId="16" fillId="0" borderId="40" xfId="0" applyFont="1" applyBorder="1" applyAlignment="1">
      <alignment horizontal="center" vertical="center" wrapText="1"/>
    </xf>
    <xf numFmtId="0" fontId="16" fillId="0" borderId="10" xfId="0" applyFont="1" applyBorder="1" applyAlignment="1">
      <alignment horizontal="center" vertical="center" wrapText="1"/>
    </xf>
    <xf numFmtId="0" fontId="26" fillId="0" borderId="20" xfId="0" applyFont="1" applyBorder="1" applyAlignment="1">
      <alignment horizontal="center" vertical="center"/>
    </xf>
    <xf numFmtId="0" fontId="17" fillId="0" borderId="52" xfId="0" applyFont="1" applyBorder="1" applyAlignment="1">
      <alignment horizontal="center" vertical="center"/>
    </xf>
    <xf numFmtId="0" fontId="25" fillId="0" borderId="20" xfId="0" applyFont="1" applyBorder="1" applyAlignment="1">
      <alignment horizontal="left" vertical="center"/>
    </xf>
    <xf numFmtId="0" fontId="26" fillId="9" borderId="10" xfId="0" applyFont="1" applyFill="1" applyBorder="1" applyAlignment="1">
      <alignment horizontal="center" vertical="center"/>
    </xf>
    <xf numFmtId="0" fontId="26" fillId="9" borderId="11" xfId="0" applyFont="1" applyFill="1" applyBorder="1" applyAlignment="1">
      <alignment horizontal="center" vertical="center"/>
    </xf>
    <xf numFmtId="0" fontId="26" fillId="23" borderId="55" xfId="0" applyFont="1" applyFill="1" applyBorder="1" applyAlignment="1">
      <alignment horizontal="center" vertical="center"/>
    </xf>
    <xf numFmtId="0" fontId="0" fillId="9" borderId="11" xfId="0" applyFill="1" applyBorder="1" applyAlignment="1">
      <alignment horizontal="center" vertical="center"/>
    </xf>
    <xf numFmtId="0" fontId="0" fillId="9" borderId="11" xfId="0" applyFill="1" applyBorder="1"/>
    <xf numFmtId="0" fontId="0" fillId="9" borderId="10" xfId="0" applyFill="1" applyBorder="1"/>
    <xf numFmtId="0" fontId="0" fillId="23" borderId="55" xfId="0" applyFill="1" applyBorder="1"/>
    <xf numFmtId="0" fontId="26" fillId="0" borderId="3" xfId="0" applyFont="1" applyBorder="1" applyAlignment="1">
      <alignment horizontal="center" vertical="center"/>
    </xf>
    <xf numFmtId="0" fontId="26" fillId="9" borderId="10" xfId="0" applyFont="1" applyFill="1" applyBorder="1"/>
    <xf numFmtId="0" fontId="26" fillId="9" borderId="11" xfId="0" applyFont="1" applyFill="1" applyBorder="1"/>
    <xf numFmtId="0" fontId="26" fillId="23" borderId="55" xfId="0" applyFont="1" applyFill="1" applyBorder="1"/>
    <xf numFmtId="0" fontId="26" fillId="16" borderId="52" xfId="0" applyFont="1" applyFill="1" applyBorder="1" applyAlignment="1">
      <alignment horizontal="center" vertical="center"/>
    </xf>
    <xf numFmtId="0" fontId="40" fillId="9" borderId="10" xfId="0" applyFont="1" applyFill="1" applyBorder="1"/>
    <xf numFmtId="0" fontId="0" fillId="0" borderId="4" xfId="0" applyBorder="1" applyAlignment="1">
      <alignment horizontal="justify" vertical="center"/>
    </xf>
    <xf numFmtId="0" fontId="23" fillId="0" borderId="14" xfId="0" applyFont="1" applyBorder="1" applyAlignment="1">
      <alignment horizontal="center" vertical="center"/>
    </xf>
    <xf numFmtId="0" fontId="0" fillId="11" borderId="3" xfId="0" applyFill="1" applyBorder="1" applyAlignment="1">
      <alignment horizontal="center" vertic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23" fillId="0" borderId="0" xfId="0" applyFont="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12" borderId="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23" fillId="0" borderId="0" xfId="0" applyFont="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0" borderId="14" xfId="0"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14" xfId="0"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9" borderId="0" xfId="0" applyFill="1" applyAlignment="1">
      <alignment horizontal="center" vertical="center"/>
    </xf>
    <xf numFmtId="0" fontId="0" fillId="12" borderId="0" xfId="0" applyFill="1"/>
    <xf numFmtId="0" fontId="0" fillId="12" borderId="0" xfId="0" applyFill="1" applyAlignment="1">
      <alignment horizontal="center"/>
    </xf>
    <xf numFmtId="0" fontId="23" fillId="0" borderId="0" xfId="0" applyFont="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8" borderId="0" xfId="0" applyFill="1"/>
    <xf numFmtId="0" fontId="0" fillId="0" borderId="14" xfId="0" applyBorder="1" applyAlignment="1">
      <alignment horizontal="center"/>
    </xf>
    <xf numFmtId="0" fontId="0" fillId="11" borderId="14" xfId="0" applyFill="1" applyBorder="1" applyAlignment="1">
      <alignment horizontal="center"/>
    </xf>
    <xf numFmtId="0" fontId="0" fillId="16" borderId="0" xfId="0" applyFill="1"/>
    <xf numFmtId="0" fontId="0" fillId="16" borderId="0" xfId="0" applyFill="1" applyAlignment="1">
      <alignment horizontal="center"/>
    </xf>
    <xf numFmtId="0" fontId="0" fillId="16" borderId="0" xfId="0" applyFill="1" applyAlignment="1">
      <alignment horizontal="left"/>
    </xf>
    <xf numFmtId="0" fontId="0" fillId="16"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8" borderId="0" xfId="0" applyFill="1"/>
    <xf numFmtId="0" fontId="0" fillId="18" borderId="0" xfId="0" applyFill="1" applyAlignment="1">
      <alignment horizontal="center"/>
    </xf>
    <xf numFmtId="0" fontId="23" fillId="0" borderId="0" xfId="0" applyFont="1" applyAlignment="1">
      <alignment horizontal="center" vertical="center"/>
    </xf>
    <xf numFmtId="0" fontId="0" fillId="0" borderId="14" xfId="0"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center" vertic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23" fillId="0" borderId="0" xfId="0" applyFont="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14" xfId="0"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23" fillId="0" borderId="0" xfId="0" applyFont="1" applyAlignment="1">
      <alignment horizontal="center"/>
    </xf>
    <xf numFmtId="0" fontId="0" fillId="0" borderId="14" xfId="0" applyBorder="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0" borderId="14" xfId="0"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0" borderId="14" xfId="0"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9" borderId="0" xfId="0" applyFill="1" applyAlignment="1">
      <alignment horizontal="center" vertical="center"/>
    </xf>
    <xf numFmtId="0" fontId="0" fillId="12" borderId="0" xfId="0" applyFill="1"/>
    <xf numFmtId="0" fontId="0" fillId="12" borderId="0" xfId="0" applyFill="1" applyAlignment="1">
      <alignment horizontal="center"/>
    </xf>
    <xf numFmtId="0" fontId="23" fillId="0" borderId="0" xfId="0" applyFont="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8" borderId="0" xfId="0" applyFill="1"/>
    <xf numFmtId="0" fontId="0" fillId="0" borderId="14" xfId="0" applyBorder="1" applyAlignment="1">
      <alignment horizontal="center"/>
    </xf>
    <xf numFmtId="0" fontId="0" fillId="11" borderId="14" xfId="0" applyFill="1" applyBorder="1" applyAlignment="1">
      <alignment horizontal="center"/>
    </xf>
    <xf numFmtId="0" fontId="0" fillId="16" borderId="0" xfId="0" applyFill="1"/>
    <xf numFmtId="0" fontId="0" fillId="16" borderId="0" xfId="0" applyFill="1" applyAlignment="1">
      <alignment horizontal="center"/>
    </xf>
    <xf numFmtId="0" fontId="0" fillId="16" borderId="0" xfId="0" applyFill="1" applyAlignment="1">
      <alignment horizontal="left"/>
    </xf>
    <xf numFmtId="0" fontId="0" fillId="16"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8" borderId="0" xfId="0" applyFill="1"/>
    <xf numFmtId="0" fontId="0" fillId="18" borderId="0" xfId="0" applyFill="1" applyAlignment="1">
      <alignment horizontal="center"/>
    </xf>
    <xf numFmtId="0" fontId="23" fillId="0" borderId="0" xfId="0" applyFont="1" applyAlignment="1">
      <alignment horizontal="center" vertical="center"/>
    </xf>
    <xf numFmtId="0" fontId="0" fillId="0" borderId="14" xfId="0"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14" xfId="0"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23" fillId="0" borderId="0" xfId="0" applyFont="1" applyAlignment="1">
      <alignment horizontal="center"/>
    </xf>
    <xf numFmtId="0" fontId="0" fillId="12" borderId="0" xfId="0" applyFill="1" applyAlignment="1">
      <alignment horizontal="center" vertic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14" xfId="0"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23" fillId="0" borderId="0" xfId="0" applyFont="1" applyAlignment="1">
      <alignment horizontal="center"/>
    </xf>
    <xf numFmtId="0" fontId="0" fillId="0" borderId="14" xfId="0" applyBorder="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left"/>
    </xf>
    <xf numFmtId="0" fontId="0" fillId="12" borderId="0" xfId="0" applyFill="1" applyAlignment="1">
      <alignment horizontal="center" vertic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0" borderId="14" xfId="0"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0" borderId="14" xfId="0"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9" borderId="0" xfId="0" applyFill="1" applyAlignment="1">
      <alignment horizontal="center" vertical="center"/>
    </xf>
    <xf numFmtId="0" fontId="0" fillId="12" borderId="0" xfId="0" applyFill="1"/>
    <xf numFmtId="0" fontId="0" fillId="12" borderId="0" xfId="0" applyFill="1" applyAlignment="1">
      <alignment horizontal="center"/>
    </xf>
    <xf numFmtId="0" fontId="23" fillId="0" borderId="0" xfId="0" applyFont="1" applyAlignment="1">
      <alignment horizontal="center"/>
    </xf>
    <xf numFmtId="0" fontId="0" fillId="12" borderId="0" xfId="0" applyFill="1" applyAlignment="1">
      <alignment horizontal="center" vertic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1" borderId="0" xfId="0" applyFill="1"/>
    <xf numFmtId="0" fontId="0" fillId="11" borderId="0" xfId="0" applyFill="1" applyAlignment="1">
      <alignment horizontal="center"/>
    </xf>
    <xf numFmtId="0" fontId="0" fillId="11" borderId="0" xfId="0" applyFill="1" applyAlignment="1">
      <alignment horizontal="left"/>
    </xf>
    <xf numFmtId="0" fontId="0" fillId="8" borderId="0" xfId="0" applyFill="1"/>
    <xf numFmtId="0" fontId="0" fillId="0" borderId="14" xfId="0" applyBorder="1" applyAlignment="1">
      <alignment horizontal="center"/>
    </xf>
    <xf numFmtId="0" fontId="0" fillId="11" borderId="14" xfId="0" applyFill="1" applyBorder="1" applyAlignment="1">
      <alignment horizontal="center"/>
    </xf>
    <xf numFmtId="0" fontId="0" fillId="16" borderId="0" xfId="0" applyFill="1"/>
    <xf numFmtId="0" fontId="0" fillId="16" borderId="0" xfId="0" applyFill="1" applyAlignment="1">
      <alignment horizontal="center"/>
    </xf>
    <xf numFmtId="0" fontId="0" fillId="16" borderId="0" xfId="0" applyFill="1" applyAlignment="1">
      <alignment horizontal="left"/>
    </xf>
    <xf numFmtId="0" fontId="0" fillId="16" borderId="14" xfId="0" applyFill="1" applyBorder="1" applyAlignment="1">
      <alignment horizontal="center"/>
    </xf>
    <xf numFmtId="0" fontId="0" fillId="0" borderId="0" xfId="0"/>
    <xf numFmtId="0" fontId="0" fillId="0" borderId="0" xfId="0" applyAlignment="1">
      <alignment horizontal="center"/>
    </xf>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18" borderId="0" xfId="0" applyFill="1"/>
    <xf numFmtId="0" fontId="0" fillId="18" borderId="0" xfId="0" applyFill="1" applyAlignment="1">
      <alignment horizontal="center"/>
    </xf>
    <xf numFmtId="0" fontId="23" fillId="0" borderId="0" xfId="0" applyFont="1" applyAlignment="1">
      <alignment horizontal="center" vertical="center"/>
    </xf>
    <xf numFmtId="0" fontId="0" fillId="0" borderId="14" xfId="0" applyBorder="1" applyAlignment="1">
      <alignment horizontal="center"/>
    </xf>
    <xf numFmtId="0" fontId="0" fillId="0" borderId="0" xfId="0"/>
    <xf numFmtId="0" fontId="0" fillId="0" borderId="0" xfId="0" applyAlignment="1">
      <alignment horizontal="center"/>
    </xf>
    <xf numFmtId="0" fontId="0" fillId="0" borderId="0" xfId="0" applyFill="1"/>
    <xf numFmtId="0" fontId="0" fillId="8" borderId="0" xfId="0" applyFill="1" applyAlignment="1">
      <alignment horizontal="center"/>
    </xf>
    <xf numFmtId="0" fontId="0" fillId="0" borderId="0" xfId="0" applyAlignment="1">
      <alignment horizontal="left"/>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12" borderId="0" xfId="0" applyFill="1"/>
    <xf numFmtId="0" fontId="0" fillId="12" borderId="0" xfId="0" applyFill="1" applyAlignment="1">
      <alignment horizontal="center"/>
    </xf>
    <xf numFmtId="0" fontId="0" fillId="12" borderId="0" xfId="0" applyFill="1" applyAlignment="1">
      <alignment horizontal="center" vertical="center"/>
    </xf>
    <xf numFmtId="0" fontId="0" fillId="0" borderId="14" xfId="0"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8" borderId="0" xfId="0" applyFill="1" applyAlignment="1">
      <alignment horizontal="center"/>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0" borderId="0" xfId="0" applyFill="1" applyAlignment="1">
      <alignment horizontal="center" vertical="center"/>
    </xf>
    <xf numFmtId="0" fontId="0" fillId="12" borderId="0" xfId="0" applyFill="1" applyAlignment="1">
      <alignment horizontal="center" vertical="center"/>
    </xf>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0" borderId="0" xfId="0" applyFill="1" applyAlignment="1">
      <alignment horizontal="center" vertical="center"/>
    </xf>
    <xf numFmtId="0" fontId="0" fillId="12" borderId="0" xfId="0" applyFill="1" applyAlignment="1">
      <alignment horizontal="center" vertical="center"/>
    </xf>
    <xf numFmtId="0" fontId="0" fillId="12" borderId="0" xfId="0" applyFill="1" applyBorder="1"/>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Fill="1"/>
    <xf numFmtId="0" fontId="0" fillId="12" borderId="0" xfId="0" applyFill="1"/>
    <xf numFmtId="0" fontId="0" fillId="0" borderId="0" xfId="0"/>
    <xf numFmtId="0" fontId="0" fillId="0" borderId="0" xfId="0" applyAlignment="1">
      <alignment horizontal="center"/>
    </xf>
    <xf numFmtId="0" fontId="0" fillId="0" borderId="0" xfId="0" applyAlignment="1">
      <alignment horizontal="center" vertical="center"/>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center" vertical="center"/>
    </xf>
    <xf numFmtId="0" fontId="0" fillId="0" borderId="14" xfId="0" applyFill="1" applyBorder="1" applyAlignment="1">
      <alignment horizontal="center"/>
    </xf>
    <xf numFmtId="0" fontId="0" fillId="12" borderId="0" xfId="0" applyFill="1"/>
    <xf numFmtId="0" fontId="0" fillId="12" borderId="0" xfId="0" applyFill="1" applyAlignment="1">
      <alignment horizontal="center"/>
    </xf>
    <xf numFmtId="0" fontId="0" fillId="12" borderId="0" xfId="0" applyFill="1" applyAlignment="1">
      <alignment horizontal="center" vertical="center"/>
    </xf>
    <xf numFmtId="0" fontId="0" fillId="12" borderId="0" xfId="0" applyFill="1" applyBorder="1"/>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8" borderId="0" xfId="0" applyFill="1" applyAlignment="1">
      <alignment horizontal="center"/>
    </xf>
    <xf numFmtId="0" fontId="0" fillId="9" borderId="0" xfId="0" applyFill="1" applyAlignment="1">
      <alignment horizontal="center"/>
    </xf>
    <xf numFmtId="0" fontId="0" fillId="0" borderId="0" xfId="0" applyFill="1" applyAlignment="1">
      <alignment horizontal="center"/>
    </xf>
    <xf numFmtId="0" fontId="0" fillId="11" borderId="0" xfId="0" applyFill="1"/>
    <xf numFmtId="0" fontId="0" fillId="11" borderId="0" xfId="0" applyFill="1" applyAlignment="1">
      <alignment horizontal="center"/>
    </xf>
    <xf numFmtId="0" fontId="0" fillId="11" borderId="0" xfId="0" applyFill="1" applyAlignment="1">
      <alignment horizontal="center" vertical="center"/>
    </xf>
    <xf numFmtId="0" fontId="0" fillId="0" borderId="0" xfId="0" applyFill="1" applyAlignment="1">
      <alignment horizontal="center" vertic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8" borderId="0" xfId="0" applyFill="1" applyAlignment="1">
      <alignment horizontal="center"/>
    </xf>
    <xf numFmtId="0" fontId="0" fillId="9" borderId="0" xfId="0" applyFill="1" applyAlignment="1">
      <alignment horizontal="center"/>
    </xf>
    <xf numFmtId="0" fontId="0" fillId="0" borderId="0" xfId="0" applyFill="1" applyAlignment="1">
      <alignment horizontal="center"/>
    </xf>
    <xf numFmtId="0" fontId="0" fillId="11" borderId="0" xfId="0" applyFill="1"/>
    <xf numFmtId="0" fontId="0" fillId="11" borderId="0" xfId="0" applyFill="1" applyAlignment="1">
      <alignment horizontal="center"/>
    </xf>
    <xf numFmtId="0" fontId="0" fillId="11" borderId="0" xfId="0" applyFill="1" applyAlignment="1">
      <alignment horizontal="center" vertical="center"/>
    </xf>
    <xf numFmtId="0" fontId="0" fillId="0" borderId="0" xfId="0" applyFill="1" applyAlignment="1">
      <alignment horizontal="center" vertical="center"/>
    </xf>
    <xf numFmtId="0" fontId="0" fillId="0" borderId="14" xfId="0" applyFill="1" applyBorder="1" applyAlignment="1">
      <alignment horizontal="center"/>
    </xf>
    <xf numFmtId="0" fontId="0" fillId="11"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0" borderId="0" xfId="0" applyFill="1" applyAlignment="1">
      <alignment horizontal="center" vertical="center"/>
    </xf>
    <xf numFmtId="0" fontId="0" fillId="12" borderId="0" xfId="0" applyFill="1" applyAlignment="1">
      <alignment horizontal="center" vertical="center"/>
    </xf>
    <xf numFmtId="0" fontId="0" fillId="12" borderId="0" xfId="0" applyFill="1" applyBorder="1"/>
    <xf numFmtId="0" fontId="0" fillId="0" borderId="14" xfId="0" applyFill="1" applyBorder="1" applyAlignment="1">
      <alignment horizontal="center"/>
    </xf>
    <xf numFmtId="0" fontId="0" fillId="12"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Fill="1"/>
    <xf numFmtId="0" fontId="0" fillId="8" borderId="0" xfId="0" applyFill="1" applyAlignment="1">
      <alignment horizontal="center"/>
    </xf>
    <xf numFmtId="0" fontId="0" fillId="9" borderId="0" xfId="0" applyFill="1" applyAlignment="1">
      <alignment horizontal="center"/>
    </xf>
    <xf numFmtId="0" fontId="0" fillId="0" borderId="0" xfId="0" applyFill="1" applyAlignment="1">
      <alignment horizontal="center"/>
    </xf>
    <xf numFmtId="0" fontId="0" fillId="0" borderId="0" xfId="0" applyFill="1" applyAlignment="1">
      <alignment horizontal="center" vertical="center"/>
    </xf>
    <xf numFmtId="0" fontId="0" fillId="0" borderId="14" xfId="0" applyFill="1" applyBorder="1" applyAlignment="1">
      <alignment horizontal="center"/>
    </xf>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Fill="1"/>
    <xf numFmtId="0" fontId="0" fillId="9" borderId="0" xfId="0" applyFill="1" applyAlignment="1">
      <alignment horizontal="center"/>
    </xf>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0" borderId="0" xfId="0" applyFill="1" applyAlignment="1">
      <alignment horizontal="center" vertical="center"/>
    </xf>
    <xf numFmtId="0" fontId="0" fillId="12" borderId="0" xfId="0" applyFill="1" applyAlignment="1">
      <alignment horizontal="center" vertical="center"/>
    </xf>
    <xf numFmtId="0" fontId="0" fillId="12" borderId="0" xfId="0" applyFill="1" applyBorder="1"/>
    <xf numFmtId="0" fontId="23" fillId="0" borderId="13" xfId="0" applyFont="1" applyBorder="1" applyAlignment="1">
      <alignment horizontal="center" vertical="center"/>
    </xf>
    <xf numFmtId="0" fontId="0" fillId="0" borderId="14" xfId="0" applyFill="1" applyBorder="1" applyAlignment="1">
      <alignment horizontal="center"/>
    </xf>
    <xf numFmtId="0" fontId="0" fillId="12" borderId="14" xfId="0" applyFill="1" applyBorder="1" applyAlignment="1">
      <alignment horizontal="center"/>
    </xf>
    <xf numFmtId="0" fontId="0" fillId="10" borderId="14" xfId="0" applyFill="1" applyBorder="1" applyAlignment="1">
      <alignment horizontal="center"/>
    </xf>
    <xf numFmtId="0" fontId="0" fillId="11" borderId="14" xfId="0" applyFill="1" applyBorder="1" applyAlignment="1">
      <alignment horizontal="center"/>
    </xf>
    <xf numFmtId="11" fontId="0" fillId="0" borderId="14" xfId="0" applyNumberFormat="1" applyFill="1" applyBorder="1" applyAlignment="1">
      <alignment horizontal="center"/>
    </xf>
    <xf numFmtId="0" fontId="0" fillId="10" borderId="14" xfId="0" applyFill="1" applyBorder="1"/>
    <xf numFmtId="0" fontId="0" fillId="0" borderId="14" xfId="0" applyBorder="1"/>
    <xf numFmtId="0" fontId="0" fillId="0" borderId="0" xfId="0" applyAlignment="1">
      <alignment horizontal="center" vertical="center"/>
    </xf>
    <xf numFmtId="0" fontId="0" fillId="10" borderId="0" xfId="0" applyFill="1" applyAlignment="1">
      <alignment horizontal="center" vertical="center"/>
    </xf>
    <xf numFmtId="0" fontId="0" fillId="11" borderId="0" xfId="0" applyFill="1" applyAlignment="1">
      <alignment horizontal="center" vertical="center"/>
    </xf>
    <xf numFmtId="0" fontId="0" fillId="0" borderId="0" xfId="0" applyFill="1" applyAlignment="1">
      <alignment horizontal="center" vertical="center"/>
    </xf>
    <xf numFmtId="0" fontId="0" fillId="12" borderId="0" xfId="0" applyFill="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16" borderId="0" xfId="0" applyFill="1" applyAlignment="1">
      <alignment horizontal="center" vertical="center"/>
    </xf>
    <xf numFmtId="0" fontId="0" fillId="16" borderId="3" xfId="0" applyFill="1" applyBorder="1" applyAlignment="1">
      <alignment horizontal="center" vertical="center"/>
    </xf>
    <xf numFmtId="0" fontId="0" fillId="16" borderId="0" xfId="0" applyFill="1" applyBorder="1" applyAlignment="1">
      <alignment horizontal="center" vertical="center"/>
    </xf>
    <xf numFmtId="0" fontId="0" fillId="16" borderId="4" xfId="0" applyFill="1" applyBorder="1" applyAlignment="1">
      <alignment horizontal="center" vertical="center"/>
    </xf>
    <xf numFmtId="0" fontId="0" fillId="16" borderId="0" xfId="0" applyFill="1" applyBorder="1" applyAlignment="1">
      <alignment horizontal="center"/>
    </xf>
    <xf numFmtId="0" fontId="0" fillId="16" borderId="3" xfId="0" applyFill="1" applyBorder="1" applyAlignment="1">
      <alignment horizontal="center"/>
    </xf>
    <xf numFmtId="0" fontId="0" fillId="12" borderId="3" xfId="0" applyFill="1" applyBorder="1" applyAlignment="1">
      <alignment horizontal="center"/>
    </xf>
    <xf numFmtId="0" fontId="0" fillId="12" borderId="0" xfId="0" applyFill="1" applyBorder="1" applyAlignment="1">
      <alignment horizontal="center"/>
    </xf>
    <xf numFmtId="0" fontId="0" fillId="0" borderId="3" xfId="0" applyFill="1" applyBorder="1" applyAlignment="1">
      <alignment horizontal="center"/>
    </xf>
    <xf numFmtId="0" fontId="0" fillId="0" borderId="0" xfId="0" applyFill="1" applyBorder="1" applyAlignment="1">
      <alignment horizontal="center"/>
    </xf>
    <xf numFmtId="0" fontId="0" fillId="0"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11" borderId="3" xfId="0" applyFill="1" applyBorder="1" applyAlignment="1">
      <alignment horizontal="center"/>
    </xf>
    <xf numFmtId="0" fontId="0" fillId="11" borderId="0" xfId="0" applyFill="1" applyBorder="1" applyAlignment="1">
      <alignment horizontal="center"/>
    </xf>
    <xf numFmtId="0" fontId="0" fillId="11" borderId="4" xfId="0" applyFill="1" applyBorder="1" applyAlignment="1">
      <alignment horizontal="center"/>
    </xf>
    <xf numFmtId="0" fontId="0" fillId="16" borderId="4" xfId="0" applyFill="1" applyBorder="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0" fillId="14" borderId="0" xfId="0" applyFill="1" applyAlignment="1">
      <alignment horizontal="center"/>
    </xf>
    <xf numFmtId="0" fontId="0" fillId="10" borderId="0" xfId="0" applyFill="1" applyAlignment="1">
      <alignment horizontal="center" vertical="center"/>
    </xf>
    <xf numFmtId="0" fontId="0" fillId="0" borderId="0" xfId="0" applyFill="1" applyAlignment="1">
      <alignment horizontal="center" vertical="center"/>
    </xf>
    <xf numFmtId="0" fontId="0" fillId="12" borderId="0" xfId="0" applyFill="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xf>
    <xf numFmtId="0" fontId="0" fillId="16" borderId="0" xfId="0" applyFill="1" applyAlignment="1">
      <alignment horizontal="center"/>
    </xf>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0" fillId="12" borderId="0" xfId="0" applyFill="1"/>
    <xf numFmtId="0" fontId="0" fillId="12" borderId="0" xfId="0" applyFill="1" applyAlignment="1">
      <alignment horizontal="center"/>
    </xf>
    <xf numFmtId="0" fontId="0" fillId="0" borderId="3" xfId="0" applyBorder="1"/>
    <xf numFmtId="0" fontId="0" fillId="0" borderId="0" xfId="0" applyBorder="1"/>
    <xf numFmtId="0" fontId="0" fillId="12" borderId="3" xfId="0" applyFill="1" applyBorder="1"/>
    <xf numFmtId="0" fontId="0" fillId="12" borderId="0" xfId="0" applyFill="1" applyBorder="1"/>
    <xf numFmtId="0" fontId="0" fillId="0" borderId="3" xfId="0" applyFill="1" applyBorder="1"/>
    <xf numFmtId="0" fontId="0" fillId="0" borderId="0" xfId="0" applyFill="1" applyBorder="1"/>
    <xf numFmtId="0" fontId="0" fillId="0" borderId="4" xfId="0" applyBorder="1"/>
    <xf numFmtId="0" fontId="0" fillId="12" borderId="4" xfId="0" applyFill="1" applyBorder="1"/>
    <xf numFmtId="0" fontId="0" fillId="0" borderId="4" xfId="0" applyFill="1" applyBorder="1"/>
    <xf numFmtId="0" fontId="0" fillId="0" borderId="0" xfId="0" applyAlignment="1">
      <alignment horizontal="center" vertical="center"/>
    </xf>
    <xf numFmtId="0" fontId="0" fillId="0" borderId="0" xfId="0" applyFill="1" applyAlignment="1">
      <alignment horizontal="center" vertical="center"/>
    </xf>
    <xf numFmtId="0" fontId="0" fillId="12" borderId="0" xfId="0" applyFill="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11" borderId="0" xfId="0" applyFill="1"/>
    <xf numFmtId="0" fontId="0" fillId="11" borderId="0" xfId="0" applyFill="1" applyAlignment="1">
      <alignment horizontal="center"/>
    </xf>
    <xf numFmtId="0" fontId="0" fillId="0" borderId="3" xfId="0" applyBorder="1" applyAlignment="1">
      <alignment horizontal="center" vertical="center"/>
    </xf>
    <xf numFmtId="0" fontId="0" fillId="0" borderId="0" xfId="0" applyBorder="1" applyAlignment="1">
      <alignment horizontal="center" vertical="center"/>
    </xf>
    <xf numFmtId="0" fontId="0" fillId="11" borderId="3" xfId="0" applyFill="1" applyBorder="1"/>
    <xf numFmtId="0" fontId="0" fillId="11" borderId="0" xfId="0" applyFill="1" applyBorder="1"/>
    <xf numFmtId="0" fontId="0" fillId="0" borderId="4" xfId="0" applyBorder="1" applyAlignment="1">
      <alignment horizontal="center" vertical="center"/>
    </xf>
    <xf numFmtId="0" fontId="0" fillId="11" borderId="4" xfId="0" applyFill="1" applyBorder="1"/>
    <xf numFmtId="0" fontId="0" fillId="0" borderId="0" xfId="0" applyAlignment="1">
      <alignment horizontal="center" vertical="center"/>
    </xf>
    <xf numFmtId="0" fontId="0" fillId="11" borderId="0" xfId="0" applyFill="1" applyAlignment="1">
      <alignment horizontal="center" vertical="center"/>
    </xf>
    <xf numFmtId="0" fontId="0" fillId="0" borderId="0" xfId="0" applyFill="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14" xfId="0" applyBorder="1"/>
    <xf numFmtId="0" fontId="0" fillId="0" borderId="14" xfId="0" applyBorder="1"/>
    <xf numFmtId="0" fontId="0" fillId="0" borderId="14" xfId="0" applyFill="1" applyBorder="1" applyAlignment="1">
      <alignment horizontal="center"/>
    </xf>
    <xf numFmtId="0" fontId="0" fillId="12" borderId="14" xfId="0" applyFill="1" applyBorder="1" applyAlignment="1">
      <alignment horizontal="center"/>
    </xf>
    <xf numFmtId="0" fontId="25" fillId="0" borderId="0" xfId="0" applyFont="1" applyBorder="1" applyAlignment="1">
      <alignment horizontal="center" vertical="top" wrapText="1"/>
    </xf>
    <xf numFmtId="0" fontId="25" fillId="0" borderId="18" xfId="0" applyFont="1" applyBorder="1" applyAlignment="1">
      <alignment horizontal="center" vertical="center" wrapText="1"/>
    </xf>
    <xf numFmtId="0" fontId="33" fillId="0" borderId="16" xfId="0" applyFont="1" applyBorder="1" applyAlignment="1">
      <alignment horizontal="center" vertical="center" wrapText="1"/>
    </xf>
    <xf numFmtId="0" fontId="25" fillId="0" borderId="18" xfId="0" applyFont="1" applyBorder="1" applyAlignment="1">
      <alignment horizontal="center" vertical="center"/>
    </xf>
    <xf numFmtId="0" fontId="33" fillId="0" borderId="20" xfId="0" applyFont="1" applyBorder="1" applyAlignment="1">
      <alignment horizontal="center" vertical="center" wrapText="1"/>
    </xf>
    <xf numFmtId="0" fontId="33" fillId="0" borderId="18" xfId="0" applyFont="1" applyBorder="1" applyAlignment="1">
      <alignment horizontal="center" vertical="center" wrapText="1"/>
    </xf>
    <xf numFmtId="0" fontId="25" fillId="0" borderId="0" xfId="0" applyFont="1" applyAlignment="1">
      <alignment horizontal="center" vertical="center"/>
    </xf>
    <xf numFmtId="0" fontId="41" fillId="0" borderId="0" xfId="0" applyFont="1" applyAlignment="1">
      <alignment horizontal="center" vertical="center"/>
    </xf>
    <xf numFmtId="0" fontId="33" fillId="0" borderId="18" xfId="0" applyFont="1" applyBorder="1" applyAlignment="1">
      <alignment horizontal="center" vertical="center"/>
    </xf>
    <xf numFmtId="0" fontId="41" fillId="0" borderId="18" xfId="0" applyFont="1" applyBorder="1" applyAlignment="1">
      <alignment horizontal="center" vertical="center"/>
    </xf>
    <xf numFmtId="0" fontId="41" fillId="0" borderId="0" xfId="0" applyFont="1"/>
    <xf numFmtId="0" fontId="25" fillId="0" borderId="18" xfId="0" applyFont="1" applyBorder="1"/>
    <xf numFmtId="0" fontId="0" fillId="0" borderId="18" xfId="0" applyBorder="1" applyAlignment="1">
      <alignment horizontal="center" vertical="center"/>
    </xf>
    <xf numFmtId="0" fontId="25" fillId="0" borderId="18" xfId="0" applyFont="1" applyBorder="1" applyAlignment="1">
      <alignment horizontal="center" vertical="top" wrapText="1"/>
    </xf>
    <xf numFmtId="0" fontId="33" fillId="0" borderId="20" xfId="0" applyFont="1" applyBorder="1" applyAlignment="1">
      <alignment horizontal="center" vertical="center"/>
    </xf>
    <xf numFmtId="0" fontId="25" fillId="0" borderId="26" xfId="0" applyFont="1" applyBorder="1" applyAlignment="1">
      <alignment horizontal="center" vertical="center"/>
    </xf>
    <xf numFmtId="0" fontId="25" fillId="0" borderId="26"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18" xfId="0" applyFont="1" applyBorder="1" applyAlignment="1">
      <alignment horizontal="center" wrapText="1"/>
    </xf>
    <xf numFmtId="0" fontId="33" fillId="0" borderId="18" xfId="0" applyFont="1" applyFill="1" applyBorder="1" applyAlignment="1">
      <alignment horizontal="center" vertical="center" wrapText="1"/>
    </xf>
    <xf numFmtId="0" fontId="0" fillId="24" borderId="0" xfId="0" applyFill="1" applyAlignment="1">
      <alignment horizontal="center" vertical="center" wrapText="1"/>
    </xf>
    <xf numFmtId="0" fontId="0" fillId="24" borderId="0" xfId="0" applyFill="1" applyAlignment="1">
      <alignment horizontal="center" vertical="center"/>
    </xf>
    <xf numFmtId="0" fontId="0" fillId="25" borderId="0" xfId="0" applyFill="1" applyAlignment="1">
      <alignment horizontal="center" vertical="center"/>
    </xf>
    <xf numFmtId="0" fontId="0" fillId="24" borderId="0" xfId="0" applyFill="1" applyAlignment="1">
      <alignment horizontal="justify" vertical="center"/>
    </xf>
    <xf numFmtId="0" fontId="24" fillId="24" borderId="0" xfId="0" applyFont="1" applyFill="1" applyAlignment="1">
      <alignment horizontal="center" vertical="center"/>
    </xf>
    <xf numFmtId="0" fontId="23" fillId="0" borderId="13" xfId="0" applyFont="1" applyBorder="1" applyAlignment="1">
      <alignment horizontal="center" vertical="center" wrapText="1"/>
    </xf>
    <xf numFmtId="0" fontId="23" fillId="0" borderId="13" xfId="0" applyFont="1" applyBorder="1" applyAlignment="1">
      <alignment horizontal="center" vertical="center" wrapText="1"/>
    </xf>
    <xf numFmtId="0" fontId="27" fillId="0" borderId="0" xfId="0" applyFont="1" applyFill="1"/>
    <xf numFmtId="0" fontId="36" fillId="0" borderId="0" xfId="0" applyFont="1"/>
    <xf numFmtId="0" fontId="26" fillId="0" borderId="16" xfId="0" applyFont="1" applyFill="1" applyBorder="1"/>
    <xf numFmtId="0" fontId="26" fillId="0" borderId="17" xfId="0" applyFont="1" applyFill="1" applyBorder="1"/>
    <xf numFmtId="0" fontId="26" fillId="0" borderId="0" xfId="0" applyFont="1" applyFill="1" applyBorder="1" applyAlignment="1">
      <alignment horizontal="left" vertical="top"/>
    </xf>
    <xf numFmtId="2" fontId="0" fillId="0" borderId="0" xfId="0" applyNumberFormat="1"/>
    <xf numFmtId="0" fontId="23" fillId="0" borderId="13" xfId="0" applyFont="1" applyBorder="1" applyAlignment="1">
      <alignment horizontal="center" vertical="center" wrapText="1"/>
    </xf>
    <xf numFmtId="0" fontId="26" fillId="11" borderId="18" xfId="0" applyFont="1" applyFill="1" applyBorder="1" applyAlignment="1">
      <alignment horizontal="center" vertical="center"/>
    </xf>
    <xf numFmtId="0" fontId="23" fillId="0" borderId="13" xfId="0" applyFont="1" applyBorder="1" applyAlignment="1">
      <alignment horizontal="center" vertical="center" wrapText="1"/>
    </xf>
    <xf numFmtId="0" fontId="33" fillId="0" borderId="3" xfId="0" applyFont="1" applyFill="1" applyBorder="1" applyAlignment="1">
      <alignment horizontal="center" vertical="center" wrapText="1"/>
    </xf>
    <xf numFmtId="0" fontId="20" fillId="0" borderId="0" xfId="0" applyFont="1" applyFill="1"/>
    <xf numFmtId="0" fontId="25" fillId="9" borderId="10" xfId="0" applyFont="1" applyFill="1" applyBorder="1"/>
    <xf numFmtId="0" fontId="25" fillId="9" borderId="11" xfId="0" applyFont="1" applyFill="1" applyBorder="1"/>
    <xf numFmtId="0" fontId="23" fillId="0" borderId="56" xfId="0" applyFont="1" applyBorder="1" applyAlignment="1">
      <alignment horizontal="center" vertical="center" wrapText="1"/>
    </xf>
    <xf numFmtId="0" fontId="0" fillId="23" borderId="0" xfId="0" applyFill="1" applyAlignment="1">
      <alignment horizontal="center" vertical="center"/>
    </xf>
    <xf numFmtId="0" fontId="23" fillId="0" borderId="13" xfId="0" applyFont="1" applyBorder="1" applyAlignment="1">
      <alignment horizontal="center" vertical="center" wrapText="1"/>
    </xf>
    <xf numFmtId="0" fontId="26" fillId="0" borderId="16" xfId="0" applyFont="1" applyFill="1" applyBorder="1" applyAlignment="1">
      <alignment horizontal="center" vertical="center"/>
    </xf>
    <xf numFmtId="0" fontId="26" fillId="0" borderId="15" xfId="0" applyFont="1" applyFill="1" applyBorder="1"/>
    <xf numFmtId="0" fontId="26" fillId="16" borderId="18" xfId="0" applyFont="1" applyFill="1" applyBorder="1" applyAlignment="1">
      <alignment horizontal="center" vertical="center"/>
    </xf>
    <xf numFmtId="0" fontId="26" fillId="0" borderId="18" xfId="0" applyFont="1" applyFill="1" applyBorder="1"/>
    <xf numFmtId="1" fontId="26" fillId="13" borderId="20" xfId="0" applyNumberFormat="1" applyFont="1" applyFill="1" applyBorder="1" applyAlignment="1">
      <alignment horizontal="center" vertical="center"/>
    </xf>
    <xf numFmtId="1" fontId="26" fillId="13" borderId="18" xfId="0" applyNumberFormat="1" applyFont="1" applyFill="1" applyBorder="1" applyAlignment="1">
      <alignment horizontal="center" vertical="center"/>
    </xf>
    <xf numFmtId="0" fontId="23" fillId="0" borderId="13" xfId="0" applyFont="1" applyBorder="1" applyAlignment="1">
      <alignment horizontal="center" vertical="center" wrapText="1"/>
    </xf>
    <xf numFmtId="0" fontId="0" fillId="0" borderId="0" xfId="0" applyAlignment="1">
      <alignment horizontal="right"/>
    </xf>
    <xf numFmtId="0" fontId="0" fillId="21" borderId="0" xfId="0" applyFill="1" applyAlignment="1">
      <alignment horizontal="right"/>
    </xf>
    <xf numFmtId="0" fontId="0" fillId="21" borderId="0" xfId="0" applyFill="1"/>
    <xf numFmtId="0" fontId="0" fillId="0" borderId="0" xfId="0" applyAlignment="1">
      <alignment horizontal="center"/>
    </xf>
    <xf numFmtId="0" fontId="0" fillId="0" borderId="0" xfId="0"/>
    <xf numFmtId="11" fontId="0" fillId="0" borderId="0" xfId="0" applyNumberFormat="1"/>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0" fillId="0" borderId="0" xfId="0" applyAlignment="1">
      <alignment wrapText="1"/>
    </xf>
    <xf numFmtId="0" fontId="45" fillId="0" borderId="18" xfId="0" applyFont="1" applyBorder="1" applyAlignment="1">
      <alignment horizontal="center" vertical="center"/>
    </xf>
    <xf numFmtId="0" fontId="42" fillId="8" borderId="27" xfId="0" applyFont="1" applyFill="1" applyBorder="1" applyAlignment="1">
      <alignment horizontal="center" vertical="center"/>
    </xf>
    <xf numFmtId="0" fontId="43" fillId="8" borderId="56" xfId="0" applyFont="1" applyFill="1" applyBorder="1" applyAlignment="1">
      <alignment horizontal="center" vertical="center"/>
    </xf>
    <xf numFmtId="0" fontId="43" fillId="8" borderId="46" xfId="0" applyFont="1" applyFill="1" applyBorder="1" applyAlignment="1">
      <alignment horizontal="center" vertical="center"/>
    </xf>
    <xf numFmtId="0" fontId="43" fillId="8" borderId="5" xfId="0" applyFont="1" applyFill="1" applyBorder="1" applyAlignment="1">
      <alignment horizontal="center" vertical="center"/>
    </xf>
    <xf numFmtId="0" fontId="43" fillId="8" borderId="0" xfId="0" applyFont="1" applyFill="1" applyBorder="1" applyAlignment="1">
      <alignment horizontal="center" vertical="center"/>
    </xf>
    <xf numFmtId="0" fontId="43" fillId="8" borderId="6" xfId="0" applyFont="1" applyFill="1" applyBorder="1" applyAlignment="1">
      <alignment horizontal="center" vertical="center"/>
    </xf>
    <xf numFmtId="0" fontId="45" fillId="0" borderId="44" xfId="0" applyFont="1" applyBorder="1" applyAlignment="1">
      <alignment horizontal="center" vertical="center"/>
    </xf>
    <xf numFmtId="0" fontId="45" fillId="0" borderId="29" xfId="0" applyFont="1" applyBorder="1" applyAlignment="1">
      <alignment horizontal="center" vertical="center"/>
    </xf>
    <xf numFmtId="0" fontId="45" fillId="0" borderId="47" xfId="0" applyFont="1" applyBorder="1" applyAlignment="1">
      <alignment horizontal="center" vertical="center"/>
    </xf>
    <xf numFmtId="0" fontId="45" fillId="0" borderId="18" xfId="0" applyFont="1" applyBorder="1" applyAlignment="1">
      <alignment horizontal="center" vertical="center"/>
    </xf>
    <xf numFmtId="0" fontId="25" fillId="0" borderId="0" xfId="0" applyFont="1" applyBorder="1" applyAlignment="1">
      <alignment horizontal="center" vertical="center"/>
    </xf>
    <xf numFmtId="0" fontId="25" fillId="0" borderId="29" xfId="0" applyFont="1" applyBorder="1" applyAlignment="1">
      <alignment horizontal="center" vertical="center"/>
    </xf>
    <xf numFmtId="0" fontId="25" fillId="0" borderId="34" xfId="0" applyFont="1" applyBorder="1" applyAlignment="1">
      <alignment horizontal="center" vertical="center"/>
    </xf>
    <xf numFmtId="0" fontId="25" fillId="0" borderId="18" xfId="0" applyFont="1" applyBorder="1" applyAlignment="1">
      <alignment horizontal="center" vertical="center"/>
    </xf>
    <xf numFmtId="0" fontId="25" fillId="0" borderId="32" xfId="0" applyFont="1" applyBorder="1" applyAlignment="1">
      <alignment horizontal="center" vertical="center"/>
    </xf>
    <xf numFmtId="0" fontId="44" fillId="0" borderId="18" xfId="12" applyFont="1" applyBorder="1" applyAlignment="1" applyProtection="1">
      <alignment horizontal="center" vertical="center"/>
    </xf>
    <xf numFmtId="0" fontId="40" fillId="0" borderId="18" xfId="0" applyFont="1" applyBorder="1" applyAlignment="1">
      <alignment horizontal="center" vertical="center"/>
    </xf>
    <xf numFmtId="0" fontId="40" fillId="0" borderId="32" xfId="0" applyFont="1" applyBorder="1" applyAlignment="1">
      <alignment horizontal="center" vertical="center"/>
    </xf>
    <xf numFmtId="0" fontId="25" fillId="0" borderId="16"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59" xfId="0" applyFont="1" applyBorder="1" applyAlignment="1">
      <alignment horizontal="center" vertical="center"/>
    </xf>
    <xf numFmtId="0" fontId="25" fillId="0" borderId="60" xfId="0" applyFont="1" applyBorder="1" applyAlignment="1">
      <alignment horizontal="center" vertical="center"/>
    </xf>
    <xf numFmtId="0" fontId="45" fillId="0" borderId="45" xfId="0" applyFont="1" applyBorder="1" applyAlignment="1">
      <alignment horizontal="center" vertical="center"/>
    </xf>
    <xf numFmtId="0" fontId="45" fillId="0" borderId="31" xfId="0" applyFont="1" applyBorder="1" applyAlignment="1">
      <alignment horizontal="center" vertical="center"/>
    </xf>
    <xf numFmtId="0" fontId="34" fillId="0" borderId="16" xfId="12" applyFont="1" applyBorder="1" applyAlignment="1" applyProtection="1">
      <alignment horizontal="center" vertical="center"/>
    </xf>
    <xf numFmtId="0" fontId="25" fillId="0" borderId="15" xfId="0" applyFont="1" applyBorder="1" applyAlignment="1">
      <alignment horizontal="center" vertical="center"/>
    </xf>
    <xf numFmtId="0" fontId="25" fillId="0" borderId="58" xfId="0" applyFont="1" applyBorder="1" applyAlignment="1">
      <alignment horizontal="center" vertical="center"/>
    </xf>
    <xf numFmtId="0" fontId="45" fillId="0" borderId="48" xfId="0" applyFont="1" applyBorder="1" applyAlignment="1">
      <alignment horizontal="center" vertical="center"/>
    </xf>
    <xf numFmtId="0" fontId="45" fillId="0" borderId="17" xfId="0" applyFont="1" applyBorder="1" applyAlignment="1">
      <alignment horizontal="center" vertical="center"/>
    </xf>
    <xf numFmtId="0" fontId="9" fillId="0" borderId="0" xfId="0" applyFont="1" applyAlignment="1">
      <alignment horizontal="left" wrapText="1"/>
    </xf>
    <xf numFmtId="0" fontId="9" fillId="0" borderId="4" xfId="0" applyFont="1" applyBorder="1" applyAlignment="1">
      <alignment horizontal="left" wrapText="1"/>
    </xf>
    <xf numFmtId="0" fontId="26" fillId="0" borderId="27"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56"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46" xfId="0" applyFont="1" applyFill="1" applyBorder="1" applyAlignment="1">
      <alignment horizontal="center" vertical="center"/>
    </xf>
    <xf numFmtId="0" fontId="26" fillId="0" borderId="9" xfId="0" applyFont="1" applyFill="1" applyBorder="1" applyAlignment="1">
      <alignment horizontal="center" vertic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38" xfId="0" applyFont="1" applyBorder="1" applyAlignment="1">
      <alignment horizontal="center" vertical="center" wrapText="1"/>
    </xf>
    <xf numFmtId="0" fontId="23" fillId="21" borderId="10" xfId="0" applyFont="1" applyFill="1" applyBorder="1" applyAlignment="1">
      <alignment horizontal="center"/>
    </xf>
    <xf numFmtId="0" fontId="0" fillId="21" borderId="12" xfId="0" applyFill="1" applyBorder="1" applyAlignment="1">
      <alignment horizontal="center"/>
    </xf>
    <xf numFmtId="0" fontId="23" fillId="10" borderId="10" xfId="0" applyFont="1" applyFill="1" applyBorder="1" applyAlignment="1">
      <alignment horizontal="center"/>
    </xf>
    <xf numFmtId="0" fontId="0" fillId="10" borderId="12" xfId="0" applyFill="1" applyBorder="1" applyAlignment="1">
      <alignment horizont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38" xfId="0" applyFont="1" applyBorder="1" applyAlignment="1">
      <alignment horizontal="center" vertical="center"/>
    </xf>
    <xf numFmtId="0" fontId="23" fillId="22" borderId="10" xfId="0" applyFont="1" applyFill="1" applyBorder="1" applyAlignment="1">
      <alignment horizontal="center"/>
    </xf>
    <xf numFmtId="0" fontId="0" fillId="22" borderId="12" xfId="0" applyFill="1" applyBorder="1" applyAlignment="1">
      <alignment horizontal="center"/>
    </xf>
    <xf numFmtId="0" fontId="23" fillId="0" borderId="53" xfId="0" applyFont="1" applyBorder="1" applyAlignment="1">
      <alignment horizontal="center" vertical="center"/>
    </xf>
    <xf numFmtId="0" fontId="23" fillId="0" borderId="57" xfId="0" applyFont="1" applyBorder="1" applyAlignment="1">
      <alignment horizontal="center" vertical="center"/>
    </xf>
    <xf numFmtId="0" fontId="0" fillId="10" borderId="13" xfId="0" applyFill="1" applyBorder="1" applyAlignment="1">
      <alignment horizontal="center" vertical="center" wrapText="1"/>
    </xf>
    <xf numFmtId="0" fontId="0" fillId="10" borderId="38" xfId="0" applyFill="1" applyBorder="1" applyAlignment="1">
      <alignment horizontal="center" vertical="center" wrapText="1"/>
    </xf>
  </cellXfs>
  <cellStyles count="19">
    <cellStyle name="Constant" xfId="1"/>
    <cellStyle name="DataSheet" xfId="2"/>
    <cellStyle name="Eingabe" xfId="3"/>
    <cellStyle name="Eingabe oder Formel" xfId="4"/>
    <cellStyle name="Eingabe1" xfId="5"/>
    <cellStyle name="Entrée 2" xfId="6"/>
    <cellStyle name="Euro" xfId="7"/>
    <cellStyle name="Formel" xfId="8"/>
    <cellStyle name="Formula" xfId="9"/>
    <cellStyle name="Heading1" xfId="10"/>
    <cellStyle name="Hyperlink" xfId="12" builtinId="8"/>
    <cellStyle name="Label" xfId="11"/>
    <cellStyle name="Lien hypertexte 2" xfId="13"/>
    <cellStyle name="Normal" xfId="0" builtinId="0"/>
    <cellStyle name="Normal 2" xfId="14"/>
    <cellStyle name="Pourcentage 2" xfId="15"/>
    <cellStyle name="Pourcentage 2 2" xfId="16"/>
    <cellStyle name="Standard_dena Energiepass Arbeitshilfe - Berechnung und Tabellen" xfId="17"/>
    <cellStyle name="Ueberschrift" xfId="18"/>
  </cellStyles>
  <dxfs count="7">
    <dxf>
      <font>
        <color auto="1"/>
      </font>
      <fill>
        <patternFill>
          <bgColor theme="3"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lor theme="1"/>
      </font>
      <fill>
        <patternFill>
          <bgColor theme="3"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9999"/>
      <color rgb="FFFFFFCC"/>
      <color rgb="FFCCFFCC"/>
      <color rgb="FF99FF99"/>
      <color rgb="FF66FF66"/>
      <color rgb="FF33CC33"/>
      <color rgb="FF009900"/>
      <color rgb="FF008000"/>
      <color rgb="FF00FF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35719</xdr:colOff>
      <xdr:row>0</xdr:row>
      <xdr:rowOff>34926</xdr:rowOff>
    </xdr:from>
    <xdr:ext cx="2857500" cy="579663"/>
    <xdr:sp macro="" textlink="">
      <xdr:nvSpPr>
        <xdr:cNvPr id="2" name="ZoneTexte 1"/>
        <xdr:cNvSpPr txBox="1"/>
      </xdr:nvSpPr>
      <xdr:spPr>
        <a:xfrm>
          <a:off x="35719" y="34926"/>
          <a:ext cx="2857500" cy="579663"/>
        </a:xfrm>
        <a:prstGeom prst="rect">
          <a:avLst/>
        </a:prstGeom>
        <a:solidFill>
          <a:schemeClr val="bg1">
            <a:lumMod val="75000"/>
          </a:schemeClr>
        </a:solidFill>
      </xdr:spPr>
      <xdr:style>
        <a:lnRef idx="2">
          <a:schemeClr val="dk1"/>
        </a:lnRef>
        <a:fillRef idx="1">
          <a:schemeClr val="lt1"/>
        </a:fillRef>
        <a:effectRef idx="0">
          <a:schemeClr val="dk1"/>
        </a:effectRef>
        <a:fontRef idx="minor">
          <a:schemeClr val="dk1"/>
        </a:fontRef>
      </xdr:style>
      <xdr:txBody>
        <a:bodyPr vertOverflow="clip" wrap="square" rtlCol="0" anchor="ctr">
          <a:noAutofit/>
        </a:bodyPr>
        <a:lstStyle/>
        <a:p>
          <a:pPr algn="ctr"/>
          <a:r>
            <a:rPr lang="en-US" sz="1800" b="1" i="1" u="sng">
              <a:solidFill>
                <a:sysClr val="windowText" lastClr="000000"/>
              </a:solidFill>
              <a:latin typeface="Times New Roman" pitchFamily="18" charset="0"/>
              <a:cs typeface="Times New Roman" pitchFamily="18" charset="0"/>
            </a:rPr>
            <a:t>User data</a:t>
          </a:r>
        </a:p>
        <a:p>
          <a:endParaRPr lang="en-US" sz="1100"/>
        </a:p>
      </xdr:txBody>
    </xdr:sp>
    <xdr:clientData/>
  </xdr:oneCellAnchor>
  <xdr:twoCellAnchor>
    <xdr:from>
      <xdr:col>3</xdr:col>
      <xdr:colOff>96307</xdr:colOff>
      <xdr:row>14</xdr:row>
      <xdr:rowOff>128058</xdr:rowOff>
    </xdr:from>
    <xdr:to>
      <xdr:col>3</xdr:col>
      <xdr:colOff>428625</xdr:colOff>
      <xdr:row>18</xdr:row>
      <xdr:rowOff>228600</xdr:rowOff>
    </xdr:to>
    <xdr:sp macro="" textlink="">
      <xdr:nvSpPr>
        <xdr:cNvPr id="3" name="Accolade fermante 2"/>
        <xdr:cNvSpPr/>
      </xdr:nvSpPr>
      <xdr:spPr>
        <a:xfrm>
          <a:off x="4582582" y="3566583"/>
          <a:ext cx="332318" cy="1148292"/>
        </a:xfrm>
        <a:prstGeom prst="rightBrace">
          <a:avLst>
            <a:gd name="adj1" fmla="val 8333"/>
            <a:gd name="adj2" fmla="val 50843"/>
          </a:avLst>
        </a:prstGeom>
        <a:ln w="19050">
          <a:prstDash val="sysDash"/>
        </a:ln>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oneCellAnchor>
    <xdr:from>
      <xdr:col>11</xdr:col>
      <xdr:colOff>29482</xdr:colOff>
      <xdr:row>0</xdr:row>
      <xdr:rowOff>28688</xdr:rowOff>
    </xdr:from>
    <xdr:ext cx="2626179" cy="579665"/>
    <xdr:sp macro="" textlink="">
      <xdr:nvSpPr>
        <xdr:cNvPr id="5" name="ZoneTexte 4"/>
        <xdr:cNvSpPr txBox="1"/>
      </xdr:nvSpPr>
      <xdr:spPr>
        <a:xfrm>
          <a:off x="13285107" y="28688"/>
          <a:ext cx="2626179" cy="579665"/>
        </a:xfrm>
        <a:prstGeom prst="rect">
          <a:avLst/>
        </a:prstGeom>
        <a:solidFill>
          <a:schemeClr val="bg1">
            <a:lumMod val="75000"/>
          </a:schemeClr>
        </a:solidFill>
      </xdr:spPr>
      <xdr:style>
        <a:lnRef idx="2">
          <a:schemeClr val="dk1"/>
        </a:lnRef>
        <a:fillRef idx="1">
          <a:schemeClr val="lt1"/>
        </a:fillRef>
        <a:effectRef idx="0">
          <a:schemeClr val="dk1"/>
        </a:effectRef>
        <a:fontRef idx="minor">
          <a:schemeClr val="dk1"/>
        </a:fontRef>
      </xdr:style>
      <xdr:txBody>
        <a:bodyPr vertOverflow="clip" wrap="square" rtlCol="0" anchor="ctr">
          <a:noAutofit/>
        </a:bodyPr>
        <a:lstStyle/>
        <a:p>
          <a:pPr algn="ctr"/>
          <a:r>
            <a:rPr lang="en-US" sz="1800" b="1" i="1" u="sng">
              <a:solidFill>
                <a:sysClr val="windowText" lastClr="000000"/>
              </a:solidFill>
              <a:latin typeface="Times New Roman" pitchFamily="18" charset="0"/>
              <a:cs typeface="Times New Roman" pitchFamily="18" charset="0"/>
            </a:rPr>
            <a:t>Typical</a:t>
          </a:r>
          <a:r>
            <a:rPr lang="en-US" sz="1800" b="1" i="1" u="sng" baseline="0">
              <a:solidFill>
                <a:sysClr val="windowText" lastClr="000000"/>
              </a:solidFill>
              <a:latin typeface="Times New Roman" pitchFamily="18" charset="0"/>
              <a:cs typeface="Times New Roman" pitchFamily="18" charset="0"/>
            </a:rPr>
            <a:t> data</a:t>
          </a:r>
          <a:endParaRPr lang="en-US" sz="1800" b="1" i="1" u="sng">
            <a:solidFill>
              <a:sysClr val="windowText" lastClr="000000"/>
            </a:solidFill>
            <a:latin typeface="Times New Roman" pitchFamily="18" charset="0"/>
            <a:cs typeface="Times New Roman" pitchFamily="18" charset="0"/>
          </a:endParaRPr>
        </a:p>
        <a:p>
          <a:endParaRPr lang="en-US" sz="1100"/>
        </a:p>
      </xdr:txBody>
    </xdr:sp>
    <xdr:clientData/>
  </xdr:oneCellAnchor>
  <xdr:twoCellAnchor>
    <xdr:from>
      <xdr:col>4</xdr:col>
      <xdr:colOff>38099</xdr:colOff>
      <xdr:row>21</xdr:row>
      <xdr:rowOff>19050</xdr:rowOff>
    </xdr:from>
    <xdr:to>
      <xdr:col>4</xdr:col>
      <xdr:colOff>409574</xdr:colOff>
      <xdr:row>25</xdr:row>
      <xdr:rowOff>38100</xdr:rowOff>
    </xdr:to>
    <xdr:sp macro="" textlink="">
      <xdr:nvSpPr>
        <xdr:cNvPr id="9" name="Accolade fermante 8"/>
        <xdr:cNvSpPr/>
      </xdr:nvSpPr>
      <xdr:spPr>
        <a:xfrm>
          <a:off x="5286374" y="5324475"/>
          <a:ext cx="371475" cy="1038225"/>
        </a:xfrm>
        <a:prstGeom prst="rightBrace">
          <a:avLst/>
        </a:prstGeom>
        <a:ln w="19050">
          <a:prstDash val="sysDash"/>
        </a:ln>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0</xdr:col>
      <xdr:colOff>2324100</xdr:colOff>
      <xdr:row>58</xdr:row>
      <xdr:rowOff>47626</xdr:rowOff>
    </xdr:from>
    <xdr:to>
      <xdr:col>0</xdr:col>
      <xdr:colOff>2609850</xdr:colOff>
      <xdr:row>58</xdr:row>
      <xdr:rowOff>219076</xdr:rowOff>
    </xdr:to>
    <xdr:sp macro="" textlink="">
      <xdr:nvSpPr>
        <xdr:cNvPr id="6" name="Flèche droite 5"/>
        <xdr:cNvSpPr/>
      </xdr:nvSpPr>
      <xdr:spPr>
        <a:xfrm>
          <a:off x="2324100" y="14944726"/>
          <a:ext cx="285750" cy="171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746614</xdr:colOff>
      <xdr:row>37</xdr:row>
      <xdr:rowOff>187570</xdr:rowOff>
    </xdr:from>
    <xdr:to>
      <xdr:col>4</xdr:col>
      <xdr:colOff>58616</xdr:colOff>
      <xdr:row>40</xdr:row>
      <xdr:rowOff>190501</xdr:rowOff>
    </xdr:to>
    <xdr:sp macro="" textlink="">
      <xdr:nvSpPr>
        <xdr:cNvPr id="2" name="Accolade fermante 1"/>
        <xdr:cNvSpPr/>
      </xdr:nvSpPr>
      <xdr:spPr>
        <a:xfrm>
          <a:off x="3728672" y="7345974"/>
          <a:ext cx="74002" cy="58175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3</xdr:col>
      <xdr:colOff>747347</xdr:colOff>
      <xdr:row>41</xdr:row>
      <xdr:rowOff>7327</xdr:rowOff>
    </xdr:from>
    <xdr:to>
      <xdr:col>4</xdr:col>
      <xdr:colOff>59349</xdr:colOff>
      <xdr:row>44</xdr:row>
      <xdr:rowOff>10258</xdr:rowOff>
    </xdr:to>
    <xdr:sp macro="" textlink="">
      <xdr:nvSpPr>
        <xdr:cNvPr id="3" name="Accolade fermante 2"/>
        <xdr:cNvSpPr/>
      </xdr:nvSpPr>
      <xdr:spPr>
        <a:xfrm>
          <a:off x="3729405" y="7942385"/>
          <a:ext cx="74002" cy="58175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3</xdr:col>
      <xdr:colOff>747346</xdr:colOff>
      <xdr:row>44</xdr:row>
      <xdr:rowOff>1</xdr:rowOff>
    </xdr:from>
    <xdr:to>
      <xdr:col>4</xdr:col>
      <xdr:colOff>59348</xdr:colOff>
      <xdr:row>47</xdr:row>
      <xdr:rowOff>2932</xdr:rowOff>
    </xdr:to>
    <xdr:sp macro="" textlink="">
      <xdr:nvSpPr>
        <xdr:cNvPr id="4" name="Accolade fermante 3"/>
        <xdr:cNvSpPr/>
      </xdr:nvSpPr>
      <xdr:spPr>
        <a:xfrm>
          <a:off x="3729404" y="8513886"/>
          <a:ext cx="74002" cy="58175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3</xdr:col>
      <xdr:colOff>747346</xdr:colOff>
      <xdr:row>47</xdr:row>
      <xdr:rowOff>7327</xdr:rowOff>
    </xdr:from>
    <xdr:to>
      <xdr:col>4</xdr:col>
      <xdr:colOff>59348</xdr:colOff>
      <xdr:row>50</xdr:row>
      <xdr:rowOff>10259</xdr:rowOff>
    </xdr:to>
    <xdr:sp macro="" textlink="">
      <xdr:nvSpPr>
        <xdr:cNvPr id="5" name="Accolade fermante 4"/>
        <xdr:cNvSpPr/>
      </xdr:nvSpPr>
      <xdr:spPr>
        <a:xfrm>
          <a:off x="3729404" y="9100039"/>
          <a:ext cx="74002" cy="58175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4</xdr:col>
      <xdr:colOff>903684</xdr:colOff>
      <xdr:row>65</xdr:row>
      <xdr:rowOff>217884</xdr:rowOff>
    </xdr:from>
    <xdr:to>
      <xdr:col>5</xdr:col>
      <xdr:colOff>885825</xdr:colOff>
      <xdr:row>65</xdr:row>
      <xdr:rowOff>219075</xdr:rowOff>
    </xdr:to>
    <xdr:cxnSp macro="">
      <xdr:nvCxnSpPr>
        <xdr:cNvPr id="17" name="Connecteur droit avec flèche 16"/>
        <xdr:cNvCxnSpPr/>
      </xdr:nvCxnSpPr>
      <xdr:spPr>
        <a:xfrm>
          <a:off x="4694634" y="14172009"/>
          <a:ext cx="887016" cy="1191"/>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249116</xdr:colOff>
      <xdr:row>65</xdr:row>
      <xdr:rowOff>58615</xdr:rowOff>
    </xdr:from>
    <xdr:to>
      <xdr:col>7</xdr:col>
      <xdr:colOff>1069731</xdr:colOff>
      <xdr:row>65</xdr:row>
      <xdr:rowOff>329712</xdr:rowOff>
    </xdr:to>
    <xdr:sp macro="" textlink="">
      <xdr:nvSpPr>
        <xdr:cNvPr id="33" name="Ellipse 32"/>
        <xdr:cNvSpPr/>
      </xdr:nvSpPr>
      <xdr:spPr>
        <a:xfrm>
          <a:off x="6623539" y="14067692"/>
          <a:ext cx="820615" cy="271097"/>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2</xdr:col>
      <xdr:colOff>366346</xdr:colOff>
      <xdr:row>75</xdr:row>
      <xdr:rowOff>300404</xdr:rowOff>
    </xdr:from>
    <xdr:to>
      <xdr:col>2</xdr:col>
      <xdr:colOff>366346</xdr:colOff>
      <xdr:row>76</xdr:row>
      <xdr:rowOff>80596</xdr:rowOff>
    </xdr:to>
    <xdr:cxnSp macro="">
      <xdr:nvCxnSpPr>
        <xdr:cNvPr id="52" name="Connecteur droit avec flèche 51"/>
        <xdr:cNvCxnSpPr/>
      </xdr:nvCxnSpPr>
      <xdr:spPr>
        <a:xfrm>
          <a:off x="2528521" y="14378354"/>
          <a:ext cx="0" cy="170717"/>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373673</xdr:colOff>
      <xdr:row>76</xdr:row>
      <xdr:rowOff>307730</xdr:rowOff>
    </xdr:from>
    <xdr:to>
      <xdr:col>2</xdr:col>
      <xdr:colOff>373673</xdr:colOff>
      <xdr:row>77</xdr:row>
      <xdr:rowOff>87922</xdr:rowOff>
    </xdr:to>
    <xdr:cxnSp macro="">
      <xdr:nvCxnSpPr>
        <xdr:cNvPr id="53" name="Connecteur droit avec flèche 52"/>
        <xdr:cNvCxnSpPr/>
      </xdr:nvCxnSpPr>
      <xdr:spPr>
        <a:xfrm>
          <a:off x="2535848" y="14776205"/>
          <a:ext cx="0" cy="170717"/>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373673</xdr:colOff>
      <xdr:row>77</xdr:row>
      <xdr:rowOff>322385</xdr:rowOff>
    </xdr:from>
    <xdr:to>
      <xdr:col>2</xdr:col>
      <xdr:colOff>373673</xdr:colOff>
      <xdr:row>78</xdr:row>
      <xdr:rowOff>102577</xdr:rowOff>
    </xdr:to>
    <xdr:cxnSp macro="">
      <xdr:nvCxnSpPr>
        <xdr:cNvPr id="54" name="Connecteur droit avec flèche 53"/>
        <xdr:cNvCxnSpPr/>
      </xdr:nvCxnSpPr>
      <xdr:spPr>
        <a:xfrm>
          <a:off x="2535848" y="15181385"/>
          <a:ext cx="0" cy="161192"/>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381000</xdr:colOff>
      <xdr:row>78</xdr:row>
      <xdr:rowOff>291507</xdr:rowOff>
    </xdr:from>
    <xdr:to>
      <xdr:col>2</xdr:col>
      <xdr:colOff>381000</xdr:colOff>
      <xdr:row>79</xdr:row>
      <xdr:rowOff>49718</xdr:rowOff>
    </xdr:to>
    <xdr:cxnSp macro="">
      <xdr:nvCxnSpPr>
        <xdr:cNvPr id="55" name="Connecteur droit avec flèche 54"/>
        <xdr:cNvCxnSpPr/>
      </xdr:nvCxnSpPr>
      <xdr:spPr>
        <a:xfrm>
          <a:off x="2537732" y="19253061"/>
          <a:ext cx="0" cy="146014"/>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684609</xdr:colOff>
      <xdr:row>75</xdr:row>
      <xdr:rowOff>249116</xdr:rowOff>
    </xdr:from>
    <xdr:to>
      <xdr:col>7</xdr:col>
      <xdr:colOff>278424</xdr:colOff>
      <xdr:row>75</xdr:row>
      <xdr:rowOff>255984</xdr:rowOff>
    </xdr:to>
    <xdr:cxnSp macro="">
      <xdr:nvCxnSpPr>
        <xdr:cNvPr id="56" name="Connecteur droit avec flèche 55"/>
        <xdr:cNvCxnSpPr/>
      </xdr:nvCxnSpPr>
      <xdr:spPr>
        <a:xfrm flipV="1">
          <a:off x="6285309" y="14327066"/>
          <a:ext cx="355815" cy="6868"/>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454270</xdr:colOff>
      <xdr:row>75</xdr:row>
      <xdr:rowOff>241791</xdr:rowOff>
    </xdr:from>
    <xdr:to>
      <xdr:col>5</xdr:col>
      <xdr:colOff>462643</xdr:colOff>
      <xdr:row>79</xdr:row>
      <xdr:rowOff>142875</xdr:rowOff>
    </xdr:to>
    <xdr:cxnSp macro="">
      <xdr:nvCxnSpPr>
        <xdr:cNvPr id="57" name="Connecteur droit avec flèche 56"/>
        <xdr:cNvCxnSpPr/>
      </xdr:nvCxnSpPr>
      <xdr:spPr>
        <a:xfrm flipH="1" flipV="1">
          <a:off x="5141931" y="18039934"/>
          <a:ext cx="8373" cy="1452298"/>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80073</xdr:colOff>
      <xdr:row>79</xdr:row>
      <xdr:rowOff>132931</xdr:rowOff>
    </xdr:from>
    <xdr:to>
      <xdr:col>5</xdr:col>
      <xdr:colOff>446419</xdr:colOff>
      <xdr:row>79</xdr:row>
      <xdr:rowOff>140258</xdr:rowOff>
    </xdr:to>
    <xdr:cxnSp macro="">
      <xdr:nvCxnSpPr>
        <xdr:cNvPr id="58" name="Connecteur droit avec flèche 57"/>
        <xdr:cNvCxnSpPr/>
      </xdr:nvCxnSpPr>
      <xdr:spPr>
        <a:xfrm flipV="1">
          <a:off x="3053234" y="19482288"/>
          <a:ext cx="2080846" cy="7327"/>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13607</xdr:colOff>
      <xdr:row>79</xdr:row>
      <xdr:rowOff>54430</xdr:rowOff>
    </xdr:from>
    <xdr:to>
      <xdr:col>2</xdr:col>
      <xdr:colOff>793505</xdr:colOff>
      <xdr:row>79</xdr:row>
      <xdr:rowOff>210912</xdr:rowOff>
    </xdr:to>
    <xdr:sp macro="" textlink="">
      <xdr:nvSpPr>
        <xdr:cNvPr id="59" name="Ellipse 58"/>
        <xdr:cNvSpPr/>
      </xdr:nvSpPr>
      <xdr:spPr>
        <a:xfrm>
          <a:off x="2170339" y="19403787"/>
          <a:ext cx="779898" cy="156482"/>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249116</xdr:colOff>
      <xdr:row>75</xdr:row>
      <xdr:rowOff>58615</xdr:rowOff>
    </xdr:from>
    <xdr:to>
      <xdr:col>7</xdr:col>
      <xdr:colOff>1069731</xdr:colOff>
      <xdr:row>75</xdr:row>
      <xdr:rowOff>329712</xdr:rowOff>
    </xdr:to>
    <xdr:sp macro="" textlink="">
      <xdr:nvSpPr>
        <xdr:cNvPr id="60" name="Ellipse 59"/>
        <xdr:cNvSpPr/>
      </xdr:nvSpPr>
      <xdr:spPr>
        <a:xfrm>
          <a:off x="6611816" y="14136565"/>
          <a:ext cx="820615" cy="271097"/>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5</xdr:col>
      <xdr:colOff>446942</xdr:colOff>
      <xdr:row>75</xdr:row>
      <xdr:rowOff>255984</xdr:rowOff>
    </xdr:from>
    <xdr:to>
      <xdr:col>5</xdr:col>
      <xdr:colOff>881062</xdr:colOff>
      <xdr:row>75</xdr:row>
      <xdr:rowOff>256443</xdr:rowOff>
    </xdr:to>
    <xdr:cxnSp macro="">
      <xdr:nvCxnSpPr>
        <xdr:cNvPr id="61" name="Connecteur droit 60"/>
        <xdr:cNvCxnSpPr/>
      </xdr:nvCxnSpPr>
      <xdr:spPr>
        <a:xfrm flipV="1">
          <a:off x="5142767" y="14333934"/>
          <a:ext cx="434120" cy="459"/>
        </a:xfrm>
        <a:prstGeom prst="line">
          <a:avLst/>
        </a:prstGeom>
        <a:ln w="12700">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666750</xdr:colOff>
      <xdr:row>75</xdr:row>
      <xdr:rowOff>342900</xdr:rowOff>
    </xdr:from>
    <xdr:to>
      <xdr:col>7</xdr:col>
      <xdr:colOff>666750</xdr:colOff>
      <xdr:row>76</xdr:row>
      <xdr:rowOff>123092</xdr:rowOff>
    </xdr:to>
    <xdr:cxnSp macro="">
      <xdr:nvCxnSpPr>
        <xdr:cNvPr id="62" name="Connecteur droit avec flèche 61"/>
        <xdr:cNvCxnSpPr/>
      </xdr:nvCxnSpPr>
      <xdr:spPr>
        <a:xfrm>
          <a:off x="7029450" y="14420850"/>
          <a:ext cx="0" cy="170717"/>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76</xdr:row>
      <xdr:rowOff>285750</xdr:rowOff>
    </xdr:from>
    <xdr:to>
      <xdr:col>7</xdr:col>
      <xdr:colOff>657225</xdr:colOff>
      <xdr:row>77</xdr:row>
      <xdr:rowOff>65942</xdr:rowOff>
    </xdr:to>
    <xdr:cxnSp macro="">
      <xdr:nvCxnSpPr>
        <xdr:cNvPr id="63" name="Connecteur droit avec flèche 62"/>
        <xdr:cNvCxnSpPr/>
      </xdr:nvCxnSpPr>
      <xdr:spPr>
        <a:xfrm>
          <a:off x="7019925" y="14754225"/>
          <a:ext cx="0" cy="170717"/>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676275</xdr:colOff>
      <xdr:row>77</xdr:row>
      <xdr:rowOff>295275</xdr:rowOff>
    </xdr:from>
    <xdr:to>
      <xdr:col>7</xdr:col>
      <xdr:colOff>676275</xdr:colOff>
      <xdr:row>78</xdr:row>
      <xdr:rowOff>75467</xdr:rowOff>
    </xdr:to>
    <xdr:cxnSp macro="">
      <xdr:nvCxnSpPr>
        <xdr:cNvPr id="64" name="Connecteur droit avec flèche 63"/>
        <xdr:cNvCxnSpPr/>
      </xdr:nvCxnSpPr>
      <xdr:spPr>
        <a:xfrm>
          <a:off x="7038975" y="15154275"/>
          <a:ext cx="0" cy="161192"/>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657225</xdr:colOff>
      <xdr:row>78</xdr:row>
      <xdr:rowOff>314325</xdr:rowOff>
    </xdr:from>
    <xdr:to>
      <xdr:col>7</xdr:col>
      <xdr:colOff>657225</xdr:colOff>
      <xdr:row>79</xdr:row>
      <xdr:rowOff>75467</xdr:rowOff>
    </xdr:to>
    <xdr:cxnSp macro="">
      <xdr:nvCxnSpPr>
        <xdr:cNvPr id="65" name="Connecteur droit avec flèche 64"/>
        <xdr:cNvCxnSpPr/>
      </xdr:nvCxnSpPr>
      <xdr:spPr>
        <a:xfrm>
          <a:off x="7019925" y="15554325"/>
          <a:ext cx="0" cy="161192"/>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611187</xdr:colOff>
      <xdr:row>75</xdr:row>
      <xdr:rowOff>264583</xdr:rowOff>
    </xdr:from>
    <xdr:to>
      <xdr:col>12</xdr:col>
      <xdr:colOff>87313</xdr:colOff>
      <xdr:row>75</xdr:row>
      <xdr:rowOff>272521</xdr:rowOff>
    </xdr:to>
    <xdr:cxnSp macro="">
      <xdr:nvCxnSpPr>
        <xdr:cNvPr id="34" name="Connecteur droit avec flèche 33"/>
        <xdr:cNvCxnSpPr/>
      </xdr:nvCxnSpPr>
      <xdr:spPr>
        <a:xfrm>
          <a:off x="11062229" y="17864666"/>
          <a:ext cx="402167" cy="7938"/>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132698</xdr:colOff>
      <xdr:row>79</xdr:row>
      <xdr:rowOff>69200</xdr:rowOff>
    </xdr:from>
    <xdr:to>
      <xdr:col>7</xdr:col>
      <xdr:colOff>1238249</xdr:colOff>
      <xdr:row>79</xdr:row>
      <xdr:rowOff>232834</xdr:rowOff>
    </xdr:to>
    <xdr:sp macro="" textlink="">
      <xdr:nvSpPr>
        <xdr:cNvPr id="35" name="Ellipse 34"/>
        <xdr:cNvSpPr/>
      </xdr:nvSpPr>
      <xdr:spPr>
        <a:xfrm>
          <a:off x="6503865" y="19436700"/>
          <a:ext cx="1105551" cy="163634"/>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420688</xdr:colOff>
      <xdr:row>75</xdr:row>
      <xdr:rowOff>303212</xdr:rowOff>
    </xdr:from>
    <xdr:to>
      <xdr:col>12</xdr:col>
      <xdr:colOff>420688</xdr:colOff>
      <xdr:row>76</xdr:row>
      <xdr:rowOff>83404</xdr:rowOff>
    </xdr:to>
    <xdr:cxnSp macro="">
      <xdr:nvCxnSpPr>
        <xdr:cNvPr id="37" name="Connecteur droit avec flèche 36"/>
        <xdr:cNvCxnSpPr/>
      </xdr:nvCxnSpPr>
      <xdr:spPr>
        <a:xfrm>
          <a:off x="11787188" y="18011775"/>
          <a:ext cx="0" cy="169129"/>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434975</xdr:colOff>
      <xdr:row>76</xdr:row>
      <xdr:rowOff>301625</xdr:rowOff>
    </xdr:from>
    <xdr:to>
      <xdr:col>12</xdr:col>
      <xdr:colOff>434975</xdr:colOff>
      <xdr:row>77</xdr:row>
      <xdr:rowOff>81817</xdr:rowOff>
    </xdr:to>
    <xdr:cxnSp macro="">
      <xdr:nvCxnSpPr>
        <xdr:cNvPr id="38" name="Connecteur droit avec flèche 37"/>
        <xdr:cNvCxnSpPr/>
      </xdr:nvCxnSpPr>
      <xdr:spPr>
        <a:xfrm>
          <a:off x="11801475" y="18399125"/>
          <a:ext cx="0" cy="169130"/>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443443</xdr:colOff>
      <xdr:row>77</xdr:row>
      <xdr:rowOff>287338</xdr:rowOff>
    </xdr:from>
    <xdr:to>
      <xdr:col>12</xdr:col>
      <xdr:colOff>444501</xdr:colOff>
      <xdr:row>79</xdr:row>
      <xdr:rowOff>21166</xdr:rowOff>
    </xdr:to>
    <xdr:cxnSp macro="">
      <xdr:nvCxnSpPr>
        <xdr:cNvPr id="39" name="Connecteur droit avec flèche 38"/>
        <xdr:cNvCxnSpPr/>
      </xdr:nvCxnSpPr>
      <xdr:spPr>
        <a:xfrm>
          <a:off x="11820526" y="18670588"/>
          <a:ext cx="1058" cy="516995"/>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31750</xdr:colOff>
      <xdr:row>79</xdr:row>
      <xdr:rowOff>134937</xdr:rowOff>
    </xdr:from>
    <xdr:to>
      <xdr:col>10</xdr:col>
      <xdr:colOff>333375</xdr:colOff>
      <xdr:row>79</xdr:row>
      <xdr:rowOff>155495</xdr:rowOff>
    </xdr:to>
    <xdr:cxnSp macro="">
      <xdr:nvCxnSpPr>
        <xdr:cNvPr id="41" name="Connecteur droit avec flèche 40"/>
        <xdr:cNvCxnSpPr/>
      </xdr:nvCxnSpPr>
      <xdr:spPr>
        <a:xfrm flipV="1">
          <a:off x="7723188" y="19399250"/>
          <a:ext cx="2301875" cy="20558"/>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333375</xdr:colOff>
      <xdr:row>75</xdr:row>
      <xdr:rowOff>246062</xdr:rowOff>
    </xdr:from>
    <xdr:to>
      <xdr:col>10</xdr:col>
      <xdr:colOff>341748</xdr:colOff>
      <xdr:row>79</xdr:row>
      <xdr:rowOff>147146</xdr:rowOff>
    </xdr:to>
    <xdr:cxnSp macro="">
      <xdr:nvCxnSpPr>
        <xdr:cNvPr id="44" name="Connecteur droit avec flèche 43"/>
        <xdr:cNvCxnSpPr/>
      </xdr:nvCxnSpPr>
      <xdr:spPr>
        <a:xfrm flipH="1" flipV="1">
          <a:off x="10025063" y="17954625"/>
          <a:ext cx="8373" cy="1456834"/>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341313</xdr:colOff>
      <xdr:row>75</xdr:row>
      <xdr:rowOff>285750</xdr:rowOff>
    </xdr:from>
    <xdr:to>
      <xdr:col>11</xdr:col>
      <xdr:colOff>232833</xdr:colOff>
      <xdr:row>75</xdr:row>
      <xdr:rowOff>286211</xdr:rowOff>
    </xdr:to>
    <xdr:cxnSp macro="">
      <xdr:nvCxnSpPr>
        <xdr:cNvPr id="69" name="Connecteur droit 68"/>
        <xdr:cNvCxnSpPr/>
      </xdr:nvCxnSpPr>
      <xdr:spPr>
        <a:xfrm flipV="1">
          <a:off x="10040938" y="17885833"/>
          <a:ext cx="642937" cy="461"/>
        </a:xfrm>
        <a:prstGeom prst="line">
          <a:avLst/>
        </a:prstGeom>
        <a:ln w="12700">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34636</xdr:colOff>
      <xdr:row>75</xdr:row>
      <xdr:rowOff>95250</xdr:rowOff>
    </xdr:from>
    <xdr:to>
      <xdr:col>12</xdr:col>
      <xdr:colOff>848592</xdr:colOff>
      <xdr:row>75</xdr:row>
      <xdr:rowOff>303068</xdr:rowOff>
    </xdr:to>
    <xdr:sp macro="" textlink="">
      <xdr:nvSpPr>
        <xdr:cNvPr id="77" name="Ellipse 76"/>
        <xdr:cNvSpPr/>
      </xdr:nvSpPr>
      <xdr:spPr>
        <a:xfrm>
          <a:off x="11430000" y="17629909"/>
          <a:ext cx="813956" cy="207818"/>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xdr:col>
      <xdr:colOff>903684</xdr:colOff>
      <xdr:row>66</xdr:row>
      <xdr:rowOff>217884</xdr:rowOff>
    </xdr:from>
    <xdr:to>
      <xdr:col>5</xdr:col>
      <xdr:colOff>885825</xdr:colOff>
      <xdr:row>66</xdr:row>
      <xdr:rowOff>219075</xdr:rowOff>
    </xdr:to>
    <xdr:cxnSp macro="">
      <xdr:nvCxnSpPr>
        <xdr:cNvPr id="47" name="Connecteur droit avec flèche 46"/>
        <xdr:cNvCxnSpPr/>
      </xdr:nvCxnSpPr>
      <xdr:spPr>
        <a:xfrm>
          <a:off x="4694634" y="14562534"/>
          <a:ext cx="887016" cy="1191"/>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8334</xdr:colOff>
      <xdr:row>67</xdr:row>
      <xdr:rowOff>189309</xdr:rowOff>
    </xdr:from>
    <xdr:to>
      <xdr:col>5</xdr:col>
      <xdr:colOff>895350</xdr:colOff>
      <xdr:row>67</xdr:row>
      <xdr:rowOff>190500</xdr:rowOff>
    </xdr:to>
    <xdr:cxnSp macro="">
      <xdr:nvCxnSpPr>
        <xdr:cNvPr id="66" name="Connecteur droit avec flèche 65"/>
        <xdr:cNvCxnSpPr/>
      </xdr:nvCxnSpPr>
      <xdr:spPr>
        <a:xfrm>
          <a:off x="4704159" y="14924484"/>
          <a:ext cx="887016" cy="1191"/>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903684</xdr:colOff>
      <xdr:row>68</xdr:row>
      <xdr:rowOff>198834</xdr:rowOff>
    </xdr:from>
    <xdr:to>
      <xdr:col>5</xdr:col>
      <xdr:colOff>885825</xdr:colOff>
      <xdr:row>68</xdr:row>
      <xdr:rowOff>200025</xdr:rowOff>
    </xdr:to>
    <xdr:cxnSp macro="">
      <xdr:nvCxnSpPr>
        <xdr:cNvPr id="67" name="Connecteur droit avec flèche 66"/>
        <xdr:cNvCxnSpPr/>
      </xdr:nvCxnSpPr>
      <xdr:spPr>
        <a:xfrm>
          <a:off x="4694634" y="15315009"/>
          <a:ext cx="887016" cy="1191"/>
        </a:xfrm>
        <a:prstGeom prst="straightConnector1">
          <a:avLst/>
        </a:prstGeom>
        <a:ln w="12700">
          <a:prstDash val="sys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249116</xdr:colOff>
      <xdr:row>66</xdr:row>
      <xdr:rowOff>58615</xdr:rowOff>
    </xdr:from>
    <xdr:to>
      <xdr:col>7</xdr:col>
      <xdr:colOff>1069731</xdr:colOff>
      <xdr:row>66</xdr:row>
      <xdr:rowOff>329712</xdr:rowOff>
    </xdr:to>
    <xdr:sp macro="" textlink="">
      <xdr:nvSpPr>
        <xdr:cNvPr id="68" name="Ellipse 67"/>
        <xdr:cNvSpPr/>
      </xdr:nvSpPr>
      <xdr:spPr>
        <a:xfrm>
          <a:off x="6611816" y="14012740"/>
          <a:ext cx="820615" cy="271097"/>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249116</xdr:colOff>
      <xdr:row>67</xdr:row>
      <xdr:rowOff>58615</xdr:rowOff>
    </xdr:from>
    <xdr:to>
      <xdr:col>7</xdr:col>
      <xdr:colOff>1069731</xdr:colOff>
      <xdr:row>67</xdr:row>
      <xdr:rowOff>329712</xdr:rowOff>
    </xdr:to>
    <xdr:sp macro="" textlink="">
      <xdr:nvSpPr>
        <xdr:cNvPr id="70" name="Ellipse 69"/>
        <xdr:cNvSpPr/>
      </xdr:nvSpPr>
      <xdr:spPr>
        <a:xfrm>
          <a:off x="6611816" y="14012740"/>
          <a:ext cx="820615" cy="271097"/>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7</xdr:col>
      <xdr:colOff>249116</xdr:colOff>
      <xdr:row>68</xdr:row>
      <xdr:rowOff>58615</xdr:rowOff>
    </xdr:from>
    <xdr:to>
      <xdr:col>7</xdr:col>
      <xdr:colOff>1069731</xdr:colOff>
      <xdr:row>68</xdr:row>
      <xdr:rowOff>329712</xdr:rowOff>
    </xdr:to>
    <xdr:sp macro="" textlink="">
      <xdr:nvSpPr>
        <xdr:cNvPr id="71" name="Ellipse 70"/>
        <xdr:cNvSpPr/>
      </xdr:nvSpPr>
      <xdr:spPr>
        <a:xfrm>
          <a:off x="6611816" y="14012740"/>
          <a:ext cx="820615" cy="271097"/>
        </a:xfrm>
        <a:prstGeom prst="ellipse">
          <a:avLst/>
        </a:prstGeom>
        <a:noFill/>
        <a:ln w="1270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531496</xdr:colOff>
      <xdr:row>22</xdr:row>
      <xdr:rowOff>106680</xdr:rowOff>
    </xdr:from>
    <xdr:to>
      <xdr:col>3</xdr:col>
      <xdr:colOff>710566</xdr:colOff>
      <xdr:row>69</xdr:row>
      <xdr:rowOff>106680</xdr:rowOff>
    </xdr:to>
    <xdr:cxnSp macro="">
      <xdr:nvCxnSpPr>
        <xdr:cNvPr id="2" name="Connecteur droit avec flèche 1"/>
        <xdr:cNvCxnSpPr/>
      </xdr:nvCxnSpPr>
      <xdr:spPr>
        <a:xfrm rot="5400000" flipH="1" flipV="1">
          <a:off x="-807719" y="7160895"/>
          <a:ext cx="6667500" cy="94107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579120</xdr:colOff>
      <xdr:row>69</xdr:row>
      <xdr:rowOff>114300</xdr:rowOff>
    </xdr:from>
    <xdr:to>
      <xdr:col>3</xdr:col>
      <xdr:colOff>762000</xdr:colOff>
      <xdr:row>92</xdr:row>
      <xdr:rowOff>129540</xdr:rowOff>
    </xdr:to>
    <xdr:cxnSp macro="">
      <xdr:nvCxnSpPr>
        <xdr:cNvPr id="3" name="Connecteur droit avec flèche 2"/>
        <xdr:cNvCxnSpPr/>
      </xdr:nvCxnSpPr>
      <xdr:spPr>
        <a:xfrm>
          <a:off x="6217920" y="2209800"/>
          <a:ext cx="944880" cy="586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902546</xdr:colOff>
      <xdr:row>22</xdr:row>
      <xdr:rowOff>83820</xdr:rowOff>
    </xdr:from>
    <xdr:to>
      <xdr:col>5</xdr:col>
      <xdr:colOff>696806</xdr:colOff>
      <xdr:row>22</xdr:row>
      <xdr:rowOff>85408</xdr:rowOff>
    </xdr:to>
    <xdr:cxnSp macro="">
      <xdr:nvCxnSpPr>
        <xdr:cNvPr id="4" name="Connecteur droit avec flèche 3"/>
        <xdr:cNvCxnSpPr/>
      </xdr:nvCxnSpPr>
      <xdr:spPr>
        <a:xfrm>
          <a:off x="3950546" y="4274820"/>
          <a:ext cx="1180677"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118</xdr:row>
      <xdr:rowOff>114300</xdr:rowOff>
    </xdr:from>
    <xdr:to>
      <xdr:col>8</xdr:col>
      <xdr:colOff>22860</xdr:colOff>
      <xdr:row>118</xdr:row>
      <xdr:rowOff>115888</xdr:rowOff>
    </xdr:to>
    <xdr:cxnSp macro="">
      <xdr:nvCxnSpPr>
        <xdr:cNvPr id="5" name="Connecteur droit avec flèche 4"/>
        <xdr:cNvCxnSpPr/>
      </xdr:nvCxnSpPr>
      <xdr:spPr>
        <a:xfrm>
          <a:off x="10620375" y="373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70</xdr:row>
      <xdr:rowOff>100648</xdr:rowOff>
    </xdr:from>
    <xdr:to>
      <xdr:col>6</xdr:col>
      <xdr:colOff>30480</xdr:colOff>
      <xdr:row>92</xdr:row>
      <xdr:rowOff>68580</xdr:rowOff>
    </xdr:to>
    <xdr:cxnSp macro="">
      <xdr:nvCxnSpPr>
        <xdr:cNvPr id="6" name="Connecteur droit avec flèche 5"/>
        <xdr:cNvCxnSpPr/>
      </xdr:nvCxnSpPr>
      <xdr:spPr>
        <a:xfrm flipV="1">
          <a:off x="8260080" y="2386648"/>
          <a:ext cx="942975" cy="348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92</xdr:row>
      <xdr:rowOff>91440</xdr:rowOff>
    </xdr:from>
    <xdr:to>
      <xdr:col>6</xdr:col>
      <xdr:colOff>0</xdr:colOff>
      <xdr:row>118</xdr:row>
      <xdr:rowOff>30480</xdr:rowOff>
    </xdr:to>
    <xdr:cxnSp macro="">
      <xdr:nvCxnSpPr>
        <xdr:cNvPr id="7" name="Connecteur droit avec flèche 6"/>
        <xdr:cNvCxnSpPr/>
      </xdr:nvCxnSpPr>
      <xdr:spPr>
        <a:xfrm rot="16200000" flipH="1">
          <a:off x="8262938" y="2740342"/>
          <a:ext cx="891540" cy="92773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48</xdr:row>
      <xdr:rowOff>99060</xdr:rowOff>
    </xdr:from>
    <xdr:to>
      <xdr:col>7</xdr:col>
      <xdr:colOff>952500</xdr:colOff>
      <xdr:row>70</xdr:row>
      <xdr:rowOff>51752</xdr:rowOff>
    </xdr:to>
    <xdr:cxnSp macro="">
      <xdr:nvCxnSpPr>
        <xdr:cNvPr id="8" name="Connecteur droit avec flèche 7"/>
        <xdr:cNvCxnSpPr/>
      </xdr:nvCxnSpPr>
      <xdr:spPr>
        <a:xfrm flipV="1">
          <a:off x="10338435" y="1813560"/>
          <a:ext cx="977265" cy="5241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70</xdr:row>
      <xdr:rowOff>51752</xdr:rowOff>
    </xdr:from>
    <xdr:to>
      <xdr:col>7</xdr:col>
      <xdr:colOff>929640</xdr:colOff>
      <xdr:row>92</xdr:row>
      <xdr:rowOff>114300</xdr:rowOff>
    </xdr:to>
    <xdr:cxnSp macro="">
      <xdr:nvCxnSpPr>
        <xdr:cNvPr id="9" name="Connecteur droit avec flèche 8"/>
        <xdr:cNvCxnSpPr/>
      </xdr:nvCxnSpPr>
      <xdr:spPr>
        <a:xfrm>
          <a:off x="10346055" y="233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22</xdr:row>
      <xdr:rowOff>99647</xdr:rowOff>
    </xdr:from>
    <xdr:to>
      <xdr:col>8</xdr:col>
      <xdr:colOff>7620</xdr:colOff>
      <xdr:row>22</xdr:row>
      <xdr:rowOff>108268</xdr:rowOff>
    </xdr:to>
    <xdr:cxnSp macro="">
      <xdr:nvCxnSpPr>
        <xdr:cNvPr id="10" name="Connecteur droit avec flèche 9"/>
        <xdr:cNvCxnSpPr/>
      </xdr:nvCxnSpPr>
      <xdr:spPr>
        <a:xfrm>
          <a:off x="10356606" y="86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22</xdr:row>
      <xdr:rowOff>123093</xdr:rowOff>
    </xdr:from>
    <xdr:to>
      <xdr:col>10</xdr:col>
      <xdr:colOff>0</xdr:colOff>
      <xdr:row>22</xdr:row>
      <xdr:rowOff>123508</xdr:rowOff>
    </xdr:to>
    <xdr:cxnSp macro="">
      <xdr:nvCxnSpPr>
        <xdr:cNvPr id="12" name="Connecteur droit avec flèche 11"/>
        <xdr:cNvCxnSpPr/>
      </xdr:nvCxnSpPr>
      <xdr:spPr>
        <a:xfrm>
          <a:off x="12247685" y="885093"/>
          <a:ext cx="9825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926123</xdr:colOff>
      <xdr:row>46</xdr:row>
      <xdr:rowOff>123825</xdr:rowOff>
    </xdr:from>
    <xdr:to>
      <xdr:col>9</xdr:col>
      <xdr:colOff>742950</xdr:colOff>
      <xdr:row>48</xdr:row>
      <xdr:rowOff>99646</xdr:rowOff>
    </xdr:to>
    <xdr:cxnSp macro="">
      <xdr:nvCxnSpPr>
        <xdr:cNvPr id="15" name="Connecteur droit avec flèche 14"/>
        <xdr:cNvCxnSpPr/>
      </xdr:nvCxnSpPr>
      <xdr:spPr>
        <a:xfrm flipV="1">
          <a:off x="8069873" y="1457325"/>
          <a:ext cx="893152" cy="3568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1027</xdr:colOff>
      <xdr:row>92</xdr:row>
      <xdr:rowOff>99648</xdr:rowOff>
    </xdr:from>
    <xdr:to>
      <xdr:col>9</xdr:col>
      <xdr:colOff>733425</xdr:colOff>
      <xdr:row>94</xdr:row>
      <xdr:rowOff>133350</xdr:rowOff>
    </xdr:to>
    <xdr:cxnSp macro="">
      <xdr:nvCxnSpPr>
        <xdr:cNvPr id="18" name="Connecteur droit avec flèche 17"/>
        <xdr:cNvCxnSpPr/>
      </xdr:nvCxnSpPr>
      <xdr:spPr>
        <a:xfrm>
          <a:off x="8221102" y="2766648"/>
          <a:ext cx="732398" cy="41470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118</xdr:row>
      <xdr:rowOff>87922</xdr:rowOff>
    </xdr:from>
    <xdr:to>
      <xdr:col>9</xdr:col>
      <xdr:colOff>791307</xdr:colOff>
      <xdr:row>118</xdr:row>
      <xdr:rowOff>87924</xdr:rowOff>
    </xdr:to>
    <xdr:cxnSp macro="">
      <xdr:nvCxnSpPr>
        <xdr:cNvPr id="21" name="Connecteur droit avec flèche 20"/>
        <xdr:cNvCxnSpPr/>
      </xdr:nvCxnSpPr>
      <xdr:spPr>
        <a:xfrm flipV="1">
          <a:off x="12442874" y="37074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728135</xdr:colOff>
      <xdr:row>154</xdr:row>
      <xdr:rowOff>106682</xdr:rowOff>
    </xdr:from>
    <xdr:to>
      <xdr:col>3</xdr:col>
      <xdr:colOff>777238</xdr:colOff>
      <xdr:row>201</xdr:row>
      <xdr:rowOff>110068</xdr:rowOff>
    </xdr:to>
    <xdr:cxnSp macro="">
      <xdr:nvCxnSpPr>
        <xdr:cNvPr id="43" name="Connecteur droit avec flèche 42"/>
        <xdr:cNvCxnSpPr/>
      </xdr:nvCxnSpPr>
      <xdr:spPr>
        <a:xfrm rot="5400000" flipH="1" flipV="1">
          <a:off x="6094519" y="4951098"/>
          <a:ext cx="1336886" cy="79205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201</xdr:row>
      <xdr:rowOff>118534</xdr:rowOff>
    </xdr:from>
    <xdr:to>
      <xdr:col>3</xdr:col>
      <xdr:colOff>762000</xdr:colOff>
      <xdr:row>224</xdr:row>
      <xdr:rowOff>129540</xdr:rowOff>
    </xdr:to>
    <xdr:cxnSp macro="">
      <xdr:nvCxnSpPr>
        <xdr:cNvPr id="44" name="Connecteur droit avec flèche 43"/>
        <xdr:cNvCxnSpPr/>
      </xdr:nvCxnSpPr>
      <xdr:spPr>
        <a:xfrm>
          <a:off x="6358466" y="6024034"/>
          <a:ext cx="804334" cy="5825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154</xdr:row>
      <xdr:rowOff>83820</xdr:rowOff>
    </xdr:from>
    <xdr:to>
      <xdr:col>5</xdr:col>
      <xdr:colOff>739140</xdr:colOff>
      <xdr:row>154</xdr:row>
      <xdr:rowOff>85408</xdr:rowOff>
    </xdr:to>
    <xdr:cxnSp macro="">
      <xdr:nvCxnSpPr>
        <xdr:cNvPr id="45" name="Connecteur droit avec flèche 44"/>
        <xdr:cNvCxnSpPr/>
      </xdr:nvCxnSpPr>
      <xdr:spPr>
        <a:xfrm>
          <a:off x="8107680" y="4655820"/>
          <a:ext cx="104203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46" name="Connecteur droit avec flèche 45"/>
        <xdr:cNvCxnSpPr/>
      </xdr:nvCxnSpPr>
      <xdr:spPr>
        <a:xfrm>
          <a:off x="10620375" y="754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202</xdr:row>
      <xdr:rowOff>100648</xdr:rowOff>
    </xdr:from>
    <xdr:to>
      <xdr:col>6</xdr:col>
      <xdr:colOff>30480</xdr:colOff>
      <xdr:row>224</xdr:row>
      <xdr:rowOff>68580</xdr:rowOff>
    </xdr:to>
    <xdr:cxnSp macro="">
      <xdr:nvCxnSpPr>
        <xdr:cNvPr id="47" name="Connecteur droit avec flèche 46"/>
        <xdr:cNvCxnSpPr/>
      </xdr:nvCxnSpPr>
      <xdr:spPr>
        <a:xfrm flipV="1">
          <a:off x="8260080" y="6196648"/>
          <a:ext cx="942975" cy="348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224</xdr:row>
      <xdr:rowOff>91440</xdr:rowOff>
    </xdr:from>
    <xdr:to>
      <xdr:col>6</xdr:col>
      <xdr:colOff>0</xdr:colOff>
      <xdr:row>250</xdr:row>
      <xdr:rowOff>30480</xdr:rowOff>
    </xdr:to>
    <xdr:cxnSp macro="">
      <xdr:nvCxnSpPr>
        <xdr:cNvPr id="48" name="Connecteur droit avec flèche 47"/>
        <xdr:cNvCxnSpPr/>
      </xdr:nvCxnSpPr>
      <xdr:spPr>
        <a:xfrm rot="16200000" flipH="1">
          <a:off x="8262938" y="6550342"/>
          <a:ext cx="891540" cy="92773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49" name="Connecteur droit avec flèche 48"/>
        <xdr:cNvCxnSpPr/>
      </xdr:nvCxnSpPr>
      <xdr:spPr>
        <a:xfrm flipV="1">
          <a:off x="10338435" y="5623560"/>
          <a:ext cx="977265" cy="5241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50" name="Connecteur droit avec flèche 49"/>
        <xdr:cNvCxnSpPr/>
      </xdr:nvCxnSpPr>
      <xdr:spPr>
        <a:xfrm>
          <a:off x="10346055" y="614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51" name="Connecteur droit avec flèche 50"/>
        <xdr:cNvCxnSpPr/>
      </xdr:nvCxnSpPr>
      <xdr:spPr>
        <a:xfrm>
          <a:off x="10356606" y="46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154</xdr:row>
      <xdr:rowOff>123093</xdr:rowOff>
    </xdr:from>
    <xdr:to>
      <xdr:col>10</xdr:col>
      <xdr:colOff>0</xdr:colOff>
      <xdr:row>154</xdr:row>
      <xdr:rowOff>123508</xdr:rowOff>
    </xdr:to>
    <xdr:cxnSp macro="">
      <xdr:nvCxnSpPr>
        <xdr:cNvPr id="53" name="Connecteur droit avec flèche 52"/>
        <xdr:cNvCxnSpPr/>
      </xdr:nvCxnSpPr>
      <xdr:spPr>
        <a:xfrm>
          <a:off x="12247685" y="4695093"/>
          <a:ext cx="9825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55" name="Connecteur droit avec flèche 54"/>
        <xdr:cNvCxnSpPr/>
      </xdr:nvCxnSpPr>
      <xdr:spPr>
        <a:xfrm flipV="1">
          <a:off x="12214860" y="5196840"/>
          <a:ext cx="9696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58" name="Connecteur droit avec flèche 57"/>
        <xdr:cNvCxnSpPr/>
      </xdr:nvCxnSpPr>
      <xdr:spPr>
        <a:xfrm flipV="1">
          <a:off x="12428807" y="621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60" name="Connecteur droit avec flèche 59"/>
        <xdr:cNvCxnSpPr/>
      </xdr:nvCxnSpPr>
      <xdr:spPr>
        <a:xfrm>
          <a:off x="12405947" y="6575474"/>
          <a:ext cx="824278"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250</xdr:row>
      <xdr:rowOff>87922</xdr:rowOff>
    </xdr:from>
    <xdr:to>
      <xdr:col>9</xdr:col>
      <xdr:colOff>791307</xdr:colOff>
      <xdr:row>250</xdr:row>
      <xdr:rowOff>87924</xdr:rowOff>
    </xdr:to>
    <xdr:cxnSp macro="">
      <xdr:nvCxnSpPr>
        <xdr:cNvPr id="62" name="Connecteur droit avec flèche 61"/>
        <xdr:cNvCxnSpPr/>
      </xdr:nvCxnSpPr>
      <xdr:spPr>
        <a:xfrm flipV="1">
          <a:off x="12442874" y="75174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711202</xdr:colOff>
      <xdr:row>284</xdr:row>
      <xdr:rowOff>106682</xdr:rowOff>
    </xdr:from>
    <xdr:to>
      <xdr:col>3</xdr:col>
      <xdr:colOff>777239</xdr:colOff>
      <xdr:row>323</xdr:row>
      <xdr:rowOff>101601</xdr:rowOff>
    </xdr:to>
    <xdr:cxnSp macro="">
      <xdr:nvCxnSpPr>
        <xdr:cNvPr id="84" name="Connecteur droit avec flèche 83"/>
        <xdr:cNvCxnSpPr/>
      </xdr:nvCxnSpPr>
      <xdr:spPr>
        <a:xfrm rot="5400000" flipH="1" flipV="1">
          <a:off x="6090286" y="8748398"/>
          <a:ext cx="1328419" cy="8089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323</xdr:row>
      <xdr:rowOff>127000</xdr:rowOff>
    </xdr:from>
    <xdr:to>
      <xdr:col>3</xdr:col>
      <xdr:colOff>762000</xdr:colOff>
      <xdr:row>342</xdr:row>
      <xdr:rowOff>129540</xdr:rowOff>
    </xdr:to>
    <xdr:cxnSp macro="">
      <xdr:nvCxnSpPr>
        <xdr:cNvPr id="85" name="Connecteur droit avec flèche 84"/>
        <xdr:cNvCxnSpPr/>
      </xdr:nvCxnSpPr>
      <xdr:spPr>
        <a:xfrm>
          <a:off x="6358466" y="9842500"/>
          <a:ext cx="804334" cy="5740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284</xdr:row>
      <xdr:rowOff>83820</xdr:rowOff>
    </xdr:from>
    <xdr:to>
      <xdr:col>5</xdr:col>
      <xdr:colOff>739140</xdr:colOff>
      <xdr:row>284</xdr:row>
      <xdr:rowOff>85408</xdr:rowOff>
    </xdr:to>
    <xdr:cxnSp macro="">
      <xdr:nvCxnSpPr>
        <xdr:cNvPr id="86" name="Connecteur droit avec flèche 85"/>
        <xdr:cNvCxnSpPr/>
      </xdr:nvCxnSpPr>
      <xdr:spPr>
        <a:xfrm>
          <a:off x="8107680" y="8465820"/>
          <a:ext cx="104203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87" name="Connecteur droit avec flèche 86"/>
        <xdr:cNvCxnSpPr/>
      </xdr:nvCxnSpPr>
      <xdr:spPr>
        <a:xfrm>
          <a:off x="10620375" y="1135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324</xdr:row>
      <xdr:rowOff>100648</xdr:rowOff>
    </xdr:from>
    <xdr:to>
      <xdr:col>6</xdr:col>
      <xdr:colOff>30480</xdr:colOff>
      <xdr:row>342</xdr:row>
      <xdr:rowOff>68580</xdr:rowOff>
    </xdr:to>
    <xdr:cxnSp macro="">
      <xdr:nvCxnSpPr>
        <xdr:cNvPr id="88" name="Connecteur droit avec flèche 87"/>
        <xdr:cNvCxnSpPr/>
      </xdr:nvCxnSpPr>
      <xdr:spPr>
        <a:xfrm flipV="1">
          <a:off x="8260080" y="10006648"/>
          <a:ext cx="942975" cy="348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342</xdr:row>
      <xdr:rowOff>91440</xdr:rowOff>
    </xdr:from>
    <xdr:to>
      <xdr:col>6</xdr:col>
      <xdr:colOff>0</xdr:colOff>
      <xdr:row>385</xdr:row>
      <xdr:rowOff>30480</xdr:rowOff>
    </xdr:to>
    <xdr:cxnSp macro="">
      <xdr:nvCxnSpPr>
        <xdr:cNvPr id="89" name="Connecteur droit avec flèche 88"/>
        <xdr:cNvCxnSpPr/>
      </xdr:nvCxnSpPr>
      <xdr:spPr>
        <a:xfrm rot="16200000" flipH="1">
          <a:off x="8262938" y="10360342"/>
          <a:ext cx="891540" cy="92773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306</xdr:row>
      <xdr:rowOff>148167</xdr:rowOff>
    </xdr:from>
    <xdr:to>
      <xdr:col>8</xdr:col>
      <xdr:colOff>0</xdr:colOff>
      <xdr:row>324</xdr:row>
      <xdr:rowOff>51752</xdr:rowOff>
    </xdr:to>
    <xdr:cxnSp macro="">
      <xdr:nvCxnSpPr>
        <xdr:cNvPr id="90" name="Connecteur droit avec flèche 89"/>
        <xdr:cNvCxnSpPr/>
      </xdr:nvCxnSpPr>
      <xdr:spPr>
        <a:xfrm flipV="1">
          <a:off x="6362277" y="33676167"/>
          <a:ext cx="982556" cy="3332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91" name="Connecteur droit avec flèche 90"/>
        <xdr:cNvCxnSpPr/>
      </xdr:nvCxnSpPr>
      <xdr:spPr>
        <a:xfrm>
          <a:off x="10346055" y="995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92" name="Connecteur droit avec flèche 91"/>
        <xdr:cNvCxnSpPr/>
      </xdr:nvCxnSpPr>
      <xdr:spPr>
        <a:xfrm>
          <a:off x="10356606" y="848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284</xdr:row>
      <xdr:rowOff>123093</xdr:rowOff>
    </xdr:from>
    <xdr:to>
      <xdr:col>10</xdr:col>
      <xdr:colOff>0</xdr:colOff>
      <xdr:row>284</xdr:row>
      <xdr:rowOff>123508</xdr:rowOff>
    </xdr:to>
    <xdr:cxnSp macro="">
      <xdr:nvCxnSpPr>
        <xdr:cNvPr id="94" name="Connecteur droit avec flèche 93"/>
        <xdr:cNvCxnSpPr/>
      </xdr:nvCxnSpPr>
      <xdr:spPr>
        <a:xfrm>
          <a:off x="12247685" y="8505093"/>
          <a:ext cx="9825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99" name="Connecteur droit avec flèche 98"/>
        <xdr:cNvCxnSpPr/>
      </xdr:nvCxnSpPr>
      <xdr:spPr>
        <a:xfrm flipV="1">
          <a:off x="12428807" y="1002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342</xdr:row>
      <xdr:rowOff>98474</xdr:rowOff>
    </xdr:from>
    <xdr:to>
      <xdr:col>10</xdr:col>
      <xdr:colOff>0</xdr:colOff>
      <xdr:row>344</xdr:row>
      <xdr:rowOff>87923</xdr:rowOff>
    </xdr:to>
    <xdr:cxnSp macro="">
      <xdr:nvCxnSpPr>
        <xdr:cNvPr id="101" name="Connecteur droit avec flèche 100"/>
        <xdr:cNvCxnSpPr/>
      </xdr:nvCxnSpPr>
      <xdr:spPr>
        <a:xfrm>
          <a:off x="12405947" y="10385474"/>
          <a:ext cx="824278"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474</xdr:row>
      <xdr:rowOff>114300</xdr:rowOff>
    </xdr:from>
    <xdr:to>
      <xdr:col>9</xdr:col>
      <xdr:colOff>733425</xdr:colOff>
      <xdr:row>474</xdr:row>
      <xdr:rowOff>123825</xdr:rowOff>
    </xdr:to>
    <xdr:cxnSp macro="">
      <xdr:nvCxnSpPr>
        <xdr:cNvPr id="104" name="Connecteur droit avec flèche 103"/>
        <xdr:cNvCxnSpPr/>
      </xdr:nvCxnSpPr>
      <xdr:spPr>
        <a:xfrm>
          <a:off x="8324850" y="117348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685800</xdr:colOff>
      <xdr:row>394</xdr:row>
      <xdr:rowOff>152400</xdr:rowOff>
    </xdr:from>
    <xdr:to>
      <xdr:col>3</xdr:col>
      <xdr:colOff>723900</xdr:colOff>
      <xdr:row>424</xdr:row>
      <xdr:rowOff>0</xdr:rowOff>
    </xdr:to>
    <xdr:cxnSp macro="">
      <xdr:nvCxnSpPr>
        <xdr:cNvPr id="125" name="Connecteur droit avec flèche 124"/>
        <xdr:cNvCxnSpPr/>
      </xdr:nvCxnSpPr>
      <xdr:spPr>
        <a:xfrm flipV="1">
          <a:off x="2209800" y="12725400"/>
          <a:ext cx="800100" cy="11811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579120</xdr:colOff>
      <xdr:row>424</xdr:row>
      <xdr:rowOff>114300</xdr:rowOff>
    </xdr:from>
    <xdr:to>
      <xdr:col>3</xdr:col>
      <xdr:colOff>762000</xdr:colOff>
      <xdr:row>434</xdr:row>
      <xdr:rowOff>129540</xdr:rowOff>
    </xdr:to>
    <xdr:cxnSp macro="">
      <xdr:nvCxnSpPr>
        <xdr:cNvPr id="126" name="Connecteur droit avec flèche 125"/>
        <xdr:cNvCxnSpPr/>
      </xdr:nvCxnSpPr>
      <xdr:spPr>
        <a:xfrm>
          <a:off x="6217920" y="13639800"/>
          <a:ext cx="944880" cy="586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394</xdr:row>
      <xdr:rowOff>83820</xdr:rowOff>
    </xdr:from>
    <xdr:to>
      <xdr:col>5</xdr:col>
      <xdr:colOff>739140</xdr:colOff>
      <xdr:row>394</xdr:row>
      <xdr:rowOff>85408</xdr:rowOff>
    </xdr:to>
    <xdr:cxnSp macro="">
      <xdr:nvCxnSpPr>
        <xdr:cNvPr id="127" name="Connecteur droit avec flèche 126"/>
        <xdr:cNvCxnSpPr/>
      </xdr:nvCxnSpPr>
      <xdr:spPr>
        <a:xfrm>
          <a:off x="8107680" y="12275820"/>
          <a:ext cx="104203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432</xdr:row>
      <xdr:rowOff>121227</xdr:rowOff>
    </xdr:from>
    <xdr:to>
      <xdr:col>5</xdr:col>
      <xdr:colOff>727363</xdr:colOff>
      <xdr:row>434</xdr:row>
      <xdr:rowOff>125731</xdr:rowOff>
    </xdr:to>
    <xdr:cxnSp macro="">
      <xdr:nvCxnSpPr>
        <xdr:cNvPr id="129" name="Connecteur droit avec flèche 128"/>
        <xdr:cNvCxnSpPr/>
      </xdr:nvCxnSpPr>
      <xdr:spPr>
        <a:xfrm flipV="1">
          <a:off x="4145280" y="14408727"/>
          <a:ext cx="1015538" cy="38550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133" name="Connecteur droit avec flèche 132"/>
        <xdr:cNvCxnSpPr/>
      </xdr:nvCxnSpPr>
      <xdr:spPr>
        <a:xfrm>
          <a:off x="10356606" y="1229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394</xdr:row>
      <xdr:rowOff>123093</xdr:rowOff>
    </xdr:from>
    <xdr:to>
      <xdr:col>10</xdr:col>
      <xdr:colOff>0</xdr:colOff>
      <xdr:row>394</xdr:row>
      <xdr:rowOff>123508</xdr:rowOff>
    </xdr:to>
    <xdr:cxnSp macro="">
      <xdr:nvCxnSpPr>
        <xdr:cNvPr id="135" name="Connecteur droit avec flèche 134"/>
        <xdr:cNvCxnSpPr/>
      </xdr:nvCxnSpPr>
      <xdr:spPr>
        <a:xfrm>
          <a:off x="12247685" y="12315093"/>
          <a:ext cx="9825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1153890</xdr:colOff>
      <xdr:row>70</xdr:row>
      <xdr:rowOff>32659</xdr:rowOff>
    </xdr:from>
    <xdr:to>
      <xdr:col>1</xdr:col>
      <xdr:colOff>772890</xdr:colOff>
      <xdr:row>275</xdr:row>
      <xdr:rowOff>10888</xdr:rowOff>
    </xdr:to>
    <xdr:cxnSp macro="">
      <xdr:nvCxnSpPr>
        <xdr:cNvPr id="166" name="Connecteur droit avec flèche 165"/>
        <xdr:cNvCxnSpPr/>
      </xdr:nvCxnSpPr>
      <xdr:spPr>
        <a:xfrm rot="5400000" flipH="1" flipV="1">
          <a:off x="2426838" y="4608061"/>
          <a:ext cx="5502729" cy="9239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1186547</xdr:colOff>
      <xdr:row>201</xdr:row>
      <xdr:rowOff>119747</xdr:rowOff>
    </xdr:from>
    <xdr:to>
      <xdr:col>2</xdr:col>
      <xdr:colOff>10888</xdr:colOff>
      <xdr:row>275</xdr:row>
      <xdr:rowOff>54428</xdr:rowOff>
    </xdr:to>
    <xdr:cxnSp macro="">
      <xdr:nvCxnSpPr>
        <xdr:cNvPr id="167" name="Connecteur droit avec flèche 166"/>
        <xdr:cNvCxnSpPr/>
      </xdr:nvCxnSpPr>
      <xdr:spPr>
        <a:xfrm rot="5400000" flipH="1" flipV="1">
          <a:off x="4279452" y="6494692"/>
          <a:ext cx="1839681" cy="9007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760642</xdr:colOff>
      <xdr:row>275</xdr:row>
      <xdr:rowOff>152400</xdr:rowOff>
    </xdr:from>
    <xdr:to>
      <xdr:col>2</xdr:col>
      <xdr:colOff>68039</xdr:colOff>
      <xdr:row>323</xdr:row>
      <xdr:rowOff>13610</xdr:rowOff>
    </xdr:to>
    <xdr:cxnSp macro="">
      <xdr:nvCxnSpPr>
        <xdr:cNvPr id="168" name="Connecteur droit avec flèche 167"/>
        <xdr:cNvCxnSpPr/>
      </xdr:nvCxnSpPr>
      <xdr:spPr>
        <a:xfrm>
          <a:off x="760642" y="28155900"/>
          <a:ext cx="831397" cy="595721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276</xdr:row>
      <xdr:rowOff>0</xdr:rowOff>
    </xdr:from>
    <xdr:to>
      <xdr:col>2</xdr:col>
      <xdr:colOff>40823</xdr:colOff>
      <xdr:row>424</xdr:row>
      <xdr:rowOff>12244</xdr:rowOff>
    </xdr:to>
    <xdr:cxnSp macro="">
      <xdr:nvCxnSpPr>
        <xdr:cNvPr id="169" name="Connecteur droit avec flèche 168"/>
        <xdr:cNvCxnSpPr/>
      </xdr:nvCxnSpPr>
      <xdr:spPr>
        <a:xfrm>
          <a:off x="802821" y="28384500"/>
          <a:ext cx="762002" cy="70607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170" name="Connecteur droit avec flèche 169"/>
        <xdr:cNvCxnSpPr/>
      </xdr:nvCxnSpPr>
      <xdr:spPr>
        <a:xfrm>
          <a:off x="10620375" y="754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171" name="Connecteur droit avec flèche 170"/>
        <xdr:cNvCxnSpPr/>
      </xdr:nvCxnSpPr>
      <xdr:spPr>
        <a:xfrm flipV="1">
          <a:off x="10338435" y="5623560"/>
          <a:ext cx="977265" cy="5241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172" name="Connecteur droit avec flèche 171"/>
        <xdr:cNvCxnSpPr/>
      </xdr:nvCxnSpPr>
      <xdr:spPr>
        <a:xfrm>
          <a:off x="10346055" y="614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173" name="Connecteur droit avec flèche 172"/>
        <xdr:cNvCxnSpPr/>
      </xdr:nvCxnSpPr>
      <xdr:spPr>
        <a:xfrm>
          <a:off x="10356606" y="46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174" name="Connecteur droit avec flèche 173"/>
        <xdr:cNvCxnSpPr/>
      </xdr:nvCxnSpPr>
      <xdr:spPr>
        <a:xfrm>
          <a:off x="10620375" y="1135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176" name="Connecteur droit avec flèche 175"/>
        <xdr:cNvCxnSpPr/>
      </xdr:nvCxnSpPr>
      <xdr:spPr>
        <a:xfrm>
          <a:off x="10346055" y="995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177" name="Connecteur droit avec flèche 176"/>
        <xdr:cNvCxnSpPr/>
      </xdr:nvCxnSpPr>
      <xdr:spPr>
        <a:xfrm>
          <a:off x="10356606" y="848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181" name="Connecteur droit avec flèche 180"/>
        <xdr:cNvCxnSpPr/>
      </xdr:nvCxnSpPr>
      <xdr:spPr>
        <a:xfrm>
          <a:off x="10356606" y="1229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182" name="Connecteur droit avec flèche 181"/>
        <xdr:cNvCxnSpPr/>
      </xdr:nvCxnSpPr>
      <xdr:spPr>
        <a:xfrm>
          <a:off x="10620375" y="754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183" name="Connecteur droit avec flèche 182"/>
        <xdr:cNvCxnSpPr/>
      </xdr:nvCxnSpPr>
      <xdr:spPr>
        <a:xfrm>
          <a:off x="10346055" y="614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184" name="Connecteur droit avec flèche 183"/>
        <xdr:cNvCxnSpPr/>
      </xdr:nvCxnSpPr>
      <xdr:spPr>
        <a:xfrm>
          <a:off x="10620375" y="11353800"/>
          <a:ext cx="7181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185" name="Connecteur droit avec flèche 184"/>
        <xdr:cNvCxnSpPr/>
      </xdr:nvCxnSpPr>
      <xdr:spPr>
        <a:xfrm>
          <a:off x="10346055" y="9957752"/>
          <a:ext cx="965835" cy="443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188" name="Connecteur droit avec flèche 187"/>
        <xdr:cNvCxnSpPr/>
      </xdr:nvCxnSpPr>
      <xdr:spPr>
        <a:xfrm flipV="1">
          <a:off x="12214860" y="5196840"/>
          <a:ext cx="9696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191" name="Connecteur droit avec flèche 190"/>
        <xdr:cNvCxnSpPr/>
      </xdr:nvCxnSpPr>
      <xdr:spPr>
        <a:xfrm flipV="1">
          <a:off x="12428807" y="621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196" name="Connecteur droit avec flèche 195"/>
        <xdr:cNvCxnSpPr/>
      </xdr:nvCxnSpPr>
      <xdr:spPr>
        <a:xfrm flipV="1">
          <a:off x="12428807" y="1002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973667</xdr:colOff>
      <xdr:row>304</xdr:row>
      <xdr:rowOff>53340</xdr:rowOff>
    </xdr:from>
    <xdr:to>
      <xdr:col>9</xdr:col>
      <xdr:colOff>716280</xdr:colOff>
      <xdr:row>306</xdr:row>
      <xdr:rowOff>127000</xdr:rowOff>
    </xdr:to>
    <xdr:cxnSp macro="">
      <xdr:nvCxnSpPr>
        <xdr:cNvPr id="198" name="Connecteur droit avec flèche 197"/>
        <xdr:cNvCxnSpPr/>
      </xdr:nvCxnSpPr>
      <xdr:spPr>
        <a:xfrm flipV="1">
          <a:off x="8318500" y="33200340"/>
          <a:ext cx="822113" cy="45466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994834</xdr:colOff>
      <xdr:row>306</xdr:row>
      <xdr:rowOff>137583</xdr:rowOff>
    </xdr:from>
    <xdr:to>
      <xdr:col>9</xdr:col>
      <xdr:colOff>723900</xdr:colOff>
      <xdr:row>314</xdr:row>
      <xdr:rowOff>123825</xdr:rowOff>
    </xdr:to>
    <xdr:cxnSp macro="">
      <xdr:nvCxnSpPr>
        <xdr:cNvPr id="200" name="Connecteur droit avec flèche 199"/>
        <xdr:cNvCxnSpPr/>
      </xdr:nvCxnSpPr>
      <xdr:spPr>
        <a:xfrm>
          <a:off x="8339667" y="33665583"/>
          <a:ext cx="808566" cy="15102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201" name="Connecteur droit avec flèche 200"/>
        <xdr:cNvCxnSpPr/>
      </xdr:nvCxnSpPr>
      <xdr:spPr>
        <a:xfrm flipV="1">
          <a:off x="12428807" y="1002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422</xdr:row>
      <xdr:rowOff>145257</xdr:rowOff>
    </xdr:from>
    <xdr:to>
      <xdr:col>8</xdr:col>
      <xdr:colOff>50006</xdr:colOff>
      <xdr:row>432</xdr:row>
      <xdr:rowOff>133350</xdr:rowOff>
    </xdr:to>
    <xdr:cxnSp macro="">
      <xdr:nvCxnSpPr>
        <xdr:cNvPr id="209" name="Connecteur droit avec flèche 208"/>
        <xdr:cNvCxnSpPr/>
      </xdr:nvCxnSpPr>
      <xdr:spPr>
        <a:xfrm flipV="1">
          <a:off x="6524625" y="13861257"/>
          <a:ext cx="859631" cy="55959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213" name="Connecteur droit avec flèche 212"/>
        <xdr:cNvCxnSpPr/>
      </xdr:nvCxnSpPr>
      <xdr:spPr>
        <a:xfrm flipV="1">
          <a:off x="12214860" y="5196840"/>
          <a:ext cx="9696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216" name="Connecteur droit avec flèche 215"/>
        <xdr:cNvCxnSpPr/>
      </xdr:nvCxnSpPr>
      <xdr:spPr>
        <a:xfrm flipV="1">
          <a:off x="12428807" y="621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218" name="Connecteur droit avec flèche 217"/>
        <xdr:cNvCxnSpPr/>
      </xdr:nvCxnSpPr>
      <xdr:spPr>
        <a:xfrm>
          <a:off x="12405947" y="6575474"/>
          <a:ext cx="824278"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219" name="Connecteur droit avec flèche 218"/>
        <xdr:cNvCxnSpPr/>
      </xdr:nvCxnSpPr>
      <xdr:spPr>
        <a:xfrm flipV="1">
          <a:off x="12214860" y="5196840"/>
          <a:ext cx="9696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222" name="Connecteur droit avec flèche 221"/>
        <xdr:cNvCxnSpPr/>
      </xdr:nvCxnSpPr>
      <xdr:spPr>
        <a:xfrm flipV="1">
          <a:off x="12428807" y="621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224" name="Connecteur droit avec flèche 223"/>
        <xdr:cNvCxnSpPr/>
      </xdr:nvCxnSpPr>
      <xdr:spPr>
        <a:xfrm flipV="1">
          <a:off x="12214860" y="5196840"/>
          <a:ext cx="9696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923925</xdr:colOff>
      <xdr:row>188</xdr:row>
      <xdr:rowOff>123825</xdr:rowOff>
    </xdr:from>
    <xdr:to>
      <xdr:col>9</xdr:col>
      <xdr:colOff>733425</xdr:colOff>
      <xdr:row>190</xdr:row>
      <xdr:rowOff>114300</xdr:rowOff>
    </xdr:to>
    <xdr:cxnSp macro="">
      <xdr:nvCxnSpPr>
        <xdr:cNvPr id="226" name="Connecteur droit avec flèche 225"/>
        <xdr:cNvCxnSpPr/>
      </xdr:nvCxnSpPr>
      <xdr:spPr>
        <a:xfrm>
          <a:off x="8067675" y="5838825"/>
          <a:ext cx="885825" cy="3714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227" name="Connecteur droit avec flèche 226"/>
        <xdr:cNvCxnSpPr/>
      </xdr:nvCxnSpPr>
      <xdr:spPr>
        <a:xfrm flipV="1">
          <a:off x="12428807" y="6213231"/>
          <a:ext cx="799953" cy="369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xdr:row>
      <xdr:rowOff>116417</xdr:rowOff>
    </xdr:from>
    <xdr:to>
      <xdr:col>12</xdr:col>
      <xdr:colOff>222250</xdr:colOff>
      <xdr:row>22</xdr:row>
      <xdr:rowOff>114301</xdr:rowOff>
    </xdr:to>
    <xdr:cxnSp macro="">
      <xdr:nvCxnSpPr>
        <xdr:cNvPr id="234" name="Connecteur droit avec flèche 233"/>
        <xdr:cNvCxnSpPr/>
      </xdr:nvCxnSpPr>
      <xdr:spPr>
        <a:xfrm flipV="1">
          <a:off x="10157883" y="1449917"/>
          <a:ext cx="20764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118</xdr:row>
      <xdr:rowOff>104775</xdr:rowOff>
    </xdr:from>
    <xdr:to>
      <xdr:col>12</xdr:col>
      <xdr:colOff>0</xdr:colOff>
      <xdr:row>118</xdr:row>
      <xdr:rowOff>114300</xdr:rowOff>
    </xdr:to>
    <xdr:cxnSp macro="">
      <xdr:nvCxnSpPr>
        <xdr:cNvPr id="235" name="Connecteur droit avec flèche 234"/>
        <xdr:cNvCxnSpPr/>
      </xdr:nvCxnSpPr>
      <xdr:spPr>
        <a:xfrm>
          <a:off x="10191750" y="3724275"/>
          <a:ext cx="75247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46</xdr:row>
      <xdr:rowOff>114300</xdr:rowOff>
    </xdr:from>
    <xdr:to>
      <xdr:col>11</xdr:col>
      <xdr:colOff>696790</xdr:colOff>
      <xdr:row>46</xdr:row>
      <xdr:rowOff>114715</xdr:rowOff>
    </xdr:to>
    <xdr:cxnSp macro="">
      <xdr:nvCxnSpPr>
        <xdr:cNvPr id="237" name="Connecteur droit avec flèche 236"/>
        <xdr:cNvCxnSpPr/>
      </xdr:nvCxnSpPr>
      <xdr:spPr>
        <a:xfrm>
          <a:off x="9953625" y="876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58</xdr:row>
      <xdr:rowOff>114300</xdr:rowOff>
    </xdr:from>
    <xdr:to>
      <xdr:col>11</xdr:col>
      <xdr:colOff>696790</xdr:colOff>
      <xdr:row>58</xdr:row>
      <xdr:rowOff>114715</xdr:rowOff>
    </xdr:to>
    <xdr:cxnSp macro="">
      <xdr:nvCxnSpPr>
        <xdr:cNvPr id="238" name="Connecteur droit avec flèche 237"/>
        <xdr:cNvCxnSpPr/>
      </xdr:nvCxnSpPr>
      <xdr:spPr>
        <a:xfrm>
          <a:off x="9953625" y="876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942975</xdr:colOff>
      <xdr:row>48</xdr:row>
      <xdr:rowOff>104775</xdr:rowOff>
    </xdr:from>
    <xdr:to>
      <xdr:col>9</xdr:col>
      <xdr:colOff>685800</xdr:colOff>
      <xdr:row>58</xdr:row>
      <xdr:rowOff>114300</xdr:rowOff>
    </xdr:to>
    <xdr:cxnSp macro="">
      <xdr:nvCxnSpPr>
        <xdr:cNvPr id="240" name="Connecteur droit avec flèche 239"/>
        <xdr:cNvCxnSpPr/>
      </xdr:nvCxnSpPr>
      <xdr:spPr>
        <a:xfrm>
          <a:off x="8086725" y="1819275"/>
          <a:ext cx="819150" cy="390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70</xdr:row>
      <xdr:rowOff>114300</xdr:rowOff>
    </xdr:from>
    <xdr:to>
      <xdr:col>11</xdr:col>
      <xdr:colOff>696790</xdr:colOff>
      <xdr:row>70</xdr:row>
      <xdr:rowOff>114715</xdr:rowOff>
    </xdr:to>
    <xdr:cxnSp macro="">
      <xdr:nvCxnSpPr>
        <xdr:cNvPr id="244" name="Connecteur droit avec flèche 243"/>
        <xdr:cNvCxnSpPr/>
      </xdr:nvCxnSpPr>
      <xdr:spPr>
        <a:xfrm>
          <a:off x="9953625" y="14478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94</xdr:row>
      <xdr:rowOff>114300</xdr:rowOff>
    </xdr:from>
    <xdr:to>
      <xdr:col>11</xdr:col>
      <xdr:colOff>696790</xdr:colOff>
      <xdr:row>94</xdr:row>
      <xdr:rowOff>114715</xdr:rowOff>
    </xdr:to>
    <xdr:cxnSp macro="">
      <xdr:nvCxnSpPr>
        <xdr:cNvPr id="245" name="Connecteur droit avec flèche 244"/>
        <xdr:cNvCxnSpPr/>
      </xdr:nvCxnSpPr>
      <xdr:spPr>
        <a:xfrm>
          <a:off x="9953625" y="22098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1019175</xdr:colOff>
      <xdr:row>70</xdr:row>
      <xdr:rowOff>105833</xdr:rowOff>
    </xdr:from>
    <xdr:to>
      <xdr:col>9</xdr:col>
      <xdr:colOff>751417</xdr:colOff>
      <xdr:row>92</xdr:row>
      <xdr:rowOff>118698</xdr:rowOff>
    </xdr:to>
    <xdr:cxnSp macro="">
      <xdr:nvCxnSpPr>
        <xdr:cNvPr id="246" name="Connecteur droit avec flèche 245"/>
        <xdr:cNvCxnSpPr/>
      </xdr:nvCxnSpPr>
      <xdr:spPr>
        <a:xfrm flipV="1">
          <a:off x="8364008" y="9630833"/>
          <a:ext cx="811742" cy="9653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276</xdr:row>
      <xdr:rowOff>0</xdr:rowOff>
    </xdr:from>
    <xdr:to>
      <xdr:col>1</xdr:col>
      <xdr:colOff>723900</xdr:colOff>
      <xdr:row>497</xdr:row>
      <xdr:rowOff>104775</xdr:rowOff>
    </xdr:to>
    <xdr:cxnSp macro="">
      <xdr:nvCxnSpPr>
        <xdr:cNvPr id="251" name="Connecteur droit avec flèche 250"/>
        <xdr:cNvCxnSpPr/>
      </xdr:nvCxnSpPr>
      <xdr:spPr>
        <a:xfrm>
          <a:off x="762000" y="28411714"/>
          <a:ext cx="723900" cy="1093606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497</xdr:row>
      <xdr:rowOff>83820</xdr:rowOff>
    </xdr:from>
    <xdr:to>
      <xdr:col>5</xdr:col>
      <xdr:colOff>739140</xdr:colOff>
      <xdr:row>497</xdr:row>
      <xdr:rowOff>85408</xdr:rowOff>
    </xdr:to>
    <xdr:cxnSp macro="">
      <xdr:nvCxnSpPr>
        <xdr:cNvPr id="260" name="Connecteur droit avec flèche 259"/>
        <xdr:cNvCxnSpPr/>
      </xdr:nvCxnSpPr>
      <xdr:spPr>
        <a:xfrm>
          <a:off x="3049905" y="16847820"/>
          <a:ext cx="73723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261" name="Connecteur droit avec flèche 260"/>
        <xdr:cNvCxnSpPr/>
      </xdr:nvCxnSpPr>
      <xdr:spPr>
        <a:xfrm>
          <a:off x="5003556" y="16863647"/>
          <a:ext cx="13858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497</xdr:row>
      <xdr:rowOff>123093</xdr:rowOff>
    </xdr:from>
    <xdr:to>
      <xdr:col>10</xdr:col>
      <xdr:colOff>0</xdr:colOff>
      <xdr:row>497</xdr:row>
      <xdr:rowOff>123508</xdr:rowOff>
    </xdr:to>
    <xdr:cxnSp macro="">
      <xdr:nvCxnSpPr>
        <xdr:cNvPr id="263" name="Connecteur droit avec flèche 262"/>
        <xdr:cNvCxnSpPr/>
      </xdr:nvCxnSpPr>
      <xdr:spPr>
        <a:xfrm>
          <a:off x="7142285" y="16887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264" name="Connecteur droit avec flèche 263"/>
        <xdr:cNvCxnSpPr/>
      </xdr:nvCxnSpPr>
      <xdr:spPr>
        <a:xfrm>
          <a:off x="5003556" y="16863647"/>
          <a:ext cx="13858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497</xdr:row>
      <xdr:rowOff>95251</xdr:rowOff>
    </xdr:from>
    <xdr:to>
      <xdr:col>4</xdr:col>
      <xdr:colOff>0</xdr:colOff>
      <xdr:row>497</xdr:row>
      <xdr:rowOff>114300</xdr:rowOff>
    </xdr:to>
    <xdr:cxnSp macro="">
      <xdr:nvCxnSpPr>
        <xdr:cNvPr id="267" name="Connecteur droit avec flèche 266"/>
        <xdr:cNvCxnSpPr/>
      </xdr:nvCxnSpPr>
      <xdr:spPr>
        <a:xfrm>
          <a:off x="2171700" y="17621251"/>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250</xdr:row>
      <xdr:rowOff>104775</xdr:rowOff>
    </xdr:from>
    <xdr:to>
      <xdr:col>12</xdr:col>
      <xdr:colOff>0</xdr:colOff>
      <xdr:row>250</xdr:row>
      <xdr:rowOff>114300</xdr:rowOff>
    </xdr:to>
    <xdr:cxnSp macro="">
      <xdr:nvCxnSpPr>
        <xdr:cNvPr id="276" name="Connecteur droit avec flèche 275"/>
        <xdr:cNvCxnSpPr/>
      </xdr:nvCxnSpPr>
      <xdr:spPr>
        <a:xfrm>
          <a:off x="10191750" y="3914775"/>
          <a:ext cx="75247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154</xdr:row>
      <xdr:rowOff>114300</xdr:rowOff>
    </xdr:from>
    <xdr:to>
      <xdr:col>11</xdr:col>
      <xdr:colOff>696790</xdr:colOff>
      <xdr:row>154</xdr:row>
      <xdr:rowOff>114715</xdr:rowOff>
    </xdr:to>
    <xdr:cxnSp macro="">
      <xdr:nvCxnSpPr>
        <xdr:cNvPr id="277" name="Connecteur droit avec flèche 276"/>
        <xdr:cNvCxnSpPr/>
      </xdr:nvCxnSpPr>
      <xdr:spPr>
        <a:xfrm>
          <a:off x="9953625" y="22098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178</xdr:row>
      <xdr:rowOff>114300</xdr:rowOff>
    </xdr:from>
    <xdr:to>
      <xdr:col>11</xdr:col>
      <xdr:colOff>696790</xdr:colOff>
      <xdr:row>178</xdr:row>
      <xdr:rowOff>114715</xdr:rowOff>
    </xdr:to>
    <xdr:cxnSp macro="">
      <xdr:nvCxnSpPr>
        <xdr:cNvPr id="278" name="Connecteur droit avec flèche 277"/>
        <xdr:cNvCxnSpPr/>
      </xdr:nvCxnSpPr>
      <xdr:spPr>
        <a:xfrm>
          <a:off x="9953625" y="2781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190</xdr:row>
      <xdr:rowOff>114300</xdr:rowOff>
    </xdr:from>
    <xdr:to>
      <xdr:col>11</xdr:col>
      <xdr:colOff>696790</xdr:colOff>
      <xdr:row>190</xdr:row>
      <xdr:rowOff>114715</xdr:rowOff>
    </xdr:to>
    <xdr:cxnSp macro="">
      <xdr:nvCxnSpPr>
        <xdr:cNvPr id="279" name="Connecteur droit avec flèche 278"/>
        <xdr:cNvCxnSpPr/>
      </xdr:nvCxnSpPr>
      <xdr:spPr>
        <a:xfrm>
          <a:off x="9953625" y="3543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202</xdr:row>
      <xdr:rowOff>114300</xdr:rowOff>
    </xdr:from>
    <xdr:to>
      <xdr:col>11</xdr:col>
      <xdr:colOff>696790</xdr:colOff>
      <xdr:row>202</xdr:row>
      <xdr:rowOff>114715</xdr:rowOff>
    </xdr:to>
    <xdr:cxnSp macro="">
      <xdr:nvCxnSpPr>
        <xdr:cNvPr id="280" name="Connecteur droit avec flèche 279"/>
        <xdr:cNvCxnSpPr/>
      </xdr:nvCxnSpPr>
      <xdr:spPr>
        <a:xfrm>
          <a:off x="9953625" y="5448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1200150</xdr:colOff>
      <xdr:row>226</xdr:row>
      <xdr:rowOff>95250</xdr:rowOff>
    </xdr:from>
    <xdr:to>
      <xdr:col>12</xdr:col>
      <xdr:colOff>0</xdr:colOff>
      <xdr:row>226</xdr:row>
      <xdr:rowOff>107156</xdr:rowOff>
    </xdr:to>
    <xdr:cxnSp macro="">
      <xdr:nvCxnSpPr>
        <xdr:cNvPr id="281" name="Connecteur droit avec flèche 280"/>
        <xdr:cNvCxnSpPr/>
      </xdr:nvCxnSpPr>
      <xdr:spPr>
        <a:xfrm>
          <a:off x="10372725" y="7334250"/>
          <a:ext cx="914400" cy="119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497</xdr:row>
      <xdr:rowOff>104775</xdr:rowOff>
    </xdr:from>
    <xdr:to>
      <xdr:col>11</xdr:col>
      <xdr:colOff>715840</xdr:colOff>
      <xdr:row>497</xdr:row>
      <xdr:rowOff>105190</xdr:rowOff>
    </xdr:to>
    <xdr:cxnSp macro="">
      <xdr:nvCxnSpPr>
        <xdr:cNvPr id="285" name="Connecteur droit avec flèche 284"/>
        <xdr:cNvCxnSpPr/>
      </xdr:nvCxnSpPr>
      <xdr:spPr>
        <a:xfrm>
          <a:off x="9972675" y="17821275"/>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1209675</xdr:colOff>
      <xdr:row>474</xdr:row>
      <xdr:rowOff>114300</xdr:rowOff>
    </xdr:from>
    <xdr:to>
      <xdr:col>12</xdr:col>
      <xdr:colOff>0</xdr:colOff>
      <xdr:row>474</xdr:row>
      <xdr:rowOff>114300</xdr:rowOff>
    </xdr:to>
    <xdr:cxnSp macro="">
      <xdr:nvCxnSpPr>
        <xdr:cNvPr id="287" name="Connecteur droit avec flèche 286"/>
        <xdr:cNvCxnSpPr/>
      </xdr:nvCxnSpPr>
      <xdr:spPr>
        <a:xfrm>
          <a:off x="10382250" y="15544800"/>
          <a:ext cx="876300"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284</xdr:row>
      <xdr:rowOff>114300</xdr:rowOff>
    </xdr:from>
    <xdr:to>
      <xdr:col>12</xdr:col>
      <xdr:colOff>136072</xdr:colOff>
      <xdr:row>284</xdr:row>
      <xdr:rowOff>122464</xdr:rowOff>
    </xdr:to>
    <xdr:cxnSp macro="">
      <xdr:nvCxnSpPr>
        <xdr:cNvPr id="288" name="Connecteur droit avec flèche 287"/>
        <xdr:cNvCxnSpPr/>
      </xdr:nvCxnSpPr>
      <xdr:spPr>
        <a:xfrm>
          <a:off x="10156371" y="29832300"/>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304</xdr:row>
      <xdr:rowOff>60287</xdr:rowOff>
    </xdr:from>
    <xdr:to>
      <xdr:col>12</xdr:col>
      <xdr:colOff>152505</xdr:colOff>
      <xdr:row>304</xdr:row>
      <xdr:rowOff>81643</xdr:rowOff>
    </xdr:to>
    <xdr:cxnSp macro="">
      <xdr:nvCxnSpPr>
        <xdr:cNvPr id="289" name="Connecteur droit avec flèche 288"/>
        <xdr:cNvCxnSpPr/>
      </xdr:nvCxnSpPr>
      <xdr:spPr>
        <a:xfrm flipV="1">
          <a:off x="10246179" y="31683287"/>
          <a:ext cx="1159433"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314</xdr:row>
      <xdr:rowOff>114300</xdr:rowOff>
    </xdr:from>
    <xdr:to>
      <xdr:col>11</xdr:col>
      <xdr:colOff>696790</xdr:colOff>
      <xdr:row>314</xdr:row>
      <xdr:rowOff>114715</xdr:rowOff>
    </xdr:to>
    <xdr:cxnSp macro="">
      <xdr:nvCxnSpPr>
        <xdr:cNvPr id="290" name="Connecteur droit avec flèche 289"/>
        <xdr:cNvCxnSpPr/>
      </xdr:nvCxnSpPr>
      <xdr:spPr>
        <a:xfrm>
          <a:off x="9953625" y="6210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324</xdr:row>
      <xdr:rowOff>114300</xdr:rowOff>
    </xdr:from>
    <xdr:to>
      <xdr:col>11</xdr:col>
      <xdr:colOff>696790</xdr:colOff>
      <xdr:row>324</xdr:row>
      <xdr:rowOff>114715</xdr:rowOff>
    </xdr:to>
    <xdr:cxnSp macro="">
      <xdr:nvCxnSpPr>
        <xdr:cNvPr id="291" name="Connecteur droit avec flèche 290"/>
        <xdr:cNvCxnSpPr/>
      </xdr:nvCxnSpPr>
      <xdr:spPr>
        <a:xfrm>
          <a:off x="9953625" y="6591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344</xdr:row>
      <xdr:rowOff>114300</xdr:rowOff>
    </xdr:from>
    <xdr:to>
      <xdr:col>11</xdr:col>
      <xdr:colOff>696790</xdr:colOff>
      <xdr:row>344</xdr:row>
      <xdr:rowOff>114715</xdr:rowOff>
    </xdr:to>
    <xdr:cxnSp macro="">
      <xdr:nvCxnSpPr>
        <xdr:cNvPr id="299" name="Connecteur droit avec flèche 298"/>
        <xdr:cNvCxnSpPr/>
      </xdr:nvCxnSpPr>
      <xdr:spPr>
        <a:xfrm>
          <a:off x="9953625" y="102108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394</xdr:row>
      <xdr:rowOff>114300</xdr:rowOff>
    </xdr:from>
    <xdr:to>
      <xdr:col>11</xdr:col>
      <xdr:colOff>696790</xdr:colOff>
      <xdr:row>394</xdr:row>
      <xdr:rowOff>114715</xdr:rowOff>
    </xdr:to>
    <xdr:cxnSp macro="">
      <xdr:nvCxnSpPr>
        <xdr:cNvPr id="300" name="Connecteur droit avec flèche 299"/>
        <xdr:cNvCxnSpPr/>
      </xdr:nvCxnSpPr>
      <xdr:spPr>
        <a:xfrm>
          <a:off x="9953625" y="8877300"/>
          <a:ext cx="90634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1352550</xdr:colOff>
      <xdr:row>432</xdr:row>
      <xdr:rowOff>142875</xdr:rowOff>
    </xdr:from>
    <xdr:to>
      <xdr:col>7</xdr:col>
      <xdr:colOff>733425</xdr:colOff>
      <xdr:row>446</xdr:row>
      <xdr:rowOff>66675</xdr:rowOff>
    </xdr:to>
    <xdr:cxnSp macro="">
      <xdr:nvCxnSpPr>
        <xdr:cNvPr id="312" name="Connecteur droit avec flèche 311"/>
        <xdr:cNvCxnSpPr/>
      </xdr:nvCxnSpPr>
      <xdr:spPr>
        <a:xfrm>
          <a:off x="6543675" y="14430375"/>
          <a:ext cx="762000" cy="4953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1160318</xdr:colOff>
      <xdr:row>434</xdr:row>
      <xdr:rowOff>121227</xdr:rowOff>
    </xdr:from>
    <xdr:to>
      <xdr:col>5</xdr:col>
      <xdr:colOff>736022</xdr:colOff>
      <xdr:row>474</xdr:row>
      <xdr:rowOff>77932</xdr:rowOff>
    </xdr:to>
    <xdr:cxnSp macro="">
      <xdr:nvCxnSpPr>
        <xdr:cNvPr id="318" name="Connecteur droit avec flèche 317"/>
        <xdr:cNvCxnSpPr/>
      </xdr:nvCxnSpPr>
      <xdr:spPr>
        <a:xfrm>
          <a:off x="4208318" y="14789727"/>
          <a:ext cx="961159" cy="71870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322" name="Connecteur droit avec flèche 321"/>
        <xdr:cNvCxnSpPr/>
      </xdr:nvCxnSpPr>
      <xdr:spPr>
        <a:xfrm>
          <a:off x="6580909" y="155448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364</xdr:row>
      <xdr:rowOff>114300</xdr:rowOff>
    </xdr:from>
    <xdr:to>
      <xdr:col>9</xdr:col>
      <xdr:colOff>733425</xdr:colOff>
      <xdr:row>364</xdr:row>
      <xdr:rowOff>123825</xdr:rowOff>
    </xdr:to>
    <xdr:cxnSp macro="">
      <xdr:nvCxnSpPr>
        <xdr:cNvPr id="323" name="Connecteur droit avec flèche 322"/>
        <xdr:cNvCxnSpPr/>
      </xdr:nvCxnSpPr>
      <xdr:spPr>
        <a:xfrm>
          <a:off x="8521411" y="155448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324" name="Connecteur droit avec flèche 323"/>
        <xdr:cNvCxnSpPr/>
      </xdr:nvCxnSpPr>
      <xdr:spPr>
        <a:xfrm>
          <a:off x="6580909" y="155448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325" name="Connecteur droit avec flèche 324"/>
        <xdr:cNvCxnSpPr/>
      </xdr:nvCxnSpPr>
      <xdr:spPr>
        <a:xfrm>
          <a:off x="6580909" y="155448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364</xdr:row>
      <xdr:rowOff>103911</xdr:rowOff>
    </xdr:from>
    <xdr:to>
      <xdr:col>11</xdr:col>
      <xdr:colOff>714375</xdr:colOff>
      <xdr:row>364</xdr:row>
      <xdr:rowOff>114300</xdr:rowOff>
    </xdr:to>
    <xdr:cxnSp macro="">
      <xdr:nvCxnSpPr>
        <xdr:cNvPr id="326" name="Connecteur droit avec flèche 325"/>
        <xdr:cNvCxnSpPr/>
      </xdr:nvCxnSpPr>
      <xdr:spPr>
        <a:xfrm>
          <a:off x="10263620" y="11724411"/>
          <a:ext cx="928255"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327" name="Connecteur droit avec flèche 326"/>
        <xdr:cNvCxnSpPr/>
      </xdr:nvCxnSpPr>
      <xdr:spPr>
        <a:xfrm flipV="1">
          <a:off x="8233410" y="9387840"/>
          <a:ext cx="8934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446</xdr:row>
      <xdr:rowOff>98474</xdr:rowOff>
    </xdr:from>
    <xdr:to>
      <xdr:col>10</xdr:col>
      <xdr:colOff>0</xdr:colOff>
      <xdr:row>454</xdr:row>
      <xdr:rowOff>87923</xdr:rowOff>
    </xdr:to>
    <xdr:cxnSp macro="">
      <xdr:nvCxnSpPr>
        <xdr:cNvPr id="329" name="Connecteur droit avec flèche 328"/>
        <xdr:cNvCxnSpPr/>
      </xdr:nvCxnSpPr>
      <xdr:spPr>
        <a:xfrm>
          <a:off x="8414972" y="10956974"/>
          <a:ext cx="75760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330" name="Connecteur droit avec flèche 329"/>
        <xdr:cNvCxnSpPr/>
      </xdr:nvCxnSpPr>
      <xdr:spPr>
        <a:xfrm flipV="1">
          <a:off x="8233410" y="9387840"/>
          <a:ext cx="8934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332" name="Connecteur droit avec flèche 331"/>
        <xdr:cNvCxnSpPr/>
      </xdr:nvCxnSpPr>
      <xdr:spPr>
        <a:xfrm flipV="1">
          <a:off x="8233410" y="9387840"/>
          <a:ext cx="893445" cy="434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920262</xdr:colOff>
      <xdr:row>422</xdr:row>
      <xdr:rowOff>105508</xdr:rowOff>
    </xdr:from>
    <xdr:to>
      <xdr:col>9</xdr:col>
      <xdr:colOff>723900</xdr:colOff>
      <xdr:row>424</xdr:row>
      <xdr:rowOff>123825</xdr:rowOff>
    </xdr:to>
    <xdr:cxnSp macro="">
      <xdr:nvCxnSpPr>
        <xdr:cNvPr id="333" name="Connecteur droit avec flèche 332"/>
        <xdr:cNvCxnSpPr/>
      </xdr:nvCxnSpPr>
      <xdr:spPr>
        <a:xfrm>
          <a:off x="8254512" y="9821008"/>
          <a:ext cx="879963" cy="3993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43</xdr:colOff>
      <xdr:row>434</xdr:row>
      <xdr:rowOff>95250</xdr:rowOff>
    </xdr:from>
    <xdr:to>
      <xdr:col>9</xdr:col>
      <xdr:colOff>721179</xdr:colOff>
      <xdr:row>446</xdr:row>
      <xdr:rowOff>106097</xdr:rowOff>
    </xdr:to>
    <xdr:cxnSp macro="">
      <xdr:nvCxnSpPr>
        <xdr:cNvPr id="334" name="Connecteur droit avec flèche 333"/>
        <xdr:cNvCxnSpPr/>
      </xdr:nvCxnSpPr>
      <xdr:spPr>
        <a:xfrm flipV="1">
          <a:off x="8422864" y="46958250"/>
          <a:ext cx="721136" cy="39184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414</xdr:row>
      <xdr:rowOff>114300</xdr:rowOff>
    </xdr:from>
    <xdr:to>
      <xdr:col>11</xdr:col>
      <xdr:colOff>696790</xdr:colOff>
      <xdr:row>414</xdr:row>
      <xdr:rowOff>114715</xdr:rowOff>
    </xdr:to>
    <xdr:cxnSp macro="">
      <xdr:nvCxnSpPr>
        <xdr:cNvPr id="335" name="Connecteur droit avec flèche 334"/>
        <xdr:cNvCxnSpPr/>
      </xdr:nvCxnSpPr>
      <xdr:spPr>
        <a:xfrm>
          <a:off x="10144125" y="94488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424</xdr:row>
      <xdr:rowOff>114300</xdr:rowOff>
    </xdr:from>
    <xdr:to>
      <xdr:col>11</xdr:col>
      <xdr:colOff>696790</xdr:colOff>
      <xdr:row>424</xdr:row>
      <xdr:rowOff>114715</xdr:rowOff>
    </xdr:to>
    <xdr:cxnSp macro="">
      <xdr:nvCxnSpPr>
        <xdr:cNvPr id="336" name="Connecteur droit avec flèche 335"/>
        <xdr:cNvCxnSpPr/>
      </xdr:nvCxnSpPr>
      <xdr:spPr>
        <a:xfrm>
          <a:off x="10144125" y="102108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1219200</xdr:colOff>
      <xdr:row>454</xdr:row>
      <xdr:rowOff>114300</xdr:rowOff>
    </xdr:from>
    <xdr:to>
      <xdr:col>11</xdr:col>
      <xdr:colOff>696790</xdr:colOff>
      <xdr:row>454</xdr:row>
      <xdr:rowOff>114715</xdr:rowOff>
    </xdr:to>
    <xdr:cxnSp macro="">
      <xdr:nvCxnSpPr>
        <xdr:cNvPr id="338" name="Connecteur droit avec flèche 337"/>
        <xdr:cNvCxnSpPr/>
      </xdr:nvCxnSpPr>
      <xdr:spPr>
        <a:xfrm>
          <a:off x="10391775" y="15354300"/>
          <a:ext cx="78251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973667</xdr:colOff>
      <xdr:row>19</xdr:row>
      <xdr:rowOff>84667</xdr:rowOff>
    </xdr:from>
    <xdr:to>
      <xdr:col>12</xdr:col>
      <xdr:colOff>52917</xdr:colOff>
      <xdr:row>22</xdr:row>
      <xdr:rowOff>114301</xdr:rowOff>
    </xdr:to>
    <xdr:cxnSp macro="">
      <xdr:nvCxnSpPr>
        <xdr:cNvPr id="215" name="Connecteur droit avec flèche 214"/>
        <xdr:cNvCxnSpPr/>
      </xdr:nvCxnSpPr>
      <xdr:spPr>
        <a:xfrm flipV="1">
          <a:off x="10160000" y="2180167"/>
          <a:ext cx="19050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1005417</xdr:colOff>
      <xdr:row>20</xdr:row>
      <xdr:rowOff>95250</xdr:rowOff>
    </xdr:from>
    <xdr:to>
      <xdr:col>12</xdr:col>
      <xdr:colOff>190500</xdr:colOff>
      <xdr:row>22</xdr:row>
      <xdr:rowOff>148167</xdr:rowOff>
    </xdr:to>
    <xdr:cxnSp macro="">
      <xdr:nvCxnSpPr>
        <xdr:cNvPr id="220" name="Connecteur droit avec flèche 219"/>
        <xdr:cNvCxnSpPr/>
      </xdr:nvCxnSpPr>
      <xdr:spPr>
        <a:xfrm flipV="1">
          <a:off x="10191750" y="2381250"/>
          <a:ext cx="20108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1016000</xdr:colOff>
      <xdr:row>22</xdr:row>
      <xdr:rowOff>105833</xdr:rowOff>
    </xdr:from>
    <xdr:to>
      <xdr:col>12</xdr:col>
      <xdr:colOff>84667</xdr:colOff>
      <xdr:row>22</xdr:row>
      <xdr:rowOff>137583</xdr:rowOff>
    </xdr:to>
    <xdr:cxnSp macro="">
      <xdr:nvCxnSpPr>
        <xdr:cNvPr id="225" name="Connecteur droit avec flèche 224"/>
        <xdr:cNvCxnSpPr/>
      </xdr:nvCxnSpPr>
      <xdr:spPr>
        <a:xfrm flipV="1">
          <a:off x="10202333" y="2772833"/>
          <a:ext cx="18944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635000</xdr:colOff>
      <xdr:row>13</xdr:row>
      <xdr:rowOff>63501</xdr:rowOff>
    </xdr:from>
    <xdr:to>
      <xdr:col>14</xdr:col>
      <xdr:colOff>55033</xdr:colOff>
      <xdr:row>15</xdr:row>
      <xdr:rowOff>105833</xdr:rowOff>
    </xdr:to>
    <xdr:cxnSp macro="">
      <xdr:nvCxnSpPr>
        <xdr:cNvPr id="236" name="Connecteur droit avec flèche 235"/>
        <xdr:cNvCxnSpPr/>
      </xdr:nvCxnSpPr>
      <xdr:spPr>
        <a:xfrm flipV="1">
          <a:off x="12647083" y="101600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592666</xdr:colOff>
      <xdr:row>15</xdr:row>
      <xdr:rowOff>103718</xdr:rowOff>
    </xdr:from>
    <xdr:to>
      <xdr:col>13</xdr:col>
      <xdr:colOff>730250</xdr:colOff>
      <xdr:row>15</xdr:row>
      <xdr:rowOff>116417</xdr:rowOff>
    </xdr:to>
    <xdr:cxnSp macro="">
      <xdr:nvCxnSpPr>
        <xdr:cNvPr id="241" name="Connecteur droit avec flèche 240"/>
        <xdr:cNvCxnSpPr/>
      </xdr:nvCxnSpPr>
      <xdr:spPr>
        <a:xfrm>
          <a:off x="12604749" y="143721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476251</xdr:colOff>
      <xdr:row>17</xdr:row>
      <xdr:rowOff>105833</xdr:rowOff>
    </xdr:from>
    <xdr:to>
      <xdr:col>13</xdr:col>
      <xdr:colOff>730251</xdr:colOff>
      <xdr:row>19</xdr:row>
      <xdr:rowOff>105831</xdr:rowOff>
    </xdr:to>
    <xdr:cxnSp macro="">
      <xdr:nvCxnSpPr>
        <xdr:cNvPr id="243" name="Connecteur droit avec flèche 242"/>
        <xdr:cNvCxnSpPr/>
      </xdr:nvCxnSpPr>
      <xdr:spPr>
        <a:xfrm flipV="1">
          <a:off x="12488334" y="182033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22</xdr:row>
      <xdr:rowOff>95249</xdr:rowOff>
    </xdr:from>
    <xdr:to>
      <xdr:col>13</xdr:col>
      <xdr:colOff>719668</xdr:colOff>
      <xdr:row>22</xdr:row>
      <xdr:rowOff>105834</xdr:rowOff>
    </xdr:to>
    <xdr:cxnSp macro="">
      <xdr:nvCxnSpPr>
        <xdr:cNvPr id="248" name="Connecteur droit avec flèche 247"/>
        <xdr:cNvCxnSpPr/>
      </xdr:nvCxnSpPr>
      <xdr:spPr>
        <a:xfrm>
          <a:off x="12615334" y="276224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677335</xdr:colOff>
      <xdr:row>20</xdr:row>
      <xdr:rowOff>84666</xdr:rowOff>
    </xdr:from>
    <xdr:to>
      <xdr:col>13</xdr:col>
      <xdr:colOff>740835</xdr:colOff>
      <xdr:row>20</xdr:row>
      <xdr:rowOff>95251</xdr:rowOff>
    </xdr:to>
    <xdr:cxnSp macro="">
      <xdr:nvCxnSpPr>
        <xdr:cNvPr id="252" name="Connecteur droit avec flèche 251"/>
        <xdr:cNvCxnSpPr/>
      </xdr:nvCxnSpPr>
      <xdr:spPr>
        <a:xfrm>
          <a:off x="12689418" y="237066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529168</xdr:colOff>
      <xdr:row>19</xdr:row>
      <xdr:rowOff>74083</xdr:rowOff>
    </xdr:from>
    <xdr:to>
      <xdr:col>13</xdr:col>
      <xdr:colOff>698501</xdr:colOff>
      <xdr:row>19</xdr:row>
      <xdr:rowOff>95251</xdr:rowOff>
    </xdr:to>
    <xdr:cxnSp macro="">
      <xdr:nvCxnSpPr>
        <xdr:cNvPr id="255" name="Connecteur droit avec flèche 254"/>
        <xdr:cNvCxnSpPr/>
      </xdr:nvCxnSpPr>
      <xdr:spPr>
        <a:xfrm>
          <a:off x="12541251" y="216958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21</xdr:row>
      <xdr:rowOff>137582</xdr:rowOff>
    </xdr:from>
    <xdr:to>
      <xdr:col>13</xdr:col>
      <xdr:colOff>751418</xdr:colOff>
      <xdr:row>22</xdr:row>
      <xdr:rowOff>95249</xdr:rowOff>
    </xdr:to>
    <xdr:cxnSp macro="">
      <xdr:nvCxnSpPr>
        <xdr:cNvPr id="223" name="Connecteur droit avec flèche 222"/>
        <xdr:cNvCxnSpPr/>
      </xdr:nvCxnSpPr>
      <xdr:spPr>
        <a:xfrm flipV="1">
          <a:off x="12615334" y="261408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709084</xdr:colOff>
      <xdr:row>13</xdr:row>
      <xdr:rowOff>63499</xdr:rowOff>
    </xdr:from>
    <xdr:to>
      <xdr:col>16</xdr:col>
      <xdr:colOff>74085</xdr:colOff>
      <xdr:row>13</xdr:row>
      <xdr:rowOff>76199</xdr:rowOff>
    </xdr:to>
    <xdr:cxnSp macro="">
      <xdr:nvCxnSpPr>
        <xdr:cNvPr id="239" name="Connecteur droit avec flèche 238"/>
        <xdr:cNvCxnSpPr/>
      </xdr:nvCxnSpPr>
      <xdr:spPr>
        <a:xfrm>
          <a:off x="14245167" y="101599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677334</xdr:colOff>
      <xdr:row>17</xdr:row>
      <xdr:rowOff>95249</xdr:rowOff>
    </xdr:from>
    <xdr:to>
      <xdr:col>16</xdr:col>
      <xdr:colOff>21168</xdr:colOff>
      <xdr:row>17</xdr:row>
      <xdr:rowOff>97366</xdr:rowOff>
    </xdr:to>
    <xdr:cxnSp macro="">
      <xdr:nvCxnSpPr>
        <xdr:cNvPr id="250" name="Connecteur droit avec flèche 249"/>
        <xdr:cNvCxnSpPr/>
      </xdr:nvCxnSpPr>
      <xdr:spPr>
        <a:xfrm>
          <a:off x="14213417" y="1809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15</xdr:row>
      <xdr:rowOff>95249</xdr:rowOff>
    </xdr:from>
    <xdr:to>
      <xdr:col>16</xdr:col>
      <xdr:colOff>95252</xdr:colOff>
      <xdr:row>15</xdr:row>
      <xdr:rowOff>97366</xdr:rowOff>
    </xdr:to>
    <xdr:cxnSp macro="">
      <xdr:nvCxnSpPr>
        <xdr:cNvPr id="269" name="Connecteur droit avec flèche 268"/>
        <xdr:cNvCxnSpPr/>
      </xdr:nvCxnSpPr>
      <xdr:spPr>
        <a:xfrm>
          <a:off x="14287501" y="1428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740834</xdr:colOff>
      <xdr:row>19</xdr:row>
      <xdr:rowOff>84666</xdr:rowOff>
    </xdr:from>
    <xdr:to>
      <xdr:col>16</xdr:col>
      <xdr:colOff>84668</xdr:colOff>
      <xdr:row>19</xdr:row>
      <xdr:rowOff>86783</xdr:rowOff>
    </xdr:to>
    <xdr:cxnSp macro="">
      <xdr:nvCxnSpPr>
        <xdr:cNvPr id="270" name="Connecteur droit avec flèche 269"/>
        <xdr:cNvCxnSpPr/>
      </xdr:nvCxnSpPr>
      <xdr:spPr>
        <a:xfrm>
          <a:off x="14276917" y="2180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687917</xdr:colOff>
      <xdr:row>21</xdr:row>
      <xdr:rowOff>84666</xdr:rowOff>
    </xdr:from>
    <xdr:to>
      <xdr:col>16</xdr:col>
      <xdr:colOff>31751</xdr:colOff>
      <xdr:row>21</xdr:row>
      <xdr:rowOff>86783</xdr:rowOff>
    </xdr:to>
    <xdr:cxnSp macro="">
      <xdr:nvCxnSpPr>
        <xdr:cNvPr id="271" name="Connecteur droit avec flèche 270"/>
        <xdr:cNvCxnSpPr/>
      </xdr:nvCxnSpPr>
      <xdr:spPr>
        <a:xfrm>
          <a:off x="14224000" y="2561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677335</xdr:colOff>
      <xdr:row>22</xdr:row>
      <xdr:rowOff>95249</xdr:rowOff>
    </xdr:from>
    <xdr:to>
      <xdr:col>16</xdr:col>
      <xdr:colOff>21169</xdr:colOff>
      <xdr:row>22</xdr:row>
      <xdr:rowOff>97366</xdr:rowOff>
    </xdr:to>
    <xdr:cxnSp macro="">
      <xdr:nvCxnSpPr>
        <xdr:cNvPr id="272" name="Connecteur droit avec flèche 271"/>
        <xdr:cNvCxnSpPr/>
      </xdr:nvCxnSpPr>
      <xdr:spPr>
        <a:xfrm>
          <a:off x="14213418" y="2762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645584</xdr:colOff>
      <xdr:row>20</xdr:row>
      <xdr:rowOff>95250</xdr:rowOff>
    </xdr:from>
    <xdr:to>
      <xdr:col>15</xdr:col>
      <xdr:colOff>751418</xdr:colOff>
      <xdr:row>20</xdr:row>
      <xdr:rowOff>97367</xdr:rowOff>
    </xdr:to>
    <xdr:cxnSp macro="">
      <xdr:nvCxnSpPr>
        <xdr:cNvPr id="273" name="Connecteur droit avec flèche 272"/>
        <xdr:cNvCxnSpPr/>
      </xdr:nvCxnSpPr>
      <xdr:spPr>
        <a:xfrm>
          <a:off x="14181667" y="23812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698500</xdr:colOff>
      <xdr:row>12</xdr:row>
      <xdr:rowOff>84666</xdr:rowOff>
    </xdr:from>
    <xdr:to>
      <xdr:col>16</xdr:col>
      <xdr:colOff>52918</xdr:colOff>
      <xdr:row>13</xdr:row>
      <xdr:rowOff>52917</xdr:rowOff>
    </xdr:to>
    <xdr:cxnSp macro="">
      <xdr:nvCxnSpPr>
        <xdr:cNvPr id="274" name="Connecteur droit avec flèche 273"/>
        <xdr:cNvCxnSpPr/>
      </xdr:nvCxnSpPr>
      <xdr:spPr>
        <a:xfrm flipV="1">
          <a:off x="14234583" y="84666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14</xdr:row>
      <xdr:rowOff>105833</xdr:rowOff>
    </xdr:from>
    <xdr:to>
      <xdr:col>16</xdr:col>
      <xdr:colOff>95251</xdr:colOff>
      <xdr:row>15</xdr:row>
      <xdr:rowOff>74084</xdr:rowOff>
    </xdr:to>
    <xdr:cxnSp macro="">
      <xdr:nvCxnSpPr>
        <xdr:cNvPr id="282" name="Connecteur droit avec flèche 281"/>
        <xdr:cNvCxnSpPr/>
      </xdr:nvCxnSpPr>
      <xdr:spPr>
        <a:xfrm flipV="1">
          <a:off x="14287501" y="124883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666751</xdr:colOff>
      <xdr:row>16</xdr:row>
      <xdr:rowOff>105833</xdr:rowOff>
    </xdr:from>
    <xdr:to>
      <xdr:col>16</xdr:col>
      <xdr:colOff>42334</xdr:colOff>
      <xdr:row>17</xdr:row>
      <xdr:rowOff>74084</xdr:rowOff>
    </xdr:to>
    <xdr:cxnSp macro="">
      <xdr:nvCxnSpPr>
        <xdr:cNvPr id="283" name="Connecteur droit avec flèche 282"/>
        <xdr:cNvCxnSpPr/>
      </xdr:nvCxnSpPr>
      <xdr:spPr>
        <a:xfrm flipV="1">
          <a:off x="14202834" y="162983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719667</xdr:colOff>
      <xdr:row>18</xdr:row>
      <xdr:rowOff>105833</xdr:rowOff>
    </xdr:from>
    <xdr:to>
      <xdr:col>16</xdr:col>
      <xdr:colOff>116418</xdr:colOff>
      <xdr:row>19</xdr:row>
      <xdr:rowOff>63501</xdr:rowOff>
    </xdr:to>
    <xdr:cxnSp macro="">
      <xdr:nvCxnSpPr>
        <xdr:cNvPr id="293" name="Connecteur droit avec flèche 292"/>
        <xdr:cNvCxnSpPr/>
      </xdr:nvCxnSpPr>
      <xdr:spPr>
        <a:xfrm flipV="1">
          <a:off x="14255750" y="201083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39</xdr:row>
      <xdr:rowOff>99786</xdr:rowOff>
    </xdr:from>
    <xdr:to>
      <xdr:col>12</xdr:col>
      <xdr:colOff>339272</xdr:colOff>
      <xdr:row>46</xdr:row>
      <xdr:rowOff>97670</xdr:rowOff>
    </xdr:to>
    <xdr:cxnSp macro="">
      <xdr:nvCxnSpPr>
        <xdr:cNvPr id="309" name="Connecteur droit avec flèche 308"/>
        <xdr:cNvCxnSpPr/>
      </xdr:nvCxnSpPr>
      <xdr:spPr>
        <a:xfrm flipV="1">
          <a:off x="10273393" y="3719286"/>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43</xdr:row>
      <xdr:rowOff>68036</xdr:rowOff>
    </xdr:from>
    <xdr:to>
      <xdr:col>12</xdr:col>
      <xdr:colOff>169939</xdr:colOff>
      <xdr:row>46</xdr:row>
      <xdr:rowOff>97670</xdr:rowOff>
    </xdr:to>
    <xdr:cxnSp macro="">
      <xdr:nvCxnSpPr>
        <xdr:cNvPr id="310" name="Connecteur droit avec flèche 309"/>
        <xdr:cNvCxnSpPr/>
      </xdr:nvCxnSpPr>
      <xdr:spPr>
        <a:xfrm flipV="1">
          <a:off x="10275510" y="4449536"/>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44</xdr:row>
      <xdr:rowOff>78619</xdr:rowOff>
    </xdr:from>
    <xdr:to>
      <xdr:col>12</xdr:col>
      <xdr:colOff>307522</xdr:colOff>
      <xdr:row>46</xdr:row>
      <xdr:rowOff>131536</xdr:rowOff>
    </xdr:to>
    <xdr:cxnSp macro="">
      <xdr:nvCxnSpPr>
        <xdr:cNvPr id="311" name="Connecteur droit avec flèche 310"/>
        <xdr:cNvCxnSpPr/>
      </xdr:nvCxnSpPr>
      <xdr:spPr>
        <a:xfrm flipV="1">
          <a:off x="10307260" y="4650619"/>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46</xdr:row>
      <xdr:rowOff>89202</xdr:rowOff>
    </xdr:from>
    <xdr:to>
      <xdr:col>12</xdr:col>
      <xdr:colOff>201689</xdr:colOff>
      <xdr:row>46</xdr:row>
      <xdr:rowOff>120952</xdr:rowOff>
    </xdr:to>
    <xdr:cxnSp macro="">
      <xdr:nvCxnSpPr>
        <xdr:cNvPr id="313" name="Connecteur droit avec flèche 312"/>
        <xdr:cNvCxnSpPr/>
      </xdr:nvCxnSpPr>
      <xdr:spPr>
        <a:xfrm flipV="1">
          <a:off x="10317843" y="5042202"/>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37</xdr:row>
      <xdr:rowOff>46870</xdr:rowOff>
    </xdr:from>
    <xdr:to>
      <xdr:col>14</xdr:col>
      <xdr:colOff>172055</xdr:colOff>
      <xdr:row>39</xdr:row>
      <xdr:rowOff>89202</xdr:rowOff>
    </xdr:to>
    <xdr:cxnSp macro="">
      <xdr:nvCxnSpPr>
        <xdr:cNvPr id="314" name="Connecteur droit avec flèche 313"/>
        <xdr:cNvCxnSpPr/>
      </xdr:nvCxnSpPr>
      <xdr:spPr>
        <a:xfrm flipV="1">
          <a:off x="12005129" y="3285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39</xdr:row>
      <xdr:rowOff>87087</xdr:rowOff>
    </xdr:from>
    <xdr:to>
      <xdr:col>14</xdr:col>
      <xdr:colOff>85272</xdr:colOff>
      <xdr:row>39</xdr:row>
      <xdr:rowOff>99786</xdr:rowOff>
    </xdr:to>
    <xdr:cxnSp macro="">
      <xdr:nvCxnSpPr>
        <xdr:cNvPr id="315" name="Connecteur droit avec flèche 314"/>
        <xdr:cNvCxnSpPr/>
      </xdr:nvCxnSpPr>
      <xdr:spPr>
        <a:xfrm>
          <a:off x="11962795" y="3706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41</xdr:row>
      <xdr:rowOff>89202</xdr:rowOff>
    </xdr:from>
    <xdr:to>
      <xdr:col>14</xdr:col>
      <xdr:colOff>85273</xdr:colOff>
      <xdr:row>43</xdr:row>
      <xdr:rowOff>89200</xdr:rowOff>
    </xdr:to>
    <xdr:cxnSp macro="">
      <xdr:nvCxnSpPr>
        <xdr:cNvPr id="316" name="Connecteur droit avec flèche 315"/>
        <xdr:cNvCxnSpPr/>
      </xdr:nvCxnSpPr>
      <xdr:spPr>
        <a:xfrm flipV="1">
          <a:off x="11846380" y="4089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46</xdr:row>
      <xdr:rowOff>78618</xdr:rowOff>
    </xdr:from>
    <xdr:to>
      <xdr:col>14</xdr:col>
      <xdr:colOff>74690</xdr:colOff>
      <xdr:row>46</xdr:row>
      <xdr:rowOff>89203</xdr:rowOff>
    </xdr:to>
    <xdr:cxnSp macro="">
      <xdr:nvCxnSpPr>
        <xdr:cNvPr id="317" name="Connecteur droit avec flèche 316"/>
        <xdr:cNvCxnSpPr/>
      </xdr:nvCxnSpPr>
      <xdr:spPr>
        <a:xfrm>
          <a:off x="11973380" y="5031618"/>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44</xdr:row>
      <xdr:rowOff>68035</xdr:rowOff>
    </xdr:from>
    <xdr:to>
      <xdr:col>14</xdr:col>
      <xdr:colOff>95857</xdr:colOff>
      <xdr:row>44</xdr:row>
      <xdr:rowOff>78620</xdr:rowOff>
    </xdr:to>
    <xdr:cxnSp macro="">
      <xdr:nvCxnSpPr>
        <xdr:cNvPr id="319" name="Connecteur droit avec flèche 318"/>
        <xdr:cNvCxnSpPr/>
      </xdr:nvCxnSpPr>
      <xdr:spPr>
        <a:xfrm>
          <a:off x="12047464" y="4640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43</xdr:row>
      <xdr:rowOff>57452</xdr:rowOff>
    </xdr:from>
    <xdr:to>
      <xdr:col>14</xdr:col>
      <xdr:colOff>53523</xdr:colOff>
      <xdr:row>43</xdr:row>
      <xdr:rowOff>78620</xdr:rowOff>
    </xdr:to>
    <xdr:cxnSp macro="">
      <xdr:nvCxnSpPr>
        <xdr:cNvPr id="320" name="Connecteur droit avec flèche 319"/>
        <xdr:cNvCxnSpPr/>
      </xdr:nvCxnSpPr>
      <xdr:spPr>
        <a:xfrm>
          <a:off x="11899297" y="4438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45</xdr:row>
      <xdr:rowOff>120951</xdr:rowOff>
    </xdr:from>
    <xdr:to>
      <xdr:col>14</xdr:col>
      <xdr:colOff>106440</xdr:colOff>
      <xdr:row>46</xdr:row>
      <xdr:rowOff>78618</xdr:rowOff>
    </xdr:to>
    <xdr:cxnSp macro="">
      <xdr:nvCxnSpPr>
        <xdr:cNvPr id="321" name="Connecteur droit avec flèche 320"/>
        <xdr:cNvCxnSpPr/>
      </xdr:nvCxnSpPr>
      <xdr:spPr>
        <a:xfrm flipV="1">
          <a:off x="11973380" y="4883451"/>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37</xdr:row>
      <xdr:rowOff>46868</xdr:rowOff>
    </xdr:from>
    <xdr:to>
      <xdr:col>16</xdr:col>
      <xdr:colOff>191107</xdr:colOff>
      <xdr:row>37</xdr:row>
      <xdr:rowOff>59568</xdr:rowOff>
    </xdr:to>
    <xdr:cxnSp macro="">
      <xdr:nvCxnSpPr>
        <xdr:cNvPr id="339" name="Connecteur droit avec flèche 338"/>
        <xdr:cNvCxnSpPr/>
      </xdr:nvCxnSpPr>
      <xdr:spPr>
        <a:xfrm>
          <a:off x="13603213" y="328536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41</xdr:row>
      <xdr:rowOff>78618</xdr:rowOff>
    </xdr:from>
    <xdr:to>
      <xdr:col>16</xdr:col>
      <xdr:colOff>138190</xdr:colOff>
      <xdr:row>41</xdr:row>
      <xdr:rowOff>80735</xdr:rowOff>
    </xdr:to>
    <xdr:cxnSp macro="">
      <xdr:nvCxnSpPr>
        <xdr:cNvPr id="340" name="Connecteur droit avec flèche 339"/>
        <xdr:cNvCxnSpPr/>
      </xdr:nvCxnSpPr>
      <xdr:spPr>
        <a:xfrm>
          <a:off x="13571463" y="4079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39</xdr:row>
      <xdr:rowOff>78618</xdr:rowOff>
    </xdr:from>
    <xdr:to>
      <xdr:col>16</xdr:col>
      <xdr:colOff>212274</xdr:colOff>
      <xdr:row>39</xdr:row>
      <xdr:rowOff>80735</xdr:rowOff>
    </xdr:to>
    <xdr:cxnSp macro="">
      <xdr:nvCxnSpPr>
        <xdr:cNvPr id="341" name="Connecteur droit avec flèche 340"/>
        <xdr:cNvCxnSpPr/>
      </xdr:nvCxnSpPr>
      <xdr:spPr>
        <a:xfrm>
          <a:off x="13645547" y="3698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43</xdr:row>
      <xdr:rowOff>68035</xdr:rowOff>
    </xdr:from>
    <xdr:to>
      <xdr:col>16</xdr:col>
      <xdr:colOff>201690</xdr:colOff>
      <xdr:row>43</xdr:row>
      <xdr:rowOff>70152</xdr:rowOff>
    </xdr:to>
    <xdr:cxnSp macro="">
      <xdr:nvCxnSpPr>
        <xdr:cNvPr id="342" name="Connecteur droit avec flèche 341"/>
        <xdr:cNvCxnSpPr/>
      </xdr:nvCxnSpPr>
      <xdr:spPr>
        <a:xfrm>
          <a:off x="13634963" y="4449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45</xdr:row>
      <xdr:rowOff>68035</xdr:rowOff>
    </xdr:from>
    <xdr:to>
      <xdr:col>16</xdr:col>
      <xdr:colOff>148773</xdr:colOff>
      <xdr:row>45</xdr:row>
      <xdr:rowOff>70152</xdr:rowOff>
    </xdr:to>
    <xdr:cxnSp macro="">
      <xdr:nvCxnSpPr>
        <xdr:cNvPr id="343" name="Connecteur droit avec flèche 342"/>
        <xdr:cNvCxnSpPr/>
      </xdr:nvCxnSpPr>
      <xdr:spPr>
        <a:xfrm>
          <a:off x="13582046" y="4830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46</xdr:row>
      <xdr:rowOff>78618</xdr:rowOff>
    </xdr:from>
    <xdr:to>
      <xdr:col>16</xdr:col>
      <xdr:colOff>138191</xdr:colOff>
      <xdr:row>46</xdr:row>
      <xdr:rowOff>80735</xdr:rowOff>
    </xdr:to>
    <xdr:cxnSp macro="">
      <xdr:nvCxnSpPr>
        <xdr:cNvPr id="344" name="Connecteur droit avec flèche 343"/>
        <xdr:cNvCxnSpPr/>
      </xdr:nvCxnSpPr>
      <xdr:spPr>
        <a:xfrm>
          <a:off x="13571464" y="50316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44</xdr:row>
      <xdr:rowOff>78619</xdr:rowOff>
    </xdr:from>
    <xdr:to>
      <xdr:col>16</xdr:col>
      <xdr:colOff>106440</xdr:colOff>
      <xdr:row>44</xdr:row>
      <xdr:rowOff>80736</xdr:rowOff>
    </xdr:to>
    <xdr:cxnSp macro="">
      <xdr:nvCxnSpPr>
        <xdr:cNvPr id="345" name="Connecteur droit avec flèche 344"/>
        <xdr:cNvCxnSpPr/>
      </xdr:nvCxnSpPr>
      <xdr:spPr>
        <a:xfrm>
          <a:off x="13539713" y="4650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36</xdr:row>
      <xdr:rowOff>68035</xdr:rowOff>
    </xdr:from>
    <xdr:to>
      <xdr:col>16</xdr:col>
      <xdr:colOff>169940</xdr:colOff>
      <xdr:row>37</xdr:row>
      <xdr:rowOff>36286</xdr:rowOff>
    </xdr:to>
    <xdr:cxnSp macro="">
      <xdr:nvCxnSpPr>
        <xdr:cNvPr id="346" name="Connecteur droit avec flèche 345"/>
        <xdr:cNvCxnSpPr/>
      </xdr:nvCxnSpPr>
      <xdr:spPr>
        <a:xfrm flipV="1">
          <a:off x="13592629" y="311603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38</xdr:row>
      <xdr:rowOff>89202</xdr:rowOff>
    </xdr:from>
    <xdr:to>
      <xdr:col>16</xdr:col>
      <xdr:colOff>212273</xdr:colOff>
      <xdr:row>39</xdr:row>
      <xdr:rowOff>57453</xdr:rowOff>
    </xdr:to>
    <xdr:cxnSp macro="">
      <xdr:nvCxnSpPr>
        <xdr:cNvPr id="347" name="Connecteur droit avec flèche 346"/>
        <xdr:cNvCxnSpPr/>
      </xdr:nvCxnSpPr>
      <xdr:spPr>
        <a:xfrm flipV="1">
          <a:off x="13645547" y="351820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40</xdr:row>
      <xdr:rowOff>89202</xdr:rowOff>
    </xdr:from>
    <xdr:to>
      <xdr:col>16</xdr:col>
      <xdr:colOff>159356</xdr:colOff>
      <xdr:row>41</xdr:row>
      <xdr:rowOff>57453</xdr:rowOff>
    </xdr:to>
    <xdr:cxnSp macro="">
      <xdr:nvCxnSpPr>
        <xdr:cNvPr id="348" name="Connecteur droit avec flèche 347"/>
        <xdr:cNvCxnSpPr/>
      </xdr:nvCxnSpPr>
      <xdr:spPr>
        <a:xfrm flipV="1">
          <a:off x="13560880" y="389920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42</xdr:row>
      <xdr:rowOff>89202</xdr:rowOff>
    </xdr:from>
    <xdr:to>
      <xdr:col>16</xdr:col>
      <xdr:colOff>233440</xdr:colOff>
      <xdr:row>43</xdr:row>
      <xdr:rowOff>46870</xdr:rowOff>
    </xdr:to>
    <xdr:cxnSp macro="">
      <xdr:nvCxnSpPr>
        <xdr:cNvPr id="349" name="Connecteur droit avec flèche 348"/>
        <xdr:cNvCxnSpPr/>
      </xdr:nvCxnSpPr>
      <xdr:spPr>
        <a:xfrm flipV="1">
          <a:off x="13613796" y="428020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1224643</xdr:colOff>
      <xdr:row>51</xdr:row>
      <xdr:rowOff>113394</xdr:rowOff>
    </xdr:from>
    <xdr:to>
      <xdr:col>12</xdr:col>
      <xdr:colOff>475343</xdr:colOff>
      <xdr:row>58</xdr:row>
      <xdr:rowOff>111278</xdr:rowOff>
    </xdr:to>
    <xdr:cxnSp macro="">
      <xdr:nvCxnSpPr>
        <xdr:cNvPr id="350" name="Connecteur droit avec flèche 349"/>
        <xdr:cNvCxnSpPr/>
      </xdr:nvCxnSpPr>
      <xdr:spPr>
        <a:xfrm flipV="1">
          <a:off x="10409464" y="6018894"/>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1226760</xdr:colOff>
      <xdr:row>55</xdr:row>
      <xdr:rowOff>81644</xdr:rowOff>
    </xdr:from>
    <xdr:to>
      <xdr:col>12</xdr:col>
      <xdr:colOff>306010</xdr:colOff>
      <xdr:row>58</xdr:row>
      <xdr:rowOff>111278</xdr:rowOff>
    </xdr:to>
    <xdr:cxnSp macro="">
      <xdr:nvCxnSpPr>
        <xdr:cNvPr id="351" name="Connecteur droit avec flèche 350"/>
        <xdr:cNvCxnSpPr/>
      </xdr:nvCxnSpPr>
      <xdr:spPr>
        <a:xfrm flipV="1">
          <a:off x="10411581" y="6749144"/>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1258510</xdr:colOff>
      <xdr:row>56</xdr:row>
      <xdr:rowOff>92227</xdr:rowOff>
    </xdr:from>
    <xdr:to>
      <xdr:col>12</xdr:col>
      <xdr:colOff>443593</xdr:colOff>
      <xdr:row>58</xdr:row>
      <xdr:rowOff>145144</xdr:rowOff>
    </xdr:to>
    <xdr:cxnSp macro="">
      <xdr:nvCxnSpPr>
        <xdr:cNvPr id="352" name="Connecteur droit avec flèche 351"/>
        <xdr:cNvCxnSpPr/>
      </xdr:nvCxnSpPr>
      <xdr:spPr>
        <a:xfrm flipV="1">
          <a:off x="10443331" y="6950227"/>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1269093</xdr:colOff>
      <xdr:row>58</xdr:row>
      <xdr:rowOff>102810</xdr:rowOff>
    </xdr:from>
    <xdr:to>
      <xdr:col>12</xdr:col>
      <xdr:colOff>337760</xdr:colOff>
      <xdr:row>58</xdr:row>
      <xdr:rowOff>134560</xdr:rowOff>
    </xdr:to>
    <xdr:cxnSp macro="">
      <xdr:nvCxnSpPr>
        <xdr:cNvPr id="353" name="Connecteur droit avec flèche 352"/>
        <xdr:cNvCxnSpPr/>
      </xdr:nvCxnSpPr>
      <xdr:spPr>
        <a:xfrm flipV="1">
          <a:off x="10453914" y="7341810"/>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126093</xdr:colOff>
      <xdr:row>49</xdr:row>
      <xdr:rowOff>60478</xdr:rowOff>
    </xdr:from>
    <xdr:to>
      <xdr:col>14</xdr:col>
      <xdr:colOff>308126</xdr:colOff>
      <xdr:row>51</xdr:row>
      <xdr:rowOff>102810</xdr:rowOff>
    </xdr:to>
    <xdr:cxnSp macro="">
      <xdr:nvCxnSpPr>
        <xdr:cNvPr id="354" name="Connecteur droit avec flèche 353"/>
        <xdr:cNvCxnSpPr/>
      </xdr:nvCxnSpPr>
      <xdr:spPr>
        <a:xfrm flipV="1">
          <a:off x="12141200" y="5584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83759</xdr:colOff>
      <xdr:row>51</xdr:row>
      <xdr:rowOff>100695</xdr:rowOff>
    </xdr:from>
    <xdr:to>
      <xdr:col>14</xdr:col>
      <xdr:colOff>221343</xdr:colOff>
      <xdr:row>51</xdr:row>
      <xdr:rowOff>113394</xdr:rowOff>
    </xdr:to>
    <xdr:cxnSp macro="">
      <xdr:nvCxnSpPr>
        <xdr:cNvPr id="355" name="Connecteur droit avec flèche 354"/>
        <xdr:cNvCxnSpPr/>
      </xdr:nvCxnSpPr>
      <xdr:spPr>
        <a:xfrm>
          <a:off x="12098866" y="6006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729344</xdr:colOff>
      <xdr:row>53</xdr:row>
      <xdr:rowOff>102810</xdr:rowOff>
    </xdr:from>
    <xdr:to>
      <xdr:col>14</xdr:col>
      <xdr:colOff>221344</xdr:colOff>
      <xdr:row>55</xdr:row>
      <xdr:rowOff>102808</xdr:rowOff>
    </xdr:to>
    <xdr:cxnSp macro="">
      <xdr:nvCxnSpPr>
        <xdr:cNvPr id="356" name="Connecteur droit avec flèche 355"/>
        <xdr:cNvCxnSpPr/>
      </xdr:nvCxnSpPr>
      <xdr:spPr>
        <a:xfrm flipV="1">
          <a:off x="11982451" y="6389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58</xdr:row>
      <xdr:rowOff>92226</xdr:rowOff>
    </xdr:from>
    <xdr:to>
      <xdr:col>14</xdr:col>
      <xdr:colOff>210761</xdr:colOff>
      <xdr:row>58</xdr:row>
      <xdr:rowOff>102811</xdr:rowOff>
    </xdr:to>
    <xdr:cxnSp macro="">
      <xdr:nvCxnSpPr>
        <xdr:cNvPr id="357" name="Connecteur droit avec flèche 356"/>
        <xdr:cNvCxnSpPr/>
      </xdr:nvCxnSpPr>
      <xdr:spPr>
        <a:xfrm>
          <a:off x="12109451" y="7331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168428</xdr:colOff>
      <xdr:row>56</xdr:row>
      <xdr:rowOff>81643</xdr:rowOff>
    </xdr:from>
    <xdr:to>
      <xdr:col>14</xdr:col>
      <xdr:colOff>231928</xdr:colOff>
      <xdr:row>56</xdr:row>
      <xdr:rowOff>92228</xdr:rowOff>
    </xdr:to>
    <xdr:cxnSp macro="">
      <xdr:nvCxnSpPr>
        <xdr:cNvPr id="358" name="Connecteur droit avec flèche 357"/>
        <xdr:cNvCxnSpPr/>
      </xdr:nvCxnSpPr>
      <xdr:spPr>
        <a:xfrm>
          <a:off x="12183535" y="6939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20261</xdr:colOff>
      <xdr:row>55</xdr:row>
      <xdr:rowOff>71060</xdr:rowOff>
    </xdr:from>
    <xdr:to>
      <xdr:col>14</xdr:col>
      <xdr:colOff>189594</xdr:colOff>
      <xdr:row>55</xdr:row>
      <xdr:rowOff>92228</xdr:rowOff>
    </xdr:to>
    <xdr:cxnSp macro="">
      <xdr:nvCxnSpPr>
        <xdr:cNvPr id="359" name="Connecteur droit avec flèche 358"/>
        <xdr:cNvCxnSpPr/>
      </xdr:nvCxnSpPr>
      <xdr:spPr>
        <a:xfrm>
          <a:off x="12035368" y="6738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57</xdr:row>
      <xdr:rowOff>134559</xdr:rowOff>
    </xdr:from>
    <xdr:to>
      <xdr:col>14</xdr:col>
      <xdr:colOff>242511</xdr:colOff>
      <xdr:row>58</xdr:row>
      <xdr:rowOff>92226</xdr:rowOff>
    </xdr:to>
    <xdr:cxnSp macro="">
      <xdr:nvCxnSpPr>
        <xdr:cNvPr id="360" name="Connecteur droit avec flèche 359"/>
        <xdr:cNvCxnSpPr/>
      </xdr:nvCxnSpPr>
      <xdr:spPr>
        <a:xfrm flipV="1">
          <a:off x="12109451" y="7183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200177</xdr:colOff>
      <xdr:row>49</xdr:row>
      <xdr:rowOff>60476</xdr:rowOff>
    </xdr:from>
    <xdr:to>
      <xdr:col>16</xdr:col>
      <xdr:colOff>327178</xdr:colOff>
      <xdr:row>49</xdr:row>
      <xdr:rowOff>73176</xdr:rowOff>
    </xdr:to>
    <xdr:cxnSp macro="">
      <xdr:nvCxnSpPr>
        <xdr:cNvPr id="361" name="Connecteur droit avec flèche 360"/>
        <xdr:cNvCxnSpPr/>
      </xdr:nvCxnSpPr>
      <xdr:spPr>
        <a:xfrm>
          <a:off x="13739284" y="5584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168427</xdr:colOff>
      <xdr:row>53</xdr:row>
      <xdr:rowOff>92226</xdr:rowOff>
    </xdr:from>
    <xdr:to>
      <xdr:col>16</xdr:col>
      <xdr:colOff>274261</xdr:colOff>
      <xdr:row>53</xdr:row>
      <xdr:rowOff>94343</xdr:rowOff>
    </xdr:to>
    <xdr:cxnSp macro="">
      <xdr:nvCxnSpPr>
        <xdr:cNvPr id="362" name="Connecteur droit avec flèche 361"/>
        <xdr:cNvCxnSpPr/>
      </xdr:nvCxnSpPr>
      <xdr:spPr>
        <a:xfrm>
          <a:off x="13707534" y="6378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51</xdr:row>
      <xdr:rowOff>92226</xdr:rowOff>
    </xdr:from>
    <xdr:to>
      <xdr:col>16</xdr:col>
      <xdr:colOff>348345</xdr:colOff>
      <xdr:row>51</xdr:row>
      <xdr:rowOff>94343</xdr:rowOff>
    </xdr:to>
    <xdr:cxnSp macro="">
      <xdr:nvCxnSpPr>
        <xdr:cNvPr id="363" name="Connecteur droit avec flèche 362"/>
        <xdr:cNvCxnSpPr/>
      </xdr:nvCxnSpPr>
      <xdr:spPr>
        <a:xfrm>
          <a:off x="13781618" y="5997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231927</xdr:colOff>
      <xdr:row>55</xdr:row>
      <xdr:rowOff>81643</xdr:rowOff>
    </xdr:from>
    <xdr:to>
      <xdr:col>16</xdr:col>
      <xdr:colOff>337761</xdr:colOff>
      <xdr:row>55</xdr:row>
      <xdr:rowOff>83760</xdr:rowOff>
    </xdr:to>
    <xdr:cxnSp macro="">
      <xdr:nvCxnSpPr>
        <xdr:cNvPr id="364" name="Connecteur droit avec flèche 363"/>
        <xdr:cNvCxnSpPr/>
      </xdr:nvCxnSpPr>
      <xdr:spPr>
        <a:xfrm>
          <a:off x="13771034" y="6749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179010</xdr:colOff>
      <xdr:row>57</xdr:row>
      <xdr:rowOff>81643</xdr:rowOff>
    </xdr:from>
    <xdr:to>
      <xdr:col>16</xdr:col>
      <xdr:colOff>284844</xdr:colOff>
      <xdr:row>57</xdr:row>
      <xdr:rowOff>83760</xdr:rowOff>
    </xdr:to>
    <xdr:cxnSp macro="">
      <xdr:nvCxnSpPr>
        <xdr:cNvPr id="365" name="Connecteur droit avec flèche 364"/>
        <xdr:cNvCxnSpPr/>
      </xdr:nvCxnSpPr>
      <xdr:spPr>
        <a:xfrm>
          <a:off x="13718117" y="7130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168428</xdr:colOff>
      <xdr:row>58</xdr:row>
      <xdr:rowOff>92226</xdr:rowOff>
    </xdr:from>
    <xdr:to>
      <xdr:col>16</xdr:col>
      <xdr:colOff>274262</xdr:colOff>
      <xdr:row>58</xdr:row>
      <xdr:rowOff>94343</xdr:rowOff>
    </xdr:to>
    <xdr:cxnSp macro="">
      <xdr:nvCxnSpPr>
        <xdr:cNvPr id="366" name="Connecteur droit avec flèche 365"/>
        <xdr:cNvCxnSpPr/>
      </xdr:nvCxnSpPr>
      <xdr:spPr>
        <a:xfrm>
          <a:off x="13707535" y="7331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56</xdr:row>
      <xdr:rowOff>92227</xdr:rowOff>
    </xdr:from>
    <xdr:to>
      <xdr:col>16</xdr:col>
      <xdr:colOff>242511</xdr:colOff>
      <xdr:row>56</xdr:row>
      <xdr:rowOff>94344</xdr:rowOff>
    </xdr:to>
    <xdr:cxnSp macro="">
      <xdr:nvCxnSpPr>
        <xdr:cNvPr id="367" name="Connecteur droit avec flèche 366"/>
        <xdr:cNvCxnSpPr/>
      </xdr:nvCxnSpPr>
      <xdr:spPr>
        <a:xfrm>
          <a:off x="13675784" y="6950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189593</xdr:colOff>
      <xdr:row>48</xdr:row>
      <xdr:rowOff>81643</xdr:rowOff>
    </xdr:from>
    <xdr:to>
      <xdr:col>16</xdr:col>
      <xdr:colOff>306011</xdr:colOff>
      <xdr:row>49</xdr:row>
      <xdr:rowOff>49894</xdr:rowOff>
    </xdr:to>
    <xdr:cxnSp macro="">
      <xdr:nvCxnSpPr>
        <xdr:cNvPr id="368" name="Connecteur droit avec flèche 367"/>
        <xdr:cNvCxnSpPr/>
      </xdr:nvCxnSpPr>
      <xdr:spPr>
        <a:xfrm flipV="1">
          <a:off x="13728700" y="5415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50</xdr:row>
      <xdr:rowOff>102810</xdr:rowOff>
    </xdr:from>
    <xdr:to>
      <xdr:col>16</xdr:col>
      <xdr:colOff>348344</xdr:colOff>
      <xdr:row>51</xdr:row>
      <xdr:rowOff>71061</xdr:rowOff>
    </xdr:to>
    <xdr:cxnSp macro="">
      <xdr:nvCxnSpPr>
        <xdr:cNvPr id="369" name="Connecteur droit avec flèche 368"/>
        <xdr:cNvCxnSpPr/>
      </xdr:nvCxnSpPr>
      <xdr:spPr>
        <a:xfrm flipV="1">
          <a:off x="13781618" y="5817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157844</xdr:colOff>
      <xdr:row>52</xdr:row>
      <xdr:rowOff>102810</xdr:rowOff>
    </xdr:from>
    <xdr:to>
      <xdr:col>16</xdr:col>
      <xdr:colOff>295427</xdr:colOff>
      <xdr:row>53</xdr:row>
      <xdr:rowOff>71061</xdr:rowOff>
    </xdr:to>
    <xdr:cxnSp macro="">
      <xdr:nvCxnSpPr>
        <xdr:cNvPr id="370" name="Connecteur droit avec flèche 369"/>
        <xdr:cNvCxnSpPr/>
      </xdr:nvCxnSpPr>
      <xdr:spPr>
        <a:xfrm flipV="1">
          <a:off x="13696951" y="6198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210760</xdr:colOff>
      <xdr:row>54</xdr:row>
      <xdr:rowOff>102810</xdr:rowOff>
    </xdr:from>
    <xdr:to>
      <xdr:col>16</xdr:col>
      <xdr:colOff>369511</xdr:colOff>
      <xdr:row>55</xdr:row>
      <xdr:rowOff>60478</xdr:rowOff>
    </xdr:to>
    <xdr:cxnSp macro="">
      <xdr:nvCxnSpPr>
        <xdr:cNvPr id="371" name="Connecteur droit avec flèche 370"/>
        <xdr:cNvCxnSpPr/>
      </xdr:nvCxnSpPr>
      <xdr:spPr>
        <a:xfrm flipV="1">
          <a:off x="13749867" y="6579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63</xdr:row>
      <xdr:rowOff>127001</xdr:rowOff>
    </xdr:from>
    <xdr:to>
      <xdr:col>12</xdr:col>
      <xdr:colOff>352879</xdr:colOff>
      <xdr:row>70</xdr:row>
      <xdr:rowOff>124885</xdr:rowOff>
    </xdr:to>
    <xdr:cxnSp macro="">
      <xdr:nvCxnSpPr>
        <xdr:cNvPr id="372" name="Connecteur droit avec flèche 371"/>
        <xdr:cNvCxnSpPr/>
      </xdr:nvCxnSpPr>
      <xdr:spPr>
        <a:xfrm flipV="1">
          <a:off x="10287000" y="8318501"/>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1104296</xdr:colOff>
      <xdr:row>67</xdr:row>
      <xdr:rowOff>95251</xdr:rowOff>
    </xdr:from>
    <xdr:to>
      <xdr:col>12</xdr:col>
      <xdr:colOff>183546</xdr:colOff>
      <xdr:row>70</xdr:row>
      <xdr:rowOff>124885</xdr:rowOff>
    </xdr:to>
    <xdr:cxnSp macro="">
      <xdr:nvCxnSpPr>
        <xdr:cNvPr id="373" name="Connecteur droit avec flèche 372"/>
        <xdr:cNvCxnSpPr/>
      </xdr:nvCxnSpPr>
      <xdr:spPr>
        <a:xfrm flipV="1">
          <a:off x="10289117" y="9048751"/>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1136046</xdr:colOff>
      <xdr:row>68</xdr:row>
      <xdr:rowOff>105834</xdr:rowOff>
    </xdr:from>
    <xdr:to>
      <xdr:col>12</xdr:col>
      <xdr:colOff>321129</xdr:colOff>
      <xdr:row>70</xdr:row>
      <xdr:rowOff>158751</xdr:rowOff>
    </xdr:to>
    <xdr:cxnSp macro="">
      <xdr:nvCxnSpPr>
        <xdr:cNvPr id="374" name="Connecteur droit avec flèche 373"/>
        <xdr:cNvCxnSpPr/>
      </xdr:nvCxnSpPr>
      <xdr:spPr>
        <a:xfrm flipV="1">
          <a:off x="10320867" y="9249834"/>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1146629</xdr:colOff>
      <xdr:row>70</xdr:row>
      <xdr:rowOff>116417</xdr:rowOff>
    </xdr:from>
    <xdr:to>
      <xdr:col>12</xdr:col>
      <xdr:colOff>215296</xdr:colOff>
      <xdr:row>70</xdr:row>
      <xdr:rowOff>148167</xdr:rowOff>
    </xdr:to>
    <xdr:cxnSp macro="">
      <xdr:nvCxnSpPr>
        <xdr:cNvPr id="375" name="Connecteur droit avec flèche 374"/>
        <xdr:cNvCxnSpPr/>
      </xdr:nvCxnSpPr>
      <xdr:spPr>
        <a:xfrm flipV="1">
          <a:off x="10331450" y="9641417"/>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3629</xdr:colOff>
      <xdr:row>61</xdr:row>
      <xdr:rowOff>74085</xdr:rowOff>
    </xdr:from>
    <xdr:to>
      <xdr:col>14</xdr:col>
      <xdr:colOff>185662</xdr:colOff>
      <xdr:row>63</xdr:row>
      <xdr:rowOff>116417</xdr:rowOff>
    </xdr:to>
    <xdr:cxnSp macro="">
      <xdr:nvCxnSpPr>
        <xdr:cNvPr id="376" name="Connecteur droit avec flèche 375"/>
        <xdr:cNvCxnSpPr/>
      </xdr:nvCxnSpPr>
      <xdr:spPr>
        <a:xfrm flipV="1">
          <a:off x="12018736" y="7884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723295</xdr:colOff>
      <xdr:row>63</xdr:row>
      <xdr:rowOff>114302</xdr:rowOff>
    </xdr:from>
    <xdr:to>
      <xdr:col>14</xdr:col>
      <xdr:colOff>98879</xdr:colOff>
      <xdr:row>63</xdr:row>
      <xdr:rowOff>127001</xdr:rowOff>
    </xdr:to>
    <xdr:cxnSp macro="">
      <xdr:nvCxnSpPr>
        <xdr:cNvPr id="377" name="Connecteur droit avec flèche 376"/>
        <xdr:cNvCxnSpPr/>
      </xdr:nvCxnSpPr>
      <xdr:spPr>
        <a:xfrm>
          <a:off x="11976402" y="8305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606880</xdr:colOff>
      <xdr:row>65</xdr:row>
      <xdr:rowOff>116417</xdr:rowOff>
    </xdr:from>
    <xdr:to>
      <xdr:col>14</xdr:col>
      <xdr:colOff>98880</xdr:colOff>
      <xdr:row>67</xdr:row>
      <xdr:rowOff>116415</xdr:rowOff>
    </xdr:to>
    <xdr:cxnSp macro="">
      <xdr:nvCxnSpPr>
        <xdr:cNvPr id="378" name="Connecteur droit avec flèche 377"/>
        <xdr:cNvCxnSpPr/>
      </xdr:nvCxnSpPr>
      <xdr:spPr>
        <a:xfrm flipV="1">
          <a:off x="11859987" y="8688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70</xdr:row>
      <xdr:rowOff>105833</xdr:rowOff>
    </xdr:from>
    <xdr:to>
      <xdr:col>14</xdr:col>
      <xdr:colOff>88297</xdr:colOff>
      <xdr:row>70</xdr:row>
      <xdr:rowOff>116418</xdr:rowOff>
    </xdr:to>
    <xdr:cxnSp macro="">
      <xdr:nvCxnSpPr>
        <xdr:cNvPr id="379" name="Connecteur droit avec flèche 378"/>
        <xdr:cNvCxnSpPr/>
      </xdr:nvCxnSpPr>
      <xdr:spPr>
        <a:xfrm>
          <a:off x="11986987" y="9630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45964</xdr:colOff>
      <xdr:row>68</xdr:row>
      <xdr:rowOff>95250</xdr:rowOff>
    </xdr:from>
    <xdr:to>
      <xdr:col>14</xdr:col>
      <xdr:colOff>109464</xdr:colOff>
      <xdr:row>68</xdr:row>
      <xdr:rowOff>105835</xdr:rowOff>
    </xdr:to>
    <xdr:cxnSp macro="">
      <xdr:nvCxnSpPr>
        <xdr:cNvPr id="380" name="Connecteur droit avec flèche 379"/>
        <xdr:cNvCxnSpPr/>
      </xdr:nvCxnSpPr>
      <xdr:spPr>
        <a:xfrm>
          <a:off x="12061071" y="9239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659797</xdr:colOff>
      <xdr:row>67</xdr:row>
      <xdr:rowOff>84667</xdr:rowOff>
    </xdr:from>
    <xdr:to>
      <xdr:col>14</xdr:col>
      <xdr:colOff>67130</xdr:colOff>
      <xdr:row>67</xdr:row>
      <xdr:rowOff>105835</xdr:rowOff>
    </xdr:to>
    <xdr:cxnSp macro="">
      <xdr:nvCxnSpPr>
        <xdr:cNvPr id="381" name="Connecteur droit avec flèche 380"/>
        <xdr:cNvCxnSpPr/>
      </xdr:nvCxnSpPr>
      <xdr:spPr>
        <a:xfrm>
          <a:off x="11912904" y="9038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69</xdr:row>
      <xdr:rowOff>148166</xdr:rowOff>
    </xdr:from>
    <xdr:to>
      <xdr:col>14</xdr:col>
      <xdr:colOff>120047</xdr:colOff>
      <xdr:row>70</xdr:row>
      <xdr:rowOff>105833</xdr:rowOff>
    </xdr:to>
    <xdr:cxnSp macro="">
      <xdr:nvCxnSpPr>
        <xdr:cNvPr id="382" name="Connecteur droit avec flèche 381"/>
        <xdr:cNvCxnSpPr/>
      </xdr:nvCxnSpPr>
      <xdr:spPr>
        <a:xfrm flipV="1">
          <a:off x="11986987" y="9482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77713</xdr:colOff>
      <xdr:row>61</xdr:row>
      <xdr:rowOff>74083</xdr:rowOff>
    </xdr:from>
    <xdr:to>
      <xdr:col>16</xdr:col>
      <xdr:colOff>204714</xdr:colOff>
      <xdr:row>61</xdr:row>
      <xdr:rowOff>86783</xdr:rowOff>
    </xdr:to>
    <xdr:cxnSp macro="">
      <xdr:nvCxnSpPr>
        <xdr:cNvPr id="383" name="Connecteur droit avec flèche 382"/>
        <xdr:cNvCxnSpPr/>
      </xdr:nvCxnSpPr>
      <xdr:spPr>
        <a:xfrm>
          <a:off x="13616820" y="7884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45963</xdr:colOff>
      <xdr:row>65</xdr:row>
      <xdr:rowOff>105833</xdr:rowOff>
    </xdr:from>
    <xdr:to>
      <xdr:col>16</xdr:col>
      <xdr:colOff>151797</xdr:colOff>
      <xdr:row>65</xdr:row>
      <xdr:rowOff>107950</xdr:rowOff>
    </xdr:to>
    <xdr:cxnSp macro="">
      <xdr:nvCxnSpPr>
        <xdr:cNvPr id="384" name="Connecteur droit avec flèche 383"/>
        <xdr:cNvCxnSpPr/>
      </xdr:nvCxnSpPr>
      <xdr:spPr>
        <a:xfrm>
          <a:off x="13585070" y="8678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63</xdr:row>
      <xdr:rowOff>105833</xdr:rowOff>
    </xdr:from>
    <xdr:to>
      <xdr:col>16</xdr:col>
      <xdr:colOff>225881</xdr:colOff>
      <xdr:row>63</xdr:row>
      <xdr:rowOff>107950</xdr:rowOff>
    </xdr:to>
    <xdr:cxnSp macro="">
      <xdr:nvCxnSpPr>
        <xdr:cNvPr id="385" name="Connecteur droit avec flèche 384"/>
        <xdr:cNvCxnSpPr/>
      </xdr:nvCxnSpPr>
      <xdr:spPr>
        <a:xfrm>
          <a:off x="13659154" y="8297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109463</xdr:colOff>
      <xdr:row>67</xdr:row>
      <xdr:rowOff>95250</xdr:rowOff>
    </xdr:from>
    <xdr:to>
      <xdr:col>16</xdr:col>
      <xdr:colOff>215297</xdr:colOff>
      <xdr:row>67</xdr:row>
      <xdr:rowOff>97367</xdr:rowOff>
    </xdr:to>
    <xdr:cxnSp macro="">
      <xdr:nvCxnSpPr>
        <xdr:cNvPr id="386" name="Connecteur droit avec flèche 385"/>
        <xdr:cNvCxnSpPr/>
      </xdr:nvCxnSpPr>
      <xdr:spPr>
        <a:xfrm>
          <a:off x="13648570" y="9048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56546</xdr:colOff>
      <xdr:row>69</xdr:row>
      <xdr:rowOff>95250</xdr:rowOff>
    </xdr:from>
    <xdr:to>
      <xdr:col>16</xdr:col>
      <xdr:colOff>162380</xdr:colOff>
      <xdr:row>69</xdr:row>
      <xdr:rowOff>97367</xdr:rowOff>
    </xdr:to>
    <xdr:cxnSp macro="">
      <xdr:nvCxnSpPr>
        <xdr:cNvPr id="387" name="Connecteur droit avec flèche 386"/>
        <xdr:cNvCxnSpPr/>
      </xdr:nvCxnSpPr>
      <xdr:spPr>
        <a:xfrm>
          <a:off x="13595653" y="9429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45964</xdr:colOff>
      <xdr:row>70</xdr:row>
      <xdr:rowOff>105833</xdr:rowOff>
    </xdr:from>
    <xdr:to>
      <xdr:col>16</xdr:col>
      <xdr:colOff>151798</xdr:colOff>
      <xdr:row>70</xdr:row>
      <xdr:rowOff>107950</xdr:rowOff>
    </xdr:to>
    <xdr:cxnSp macro="">
      <xdr:nvCxnSpPr>
        <xdr:cNvPr id="388" name="Connecteur droit avec flèche 387"/>
        <xdr:cNvCxnSpPr/>
      </xdr:nvCxnSpPr>
      <xdr:spPr>
        <a:xfrm>
          <a:off x="13585071" y="9630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14213</xdr:colOff>
      <xdr:row>68</xdr:row>
      <xdr:rowOff>105834</xdr:rowOff>
    </xdr:from>
    <xdr:to>
      <xdr:col>16</xdr:col>
      <xdr:colOff>120047</xdr:colOff>
      <xdr:row>68</xdr:row>
      <xdr:rowOff>107951</xdr:rowOff>
    </xdr:to>
    <xdr:cxnSp macro="">
      <xdr:nvCxnSpPr>
        <xdr:cNvPr id="389" name="Connecteur droit avec flèche 388"/>
        <xdr:cNvCxnSpPr/>
      </xdr:nvCxnSpPr>
      <xdr:spPr>
        <a:xfrm>
          <a:off x="13553320" y="9249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67129</xdr:colOff>
      <xdr:row>60</xdr:row>
      <xdr:rowOff>95250</xdr:rowOff>
    </xdr:from>
    <xdr:to>
      <xdr:col>16</xdr:col>
      <xdr:colOff>183547</xdr:colOff>
      <xdr:row>61</xdr:row>
      <xdr:rowOff>63501</xdr:rowOff>
    </xdr:to>
    <xdr:cxnSp macro="">
      <xdr:nvCxnSpPr>
        <xdr:cNvPr id="390" name="Connecteur droit avec flèche 389"/>
        <xdr:cNvCxnSpPr/>
      </xdr:nvCxnSpPr>
      <xdr:spPr>
        <a:xfrm flipV="1">
          <a:off x="13606236" y="7715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62</xdr:row>
      <xdr:rowOff>116417</xdr:rowOff>
    </xdr:from>
    <xdr:to>
      <xdr:col>16</xdr:col>
      <xdr:colOff>225880</xdr:colOff>
      <xdr:row>63</xdr:row>
      <xdr:rowOff>84668</xdr:rowOff>
    </xdr:to>
    <xdr:cxnSp macro="">
      <xdr:nvCxnSpPr>
        <xdr:cNvPr id="391" name="Connecteur droit avec flèche 390"/>
        <xdr:cNvCxnSpPr/>
      </xdr:nvCxnSpPr>
      <xdr:spPr>
        <a:xfrm flipV="1">
          <a:off x="13659154" y="8117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35380</xdr:colOff>
      <xdr:row>64</xdr:row>
      <xdr:rowOff>116417</xdr:rowOff>
    </xdr:from>
    <xdr:to>
      <xdr:col>16</xdr:col>
      <xdr:colOff>172963</xdr:colOff>
      <xdr:row>65</xdr:row>
      <xdr:rowOff>84668</xdr:rowOff>
    </xdr:to>
    <xdr:cxnSp macro="">
      <xdr:nvCxnSpPr>
        <xdr:cNvPr id="392" name="Connecteur droit avec flèche 391"/>
        <xdr:cNvCxnSpPr/>
      </xdr:nvCxnSpPr>
      <xdr:spPr>
        <a:xfrm flipV="1">
          <a:off x="13574487" y="8498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88296</xdr:colOff>
      <xdr:row>66</xdr:row>
      <xdr:rowOff>116417</xdr:rowOff>
    </xdr:from>
    <xdr:to>
      <xdr:col>16</xdr:col>
      <xdr:colOff>247047</xdr:colOff>
      <xdr:row>67</xdr:row>
      <xdr:rowOff>74085</xdr:rowOff>
    </xdr:to>
    <xdr:cxnSp macro="">
      <xdr:nvCxnSpPr>
        <xdr:cNvPr id="393" name="Connecteur droit avec flèche 392"/>
        <xdr:cNvCxnSpPr/>
      </xdr:nvCxnSpPr>
      <xdr:spPr>
        <a:xfrm flipV="1">
          <a:off x="13627403" y="8879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87</xdr:row>
      <xdr:rowOff>140608</xdr:rowOff>
    </xdr:from>
    <xdr:to>
      <xdr:col>12</xdr:col>
      <xdr:colOff>298450</xdr:colOff>
      <xdr:row>94</xdr:row>
      <xdr:rowOff>138492</xdr:rowOff>
    </xdr:to>
    <xdr:cxnSp macro="">
      <xdr:nvCxnSpPr>
        <xdr:cNvPr id="394" name="Connecteur droit avec flèche 393"/>
        <xdr:cNvCxnSpPr/>
      </xdr:nvCxnSpPr>
      <xdr:spPr>
        <a:xfrm flipV="1">
          <a:off x="10232571" y="10618108"/>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1049867</xdr:colOff>
      <xdr:row>91</xdr:row>
      <xdr:rowOff>108858</xdr:rowOff>
    </xdr:from>
    <xdr:to>
      <xdr:col>12</xdr:col>
      <xdr:colOff>129117</xdr:colOff>
      <xdr:row>94</xdr:row>
      <xdr:rowOff>138492</xdr:rowOff>
    </xdr:to>
    <xdr:cxnSp macro="">
      <xdr:nvCxnSpPr>
        <xdr:cNvPr id="395" name="Connecteur droit avec flèche 394"/>
        <xdr:cNvCxnSpPr/>
      </xdr:nvCxnSpPr>
      <xdr:spPr>
        <a:xfrm flipV="1">
          <a:off x="10234688" y="11348358"/>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1081617</xdr:colOff>
      <xdr:row>92</xdr:row>
      <xdr:rowOff>119441</xdr:rowOff>
    </xdr:from>
    <xdr:to>
      <xdr:col>12</xdr:col>
      <xdr:colOff>266700</xdr:colOff>
      <xdr:row>94</xdr:row>
      <xdr:rowOff>172358</xdr:rowOff>
    </xdr:to>
    <xdr:cxnSp macro="">
      <xdr:nvCxnSpPr>
        <xdr:cNvPr id="396" name="Connecteur droit avec flèche 395"/>
        <xdr:cNvCxnSpPr/>
      </xdr:nvCxnSpPr>
      <xdr:spPr>
        <a:xfrm flipV="1">
          <a:off x="10266438" y="11549441"/>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1092200</xdr:colOff>
      <xdr:row>94</xdr:row>
      <xdr:rowOff>130024</xdr:rowOff>
    </xdr:from>
    <xdr:to>
      <xdr:col>12</xdr:col>
      <xdr:colOff>160867</xdr:colOff>
      <xdr:row>94</xdr:row>
      <xdr:rowOff>161774</xdr:rowOff>
    </xdr:to>
    <xdr:cxnSp macro="">
      <xdr:nvCxnSpPr>
        <xdr:cNvPr id="397" name="Connecteur droit avec flèche 396"/>
        <xdr:cNvCxnSpPr/>
      </xdr:nvCxnSpPr>
      <xdr:spPr>
        <a:xfrm flipV="1">
          <a:off x="10277021" y="11941024"/>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711200</xdr:colOff>
      <xdr:row>85</xdr:row>
      <xdr:rowOff>87692</xdr:rowOff>
    </xdr:from>
    <xdr:to>
      <xdr:col>14</xdr:col>
      <xdr:colOff>131233</xdr:colOff>
      <xdr:row>87</xdr:row>
      <xdr:rowOff>130024</xdr:rowOff>
    </xdr:to>
    <xdr:cxnSp macro="">
      <xdr:nvCxnSpPr>
        <xdr:cNvPr id="398" name="Connecteur droit avec flèche 397"/>
        <xdr:cNvCxnSpPr/>
      </xdr:nvCxnSpPr>
      <xdr:spPr>
        <a:xfrm flipV="1">
          <a:off x="11964307" y="10184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668866</xdr:colOff>
      <xdr:row>87</xdr:row>
      <xdr:rowOff>127909</xdr:rowOff>
    </xdr:from>
    <xdr:to>
      <xdr:col>14</xdr:col>
      <xdr:colOff>44450</xdr:colOff>
      <xdr:row>87</xdr:row>
      <xdr:rowOff>140608</xdr:rowOff>
    </xdr:to>
    <xdr:cxnSp macro="">
      <xdr:nvCxnSpPr>
        <xdr:cNvPr id="399" name="Connecteur droit avec flèche 398"/>
        <xdr:cNvCxnSpPr/>
      </xdr:nvCxnSpPr>
      <xdr:spPr>
        <a:xfrm>
          <a:off x="11921973" y="10605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552451</xdr:colOff>
      <xdr:row>89</xdr:row>
      <xdr:rowOff>130024</xdr:rowOff>
    </xdr:from>
    <xdr:to>
      <xdr:col>14</xdr:col>
      <xdr:colOff>44451</xdr:colOff>
      <xdr:row>91</xdr:row>
      <xdr:rowOff>130022</xdr:rowOff>
    </xdr:to>
    <xdr:cxnSp macro="">
      <xdr:nvCxnSpPr>
        <xdr:cNvPr id="400" name="Connecteur droit avec flèche 399"/>
        <xdr:cNvCxnSpPr/>
      </xdr:nvCxnSpPr>
      <xdr:spPr>
        <a:xfrm flipV="1">
          <a:off x="11805558" y="10988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94</xdr:row>
      <xdr:rowOff>119440</xdr:rowOff>
    </xdr:from>
    <xdr:to>
      <xdr:col>14</xdr:col>
      <xdr:colOff>33868</xdr:colOff>
      <xdr:row>94</xdr:row>
      <xdr:rowOff>130025</xdr:rowOff>
    </xdr:to>
    <xdr:cxnSp macro="">
      <xdr:nvCxnSpPr>
        <xdr:cNvPr id="401" name="Connecteur droit avec flèche 400"/>
        <xdr:cNvCxnSpPr/>
      </xdr:nvCxnSpPr>
      <xdr:spPr>
        <a:xfrm>
          <a:off x="11932558" y="11930440"/>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753535</xdr:colOff>
      <xdr:row>92</xdr:row>
      <xdr:rowOff>108857</xdr:rowOff>
    </xdr:from>
    <xdr:to>
      <xdr:col>14</xdr:col>
      <xdr:colOff>55035</xdr:colOff>
      <xdr:row>92</xdr:row>
      <xdr:rowOff>119442</xdr:rowOff>
    </xdr:to>
    <xdr:cxnSp macro="">
      <xdr:nvCxnSpPr>
        <xdr:cNvPr id="402" name="Connecteur droit avec flèche 401"/>
        <xdr:cNvCxnSpPr/>
      </xdr:nvCxnSpPr>
      <xdr:spPr>
        <a:xfrm>
          <a:off x="12006642" y="11538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605368</xdr:colOff>
      <xdr:row>91</xdr:row>
      <xdr:rowOff>98274</xdr:rowOff>
    </xdr:from>
    <xdr:to>
      <xdr:col>14</xdr:col>
      <xdr:colOff>12701</xdr:colOff>
      <xdr:row>91</xdr:row>
      <xdr:rowOff>119442</xdr:rowOff>
    </xdr:to>
    <xdr:cxnSp macro="">
      <xdr:nvCxnSpPr>
        <xdr:cNvPr id="403" name="Connecteur droit avec flèche 402"/>
        <xdr:cNvCxnSpPr/>
      </xdr:nvCxnSpPr>
      <xdr:spPr>
        <a:xfrm>
          <a:off x="11858475" y="11337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93</xdr:row>
      <xdr:rowOff>161773</xdr:rowOff>
    </xdr:from>
    <xdr:to>
      <xdr:col>14</xdr:col>
      <xdr:colOff>65618</xdr:colOff>
      <xdr:row>94</xdr:row>
      <xdr:rowOff>119440</xdr:rowOff>
    </xdr:to>
    <xdr:cxnSp macro="">
      <xdr:nvCxnSpPr>
        <xdr:cNvPr id="404" name="Connecteur droit avec flèche 403"/>
        <xdr:cNvCxnSpPr/>
      </xdr:nvCxnSpPr>
      <xdr:spPr>
        <a:xfrm flipV="1">
          <a:off x="11932558" y="11782273"/>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23284</xdr:colOff>
      <xdr:row>85</xdr:row>
      <xdr:rowOff>87690</xdr:rowOff>
    </xdr:from>
    <xdr:to>
      <xdr:col>16</xdr:col>
      <xdr:colOff>150285</xdr:colOff>
      <xdr:row>85</xdr:row>
      <xdr:rowOff>100390</xdr:rowOff>
    </xdr:to>
    <xdr:cxnSp macro="">
      <xdr:nvCxnSpPr>
        <xdr:cNvPr id="405" name="Connecteur droit avec flèche 404"/>
        <xdr:cNvCxnSpPr/>
      </xdr:nvCxnSpPr>
      <xdr:spPr>
        <a:xfrm>
          <a:off x="13562391" y="10184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753534</xdr:colOff>
      <xdr:row>89</xdr:row>
      <xdr:rowOff>119440</xdr:rowOff>
    </xdr:from>
    <xdr:to>
      <xdr:col>16</xdr:col>
      <xdr:colOff>97368</xdr:colOff>
      <xdr:row>89</xdr:row>
      <xdr:rowOff>121557</xdr:rowOff>
    </xdr:to>
    <xdr:cxnSp macro="">
      <xdr:nvCxnSpPr>
        <xdr:cNvPr id="406" name="Connecteur droit avec flèche 405"/>
        <xdr:cNvCxnSpPr/>
      </xdr:nvCxnSpPr>
      <xdr:spPr>
        <a:xfrm>
          <a:off x="13530641" y="10977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87</xdr:row>
      <xdr:rowOff>119440</xdr:rowOff>
    </xdr:from>
    <xdr:to>
      <xdr:col>16</xdr:col>
      <xdr:colOff>171452</xdr:colOff>
      <xdr:row>87</xdr:row>
      <xdr:rowOff>121557</xdr:rowOff>
    </xdr:to>
    <xdr:cxnSp macro="">
      <xdr:nvCxnSpPr>
        <xdr:cNvPr id="407" name="Connecteur droit avec flèche 406"/>
        <xdr:cNvCxnSpPr/>
      </xdr:nvCxnSpPr>
      <xdr:spPr>
        <a:xfrm>
          <a:off x="13604725" y="10596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55034</xdr:colOff>
      <xdr:row>91</xdr:row>
      <xdr:rowOff>108857</xdr:rowOff>
    </xdr:from>
    <xdr:to>
      <xdr:col>16</xdr:col>
      <xdr:colOff>160868</xdr:colOff>
      <xdr:row>91</xdr:row>
      <xdr:rowOff>110974</xdr:rowOff>
    </xdr:to>
    <xdr:cxnSp macro="">
      <xdr:nvCxnSpPr>
        <xdr:cNvPr id="408" name="Connecteur droit avec flèche 407"/>
        <xdr:cNvCxnSpPr/>
      </xdr:nvCxnSpPr>
      <xdr:spPr>
        <a:xfrm>
          <a:off x="13594141" y="11348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2117</xdr:colOff>
      <xdr:row>93</xdr:row>
      <xdr:rowOff>108857</xdr:rowOff>
    </xdr:from>
    <xdr:to>
      <xdr:col>16</xdr:col>
      <xdr:colOff>107951</xdr:colOff>
      <xdr:row>93</xdr:row>
      <xdr:rowOff>110974</xdr:rowOff>
    </xdr:to>
    <xdr:cxnSp macro="">
      <xdr:nvCxnSpPr>
        <xdr:cNvPr id="409" name="Connecteur droit avec flèche 408"/>
        <xdr:cNvCxnSpPr/>
      </xdr:nvCxnSpPr>
      <xdr:spPr>
        <a:xfrm>
          <a:off x="13541224" y="11729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753535</xdr:colOff>
      <xdr:row>94</xdr:row>
      <xdr:rowOff>119440</xdr:rowOff>
    </xdr:from>
    <xdr:to>
      <xdr:col>16</xdr:col>
      <xdr:colOff>97369</xdr:colOff>
      <xdr:row>94</xdr:row>
      <xdr:rowOff>121557</xdr:rowOff>
    </xdr:to>
    <xdr:cxnSp macro="">
      <xdr:nvCxnSpPr>
        <xdr:cNvPr id="410" name="Connecteur droit avec flèche 409"/>
        <xdr:cNvCxnSpPr/>
      </xdr:nvCxnSpPr>
      <xdr:spPr>
        <a:xfrm>
          <a:off x="13530642" y="119304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92</xdr:row>
      <xdr:rowOff>119441</xdr:rowOff>
    </xdr:from>
    <xdr:to>
      <xdr:col>16</xdr:col>
      <xdr:colOff>65618</xdr:colOff>
      <xdr:row>92</xdr:row>
      <xdr:rowOff>121558</xdr:rowOff>
    </xdr:to>
    <xdr:cxnSp macro="">
      <xdr:nvCxnSpPr>
        <xdr:cNvPr id="411" name="Connecteur droit avec flèche 410"/>
        <xdr:cNvCxnSpPr/>
      </xdr:nvCxnSpPr>
      <xdr:spPr>
        <a:xfrm>
          <a:off x="13498891" y="11549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12700</xdr:colOff>
      <xdr:row>84</xdr:row>
      <xdr:rowOff>108857</xdr:rowOff>
    </xdr:from>
    <xdr:to>
      <xdr:col>16</xdr:col>
      <xdr:colOff>129118</xdr:colOff>
      <xdr:row>85</xdr:row>
      <xdr:rowOff>77108</xdr:rowOff>
    </xdr:to>
    <xdr:cxnSp macro="">
      <xdr:nvCxnSpPr>
        <xdr:cNvPr id="412" name="Connecteur droit avec flèche 411"/>
        <xdr:cNvCxnSpPr/>
      </xdr:nvCxnSpPr>
      <xdr:spPr>
        <a:xfrm flipV="1">
          <a:off x="13551807" y="10014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86</xdr:row>
      <xdr:rowOff>130024</xdr:rowOff>
    </xdr:from>
    <xdr:to>
      <xdr:col>16</xdr:col>
      <xdr:colOff>171451</xdr:colOff>
      <xdr:row>87</xdr:row>
      <xdr:rowOff>98275</xdr:rowOff>
    </xdr:to>
    <xdr:cxnSp macro="">
      <xdr:nvCxnSpPr>
        <xdr:cNvPr id="413" name="Connecteur droit avec flèche 412"/>
        <xdr:cNvCxnSpPr/>
      </xdr:nvCxnSpPr>
      <xdr:spPr>
        <a:xfrm flipV="1">
          <a:off x="13604725" y="10417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742951</xdr:colOff>
      <xdr:row>88</xdr:row>
      <xdr:rowOff>130024</xdr:rowOff>
    </xdr:from>
    <xdr:to>
      <xdr:col>16</xdr:col>
      <xdr:colOff>118534</xdr:colOff>
      <xdr:row>89</xdr:row>
      <xdr:rowOff>98275</xdr:rowOff>
    </xdr:to>
    <xdr:cxnSp macro="">
      <xdr:nvCxnSpPr>
        <xdr:cNvPr id="414" name="Connecteur droit avec flèche 413"/>
        <xdr:cNvCxnSpPr/>
      </xdr:nvCxnSpPr>
      <xdr:spPr>
        <a:xfrm flipV="1">
          <a:off x="13520058" y="10798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33867</xdr:colOff>
      <xdr:row>90</xdr:row>
      <xdr:rowOff>130024</xdr:rowOff>
    </xdr:from>
    <xdr:to>
      <xdr:col>16</xdr:col>
      <xdr:colOff>192618</xdr:colOff>
      <xdr:row>91</xdr:row>
      <xdr:rowOff>87692</xdr:rowOff>
    </xdr:to>
    <xdr:cxnSp macro="">
      <xdr:nvCxnSpPr>
        <xdr:cNvPr id="415" name="Connecteur droit avec flèche 414"/>
        <xdr:cNvCxnSpPr/>
      </xdr:nvCxnSpPr>
      <xdr:spPr>
        <a:xfrm flipV="1">
          <a:off x="13572974" y="11179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111</xdr:row>
      <xdr:rowOff>86180</xdr:rowOff>
    </xdr:from>
    <xdr:to>
      <xdr:col>12</xdr:col>
      <xdr:colOff>271236</xdr:colOff>
      <xdr:row>118</xdr:row>
      <xdr:rowOff>84064</xdr:rowOff>
    </xdr:to>
    <xdr:cxnSp macro="">
      <xdr:nvCxnSpPr>
        <xdr:cNvPr id="416" name="Connecteur droit avec flèche 415"/>
        <xdr:cNvCxnSpPr/>
      </xdr:nvCxnSpPr>
      <xdr:spPr>
        <a:xfrm flipV="1">
          <a:off x="10205357" y="12849680"/>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1022653</xdr:colOff>
      <xdr:row>115</xdr:row>
      <xdr:rowOff>54430</xdr:rowOff>
    </xdr:from>
    <xdr:to>
      <xdr:col>12</xdr:col>
      <xdr:colOff>101903</xdr:colOff>
      <xdr:row>118</xdr:row>
      <xdr:rowOff>84064</xdr:rowOff>
    </xdr:to>
    <xdr:cxnSp macro="">
      <xdr:nvCxnSpPr>
        <xdr:cNvPr id="417" name="Connecteur droit avec flèche 416"/>
        <xdr:cNvCxnSpPr/>
      </xdr:nvCxnSpPr>
      <xdr:spPr>
        <a:xfrm flipV="1">
          <a:off x="10207474" y="13579930"/>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1054403</xdr:colOff>
      <xdr:row>116</xdr:row>
      <xdr:rowOff>65013</xdr:rowOff>
    </xdr:from>
    <xdr:to>
      <xdr:col>12</xdr:col>
      <xdr:colOff>239486</xdr:colOff>
      <xdr:row>118</xdr:row>
      <xdr:rowOff>117930</xdr:rowOff>
    </xdr:to>
    <xdr:cxnSp macro="">
      <xdr:nvCxnSpPr>
        <xdr:cNvPr id="418" name="Connecteur droit avec flèche 417"/>
        <xdr:cNvCxnSpPr/>
      </xdr:nvCxnSpPr>
      <xdr:spPr>
        <a:xfrm flipV="1">
          <a:off x="10239224" y="13781013"/>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1064986</xdr:colOff>
      <xdr:row>118</xdr:row>
      <xdr:rowOff>75596</xdr:rowOff>
    </xdr:from>
    <xdr:to>
      <xdr:col>12</xdr:col>
      <xdr:colOff>133653</xdr:colOff>
      <xdr:row>118</xdr:row>
      <xdr:rowOff>107346</xdr:rowOff>
    </xdr:to>
    <xdr:cxnSp macro="">
      <xdr:nvCxnSpPr>
        <xdr:cNvPr id="419" name="Connecteur droit avec flèche 418"/>
        <xdr:cNvCxnSpPr/>
      </xdr:nvCxnSpPr>
      <xdr:spPr>
        <a:xfrm flipV="1">
          <a:off x="10249807" y="14172596"/>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109</xdr:row>
      <xdr:rowOff>33264</xdr:rowOff>
    </xdr:from>
    <xdr:to>
      <xdr:col>14</xdr:col>
      <xdr:colOff>104019</xdr:colOff>
      <xdr:row>111</xdr:row>
      <xdr:rowOff>75596</xdr:rowOff>
    </xdr:to>
    <xdr:cxnSp macro="">
      <xdr:nvCxnSpPr>
        <xdr:cNvPr id="420" name="Connecteur droit avec flèche 419"/>
        <xdr:cNvCxnSpPr/>
      </xdr:nvCxnSpPr>
      <xdr:spPr>
        <a:xfrm flipV="1">
          <a:off x="11937093" y="12415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111</xdr:row>
      <xdr:rowOff>73481</xdr:rowOff>
    </xdr:from>
    <xdr:to>
      <xdr:col>14</xdr:col>
      <xdr:colOff>17236</xdr:colOff>
      <xdr:row>111</xdr:row>
      <xdr:rowOff>86180</xdr:rowOff>
    </xdr:to>
    <xdr:cxnSp macro="">
      <xdr:nvCxnSpPr>
        <xdr:cNvPr id="421" name="Connecteur droit avec flèche 420"/>
        <xdr:cNvCxnSpPr/>
      </xdr:nvCxnSpPr>
      <xdr:spPr>
        <a:xfrm>
          <a:off x="11894759" y="12836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113</xdr:row>
      <xdr:rowOff>75596</xdr:rowOff>
    </xdr:from>
    <xdr:to>
      <xdr:col>14</xdr:col>
      <xdr:colOff>17237</xdr:colOff>
      <xdr:row>115</xdr:row>
      <xdr:rowOff>75594</xdr:rowOff>
    </xdr:to>
    <xdr:cxnSp macro="">
      <xdr:nvCxnSpPr>
        <xdr:cNvPr id="422" name="Connecteur droit avec flèche 421"/>
        <xdr:cNvCxnSpPr/>
      </xdr:nvCxnSpPr>
      <xdr:spPr>
        <a:xfrm flipV="1">
          <a:off x="11778344" y="13220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118</xdr:row>
      <xdr:rowOff>65012</xdr:rowOff>
    </xdr:from>
    <xdr:to>
      <xdr:col>14</xdr:col>
      <xdr:colOff>6654</xdr:colOff>
      <xdr:row>118</xdr:row>
      <xdr:rowOff>75597</xdr:rowOff>
    </xdr:to>
    <xdr:cxnSp macro="">
      <xdr:nvCxnSpPr>
        <xdr:cNvPr id="423" name="Connecteur droit avec flèche 422"/>
        <xdr:cNvCxnSpPr/>
      </xdr:nvCxnSpPr>
      <xdr:spPr>
        <a:xfrm>
          <a:off x="11905344" y="14162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116</xdr:row>
      <xdr:rowOff>54429</xdr:rowOff>
    </xdr:from>
    <xdr:to>
      <xdr:col>14</xdr:col>
      <xdr:colOff>27821</xdr:colOff>
      <xdr:row>116</xdr:row>
      <xdr:rowOff>65014</xdr:rowOff>
    </xdr:to>
    <xdr:cxnSp macro="">
      <xdr:nvCxnSpPr>
        <xdr:cNvPr id="424" name="Connecteur droit avec flèche 423"/>
        <xdr:cNvCxnSpPr/>
      </xdr:nvCxnSpPr>
      <xdr:spPr>
        <a:xfrm>
          <a:off x="11979428" y="13770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115</xdr:row>
      <xdr:rowOff>43846</xdr:rowOff>
    </xdr:from>
    <xdr:to>
      <xdr:col>13</xdr:col>
      <xdr:colOff>747487</xdr:colOff>
      <xdr:row>115</xdr:row>
      <xdr:rowOff>65014</xdr:rowOff>
    </xdr:to>
    <xdr:cxnSp macro="">
      <xdr:nvCxnSpPr>
        <xdr:cNvPr id="425" name="Connecteur droit avec flèche 424"/>
        <xdr:cNvCxnSpPr/>
      </xdr:nvCxnSpPr>
      <xdr:spPr>
        <a:xfrm>
          <a:off x="11831261" y="13569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117</xdr:row>
      <xdr:rowOff>107345</xdr:rowOff>
    </xdr:from>
    <xdr:to>
      <xdr:col>14</xdr:col>
      <xdr:colOff>38404</xdr:colOff>
      <xdr:row>118</xdr:row>
      <xdr:rowOff>65012</xdr:rowOff>
    </xdr:to>
    <xdr:cxnSp macro="">
      <xdr:nvCxnSpPr>
        <xdr:cNvPr id="426" name="Connecteur droit avec flèche 425"/>
        <xdr:cNvCxnSpPr/>
      </xdr:nvCxnSpPr>
      <xdr:spPr>
        <a:xfrm flipV="1">
          <a:off x="11905344" y="14013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109</xdr:row>
      <xdr:rowOff>33262</xdr:rowOff>
    </xdr:from>
    <xdr:to>
      <xdr:col>16</xdr:col>
      <xdr:colOff>123071</xdr:colOff>
      <xdr:row>109</xdr:row>
      <xdr:rowOff>45962</xdr:rowOff>
    </xdr:to>
    <xdr:cxnSp macro="">
      <xdr:nvCxnSpPr>
        <xdr:cNvPr id="427" name="Connecteur droit avec flèche 426"/>
        <xdr:cNvCxnSpPr/>
      </xdr:nvCxnSpPr>
      <xdr:spPr>
        <a:xfrm>
          <a:off x="13535177" y="12415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113</xdr:row>
      <xdr:rowOff>65012</xdr:rowOff>
    </xdr:from>
    <xdr:to>
      <xdr:col>16</xdr:col>
      <xdr:colOff>70154</xdr:colOff>
      <xdr:row>113</xdr:row>
      <xdr:rowOff>67129</xdr:rowOff>
    </xdr:to>
    <xdr:cxnSp macro="">
      <xdr:nvCxnSpPr>
        <xdr:cNvPr id="428" name="Connecteur droit avec flèche 427"/>
        <xdr:cNvCxnSpPr/>
      </xdr:nvCxnSpPr>
      <xdr:spPr>
        <a:xfrm>
          <a:off x="13503427" y="13209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111</xdr:row>
      <xdr:rowOff>65012</xdr:rowOff>
    </xdr:from>
    <xdr:to>
      <xdr:col>16</xdr:col>
      <xdr:colOff>144238</xdr:colOff>
      <xdr:row>111</xdr:row>
      <xdr:rowOff>67129</xdr:rowOff>
    </xdr:to>
    <xdr:cxnSp macro="">
      <xdr:nvCxnSpPr>
        <xdr:cNvPr id="429" name="Connecteur droit avec flèche 428"/>
        <xdr:cNvCxnSpPr/>
      </xdr:nvCxnSpPr>
      <xdr:spPr>
        <a:xfrm>
          <a:off x="13577511" y="12828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115</xdr:row>
      <xdr:rowOff>54429</xdr:rowOff>
    </xdr:from>
    <xdr:to>
      <xdr:col>16</xdr:col>
      <xdr:colOff>133654</xdr:colOff>
      <xdr:row>115</xdr:row>
      <xdr:rowOff>56546</xdr:rowOff>
    </xdr:to>
    <xdr:cxnSp macro="">
      <xdr:nvCxnSpPr>
        <xdr:cNvPr id="430" name="Connecteur droit avec flèche 429"/>
        <xdr:cNvCxnSpPr/>
      </xdr:nvCxnSpPr>
      <xdr:spPr>
        <a:xfrm>
          <a:off x="13566927" y="13579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117</xdr:row>
      <xdr:rowOff>54429</xdr:rowOff>
    </xdr:from>
    <xdr:to>
      <xdr:col>16</xdr:col>
      <xdr:colOff>80737</xdr:colOff>
      <xdr:row>117</xdr:row>
      <xdr:rowOff>56546</xdr:rowOff>
    </xdr:to>
    <xdr:cxnSp macro="">
      <xdr:nvCxnSpPr>
        <xdr:cNvPr id="431" name="Connecteur droit avec flèche 430"/>
        <xdr:cNvCxnSpPr/>
      </xdr:nvCxnSpPr>
      <xdr:spPr>
        <a:xfrm>
          <a:off x="13514010" y="13960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118</xdr:row>
      <xdr:rowOff>65012</xdr:rowOff>
    </xdr:from>
    <xdr:to>
      <xdr:col>16</xdr:col>
      <xdr:colOff>70155</xdr:colOff>
      <xdr:row>118</xdr:row>
      <xdr:rowOff>67129</xdr:rowOff>
    </xdr:to>
    <xdr:cxnSp macro="">
      <xdr:nvCxnSpPr>
        <xdr:cNvPr id="432" name="Connecteur droit avec flèche 431"/>
        <xdr:cNvCxnSpPr/>
      </xdr:nvCxnSpPr>
      <xdr:spPr>
        <a:xfrm>
          <a:off x="13503428" y="14162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116</xdr:row>
      <xdr:rowOff>65013</xdr:rowOff>
    </xdr:from>
    <xdr:to>
      <xdr:col>16</xdr:col>
      <xdr:colOff>38404</xdr:colOff>
      <xdr:row>116</xdr:row>
      <xdr:rowOff>67130</xdr:rowOff>
    </xdr:to>
    <xdr:cxnSp macro="">
      <xdr:nvCxnSpPr>
        <xdr:cNvPr id="433" name="Connecteur droit avec flèche 432"/>
        <xdr:cNvCxnSpPr/>
      </xdr:nvCxnSpPr>
      <xdr:spPr>
        <a:xfrm>
          <a:off x="13471677" y="13781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108</xdr:row>
      <xdr:rowOff>54429</xdr:rowOff>
    </xdr:from>
    <xdr:to>
      <xdr:col>16</xdr:col>
      <xdr:colOff>101904</xdr:colOff>
      <xdr:row>109</xdr:row>
      <xdr:rowOff>22680</xdr:rowOff>
    </xdr:to>
    <xdr:cxnSp macro="">
      <xdr:nvCxnSpPr>
        <xdr:cNvPr id="434" name="Connecteur droit avec flèche 433"/>
        <xdr:cNvCxnSpPr/>
      </xdr:nvCxnSpPr>
      <xdr:spPr>
        <a:xfrm flipV="1">
          <a:off x="13524593" y="12246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110</xdr:row>
      <xdr:rowOff>75596</xdr:rowOff>
    </xdr:from>
    <xdr:to>
      <xdr:col>16</xdr:col>
      <xdr:colOff>144237</xdr:colOff>
      <xdr:row>111</xdr:row>
      <xdr:rowOff>43847</xdr:rowOff>
    </xdr:to>
    <xdr:cxnSp macro="">
      <xdr:nvCxnSpPr>
        <xdr:cNvPr id="435" name="Connecteur droit avec flèche 434"/>
        <xdr:cNvCxnSpPr/>
      </xdr:nvCxnSpPr>
      <xdr:spPr>
        <a:xfrm flipV="1">
          <a:off x="13577511" y="12648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112</xdr:row>
      <xdr:rowOff>75596</xdr:rowOff>
    </xdr:from>
    <xdr:to>
      <xdr:col>16</xdr:col>
      <xdr:colOff>91320</xdr:colOff>
      <xdr:row>113</xdr:row>
      <xdr:rowOff>43847</xdr:rowOff>
    </xdr:to>
    <xdr:cxnSp macro="">
      <xdr:nvCxnSpPr>
        <xdr:cNvPr id="436" name="Connecteur droit avec flèche 435"/>
        <xdr:cNvCxnSpPr/>
      </xdr:nvCxnSpPr>
      <xdr:spPr>
        <a:xfrm flipV="1">
          <a:off x="13492844" y="13029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114</xdr:row>
      <xdr:rowOff>75596</xdr:rowOff>
    </xdr:from>
    <xdr:to>
      <xdr:col>16</xdr:col>
      <xdr:colOff>165404</xdr:colOff>
      <xdr:row>115</xdr:row>
      <xdr:rowOff>33264</xdr:rowOff>
    </xdr:to>
    <xdr:cxnSp macro="">
      <xdr:nvCxnSpPr>
        <xdr:cNvPr id="437" name="Connecteur droit avec flèche 436"/>
        <xdr:cNvCxnSpPr/>
      </xdr:nvCxnSpPr>
      <xdr:spPr>
        <a:xfrm flipV="1">
          <a:off x="13545760" y="13410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147</xdr:row>
      <xdr:rowOff>99787</xdr:rowOff>
    </xdr:from>
    <xdr:to>
      <xdr:col>12</xdr:col>
      <xdr:colOff>244021</xdr:colOff>
      <xdr:row>154</xdr:row>
      <xdr:rowOff>97671</xdr:rowOff>
    </xdr:to>
    <xdr:cxnSp macro="">
      <xdr:nvCxnSpPr>
        <xdr:cNvPr id="438" name="Connecteur droit avec flèche 437"/>
        <xdr:cNvCxnSpPr/>
      </xdr:nvCxnSpPr>
      <xdr:spPr>
        <a:xfrm flipV="1">
          <a:off x="10178142" y="15149287"/>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151</xdr:row>
      <xdr:rowOff>68037</xdr:rowOff>
    </xdr:from>
    <xdr:to>
      <xdr:col>12</xdr:col>
      <xdr:colOff>74688</xdr:colOff>
      <xdr:row>154</xdr:row>
      <xdr:rowOff>97671</xdr:rowOff>
    </xdr:to>
    <xdr:cxnSp macro="">
      <xdr:nvCxnSpPr>
        <xdr:cNvPr id="439" name="Connecteur droit avec flèche 438"/>
        <xdr:cNvCxnSpPr/>
      </xdr:nvCxnSpPr>
      <xdr:spPr>
        <a:xfrm flipV="1">
          <a:off x="10180259" y="15879537"/>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152</xdr:row>
      <xdr:rowOff>78620</xdr:rowOff>
    </xdr:from>
    <xdr:to>
      <xdr:col>12</xdr:col>
      <xdr:colOff>212271</xdr:colOff>
      <xdr:row>154</xdr:row>
      <xdr:rowOff>131537</xdr:rowOff>
    </xdr:to>
    <xdr:cxnSp macro="">
      <xdr:nvCxnSpPr>
        <xdr:cNvPr id="440" name="Connecteur droit avec flèche 439"/>
        <xdr:cNvCxnSpPr/>
      </xdr:nvCxnSpPr>
      <xdr:spPr>
        <a:xfrm flipV="1">
          <a:off x="10212009" y="16080620"/>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154</xdr:row>
      <xdr:rowOff>89203</xdr:rowOff>
    </xdr:from>
    <xdr:to>
      <xdr:col>12</xdr:col>
      <xdr:colOff>106438</xdr:colOff>
      <xdr:row>154</xdr:row>
      <xdr:rowOff>120953</xdr:rowOff>
    </xdr:to>
    <xdr:cxnSp macro="">
      <xdr:nvCxnSpPr>
        <xdr:cNvPr id="441" name="Connecteur droit avec flèche 440"/>
        <xdr:cNvCxnSpPr/>
      </xdr:nvCxnSpPr>
      <xdr:spPr>
        <a:xfrm flipV="1">
          <a:off x="10222592" y="16472203"/>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145</xdr:row>
      <xdr:rowOff>46871</xdr:rowOff>
    </xdr:from>
    <xdr:to>
      <xdr:col>14</xdr:col>
      <xdr:colOff>76804</xdr:colOff>
      <xdr:row>147</xdr:row>
      <xdr:rowOff>89203</xdr:rowOff>
    </xdr:to>
    <xdr:cxnSp macro="">
      <xdr:nvCxnSpPr>
        <xdr:cNvPr id="442" name="Connecteur droit avec flèche 441"/>
        <xdr:cNvCxnSpPr/>
      </xdr:nvCxnSpPr>
      <xdr:spPr>
        <a:xfrm flipV="1">
          <a:off x="11909878" y="14715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147</xdr:row>
      <xdr:rowOff>87088</xdr:rowOff>
    </xdr:from>
    <xdr:to>
      <xdr:col>13</xdr:col>
      <xdr:colOff>752021</xdr:colOff>
      <xdr:row>147</xdr:row>
      <xdr:rowOff>99787</xdr:rowOff>
    </xdr:to>
    <xdr:cxnSp macro="">
      <xdr:nvCxnSpPr>
        <xdr:cNvPr id="443" name="Connecteur droit avec flèche 442"/>
        <xdr:cNvCxnSpPr/>
      </xdr:nvCxnSpPr>
      <xdr:spPr>
        <a:xfrm>
          <a:off x="11867544" y="15136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149</xdr:row>
      <xdr:rowOff>89203</xdr:rowOff>
    </xdr:from>
    <xdr:to>
      <xdr:col>13</xdr:col>
      <xdr:colOff>752022</xdr:colOff>
      <xdr:row>151</xdr:row>
      <xdr:rowOff>89201</xdr:rowOff>
    </xdr:to>
    <xdr:cxnSp macro="">
      <xdr:nvCxnSpPr>
        <xdr:cNvPr id="444" name="Connecteur droit avec flèche 443"/>
        <xdr:cNvCxnSpPr/>
      </xdr:nvCxnSpPr>
      <xdr:spPr>
        <a:xfrm flipV="1">
          <a:off x="11751129" y="15519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154</xdr:row>
      <xdr:rowOff>78619</xdr:rowOff>
    </xdr:from>
    <xdr:to>
      <xdr:col>13</xdr:col>
      <xdr:colOff>741439</xdr:colOff>
      <xdr:row>154</xdr:row>
      <xdr:rowOff>89204</xdr:rowOff>
    </xdr:to>
    <xdr:cxnSp macro="">
      <xdr:nvCxnSpPr>
        <xdr:cNvPr id="445" name="Connecteur droit avec flèche 444"/>
        <xdr:cNvCxnSpPr/>
      </xdr:nvCxnSpPr>
      <xdr:spPr>
        <a:xfrm>
          <a:off x="11878129" y="16461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152</xdr:row>
      <xdr:rowOff>68036</xdr:rowOff>
    </xdr:from>
    <xdr:to>
      <xdr:col>14</xdr:col>
      <xdr:colOff>606</xdr:colOff>
      <xdr:row>152</xdr:row>
      <xdr:rowOff>78621</xdr:rowOff>
    </xdr:to>
    <xdr:cxnSp macro="">
      <xdr:nvCxnSpPr>
        <xdr:cNvPr id="446" name="Connecteur droit avec flèche 445"/>
        <xdr:cNvCxnSpPr/>
      </xdr:nvCxnSpPr>
      <xdr:spPr>
        <a:xfrm>
          <a:off x="11952213" y="16070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151</xdr:row>
      <xdr:rowOff>57453</xdr:rowOff>
    </xdr:from>
    <xdr:to>
      <xdr:col>13</xdr:col>
      <xdr:colOff>720272</xdr:colOff>
      <xdr:row>151</xdr:row>
      <xdr:rowOff>78621</xdr:rowOff>
    </xdr:to>
    <xdr:cxnSp macro="">
      <xdr:nvCxnSpPr>
        <xdr:cNvPr id="447" name="Connecteur droit avec flèche 446"/>
        <xdr:cNvCxnSpPr/>
      </xdr:nvCxnSpPr>
      <xdr:spPr>
        <a:xfrm>
          <a:off x="11804046" y="15868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153</xdr:row>
      <xdr:rowOff>120952</xdr:rowOff>
    </xdr:from>
    <xdr:to>
      <xdr:col>14</xdr:col>
      <xdr:colOff>11189</xdr:colOff>
      <xdr:row>154</xdr:row>
      <xdr:rowOff>78619</xdr:rowOff>
    </xdr:to>
    <xdr:cxnSp macro="">
      <xdr:nvCxnSpPr>
        <xdr:cNvPr id="448" name="Connecteur droit avec flèche 447"/>
        <xdr:cNvCxnSpPr/>
      </xdr:nvCxnSpPr>
      <xdr:spPr>
        <a:xfrm flipV="1">
          <a:off x="11878129" y="16313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145</xdr:row>
      <xdr:rowOff>46869</xdr:rowOff>
    </xdr:from>
    <xdr:to>
      <xdr:col>16</xdr:col>
      <xdr:colOff>95856</xdr:colOff>
      <xdr:row>145</xdr:row>
      <xdr:rowOff>59569</xdr:rowOff>
    </xdr:to>
    <xdr:cxnSp macro="">
      <xdr:nvCxnSpPr>
        <xdr:cNvPr id="449" name="Connecteur droit avec flèche 448"/>
        <xdr:cNvCxnSpPr/>
      </xdr:nvCxnSpPr>
      <xdr:spPr>
        <a:xfrm>
          <a:off x="13507962" y="14715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149</xdr:row>
      <xdr:rowOff>78619</xdr:rowOff>
    </xdr:from>
    <xdr:to>
      <xdr:col>16</xdr:col>
      <xdr:colOff>42939</xdr:colOff>
      <xdr:row>149</xdr:row>
      <xdr:rowOff>80736</xdr:rowOff>
    </xdr:to>
    <xdr:cxnSp macro="">
      <xdr:nvCxnSpPr>
        <xdr:cNvPr id="450" name="Connecteur droit avec flèche 449"/>
        <xdr:cNvCxnSpPr/>
      </xdr:nvCxnSpPr>
      <xdr:spPr>
        <a:xfrm>
          <a:off x="13476212" y="15509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147</xdr:row>
      <xdr:rowOff>78619</xdr:rowOff>
    </xdr:from>
    <xdr:to>
      <xdr:col>16</xdr:col>
      <xdr:colOff>117023</xdr:colOff>
      <xdr:row>147</xdr:row>
      <xdr:rowOff>80736</xdr:rowOff>
    </xdr:to>
    <xdr:cxnSp macro="">
      <xdr:nvCxnSpPr>
        <xdr:cNvPr id="451" name="Connecteur droit avec flèche 450"/>
        <xdr:cNvCxnSpPr/>
      </xdr:nvCxnSpPr>
      <xdr:spPr>
        <a:xfrm>
          <a:off x="13550296" y="15128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151</xdr:row>
      <xdr:rowOff>68036</xdr:rowOff>
    </xdr:from>
    <xdr:to>
      <xdr:col>16</xdr:col>
      <xdr:colOff>106439</xdr:colOff>
      <xdr:row>151</xdr:row>
      <xdr:rowOff>70153</xdr:rowOff>
    </xdr:to>
    <xdr:cxnSp macro="">
      <xdr:nvCxnSpPr>
        <xdr:cNvPr id="452" name="Connecteur droit avec flèche 451"/>
        <xdr:cNvCxnSpPr/>
      </xdr:nvCxnSpPr>
      <xdr:spPr>
        <a:xfrm>
          <a:off x="13539712" y="15879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153</xdr:row>
      <xdr:rowOff>68036</xdr:rowOff>
    </xdr:from>
    <xdr:to>
      <xdr:col>16</xdr:col>
      <xdr:colOff>53522</xdr:colOff>
      <xdr:row>153</xdr:row>
      <xdr:rowOff>70153</xdr:rowOff>
    </xdr:to>
    <xdr:cxnSp macro="">
      <xdr:nvCxnSpPr>
        <xdr:cNvPr id="453" name="Connecteur droit avec flèche 452"/>
        <xdr:cNvCxnSpPr/>
      </xdr:nvCxnSpPr>
      <xdr:spPr>
        <a:xfrm>
          <a:off x="13486795" y="16260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154</xdr:row>
      <xdr:rowOff>78619</xdr:rowOff>
    </xdr:from>
    <xdr:to>
      <xdr:col>16</xdr:col>
      <xdr:colOff>42940</xdr:colOff>
      <xdr:row>154</xdr:row>
      <xdr:rowOff>80736</xdr:rowOff>
    </xdr:to>
    <xdr:cxnSp macro="">
      <xdr:nvCxnSpPr>
        <xdr:cNvPr id="454" name="Connecteur droit avec flèche 453"/>
        <xdr:cNvCxnSpPr/>
      </xdr:nvCxnSpPr>
      <xdr:spPr>
        <a:xfrm>
          <a:off x="13476213" y="16461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152</xdr:row>
      <xdr:rowOff>78620</xdr:rowOff>
    </xdr:from>
    <xdr:to>
      <xdr:col>16</xdr:col>
      <xdr:colOff>11189</xdr:colOff>
      <xdr:row>152</xdr:row>
      <xdr:rowOff>80737</xdr:rowOff>
    </xdr:to>
    <xdr:cxnSp macro="">
      <xdr:nvCxnSpPr>
        <xdr:cNvPr id="455" name="Connecteur droit avec flèche 454"/>
        <xdr:cNvCxnSpPr/>
      </xdr:nvCxnSpPr>
      <xdr:spPr>
        <a:xfrm>
          <a:off x="13444462" y="16080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144</xdr:row>
      <xdr:rowOff>68036</xdr:rowOff>
    </xdr:from>
    <xdr:to>
      <xdr:col>16</xdr:col>
      <xdr:colOff>74689</xdr:colOff>
      <xdr:row>145</xdr:row>
      <xdr:rowOff>36287</xdr:rowOff>
    </xdr:to>
    <xdr:cxnSp macro="">
      <xdr:nvCxnSpPr>
        <xdr:cNvPr id="456" name="Connecteur droit avec flèche 455"/>
        <xdr:cNvCxnSpPr/>
      </xdr:nvCxnSpPr>
      <xdr:spPr>
        <a:xfrm flipV="1">
          <a:off x="13497378" y="14546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146</xdr:row>
      <xdr:rowOff>89203</xdr:rowOff>
    </xdr:from>
    <xdr:to>
      <xdr:col>16</xdr:col>
      <xdr:colOff>117022</xdr:colOff>
      <xdr:row>147</xdr:row>
      <xdr:rowOff>57454</xdr:rowOff>
    </xdr:to>
    <xdr:cxnSp macro="">
      <xdr:nvCxnSpPr>
        <xdr:cNvPr id="457" name="Connecteur droit avec flèche 456"/>
        <xdr:cNvCxnSpPr/>
      </xdr:nvCxnSpPr>
      <xdr:spPr>
        <a:xfrm flipV="1">
          <a:off x="13550296" y="14948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148</xdr:row>
      <xdr:rowOff>89203</xdr:rowOff>
    </xdr:from>
    <xdr:to>
      <xdr:col>16</xdr:col>
      <xdr:colOff>64105</xdr:colOff>
      <xdr:row>149</xdr:row>
      <xdr:rowOff>57454</xdr:rowOff>
    </xdr:to>
    <xdr:cxnSp macro="">
      <xdr:nvCxnSpPr>
        <xdr:cNvPr id="458" name="Connecteur droit avec flèche 457"/>
        <xdr:cNvCxnSpPr/>
      </xdr:nvCxnSpPr>
      <xdr:spPr>
        <a:xfrm flipV="1">
          <a:off x="13465629" y="15329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150</xdr:row>
      <xdr:rowOff>89203</xdr:rowOff>
    </xdr:from>
    <xdr:to>
      <xdr:col>16</xdr:col>
      <xdr:colOff>138189</xdr:colOff>
      <xdr:row>151</xdr:row>
      <xdr:rowOff>46871</xdr:rowOff>
    </xdr:to>
    <xdr:cxnSp macro="">
      <xdr:nvCxnSpPr>
        <xdr:cNvPr id="459" name="Connecteur droit avec flèche 458"/>
        <xdr:cNvCxnSpPr/>
      </xdr:nvCxnSpPr>
      <xdr:spPr>
        <a:xfrm flipV="1">
          <a:off x="13518545" y="15710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171</xdr:row>
      <xdr:rowOff>113394</xdr:rowOff>
    </xdr:from>
    <xdr:to>
      <xdr:col>12</xdr:col>
      <xdr:colOff>230414</xdr:colOff>
      <xdr:row>178</xdr:row>
      <xdr:rowOff>111278</xdr:rowOff>
    </xdr:to>
    <xdr:cxnSp macro="">
      <xdr:nvCxnSpPr>
        <xdr:cNvPr id="460" name="Connecteur droit avec flèche 459"/>
        <xdr:cNvCxnSpPr/>
      </xdr:nvCxnSpPr>
      <xdr:spPr>
        <a:xfrm flipV="1">
          <a:off x="10164535" y="17448894"/>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175</xdr:row>
      <xdr:rowOff>81644</xdr:rowOff>
    </xdr:from>
    <xdr:to>
      <xdr:col>12</xdr:col>
      <xdr:colOff>61081</xdr:colOff>
      <xdr:row>178</xdr:row>
      <xdr:rowOff>111278</xdr:rowOff>
    </xdr:to>
    <xdr:cxnSp macro="">
      <xdr:nvCxnSpPr>
        <xdr:cNvPr id="461" name="Connecteur droit avec flèche 460"/>
        <xdr:cNvCxnSpPr/>
      </xdr:nvCxnSpPr>
      <xdr:spPr>
        <a:xfrm flipV="1">
          <a:off x="10166652" y="18179144"/>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176</xdr:row>
      <xdr:rowOff>92227</xdr:rowOff>
    </xdr:from>
    <xdr:to>
      <xdr:col>12</xdr:col>
      <xdr:colOff>198664</xdr:colOff>
      <xdr:row>178</xdr:row>
      <xdr:rowOff>145144</xdr:rowOff>
    </xdr:to>
    <xdr:cxnSp macro="">
      <xdr:nvCxnSpPr>
        <xdr:cNvPr id="462" name="Connecteur droit avec flèche 461"/>
        <xdr:cNvCxnSpPr/>
      </xdr:nvCxnSpPr>
      <xdr:spPr>
        <a:xfrm flipV="1">
          <a:off x="10198402" y="18380227"/>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178</xdr:row>
      <xdr:rowOff>102810</xdr:rowOff>
    </xdr:from>
    <xdr:to>
      <xdr:col>12</xdr:col>
      <xdr:colOff>92831</xdr:colOff>
      <xdr:row>178</xdr:row>
      <xdr:rowOff>134560</xdr:rowOff>
    </xdr:to>
    <xdr:cxnSp macro="">
      <xdr:nvCxnSpPr>
        <xdr:cNvPr id="463" name="Connecteur droit avec flèche 462"/>
        <xdr:cNvCxnSpPr/>
      </xdr:nvCxnSpPr>
      <xdr:spPr>
        <a:xfrm flipV="1">
          <a:off x="10208985" y="18771810"/>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169</xdr:row>
      <xdr:rowOff>60478</xdr:rowOff>
    </xdr:from>
    <xdr:to>
      <xdr:col>14</xdr:col>
      <xdr:colOff>63197</xdr:colOff>
      <xdr:row>171</xdr:row>
      <xdr:rowOff>102810</xdr:rowOff>
    </xdr:to>
    <xdr:cxnSp macro="">
      <xdr:nvCxnSpPr>
        <xdr:cNvPr id="464" name="Connecteur droit avec flèche 463"/>
        <xdr:cNvCxnSpPr/>
      </xdr:nvCxnSpPr>
      <xdr:spPr>
        <a:xfrm flipV="1">
          <a:off x="11896271" y="17014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171</xdr:row>
      <xdr:rowOff>100695</xdr:rowOff>
    </xdr:from>
    <xdr:to>
      <xdr:col>13</xdr:col>
      <xdr:colOff>738414</xdr:colOff>
      <xdr:row>171</xdr:row>
      <xdr:rowOff>113394</xdr:rowOff>
    </xdr:to>
    <xdr:cxnSp macro="">
      <xdr:nvCxnSpPr>
        <xdr:cNvPr id="465" name="Connecteur droit avec flèche 464"/>
        <xdr:cNvCxnSpPr/>
      </xdr:nvCxnSpPr>
      <xdr:spPr>
        <a:xfrm>
          <a:off x="11853937" y="17436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173</xdr:row>
      <xdr:rowOff>102810</xdr:rowOff>
    </xdr:from>
    <xdr:to>
      <xdr:col>13</xdr:col>
      <xdr:colOff>738415</xdr:colOff>
      <xdr:row>175</xdr:row>
      <xdr:rowOff>102808</xdr:rowOff>
    </xdr:to>
    <xdr:cxnSp macro="">
      <xdr:nvCxnSpPr>
        <xdr:cNvPr id="466" name="Connecteur droit avec flèche 465"/>
        <xdr:cNvCxnSpPr/>
      </xdr:nvCxnSpPr>
      <xdr:spPr>
        <a:xfrm flipV="1">
          <a:off x="11737522" y="17819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178</xdr:row>
      <xdr:rowOff>92226</xdr:rowOff>
    </xdr:from>
    <xdr:to>
      <xdr:col>13</xdr:col>
      <xdr:colOff>727832</xdr:colOff>
      <xdr:row>178</xdr:row>
      <xdr:rowOff>102811</xdr:rowOff>
    </xdr:to>
    <xdr:cxnSp macro="">
      <xdr:nvCxnSpPr>
        <xdr:cNvPr id="467" name="Connecteur droit avec flèche 466"/>
        <xdr:cNvCxnSpPr/>
      </xdr:nvCxnSpPr>
      <xdr:spPr>
        <a:xfrm>
          <a:off x="11864522" y="18761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176</xdr:row>
      <xdr:rowOff>81643</xdr:rowOff>
    </xdr:from>
    <xdr:to>
      <xdr:col>13</xdr:col>
      <xdr:colOff>748999</xdr:colOff>
      <xdr:row>176</xdr:row>
      <xdr:rowOff>92228</xdr:rowOff>
    </xdr:to>
    <xdr:cxnSp macro="">
      <xdr:nvCxnSpPr>
        <xdr:cNvPr id="468" name="Connecteur droit avec flèche 467"/>
        <xdr:cNvCxnSpPr/>
      </xdr:nvCxnSpPr>
      <xdr:spPr>
        <a:xfrm>
          <a:off x="11938606" y="18369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175</xdr:row>
      <xdr:rowOff>71060</xdr:rowOff>
    </xdr:from>
    <xdr:to>
      <xdr:col>13</xdr:col>
      <xdr:colOff>706665</xdr:colOff>
      <xdr:row>175</xdr:row>
      <xdr:rowOff>92228</xdr:rowOff>
    </xdr:to>
    <xdr:cxnSp macro="">
      <xdr:nvCxnSpPr>
        <xdr:cNvPr id="469" name="Connecteur droit avec flèche 468"/>
        <xdr:cNvCxnSpPr/>
      </xdr:nvCxnSpPr>
      <xdr:spPr>
        <a:xfrm>
          <a:off x="11790439" y="18168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177</xdr:row>
      <xdr:rowOff>134559</xdr:rowOff>
    </xdr:from>
    <xdr:to>
      <xdr:col>13</xdr:col>
      <xdr:colOff>759582</xdr:colOff>
      <xdr:row>178</xdr:row>
      <xdr:rowOff>92226</xdr:rowOff>
    </xdr:to>
    <xdr:cxnSp macro="">
      <xdr:nvCxnSpPr>
        <xdr:cNvPr id="470" name="Connecteur droit avec flèche 469"/>
        <xdr:cNvCxnSpPr/>
      </xdr:nvCxnSpPr>
      <xdr:spPr>
        <a:xfrm flipV="1">
          <a:off x="11864522" y="18613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169</xdr:row>
      <xdr:rowOff>60476</xdr:rowOff>
    </xdr:from>
    <xdr:to>
      <xdr:col>16</xdr:col>
      <xdr:colOff>82249</xdr:colOff>
      <xdr:row>169</xdr:row>
      <xdr:rowOff>73176</xdr:rowOff>
    </xdr:to>
    <xdr:cxnSp macro="">
      <xdr:nvCxnSpPr>
        <xdr:cNvPr id="471" name="Connecteur droit avec flèche 470"/>
        <xdr:cNvCxnSpPr/>
      </xdr:nvCxnSpPr>
      <xdr:spPr>
        <a:xfrm>
          <a:off x="13494355" y="17014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173</xdr:row>
      <xdr:rowOff>92226</xdr:rowOff>
    </xdr:from>
    <xdr:to>
      <xdr:col>16</xdr:col>
      <xdr:colOff>29332</xdr:colOff>
      <xdr:row>173</xdr:row>
      <xdr:rowOff>94343</xdr:rowOff>
    </xdr:to>
    <xdr:cxnSp macro="">
      <xdr:nvCxnSpPr>
        <xdr:cNvPr id="472" name="Connecteur droit avec flèche 471"/>
        <xdr:cNvCxnSpPr/>
      </xdr:nvCxnSpPr>
      <xdr:spPr>
        <a:xfrm>
          <a:off x="13462605" y="17808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171</xdr:row>
      <xdr:rowOff>92226</xdr:rowOff>
    </xdr:from>
    <xdr:to>
      <xdr:col>16</xdr:col>
      <xdr:colOff>103416</xdr:colOff>
      <xdr:row>171</xdr:row>
      <xdr:rowOff>94343</xdr:rowOff>
    </xdr:to>
    <xdr:cxnSp macro="">
      <xdr:nvCxnSpPr>
        <xdr:cNvPr id="473" name="Connecteur droit avec flèche 472"/>
        <xdr:cNvCxnSpPr/>
      </xdr:nvCxnSpPr>
      <xdr:spPr>
        <a:xfrm>
          <a:off x="13536689" y="17427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175</xdr:row>
      <xdr:rowOff>81643</xdr:rowOff>
    </xdr:from>
    <xdr:to>
      <xdr:col>16</xdr:col>
      <xdr:colOff>92832</xdr:colOff>
      <xdr:row>175</xdr:row>
      <xdr:rowOff>83760</xdr:rowOff>
    </xdr:to>
    <xdr:cxnSp macro="">
      <xdr:nvCxnSpPr>
        <xdr:cNvPr id="474" name="Connecteur droit avec flèche 473"/>
        <xdr:cNvCxnSpPr/>
      </xdr:nvCxnSpPr>
      <xdr:spPr>
        <a:xfrm>
          <a:off x="13526105" y="18179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177</xdr:row>
      <xdr:rowOff>81643</xdr:rowOff>
    </xdr:from>
    <xdr:to>
      <xdr:col>16</xdr:col>
      <xdr:colOff>39915</xdr:colOff>
      <xdr:row>177</xdr:row>
      <xdr:rowOff>83760</xdr:rowOff>
    </xdr:to>
    <xdr:cxnSp macro="">
      <xdr:nvCxnSpPr>
        <xdr:cNvPr id="475" name="Connecteur droit avec flèche 474"/>
        <xdr:cNvCxnSpPr/>
      </xdr:nvCxnSpPr>
      <xdr:spPr>
        <a:xfrm>
          <a:off x="13473188" y="18560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178</xdr:row>
      <xdr:rowOff>92226</xdr:rowOff>
    </xdr:from>
    <xdr:to>
      <xdr:col>16</xdr:col>
      <xdr:colOff>29333</xdr:colOff>
      <xdr:row>178</xdr:row>
      <xdr:rowOff>94343</xdr:rowOff>
    </xdr:to>
    <xdr:cxnSp macro="">
      <xdr:nvCxnSpPr>
        <xdr:cNvPr id="476" name="Connecteur droit avec flèche 475"/>
        <xdr:cNvCxnSpPr/>
      </xdr:nvCxnSpPr>
      <xdr:spPr>
        <a:xfrm>
          <a:off x="13462606" y="18761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176</xdr:row>
      <xdr:rowOff>92227</xdr:rowOff>
    </xdr:from>
    <xdr:to>
      <xdr:col>15</xdr:col>
      <xdr:colOff>759582</xdr:colOff>
      <xdr:row>176</xdr:row>
      <xdr:rowOff>94344</xdr:rowOff>
    </xdr:to>
    <xdr:cxnSp macro="">
      <xdr:nvCxnSpPr>
        <xdr:cNvPr id="477" name="Connecteur droit avec flèche 476"/>
        <xdr:cNvCxnSpPr/>
      </xdr:nvCxnSpPr>
      <xdr:spPr>
        <a:xfrm>
          <a:off x="13430855" y="18380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168</xdr:row>
      <xdr:rowOff>81643</xdr:rowOff>
    </xdr:from>
    <xdr:to>
      <xdr:col>16</xdr:col>
      <xdr:colOff>61082</xdr:colOff>
      <xdr:row>169</xdr:row>
      <xdr:rowOff>49894</xdr:rowOff>
    </xdr:to>
    <xdr:cxnSp macro="">
      <xdr:nvCxnSpPr>
        <xdr:cNvPr id="478" name="Connecteur droit avec flèche 477"/>
        <xdr:cNvCxnSpPr/>
      </xdr:nvCxnSpPr>
      <xdr:spPr>
        <a:xfrm flipV="1">
          <a:off x="13483771" y="16845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170</xdr:row>
      <xdr:rowOff>102810</xdr:rowOff>
    </xdr:from>
    <xdr:to>
      <xdr:col>16</xdr:col>
      <xdr:colOff>103415</xdr:colOff>
      <xdr:row>171</xdr:row>
      <xdr:rowOff>71061</xdr:rowOff>
    </xdr:to>
    <xdr:cxnSp macro="">
      <xdr:nvCxnSpPr>
        <xdr:cNvPr id="479" name="Connecteur droit avec flèche 478"/>
        <xdr:cNvCxnSpPr/>
      </xdr:nvCxnSpPr>
      <xdr:spPr>
        <a:xfrm flipV="1">
          <a:off x="13536689" y="17247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172</xdr:row>
      <xdr:rowOff>102810</xdr:rowOff>
    </xdr:from>
    <xdr:to>
      <xdr:col>16</xdr:col>
      <xdr:colOff>50498</xdr:colOff>
      <xdr:row>173</xdr:row>
      <xdr:rowOff>71061</xdr:rowOff>
    </xdr:to>
    <xdr:cxnSp macro="">
      <xdr:nvCxnSpPr>
        <xdr:cNvPr id="480" name="Connecteur droit avec flèche 479"/>
        <xdr:cNvCxnSpPr/>
      </xdr:nvCxnSpPr>
      <xdr:spPr>
        <a:xfrm flipV="1">
          <a:off x="13452022" y="17628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174</xdr:row>
      <xdr:rowOff>102810</xdr:rowOff>
    </xdr:from>
    <xdr:to>
      <xdr:col>16</xdr:col>
      <xdr:colOff>124582</xdr:colOff>
      <xdr:row>175</xdr:row>
      <xdr:rowOff>60478</xdr:rowOff>
    </xdr:to>
    <xdr:cxnSp macro="">
      <xdr:nvCxnSpPr>
        <xdr:cNvPr id="481" name="Connecteur droit avec flèche 480"/>
        <xdr:cNvCxnSpPr/>
      </xdr:nvCxnSpPr>
      <xdr:spPr>
        <a:xfrm flipV="1">
          <a:off x="13504938" y="18009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183</xdr:row>
      <xdr:rowOff>99787</xdr:rowOff>
    </xdr:from>
    <xdr:to>
      <xdr:col>12</xdr:col>
      <xdr:colOff>380093</xdr:colOff>
      <xdr:row>190</xdr:row>
      <xdr:rowOff>97671</xdr:rowOff>
    </xdr:to>
    <xdr:cxnSp macro="">
      <xdr:nvCxnSpPr>
        <xdr:cNvPr id="482" name="Connecteur droit avec flèche 481"/>
        <xdr:cNvCxnSpPr/>
      </xdr:nvCxnSpPr>
      <xdr:spPr>
        <a:xfrm flipV="1">
          <a:off x="10314214" y="19721287"/>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1131510</xdr:colOff>
      <xdr:row>187</xdr:row>
      <xdr:rowOff>68037</xdr:rowOff>
    </xdr:from>
    <xdr:to>
      <xdr:col>12</xdr:col>
      <xdr:colOff>210760</xdr:colOff>
      <xdr:row>190</xdr:row>
      <xdr:rowOff>97671</xdr:rowOff>
    </xdr:to>
    <xdr:cxnSp macro="">
      <xdr:nvCxnSpPr>
        <xdr:cNvPr id="483" name="Connecteur droit avec flèche 482"/>
        <xdr:cNvCxnSpPr/>
      </xdr:nvCxnSpPr>
      <xdr:spPr>
        <a:xfrm flipV="1">
          <a:off x="10316331" y="20451537"/>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1163260</xdr:colOff>
      <xdr:row>188</xdr:row>
      <xdr:rowOff>78620</xdr:rowOff>
    </xdr:from>
    <xdr:to>
      <xdr:col>12</xdr:col>
      <xdr:colOff>348343</xdr:colOff>
      <xdr:row>190</xdr:row>
      <xdr:rowOff>131537</xdr:rowOff>
    </xdr:to>
    <xdr:cxnSp macro="">
      <xdr:nvCxnSpPr>
        <xdr:cNvPr id="484" name="Connecteur droit avec flèche 483"/>
        <xdr:cNvCxnSpPr/>
      </xdr:nvCxnSpPr>
      <xdr:spPr>
        <a:xfrm flipV="1">
          <a:off x="10348081" y="20652620"/>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1173843</xdr:colOff>
      <xdr:row>190</xdr:row>
      <xdr:rowOff>89203</xdr:rowOff>
    </xdr:from>
    <xdr:to>
      <xdr:col>12</xdr:col>
      <xdr:colOff>242510</xdr:colOff>
      <xdr:row>190</xdr:row>
      <xdr:rowOff>120953</xdr:rowOff>
    </xdr:to>
    <xdr:cxnSp macro="">
      <xdr:nvCxnSpPr>
        <xdr:cNvPr id="485" name="Connecteur droit avec flèche 484"/>
        <xdr:cNvCxnSpPr/>
      </xdr:nvCxnSpPr>
      <xdr:spPr>
        <a:xfrm flipV="1">
          <a:off x="10358664" y="21044203"/>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30843</xdr:colOff>
      <xdr:row>181</xdr:row>
      <xdr:rowOff>46871</xdr:rowOff>
    </xdr:from>
    <xdr:to>
      <xdr:col>14</xdr:col>
      <xdr:colOff>212876</xdr:colOff>
      <xdr:row>183</xdr:row>
      <xdr:rowOff>89203</xdr:rowOff>
    </xdr:to>
    <xdr:cxnSp macro="">
      <xdr:nvCxnSpPr>
        <xdr:cNvPr id="486" name="Connecteur droit avec flèche 485"/>
        <xdr:cNvCxnSpPr/>
      </xdr:nvCxnSpPr>
      <xdr:spPr>
        <a:xfrm flipV="1">
          <a:off x="12045950" y="19287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750509</xdr:colOff>
      <xdr:row>183</xdr:row>
      <xdr:rowOff>87088</xdr:rowOff>
    </xdr:from>
    <xdr:to>
      <xdr:col>14</xdr:col>
      <xdr:colOff>126093</xdr:colOff>
      <xdr:row>183</xdr:row>
      <xdr:rowOff>99787</xdr:rowOff>
    </xdr:to>
    <xdr:cxnSp macro="">
      <xdr:nvCxnSpPr>
        <xdr:cNvPr id="487" name="Connecteur droit avec flèche 486"/>
        <xdr:cNvCxnSpPr/>
      </xdr:nvCxnSpPr>
      <xdr:spPr>
        <a:xfrm>
          <a:off x="12003616" y="19708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634094</xdr:colOff>
      <xdr:row>185</xdr:row>
      <xdr:rowOff>89203</xdr:rowOff>
    </xdr:from>
    <xdr:to>
      <xdr:col>14</xdr:col>
      <xdr:colOff>126094</xdr:colOff>
      <xdr:row>187</xdr:row>
      <xdr:rowOff>89201</xdr:rowOff>
    </xdr:to>
    <xdr:cxnSp macro="">
      <xdr:nvCxnSpPr>
        <xdr:cNvPr id="488" name="Connecteur droit avec flèche 487"/>
        <xdr:cNvCxnSpPr/>
      </xdr:nvCxnSpPr>
      <xdr:spPr>
        <a:xfrm flipV="1">
          <a:off x="11887201" y="20091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190</xdr:row>
      <xdr:rowOff>78619</xdr:rowOff>
    </xdr:from>
    <xdr:to>
      <xdr:col>14</xdr:col>
      <xdr:colOff>115511</xdr:colOff>
      <xdr:row>190</xdr:row>
      <xdr:rowOff>89204</xdr:rowOff>
    </xdr:to>
    <xdr:cxnSp macro="">
      <xdr:nvCxnSpPr>
        <xdr:cNvPr id="489" name="Connecteur droit avec flèche 488"/>
        <xdr:cNvCxnSpPr/>
      </xdr:nvCxnSpPr>
      <xdr:spPr>
        <a:xfrm>
          <a:off x="12014201" y="21033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73178</xdr:colOff>
      <xdr:row>188</xdr:row>
      <xdr:rowOff>68036</xdr:rowOff>
    </xdr:from>
    <xdr:to>
      <xdr:col>14</xdr:col>
      <xdr:colOff>136678</xdr:colOff>
      <xdr:row>188</xdr:row>
      <xdr:rowOff>78621</xdr:rowOff>
    </xdr:to>
    <xdr:cxnSp macro="">
      <xdr:nvCxnSpPr>
        <xdr:cNvPr id="490" name="Connecteur droit avec flèche 489"/>
        <xdr:cNvCxnSpPr/>
      </xdr:nvCxnSpPr>
      <xdr:spPr>
        <a:xfrm>
          <a:off x="12088285" y="20642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687011</xdr:colOff>
      <xdr:row>187</xdr:row>
      <xdr:rowOff>57453</xdr:rowOff>
    </xdr:from>
    <xdr:to>
      <xdr:col>14</xdr:col>
      <xdr:colOff>94344</xdr:colOff>
      <xdr:row>187</xdr:row>
      <xdr:rowOff>78621</xdr:rowOff>
    </xdr:to>
    <xdr:cxnSp macro="">
      <xdr:nvCxnSpPr>
        <xdr:cNvPr id="491" name="Connecteur droit avec flèche 490"/>
        <xdr:cNvCxnSpPr/>
      </xdr:nvCxnSpPr>
      <xdr:spPr>
        <a:xfrm>
          <a:off x="11940118" y="20440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189</xdr:row>
      <xdr:rowOff>120952</xdr:rowOff>
    </xdr:from>
    <xdr:to>
      <xdr:col>14</xdr:col>
      <xdr:colOff>147261</xdr:colOff>
      <xdr:row>190</xdr:row>
      <xdr:rowOff>78619</xdr:rowOff>
    </xdr:to>
    <xdr:cxnSp macro="">
      <xdr:nvCxnSpPr>
        <xdr:cNvPr id="492" name="Connecteur droit avec flèche 491"/>
        <xdr:cNvCxnSpPr/>
      </xdr:nvCxnSpPr>
      <xdr:spPr>
        <a:xfrm flipV="1">
          <a:off x="12014201" y="20885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104927</xdr:colOff>
      <xdr:row>181</xdr:row>
      <xdr:rowOff>46869</xdr:rowOff>
    </xdr:from>
    <xdr:to>
      <xdr:col>16</xdr:col>
      <xdr:colOff>231928</xdr:colOff>
      <xdr:row>181</xdr:row>
      <xdr:rowOff>59569</xdr:rowOff>
    </xdr:to>
    <xdr:cxnSp macro="">
      <xdr:nvCxnSpPr>
        <xdr:cNvPr id="493" name="Connecteur droit avec flèche 492"/>
        <xdr:cNvCxnSpPr/>
      </xdr:nvCxnSpPr>
      <xdr:spPr>
        <a:xfrm>
          <a:off x="13644034" y="19287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73177</xdr:colOff>
      <xdr:row>185</xdr:row>
      <xdr:rowOff>78619</xdr:rowOff>
    </xdr:from>
    <xdr:to>
      <xdr:col>16</xdr:col>
      <xdr:colOff>179011</xdr:colOff>
      <xdr:row>185</xdr:row>
      <xdr:rowOff>80736</xdr:rowOff>
    </xdr:to>
    <xdr:cxnSp macro="">
      <xdr:nvCxnSpPr>
        <xdr:cNvPr id="494" name="Connecteur droit avec flèche 493"/>
        <xdr:cNvCxnSpPr/>
      </xdr:nvCxnSpPr>
      <xdr:spPr>
        <a:xfrm>
          <a:off x="13612284" y="20081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183</xdr:row>
      <xdr:rowOff>78619</xdr:rowOff>
    </xdr:from>
    <xdr:to>
      <xdr:col>16</xdr:col>
      <xdr:colOff>253095</xdr:colOff>
      <xdr:row>183</xdr:row>
      <xdr:rowOff>80736</xdr:rowOff>
    </xdr:to>
    <xdr:cxnSp macro="">
      <xdr:nvCxnSpPr>
        <xdr:cNvPr id="495" name="Connecteur droit avec flèche 494"/>
        <xdr:cNvCxnSpPr/>
      </xdr:nvCxnSpPr>
      <xdr:spPr>
        <a:xfrm>
          <a:off x="13686368" y="19700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187</xdr:row>
      <xdr:rowOff>68036</xdr:rowOff>
    </xdr:from>
    <xdr:to>
      <xdr:col>16</xdr:col>
      <xdr:colOff>242511</xdr:colOff>
      <xdr:row>187</xdr:row>
      <xdr:rowOff>70153</xdr:rowOff>
    </xdr:to>
    <xdr:cxnSp macro="">
      <xdr:nvCxnSpPr>
        <xdr:cNvPr id="496" name="Connecteur droit avec flèche 495"/>
        <xdr:cNvCxnSpPr/>
      </xdr:nvCxnSpPr>
      <xdr:spPr>
        <a:xfrm>
          <a:off x="13675784" y="20451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83760</xdr:colOff>
      <xdr:row>189</xdr:row>
      <xdr:rowOff>68036</xdr:rowOff>
    </xdr:from>
    <xdr:to>
      <xdr:col>16</xdr:col>
      <xdr:colOff>189594</xdr:colOff>
      <xdr:row>189</xdr:row>
      <xdr:rowOff>70153</xdr:rowOff>
    </xdr:to>
    <xdr:cxnSp macro="">
      <xdr:nvCxnSpPr>
        <xdr:cNvPr id="497" name="Connecteur droit avec flèche 496"/>
        <xdr:cNvCxnSpPr/>
      </xdr:nvCxnSpPr>
      <xdr:spPr>
        <a:xfrm>
          <a:off x="13622867" y="20832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73178</xdr:colOff>
      <xdr:row>190</xdr:row>
      <xdr:rowOff>78619</xdr:rowOff>
    </xdr:from>
    <xdr:to>
      <xdr:col>16</xdr:col>
      <xdr:colOff>179012</xdr:colOff>
      <xdr:row>190</xdr:row>
      <xdr:rowOff>80736</xdr:rowOff>
    </xdr:to>
    <xdr:cxnSp macro="">
      <xdr:nvCxnSpPr>
        <xdr:cNvPr id="498" name="Connecteur droit avec flèche 497"/>
        <xdr:cNvCxnSpPr/>
      </xdr:nvCxnSpPr>
      <xdr:spPr>
        <a:xfrm>
          <a:off x="13612285" y="21033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41427</xdr:colOff>
      <xdr:row>188</xdr:row>
      <xdr:rowOff>78620</xdr:rowOff>
    </xdr:from>
    <xdr:to>
      <xdr:col>16</xdr:col>
      <xdr:colOff>147261</xdr:colOff>
      <xdr:row>188</xdr:row>
      <xdr:rowOff>80737</xdr:rowOff>
    </xdr:to>
    <xdr:cxnSp macro="">
      <xdr:nvCxnSpPr>
        <xdr:cNvPr id="499" name="Connecteur droit avec flèche 498"/>
        <xdr:cNvCxnSpPr/>
      </xdr:nvCxnSpPr>
      <xdr:spPr>
        <a:xfrm>
          <a:off x="13580534" y="20652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94343</xdr:colOff>
      <xdr:row>180</xdr:row>
      <xdr:rowOff>68036</xdr:rowOff>
    </xdr:from>
    <xdr:to>
      <xdr:col>16</xdr:col>
      <xdr:colOff>210761</xdr:colOff>
      <xdr:row>181</xdr:row>
      <xdr:rowOff>36287</xdr:rowOff>
    </xdr:to>
    <xdr:cxnSp macro="">
      <xdr:nvCxnSpPr>
        <xdr:cNvPr id="500" name="Connecteur droit avec flèche 499"/>
        <xdr:cNvCxnSpPr/>
      </xdr:nvCxnSpPr>
      <xdr:spPr>
        <a:xfrm flipV="1">
          <a:off x="13633450" y="19118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182</xdr:row>
      <xdr:rowOff>89203</xdr:rowOff>
    </xdr:from>
    <xdr:to>
      <xdr:col>16</xdr:col>
      <xdr:colOff>253094</xdr:colOff>
      <xdr:row>183</xdr:row>
      <xdr:rowOff>57454</xdr:rowOff>
    </xdr:to>
    <xdr:cxnSp macro="">
      <xdr:nvCxnSpPr>
        <xdr:cNvPr id="501" name="Connecteur droit avec flèche 500"/>
        <xdr:cNvCxnSpPr/>
      </xdr:nvCxnSpPr>
      <xdr:spPr>
        <a:xfrm flipV="1">
          <a:off x="13686368" y="19520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62594</xdr:colOff>
      <xdr:row>184</xdr:row>
      <xdr:rowOff>89203</xdr:rowOff>
    </xdr:from>
    <xdr:to>
      <xdr:col>16</xdr:col>
      <xdr:colOff>200177</xdr:colOff>
      <xdr:row>185</xdr:row>
      <xdr:rowOff>57454</xdr:rowOff>
    </xdr:to>
    <xdr:cxnSp macro="">
      <xdr:nvCxnSpPr>
        <xdr:cNvPr id="502" name="Connecteur droit avec flèche 501"/>
        <xdr:cNvCxnSpPr/>
      </xdr:nvCxnSpPr>
      <xdr:spPr>
        <a:xfrm flipV="1">
          <a:off x="13601701" y="19901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115510</xdr:colOff>
      <xdr:row>186</xdr:row>
      <xdr:rowOff>89203</xdr:rowOff>
    </xdr:from>
    <xdr:to>
      <xdr:col>16</xdr:col>
      <xdr:colOff>274261</xdr:colOff>
      <xdr:row>187</xdr:row>
      <xdr:rowOff>46871</xdr:rowOff>
    </xdr:to>
    <xdr:cxnSp macro="">
      <xdr:nvCxnSpPr>
        <xdr:cNvPr id="503" name="Connecteur droit avec flèche 502"/>
        <xdr:cNvCxnSpPr/>
      </xdr:nvCxnSpPr>
      <xdr:spPr>
        <a:xfrm flipV="1">
          <a:off x="13654617" y="20282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966107</xdr:colOff>
      <xdr:row>195</xdr:row>
      <xdr:rowOff>113394</xdr:rowOff>
    </xdr:from>
    <xdr:to>
      <xdr:col>12</xdr:col>
      <xdr:colOff>216807</xdr:colOff>
      <xdr:row>202</xdr:row>
      <xdr:rowOff>111278</xdr:rowOff>
    </xdr:to>
    <xdr:cxnSp macro="">
      <xdr:nvCxnSpPr>
        <xdr:cNvPr id="504" name="Connecteur droit avec flèche 503"/>
        <xdr:cNvCxnSpPr/>
      </xdr:nvCxnSpPr>
      <xdr:spPr>
        <a:xfrm flipV="1">
          <a:off x="10150928" y="22020894"/>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968224</xdr:colOff>
      <xdr:row>199</xdr:row>
      <xdr:rowOff>81644</xdr:rowOff>
    </xdr:from>
    <xdr:to>
      <xdr:col>12</xdr:col>
      <xdr:colOff>47474</xdr:colOff>
      <xdr:row>202</xdr:row>
      <xdr:rowOff>111278</xdr:rowOff>
    </xdr:to>
    <xdr:cxnSp macro="">
      <xdr:nvCxnSpPr>
        <xdr:cNvPr id="505" name="Connecteur droit avec flèche 504"/>
        <xdr:cNvCxnSpPr/>
      </xdr:nvCxnSpPr>
      <xdr:spPr>
        <a:xfrm flipV="1">
          <a:off x="10153045" y="22751144"/>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999974</xdr:colOff>
      <xdr:row>200</xdr:row>
      <xdr:rowOff>92227</xdr:rowOff>
    </xdr:from>
    <xdr:to>
      <xdr:col>12</xdr:col>
      <xdr:colOff>185057</xdr:colOff>
      <xdr:row>202</xdr:row>
      <xdr:rowOff>145144</xdr:rowOff>
    </xdr:to>
    <xdr:cxnSp macro="">
      <xdr:nvCxnSpPr>
        <xdr:cNvPr id="506" name="Connecteur droit avec flèche 505"/>
        <xdr:cNvCxnSpPr/>
      </xdr:nvCxnSpPr>
      <xdr:spPr>
        <a:xfrm flipV="1">
          <a:off x="10184795" y="22952227"/>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1010557</xdr:colOff>
      <xdr:row>202</xdr:row>
      <xdr:rowOff>102810</xdr:rowOff>
    </xdr:from>
    <xdr:to>
      <xdr:col>12</xdr:col>
      <xdr:colOff>79224</xdr:colOff>
      <xdr:row>202</xdr:row>
      <xdr:rowOff>134560</xdr:rowOff>
    </xdr:to>
    <xdr:cxnSp macro="">
      <xdr:nvCxnSpPr>
        <xdr:cNvPr id="507" name="Connecteur droit avec flèche 506"/>
        <xdr:cNvCxnSpPr/>
      </xdr:nvCxnSpPr>
      <xdr:spPr>
        <a:xfrm flipV="1">
          <a:off x="10195378" y="23343810"/>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193</xdr:row>
      <xdr:rowOff>60478</xdr:rowOff>
    </xdr:from>
    <xdr:to>
      <xdr:col>14</xdr:col>
      <xdr:colOff>49590</xdr:colOff>
      <xdr:row>195</xdr:row>
      <xdr:rowOff>102810</xdr:rowOff>
    </xdr:to>
    <xdr:cxnSp macro="">
      <xdr:nvCxnSpPr>
        <xdr:cNvPr id="508" name="Connecteur droit avec flèche 507"/>
        <xdr:cNvCxnSpPr/>
      </xdr:nvCxnSpPr>
      <xdr:spPr>
        <a:xfrm flipV="1">
          <a:off x="11882664" y="21586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195</xdr:row>
      <xdr:rowOff>100695</xdr:rowOff>
    </xdr:from>
    <xdr:to>
      <xdr:col>13</xdr:col>
      <xdr:colOff>724807</xdr:colOff>
      <xdr:row>195</xdr:row>
      <xdr:rowOff>113394</xdr:rowOff>
    </xdr:to>
    <xdr:cxnSp macro="">
      <xdr:nvCxnSpPr>
        <xdr:cNvPr id="509" name="Connecteur droit avec flèche 508"/>
        <xdr:cNvCxnSpPr/>
      </xdr:nvCxnSpPr>
      <xdr:spPr>
        <a:xfrm>
          <a:off x="11840330" y="22008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197</xdr:row>
      <xdr:rowOff>102810</xdr:rowOff>
    </xdr:from>
    <xdr:to>
      <xdr:col>13</xdr:col>
      <xdr:colOff>724808</xdr:colOff>
      <xdr:row>199</xdr:row>
      <xdr:rowOff>102808</xdr:rowOff>
    </xdr:to>
    <xdr:cxnSp macro="">
      <xdr:nvCxnSpPr>
        <xdr:cNvPr id="510" name="Connecteur droit avec flèche 509"/>
        <xdr:cNvCxnSpPr/>
      </xdr:nvCxnSpPr>
      <xdr:spPr>
        <a:xfrm flipV="1">
          <a:off x="11723915" y="22391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202</xdr:row>
      <xdr:rowOff>92226</xdr:rowOff>
    </xdr:from>
    <xdr:to>
      <xdr:col>13</xdr:col>
      <xdr:colOff>714225</xdr:colOff>
      <xdr:row>202</xdr:row>
      <xdr:rowOff>102811</xdr:rowOff>
    </xdr:to>
    <xdr:cxnSp macro="">
      <xdr:nvCxnSpPr>
        <xdr:cNvPr id="511" name="Connecteur droit avec flèche 510"/>
        <xdr:cNvCxnSpPr/>
      </xdr:nvCxnSpPr>
      <xdr:spPr>
        <a:xfrm>
          <a:off x="11850915" y="23333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200</xdr:row>
      <xdr:rowOff>81643</xdr:rowOff>
    </xdr:from>
    <xdr:to>
      <xdr:col>13</xdr:col>
      <xdr:colOff>735392</xdr:colOff>
      <xdr:row>200</xdr:row>
      <xdr:rowOff>92228</xdr:rowOff>
    </xdr:to>
    <xdr:cxnSp macro="">
      <xdr:nvCxnSpPr>
        <xdr:cNvPr id="512" name="Connecteur droit avec flèche 511"/>
        <xdr:cNvCxnSpPr/>
      </xdr:nvCxnSpPr>
      <xdr:spPr>
        <a:xfrm>
          <a:off x="11924999" y="22941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199</xdr:row>
      <xdr:rowOff>71060</xdr:rowOff>
    </xdr:from>
    <xdr:to>
      <xdr:col>13</xdr:col>
      <xdr:colOff>693058</xdr:colOff>
      <xdr:row>199</xdr:row>
      <xdr:rowOff>92228</xdr:rowOff>
    </xdr:to>
    <xdr:cxnSp macro="">
      <xdr:nvCxnSpPr>
        <xdr:cNvPr id="513" name="Connecteur droit avec flèche 512"/>
        <xdr:cNvCxnSpPr/>
      </xdr:nvCxnSpPr>
      <xdr:spPr>
        <a:xfrm>
          <a:off x="11776832" y="22740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201</xdr:row>
      <xdr:rowOff>134559</xdr:rowOff>
    </xdr:from>
    <xdr:to>
      <xdr:col>13</xdr:col>
      <xdr:colOff>745975</xdr:colOff>
      <xdr:row>202</xdr:row>
      <xdr:rowOff>92226</xdr:rowOff>
    </xdr:to>
    <xdr:cxnSp macro="">
      <xdr:nvCxnSpPr>
        <xdr:cNvPr id="514" name="Connecteur droit avec flèche 513"/>
        <xdr:cNvCxnSpPr/>
      </xdr:nvCxnSpPr>
      <xdr:spPr>
        <a:xfrm flipV="1">
          <a:off x="11850915" y="23185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703641</xdr:colOff>
      <xdr:row>193</xdr:row>
      <xdr:rowOff>60476</xdr:rowOff>
    </xdr:from>
    <xdr:to>
      <xdr:col>16</xdr:col>
      <xdr:colOff>68642</xdr:colOff>
      <xdr:row>193</xdr:row>
      <xdr:rowOff>73176</xdr:rowOff>
    </xdr:to>
    <xdr:cxnSp macro="">
      <xdr:nvCxnSpPr>
        <xdr:cNvPr id="515" name="Connecteur droit avec flèche 514"/>
        <xdr:cNvCxnSpPr/>
      </xdr:nvCxnSpPr>
      <xdr:spPr>
        <a:xfrm>
          <a:off x="13480748" y="21586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671891</xdr:colOff>
      <xdr:row>197</xdr:row>
      <xdr:rowOff>92226</xdr:rowOff>
    </xdr:from>
    <xdr:to>
      <xdr:col>16</xdr:col>
      <xdr:colOff>15725</xdr:colOff>
      <xdr:row>197</xdr:row>
      <xdr:rowOff>94343</xdr:rowOff>
    </xdr:to>
    <xdr:cxnSp macro="">
      <xdr:nvCxnSpPr>
        <xdr:cNvPr id="516" name="Connecteur droit avec flèche 515"/>
        <xdr:cNvCxnSpPr/>
      </xdr:nvCxnSpPr>
      <xdr:spPr>
        <a:xfrm>
          <a:off x="13448998" y="22380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195</xdr:row>
      <xdr:rowOff>92226</xdr:rowOff>
    </xdr:from>
    <xdr:to>
      <xdr:col>16</xdr:col>
      <xdr:colOff>89809</xdr:colOff>
      <xdr:row>195</xdr:row>
      <xdr:rowOff>94343</xdr:rowOff>
    </xdr:to>
    <xdr:cxnSp macro="">
      <xdr:nvCxnSpPr>
        <xdr:cNvPr id="517" name="Connecteur droit avec flèche 516"/>
        <xdr:cNvCxnSpPr/>
      </xdr:nvCxnSpPr>
      <xdr:spPr>
        <a:xfrm>
          <a:off x="13523082" y="21999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735391</xdr:colOff>
      <xdr:row>199</xdr:row>
      <xdr:rowOff>81643</xdr:rowOff>
    </xdr:from>
    <xdr:to>
      <xdr:col>16</xdr:col>
      <xdr:colOff>79225</xdr:colOff>
      <xdr:row>199</xdr:row>
      <xdr:rowOff>83760</xdr:rowOff>
    </xdr:to>
    <xdr:cxnSp macro="">
      <xdr:nvCxnSpPr>
        <xdr:cNvPr id="518" name="Connecteur droit avec flèche 517"/>
        <xdr:cNvCxnSpPr/>
      </xdr:nvCxnSpPr>
      <xdr:spPr>
        <a:xfrm>
          <a:off x="13512498" y="22751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682474</xdr:colOff>
      <xdr:row>201</xdr:row>
      <xdr:rowOff>81643</xdr:rowOff>
    </xdr:from>
    <xdr:to>
      <xdr:col>16</xdr:col>
      <xdr:colOff>26308</xdr:colOff>
      <xdr:row>201</xdr:row>
      <xdr:rowOff>83760</xdr:rowOff>
    </xdr:to>
    <xdr:cxnSp macro="">
      <xdr:nvCxnSpPr>
        <xdr:cNvPr id="519" name="Connecteur droit avec flèche 518"/>
        <xdr:cNvCxnSpPr/>
      </xdr:nvCxnSpPr>
      <xdr:spPr>
        <a:xfrm>
          <a:off x="13459581" y="23132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671892</xdr:colOff>
      <xdr:row>202</xdr:row>
      <xdr:rowOff>92226</xdr:rowOff>
    </xdr:from>
    <xdr:to>
      <xdr:col>16</xdr:col>
      <xdr:colOff>15726</xdr:colOff>
      <xdr:row>202</xdr:row>
      <xdr:rowOff>94343</xdr:rowOff>
    </xdr:to>
    <xdr:cxnSp macro="">
      <xdr:nvCxnSpPr>
        <xdr:cNvPr id="520" name="Connecteur droit avec flèche 519"/>
        <xdr:cNvCxnSpPr/>
      </xdr:nvCxnSpPr>
      <xdr:spPr>
        <a:xfrm>
          <a:off x="13448999" y="23333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640141</xdr:colOff>
      <xdr:row>200</xdr:row>
      <xdr:rowOff>92227</xdr:rowOff>
    </xdr:from>
    <xdr:to>
      <xdr:col>15</xdr:col>
      <xdr:colOff>745975</xdr:colOff>
      <xdr:row>200</xdr:row>
      <xdr:rowOff>94344</xdr:rowOff>
    </xdr:to>
    <xdr:cxnSp macro="">
      <xdr:nvCxnSpPr>
        <xdr:cNvPr id="521" name="Connecteur droit avec flèche 520"/>
        <xdr:cNvCxnSpPr/>
      </xdr:nvCxnSpPr>
      <xdr:spPr>
        <a:xfrm>
          <a:off x="13417248" y="22952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693057</xdr:colOff>
      <xdr:row>192</xdr:row>
      <xdr:rowOff>81643</xdr:rowOff>
    </xdr:from>
    <xdr:to>
      <xdr:col>16</xdr:col>
      <xdr:colOff>47475</xdr:colOff>
      <xdr:row>193</xdr:row>
      <xdr:rowOff>49894</xdr:rowOff>
    </xdr:to>
    <xdr:cxnSp macro="">
      <xdr:nvCxnSpPr>
        <xdr:cNvPr id="522" name="Connecteur droit avec flèche 521"/>
        <xdr:cNvCxnSpPr/>
      </xdr:nvCxnSpPr>
      <xdr:spPr>
        <a:xfrm flipV="1">
          <a:off x="13470164" y="21417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194</xdr:row>
      <xdr:rowOff>102810</xdr:rowOff>
    </xdr:from>
    <xdr:to>
      <xdr:col>16</xdr:col>
      <xdr:colOff>89808</xdr:colOff>
      <xdr:row>195</xdr:row>
      <xdr:rowOff>71061</xdr:rowOff>
    </xdr:to>
    <xdr:cxnSp macro="">
      <xdr:nvCxnSpPr>
        <xdr:cNvPr id="523" name="Connecteur droit avec flèche 522"/>
        <xdr:cNvCxnSpPr/>
      </xdr:nvCxnSpPr>
      <xdr:spPr>
        <a:xfrm flipV="1">
          <a:off x="13523082" y="21819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661308</xdr:colOff>
      <xdr:row>196</xdr:row>
      <xdr:rowOff>102810</xdr:rowOff>
    </xdr:from>
    <xdr:to>
      <xdr:col>16</xdr:col>
      <xdr:colOff>36891</xdr:colOff>
      <xdr:row>197</xdr:row>
      <xdr:rowOff>71061</xdr:rowOff>
    </xdr:to>
    <xdr:cxnSp macro="">
      <xdr:nvCxnSpPr>
        <xdr:cNvPr id="524" name="Connecteur droit avec flèche 523"/>
        <xdr:cNvCxnSpPr/>
      </xdr:nvCxnSpPr>
      <xdr:spPr>
        <a:xfrm flipV="1">
          <a:off x="13438415" y="22200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714224</xdr:colOff>
      <xdr:row>198</xdr:row>
      <xdr:rowOff>102810</xdr:rowOff>
    </xdr:from>
    <xdr:to>
      <xdr:col>16</xdr:col>
      <xdr:colOff>110975</xdr:colOff>
      <xdr:row>199</xdr:row>
      <xdr:rowOff>60478</xdr:rowOff>
    </xdr:to>
    <xdr:cxnSp macro="">
      <xdr:nvCxnSpPr>
        <xdr:cNvPr id="525" name="Connecteur droit avec flèche 524"/>
        <xdr:cNvCxnSpPr/>
      </xdr:nvCxnSpPr>
      <xdr:spPr>
        <a:xfrm flipV="1">
          <a:off x="13491331" y="22581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219</xdr:row>
      <xdr:rowOff>127001</xdr:rowOff>
    </xdr:from>
    <xdr:to>
      <xdr:col>12</xdr:col>
      <xdr:colOff>244021</xdr:colOff>
      <xdr:row>226</xdr:row>
      <xdr:rowOff>124885</xdr:rowOff>
    </xdr:to>
    <xdr:cxnSp macro="">
      <xdr:nvCxnSpPr>
        <xdr:cNvPr id="526" name="Connecteur droit avec flèche 525"/>
        <xdr:cNvCxnSpPr/>
      </xdr:nvCxnSpPr>
      <xdr:spPr>
        <a:xfrm flipV="1">
          <a:off x="10178142" y="24320501"/>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223</xdr:row>
      <xdr:rowOff>95251</xdr:rowOff>
    </xdr:from>
    <xdr:to>
      <xdr:col>12</xdr:col>
      <xdr:colOff>74688</xdr:colOff>
      <xdr:row>226</xdr:row>
      <xdr:rowOff>124885</xdr:rowOff>
    </xdr:to>
    <xdr:cxnSp macro="">
      <xdr:nvCxnSpPr>
        <xdr:cNvPr id="527" name="Connecteur droit avec flèche 526"/>
        <xdr:cNvCxnSpPr/>
      </xdr:nvCxnSpPr>
      <xdr:spPr>
        <a:xfrm flipV="1">
          <a:off x="10180259" y="25050751"/>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224</xdr:row>
      <xdr:rowOff>105834</xdr:rowOff>
    </xdr:from>
    <xdr:to>
      <xdr:col>12</xdr:col>
      <xdr:colOff>212271</xdr:colOff>
      <xdr:row>226</xdr:row>
      <xdr:rowOff>158751</xdr:rowOff>
    </xdr:to>
    <xdr:cxnSp macro="">
      <xdr:nvCxnSpPr>
        <xdr:cNvPr id="528" name="Connecteur droit avec flèche 527"/>
        <xdr:cNvCxnSpPr/>
      </xdr:nvCxnSpPr>
      <xdr:spPr>
        <a:xfrm flipV="1">
          <a:off x="10212009" y="25251834"/>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226</xdr:row>
      <xdr:rowOff>116417</xdr:rowOff>
    </xdr:from>
    <xdr:to>
      <xdr:col>12</xdr:col>
      <xdr:colOff>106438</xdr:colOff>
      <xdr:row>226</xdr:row>
      <xdr:rowOff>148167</xdr:rowOff>
    </xdr:to>
    <xdr:cxnSp macro="">
      <xdr:nvCxnSpPr>
        <xdr:cNvPr id="529" name="Connecteur droit avec flèche 528"/>
        <xdr:cNvCxnSpPr/>
      </xdr:nvCxnSpPr>
      <xdr:spPr>
        <a:xfrm flipV="1">
          <a:off x="10222592" y="25643417"/>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217</xdr:row>
      <xdr:rowOff>74085</xdr:rowOff>
    </xdr:from>
    <xdr:to>
      <xdr:col>14</xdr:col>
      <xdr:colOff>76804</xdr:colOff>
      <xdr:row>219</xdr:row>
      <xdr:rowOff>116417</xdr:rowOff>
    </xdr:to>
    <xdr:cxnSp macro="">
      <xdr:nvCxnSpPr>
        <xdr:cNvPr id="530" name="Connecteur droit avec flèche 529"/>
        <xdr:cNvCxnSpPr/>
      </xdr:nvCxnSpPr>
      <xdr:spPr>
        <a:xfrm flipV="1">
          <a:off x="11909878" y="23886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219</xdr:row>
      <xdr:rowOff>114302</xdr:rowOff>
    </xdr:from>
    <xdr:to>
      <xdr:col>13</xdr:col>
      <xdr:colOff>752021</xdr:colOff>
      <xdr:row>219</xdr:row>
      <xdr:rowOff>127001</xdr:rowOff>
    </xdr:to>
    <xdr:cxnSp macro="">
      <xdr:nvCxnSpPr>
        <xdr:cNvPr id="531" name="Connecteur droit avec flèche 530"/>
        <xdr:cNvCxnSpPr/>
      </xdr:nvCxnSpPr>
      <xdr:spPr>
        <a:xfrm>
          <a:off x="11867544" y="24307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221</xdr:row>
      <xdr:rowOff>116417</xdr:rowOff>
    </xdr:from>
    <xdr:to>
      <xdr:col>13</xdr:col>
      <xdr:colOff>752022</xdr:colOff>
      <xdr:row>223</xdr:row>
      <xdr:rowOff>116415</xdr:rowOff>
    </xdr:to>
    <xdr:cxnSp macro="">
      <xdr:nvCxnSpPr>
        <xdr:cNvPr id="532" name="Connecteur droit avec flèche 531"/>
        <xdr:cNvCxnSpPr/>
      </xdr:nvCxnSpPr>
      <xdr:spPr>
        <a:xfrm flipV="1">
          <a:off x="11751129" y="24690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226</xdr:row>
      <xdr:rowOff>105833</xdr:rowOff>
    </xdr:from>
    <xdr:to>
      <xdr:col>13</xdr:col>
      <xdr:colOff>741439</xdr:colOff>
      <xdr:row>226</xdr:row>
      <xdr:rowOff>116418</xdr:rowOff>
    </xdr:to>
    <xdr:cxnSp macro="">
      <xdr:nvCxnSpPr>
        <xdr:cNvPr id="533" name="Connecteur droit avec flèche 532"/>
        <xdr:cNvCxnSpPr/>
      </xdr:nvCxnSpPr>
      <xdr:spPr>
        <a:xfrm>
          <a:off x="11878129" y="25632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224</xdr:row>
      <xdr:rowOff>95250</xdr:rowOff>
    </xdr:from>
    <xdr:to>
      <xdr:col>14</xdr:col>
      <xdr:colOff>606</xdr:colOff>
      <xdr:row>224</xdr:row>
      <xdr:rowOff>105835</xdr:rowOff>
    </xdr:to>
    <xdr:cxnSp macro="">
      <xdr:nvCxnSpPr>
        <xdr:cNvPr id="534" name="Connecteur droit avec flèche 533"/>
        <xdr:cNvCxnSpPr/>
      </xdr:nvCxnSpPr>
      <xdr:spPr>
        <a:xfrm>
          <a:off x="11952213" y="25241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223</xdr:row>
      <xdr:rowOff>84667</xdr:rowOff>
    </xdr:from>
    <xdr:to>
      <xdr:col>13</xdr:col>
      <xdr:colOff>720272</xdr:colOff>
      <xdr:row>223</xdr:row>
      <xdr:rowOff>105835</xdr:rowOff>
    </xdr:to>
    <xdr:cxnSp macro="">
      <xdr:nvCxnSpPr>
        <xdr:cNvPr id="535" name="Connecteur droit avec flèche 534"/>
        <xdr:cNvCxnSpPr/>
      </xdr:nvCxnSpPr>
      <xdr:spPr>
        <a:xfrm>
          <a:off x="11804046" y="25040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225</xdr:row>
      <xdr:rowOff>148166</xdr:rowOff>
    </xdr:from>
    <xdr:to>
      <xdr:col>14</xdr:col>
      <xdr:colOff>11189</xdr:colOff>
      <xdr:row>226</xdr:row>
      <xdr:rowOff>105833</xdr:rowOff>
    </xdr:to>
    <xdr:cxnSp macro="">
      <xdr:nvCxnSpPr>
        <xdr:cNvPr id="536" name="Connecteur droit avec flèche 535"/>
        <xdr:cNvCxnSpPr/>
      </xdr:nvCxnSpPr>
      <xdr:spPr>
        <a:xfrm flipV="1">
          <a:off x="11878129" y="25484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217</xdr:row>
      <xdr:rowOff>74083</xdr:rowOff>
    </xdr:from>
    <xdr:to>
      <xdr:col>16</xdr:col>
      <xdr:colOff>95856</xdr:colOff>
      <xdr:row>217</xdr:row>
      <xdr:rowOff>86783</xdr:rowOff>
    </xdr:to>
    <xdr:cxnSp macro="">
      <xdr:nvCxnSpPr>
        <xdr:cNvPr id="537" name="Connecteur droit avec flèche 536"/>
        <xdr:cNvCxnSpPr/>
      </xdr:nvCxnSpPr>
      <xdr:spPr>
        <a:xfrm>
          <a:off x="13507962" y="23886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221</xdr:row>
      <xdr:rowOff>105833</xdr:rowOff>
    </xdr:from>
    <xdr:to>
      <xdr:col>16</xdr:col>
      <xdr:colOff>42939</xdr:colOff>
      <xdr:row>221</xdr:row>
      <xdr:rowOff>107950</xdr:rowOff>
    </xdr:to>
    <xdr:cxnSp macro="">
      <xdr:nvCxnSpPr>
        <xdr:cNvPr id="538" name="Connecteur droit avec flèche 537"/>
        <xdr:cNvCxnSpPr/>
      </xdr:nvCxnSpPr>
      <xdr:spPr>
        <a:xfrm>
          <a:off x="13476212" y="24680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219</xdr:row>
      <xdr:rowOff>105833</xdr:rowOff>
    </xdr:from>
    <xdr:to>
      <xdr:col>16</xdr:col>
      <xdr:colOff>117023</xdr:colOff>
      <xdr:row>219</xdr:row>
      <xdr:rowOff>107950</xdr:rowOff>
    </xdr:to>
    <xdr:cxnSp macro="">
      <xdr:nvCxnSpPr>
        <xdr:cNvPr id="539" name="Connecteur droit avec flèche 538"/>
        <xdr:cNvCxnSpPr/>
      </xdr:nvCxnSpPr>
      <xdr:spPr>
        <a:xfrm>
          <a:off x="13550296" y="24299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223</xdr:row>
      <xdr:rowOff>95250</xdr:rowOff>
    </xdr:from>
    <xdr:to>
      <xdr:col>16</xdr:col>
      <xdr:colOff>106439</xdr:colOff>
      <xdr:row>223</xdr:row>
      <xdr:rowOff>97367</xdr:rowOff>
    </xdr:to>
    <xdr:cxnSp macro="">
      <xdr:nvCxnSpPr>
        <xdr:cNvPr id="540" name="Connecteur droit avec flèche 539"/>
        <xdr:cNvCxnSpPr/>
      </xdr:nvCxnSpPr>
      <xdr:spPr>
        <a:xfrm>
          <a:off x="13539712" y="25050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225</xdr:row>
      <xdr:rowOff>95250</xdr:rowOff>
    </xdr:from>
    <xdr:to>
      <xdr:col>16</xdr:col>
      <xdr:colOff>53522</xdr:colOff>
      <xdr:row>225</xdr:row>
      <xdr:rowOff>97367</xdr:rowOff>
    </xdr:to>
    <xdr:cxnSp macro="">
      <xdr:nvCxnSpPr>
        <xdr:cNvPr id="541" name="Connecteur droit avec flèche 540"/>
        <xdr:cNvCxnSpPr/>
      </xdr:nvCxnSpPr>
      <xdr:spPr>
        <a:xfrm>
          <a:off x="13486795" y="25431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226</xdr:row>
      <xdr:rowOff>105833</xdr:rowOff>
    </xdr:from>
    <xdr:to>
      <xdr:col>16</xdr:col>
      <xdr:colOff>42940</xdr:colOff>
      <xdr:row>226</xdr:row>
      <xdr:rowOff>107950</xdr:rowOff>
    </xdr:to>
    <xdr:cxnSp macro="">
      <xdr:nvCxnSpPr>
        <xdr:cNvPr id="542" name="Connecteur droit avec flèche 541"/>
        <xdr:cNvCxnSpPr/>
      </xdr:nvCxnSpPr>
      <xdr:spPr>
        <a:xfrm>
          <a:off x="13476213" y="25632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224</xdr:row>
      <xdr:rowOff>105834</xdr:rowOff>
    </xdr:from>
    <xdr:to>
      <xdr:col>16</xdr:col>
      <xdr:colOff>11189</xdr:colOff>
      <xdr:row>224</xdr:row>
      <xdr:rowOff>107951</xdr:rowOff>
    </xdr:to>
    <xdr:cxnSp macro="">
      <xdr:nvCxnSpPr>
        <xdr:cNvPr id="543" name="Connecteur droit avec flèche 542"/>
        <xdr:cNvCxnSpPr/>
      </xdr:nvCxnSpPr>
      <xdr:spPr>
        <a:xfrm>
          <a:off x="13444462" y="25251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216</xdr:row>
      <xdr:rowOff>95250</xdr:rowOff>
    </xdr:from>
    <xdr:to>
      <xdr:col>16</xdr:col>
      <xdr:colOff>74689</xdr:colOff>
      <xdr:row>217</xdr:row>
      <xdr:rowOff>63501</xdr:rowOff>
    </xdr:to>
    <xdr:cxnSp macro="">
      <xdr:nvCxnSpPr>
        <xdr:cNvPr id="544" name="Connecteur droit avec flèche 543"/>
        <xdr:cNvCxnSpPr/>
      </xdr:nvCxnSpPr>
      <xdr:spPr>
        <a:xfrm flipV="1">
          <a:off x="13497378" y="23717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218</xdr:row>
      <xdr:rowOff>116417</xdr:rowOff>
    </xdr:from>
    <xdr:to>
      <xdr:col>16</xdr:col>
      <xdr:colOff>117022</xdr:colOff>
      <xdr:row>219</xdr:row>
      <xdr:rowOff>84668</xdr:rowOff>
    </xdr:to>
    <xdr:cxnSp macro="">
      <xdr:nvCxnSpPr>
        <xdr:cNvPr id="545" name="Connecteur droit avec flèche 544"/>
        <xdr:cNvCxnSpPr/>
      </xdr:nvCxnSpPr>
      <xdr:spPr>
        <a:xfrm flipV="1">
          <a:off x="13550296" y="24119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220</xdr:row>
      <xdr:rowOff>116417</xdr:rowOff>
    </xdr:from>
    <xdr:to>
      <xdr:col>16</xdr:col>
      <xdr:colOff>64105</xdr:colOff>
      <xdr:row>221</xdr:row>
      <xdr:rowOff>84668</xdr:rowOff>
    </xdr:to>
    <xdr:cxnSp macro="">
      <xdr:nvCxnSpPr>
        <xdr:cNvPr id="546" name="Connecteur droit avec flèche 545"/>
        <xdr:cNvCxnSpPr/>
      </xdr:nvCxnSpPr>
      <xdr:spPr>
        <a:xfrm flipV="1">
          <a:off x="13465629" y="24500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222</xdr:row>
      <xdr:rowOff>116417</xdr:rowOff>
    </xdr:from>
    <xdr:to>
      <xdr:col>16</xdr:col>
      <xdr:colOff>138189</xdr:colOff>
      <xdr:row>223</xdr:row>
      <xdr:rowOff>74085</xdr:rowOff>
    </xdr:to>
    <xdr:cxnSp macro="">
      <xdr:nvCxnSpPr>
        <xdr:cNvPr id="547" name="Connecteur droit avec flèche 546"/>
        <xdr:cNvCxnSpPr/>
      </xdr:nvCxnSpPr>
      <xdr:spPr>
        <a:xfrm flipV="1">
          <a:off x="13518545" y="24881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243</xdr:row>
      <xdr:rowOff>99787</xdr:rowOff>
    </xdr:from>
    <xdr:to>
      <xdr:col>12</xdr:col>
      <xdr:colOff>203200</xdr:colOff>
      <xdr:row>250</xdr:row>
      <xdr:rowOff>97671</xdr:rowOff>
    </xdr:to>
    <xdr:cxnSp macro="">
      <xdr:nvCxnSpPr>
        <xdr:cNvPr id="548" name="Connecteur droit avec flèche 547"/>
        <xdr:cNvCxnSpPr/>
      </xdr:nvCxnSpPr>
      <xdr:spPr>
        <a:xfrm flipV="1">
          <a:off x="10137321" y="26579287"/>
          <a:ext cx="1318986"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954617</xdr:colOff>
      <xdr:row>247</xdr:row>
      <xdr:rowOff>68037</xdr:rowOff>
    </xdr:from>
    <xdr:to>
      <xdr:col>12</xdr:col>
      <xdr:colOff>33867</xdr:colOff>
      <xdr:row>250</xdr:row>
      <xdr:rowOff>97671</xdr:rowOff>
    </xdr:to>
    <xdr:cxnSp macro="">
      <xdr:nvCxnSpPr>
        <xdr:cNvPr id="549" name="Connecteur droit avec flèche 548"/>
        <xdr:cNvCxnSpPr/>
      </xdr:nvCxnSpPr>
      <xdr:spPr>
        <a:xfrm flipV="1">
          <a:off x="10139438" y="27309537"/>
          <a:ext cx="1147536"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986367</xdr:colOff>
      <xdr:row>248</xdr:row>
      <xdr:rowOff>78620</xdr:rowOff>
    </xdr:from>
    <xdr:to>
      <xdr:col>12</xdr:col>
      <xdr:colOff>171450</xdr:colOff>
      <xdr:row>250</xdr:row>
      <xdr:rowOff>131537</xdr:rowOff>
    </xdr:to>
    <xdr:cxnSp macro="">
      <xdr:nvCxnSpPr>
        <xdr:cNvPr id="550" name="Connecteur droit avec flèche 549"/>
        <xdr:cNvCxnSpPr/>
      </xdr:nvCxnSpPr>
      <xdr:spPr>
        <a:xfrm flipV="1">
          <a:off x="10171188" y="27510620"/>
          <a:ext cx="1253369"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996950</xdr:colOff>
      <xdr:row>250</xdr:row>
      <xdr:rowOff>89203</xdr:rowOff>
    </xdr:from>
    <xdr:to>
      <xdr:col>12</xdr:col>
      <xdr:colOff>65617</xdr:colOff>
      <xdr:row>250</xdr:row>
      <xdr:rowOff>120953</xdr:rowOff>
    </xdr:to>
    <xdr:cxnSp macro="">
      <xdr:nvCxnSpPr>
        <xdr:cNvPr id="551" name="Connecteur droit avec flèche 550"/>
        <xdr:cNvCxnSpPr/>
      </xdr:nvCxnSpPr>
      <xdr:spPr>
        <a:xfrm flipV="1">
          <a:off x="10181771" y="27902203"/>
          <a:ext cx="1136953"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615950</xdr:colOff>
      <xdr:row>241</xdr:row>
      <xdr:rowOff>46871</xdr:rowOff>
    </xdr:from>
    <xdr:to>
      <xdr:col>14</xdr:col>
      <xdr:colOff>35983</xdr:colOff>
      <xdr:row>243</xdr:row>
      <xdr:rowOff>89203</xdr:rowOff>
    </xdr:to>
    <xdr:cxnSp macro="">
      <xdr:nvCxnSpPr>
        <xdr:cNvPr id="552" name="Connecteur droit avec flèche 551"/>
        <xdr:cNvCxnSpPr/>
      </xdr:nvCxnSpPr>
      <xdr:spPr>
        <a:xfrm flipV="1">
          <a:off x="11869057" y="26145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573616</xdr:colOff>
      <xdr:row>243</xdr:row>
      <xdr:rowOff>87088</xdr:rowOff>
    </xdr:from>
    <xdr:to>
      <xdr:col>13</xdr:col>
      <xdr:colOff>711200</xdr:colOff>
      <xdr:row>243</xdr:row>
      <xdr:rowOff>99787</xdr:rowOff>
    </xdr:to>
    <xdr:cxnSp macro="">
      <xdr:nvCxnSpPr>
        <xdr:cNvPr id="553" name="Connecteur droit avec flèche 552"/>
        <xdr:cNvCxnSpPr/>
      </xdr:nvCxnSpPr>
      <xdr:spPr>
        <a:xfrm>
          <a:off x="11826723" y="26566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457201</xdr:colOff>
      <xdr:row>245</xdr:row>
      <xdr:rowOff>89203</xdr:rowOff>
    </xdr:from>
    <xdr:to>
      <xdr:col>13</xdr:col>
      <xdr:colOff>711201</xdr:colOff>
      <xdr:row>247</xdr:row>
      <xdr:rowOff>89201</xdr:rowOff>
    </xdr:to>
    <xdr:cxnSp macro="">
      <xdr:nvCxnSpPr>
        <xdr:cNvPr id="554" name="Connecteur droit avec flèche 553"/>
        <xdr:cNvCxnSpPr/>
      </xdr:nvCxnSpPr>
      <xdr:spPr>
        <a:xfrm flipV="1">
          <a:off x="11710308" y="26949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250</xdr:row>
      <xdr:rowOff>78619</xdr:rowOff>
    </xdr:from>
    <xdr:to>
      <xdr:col>13</xdr:col>
      <xdr:colOff>700618</xdr:colOff>
      <xdr:row>250</xdr:row>
      <xdr:rowOff>89204</xdr:rowOff>
    </xdr:to>
    <xdr:cxnSp macro="">
      <xdr:nvCxnSpPr>
        <xdr:cNvPr id="555" name="Connecteur droit avec flèche 554"/>
        <xdr:cNvCxnSpPr/>
      </xdr:nvCxnSpPr>
      <xdr:spPr>
        <a:xfrm>
          <a:off x="11837308" y="27891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658285</xdr:colOff>
      <xdr:row>248</xdr:row>
      <xdr:rowOff>68036</xdr:rowOff>
    </xdr:from>
    <xdr:to>
      <xdr:col>13</xdr:col>
      <xdr:colOff>721785</xdr:colOff>
      <xdr:row>248</xdr:row>
      <xdr:rowOff>78621</xdr:rowOff>
    </xdr:to>
    <xdr:cxnSp macro="">
      <xdr:nvCxnSpPr>
        <xdr:cNvPr id="556" name="Connecteur droit avec flèche 555"/>
        <xdr:cNvCxnSpPr/>
      </xdr:nvCxnSpPr>
      <xdr:spPr>
        <a:xfrm>
          <a:off x="11911392" y="27500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510118</xdr:colOff>
      <xdr:row>247</xdr:row>
      <xdr:rowOff>57453</xdr:rowOff>
    </xdr:from>
    <xdr:to>
      <xdr:col>13</xdr:col>
      <xdr:colOff>679451</xdr:colOff>
      <xdr:row>247</xdr:row>
      <xdr:rowOff>78621</xdr:rowOff>
    </xdr:to>
    <xdr:cxnSp macro="">
      <xdr:nvCxnSpPr>
        <xdr:cNvPr id="557" name="Connecteur droit avec flèche 556"/>
        <xdr:cNvCxnSpPr/>
      </xdr:nvCxnSpPr>
      <xdr:spPr>
        <a:xfrm>
          <a:off x="11763225" y="27298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249</xdr:row>
      <xdr:rowOff>120952</xdr:rowOff>
    </xdr:from>
    <xdr:to>
      <xdr:col>13</xdr:col>
      <xdr:colOff>732368</xdr:colOff>
      <xdr:row>250</xdr:row>
      <xdr:rowOff>78619</xdr:rowOff>
    </xdr:to>
    <xdr:cxnSp macro="">
      <xdr:nvCxnSpPr>
        <xdr:cNvPr id="558" name="Connecteur droit avec flèche 557"/>
        <xdr:cNvCxnSpPr/>
      </xdr:nvCxnSpPr>
      <xdr:spPr>
        <a:xfrm flipV="1">
          <a:off x="11837308" y="27743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241</xdr:row>
      <xdr:rowOff>46869</xdr:rowOff>
    </xdr:from>
    <xdr:to>
      <xdr:col>16</xdr:col>
      <xdr:colOff>55035</xdr:colOff>
      <xdr:row>241</xdr:row>
      <xdr:rowOff>59569</xdr:rowOff>
    </xdr:to>
    <xdr:cxnSp macro="">
      <xdr:nvCxnSpPr>
        <xdr:cNvPr id="559" name="Connecteur droit avec flèche 558"/>
        <xdr:cNvCxnSpPr/>
      </xdr:nvCxnSpPr>
      <xdr:spPr>
        <a:xfrm>
          <a:off x="13467141" y="26145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245</xdr:row>
      <xdr:rowOff>78619</xdr:rowOff>
    </xdr:from>
    <xdr:to>
      <xdr:col>16</xdr:col>
      <xdr:colOff>2118</xdr:colOff>
      <xdr:row>245</xdr:row>
      <xdr:rowOff>80736</xdr:rowOff>
    </xdr:to>
    <xdr:cxnSp macro="">
      <xdr:nvCxnSpPr>
        <xdr:cNvPr id="560" name="Connecteur droit avec flèche 559"/>
        <xdr:cNvCxnSpPr/>
      </xdr:nvCxnSpPr>
      <xdr:spPr>
        <a:xfrm>
          <a:off x="13435391" y="26939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243</xdr:row>
      <xdr:rowOff>78619</xdr:rowOff>
    </xdr:from>
    <xdr:to>
      <xdr:col>16</xdr:col>
      <xdr:colOff>76202</xdr:colOff>
      <xdr:row>243</xdr:row>
      <xdr:rowOff>80736</xdr:rowOff>
    </xdr:to>
    <xdr:cxnSp macro="">
      <xdr:nvCxnSpPr>
        <xdr:cNvPr id="561" name="Connecteur droit avec flèche 560"/>
        <xdr:cNvCxnSpPr/>
      </xdr:nvCxnSpPr>
      <xdr:spPr>
        <a:xfrm>
          <a:off x="13509475" y="26558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247</xdr:row>
      <xdr:rowOff>68036</xdr:rowOff>
    </xdr:from>
    <xdr:to>
      <xdr:col>16</xdr:col>
      <xdr:colOff>65618</xdr:colOff>
      <xdr:row>247</xdr:row>
      <xdr:rowOff>70153</xdr:rowOff>
    </xdr:to>
    <xdr:cxnSp macro="">
      <xdr:nvCxnSpPr>
        <xdr:cNvPr id="562" name="Connecteur droit avec flèche 561"/>
        <xdr:cNvCxnSpPr/>
      </xdr:nvCxnSpPr>
      <xdr:spPr>
        <a:xfrm>
          <a:off x="13498891" y="27309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668867</xdr:colOff>
      <xdr:row>249</xdr:row>
      <xdr:rowOff>68036</xdr:rowOff>
    </xdr:from>
    <xdr:to>
      <xdr:col>16</xdr:col>
      <xdr:colOff>12701</xdr:colOff>
      <xdr:row>249</xdr:row>
      <xdr:rowOff>70153</xdr:rowOff>
    </xdr:to>
    <xdr:cxnSp macro="">
      <xdr:nvCxnSpPr>
        <xdr:cNvPr id="563" name="Connecteur droit avec flèche 562"/>
        <xdr:cNvCxnSpPr/>
      </xdr:nvCxnSpPr>
      <xdr:spPr>
        <a:xfrm>
          <a:off x="13445974" y="27690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658285</xdr:colOff>
      <xdr:row>250</xdr:row>
      <xdr:rowOff>78619</xdr:rowOff>
    </xdr:from>
    <xdr:to>
      <xdr:col>16</xdr:col>
      <xdr:colOff>2119</xdr:colOff>
      <xdr:row>250</xdr:row>
      <xdr:rowOff>80736</xdr:rowOff>
    </xdr:to>
    <xdr:cxnSp macro="">
      <xdr:nvCxnSpPr>
        <xdr:cNvPr id="564" name="Connecteur droit avec flèche 563"/>
        <xdr:cNvCxnSpPr/>
      </xdr:nvCxnSpPr>
      <xdr:spPr>
        <a:xfrm>
          <a:off x="13435392" y="27891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248</xdr:row>
      <xdr:rowOff>78620</xdr:rowOff>
    </xdr:from>
    <xdr:to>
      <xdr:col>15</xdr:col>
      <xdr:colOff>732368</xdr:colOff>
      <xdr:row>248</xdr:row>
      <xdr:rowOff>80737</xdr:rowOff>
    </xdr:to>
    <xdr:cxnSp macro="">
      <xdr:nvCxnSpPr>
        <xdr:cNvPr id="565" name="Connecteur droit avec flèche 564"/>
        <xdr:cNvCxnSpPr/>
      </xdr:nvCxnSpPr>
      <xdr:spPr>
        <a:xfrm>
          <a:off x="13403641" y="27510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240</xdr:row>
      <xdr:rowOff>68036</xdr:rowOff>
    </xdr:from>
    <xdr:to>
      <xdr:col>16</xdr:col>
      <xdr:colOff>33868</xdr:colOff>
      <xdr:row>241</xdr:row>
      <xdr:rowOff>36287</xdr:rowOff>
    </xdr:to>
    <xdr:cxnSp macro="">
      <xdr:nvCxnSpPr>
        <xdr:cNvPr id="566" name="Connecteur droit avec flèche 565"/>
        <xdr:cNvCxnSpPr/>
      </xdr:nvCxnSpPr>
      <xdr:spPr>
        <a:xfrm flipV="1">
          <a:off x="13456557" y="25976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242</xdr:row>
      <xdr:rowOff>89203</xdr:rowOff>
    </xdr:from>
    <xdr:to>
      <xdr:col>16</xdr:col>
      <xdr:colOff>76201</xdr:colOff>
      <xdr:row>243</xdr:row>
      <xdr:rowOff>57454</xdr:rowOff>
    </xdr:to>
    <xdr:cxnSp macro="">
      <xdr:nvCxnSpPr>
        <xdr:cNvPr id="567" name="Connecteur droit avec flèche 566"/>
        <xdr:cNvCxnSpPr/>
      </xdr:nvCxnSpPr>
      <xdr:spPr>
        <a:xfrm flipV="1">
          <a:off x="13509475" y="26378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244</xdr:row>
      <xdr:rowOff>89203</xdr:rowOff>
    </xdr:from>
    <xdr:to>
      <xdr:col>16</xdr:col>
      <xdr:colOff>23284</xdr:colOff>
      <xdr:row>245</xdr:row>
      <xdr:rowOff>57454</xdr:rowOff>
    </xdr:to>
    <xdr:cxnSp macro="">
      <xdr:nvCxnSpPr>
        <xdr:cNvPr id="568" name="Connecteur droit avec flèche 567"/>
        <xdr:cNvCxnSpPr/>
      </xdr:nvCxnSpPr>
      <xdr:spPr>
        <a:xfrm flipV="1">
          <a:off x="13424808" y="26759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246</xdr:row>
      <xdr:rowOff>89203</xdr:rowOff>
    </xdr:from>
    <xdr:to>
      <xdr:col>16</xdr:col>
      <xdr:colOff>97368</xdr:colOff>
      <xdr:row>247</xdr:row>
      <xdr:rowOff>46871</xdr:rowOff>
    </xdr:to>
    <xdr:cxnSp macro="">
      <xdr:nvCxnSpPr>
        <xdr:cNvPr id="569" name="Connecteur droit avec flèche 568"/>
        <xdr:cNvCxnSpPr/>
      </xdr:nvCxnSpPr>
      <xdr:spPr>
        <a:xfrm flipV="1">
          <a:off x="13477724" y="27140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279</xdr:row>
      <xdr:rowOff>72573</xdr:rowOff>
    </xdr:from>
    <xdr:to>
      <xdr:col>12</xdr:col>
      <xdr:colOff>216807</xdr:colOff>
      <xdr:row>284</xdr:row>
      <xdr:rowOff>108857</xdr:rowOff>
    </xdr:to>
    <xdr:cxnSp macro="">
      <xdr:nvCxnSpPr>
        <xdr:cNvPr id="570" name="Connecteur droit avec flèche 569"/>
        <xdr:cNvCxnSpPr/>
      </xdr:nvCxnSpPr>
      <xdr:spPr>
        <a:xfrm flipV="1">
          <a:off x="10205357" y="28838073"/>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283</xdr:row>
      <xdr:rowOff>27215</xdr:rowOff>
    </xdr:from>
    <xdr:to>
      <xdr:col>12</xdr:col>
      <xdr:colOff>74688</xdr:colOff>
      <xdr:row>284</xdr:row>
      <xdr:rowOff>108857</xdr:rowOff>
    </xdr:to>
    <xdr:cxnSp macro="">
      <xdr:nvCxnSpPr>
        <xdr:cNvPr id="571" name="Connecteur droit avec flèche 570"/>
        <xdr:cNvCxnSpPr/>
      </xdr:nvCxnSpPr>
      <xdr:spPr>
        <a:xfrm flipV="1">
          <a:off x="10191750" y="29554715"/>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277</xdr:row>
      <xdr:rowOff>19657</xdr:rowOff>
    </xdr:from>
    <xdr:to>
      <xdr:col>14</xdr:col>
      <xdr:colOff>49590</xdr:colOff>
      <xdr:row>279</xdr:row>
      <xdr:rowOff>61989</xdr:rowOff>
    </xdr:to>
    <xdr:cxnSp macro="">
      <xdr:nvCxnSpPr>
        <xdr:cNvPr id="574" name="Connecteur droit avec flèche 573"/>
        <xdr:cNvCxnSpPr/>
      </xdr:nvCxnSpPr>
      <xdr:spPr>
        <a:xfrm flipV="1">
          <a:off x="11882664" y="28404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279</xdr:row>
      <xdr:rowOff>59874</xdr:rowOff>
    </xdr:from>
    <xdr:to>
      <xdr:col>13</xdr:col>
      <xdr:colOff>724807</xdr:colOff>
      <xdr:row>279</xdr:row>
      <xdr:rowOff>72573</xdr:rowOff>
    </xdr:to>
    <xdr:cxnSp macro="">
      <xdr:nvCxnSpPr>
        <xdr:cNvPr id="575" name="Connecteur droit avec flèche 574"/>
        <xdr:cNvCxnSpPr/>
      </xdr:nvCxnSpPr>
      <xdr:spPr>
        <a:xfrm>
          <a:off x="11840330" y="28825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281</xdr:row>
      <xdr:rowOff>61989</xdr:rowOff>
    </xdr:from>
    <xdr:to>
      <xdr:col>13</xdr:col>
      <xdr:colOff>724808</xdr:colOff>
      <xdr:row>283</xdr:row>
      <xdr:rowOff>61987</xdr:rowOff>
    </xdr:to>
    <xdr:cxnSp macro="">
      <xdr:nvCxnSpPr>
        <xdr:cNvPr id="576" name="Connecteur droit avec flèche 575"/>
        <xdr:cNvCxnSpPr/>
      </xdr:nvCxnSpPr>
      <xdr:spPr>
        <a:xfrm flipV="1">
          <a:off x="11723915" y="29208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284</xdr:row>
      <xdr:rowOff>40822</xdr:rowOff>
    </xdr:from>
    <xdr:to>
      <xdr:col>13</xdr:col>
      <xdr:colOff>735392</xdr:colOff>
      <xdr:row>284</xdr:row>
      <xdr:rowOff>51407</xdr:rowOff>
    </xdr:to>
    <xdr:cxnSp macro="">
      <xdr:nvCxnSpPr>
        <xdr:cNvPr id="578" name="Connecteur droit avec flèche 577"/>
        <xdr:cNvCxnSpPr/>
      </xdr:nvCxnSpPr>
      <xdr:spPr>
        <a:xfrm>
          <a:off x="11924999" y="29758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283</xdr:row>
      <xdr:rowOff>30239</xdr:rowOff>
    </xdr:from>
    <xdr:to>
      <xdr:col>13</xdr:col>
      <xdr:colOff>693058</xdr:colOff>
      <xdr:row>283</xdr:row>
      <xdr:rowOff>51407</xdr:rowOff>
    </xdr:to>
    <xdr:cxnSp macro="">
      <xdr:nvCxnSpPr>
        <xdr:cNvPr id="579" name="Connecteur droit avec flèche 578"/>
        <xdr:cNvCxnSpPr/>
      </xdr:nvCxnSpPr>
      <xdr:spPr>
        <a:xfrm>
          <a:off x="11776832" y="29557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277</xdr:row>
      <xdr:rowOff>101298</xdr:rowOff>
    </xdr:from>
    <xdr:to>
      <xdr:col>16</xdr:col>
      <xdr:colOff>55035</xdr:colOff>
      <xdr:row>277</xdr:row>
      <xdr:rowOff>113998</xdr:rowOff>
    </xdr:to>
    <xdr:cxnSp macro="">
      <xdr:nvCxnSpPr>
        <xdr:cNvPr id="581" name="Connecteur droit avec flèche 580"/>
        <xdr:cNvCxnSpPr/>
      </xdr:nvCxnSpPr>
      <xdr:spPr>
        <a:xfrm>
          <a:off x="13467141" y="28485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281</xdr:row>
      <xdr:rowOff>133048</xdr:rowOff>
    </xdr:from>
    <xdr:to>
      <xdr:col>16</xdr:col>
      <xdr:colOff>2118</xdr:colOff>
      <xdr:row>281</xdr:row>
      <xdr:rowOff>135165</xdr:rowOff>
    </xdr:to>
    <xdr:cxnSp macro="">
      <xdr:nvCxnSpPr>
        <xdr:cNvPr id="582" name="Connecteur droit avec flèche 581"/>
        <xdr:cNvCxnSpPr/>
      </xdr:nvCxnSpPr>
      <xdr:spPr>
        <a:xfrm>
          <a:off x="13435391" y="29279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279</xdr:row>
      <xdr:rowOff>133048</xdr:rowOff>
    </xdr:from>
    <xdr:to>
      <xdr:col>16</xdr:col>
      <xdr:colOff>76202</xdr:colOff>
      <xdr:row>279</xdr:row>
      <xdr:rowOff>135165</xdr:rowOff>
    </xdr:to>
    <xdr:cxnSp macro="">
      <xdr:nvCxnSpPr>
        <xdr:cNvPr id="583" name="Connecteur droit avec flèche 582"/>
        <xdr:cNvCxnSpPr/>
      </xdr:nvCxnSpPr>
      <xdr:spPr>
        <a:xfrm>
          <a:off x="13509475" y="28898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283</xdr:row>
      <xdr:rowOff>122465</xdr:rowOff>
    </xdr:from>
    <xdr:to>
      <xdr:col>16</xdr:col>
      <xdr:colOff>65618</xdr:colOff>
      <xdr:row>283</xdr:row>
      <xdr:rowOff>124582</xdr:rowOff>
    </xdr:to>
    <xdr:cxnSp macro="">
      <xdr:nvCxnSpPr>
        <xdr:cNvPr id="584" name="Connecteur droit avec flèche 583"/>
        <xdr:cNvCxnSpPr/>
      </xdr:nvCxnSpPr>
      <xdr:spPr>
        <a:xfrm>
          <a:off x="13498891" y="29649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284</xdr:row>
      <xdr:rowOff>133049</xdr:rowOff>
    </xdr:from>
    <xdr:to>
      <xdr:col>15</xdr:col>
      <xdr:colOff>732368</xdr:colOff>
      <xdr:row>284</xdr:row>
      <xdr:rowOff>135166</xdr:rowOff>
    </xdr:to>
    <xdr:cxnSp macro="">
      <xdr:nvCxnSpPr>
        <xdr:cNvPr id="587" name="Connecteur droit avec flèche 586"/>
        <xdr:cNvCxnSpPr/>
      </xdr:nvCxnSpPr>
      <xdr:spPr>
        <a:xfrm>
          <a:off x="13403641" y="29851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276</xdr:row>
      <xdr:rowOff>122465</xdr:rowOff>
    </xdr:from>
    <xdr:to>
      <xdr:col>16</xdr:col>
      <xdr:colOff>33868</xdr:colOff>
      <xdr:row>277</xdr:row>
      <xdr:rowOff>90716</xdr:rowOff>
    </xdr:to>
    <xdr:cxnSp macro="">
      <xdr:nvCxnSpPr>
        <xdr:cNvPr id="588" name="Connecteur droit avec flèche 587"/>
        <xdr:cNvCxnSpPr/>
      </xdr:nvCxnSpPr>
      <xdr:spPr>
        <a:xfrm flipV="1">
          <a:off x="13456557" y="28316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278</xdr:row>
      <xdr:rowOff>143632</xdr:rowOff>
    </xdr:from>
    <xdr:to>
      <xdr:col>16</xdr:col>
      <xdr:colOff>76201</xdr:colOff>
      <xdr:row>279</xdr:row>
      <xdr:rowOff>111883</xdr:rowOff>
    </xdr:to>
    <xdr:cxnSp macro="">
      <xdr:nvCxnSpPr>
        <xdr:cNvPr id="589" name="Connecteur droit avec flèche 588"/>
        <xdr:cNvCxnSpPr/>
      </xdr:nvCxnSpPr>
      <xdr:spPr>
        <a:xfrm flipV="1">
          <a:off x="13509475" y="28718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280</xdr:row>
      <xdr:rowOff>143632</xdr:rowOff>
    </xdr:from>
    <xdr:to>
      <xdr:col>16</xdr:col>
      <xdr:colOff>23284</xdr:colOff>
      <xdr:row>281</xdr:row>
      <xdr:rowOff>111883</xdr:rowOff>
    </xdr:to>
    <xdr:cxnSp macro="">
      <xdr:nvCxnSpPr>
        <xdr:cNvPr id="590" name="Connecteur droit avec flèche 589"/>
        <xdr:cNvCxnSpPr/>
      </xdr:nvCxnSpPr>
      <xdr:spPr>
        <a:xfrm flipV="1">
          <a:off x="13424808" y="29099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282</xdr:row>
      <xdr:rowOff>143632</xdr:rowOff>
    </xdr:from>
    <xdr:to>
      <xdr:col>16</xdr:col>
      <xdr:colOff>97368</xdr:colOff>
      <xdr:row>283</xdr:row>
      <xdr:rowOff>101300</xdr:rowOff>
    </xdr:to>
    <xdr:cxnSp macro="">
      <xdr:nvCxnSpPr>
        <xdr:cNvPr id="591" name="Connecteur droit avec flèche 590"/>
        <xdr:cNvCxnSpPr/>
      </xdr:nvCxnSpPr>
      <xdr:spPr>
        <a:xfrm flipV="1">
          <a:off x="13477724" y="2948063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299</xdr:row>
      <xdr:rowOff>4537</xdr:rowOff>
    </xdr:from>
    <xdr:to>
      <xdr:col>12</xdr:col>
      <xdr:colOff>224971</xdr:colOff>
      <xdr:row>304</xdr:row>
      <xdr:rowOff>81643</xdr:rowOff>
    </xdr:to>
    <xdr:cxnSp macro="">
      <xdr:nvCxnSpPr>
        <xdr:cNvPr id="596" name="Connecteur droit avec flèche 595"/>
        <xdr:cNvCxnSpPr/>
      </xdr:nvCxnSpPr>
      <xdr:spPr>
        <a:xfrm flipV="1">
          <a:off x="10273393" y="30675037"/>
          <a:ext cx="1204685"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303</xdr:row>
      <xdr:rowOff>54430</xdr:rowOff>
    </xdr:from>
    <xdr:to>
      <xdr:col>12</xdr:col>
      <xdr:colOff>68036</xdr:colOff>
      <xdr:row>304</xdr:row>
      <xdr:rowOff>81643</xdr:rowOff>
    </xdr:to>
    <xdr:cxnSp macro="">
      <xdr:nvCxnSpPr>
        <xdr:cNvPr id="597" name="Connecteur droit avec flèche 596"/>
        <xdr:cNvCxnSpPr/>
      </xdr:nvCxnSpPr>
      <xdr:spPr>
        <a:xfrm flipV="1">
          <a:off x="10246179" y="31486930"/>
          <a:ext cx="1074964"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296</xdr:row>
      <xdr:rowOff>142121</xdr:rowOff>
    </xdr:from>
    <xdr:to>
      <xdr:col>14</xdr:col>
      <xdr:colOff>57754</xdr:colOff>
      <xdr:row>298</xdr:row>
      <xdr:rowOff>184453</xdr:rowOff>
    </xdr:to>
    <xdr:cxnSp macro="">
      <xdr:nvCxnSpPr>
        <xdr:cNvPr id="598" name="Connecteur droit avec flèche 597"/>
        <xdr:cNvCxnSpPr/>
      </xdr:nvCxnSpPr>
      <xdr:spPr>
        <a:xfrm flipV="1">
          <a:off x="11890828" y="3024112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300</xdr:row>
      <xdr:rowOff>184453</xdr:rowOff>
    </xdr:from>
    <xdr:to>
      <xdr:col>13</xdr:col>
      <xdr:colOff>732972</xdr:colOff>
      <xdr:row>302</xdr:row>
      <xdr:rowOff>184451</xdr:rowOff>
    </xdr:to>
    <xdr:cxnSp macro="">
      <xdr:nvCxnSpPr>
        <xdr:cNvPr id="600" name="Connecteur droit avec flèche 599"/>
        <xdr:cNvCxnSpPr/>
      </xdr:nvCxnSpPr>
      <xdr:spPr>
        <a:xfrm flipV="1">
          <a:off x="11732079" y="3104545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302</xdr:row>
      <xdr:rowOff>152703</xdr:rowOff>
    </xdr:from>
    <xdr:to>
      <xdr:col>13</xdr:col>
      <xdr:colOff>701222</xdr:colOff>
      <xdr:row>302</xdr:row>
      <xdr:rowOff>173871</xdr:rowOff>
    </xdr:to>
    <xdr:cxnSp macro="">
      <xdr:nvCxnSpPr>
        <xdr:cNvPr id="602" name="Connecteur droit avec flèche 601"/>
        <xdr:cNvCxnSpPr/>
      </xdr:nvCxnSpPr>
      <xdr:spPr>
        <a:xfrm>
          <a:off x="11784996" y="3139470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297</xdr:row>
      <xdr:rowOff>33262</xdr:rowOff>
    </xdr:from>
    <xdr:to>
      <xdr:col>16</xdr:col>
      <xdr:colOff>63199</xdr:colOff>
      <xdr:row>297</xdr:row>
      <xdr:rowOff>45962</xdr:rowOff>
    </xdr:to>
    <xdr:cxnSp macro="">
      <xdr:nvCxnSpPr>
        <xdr:cNvPr id="603" name="Connecteur droit avec flèche 602"/>
        <xdr:cNvCxnSpPr/>
      </xdr:nvCxnSpPr>
      <xdr:spPr>
        <a:xfrm>
          <a:off x="13475305" y="30322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301</xdr:row>
      <xdr:rowOff>65012</xdr:rowOff>
    </xdr:from>
    <xdr:to>
      <xdr:col>16</xdr:col>
      <xdr:colOff>10282</xdr:colOff>
      <xdr:row>301</xdr:row>
      <xdr:rowOff>67129</xdr:rowOff>
    </xdr:to>
    <xdr:cxnSp macro="">
      <xdr:nvCxnSpPr>
        <xdr:cNvPr id="604" name="Connecteur droit avec flèche 603"/>
        <xdr:cNvCxnSpPr/>
      </xdr:nvCxnSpPr>
      <xdr:spPr>
        <a:xfrm>
          <a:off x="13443555" y="31116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299</xdr:row>
      <xdr:rowOff>65012</xdr:rowOff>
    </xdr:from>
    <xdr:to>
      <xdr:col>16</xdr:col>
      <xdr:colOff>84366</xdr:colOff>
      <xdr:row>299</xdr:row>
      <xdr:rowOff>67129</xdr:rowOff>
    </xdr:to>
    <xdr:cxnSp macro="">
      <xdr:nvCxnSpPr>
        <xdr:cNvPr id="605" name="Connecteur droit avec flèche 604"/>
        <xdr:cNvCxnSpPr/>
      </xdr:nvCxnSpPr>
      <xdr:spPr>
        <a:xfrm>
          <a:off x="13517639" y="30735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303</xdr:row>
      <xdr:rowOff>54429</xdr:rowOff>
    </xdr:from>
    <xdr:to>
      <xdr:col>16</xdr:col>
      <xdr:colOff>73782</xdr:colOff>
      <xdr:row>303</xdr:row>
      <xdr:rowOff>56546</xdr:rowOff>
    </xdr:to>
    <xdr:cxnSp macro="">
      <xdr:nvCxnSpPr>
        <xdr:cNvPr id="606" name="Connecteur droit avec flèche 605"/>
        <xdr:cNvCxnSpPr/>
      </xdr:nvCxnSpPr>
      <xdr:spPr>
        <a:xfrm>
          <a:off x="13507055" y="31486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304</xdr:row>
      <xdr:rowOff>65013</xdr:rowOff>
    </xdr:from>
    <xdr:to>
      <xdr:col>15</xdr:col>
      <xdr:colOff>740532</xdr:colOff>
      <xdr:row>304</xdr:row>
      <xdr:rowOff>67130</xdr:rowOff>
    </xdr:to>
    <xdr:cxnSp macro="">
      <xdr:nvCxnSpPr>
        <xdr:cNvPr id="607" name="Connecteur droit avec flèche 606"/>
        <xdr:cNvCxnSpPr/>
      </xdr:nvCxnSpPr>
      <xdr:spPr>
        <a:xfrm>
          <a:off x="13411805" y="31688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296</xdr:row>
      <xdr:rowOff>54429</xdr:rowOff>
    </xdr:from>
    <xdr:to>
      <xdr:col>16</xdr:col>
      <xdr:colOff>42032</xdr:colOff>
      <xdr:row>297</xdr:row>
      <xdr:rowOff>22680</xdr:rowOff>
    </xdr:to>
    <xdr:cxnSp macro="">
      <xdr:nvCxnSpPr>
        <xdr:cNvPr id="608" name="Connecteur droit avec flèche 607"/>
        <xdr:cNvCxnSpPr/>
      </xdr:nvCxnSpPr>
      <xdr:spPr>
        <a:xfrm flipV="1">
          <a:off x="13464721" y="30153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298</xdr:row>
      <xdr:rowOff>75596</xdr:rowOff>
    </xdr:from>
    <xdr:to>
      <xdr:col>16</xdr:col>
      <xdr:colOff>84365</xdr:colOff>
      <xdr:row>299</xdr:row>
      <xdr:rowOff>43847</xdr:rowOff>
    </xdr:to>
    <xdr:cxnSp macro="">
      <xdr:nvCxnSpPr>
        <xdr:cNvPr id="609" name="Connecteur droit avec flèche 608"/>
        <xdr:cNvCxnSpPr/>
      </xdr:nvCxnSpPr>
      <xdr:spPr>
        <a:xfrm flipV="1">
          <a:off x="13517639" y="30555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300</xdr:row>
      <xdr:rowOff>75596</xdr:rowOff>
    </xdr:from>
    <xdr:to>
      <xdr:col>16</xdr:col>
      <xdr:colOff>31448</xdr:colOff>
      <xdr:row>301</xdr:row>
      <xdr:rowOff>43847</xdr:rowOff>
    </xdr:to>
    <xdr:cxnSp macro="">
      <xdr:nvCxnSpPr>
        <xdr:cNvPr id="610" name="Connecteur droit avec flèche 609"/>
        <xdr:cNvCxnSpPr/>
      </xdr:nvCxnSpPr>
      <xdr:spPr>
        <a:xfrm flipV="1">
          <a:off x="13432972" y="30936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302</xdr:row>
      <xdr:rowOff>75596</xdr:rowOff>
    </xdr:from>
    <xdr:to>
      <xdr:col>16</xdr:col>
      <xdr:colOff>105532</xdr:colOff>
      <xdr:row>303</xdr:row>
      <xdr:rowOff>33264</xdr:rowOff>
    </xdr:to>
    <xdr:cxnSp macro="">
      <xdr:nvCxnSpPr>
        <xdr:cNvPr id="611" name="Connecteur droit avec flèche 610"/>
        <xdr:cNvCxnSpPr/>
      </xdr:nvCxnSpPr>
      <xdr:spPr>
        <a:xfrm flipV="1">
          <a:off x="13485888" y="31317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314</xdr:row>
      <xdr:rowOff>73477</xdr:rowOff>
    </xdr:from>
    <xdr:to>
      <xdr:col>12</xdr:col>
      <xdr:colOff>293915</xdr:colOff>
      <xdr:row>314</xdr:row>
      <xdr:rowOff>81641</xdr:rowOff>
    </xdr:to>
    <xdr:cxnSp macro="">
      <xdr:nvCxnSpPr>
        <xdr:cNvPr id="617" name="Connecteur droit avec flèche 616"/>
        <xdr:cNvCxnSpPr/>
      </xdr:nvCxnSpPr>
      <xdr:spPr>
        <a:xfrm>
          <a:off x="10314214" y="33601477"/>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1178379</xdr:colOff>
      <xdr:row>309</xdr:row>
      <xdr:rowOff>31750</xdr:rowOff>
    </xdr:from>
    <xdr:to>
      <xdr:col>12</xdr:col>
      <xdr:colOff>374650</xdr:colOff>
      <xdr:row>314</xdr:row>
      <xdr:rowOff>68034</xdr:rowOff>
    </xdr:to>
    <xdr:cxnSp macro="">
      <xdr:nvCxnSpPr>
        <xdr:cNvPr id="618" name="Connecteur droit avec flèche 617"/>
        <xdr:cNvCxnSpPr/>
      </xdr:nvCxnSpPr>
      <xdr:spPr>
        <a:xfrm flipV="1">
          <a:off x="10363200" y="32607250"/>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1164772</xdr:colOff>
      <xdr:row>312</xdr:row>
      <xdr:rowOff>176892</xdr:rowOff>
    </xdr:from>
    <xdr:to>
      <xdr:col>12</xdr:col>
      <xdr:colOff>232531</xdr:colOff>
      <xdr:row>314</xdr:row>
      <xdr:rowOff>68034</xdr:rowOff>
    </xdr:to>
    <xdr:cxnSp macro="">
      <xdr:nvCxnSpPr>
        <xdr:cNvPr id="619" name="Connecteur droit avec flèche 618"/>
        <xdr:cNvCxnSpPr/>
      </xdr:nvCxnSpPr>
      <xdr:spPr>
        <a:xfrm flipV="1">
          <a:off x="10349593" y="33323892"/>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25400</xdr:colOff>
      <xdr:row>306</xdr:row>
      <xdr:rowOff>169334</xdr:rowOff>
    </xdr:from>
    <xdr:to>
      <xdr:col>14</xdr:col>
      <xdr:colOff>207433</xdr:colOff>
      <xdr:row>309</xdr:row>
      <xdr:rowOff>21166</xdr:rowOff>
    </xdr:to>
    <xdr:cxnSp macro="">
      <xdr:nvCxnSpPr>
        <xdr:cNvPr id="620" name="Connecteur droit avec flèche 619"/>
        <xdr:cNvCxnSpPr/>
      </xdr:nvCxnSpPr>
      <xdr:spPr>
        <a:xfrm flipV="1">
          <a:off x="12040507" y="3217333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745066</xdr:colOff>
      <xdr:row>309</xdr:row>
      <xdr:rowOff>19051</xdr:rowOff>
    </xdr:from>
    <xdr:to>
      <xdr:col>14</xdr:col>
      <xdr:colOff>120650</xdr:colOff>
      <xdr:row>309</xdr:row>
      <xdr:rowOff>31750</xdr:rowOff>
    </xdr:to>
    <xdr:cxnSp macro="">
      <xdr:nvCxnSpPr>
        <xdr:cNvPr id="621" name="Connecteur droit avec flèche 620"/>
        <xdr:cNvCxnSpPr/>
      </xdr:nvCxnSpPr>
      <xdr:spPr>
        <a:xfrm>
          <a:off x="11998173" y="3259455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628651</xdr:colOff>
      <xdr:row>311</xdr:row>
      <xdr:rowOff>21166</xdr:rowOff>
    </xdr:from>
    <xdr:to>
      <xdr:col>14</xdr:col>
      <xdr:colOff>120651</xdr:colOff>
      <xdr:row>313</xdr:row>
      <xdr:rowOff>21164</xdr:rowOff>
    </xdr:to>
    <xdr:cxnSp macro="">
      <xdr:nvCxnSpPr>
        <xdr:cNvPr id="622" name="Connecteur droit avec flèche 621"/>
        <xdr:cNvCxnSpPr/>
      </xdr:nvCxnSpPr>
      <xdr:spPr>
        <a:xfrm flipV="1">
          <a:off x="11881758" y="3297766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67735</xdr:colOff>
      <xdr:row>314</xdr:row>
      <xdr:rowOff>54428</xdr:rowOff>
    </xdr:from>
    <xdr:to>
      <xdr:col>14</xdr:col>
      <xdr:colOff>131235</xdr:colOff>
      <xdr:row>314</xdr:row>
      <xdr:rowOff>65013</xdr:rowOff>
    </xdr:to>
    <xdr:cxnSp macro="">
      <xdr:nvCxnSpPr>
        <xdr:cNvPr id="623" name="Connecteur droit avec flèche 622"/>
        <xdr:cNvCxnSpPr/>
      </xdr:nvCxnSpPr>
      <xdr:spPr>
        <a:xfrm>
          <a:off x="12082842" y="3358242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85877</xdr:colOff>
      <xdr:row>307</xdr:row>
      <xdr:rowOff>60475</xdr:rowOff>
    </xdr:from>
    <xdr:to>
      <xdr:col>16</xdr:col>
      <xdr:colOff>212878</xdr:colOff>
      <xdr:row>307</xdr:row>
      <xdr:rowOff>73175</xdr:rowOff>
    </xdr:to>
    <xdr:cxnSp macro="">
      <xdr:nvCxnSpPr>
        <xdr:cNvPr id="625" name="Connecteur droit avec flèche 624"/>
        <xdr:cNvCxnSpPr/>
      </xdr:nvCxnSpPr>
      <xdr:spPr>
        <a:xfrm>
          <a:off x="13624984" y="32254975"/>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54127</xdr:colOff>
      <xdr:row>311</xdr:row>
      <xdr:rowOff>92225</xdr:rowOff>
    </xdr:from>
    <xdr:to>
      <xdr:col>16</xdr:col>
      <xdr:colOff>159961</xdr:colOff>
      <xdr:row>311</xdr:row>
      <xdr:rowOff>94342</xdr:rowOff>
    </xdr:to>
    <xdr:cxnSp macro="">
      <xdr:nvCxnSpPr>
        <xdr:cNvPr id="626" name="Connecteur droit avec flèche 625"/>
        <xdr:cNvCxnSpPr/>
      </xdr:nvCxnSpPr>
      <xdr:spPr>
        <a:xfrm>
          <a:off x="13593234" y="33048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309</xdr:row>
      <xdr:rowOff>92225</xdr:rowOff>
    </xdr:from>
    <xdr:to>
      <xdr:col>16</xdr:col>
      <xdr:colOff>234045</xdr:colOff>
      <xdr:row>309</xdr:row>
      <xdr:rowOff>94342</xdr:rowOff>
    </xdr:to>
    <xdr:cxnSp macro="">
      <xdr:nvCxnSpPr>
        <xdr:cNvPr id="627" name="Connecteur droit avec flèche 626"/>
        <xdr:cNvCxnSpPr/>
      </xdr:nvCxnSpPr>
      <xdr:spPr>
        <a:xfrm>
          <a:off x="13667318" y="32667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117627</xdr:colOff>
      <xdr:row>313</xdr:row>
      <xdr:rowOff>81642</xdr:rowOff>
    </xdr:from>
    <xdr:to>
      <xdr:col>16</xdr:col>
      <xdr:colOff>223461</xdr:colOff>
      <xdr:row>313</xdr:row>
      <xdr:rowOff>83759</xdr:rowOff>
    </xdr:to>
    <xdr:cxnSp macro="">
      <xdr:nvCxnSpPr>
        <xdr:cNvPr id="628" name="Connecteur droit avec flèche 627"/>
        <xdr:cNvCxnSpPr/>
      </xdr:nvCxnSpPr>
      <xdr:spPr>
        <a:xfrm>
          <a:off x="13656734" y="3341914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22377</xdr:colOff>
      <xdr:row>314</xdr:row>
      <xdr:rowOff>92226</xdr:rowOff>
    </xdr:from>
    <xdr:to>
      <xdr:col>16</xdr:col>
      <xdr:colOff>128211</xdr:colOff>
      <xdr:row>314</xdr:row>
      <xdr:rowOff>94343</xdr:rowOff>
    </xdr:to>
    <xdr:cxnSp macro="">
      <xdr:nvCxnSpPr>
        <xdr:cNvPr id="629" name="Connecteur droit avec flèche 628"/>
        <xdr:cNvCxnSpPr/>
      </xdr:nvCxnSpPr>
      <xdr:spPr>
        <a:xfrm>
          <a:off x="13561484" y="33620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75293</xdr:colOff>
      <xdr:row>306</xdr:row>
      <xdr:rowOff>81642</xdr:rowOff>
    </xdr:from>
    <xdr:to>
      <xdr:col>16</xdr:col>
      <xdr:colOff>191711</xdr:colOff>
      <xdr:row>307</xdr:row>
      <xdr:rowOff>49893</xdr:rowOff>
    </xdr:to>
    <xdr:cxnSp macro="">
      <xdr:nvCxnSpPr>
        <xdr:cNvPr id="630" name="Connecteur droit avec flèche 629"/>
        <xdr:cNvCxnSpPr/>
      </xdr:nvCxnSpPr>
      <xdr:spPr>
        <a:xfrm flipV="1">
          <a:off x="13614400" y="32085642"/>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308</xdr:row>
      <xdr:rowOff>102809</xdr:rowOff>
    </xdr:from>
    <xdr:to>
      <xdr:col>16</xdr:col>
      <xdr:colOff>234044</xdr:colOff>
      <xdr:row>309</xdr:row>
      <xdr:rowOff>71060</xdr:rowOff>
    </xdr:to>
    <xdr:cxnSp macro="">
      <xdr:nvCxnSpPr>
        <xdr:cNvPr id="631" name="Connecteur droit avec flèche 630"/>
        <xdr:cNvCxnSpPr/>
      </xdr:nvCxnSpPr>
      <xdr:spPr>
        <a:xfrm flipV="1">
          <a:off x="13667318" y="32487809"/>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43544</xdr:colOff>
      <xdr:row>310</xdr:row>
      <xdr:rowOff>102809</xdr:rowOff>
    </xdr:from>
    <xdr:to>
      <xdr:col>16</xdr:col>
      <xdr:colOff>181127</xdr:colOff>
      <xdr:row>311</xdr:row>
      <xdr:rowOff>71060</xdr:rowOff>
    </xdr:to>
    <xdr:cxnSp macro="">
      <xdr:nvCxnSpPr>
        <xdr:cNvPr id="632" name="Connecteur droit avec flèche 631"/>
        <xdr:cNvCxnSpPr/>
      </xdr:nvCxnSpPr>
      <xdr:spPr>
        <a:xfrm flipV="1">
          <a:off x="13582651" y="32868809"/>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96460</xdr:colOff>
      <xdr:row>312</xdr:row>
      <xdr:rowOff>102809</xdr:rowOff>
    </xdr:from>
    <xdr:to>
      <xdr:col>16</xdr:col>
      <xdr:colOff>255211</xdr:colOff>
      <xdr:row>313</xdr:row>
      <xdr:rowOff>60477</xdr:rowOff>
    </xdr:to>
    <xdr:cxnSp macro="">
      <xdr:nvCxnSpPr>
        <xdr:cNvPr id="633" name="Connecteur droit avec flèche 632"/>
        <xdr:cNvCxnSpPr/>
      </xdr:nvCxnSpPr>
      <xdr:spPr>
        <a:xfrm flipV="1">
          <a:off x="13635567" y="33249809"/>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324</xdr:row>
      <xdr:rowOff>100692</xdr:rowOff>
    </xdr:from>
    <xdr:to>
      <xdr:col>12</xdr:col>
      <xdr:colOff>253094</xdr:colOff>
      <xdr:row>324</xdr:row>
      <xdr:rowOff>108856</xdr:rowOff>
    </xdr:to>
    <xdr:cxnSp macro="">
      <xdr:nvCxnSpPr>
        <xdr:cNvPr id="634" name="Connecteur droit avec flèche 633"/>
        <xdr:cNvCxnSpPr/>
      </xdr:nvCxnSpPr>
      <xdr:spPr>
        <a:xfrm>
          <a:off x="10273393" y="35533692"/>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319</xdr:row>
      <xdr:rowOff>58965</xdr:rowOff>
    </xdr:from>
    <xdr:to>
      <xdr:col>12</xdr:col>
      <xdr:colOff>333829</xdr:colOff>
      <xdr:row>324</xdr:row>
      <xdr:rowOff>95249</xdr:rowOff>
    </xdr:to>
    <xdr:cxnSp macro="">
      <xdr:nvCxnSpPr>
        <xdr:cNvPr id="635" name="Connecteur droit avec flèche 634"/>
        <xdr:cNvCxnSpPr/>
      </xdr:nvCxnSpPr>
      <xdr:spPr>
        <a:xfrm flipV="1">
          <a:off x="10322379" y="34539465"/>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323</xdr:row>
      <xdr:rowOff>13607</xdr:rowOff>
    </xdr:from>
    <xdr:to>
      <xdr:col>12</xdr:col>
      <xdr:colOff>191710</xdr:colOff>
      <xdr:row>324</xdr:row>
      <xdr:rowOff>95249</xdr:rowOff>
    </xdr:to>
    <xdr:cxnSp macro="">
      <xdr:nvCxnSpPr>
        <xdr:cNvPr id="636" name="Connecteur droit avec flèche 635"/>
        <xdr:cNvCxnSpPr/>
      </xdr:nvCxnSpPr>
      <xdr:spPr>
        <a:xfrm flipV="1">
          <a:off x="10308772" y="35256107"/>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317</xdr:row>
      <xdr:rowOff>108857</xdr:rowOff>
    </xdr:from>
    <xdr:to>
      <xdr:col>14</xdr:col>
      <xdr:colOff>68036</xdr:colOff>
      <xdr:row>319</xdr:row>
      <xdr:rowOff>48381</xdr:rowOff>
    </xdr:to>
    <xdr:cxnSp macro="">
      <xdr:nvCxnSpPr>
        <xdr:cNvPr id="637" name="Connecteur droit avec flèche 636"/>
        <xdr:cNvCxnSpPr/>
      </xdr:nvCxnSpPr>
      <xdr:spPr>
        <a:xfrm flipV="1">
          <a:off x="11999686" y="34208357"/>
          <a:ext cx="845457" cy="32052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319</xdr:row>
      <xdr:rowOff>46266</xdr:rowOff>
    </xdr:from>
    <xdr:to>
      <xdr:col>14</xdr:col>
      <xdr:colOff>79829</xdr:colOff>
      <xdr:row>319</xdr:row>
      <xdr:rowOff>58965</xdr:rowOff>
    </xdr:to>
    <xdr:cxnSp macro="">
      <xdr:nvCxnSpPr>
        <xdr:cNvPr id="638" name="Connecteur droit avec flèche 637"/>
        <xdr:cNvCxnSpPr/>
      </xdr:nvCxnSpPr>
      <xdr:spPr>
        <a:xfrm>
          <a:off x="11957352" y="34526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321</xdr:row>
      <xdr:rowOff>48381</xdr:rowOff>
    </xdr:from>
    <xdr:to>
      <xdr:col>14</xdr:col>
      <xdr:colOff>79830</xdr:colOff>
      <xdr:row>323</xdr:row>
      <xdr:rowOff>48379</xdr:rowOff>
    </xdr:to>
    <xdr:cxnSp macro="">
      <xdr:nvCxnSpPr>
        <xdr:cNvPr id="639" name="Connecteur droit avec flèche 638"/>
        <xdr:cNvCxnSpPr/>
      </xdr:nvCxnSpPr>
      <xdr:spPr>
        <a:xfrm flipV="1">
          <a:off x="11840937" y="34909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324</xdr:row>
      <xdr:rowOff>27214</xdr:rowOff>
    </xdr:from>
    <xdr:to>
      <xdr:col>14</xdr:col>
      <xdr:colOff>90414</xdr:colOff>
      <xdr:row>324</xdr:row>
      <xdr:rowOff>37799</xdr:rowOff>
    </xdr:to>
    <xdr:cxnSp macro="">
      <xdr:nvCxnSpPr>
        <xdr:cNvPr id="640" name="Connecteur droit avec flèche 639"/>
        <xdr:cNvCxnSpPr/>
      </xdr:nvCxnSpPr>
      <xdr:spPr>
        <a:xfrm>
          <a:off x="12042021" y="35460214"/>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323</xdr:row>
      <xdr:rowOff>16631</xdr:rowOff>
    </xdr:from>
    <xdr:to>
      <xdr:col>14</xdr:col>
      <xdr:colOff>48080</xdr:colOff>
      <xdr:row>323</xdr:row>
      <xdr:rowOff>37799</xdr:rowOff>
    </xdr:to>
    <xdr:cxnSp macro="">
      <xdr:nvCxnSpPr>
        <xdr:cNvPr id="641" name="Connecteur droit avec flèche 640"/>
        <xdr:cNvCxnSpPr/>
      </xdr:nvCxnSpPr>
      <xdr:spPr>
        <a:xfrm>
          <a:off x="11893854" y="35259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317</xdr:row>
      <xdr:rowOff>87690</xdr:rowOff>
    </xdr:from>
    <xdr:to>
      <xdr:col>16</xdr:col>
      <xdr:colOff>172057</xdr:colOff>
      <xdr:row>317</xdr:row>
      <xdr:rowOff>100390</xdr:rowOff>
    </xdr:to>
    <xdr:cxnSp macro="">
      <xdr:nvCxnSpPr>
        <xdr:cNvPr id="642" name="Connecteur droit avec flèche 641"/>
        <xdr:cNvCxnSpPr/>
      </xdr:nvCxnSpPr>
      <xdr:spPr>
        <a:xfrm>
          <a:off x="13584163" y="34187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321</xdr:row>
      <xdr:rowOff>119440</xdr:rowOff>
    </xdr:from>
    <xdr:to>
      <xdr:col>16</xdr:col>
      <xdr:colOff>119140</xdr:colOff>
      <xdr:row>321</xdr:row>
      <xdr:rowOff>121557</xdr:rowOff>
    </xdr:to>
    <xdr:cxnSp macro="">
      <xdr:nvCxnSpPr>
        <xdr:cNvPr id="643" name="Connecteur droit avec flèche 642"/>
        <xdr:cNvCxnSpPr/>
      </xdr:nvCxnSpPr>
      <xdr:spPr>
        <a:xfrm>
          <a:off x="13552413" y="34980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319</xdr:row>
      <xdr:rowOff>119440</xdr:rowOff>
    </xdr:from>
    <xdr:to>
      <xdr:col>16</xdr:col>
      <xdr:colOff>193224</xdr:colOff>
      <xdr:row>319</xdr:row>
      <xdr:rowOff>121557</xdr:rowOff>
    </xdr:to>
    <xdr:cxnSp macro="">
      <xdr:nvCxnSpPr>
        <xdr:cNvPr id="644" name="Connecteur droit avec flèche 643"/>
        <xdr:cNvCxnSpPr/>
      </xdr:nvCxnSpPr>
      <xdr:spPr>
        <a:xfrm>
          <a:off x="13626497" y="34599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323</xdr:row>
      <xdr:rowOff>108857</xdr:rowOff>
    </xdr:from>
    <xdr:to>
      <xdr:col>16</xdr:col>
      <xdr:colOff>182640</xdr:colOff>
      <xdr:row>323</xdr:row>
      <xdr:rowOff>110974</xdr:rowOff>
    </xdr:to>
    <xdr:cxnSp macro="">
      <xdr:nvCxnSpPr>
        <xdr:cNvPr id="645" name="Connecteur droit avec flèche 644"/>
        <xdr:cNvCxnSpPr/>
      </xdr:nvCxnSpPr>
      <xdr:spPr>
        <a:xfrm>
          <a:off x="13615913" y="35351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324</xdr:row>
      <xdr:rowOff>119441</xdr:rowOff>
    </xdr:from>
    <xdr:to>
      <xdr:col>16</xdr:col>
      <xdr:colOff>87390</xdr:colOff>
      <xdr:row>324</xdr:row>
      <xdr:rowOff>121558</xdr:rowOff>
    </xdr:to>
    <xdr:cxnSp macro="">
      <xdr:nvCxnSpPr>
        <xdr:cNvPr id="646" name="Connecteur droit avec flèche 645"/>
        <xdr:cNvCxnSpPr/>
      </xdr:nvCxnSpPr>
      <xdr:spPr>
        <a:xfrm>
          <a:off x="13520663" y="35552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316</xdr:row>
      <xdr:rowOff>108857</xdr:rowOff>
    </xdr:from>
    <xdr:to>
      <xdr:col>16</xdr:col>
      <xdr:colOff>150890</xdr:colOff>
      <xdr:row>317</xdr:row>
      <xdr:rowOff>77108</xdr:rowOff>
    </xdr:to>
    <xdr:cxnSp macro="">
      <xdr:nvCxnSpPr>
        <xdr:cNvPr id="647" name="Connecteur droit avec flèche 646"/>
        <xdr:cNvCxnSpPr/>
      </xdr:nvCxnSpPr>
      <xdr:spPr>
        <a:xfrm flipV="1">
          <a:off x="13573579" y="34017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318</xdr:row>
      <xdr:rowOff>130024</xdr:rowOff>
    </xdr:from>
    <xdr:to>
      <xdr:col>16</xdr:col>
      <xdr:colOff>193223</xdr:colOff>
      <xdr:row>319</xdr:row>
      <xdr:rowOff>98275</xdr:rowOff>
    </xdr:to>
    <xdr:cxnSp macro="">
      <xdr:nvCxnSpPr>
        <xdr:cNvPr id="648" name="Connecteur droit avec flèche 647"/>
        <xdr:cNvCxnSpPr/>
      </xdr:nvCxnSpPr>
      <xdr:spPr>
        <a:xfrm flipV="1">
          <a:off x="13626497" y="34420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320</xdr:row>
      <xdr:rowOff>130024</xdr:rowOff>
    </xdr:from>
    <xdr:to>
      <xdr:col>16</xdr:col>
      <xdr:colOff>140306</xdr:colOff>
      <xdr:row>321</xdr:row>
      <xdr:rowOff>98275</xdr:rowOff>
    </xdr:to>
    <xdr:cxnSp macro="">
      <xdr:nvCxnSpPr>
        <xdr:cNvPr id="649" name="Connecteur droit avec flèche 648"/>
        <xdr:cNvCxnSpPr/>
      </xdr:nvCxnSpPr>
      <xdr:spPr>
        <a:xfrm flipV="1">
          <a:off x="13541830" y="34801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322</xdr:row>
      <xdr:rowOff>130024</xdr:rowOff>
    </xdr:from>
    <xdr:to>
      <xdr:col>16</xdr:col>
      <xdr:colOff>214390</xdr:colOff>
      <xdr:row>323</xdr:row>
      <xdr:rowOff>87692</xdr:rowOff>
    </xdr:to>
    <xdr:cxnSp macro="">
      <xdr:nvCxnSpPr>
        <xdr:cNvPr id="650" name="Connecteur droit avec flèche 649"/>
        <xdr:cNvCxnSpPr/>
      </xdr:nvCxnSpPr>
      <xdr:spPr>
        <a:xfrm flipV="1">
          <a:off x="13594746" y="35182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344</xdr:row>
      <xdr:rowOff>141514</xdr:rowOff>
    </xdr:from>
    <xdr:to>
      <xdr:col>12</xdr:col>
      <xdr:colOff>253094</xdr:colOff>
      <xdr:row>344</xdr:row>
      <xdr:rowOff>149678</xdr:rowOff>
    </xdr:to>
    <xdr:cxnSp macro="">
      <xdr:nvCxnSpPr>
        <xdr:cNvPr id="652" name="Connecteur droit avec flèche 651"/>
        <xdr:cNvCxnSpPr/>
      </xdr:nvCxnSpPr>
      <xdr:spPr>
        <a:xfrm>
          <a:off x="10273393" y="37479514"/>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339</xdr:row>
      <xdr:rowOff>99787</xdr:rowOff>
    </xdr:from>
    <xdr:to>
      <xdr:col>12</xdr:col>
      <xdr:colOff>333829</xdr:colOff>
      <xdr:row>344</xdr:row>
      <xdr:rowOff>136071</xdr:rowOff>
    </xdr:to>
    <xdr:cxnSp macro="">
      <xdr:nvCxnSpPr>
        <xdr:cNvPr id="653" name="Connecteur droit avec flèche 652"/>
        <xdr:cNvCxnSpPr/>
      </xdr:nvCxnSpPr>
      <xdr:spPr>
        <a:xfrm flipV="1">
          <a:off x="10322379" y="36485287"/>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343</xdr:row>
      <xdr:rowOff>54429</xdr:rowOff>
    </xdr:from>
    <xdr:to>
      <xdr:col>12</xdr:col>
      <xdr:colOff>191710</xdr:colOff>
      <xdr:row>344</xdr:row>
      <xdr:rowOff>136071</xdr:rowOff>
    </xdr:to>
    <xdr:cxnSp macro="">
      <xdr:nvCxnSpPr>
        <xdr:cNvPr id="654" name="Connecteur droit avec flèche 653"/>
        <xdr:cNvCxnSpPr/>
      </xdr:nvCxnSpPr>
      <xdr:spPr>
        <a:xfrm flipV="1">
          <a:off x="10308772" y="37201929"/>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337</xdr:row>
      <xdr:rowOff>46871</xdr:rowOff>
    </xdr:from>
    <xdr:to>
      <xdr:col>14</xdr:col>
      <xdr:colOff>166612</xdr:colOff>
      <xdr:row>339</xdr:row>
      <xdr:rowOff>89203</xdr:rowOff>
    </xdr:to>
    <xdr:cxnSp macro="">
      <xdr:nvCxnSpPr>
        <xdr:cNvPr id="655" name="Connecteur droit avec flèche 654"/>
        <xdr:cNvCxnSpPr/>
      </xdr:nvCxnSpPr>
      <xdr:spPr>
        <a:xfrm flipV="1">
          <a:off x="11999686" y="36051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339</xdr:row>
      <xdr:rowOff>87088</xdr:rowOff>
    </xdr:from>
    <xdr:to>
      <xdr:col>14</xdr:col>
      <xdr:colOff>79829</xdr:colOff>
      <xdr:row>339</xdr:row>
      <xdr:rowOff>99787</xdr:rowOff>
    </xdr:to>
    <xdr:cxnSp macro="">
      <xdr:nvCxnSpPr>
        <xdr:cNvPr id="656" name="Connecteur droit avec flèche 655"/>
        <xdr:cNvCxnSpPr/>
      </xdr:nvCxnSpPr>
      <xdr:spPr>
        <a:xfrm>
          <a:off x="11957352" y="36472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341</xdr:row>
      <xdr:rowOff>89203</xdr:rowOff>
    </xdr:from>
    <xdr:to>
      <xdr:col>14</xdr:col>
      <xdr:colOff>79830</xdr:colOff>
      <xdr:row>343</xdr:row>
      <xdr:rowOff>89201</xdr:rowOff>
    </xdr:to>
    <xdr:cxnSp macro="">
      <xdr:nvCxnSpPr>
        <xdr:cNvPr id="657" name="Connecteur droit avec flèche 656"/>
        <xdr:cNvCxnSpPr/>
      </xdr:nvCxnSpPr>
      <xdr:spPr>
        <a:xfrm flipV="1">
          <a:off x="11840937" y="36855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344</xdr:row>
      <xdr:rowOff>68036</xdr:rowOff>
    </xdr:from>
    <xdr:to>
      <xdr:col>14</xdr:col>
      <xdr:colOff>90414</xdr:colOff>
      <xdr:row>344</xdr:row>
      <xdr:rowOff>78621</xdr:rowOff>
    </xdr:to>
    <xdr:cxnSp macro="">
      <xdr:nvCxnSpPr>
        <xdr:cNvPr id="658" name="Connecteur droit avec flèche 657"/>
        <xdr:cNvCxnSpPr/>
      </xdr:nvCxnSpPr>
      <xdr:spPr>
        <a:xfrm>
          <a:off x="12042021" y="37406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343</xdr:row>
      <xdr:rowOff>57453</xdr:rowOff>
    </xdr:from>
    <xdr:to>
      <xdr:col>14</xdr:col>
      <xdr:colOff>48080</xdr:colOff>
      <xdr:row>343</xdr:row>
      <xdr:rowOff>78621</xdr:rowOff>
    </xdr:to>
    <xdr:cxnSp macro="">
      <xdr:nvCxnSpPr>
        <xdr:cNvPr id="659" name="Connecteur droit avec flèche 658"/>
        <xdr:cNvCxnSpPr/>
      </xdr:nvCxnSpPr>
      <xdr:spPr>
        <a:xfrm>
          <a:off x="11893854" y="37204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337</xdr:row>
      <xdr:rowOff>128512</xdr:rowOff>
    </xdr:from>
    <xdr:to>
      <xdr:col>16</xdr:col>
      <xdr:colOff>172057</xdr:colOff>
      <xdr:row>337</xdr:row>
      <xdr:rowOff>141212</xdr:rowOff>
    </xdr:to>
    <xdr:cxnSp macro="">
      <xdr:nvCxnSpPr>
        <xdr:cNvPr id="660" name="Connecteur droit avec flèche 659"/>
        <xdr:cNvCxnSpPr/>
      </xdr:nvCxnSpPr>
      <xdr:spPr>
        <a:xfrm>
          <a:off x="13584163" y="361330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341</xdr:row>
      <xdr:rowOff>160262</xdr:rowOff>
    </xdr:from>
    <xdr:to>
      <xdr:col>16</xdr:col>
      <xdr:colOff>119140</xdr:colOff>
      <xdr:row>341</xdr:row>
      <xdr:rowOff>162379</xdr:rowOff>
    </xdr:to>
    <xdr:cxnSp macro="">
      <xdr:nvCxnSpPr>
        <xdr:cNvPr id="661" name="Connecteur droit avec flèche 660"/>
        <xdr:cNvCxnSpPr/>
      </xdr:nvCxnSpPr>
      <xdr:spPr>
        <a:xfrm>
          <a:off x="13552413" y="36926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339</xdr:row>
      <xdr:rowOff>160262</xdr:rowOff>
    </xdr:from>
    <xdr:to>
      <xdr:col>16</xdr:col>
      <xdr:colOff>193224</xdr:colOff>
      <xdr:row>339</xdr:row>
      <xdr:rowOff>162379</xdr:rowOff>
    </xdr:to>
    <xdr:cxnSp macro="">
      <xdr:nvCxnSpPr>
        <xdr:cNvPr id="662" name="Connecteur droit avec flèche 661"/>
        <xdr:cNvCxnSpPr/>
      </xdr:nvCxnSpPr>
      <xdr:spPr>
        <a:xfrm>
          <a:off x="13626497" y="36545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343</xdr:row>
      <xdr:rowOff>149679</xdr:rowOff>
    </xdr:from>
    <xdr:to>
      <xdr:col>16</xdr:col>
      <xdr:colOff>182640</xdr:colOff>
      <xdr:row>343</xdr:row>
      <xdr:rowOff>151796</xdr:rowOff>
    </xdr:to>
    <xdr:cxnSp macro="">
      <xdr:nvCxnSpPr>
        <xdr:cNvPr id="663" name="Connecteur droit avec flèche 662"/>
        <xdr:cNvCxnSpPr/>
      </xdr:nvCxnSpPr>
      <xdr:spPr>
        <a:xfrm>
          <a:off x="13615913" y="372971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344</xdr:row>
      <xdr:rowOff>92227</xdr:rowOff>
    </xdr:from>
    <xdr:to>
      <xdr:col>16</xdr:col>
      <xdr:colOff>87390</xdr:colOff>
      <xdr:row>344</xdr:row>
      <xdr:rowOff>94344</xdr:rowOff>
    </xdr:to>
    <xdr:cxnSp macro="">
      <xdr:nvCxnSpPr>
        <xdr:cNvPr id="664" name="Connecteur droit avec flèche 663"/>
        <xdr:cNvCxnSpPr/>
      </xdr:nvCxnSpPr>
      <xdr:spPr>
        <a:xfrm>
          <a:off x="13520663" y="37430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336</xdr:row>
      <xdr:rowOff>149679</xdr:rowOff>
    </xdr:from>
    <xdr:to>
      <xdr:col>16</xdr:col>
      <xdr:colOff>150890</xdr:colOff>
      <xdr:row>337</xdr:row>
      <xdr:rowOff>117930</xdr:rowOff>
    </xdr:to>
    <xdr:cxnSp macro="">
      <xdr:nvCxnSpPr>
        <xdr:cNvPr id="665" name="Connecteur droit avec flèche 664"/>
        <xdr:cNvCxnSpPr/>
      </xdr:nvCxnSpPr>
      <xdr:spPr>
        <a:xfrm flipV="1">
          <a:off x="13573579" y="359636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338</xdr:row>
      <xdr:rowOff>170846</xdr:rowOff>
    </xdr:from>
    <xdr:to>
      <xdr:col>16</xdr:col>
      <xdr:colOff>193223</xdr:colOff>
      <xdr:row>339</xdr:row>
      <xdr:rowOff>139097</xdr:rowOff>
    </xdr:to>
    <xdr:cxnSp macro="">
      <xdr:nvCxnSpPr>
        <xdr:cNvPr id="666" name="Connecteur droit avec flèche 665"/>
        <xdr:cNvCxnSpPr/>
      </xdr:nvCxnSpPr>
      <xdr:spPr>
        <a:xfrm flipV="1">
          <a:off x="13626497" y="363658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340</xdr:row>
      <xdr:rowOff>170846</xdr:rowOff>
    </xdr:from>
    <xdr:to>
      <xdr:col>16</xdr:col>
      <xdr:colOff>140306</xdr:colOff>
      <xdr:row>341</xdr:row>
      <xdr:rowOff>139097</xdr:rowOff>
    </xdr:to>
    <xdr:cxnSp macro="">
      <xdr:nvCxnSpPr>
        <xdr:cNvPr id="667" name="Connecteur droit avec flèche 666"/>
        <xdr:cNvCxnSpPr/>
      </xdr:nvCxnSpPr>
      <xdr:spPr>
        <a:xfrm flipV="1">
          <a:off x="13541830" y="367468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342</xdr:row>
      <xdr:rowOff>170846</xdr:rowOff>
    </xdr:from>
    <xdr:to>
      <xdr:col>16</xdr:col>
      <xdr:colOff>214390</xdr:colOff>
      <xdr:row>343</xdr:row>
      <xdr:rowOff>128514</xdr:rowOff>
    </xdr:to>
    <xdr:cxnSp macro="">
      <xdr:nvCxnSpPr>
        <xdr:cNvPr id="668" name="Connecteur droit avec flèche 667"/>
        <xdr:cNvCxnSpPr/>
      </xdr:nvCxnSpPr>
      <xdr:spPr>
        <a:xfrm flipV="1">
          <a:off x="13594746" y="371278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364</xdr:row>
      <xdr:rowOff>114300</xdr:rowOff>
    </xdr:from>
    <xdr:to>
      <xdr:col>12</xdr:col>
      <xdr:colOff>348344</xdr:colOff>
      <xdr:row>364</xdr:row>
      <xdr:rowOff>122464</xdr:rowOff>
    </xdr:to>
    <xdr:cxnSp macro="">
      <xdr:nvCxnSpPr>
        <xdr:cNvPr id="669" name="Connecteur droit avec flèche 668"/>
        <xdr:cNvCxnSpPr/>
      </xdr:nvCxnSpPr>
      <xdr:spPr>
        <a:xfrm>
          <a:off x="10368643" y="39357300"/>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359</xdr:row>
      <xdr:rowOff>72573</xdr:rowOff>
    </xdr:from>
    <xdr:to>
      <xdr:col>12</xdr:col>
      <xdr:colOff>429079</xdr:colOff>
      <xdr:row>364</xdr:row>
      <xdr:rowOff>108857</xdr:rowOff>
    </xdr:to>
    <xdr:cxnSp macro="">
      <xdr:nvCxnSpPr>
        <xdr:cNvPr id="670" name="Connecteur droit avec flèche 669"/>
        <xdr:cNvCxnSpPr/>
      </xdr:nvCxnSpPr>
      <xdr:spPr>
        <a:xfrm flipV="1">
          <a:off x="10417629" y="38363073"/>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363</xdr:row>
      <xdr:rowOff>27215</xdr:rowOff>
    </xdr:from>
    <xdr:to>
      <xdr:col>12</xdr:col>
      <xdr:colOff>286960</xdr:colOff>
      <xdr:row>364</xdr:row>
      <xdr:rowOff>108857</xdr:rowOff>
    </xdr:to>
    <xdr:cxnSp macro="">
      <xdr:nvCxnSpPr>
        <xdr:cNvPr id="671" name="Connecteur droit avec flèche 670"/>
        <xdr:cNvCxnSpPr/>
      </xdr:nvCxnSpPr>
      <xdr:spPr>
        <a:xfrm flipV="1">
          <a:off x="10404022" y="39079715"/>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357</xdr:row>
      <xdr:rowOff>19657</xdr:rowOff>
    </xdr:from>
    <xdr:to>
      <xdr:col>14</xdr:col>
      <xdr:colOff>261862</xdr:colOff>
      <xdr:row>359</xdr:row>
      <xdr:rowOff>61989</xdr:rowOff>
    </xdr:to>
    <xdr:cxnSp macro="">
      <xdr:nvCxnSpPr>
        <xdr:cNvPr id="672" name="Connecteur droit avec flèche 671"/>
        <xdr:cNvCxnSpPr/>
      </xdr:nvCxnSpPr>
      <xdr:spPr>
        <a:xfrm flipV="1">
          <a:off x="12094936" y="37929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359</xdr:row>
      <xdr:rowOff>59874</xdr:rowOff>
    </xdr:from>
    <xdr:to>
      <xdr:col>14</xdr:col>
      <xdr:colOff>175079</xdr:colOff>
      <xdr:row>359</xdr:row>
      <xdr:rowOff>72573</xdr:rowOff>
    </xdr:to>
    <xdr:cxnSp macro="">
      <xdr:nvCxnSpPr>
        <xdr:cNvPr id="673" name="Connecteur droit avec flèche 672"/>
        <xdr:cNvCxnSpPr/>
      </xdr:nvCxnSpPr>
      <xdr:spPr>
        <a:xfrm>
          <a:off x="12052602" y="38350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361</xdr:row>
      <xdr:rowOff>61989</xdr:rowOff>
    </xdr:from>
    <xdr:to>
      <xdr:col>14</xdr:col>
      <xdr:colOff>175080</xdr:colOff>
      <xdr:row>363</xdr:row>
      <xdr:rowOff>61987</xdr:rowOff>
    </xdr:to>
    <xdr:cxnSp macro="">
      <xdr:nvCxnSpPr>
        <xdr:cNvPr id="674" name="Connecteur droit avec flèche 673"/>
        <xdr:cNvCxnSpPr/>
      </xdr:nvCxnSpPr>
      <xdr:spPr>
        <a:xfrm flipV="1">
          <a:off x="11936187" y="38733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364</xdr:row>
      <xdr:rowOff>93738</xdr:rowOff>
    </xdr:from>
    <xdr:to>
      <xdr:col>14</xdr:col>
      <xdr:colOff>26914</xdr:colOff>
      <xdr:row>364</xdr:row>
      <xdr:rowOff>104323</xdr:rowOff>
    </xdr:to>
    <xdr:cxnSp macro="">
      <xdr:nvCxnSpPr>
        <xdr:cNvPr id="675" name="Connecteur droit avec flèche 674"/>
        <xdr:cNvCxnSpPr/>
      </xdr:nvCxnSpPr>
      <xdr:spPr>
        <a:xfrm>
          <a:off x="12144831" y="408607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363</xdr:row>
      <xdr:rowOff>30239</xdr:rowOff>
    </xdr:from>
    <xdr:to>
      <xdr:col>14</xdr:col>
      <xdr:colOff>143330</xdr:colOff>
      <xdr:row>363</xdr:row>
      <xdr:rowOff>51407</xdr:rowOff>
    </xdr:to>
    <xdr:cxnSp macro="">
      <xdr:nvCxnSpPr>
        <xdr:cNvPr id="676" name="Connecteur droit avec flèche 675"/>
        <xdr:cNvCxnSpPr/>
      </xdr:nvCxnSpPr>
      <xdr:spPr>
        <a:xfrm>
          <a:off x="11989104" y="39082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357</xdr:row>
      <xdr:rowOff>101298</xdr:rowOff>
    </xdr:from>
    <xdr:to>
      <xdr:col>16</xdr:col>
      <xdr:colOff>267307</xdr:colOff>
      <xdr:row>357</xdr:row>
      <xdr:rowOff>113998</xdr:rowOff>
    </xdr:to>
    <xdr:cxnSp macro="">
      <xdr:nvCxnSpPr>
        <xdr:cNvPr id="677" name="Connecteur droit avec flèche 676"/>
        <xdr:cNvCxnSpPr/>
      </xdr:nvCxnSpPr>
      <xdr:spPr>
        <a:xfrm>
          <a:off x="13679413" y="38010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361</xdr:row>
      <xdr:rowOff>133048</xdr:rowOff>
    </xdr:from>
    <xdr:to>
      <xdr:col>16</xdr:col>
      <xdr:colOff>214390</xdr:colOff>
      <xdr:row>361</xdr:row>
      <xdr:rowOff>135165</xdr:rowOff>
    </xdr:to>
    <xdr:cxnSp macro="">
      <xdr:nvCxnSpPr>
        <xdr:cNvPr id="678" name="Connecteur droit avec flèche 677"/>
        <xdr:cNvCxnSpPr/>
      </xdr:nvCxnSpPr>
      <xdr:spPr>
        <a:xfrm>
          <a:off x="13647663" y="38804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359</xdr:row>
      <xdr:rowOff>133048</xdr:rowOff>
    </xdr:from>
    <xdr:to>
      <xdr:col>16</xdr:col>
      <xdr:colOff>288474</xdr:colOff>
      <xdr:row>359</xdr:row>
      <xdr:rowOff>135165</xdr:rowOff>
    </xdr:to>
    <xdr:cxnSp macro="">
      <xdr:nvCxnSpPr>
        <xdr:cNvPr id="679" name="Connecteur droit avec flèche 678"/>
        <xdr:cNvCxnSpPr/>
      </xdr:nvCxnSpPr>
      <xdr:spPr>
        <a:xfrm>
          <a:off x="13721747" y="38423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363</xdr:row>
      <xdr:rowOff>122465</xdr:rowOff>
    </xdr:from>
    <xdr:to>
      <xdr:col>16</xdr:col>
      <xdr:colOff>277890</xdr:colOff>
      <xdr:row>363</xdr:row>
      <xdr:rowOff>124582</xdr:rowOff>
    </xdr:to>
    <xdr:cxnSp macro="">
      <xdr:nvCxnSpPr>
        <xdr:cNvPr id="680" name="Connecteur droit avec flèche 679"/>
        <xdr:cNvCxnSpPr/>
      </xdr:nvCxnSpPr>
      <xdr:spPr>
        <a:xfrm>
          <a:off x="13711163" y="39174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364</xdr:row>
      <xdr:rowOff>133049</xdr:rowOff>
    </xdr:from>
    <xdr:to>
      <xdr:col>16</xdr:col>
      <xdr:colOff>182640</xdr:colOff>
      <xdr:row>364</xdr:row>
      <xdr:rowOff>135166</xdr:rowOff>
    </xdr:to>
    <xdr:cxnSp macro="">
      <xdr:nvCxnSpPr>
        <xdr:cNvPr id="681" name="Connecteur droit avec flèche 680"/>
        <xdr:cNvCxnSpPr/>
      </xdr:nvCxnSpPr>
      <xdr:spPr>
        <a:xfrm>
          <a:off x="13615913" y="39376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356</xdr:row>
      <xdr:rowOff>122465</xdr:rowOff>
    </xdr:from>
    <xdr:to>
      <xdr:col>16</xdr:col>
      <xdr:colOff>246140</xdr:colOff>
      <xdr:row>357</xdr:row>
      <xdr:rowOff>90716</xdr:rowOff>
    </xdr:to>
    <xdr:cxnSp macro="">
      <xdr:nvCxnSpPr>
        <xdr:cNvPr id="682" name="Connecteur droit avec flèche 681"/>
        <xdr:cNvCxnSpPr/>
      </xdr:nvCxnSpPr>
      <xdr:spPr>
        <a:xfrm flipV="1">
          <a:off x="13668829" y="37841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358</xdr:row>
      <xdr:rowOff>143632</xdr:rowOff>
    </xdr:from>
    <xdr:to>
      <xdr:col>16</xdr:col>
      <xdr:colOff>288473</xdr:colOff>
      <xdr:row>359</xdr:row>
      <xdr:rowOff>111883</xdr:rowOff>
    </xdr:to>
    <xdr:cxnSp macro="">
      <xdr:nvCxnSpPr>
        <xdr:cNvPr id="683" name="Connecteur droit avec flèche 682"/>
        <xdr:cNvCxnSpPr/>
      </xdr:nvCxnSpPr>
      <xdr:spPr>
        <a:xfrm flipV="1">
          <a:off x="13721747" y="38243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360</xdr:row>
      <xdr:rowOff>143632</xdr:rowOff>
    </xdr:from>
    <xdr:to>
      <xdr:col>16</xdr:col>
      <xdr:colOff>235556</xdr:colOff>
      <xdr:row>361</xdr:row>
      <xdr:rowOff>111883</xdr:rowOff>
    </xdr:to>
    <xdr:cxnSp macro="">
      <xdr:nvCxnSpPr>
        <xdr:cNvPr id="684" name="Connecteur droit avec flèche 683"/>
        <xdr:cNvCxnSpPr/>
      </xdr:nvCxnSpPr>
      <xdr:spPr>
        <a:xfrm flipV="1">
          <a:off x="13637080" y="38624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362</xdr:row>
      <xdr:rowOff>122464</xdr:rowOff>
    </xdr:from>
    <xdr:to>
      <xdr:col>16</xdr:col>
      <xdr:colOff>176893</xdr:colOff>
      <xdr:row>363</xdr:row>
      <xdr:rowOff>101300</xdr:rowOff>
    </xdr:to>
    <xdr:cxnSp macro="">
      <xdr:nvCxnSpPr>
        <xdr:cNvPr id="685" name="Connecteur droit avec flèche 684"/>
        <xdr:cNvCxnSpPr/>
      </xdr:nvCxnSpPr>
      <xdr:spPr>
        <a:xfrm flipV="1">
          <a:off x="13689996" y="389844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394</xdr:row>
      <xdr:rowOff>100692</xdr:rowOff>
    </xdr:from>
    <xdr:to>
      <xdr:col>12</xdr:col>
      <xdr:colOff>171451</xdr:colOff>
      <xdr:row>394</xdr:row>
      <xdr:rowOff>108856</xdr:rowOff>
    </xdr:to>
    <xdr:cxnSp macro="">
      <xdr:nvCxnSpPr>
        <xdr:cNvPr id="687" name="Connecteur droit avec flèche 686"/>
        <xdr:cNvCxnSpPr/>
      </xdr:nvCxnSpPr>
      <xdr:spPr>
        <a:xfrm>
          <a:off x="10191750" y="41248692"/>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1055915</xdr:colOff>
      <xdr:row>389</xdr:row>
      <xdr:rowOff>58965</xdr:rowOff>
    </xdr:from>
    <xdr:to>
      <xdr:col>12</xdr:col>
      <xdr:colOff>252186</xdr:colOff>
      <xdr:row>394</xdr:row>
      <xdr:rowOff>95249</xdr:rowOff>
    </xdr:to>
    <xdr:cxnSp macro="">
      <xdr:nvCxnSpPr>
        <xdr:cNvPr id="688" name="Connecteur droit avec flèche 687"/>
        <xdr:cNvCxnSpPr/>
      </xdr:nvCxnSpPr>
      <xdr:spPr>
        <a:xfrm flipV="1">
          <a:off x="10240736" y="40254465"/>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1042308</xdr:colOff>
      <xdr:row>393</xdr:row>
      <xdr:rowOff>13607</xdr:rowOff>
    </xdr:from>
    <xdr:to>
      <xdr:col>12</xdr:col>
      <xdr:colOff>110067</xdr:colOff>
      <xdr:row>394</xdr:row>
      <xdr:rowOff>95249</xdr:rowOff>
    </xdr:to>
    <xdr:cxnSp macro="">
      <xdr:nvCxnSpPr>
        <xdr:cNvPr id="689" name="Connecteur droit avec flèche 688"/>
        <xdr:cNvCxnSpPr/>
      </xdr:nvCxnSpPr>
      <xdr:spPr>
        <a:xfrm flipV="1">
          <a:off x="10227129" y="40971107"/>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664936</xdr:colOff>
      <xdr:row>387</xdr:row>
      <xdr:rowOff>6049</xdr:rowOff>
    </xdr:from>
    <xdr:to>
      <xdr:col>14</xdr:col>
      <xdr:colOff>84969</xdr:colOff>
      <xdr:row>389</xdr:row>
      <xdr:rowOff>48381</xdr:rowOff>
    </xdr:to>
    <xdr:cxnSp macro="">
      <xdr:nvCxnSpPr>
        <xdr:cNvPr id="690" name="Connecteur droit avec flèche 689"/>
        <xdr:cNvCxnSpPr/>
      </xdr:nvCxnSpPr>
      <xdr:spPr>
        <a:xfrm flipV="1">
          <a:off x="11918043" y="39820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622602</xdr:colOff>
      <xdr:row>389</xdr:row>
      <xdr:rowOff>46266</xdr:rowOff>
    </xdr:from>
    <xdr:to>
      <xdr:col>13</xdr:col>
      <xdr:colOff>760186</xdr:colOff>
      <xdr:row>389</xdr:row>
      <xdr:rowOff>58965</xdr:rowOff>
    </xdr:to>
    <xdr:cxnSp macro="">
      <xdr:nvCxnSpPr>
        <xdr:cNvPr id="691" name="Connecteur droit avec flèche 690"/>
        <xdr:cNvCxnSpPr/>
      </xdr:nvCxnSpPr>
      <xdr:spPr>
        <a:xfrm>
          <a:off x="11875709" y="40241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506187</xdr:colOff>
      <xdr:row>391</xdr:row>
      <xdr:rowOff>48381</xdr:rowOff>
    </xdr:from>
    <xdr:to>
      <xdr:col>13</xdr:col>
      <xdr:colOff>760187</xdr:colOff>
      <xdr:row>393</xdr:row>
      <xdr:rowOff>48379</xdr:rowOff>
    </xdr:to>
    <xdr:cxnSp macro="">
      <xdr:nvCxnSpPr>
        <xdr:cNvPr id="692" name="Connecteur droit avec flèche 691"/>
        <xdr:cNvCxnSpPr/>
      </xdr:nvCxnSpPr>
      <xdr:spPr>
        <a:xfrm flipV="1">
          <a:off x="11759294" y="40624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707271</xdr:colOff>
      <xdr:row>394</xdr:row>
      <xdr:rowOff>81643</xdr:rowOff>
    </xdr:from>
    <xdr:to>
      <xdr:col>14</xdr:col>
      <xdr:colOff>8771</xdr:colOff>
      <xdr:row>394</xdr:row>
      <xdr:rowOff>92228</xdr:rowOff>
    </xdr:to>
    <xdr:cxnSp macro="">
      <xdr:nvCxnSpPr>
        <xdr:cNvPr id="693" name="Connecteur droit avec flèche 692"/>
        <xdr:cNvCxnSpPr/>
      </xdr:nvCxnSpPr>
      <xdr:spPr>
        <a:xfrm>
          <a:off x="11960378" y="41229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725413</xdr:colOff>
      <xdr:row>387</xdr:row>
      <xdr:rowOff>87690</xdr:rowOff>
    </xdr:from>
    <xdr:to>
      <xdr:col>16</xdr:col>
      <xdr:colOff>90414</xdr:colOff>
      <xdr:row>387</xdr:row>
      <xdr:rowOff>100390</xdr:rowOff>
    </xdr:to>
    <xdr:cxnSp macro="">
      <xdr:nvCxnSpPr>
        <xdr:cNvPr id="695" name="Connecteur droit avec flèche 694"/>
        <xdr:cNvCxnSpPr/>
      </xdr:nvCxnSpPr>
      <xdr:spPr>
        <a:xfrm>
          <a:off x="13502520" y="39902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693663</xdr:colOff>
      <xdr:row>391</xdr:row>
      <xdr:rowOff>119440</xdr:rowOff>
    </xdr:from>
    <xdr:to>
      <xdr:col>16</xdr:col>
      <xdr:colOff>37497</xdr:colOff>
      <xdr:row>391</xdr:row>
      <xdr:rowOff>121557</xdr:rowOff>
    </xdr:to>
    <xdr:cxnSp macro="">
      <xdr:nvCxnSpPr>
        <xdr:cNvPr id="696" name="Connecteur droit avec flèche 695"/>
        <xdr:cNvCxnSpPr/>
      </xdr:nvCxnSpPr>
      <xdr:spPr>
        <a:xfrm>
          <a:off x="13470770" y="40695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389</xdr:row>
      <xdr:rowOff>119440</xdr:rowOff>
    </xdr:from>
    <xdr:to>
      <xdr:col>16</xdr:col>
      <xdr:colOff>111581</xdr:colOff>
      <xdr:row>389</xdr:row>
      <xdr:rowOff>121557</xdr:rowOff>
    </xdr:to>
    <xdr:cxnSp macro="">
      <xdr:nvCxnSpPr>
        <xdr:cNvPr id="697" name="Connecteur droit avec flèche 696"/>
        <xdr:cNvCxnSpPr/>
      </xdr:nvCxnSpPr>
      <xdr:spPr>
        <a:xfrm>
          <a:off x="13544854" y="40314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757163</xdr:colOff>
      <xdr:row>393</xdr:row>
      <xdr:rowOff>108857</xdr:rowOff>
    </xdr:from>
    <xdr:to>
      <xdr:col>16</xdr:col>
      <xdr:colOff>100997</xdr:colOff>
      <xdr:row>393</xdr:row>
      <xdr:rowOff>110974</xdr:rowOff>
    </xdr:to>
    <xdr:cxnSp macro="">
      <xdr:nvCxnSpPr>
        <xdr:cNvPr id="698" name="Connecteur droit avec flèche 697"/>
        <xdr:cNvCxnSpPr/>
      </xdr:nvCxnSpPr>
      <xdr:spPr>
        <a:xfrm>
          <a:off x="13534270" y="41066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661913</xdr:colOff>
      <xdr:row>394</xdr:row>
      <xdr:rowOff>65013</xdr:rowOff>
    </xdr:from>
    <xdr:to>
      <xdr:col>16</xdr:col>
      <xdr:colOff>5747</xdr:colOff>
      <xdr:row>394</xdr:row>
      <xdr:rowOff>67130</xdr:rowOff>
    </xdr:to>
    <xdr:cxnSp macro="">
      <xdr:nvCxnSpPr>
        <xdr:cNvPr id="699" name="Connecteur droit avec flèche 698"/>
        <xdr:cNvCxnSpPr/>
      </xdr:nvCxnSpPr>
      <xdr:spPr>
        <a:xfrm>
          <a:off x="13439020" y="41213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714829</xdr:colOff>
      <xdr:row>386</xdr:row>
      <xdr:rowOff>108857</xdr:rowOff>
    </xdr:from>
    <xdr:to>
      <xdr:col>16</xdr:col>
      <xdr:colOff>69247</xdr:colOff>
      <xdr:row>387</xdr:row>
      <xdr:rowOff>77108</xdr:rowOff>
    </xdr:to>
    <xdr:cxnSp macro="">
      <xdr:nvCxnSpPr>
        <xdr:cNvPr id="700" name="Connecteur droit avec flèche 699"/>
        <xdr:cNvCxnSpPr/>
      </xdr:nvCxnSpPr>
      <xdr:spPr>
        <a:xfrm flipV="1">
          <a:off x="13491936" y="39732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388</xdr:row>
      <xdr:rowOff>130024</xdr:rowOff>
    </xdr:from>
    <xdr:to>
      <xdr:col>16</xdr:col>
      <xdr:colOff>111580</xdr:colOff>
      <xdr:row>389</xdr:row>
      <xdr:rowOff>98275</xdr:rowOff>
    </xdr:to>
    <xdr:cxnSp macro="">
      <xdr:nvCxnSpPr>
        <xdr:cNvPr id="701" name="Connecteur droit avec flèche 700"/>
        <xdr:cNvCxnSpPr/>
      </xdr:nvCxnSpPr>
      <xdr:spPr>
        <a:xfrm flipV="1">
          <a:off x="13544854" y="40135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683080</xdr:colOff>
      <xdr:row>390</xdr:row>
      <xdr:rowOff>130024</xdr:rowOff>
    </xdr:from>
    <xdr:to>
      <xdr:col>16</xdr:col>
      <xdr:colOff>58663</xdr:colOff>
      <xdr:row>391</xdr:row>
      <xdr:rowOff>98275</xdr:rowOff>
    </xdr:to>
    <xdr:cxnSp macro="">
      <xdr:nvCxnSpPr>
        <xdr:cNvPr id="702" name="Connecteur droit avec flèche 701"/>
        <xdr:cNvCxnSpPr/>
      </xdr:nvCxnSpPr>
      <xdr:spPr>
        <a:xfrm flipV="1">
          <a:off x="13460187" y="40516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735996</xdr:colOff>
      <xdr:row>392</xdr:row>
      <xdr:rowOff>130024</xdr:rowOff>
    </xdr:from>
    <xdr:to>
      <xdr:col>16</xdr:col>
      <xdr:colOff>132747</xdr:colOff>
      <xdr:row>393</xdr:row>
      <xdr:rowOff>87692</xdr:rowOff>
    </xdr:to>
    <xdr:cxnSp macro="">
      <xdr:nvCxnSpPr>
        <xdr:cNvPr id="703" name="Connecteur droit avec flèche 702"/>
        <xdr:cNvCxnSpPr/>
      </xdr:nvCxnSpPr>
      <xdr:spPr>
        <a:xfrm flipV="1">
          <a:off x="13513103" y="40897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414</xdr:row>
      <xdr:rowOff>141513</xdr:rowOff>
    </xdr:from>
    <xdr:to>
      <xdr:col>12</xdr:col>
      <xdr:colOff>117022</xdr:colOff>
      <xdr:row>414</xdr:row>
      <xdr:rowOff>149677</xdr:rowOff>
    </xdr:to>
    <xdr:cxnSp macro="">
      <xdr:nvCxnSpPr>
        <xdr:cNvPr id="704" name="Connecteur droit avec flèche 703"/>
        <xdr:cNvCxnSpPr/>
      </xdr:nvCxnSpPr>
      <xdr:spPr>
        <a:xfrm>
          <a:off x="10137321" y="43194513"/>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409</xdr:row>
      <xdr:rowOff>99786</xdr:rowOff>
    </xdr:from>
    <xdr:to>
      <xdr:col>12</xdr:col>
      <xdr:colOff>197757</xdr:colOff>
      <xdr:row>414</xdr:row>
      <xdr:rowOff>136070</xdr:rowOff>
    </xdr:to>
    <xdr:cxnSp macro="">
      <xdr:nvCxnSpPr>
        <xdr:cNvPr id="705" name="Connecteur droit avec flèche 704"/>
        <xdr:cNvCxnSpPr/>
      </xdr:nvCxnSpPr>
      <xdr:spPr>
        <a:xfrm flipV="1">
          <a:off x="10186307" y="42200286"/>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413</xdr:row>
      <xdr:rowOff>54428</xdr:rowOff>
    </xdr:from>
    <xdr:to>
      <xdr:col>12</xdr:col>
      <xdr:colOff>55638</xdr:colOff>
      <xdr:row>414</xdr:row>
      <xdr:rowOff>136070</xdr:rowOff>
    </xdr:to>
    <xdr:cxnSp macro="">
      <xdr:nvCxnSpPr>
        <xdr:cNvPr id="706" name="Connecteur droit avec flèche 705"/>
        <xdr:cNvCxnSpPr/>
      </xdr:nvCxnSpPr>
      <xdr:spPr>
        <a:xfrm flipV="1">
          <a:off x="10172700" y="42916928"/>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407</xdr:row>
      <xdr:rowOff>46870</xdr:rowOff>
    </xdr:from>
    <xdr:to>
      <xdr:col>14</xdr:col>
      <xdr:colOff>30540</xdr:colOff>
      <xdr:row>409</xdr:row>
      <xdr:rowOff>89202</xdr:rowOff>
    </xdr:to>
    <xdr:cxnSp macro="">
      <xdr:nvCxnSpPr>
        <xdr:cNvPr id="707" name="Connecteur droit avec flèche 706"/>
        <xdr:cNvCxnSpPr/>
      </xdr:nvCxnSpPr>
      <xdr:spPr>
        <a:xfrm flipV="1">
          <a:off x="11863614" y="41766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409</xdr:row>
      <xdr:rowOff>87087</xdr:rowOff>
    </xdr:from>
    <xdr:to>
      <xdr:col>13</xdr:col>
      <xdr:colOff>705757</xdr:colOff>
      <xdr:row>409</xdr:row>
      <xdr:rowOff>99786</xdr:rowOff>
    </xdr:to>
    <xdr:cxnSp macro="">
      <xdr:nvCxnSpPr>
        <xdr:cNvPr id="708" name="Connecteur droit avec flèche 707"/>
        <xdr:cNvCxnSpPr/>
      </xdr:nvCxnSpPr>
      <xdr:spPr>
        <a:xfrm>
          <a:off x="11821280" y="42187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411</xdr:row>
      <xdr:rowOff>89202</xdr:rowOff>
    </xdr:from>
    <xdr:to>
      <xdr:col>13</xdr:col>
      <xdr:colOff>705758</xdr:colOff>
      <xdr:row>413</xdr:row>
      <xdr:rowOff>89200</xdr:rowOff>
    </xdr:to>
    <xdr:cxnSp macro="">
      <xdr:nvCxnSpPr>
        <xdr:cNvPr id="709" name="Connecteur droit avec flèche 708"/>
        <xdr:cNvCxnSpPr/>
      </xdr:nvCxnSpPr>
      <xdr:spPr>
        <a:xfrm flipV="1">
          <a:off x="11704865" y="42570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414</xdr:row>
      <xdr:rowOff>68035</xdr:rowOff>
    </xdr:from>
    <xdr:to>
      <xdr:col>13</xdr:col>
      <xdr:colOff>716342</xdr:colOff>
      <xdr:row>414</xdr:row>
      <xdr:rowOff>78620</xdr:rowOff>
    </xdr:to>
    <xdr:cxnSp macro="">
      <xdr:nvCxnSpPr>
        <xdr:cNvPr id="710" name="Connecteur droit avec flèche 709"/>
        <xdr:cNvCxnSpPr/>
      </xdr:nvCxnSpPr>
      <xdr:spPr>
        <a:xfrm>
          <a:off x="11905949" y="43121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413</xdr:row>
      <xdr:rowOff>57452</xdr:rowOff>
    </xdr:from>
    <xdr:to>
      <xdr:col>13</xdr:col>
      <xdr:colOff>674008</xdr:colOff>
      <xdr:row>413</xdr:row>
      <xdr:rowOff>78620</xdr:rowOff>
    </xdr:to>
    <xdr:cxnSp macro="">
      <xdr:nvCxnSpPr>
        <xdr:cNvPr id="711" name="Connecteur droit avec flèche 710"/>
        <xdr:cNvCxnSpPr/>
      </xdr:nvCxnSpPr>
      <xdr:spPr>
        <a:xfrm>
          <a:off x="11757782" y="42919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407</xdr:row>
      <xdr:rowOff>128511</xdr:rowOff>
    </xdr:from>
    <xdr:to>
      <xdr:col>16</xdr:col>
      <xdr:colOff>35985</xdr:colOff>
      <xdr:row>407</xdr:row>
      <xdr:rowOff>141211</xdr:rowOff>
    </xdr:to>
    <xdr:cxnSp macro="">
      <xdr:nvCxnSpPr>
        <xdr:cNvPr id="712" name="Connecteur droit avec flèche 711"/>
        <xdr:cNvCxnSpPr/>
      </xdr:nvCxnSpPr>
      <xdr:spPr>
        <a:xfrm>
          <a:off x="13448091" y="4184801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411</xdr:row>
      <xdr:rowOff>160261</xdr:rowOff>
    </xdr:from>
    <xdr:to>
      <xdr:col>15</xdr:col>
      <xdr:colOff>745068</xdr:colOff>
      <xdr:row>411</xdr:row>
      <xdr:rowOff>162378</xdr:rowOff>
    </xdr:to>
    <xdr:cxnSp macro="">
      <xdr:nvCxnSpPr>
        <xdr:cNvPr id="713" name="Connecteur droit avec flèche 712"/>
        <xdr:cNvCxnSpPr/>
      </xdr:nvCxnSpPr>
      <xdr:spPr>
        <a:xfrm>
          <a:off x="13416341" y="42641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409</xdr:row>
      <xdr:rowOff>160261</xdr:rowOff>
    </xdr:from>
    <xdr:to>
      <xdr:col>16</xdr:col>
      <xdr:colOff>57152</xdr:colOff>
      <xdr:row>409</xdr:row>
      <xdr:rowOff>162378</xdr:rowOff>
    </xdr:to>
    <xdr:cxnSp macro="">
      <xdr:nvCxnSpPr>
        <xdr:cNvPr id="714" name="Connecteur droit avec flèche 713"/>
        <xdr:cNvCxnSpPr/>
      </xdr:nvCxnSpPr>
      <xdr:spPr>
        <a:xfrm>
          <a:off x="13490425" y="42260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413</xdr:row>
      <xdr:rowOff>149678</xdr:rowOff>
    </xdr:from>
    <xdr:to>
      <xdr:col>16</xdr:col>
      <xdr:colOff>46568</xdr:colOff>
      <xdr:row>413</xdr:row>
      <xdr:rowOff>151795</xdr:rowOff>
    </xdr:to>
    <xdr:cxnSp macro="">
      <xdr:nvCxnSpPr>
        <xdr:cNvPr id="715" name="Connecteur droit avec flèche 714"/>
        <xdr:cNvCxnSpPr/>
      </xdr:nvCxnSpPr>
      <xdr:spPr>
        <a:xfrm>
          <a:off x="13479841" y="4301217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414</xdr:row>
      <xdr:rowOff>92226</xdr:rowOff>
    </xdr:from>
    <xdr:to>
      <xdr:col>15</xdr:col>
      <xdr:colOff>726925</xdr:colOff>
      <xdr:row>414</xdr:row>
      <xdr:rowOff>94343</xdr:rowOff>
    </xdr:to>
    <xdr:cxnSp macro="">
      <xdr:nvCxnSpPr>
        <xdr:cNvPr id="716" name="Connecteur droit avec flèche 715"/>
        <xdr:cNvCxnSpPr/>
      </xdr:nvCxnSpPr>
      <xdr:spPr>
        <a:xfrm>
          <a:off x="13398198" y="4314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406</xdr:row>
      <xdr:rowOff>68036</xdr:rowOff>
    </xdr:from>
    <xdr:to>
      <xdr:col>16</xdr:col>
      <xdr:colOff>54429</xdr:colOff>
      <xdr:row>407</xdr:row>
      <xdr:rowOff>117930</xdr:rowOff>
    </xdr:to>
    <xdr:cxnSp macro="">
      <xdr:nvCxnSpPr>
        <xdr:cNvPr id="717" name="Connecteur droit avec flèche 716"/>
        <xdr:cNvCxnSpPr/>
      </xdr:nvCxnSpPr>
      <xdr:spPr>
        <a:xfrm flipV="1">
          <a:off x="13437507" y="41597036"/>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408</xdr:row>
      <xdr:rowOff>108857</xdr:rowOff>
    </xdr:from>
    <xdr:to>
      <xdr:col>16</xdr:col>
      <xdr:colOff>27214</xdr:colOff>
      <xdr:row>409</xdr:row>
      <xdr:rowOff>139097</xdr:rowOff>
    </xdr:to>
    <xdr:cxnSp macro="">
      <xdr:nvCxnSpPr>
        <xdr:cNvPr id="718" name="Connecteur droit avec flèche 717"/>
        <xdr:cNvCxnSpPr/>
      </xdr:nvCxnSpPr>
      <xdr:spPr>
        <a:xfrm flipV="1">
          <a:off x="13490425" y="42018857"/>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410</xdr:row>
      <xdr:rowOff>136071</xdr:rowOff>
    </xdr:from>
    <xdr:to>
      <xdr:col>15</xdr:col>
      <xdr:colOff>748393</xdr:colOff>
      <xdr:row>411</xdr:row>
      <xdr:rowOff>139097</xdr:rowOff>
    </xdr:to>
    <xdr:cxnSp macro="">
      <xdr:nvCxnSpPr>
        <xdr:cNvPr id="719" name="Connecteur droit avec flèche 718"/>
        <xdr:cNvCxnSpPr/>
      </xdr:nvCxnSpPr>
      <xdr:spPr>
        <a:xfrm flipV="1">
          <a:off x="13405758" y="42427071"/>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412</xdr:row>
      <xdr:rowOff>108857</xdr:rowOff>
    </xdr:from>
    <xdr:to>
      <xdr:col>15</xdr:col>
      <xdr:colOff>748393</xdr:colOff>
      <xdr:row>413</xdr:row>
      <xdr:rowOff>128513</xdr:rowOff>
    </xdr:to>
    <xdr:cxnSp macro="">
      <xdr:nvCxnSpPr>
        <xdr:cNvPr id="720" name="Connecteur droit avec flèche 719"/>
        <xdr:cNvCxnSpPr/>
      </xdr:nvCxnSpPr>
      <xdr:spPr>
        <a:xfrm flipV="1">
          <a:off x="13458674" y="42780857"/>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1088571</xdr:colOff>
      <xdr:row>424</xdr:row>
      <xdr:rowOff>114299</xdr:rowOff>
    </xdr:from>
    <xdr:to>
      <xdr:col>12</xdr:col>
      <xdr:colOff>253093</xdr:colOff>
      <xdr:row>424</xdr:row>
      <xdr:rowOff>122463</xdr:rowOff>
    </xdr:to>
    <xdr:cxnSp macro="">
      <xdr:nvCxnSpPr>
        <xdr:cNvPr id="725" name="Connecteur droit avec flèche 724"/>
        <xdr:cNvCxnSpPr/>
      </xdr:nvCxnSpPr>
      <xdr:spPr>
        <a:xfrm>
          <a:off x="10273392" y="45072299"/>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1137557</xdr:colOff>
      <xdr:row>419</xdr:row>
      <xdr:rowOff>72572</xdr:rowOff>
    </xdr:from>
    <xdr:to>
      <xdr:col>12</xdr:col>
      <xdr:colOff>333828</xdr:colOff>
      <xdr:row>424</xdr:row>
      <xdr:rowOff>108856</xdr:rowOff>
    </xdr:to>
    <xdr:cxnSp macro="">
      <xdr:nvCxnSpPr>
        <xdr:cNvPr id="726" name="Connecteur droit avec flèche 725"/>
        <xdr:cNvCxnSpPr/>
      </xdr:nvCxnSpPr>
      <xdr:spPr>
        <a:xfrm flipV="1">
          <a:off x="10322378" y="44078072"/>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1123950</xdr:colOff>
      <xdr:row>423</xdr:row>
      <xdr:rowOff>27214</xdr:rowOff>
    </xdr:from>
    <xdr:to>
      <xdr:col>12</xdr:col>
      <xdr:colOff>191709</xdr:colOff>
      <xdr:row>424</xdr:row>
      <xdr:rowOff>108856</xdr:rowOff>
    </xdr:to>
    <xdr:cxnSp macro="">
      <xdr:nvCxnSpPr>
        <xdr:cNvPr id="727" name="Connecteur droit avec flèche 726"/>
        <xdr:cNvCxnSpPr/>
      </xdr:nvCxnSpPr>
      <xdr:spPr>
        <a:xfrm flipV="1">
          <a:off x="10308771" y="44794714"/>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746578</xdr:colOff>
      <xdr:row>417</xdr:row>
      <xdr:rowOff>19656</xdr:rowOff>
    </xdr:from>
    <xdr:to>
      <xdr:col>14</xdr:col>
      <xdr:colOff>166611</xdr:colOff>
      <xdr:row>419</xdr:row>
      <xdr:rowOff>61988</xdr:rowOff>
    </xdr:to>
    <xdr:cxnSp macro="">
      <xdr:nvCxnSpPr>
        <xdr:cNvPr id="728" name="Connecteur droit avec flèche 727"/>
        <xdr:cNvCxnSpPr/>
      </xdr:nvCxnSpPr>
      <xdr:spPr>
        <a:xfrm flipV="1">
          <a:off x="11999685" y="43644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704244</xdr:colOff>
      <xdr:row>419</xdr:row>
      <xdr:rowOff>59873</xdr:rowOff>
    </xdr:from>
    <xdr:to>
      <xdr:col>14</xdr:col>
      <xdr:colOff>79828</xdr:colOff>
      <xdr:row>419</xdr:row>
      <xdr:rowOff>72572</xdr:rowOff>
    </xdr:to>
    <xdr:cxnSp macro="">
      <xdr:nvCxnSpPr>
        <xdr:cNvPr id="729" name="Connecteur droit avec flèche 728"/>
        <xdr:cNvCxnSpPr/>
      </xdr:nvCxnSpPr>
      <xdr:spPr>
        <a:xfrm>
          <a:off x="11957351" y="44065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587829</xdr:colOff>
      <xdr:row>421</xdr:row>
      <xdr:rowOff>61988</xdr:rowOff>
    </xdr:from>
    <xdr:to>
      <xdr:col>14</xdr:col>
      <xdr:colOff>79829</xdr:colOff>
      <xdr:row>423</xdr:row>
      <xdr:rowOff>61986</xdr:rowOff>
    </xdr:to>
    <xdr:cxnSp macro="">
      <xdr:nvCxnSpPr>
        <xdr:cNvPr id="730" name="Connecteur droit avec flèche 729"/>
        <xdr:cNvCxnSpPr/>
      </xdr:nvCxnSpPr>
      <xdr:spPr>
        <a:xfrm flipV="1">
          <a:off x="11840936" y="44448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26913</xdr:colOff>
      <xdr:row>424</xdr:row>
      <xdr:rowOff>40821</xdr:rowOff>
    </xdr:from>
    <xdr:to>
      <xdr:col>14</xdr:col>
      <xdr:colOff>90413</xdr:colOff>
      <xdr:row>424</xdr:row>
      <xdr:rowOff>51406</xdr:rowOff>
    </xdr:to>
    <xdr:cxnSp macro="">
      <xdr:nvCxnSpPr>
        <xdr:cNvPr id="731" name="Connecteur droit avec flèche 730"/>
        <xdr:cNvCxnSpPr/>
      </xdr:nvCxnSpPr>
      <xdr:spPr>
        <a:xfrm>
          <a:off x="12042020" y="44998821"/>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640746</xdr:colOff>
      <xdr:row>423</xdr:row>
      <xdr:rowOff>30238</xdr:rowOff>
    </xdr:from>
    <xdr:to>
      <xdr:col>14</xdr:col>
      <xdr:colOff>48079</xdr:colOff>
      <xdr:row>423</xdr:row>
      <xdr:rowOff>51406</xdr:rowOff>
    </xdr:to>
    <xdr:cxnSp macro="">
      <xdr:nvCxnSpPr>
        <xdr:cNvPr id="732" name="Connecteur droit avec flèche 731"/>
        <xdr:cNvCxnSpPr/>
      </xdr:nvCxnSpPr>
      <xdr:spPr>
        <a:xfrm>
          <a:off x="11893853" y="44797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45055</xdr:colOff>
      <xdr:row>417</xdr:row>
      <xdr:rowOff>101297</xdr:rowOff>
    </xdr:from>
    <xdr:to>
      <xdr:col>16</xdr:col>
      <xdr:colOff>172056</xdr:colOff>
      <xdr:row>417</xdr:row>
      <xdr:rowOff>113997</xdr:rowOff>
    </xdr:to>
    <xdr:cxnSp macro="">
      <xdr:nvCxnSpPr>
        <xdr:cNvPr id="733" name="Connecteur droit avec flèche 732"/>
        <xdr:cNvCxnSpPr/>
      </xdr:nvCxnSpPr>
      <xdr:spPr>
        <a:xfrm>
          <a:off x="13584162" y="43725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13305</xdr:colOff>
      <xdr:row>421</xdr:row>
      <xdr:rowOff>133047</xdr:rowOff>
    </xdr:from>
    <xdr:to>
      <xdr:col>16</xdr:col>
      <xdr:colOff>119139</xdr:colOff>
      <xdr:row>421</xdr:row>
      <xdr:rowOff>135164</xdr:rowOff>
    </xdr:to>
    <xdr:cxnSp macro="">
      <xdr:nvCxnSpPr>
        <xdr:cNvPr id="734" name="Connecteur droit avec flèche 733"/>
        <xdr:cNvCxnSpPr/>
      </xdr:nvCxnSpPr>
      <xdr:spPr>
        <a:xfrm>
          <a:off x="13552412" y="44519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419</xdr:row>
      <xdr:rowOff>133047</xdr:rowOff>
    </xdr:from>
    <xdr:to>
      <xdr:col>16</xdr:col>
      <xdr:colOff>193223</xdr:colOff>
      <xdr:row>419</xdr:row>
      <xdr:rowOff>135164</xdr:rowOff>
    </xdr:to>
    <xdr:cxnSp macro="">
      <xdr:nvCxnSpPr>
        <xdr:cNvPr id="735" name="Connecteur droit avec flèche 734"/>
        <xdr:cNvCxnSpPr/>
      </xdr:nvCxnSpPr>
      <xdr:spPr>
        <a:xfrm>
          <a:off x="13626496" y="44138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76805</xdr:colOff>
      <xdr:row>423</xdr:row>
      <xdr:rowOff>122464</xdr:rowOff>
    </xdr:from>
    <xdr:to>
      <xdr:col>16</xdr:col>
      <xdr:colOff>182639</xdr:colOff>
      <xdr:row>423</xdr:row>
      <xdr:rowOff>124581</xdr:rowOff>
    </xdr:to>
    <xdr:cxnSp macro="">
      <xdr:nvCxnSpPr>
        <xdr:cNvPr id="736" name="Connecteur droit avec flèche 735"/>
        <xdr:cNvCxnSpPr/>
      </xdr:nvCxnSpPr>
      <xdr:spPr>
        <a:xfrm>
          <a:off x="13615912" y="44889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424</xdr:row>
      <xdr:rowOff>133048</xdr:rowOff>
    </xdr:from>
    <xdr:to>
      <xdr:col>16</xdr:col>
      <xdr:colOff>87389</xdr:colOff>
      <xdr:row>424</xdr:row>
      <xdr:rowOff>135165</xdr:rowOff>
    </xdr:to>
    <xdr:cxnSp macro="">
      <xdr:nvCxnSpPr>
        <xdr:cNvPr id="737" name="Connecteur droit avec flèche 736"/>
        <xdr:cNvCxnSpPr/>
      </xdr:nvCxnSpPr>
      <xdr:spPr>
        <a:xfrm>
          <a:off x="13520662" y="45091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34471</xdr:colOff>
      <xdr:row>416</xdr:row>
      <xdr:rowOff>122464</xdr:rowOff>
    </xdr:from>
    <xdr:to>
      <xdr:col>16</xdr:col>
      <xdr:colOff>150889</xdr:colOff>
      <xdr:row>417</xdr:row>
      <xdr:rowOff>90715</xdr:rowOff>
    </xdr:to>
    <xdr:cxnSp macro="">
      <xdr:nvCxnSpPr>
        <xdr:cNvPr id="738" name="Connecteur droit avec flèche 737"/>
        <xdr:cNvCxnSpPr/>
      </xdr:nvCxnSpPr>
      <xdr:spPr>
        <a:xfrm flipV="1">
          <a:off x="13573578" y="43556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418</xdr:row>
      <xdr:rowOff>143631</xdr:rowOff>
    </xdr:from>
    <xdr:to>
      <xdr:col>16</xdr:col>
      <xdr:colOff>193222</xdr:colOff>
      <xdr:row>419</xdr:row>
      <xdr:rowOff>111882</xdr:rowOff>
    </xdr:to>
    <xdr:cxnSp macro="">
      <xdr:nvCxnSpPr>
        <xdr:cNvPr id="739" name="Connecteur droit avec flèche 738"/>
        <xdr:cNvCxnSpPr/>
      </xdr:nvCxnSpPr>
      <xdr:spPr>
        <a:xfrm flipV="1">
          <a:off x="13626496" y="43958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2722</xdr:colOff>
      <xdr:row>420</xdr:row>
      <xdr:rowOff>143631</xdr:rowOff>
    </xdr:from>
    <xdr:to>
      <xdr:col>16</xdr:col>
      <xdr:colOff>140305</xdr:colOff>
      <xdr:row>421</xdr:row>
      <xdr:rowOff>111882</xdr:rowOff>
    </xdr:to>
    <xdr:cxnSp macro="">
      <xdr:nvCxnSpPr>
        <xdr:cNvPr id="740" name="Connecteur droit avec flèche 739"/>
        <xdr:cNvCxnSpPr/>
      </xdr:nvCxnSpPr>
      <xdr:spPr>
        <a:xfrm flipV="1">
          <a:off x="13541829" y="44339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55638</xdr:colOff>
      <xdr:row>422</xdr:row>
      <xdr:rowOff>143631</xdr:rowOff>
    </xdr:from>
    <xdr:to>
      <xdr:col>16</xdr:col>
      <xdr:colOff>214389</xdr:colOff>
      <xdr:row>423</xdr:row>
      <xdr:rowOff>101299</xdr:rowOff>
    </xdr:to>
    <xdr:cxnSp macro="">
      <xdr:nvCxnSpPr>
        <xdr:cNvPr id="741" name="Connecteur droit avec flèche 740"/>
        <xdr:cNvCxnSpPr/>
      </xdr:nvCxnSpPr>
      <xdr:spPr>
        <a:xfrm flipV="1">
          <a:off x="13594745" y="44720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434</xdr:row>
      <xdr:rowOff>84665</xdr:rowOff>
    </xdr:from>
    <xdr:to>
      <xdr:col>12</xdr:col>
      <xdr:colOff>156332</xdr:colOff>
      <xdr:row>434</xdr:row>
      <xdr:rowOff>95250</xdr:rowOff>
    </xdr:to>
    <xdr:cxnSp macro="">
      <xdr:nvCxnSpPr>
        <xdr:cNvPr id="760" name="Connecteur droit avec flèche 759"/>
        <xdr:cNvCxnSpPr/>
      </xdr:nvCxnSpPr>
      <xdr:spPr>
        <a:xfrm flipV="1">
          <a:off x="10403417" y="48471665"/>
          <a:ext cx="1172332"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1121833</xdr:colOff>
      <xdr:row>429</xdr:row>
      <xdr:rowOff>140608</xdr:rowOff>
    </xdr:from>
    <xdr:to>
      <xdr:col>12</xdr:col>
      <xdr:colOff>184150</xdr:colOff>
      <xdr:row>434</xdr:row>
      <xdr:rowOff>95250</xdr:rowOff>
    </xdr:to>
    <xdr:cxnSp macro="">
      <xdr:nvCxnSpPr>
        <xdr:cNvPr id="761" name="Connecteur droit avec flèche 760"/>
        <xdr:cNvCxnSpPr/>
      </xdr:nvCxnSpPr>
      <xdr:spPr>
        <a:xfrm flipV="1">
          <a:off x="10477500" y="47575108"/>
          <a:ext cx="1126067" cy="907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1100666</xdr:colOff>
      <xdr:row>433</xdr:row>
      <xdr:rowOff>95250</xdr:rowOff>
    </xdr:from>
    <xdr:to>
      <xdr:col>12</xdr:col>
      <xdr:colOff>42031</xdr:colOff>
      <xdr:row>434</xdr:row>
      <xdr:rowOff>95250</xdr:rowOff>
    </xdr:to>
    <xdr:cxnSp macro="">
      <xdr:nvCxnSpPr>
        <xdr:cNvPr id="762" name="Connecteur droit avec flèche 761"/>
        <xdr:cNvCxnSpPr/>
      </xdr:nvCxnSpPr>
      <xdr:spPr>
        <a:xfrm flipV="1">
          <a:off x="10456333" y="48291750"/>
          <a:ext cx="1005115"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596900</xdr:colOff>
      <xdr:row>427</xdr:row>
      <xdr:rowOff>87692</xdr:rowOff>
    </xdr:from>
    <xdr:to>
      <xdr:col>14</xdr:col>
      <xdr:colOff>16933</xdr:colOff>
      <xdr:row>429</xdr:row>
      <xdr:rowOff>130024</xdr:rowOff>
    </xdr:to>
    <xdr:cxnSp macro="">
      <xdr:nvCxnSpPr>
        <xdr:cNvPr id="763" name="Connecteur droit avec flèche 762"/>
        <xdr:cNvCxnSpPr/>
      </xdr:nvCxnSpPr>
      <xdr:spPr>
        <a:xfrm flipV="1">
          <a:off x="11850007" y="45617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554566</xdr:colOff>
      <xdr:row>429</xdr:row>
      <xdr:rowOff>127909</xdr:rowOff>
    </xdr:from>
    <xdr:to>
      <xdr:col>13</xdr:col>
      <xdr:colOff>692150</xdr:colOff>
      <xdr:row>429</xdr:row>
      <xdr:rowOff>140608</xdr:rowOff>
    </xdr:to>
    <xdr:cxnSp macro="">
      <xdr:nvCxnSpPr>
        <xdr:cNvPr id="764" name="Connecteur droit avec flèche 763"/>
        <xdr:cNvCxnSpPr/>
      </xdr:nvCxnSpPr>
      <xdr:spPr>
        <a:xfrm>
          <a:off x="11807673" y="46038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438151</xdr:colOff>
      <xdr:row>431</xdr:row>
      <xdr:rowOff>130024</xdr:rowOff>
    </xdr:from>
    <xdr:to>
      <xdr:col>13</xdr:col>
      <xdr:colOff>692151</xdr:colOff>
      <xdr:row>433</xdr:row>
      <xdr:rowOff>130022</xdr:rowOff>
    </xdr:to>
    <xdr:cxnSp macro="">
      <xdr:nvCxnSpPr>
        <xdr:cNvPr id="765" name="Connecteur droit avec flèche 764"/>
        <xdr:cNvCxnSpPr/>
      </xdr:nvCxnSpPr>
      <xdr:spPr>
        <a:xfrm flipV="1">
          <a:off x="11691258" y="46421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639235</xdr:colOff>
      <xdr:row>434</xdr:row>
      <xdr:rowOff>108857</xdr:rowOff>
    </xdr:from>
    <xdr:to>
      <xdr:col>13</xdr:col>
      <xdr:colOff>702735</xdr:colOff>
      <xdr:row>434</xdr:row>
      <xdr:rowOff>119442</xdr:rowOff>
    </xdr:to>
    <xdr:cxnSp macro="">
      <xdr:nvCxnSpPr>
        <xdr:cNvPr id="766" name="Connecteur droit avec flèche 765"/>
        <xdr:cNvCxnSpPr/>
      </xdr:nvCxnSpPr>
      <xdr:spPr>
        <a:xfrm>
          <a:off x="11892342" y="46971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491068</xdr:colOff>
      <xdr:row>433</xdr:row>
      <xdr:rowOff>98274</xdr:rowOff>
    </xdr:from>
    <xdr:to>
      <xdr:col>13</xdr:col>
      <xdr:colOff>660401</xdr:colOff>
      <xdr:row>433</xdr:row>
      <xdr:rowOff>119442</xdr:rowOff>
    </xdr:to>
    <xdr:cxnSp macro="">
      <xdr:nvCxnSpPr>
        <xdr:cNvPr id="767" name="Connecteur droit avec flèche 766"/>
        <xdr:cNvCxnSpPr/>
      </xdr:nvCxnSpPr>
      <xdr:spPr>
        <a:xfrm>
          <a:off x="11744175" y="46770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758977</xdr:colOff>
      <xdr:row>427</xdr:row>
      <xdr:rowOff>74083</xdr:rowOff>
    </xdr:from>
    <xdr:to>
      <xdr:col>16</xdr:col>
      <xdr:colOff>123978</xdr:colOff>
      <xdr:row>427</xdr:row>
      <xdr:rowOff>86783</xdr:rowOff>
    </xdr:to>
    <xdr:cxnSp macro="">
      <xdr:nvCxnSpPr>
        <xdr:cNvPr id="768" name="Connecteur droit avec flèche 767"/>
        <xdr:cNvCxnSpPr/>
      </xdr:nvCxnSpPr>
      <xdr:spPr>
        <a:xfrm>
          <a:off x="13706627" y="47127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701827</xdr:colOff>
      <xdr:row>431</xdr:row>
      <xdr:rowOff>67733</xdr:rowOff>
    </xdr:from>
    <xdr:to>
      <xdr:col>16</xdr:col>
      <xdr:colOff>45661</xdr:colOff>
      <xdr:row>431</xdr:row>
      <xdr:rowOff>69850</xdr:rowOff>
    </xdr:to>
    <xdr:cxnSp macro="">
      <xdr:nvCxnSpPr>
        <xdr:cNvPr id="769" name="Connecteur droit avec flèche 768"/>
        <xdr:cNvCxnSpPr/>
      </xdr:nvCxnSpPr>
      <xdr:spPr>
        <a:xfrm>
          <a:off x="13649477" y="478832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1211</xdr:colOff>
      <xdr:row>429</xdr:row>
      <xdr:rowOff>86783</xdr:rowOff>
    </xdr:from>
    <xdr:to>
      <xdr:col>16</xdr:col>
      <xdr:colOff>107045</xdr:colOff>
      <xdr:row>429</xdr:row>
      <xdr:rowOff>88900</xdr:rowOff>
    </xdr:to>
    <xdr:cxnSp macro="">
      <xdr:nvCxnSpPr>
        <xdr:cNvPr id="770" name="Connecteur droit avec flèche 769"/>
        <xdr:cNvCxnSpPr/>
      </xdr:nvCxnSpPr>
      <xdr:spPr>
        <a:xfrm>
          <a:off x="13710861" y="4752128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28727</xdr:colOff>
      <xdr:row>433</xdr:row>
      <xdr:rowOff>76200</xdr:rowOff>
    </xdr:from>
    <xdr:to>
      <xdr:col>16</xdr:col>
      <xdr:colOff>134561</xdr:colOff>
      <xdr:row>433</xdr:row>
      <xdr:rowOff>78317</xdr:rowOff>
    </xdr:to>
    <xdr:cxnSp macro="">
      <xdr:nvCxnSpPr>
        <xdr:cNvPr id="771" name="Connecteur droit avec flèche 770"/>
        <xdr:cNvCxnSpPr/>
      </xdr:nvCxnSpPr>
      <xdr:spPr>
        <a:xfrm>
          <a:off x="13738377" y="4827270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434</xdr:row>
      <xdr:rowOff>105834</xdr:rowOff>
    </xdr:from>
    <xdr:to>
      <xdr:col>16</xdr:col>
      <xdr:colOff>73782</xdr:colOff>
      <xdr:row>434</xdr:row>
      <xdr:rowOff>107951</xdr:rowOff>
    </xdr:to>
    <xdr:cxnSp macro="">
      <xdr:nvCxnSpPr>
        <xdr:cNvPr id="772" name="Connecteur droit avec flèche 771"/>
        <xdr:cNvCxnSpPr/>
      </xdr:nvCxnSpPr>
      <xdr:spPr>
        <a:xfrm>
          <a:off x="13507055" y="46968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754743</xdr:colOff>
      <xdr:row>426</xdr:row>
      <xdr:rowOff>88900</xdr:rowOff>
    </xdr:from>
    <xdr:to>
      <xdr:col>16</xdr:col>
      <xdr:colOff>109161</xdr:colOff>
      <xdr:row>427</xdr:row>
      <xdr:rowOff>57151</xdr:rowOff>
    </xdr:to>
    <xdr:cxnSp macro="">
      <xdr:nvCxnSpPr>
        <xdr:cNvPr id="773" name="Connecteur droit avec flèche 772"/>
        <xdr:cNvCxnSpPr/>
      </xdr:nvCxnSpPr>
      <xdr:spPr>
        <a:xfrm flipV="1">
          <a:off x="13702393" y="4695190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750511</xdr:colOff>
      <xdr:row>428</xdr:row>
      <xdr:rowOff>110067</xdr:rowOff>
    </xdr:from>
    <xdr:to>
      <xdr:col>16</xdr:col>
      <xdr:colOff>94344</xdr:colOff>
      <xdr:row>429</xdr:row>
      <xdr:rowOff>78318</xdr:rowOff>
    </xdr:to>
    <xdr:cxnSp macro="">
      <xdr:nvCxnSpPr>
        <xdr:cNvPr id="774" name="Connecteur droit avec flèche 773"/>
        <xdr:cNvCxnSpPr/>
      </xdr:nvCxnSpPr>
      <xdr:spPr>
        <a:xfrm flipV="1">
          <a:off x="13698161" y="4735406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697594</xdr:colOff>
      <xdr:row>430</xdr:row>
      <xdr:rowOff>84667</xdr:rowOff>
    </xdr:from>
    <xdr:to>
      <xdr:col>16</xdr:col>
      <xdr:colOff>73177</xdr:colOff>
      <xdr:row>431</xdr:row>
      <xdr:rowOff>52918</xdr:rowOff>
    </xdr:to>
    <xdr:cxnSp macro="">
      <xdr:nvCxnSpPr>
        <xdr:cNvPr id="775" name="Connecteur droit avec flèche 774"/>
        <xdr:cNvCxnSpPr/>
      </xdr:nvCxnSpPr>
      <xdr:spPr>
        <a:xfrm flipV="1">
          <a:off x="13645244" y="4770966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20260</xdr:colOff>
      <xdr:row>432</xdr:row>
      <xdr:rowOff>97367</xdr:rowOff>
    </xdr:from>
    <xdr:to>
      <xdr:col>16</xdr:col>
      <xdr:colOff>179011</xdr:colOff>
      <xdr:row>433</xdr:row>
      <xdr:rowOff>55035</xdr:rowOff>
    </xdr:to>
    <xdr:cxnSp macro="">
      <xdr:nvCxnSpPr>
        <xdr:cNvPr id="776" name="Connecteur droit avec flèche 775"/>
        <xdr:cNvCxnSpPr/>
      </xdr:nvCxnSpPr>
      <xdr:spPr>
        <a:xfrm flipV="1">
          <a:off x="13729910" y="4810336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1074965</xdr:colOff>
      <xdr:row>454</xdr:row>
      <xdr:rowOff>114299</xdr:rowOff>
    </xdr:from>
    <xdr:to>
      <xdr:col>12</xdr:col>
      <xdr:colOff>239487</xdr:colOff>
      <xdr:row>454</xdr:row>
      <xdr:rowOff>122463</xdr:rowOff>
    </xdr:to>
    <xdr:cxnSp macro="">
      <xdr:nvCxnSpPr>
        <xdr:cNvPr id="777" name="Connecteur droit avec flèche 776"/>
        <xdr:cNvCxnSpPr/>
      </xdr:nvCxnSpPr>
      <xdr:spPr>
        <a:xfrm>
          <a:off x="10259786" y="48882299"/>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449</xdr:row>
      <xdr:rowOff>72572</xdr:rowOff>
    </xdr:from>
    <xdr:to>
      <xdr:col>12</xdr:col>
      <xdr:colOff>320222</xdr:colOff>
      <xdr:row>454</xdr:row>
      <xdr:rowOff>108856</xdr:rowOff>
    </xdr:to>
    <xdr:cxnSp macro="">
      <xdr:nvCxnSpPr>
        <xdr:cNvPr id="778" name="Connecteur droit avec flèche 777"/>
        <xdr:cNvCxnSpPr/>
      </xdr:nvCxnSpPr>
      <xdr:spPr>
        <a:xfrm flipV="1">
          <a:off x="10308772" y="47888072"/>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1110344</xdr:colOff>
      <xdr:row>453</xdr:row>
      <xdr:rowOff>27214</xdr:rowOff>
    </xdr:from>
    <xdr:to>
      <xdr:col>12</xdr:col>
      <xdr:colOff>178103</xdr:colOff>
      <xdr:row>454</xdr:row>
      <xdr:rowOff>108856</xdr:rowOff>
    </xdr:to>
    <xdr:cxnSp macro="">
      <xdr:nvCxnSpPr>
        <xdr:cNvPr id="779" name="Connecteur droit avec flèche 778"/>
        <xdr:cNvCxnSpPr/>
      </xdr:nvCxnSpPr>
      <xdr:spPr>
        <a:xfrm flipV="1">
          <a:off x="10295165" y="48604714"/>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732972</xdr:colOff>
      <xdr:row>447</xdr:row>
      <xdr:rowOff>19656</xdr:rowOff>
    </xdr:from>
    <xdr:to>
      <xdr:col>14</xdr:col>
      <xdr:colOff>153005</xdr:colOff>
      <xdr:row>449</xdr:row>
      <xdr:rowOff>61988</xdr:rowOff>
    </xdr:to>
    <xdr:cxnSp macro="">
      <xdr:nvCxnSpPr>
        <xdr:cNvPr id="780" name="Connecteur droit avec flèche 779"/>
        <xdr:cNvCxnSpPr/>
      </xdr:nvCxnSpPr>
      <xdr:spPr>
        <a:xfrm flipV="1">
          <a:off x="11986079" y="47454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690638</xdr:colOff>
      <xdr:row>449</xdr:row>
      <xdr:rowOff>59873</xdr:rowOff>
    </xdr:from>
    <xdr:to>
      <xdr:col>14</xdr:col>
      <xdr:colOff>66222</xdr:colOff>
      <xdr:row>449</xdr:row>
      <xdr:rowOff>72572</xdr:rowOff>
    </xdr:to>
    <xdr:cxnSp macro="">
      <xdr:nvCxnSpPr>
        <xdr:cNvPr id="781" name="Connecteur droit avec flèche 780"/>
        <xdr:cNvCxnSpPr/>
      </xdr:nvCxnSpPr>
      <xdr:spPr>
        <a:xfrm>
          <a:off x="11943745" y="47875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574223</xdr:colOff>
      <xdr:row>451</xdr:row>
      <xdr:rowOff>61988</xdr:rowOff>
    </xdr:from>
    <xdr:to>
      <xdr:col>14</xdr:col>
      <xdr:colOff>66223</xdr:colOff>
      <xdr:row>453</xdr:row>
      <xdr:rowOff>61986</xdr:rowOff>
    </xdr:to>
    <xdr:cxnSp macro="">
      <xdr:nvCxnSpPr>
        <xdr:cNvPr id="782" name="Connecteur droit avec flèche 781"/>
        <xdr:cNvCxnSpPr/>
      </xdr:nvCxnSpPr>
      <xdr:spPr>
        <a:xfrm flipV="1">
          <a:off x="11827330" y="48258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761700</xdr:colOff>
      <xdr:row>454</xdr:row>
      <xdr:rowOff>81643</xdr:rowOff>
    </xdr:from>
    <xdr:to>
      <xdr:col>14</xdr:col>
      <xdr:colOff>63200</xdr:colOff>
      <xdr:row>454</xdr:row>
      <xdr:rowOff>92228</xdr:rowOff>
    </xdr:to>
    <xdr:cxnSp macro="">
      <xdr:nvCxnSpPr>
        <xdr:cNvPr id="783" name="Connecteur droit avec flèche 782"/>
        <xdr:cNvCxnSpPr/>
      </xdr:nvCxnSpPr>
      <xdr:spPr>
        <a:xfrm>
          <a:off x="12014807" y="48849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627140</xdr:colOff>
      <xdr:row>453</xdr:row>
      <xdr:rowOff>30238</xdr:rowOff>
    </xdr:from>
    <xdr:to>
      <xdr:col>14</xdr:col>
      <xdr:colOff>34473</xdr:colOff>
      <xdr:row>453</xdr:row>
      <xdr:rowOff>51406</xdr:rowOff>
    </xdr:to>
    <xdr:cxnSp macro="">
      <xdr:nvCxnSpPr>
        <xdr:cNvPr id="784" name="Connecteur droit avec flèche 783"/>
        <xdr:cNvCxnSpPr/>
      </xdr:nvCxnSpPr>
      <xdr:spPr>
        <a:xfrm>
          <a:off x="11880247" y="48607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31449</xdr:colOff>
      <xdr:row>447</xdr:row>
      <xdr:rowOff>101297</xdr:rowOff>
    </xdr:from>
    <xdr:to>
      <xdr:col>16</xdr:col>
      <xdr:colOff>158450</xdr:colOff>
      <xdr:row>447</xdr:row>
      <xdr:rowOff>113997</xdr:rowOff>
    </xdr:to>
    <xdr:cxnSp macro="">
      <xdr:nvCxnSpPr>
        <xdr:cNvPr id="785" name="Connecteur droit avec flèche 784"/>
        <xdr:cNvCxnSpPr/>
      </xdr:nvCxnSpPr>
      <xdr:spPr>
        <a:xfrm>
          <a:off x="13570556" y="47535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761699</xdr:colOff>
      <xdr:row>451</xdr:row>
      <xdr:rowOff>133047</xdr:rowOff>
    </xdr:from>
    <xdr:to>
      <xdr:col>16</xdr:col>
      <xdr:colOff>105533</xdr:colOff>
      <xdr:row>451</xdr:row>
      <xdr:rowOff>135164</xdr:rowOff>
    </xdr:to>
    <xdr:cxnSp macro="">
      <xdr:nvCxnSpPr>
        <xdr:cNvPr id="786" name="Connecteur droit avec flèche 785"/>
        <xdr:cNvCxnSpPr/>
      </xdr:nvCxnSpPr>
      <xdr:spPr>
        <a:xfrm>
          <a:off x="13538806" y="48329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449</xdr:row>
      <xdr:rowOff>133047</xdr:rowOff>
    </xdr:from>
    <xdr:to>
      <xdr:col>16</xdr:col>
      <xdr:colOff>179617</xdr:colOff>
      <xdr:row>449</xdr:row>
      <xdr:rowOff>135164</xdr:rowOff>
    </xdr:to>
    <xdr:cxnSp macro="">
      <xdr:nvCxnSpPr>
        <xdr:cNvPr id="787" name="Connecteur droit avec flèche 786"/>
        <xdr:cNvCxnSpPr/>
      </xdr:nvCxnSpPr>
      <xdr:spPr>
        <a:xfrm>
          <a:off x="13612890" y="47948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63199</xdr:colOff>
      <xdr:row>453</xdr:row>
      <xdr:rowOff>122464</xdr:rowOff>
    </xdr:from>
    <xdr:to>
      <xdr:col>16</xdr:col>
      <xdr:colOff>169033</xdr:colOff>
      <xdr:row>453</xdr:row>
      <xdr:rowOff>124581</xdr:rowOff>
    </xdr:to>
    <xdr:cxnSp macro="">
      <xdr:nvCxnSpPr>
        <xdr:cNvPr id="788" name="Connecteur droit avec flèche 787"/>
        <xdr:cNvCxnSpPr/>
      </xdr:nvCxnSpPr>
      <xdr:spPr>
        <a:xfrm>
          <a:off x="13602306" y="48699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729949</xdr:colOff>
      <xdr:row>454</xdr:row>
      <xdr:rowOff>133048</xdr:rowOff>
    </xdr:from>
    <xdr:to>
      <xdr:col>16</xdr:col>
      <xdr:colOff>73783</xdr:colOff>
      <xdr:row>454</xdr:row>
      <xdr:rowOff>135165</xdr:rowOff>
    </xdr:to>
    <xdr:cxnSp macro="">
      <xdr:nvCxnSpPr>
        <xdr:cNvPr id="789" name="Connecteur droit avec flèche 788"/>
        <xdr:cNvCxnSpPr/>
      </xdr:nvCxnSpPr>
      <xdr:spPr>
        <a:xfrm>
          <a:off x="13507056" y="48901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20865</xdr:colOff>
      <xdr:row>446</xdr:row>
      <xdr:rowOff>122464</xdr:rowOff>
    </xdr:from>
    <xdr:to>
      <xdr:col>16</xdr:col>
      <xdr:colOff>137283</xdr:colOff>
      <xdr:row>447</xdr:row>
      <xdr:rowOff>90715</xdr:rowOff>
    </xdr:to>
    <xdr:cxnSp macro="">
      <xdr:nvCxnSpPr>
        <xdr:cNvPr id="790" name="Connecteur droit avec flèche 789"/>
        <xdr:cNvCxnSpPr/>
      </xdr:nvCxnSpPr>
      <xdr:spPr>
        <a:xfrm flipV="1">
          <a:off x="13559972" y="47366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448</xdr:row>
      <xdr:rowOff>143631</xdr:rowOff>
    </xdr:from>
    <xdr:to>
      <xdr:col>16</xdr:col>
      <xdr:colOff>179616</xdr:colOff>
      <xdr:row>449</xdr:row>
      <xdr:rowOff>111882</xdr:rowOff>
    </xdr:to>
    <xdr:cxnSp macro="">
      <xdr:nvCxnSpPr>
        <xdr:cNvPr id="791" name="Connecteur droit avec flèche 790"/>
        <xdr:cNvCxnSpPr/>
      </xdr:nvCxnSpPr>
      <xdr:spPr>
        <a:xfrm flipV="1">
          <a:off x="13612890" y="47768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751116</xdr:colOff>
      <xdr:row>450</xdr:row>
      <xdr:rowOff>143631</xdr:rowOff>
    </xdr:from>
    <xdr:to>
      <xdr:col>16</xdr:col>
      <xdr:colOff>126699</xdr:colOff>
      <xdr:row>451</xdr:row>
      <xdr:rowOff>111882</xdr:rowOff>
    </xdr:to>
    <xdr:cxnSp macro="">
      <xdr:nvCxnSpPr>
        <xdr:cNvPr id="792" name="Connecteur droit avec flèche 791"/>
        <xdr:cNvCxnSpPr/>
      </xdr:nvCxnSpPr>
      <xdr:spPr>
        <a:xfrm flipV="1">
          <a:off x="13528223" y="48149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42032</xdr:colOff>
      <xdr:row>452</xdr:row>
      <xdr:rowOff>143631</xdr:rowOff>
    </xdr:from>
    <xdr:to>
      <xdr:col>16</xdr:col>
      <xdr:colOff>200783</xdr:colOff>
      <xdr:row>453</xdr:row>
      <xdr:rowOff>101299</xdr:rowOff>
    </xdr:to>
    <xdr:cxnSp macro="">
      <xdr:nvCxnSpPr>
        <xdr:cNvPr id="793" name="Connecteur droit avec flèche 792"/>
        <xdr:cNvCxnSpPr/>
      </xdr:nvCxnSpPr>
      <xdr:spPr>
        <a:xfrm flipV="1">
          <a:off x="13581139" y="48530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474</xdr:row>
      <xdr:rowOff>100692</xdr:rowOff>
    </xdr:from>
    <xdr:to>
      <xdr:col>12</xdr:col>
      <xdr:colOff>157843</xdr:colOff>
      <xdr:row>474</xdr:row>
      <xdr:rowOff>108856</xdr:rowOff>
    </xdr:to>
    <xdr:cxnSp macro="">
      <xdr:nvCxnSpPr>
        <xdr:cNvPr id="794" name="Connecteur droit avec flèche 793"/>
        <xdr:cNvCxnSpPr/>
      </xdr:nvCxnSpPr>
      <xdr:spPr>
        <a:xfrm>
          <a:off x="10178142" y="50773692"/>
          <a:ext cx="1232808"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469</xdr:row>
      <xdr:rowOff>58965</xdr:rowOff>
    </xdr:from>
    <xdr:to>
      <xdr:col>12</xdr:col>
      <xdr:colOff>238578</xdr:colOff>
      <xdr:row>474</xdr:row>
      <xdr:rowOff>95249</xdr:rowOff>
    </xdr:to>
    <xdr:cxnSp macro="">
      <xdr:nvCxnSpPr>
        <xdr:cNvPr id="795" name="Connecteur droit avec flèche 794"/>
        <xdr:cNvCxnSpPr/>
      </xdr:nvCxnSpPr>
      <xdr:spPr>
        <a:xfrm flipV="1">
          <a:off x="10227128" y="49779465"/>
          <a:ext cx="1264557"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473</xdr:row>
      <xdr:rowOff>13607</xdr:rowOff>
    </xdr:from>
    <xdr:to>
      <xdr:col>12</xdr:col>
      <xdr:colOff>96459</xdr:colOff>
      <xdr:row>474</xdr:row>
      <xdr:rowOff>95249</xdr:rowOff>
    </xdr:to>
    <xdr:cxnSp macro="">
      <xdr:nvCxnSpPr>
        <xdr:cNvPr id="796" name="Connecteur droit avec flèche 795"/>
        <xdr:cNvCxnSpPr/>
      </xdr:nvCxnSpPr>
      <xdr:spPr>
        <a:xfrm flipV="1">
          <a:off x="10213521" y="50496107"/>
          <a:ext cx="1136045"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467</xdr:row>
      <xdr:rowOff>6049</xdr:rowOff>
    </xdr:from>
    <xdr:to>
      <xdr:col>14</xdr:col>
      <xdr:colOff>71361</xdr:colOff>
      <xdr:row>469</xdr:row>
      <xdr:rowOff>48381</xdr:rowOff>
    </xdr:to>
    <xdr:cxnSp macro="">
      <xdr:nvCxnSpPr>
        <xdr:cNvPr id="797" name="Connecteur droit avec flèche 796"/>
        <xdr:cNvCxnSpPr/>
      </xdr:nvCxnSpPr>
      <xdr:spPr>
        <a:xfrm flipV="1">
          <a:off x="11904435" y="49345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469</xdr:row>
      <xdr:rowOff>46266</xdr:rowOff>
    </xdr:from>
    <xdr:to>
      <xdr:col>13</xdr:col>
      <xdr:colOff>746578</xdr:colOff>
      <xdr:row>469</xdr:row>
      <xdr:rowOff>58965</xdr:rowOff>
    </xdr:to>
    <xdr:cxnSp macro="">
      <xdr:nvCxnSpPr>
        <xdr:cNvPr id="798" name="Connecteur droit avec flèche 797"/>
        <xdr:cNvCxnSpPr/>
      </xdr:nvCxnSpPr>
      <xdr:spPr>
        <a:xfrm>
          <a:off x="11862101" y="49766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471</xdr:row>
      <xdr:rowOff>48381</xdr:rowOff>
    </xdr:from>
    <xdr:to>
      <xdr:col>13</xdr:col>
      <xdr:colOff>746579</xdr:colOff>
      <xdr:row>473</xdr:row>
      <xdr:rowOff>48379</xdr:rowOff>
    </xdr:to>
    <xdr:cxnSp macro="">
      <xdr:nvCxnSpPr>
        <xdr:cNvPr id="799" name="Connecteur droit avec flèche 798"/>
        <xdr:cNvCxnSpPr/>
      </xdr:nvCxnSpPr>
      <xdr:spPr>
        <a:xfrm flipV="1">
          <a:off x="11745686" y="50149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474</xdr:row>
      <xdr:rowOff>81642</xdr:rowOff>
    </xdr:from>
    <xdr:to>
      <xdr:col>13</xdr:col>
      <xdr:colOff>757163</xdr:colOff>
      <xdr:row>474</xdr:row>
      <xdr:rowOff>92227</xdr:rowOff>
    </xdr:to>
    <xdr:cxnSp macro="">
      <xdr:nvCxnSpPr>
        <xdr:cNvPr id="800" name="Connecteur droit avec flèche 799"/>
        <xdr:cNvCxnSpPr/>
      </xdr:nvCxnSpPr>
      <xdr:spPr>
        <a:xfrm>
          <a:off x="11946770" y="50754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473</xdr:row>
      <xdr:rowOff>16631</xdr:rowOff>
    </xdr:from>
    <xdr:to>
      <xdr:col>13</xdr:col>
      <xdr:colOff>714829</xdr:colOff>
      <xdr:row>473</xdr:row>
      <xdr:rowOff>37799</xdr:rowOff>
    </xdr:to>
    <xdr:cxnSp macro="">
      <xdr:nvCxnSpPr>
        <xdr:cNvPr id="801" name="Connecteur droit avec flèche 800"/>
        <xdr:cNvCxnSpPr/>
      </xdr:nvCxnSpPr>
      <xdr:spPr>
        <a:xfrm>
          <a:off x="11798603" y="50499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467</xdr:row>
      <xdr:rowOff>87690</xdr:rowOff>
    </xdr:from>
    <xdr:to>
      <xdr:col>16</xdr:col>
      <xdr:colOff>76806</xdr:colOff>
      <xdr:row>467</xdr:row>
      <xdr:rowOff>100390</xdr:rowOff>
    </xdr:to>
    <xdr:cxnSp macro="">
      <xdr:nvCxnSpPr>
        <xdr:cNvPr id="802" name="Connecteur droit avec flèche 801"/>
        <xdr:cNvCxnSpPr/>
      </xdr:nvCxnSpPr>
      <xdr:spPr>
        <a:xfrm>
          <a:off x="13488912" y="49427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471</xdr:row>
      <xdr:rowOff>119440</xdr:rowOff>
    </xdr:from>
    <xdr:to>
      <xdr:col>16</xdr:col>
      <xdr:colOff>23889</xdr:colOff>
      <xdr:row>471</xdr:row>
      <xdr:rowOff>121557</xdr:rowOff>
    </xdr:to>
    <xdr:cxnSp macro="">
      <xdr:nvCxnSpPr>
        <xdr:cNvPr id="803" name="Connecteur droit avec flèche 802"/>
        <xdr:cNvCxnSpPr/>
      </xdr:nvCxnSpPr>
      <xdr:spPr>
        <a:xfrm>
          <a:off x="13457162" y="50220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469</xdr:row>
      <xdr:rowOff>119440</xdr:rowOff>
    </xdr:from>
    <xdr:to>
      <xdr:col>16</xdr:col>
      <xdr:colOff>97973</xdr:colOff>
      <xdr:row>469</xdr:row>
      <xdr:rowOff>121557</xdr:rowOff>
    </xdr:to>
    <xdr:cxnSp macro="">
      <xdr:nvCxnSpPr>
        <xdr:cNvPr id="804" name="Connecteur droit avec flèche 803"/>
        <xdr:cNvCxnSpPr/>
      </xdr:nvCxnSpPr>
      <xdr:spPr>
        <a:xfrm>
          <a:off x="13531246" y="49839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473</xdr:row>
      <xdr:rowOff>108857</xdr:rowOff>
    </xdr:from>
    <xdr:to>
      <xdr:col>16</xdr:col>
      <xdr:colOff>87389</xdr:colOff>
      <xdr:row>473</xdr:row>
      <xdr:rowOff>110974</xdr:rowOff>
    </xdr:to>
    <xdr:cxnSp macro="">
      <xdr:nvCxnSpPr>
        <xdr:cNvPr id="805" name="Connecteur droit avec flèche 804"/>
        <xdr:cNvCxnSpPr/>
      </xdr:nvCxnSpPr>
      <xdr:spPr>
        <a:xfrm>
          <a:off x="13520662" y="50591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474</xdr:row>
      <xdr:rowOff>119441</xdr:rowOff>
    </xdr:from>
    <xdr:to>
      <xdr:col>15</xdr:col>
      <xdr:colOff>754139</xdr:colOff>
      <xdr:row>474</xdr:row>
      <xdr:rowOff>121558</xdr:rowOff>
    </xdr:to>
    <xdr:cxnSp macro="">
      <xdr:nvCxnSpPr>
        <xdr:cNvPr id="806" name="Connecteur droit avec flèche 805"/>
        <xdr:cNvCxnSpPr/>
      </xdr:nvCxnSpPr>
      <xdr:spPr>
        <a:xfrm>
          <a:off x="13425412" y="50792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466</xdr:row>
      <xdr:rowOff>108857</xdr:rowOff>
    </xdr:from>
    <xdr:to>
      <xdr:col>16</xdr:col>
      <xdr:colOff>55639</xdr:colOff>
      <xdr:row>467</xdr:row>
      <xdr:rowOff>77108</xdr:rowOff>
    </xdr:to>
    <xdr:cxnSp macro="">
      <xdr:nvCxnSpPr>
        <xdr:cNvPr id="807" name="Connecteur droit avec flèche 806"/>
        <xdr:cNvCxnSpPr/>
      </xdr:nvCxnSpPr>
      <xdr:spPr>
        <a:xfrm flipV="1">
          <a:off x="13478328" y="49257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468</xdr:row>
      <xdr:rowOff>130024</xdr:rowOff>
    </xdr:from>
    <xdr:to>
      <xdr:col>16</xdr:col>
      <xdr:colOff>97972</xdr:colOff>
      <xdr:row>469</xdr:row>
      <xdr:rowOff>98275</xdr:rowOff>
    </xdr:to>
    <xdr:cxnSp macro="">
      <xdr:nvCxnSpPr>
        <xdr:cNvPr id="808" name="Connecteur droit avec flèche 807"/>
        <xdr:cNvCxnSpPr/>
      </xdr:nvCxnSpPr>
      <xdr:spPr>
        <a:xfrm flipV="1">
          <a:off x="13531246" y="49660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470</xdr:row>
      <xdr:rowOff>130024</xdr:rowOff>
    </xdr:from>
    <xdr:to>
      <xdr:col>16</xdr:col>
      <xdr:colOff>45055</xdr:colOff>
      <xdr:row>471</xdr:row>
      <xdr:rowOff>98275</xdr:rowOff>
    </xdr:to>
    <xdr:cxnSp macro="">
      <xdr:nvCxnSpPr>
        <xdr:cNvPr id="809" name="Connecteur droit avec flèche 808"/>
        <xdr:cNvCxnSpPr/>
      </xdr:nvCxnSpPr>
      <xdr:spPr>
        <a:xfrm flipV="1">
          <a:off x="13446579" y="50041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472</xdr:row>
      <xdr:rowOff>130024</xdr:rowOff>
    </xdr:from>
    <xdr:to>
      <xdr:col>16</xdr:col>
      <xdr:colOff>119139</xdr:colOff>
      <xdr:row>473</xdr:row>
      <xdr:rowOff>87692</xdr:rowOff>
    </xdr:to>
    <xdr:cxnSp macro="">
      <xdr:nvCxnSpPr>
        <xdr:cNvPr id="810" name="Connecteur droit avec flèche 809"/>
        <xdr:cNvCxnSpPr/>
      </xdr:nvCxnSpPr>
      <xdr:spPr>
        <a:xfrm flipV="1">
          <a:off x="13499495" y="50422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496</xdr:row>
      <xdr:rowOff>68036</xdr:rowOff>
    </xdr:from>
    <xdr:to>
      <xdr:col>12</xdr:col>
      <xdr:colOff>127605</xdr:colOff>
      <xdr:row>497</xdr:row>
      <xdr:rowOff>95250</xdr:rowOff>
    </xdr:to>
    <xdr:cxnSp macro="">
      <xdr:nvCxnSpPr>
        <xdr:cNvPr id="811" name="Connecteur droit avec flèche 810"/>
        <xdr:cNvCxnSpPr/>
      </xdr:nvCxnSpPr>
      <xdr:spPr>
        <a:xfrm flipV="1">
          <a:off x="10218964" y="51122036"/>
          <a:ext cx="1161748" cy="2177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598714</xdr:colOff>
      <xdr:row>497</xdr:row>
      <xdr:rowOff>81643</xdr:rowOff>
    </xdr:from>
    <xdr:to>
      <xdr:col>14</xdr:col>
      <xdr:colOff>106240</xdr:colOff>
      <xdr:row>497</xdr:row>
      <xdr:rowOff>82058</xdr:rowOff>
    </xdr:to>
    <xdr:cxnSp macro="">
      <xdr:nvCxnSpPr>
        <xdr:cNvPr id="813" name="Connecteur droit avec flèche 812"/>
        <xdr:cNvCxnSpPr/>
      </xdr:nvCxnSpPr>
      <xdr:spPr>
        <a:xfrm>
          <a:off x="11851821" y="51326143"/>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497</xdr:row>
      <xdr:rowOff>81642</xdr:rowOff>
    </xdr:from>
    <xdr:to>
      <xdr:col>16</xdr:col>
      <xdr:colOff>201490</xdr:colOff>
      <xdr:row>497</xdr:row>
      <xdr:rowOff>82057</xdr:rowOff>
    </xdr:to>
    <xdr:cxnSp macro="">
      <xdr:nvCxnSpPr>
        <xdr:cNvPr id="814" name="Connecteur droit avec flèche 813"/>
        <xdr:cNvCxnSpPr/>
      </xdr:nvCxnSpPr>
      <xdr:spPr>
        <a:xfrm>
          <a:off x="13471071" y="5132614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496</xdr:row>
      <xdr:rowOff>95250</xdr:rowOff>
    </xdr:from>
    <xdr:to>
      <xdr:col>16</xdr:col>
      <xdr:colOff>242312</xdr:colOff>
      <xdr:row>496</xdr:row>
      <xdr:rowOff>95665</xdr:rowOff>
    </xdr:to>
    <xdr:cxnSp macro="">
      <xdr:nvCxnSpPr>
        <xdr:cNvPr id="815" name="Connecteur droit avec flèche 814"/>
        <xdr:cNvCxnSpPr/>
      </xdr:nvCxnSpPr>
      <xdr:spPr>
        <a:xfrm>
          <a:off x="13511893" y="51149250"/>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496</xdr:row>
      <xdr:rowOff>108857</xdr:rowOff>
    </xdr:from>
    <xdr:to>
      <xdr:col>14</xdr:col>
      <xdr:colOff>10990</xdr:colOff>
      <xdr:row>496</xdr:row>
      <xdr:rowOff>109272</xdr:rowOff>
    </xdr:to>
    <xdr:cxnSp macro="">
      <xdr:nvCxnSpPr>
        <xdr:cNvPr id="816" name="Connecteur droit avec flèche 815"/>
        <xdr:cNvCxnSpPr/>
      </xdr:nvCxnSpPr>
      <xdr:spPr>
        <a:xfrm>
          <a:off x="11756571" y="5116285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299</xdr:row>
      <xdr:rowOff>59874</xdr:rowOff>
    </xdr:from>
    <xdr:to>
      <xdr:col>13</xdr:col>
      <xdr:colOff>724807</xdr:colOff>
      <xdr:row>299</xdr:row>
      <xdr:rowOff>72573</xdr:rowOff>
    </xdr:to>
    <xdr:cxnSp macro="">
      <xdr:nvCxnSpPr>
        <xdr:cNvPr id="723" name="Connecteur droit avec flèche 722"/>
        <xdr:cNvCxnSpPr/>
      </xdr:nvCxnSpPr>
      <xdr:spPr>
        <a:xfrm>
          <a:off x="12006640" y="30349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304</xdr:row>
      <xdr:rowOff>40822</xdr:rowOff>
    </xdr:from>
    <xdr:to>
      <xdr:col>13</xdr:col>
      <xdr:colOff>735392</xdr:colOff>
      <xdr:row>304</xdr:row>
      <xdr:rowOff>51407</xdr:rowOff>
    </xdr:to>
    <xdr:cxnSp macro="">
      <xdr:nvCxnSpPr>
        <xdr:cNvPr id="742" name="Connecteur droit avec flèche 741"/>
        <xdr:cNvCxnSpPr/>
      </xdr:nvCxnSpPr>
      <xdr:spPr>
        <a:xfrm>
          <a:off x="12091309" y="31282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313</xdr:row>
      <xdr:rowOff>30239</xdr:rowOff>
    </xdr:from>
    <xdr:to>
      <xdr:col>13</xdr:col>
      <xdr:colOff>693058</xdr:colOff>
      <xdr:row>313</xdr:row>
      <xdr:rowOff>51407</xdr:rowOff>
    </xdr:to>
    <xdr:cxnSp macro="">
      <xdr:nvCxnSpPr>
        <xdr:cNvPr id="747" name="Connecteur droit avec flèche 746"/>
        <xdr:cNvCxnSpPr/>
      </xdr:nvCxnSpPr>
      <xdr:spPr>
        <a:xfrm>
          <a:off x="11943142" y="3108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393</xdr:row>
      <xdr:rowOff>30239</xdr:rowOff>
    </xdr:from>
    <xdr:to>
      <xdr:col>14</xdr:col>
      <xdr:colOff>143330</xdr:colOff>
      <xdr:row>393</xdr:row>
      <xdr:rowOff>51407</xdr:rowOff>
    </xdr:to>
    <xdr:cxnSp macro="">
      <xdr:nvCxnSpPr>
        <xdr:cNvPr id="820" name="Connecteur droit avec flèche 819"/>
        <xdr:cNvCxnSpPr/>
      </xdr:nvCxnSpPr>
      <xdr:spPr>
        <a:xfrm>
          <a:off x="12155414" y="40606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501</xdr:row>
      <xdr:rowOff>83820</xdr:rowOff>
    </xdr:from>
    <xdr:to>
      <xdr:col>5</xdr:col>
      <xdr:colOff>739140</xdr:colOff>
      <xdr:row>501</xdr:row>
      <xdr:rowOff>85408</xdr:rowOff>
    </xdr:to>
    <xdr:cxnSp macro="">
      <xdr:nvCxnSpPr>
        <xdr:cNvPr id="593" name="Connecteur droit avec flèche 592"/>
        <xdr:cNvCxnSpPr/>
      </xdr:nvCxnSpPr>
      <xdr:spPr>
        <a:xfrm>
          <a:off x="3992880" y="5630037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594" name="Connecteur droit avec flèche 593"/>
        <xdr:cNvCxnSpPr/>
      </xdr:nvCxnSpPr>
      <xdr:spPr>
        <a:xfrm>
          <a:off x="6375156" y="5631619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501</xdr:row>
      <xdr:rowOff>123093</xdr:rowOff>
    </xdr:from>
    <xdr:to>
      <xdr:col>10</xdr:col>
      <xdr:colOff>0</xdr:colOff>
      <xdr:row>501</xdr:row>
      <xdr:rowOff>123508</xdr:rowOff>
    </xdr:to>
    <xdr:cxnSp macro="">
      <xdr:nvCxnSpPr>
        <xdr:cNvPr id="595" name="Connecteur droit avec flèche 594"/>
        <xdr:cNvCxnSpPr/>
      </xdr:nvCxnSpPr>
      <xdr:spPr>
        <a:xfrm>
          <a:off x="8266235" y="5633964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599" name="Connecteur droit avec flèche 598"/>
        <xdr:cNvCxnSpPr/>
      </xdr:nvCxnSpPr>
      <xdr:spPr>
        <a:xfrm>
          <a:off x="6375156" y="5631619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501</xdr:row>
      <xdr:rowOff>95251</xdr:rowOff>
    </xdr:from>
    <xdr:to>
      <xdr:col>4</xdr:col>
      <xdr:colOff>0</xdr:colOff>
      <xdr:row>501</xdr:row>
      <xdr:rowOff>114300</xdr:rowOff>
    </xdr:to>
    <xdr:cxnSp macro="">
      <xdr:nvCxnSpPr>
        <xdr:cNvPr id="601" name="Connecteur droit avec flèche 600"/>
        <xdr:cNvCxnSpPr/>
      </xdr:nvCxnSpPr>
      <xdr:spPr>
        <a:xfrm>
          <a:off x="2171700" y="56311801"/>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501</xdr:row>
      <xdr:rowOff>104775</xdr:rowOff>
    </xdr:from>
    <xdr:to>
      <xdr:col>11</xdr:col>
      <xdr:colOff>715840</xdr:colOff>
      <xdr:row>501</xdr:row>
      <xdr:rowOff>105190</xdr:rowOff>
    </xdr:to>
    <xdr:cxnSp macro="">
      <xdr:nvCxnSpPr>
        <xdr:cNvPr id="612" name="Connecteur droit avec flèche 611"/>
        <xdr:cNvCxnSpPr/>
      </xdr:nvCxnSpPr>
      <xdr:spPr>
        <a:xfrm>
          <a:off x="10334625" y="56321325"/>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499</xdr:row>
      <xdr:rowOff>68036</xdr:rowOff>
    </xdr:from>
    <xdr:to>
      <xdr:col>12</xdr:col>
      <xdr:colOff>127605</xdr:colOff>
      <xdr:row>501</xdr:row>
      <xdr:rowOff>95250</xdr:rowOff>
    </xdr:to>
    <xdr:cxnSp macro="">
      <xdr:nvCxnSpPr>
        <xdr:cNvPr id="613" name="Connecteur droit avec flèche 612"/>
        <xdr:cNvCxnSpPr/>
      </xdr:nvCxnSpPr>
      <xdr:spPr>
        <a:xfrm flipV="1">
          <a:off x="10378168" y="55903586"/>
          <a:ext cx="1160387" cy="4082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617764</xdr:colOff>
      <xdr:row>500</xdr:row>
      <xdr:rowOff>100693</xdr:rowOff>
    </xdr:from>
    <xdr:to>
      <xdr:col>14</xdr:col>
      <xdr:colOff>125290</xdr:colOff>
      <xdr:row>500</xdr:row>
      <xdr:rowOff>101108</xdr:rowOff>
    </xdr:to>
    <xdr:cxnSp macro="">
      <xdr:nvCxnSpPr>
        <xdr:cNvPr id="614" name="Connecteur droit avec flèche 613"/>
        <xdr:cNvCxnSpPr/>
      </xdr:nvCxnSpPr>
      <xdr:spPr>
        <a:xfrm>
          <a:off x="12028714" y="56612518"/>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500</xdr:row>
      <xdr:rowOff>81642</xdr:rowOff>
    </xdr:from>
    <xdr:to>
      <xdr:col>16</xdr:col>
      <xdr:colOff>201490</xdr:colOff>
      <xdr:row>500</xdr:row>
      <xdr:rowOff>82057</xdr:rowOff>
    </xdr:to>
    <xdr:cxnSp macro="">
      <xdr:nvCxnSpPr>
        <xdr:cNvPr id="615" name="Connecteur droit avec flèche 614"/>
        <xdr:cNvCxnSpPr/>
      </xdr:nvCxnSpPr>
      <xdr:spPr>
        <a:xfrm>
          <a:off x="13628914" y="5610769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499</xdr:row>
      <xdr:rowOff>95250</xdr:rowOff>
    </xdr:from>
    <xdr:to>
      <xdr:col>16</xdr:col>
      <xdr:colOff>242312</xdr:colOff>
      <xdr:row>499</xdr:row>
      <xdr:rowOff>95665</xdr:rowOff>
    </xdr:to>
    <xdr:cxnSp macro="">
      <xdr:nvCxnSpPr>
        <xdr:cNvPr id="616" name="Connecteur droit avec flèche 615"/>
        <xdr:cNvCxnSpPr/>
      </xdr:nvCxnSpPr>
      <xdr:spPr>
        <a:xfrm>
          <a:off x="13669736" y="55930800"/>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499</xdr:row>
      <xdr:rowOff>108857</xdr:rowOff>
    </xdr:from>
    <xdr:to>
      <xdr:col>14</xdr:col>
      <xdr:colOff>10990</xdr:colOff>
      <xdr:row>499</xdr:row>
      <xdr:rowOff>109272</xdr:rowOff>
    </xdr:to>
    <xdr:cxnSp macro="">
      <xdr:nvCxnSpPr>
        <xdr:cNvPr id="624" name="Connecteur droit avec flèche 623"/>
        <xdr:cNvCxnSpPr/>
      </xdr:nvCxnSpPr>
      <xdr:spPr>
        <a:xfrm>
          <a:off x="11914414" y="5594440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501</xdr:row>
      <xdr:rowOff>81642</xdr:rowOff>
    </xdr:from>
    <xdr:to>
      <xdr:col>13</xdr:col>
      <xdr:colOff>757163</xdr:colOff>
      <xdr:row>501</xdr:row>
      <xdr:rowOff>92227</xdr:rowOff>
    </xdr:to>
    <xdr:cxnSp macro="">
      <xdr:nvCxnSpPr>
        <xdr:cNvPr id="651" name="Connecteur droit avec flèche 650"/>
        <xdr:cNvCxnSpPr/>
      </xdr:nvCxnSpPr>
      <xdr:spPr>
        <a:xfrm>
          <a:off x="12104613" y="5629819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501</xdr:row>
      <xdr:rowOff>119441</xdr:rowOff>
    </xdr:from>
    <xdr:to>
      <xdr:col>15</xdr:col>
      <xdr:colOff>754139</xdr:colOff>
      <xdr:row>501</xdr:row>
      <xdr:rowOff>121558</xdr:rowOff>
    </xdr:to>
    <xdr:cxnSp macro="">
      <xdr:nvCxnSpPr>
        <xdr:cNvPr id="686" name="Connecteur droit avec flèche 685"/>
        <xdr:cNvCxnSpPr/>
      </xdr:nvCxnSpPr>
      <xdr:spPr>
        <a:xfrm>
          <a:off x="13583255" y="5633599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1133475</xdr:colOff>
      <xdr:row>500</xdr:row>
      <xdr:rowOff>114300</xdr:rowOff>
    </xdr:from>
    <xdr:to>
      <xdr:col>12</xdr:col>
      <xdr:colOff>76200</xdr:colOff>
      <xdr:row>501</xdr:row>
      <xdr:rowOff>95250</xdr:rowOff>
    </xdr:to>
    <xdr:cxnSp macro="">
      <xdr:nvCxnSpPr>
        <xdr:cNvPr id="724" name="Connecteur droit avec flèche 723"/>
        <xdr:cNvCxnSpPr/>
      </xdr:nvCxnSpPr>
      <xdr:spPr>
        <a:xfrm flipV="1">
          <a:off x="10477500" y="56626125"/>
          <a:ext cx="1009650" cy="1714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133</xdr:row>
      <xdr:rowOff>33264</xdr:rowOff>
    </xdr:from>
    <xdr:to>
      <xdr:col>14</xdr:col>
      <xdr:colOff>104019</xdr:colOff>
      <xdr:row>135</xdr:row>
      <xdr:rowOff>75596</xdr:rowOff>
    </xdr:to>
    <xdr:cxnSp macro="">
      <xdr:nvCxnSpPr>
        <xdr:cNvPr id="694" name="Connecteur droit avec flèche 693"/>
        <xdr:cNvCxnSpPr/>
      </xdr:nvCxnSpPr>
      <xdr:spPr>
        <a:xfrm flipV="1">
          <a:off x="12098111" y="1773388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135</xdr:row>
      <xdr:rowOff>73481</xdr:rowOff>
    </xdr:from>
    <xdr:to>
      <xdr:col>14</xdr:col>
      <xdr:colOff>17236</xdr:colOff>
      <xdr:row>135</xdr:row>
      <xdr:rowOff>86180</xdr:rowOff>
    </xdr:to>
    <xdr:cxnSp macro="">
      <xdr:nvCxnSpPr>
        <xdr:cNvPr id="721" name="Connecteur droit avec flèche 720"/>
        <xdr:cNvCxnSpPr/>
      </xdr:nvCxnSpPr>
      <xdr:spPr>
        <a:xfrm>
          <a:off x="12055777" y="1815510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137</xdr:row>
      <xdr:rowOff>75596</xdr:rowOff>
    </xdr:from>
    <xdr:to>
      <xdr:col>14</xdr:col>
      <xdr:colOff>17237</xdr:colOff>
      <xdr:row>139</xdr:row>
      <xdr:rowOff>75594</xdr:rowOff>
    </xdr:to>
    <xdr:cxnSp macro="">
      <xdr:nvCxnSpPr>
        <xdr:cNvPr id="722" name="Connecteur droit avec flèche 721"/>
        <xdr:cNvCxnSpPr/>
      </xdr:nvCxnSpPr>
      <xdr:spPr>
        <a:xfrm flipV="1">
          <a:off x="11939362" y="1853822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142</xdr:row>
      <xdr:rowOff>65012</xdr:rowOff>
    </xdr:from>
    <xdr:to>
      <xdr:col>14</xdr:col>
      <xdr:colOff>6654</xdr:colOff>
      <xdr:row>142</xdr:row>
      <xdr:rowOff>75597</xdr:rowOff>
    </xdr:to>
    <xdr:cxnSp macro="">
      <xdr:nvCxnSpPr>
        <xdr:cNvPr id="743" name="Connecteur droit avec flèche 742"/>
        <xdr:cNvCxnSpPr/>
      </xdr:nvCxnSpPr>
      <xdr:spPr>
        <a:xfrm>
          <a:off x="12066362" y="19480137"/>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140</xdr:row>
      <xdr:rowOff>54429</xdr:rowOff>
    </xdr:from>
    <xdr:to>
      <xdr:col>14</xdr:col>
      <xdr:colOff>27821</xdr:colOff>
      <xdr:row>140</xdr:row>
      <xdr:rowOff>65014</xdr:rowOff>
    </xdr:to>
    <xdr:cxnSp macro="">
      <xdr:nvCxnSpPr>
        <xdr:cNvPr id="744" name="Connecteur droit avec flèche 743"/>
        <xdr:cNvCxnSpPr/>
      </xdr:nvCxnSpPr>
      <xdr:spPr>
        <a:xfrm>
          <a:off x="12140446" y="19088554"/>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139</xdr:row>
      <xdr:rowOff>43846</xdr:rowOff>
    </xdr:from>
    <xdr:to>
      <xdr:col>13</xdr:col>
      <xdr:colOff>747487</xdr:colOff>
      <xdr:row>139</xdr:row>
      <xdr:rowOff>65014</xdr:rowOff>
    </xdr:to>
    <xdr:cxnSp macro="">
      <xdr:nvCxnSpPr>
        <xdr:cNvPr id="745" name="Connecteur droit avec flèche 744"/>
        <xdr:cNvCxnSpPr/>
      </xdr:nvCxnSpPr>
      <xdr:spPr>
        <a:xfrm>
          <a:off x="11992279" y="1888747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141</xdr:row>
      <xdr:rowOff>107345</xdr:rowOff>
    </xdr:from>
    <xdr:to>
      <xdr:col>14</xdr:col>
      <xdr:colOff>38404</xdr:colOff>
      <xdr:row>142</xdr:row>
      <xdr:rowOff>65012</xdr:rowOff>
    </xdr:to>
    <xdr:cxnSp macro="">
      <xdr:nvCxnSpPr>
        <xdr:cNvPr id="746" name="Connecteur droit avec flèche 745"/>
        <xdr:cNvCxnSpPr/>
      </xdr:nvCxnSpPr>
      <xdr:spPr>
        <a:xfrm flipV="1">
          <a:off x="12066362" y="19331970"/>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133</xdr:row>
      <xdr:rowOff>33262</xdr:rowOff>
    </xdr:from>
    <xdr:to>
      <xdr:col>16</xdr:col>
      <xdr:colOff>123071</xdr:colOff>
      <xdr:row>133</xdr:row>
      <xdr:rowOff>45962</xdr:rowOff>
    </xdr:to>
    <xdr:cxnSp macro="">
      <xdr:nvCxnSpPr>
        <xdr:cNvPr id="748" name="Connecteur droit avec flèche 747"/>
        <xdr:cNvCxnSpPr/>
      </xdr:nvCxnSpPr>
      <xdr:spPr>
        <a:xfrm>
          <a:off x="13696195" y="1773388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137</xdr:row>
      <xdr:rowOff>65012</xdr:rowOff>
    </xdr:from>
    <xdr:to>
      <xdr:col>16</xdr:col>
      <xdr:colOff>70154</xdr:colOff>
      <xdr:row>137</xdr:row>
      <xdr:rowOff>67129</xdr:rowOff>
    </xdr:to>
    <xdr:cxnSp macro="">
      <xdr:nvCxnSpPr>
        <xdr:cNvPr id="749" name="Connecteur droit avec flèche 748"/>
        <xdr:cNvCxnSpPr/>
      </xdr:nvCxnSpPr>
      <xdr:spPr>
        <a:xfrm>
          <a:off x="13664445" y="185276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135</xdr:row>
      <xdr:rowOff>65012</xdr:rowOff>
    </xdr:from>
    <xdr:to>
      <xdr:col>16</xdr:col>
      <xdr:colOff>144238</xdr:colOff>
      <xdr:row>135</xdr:row>
      <xdr:rowOff>67129</xdr:rowOff>
    </xdr:to>
    <xdr:cxnSp macro="">
      <xdr:nvCxnSpPr>
        <xdr:cNvPr id="750" name="Connecteur droit avec flèche 749"/>
        <xdr:cNvCxnSpPr/>
      </xdr:nvCxnSpPr>
      <xdr:spPr>
        <a:xfrm>
          <a:off x="13738529" y="181466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139</xdr:row>
      <xdr:rowOff>54429</xdr:rowOff>
    </xdr:from>
    <xdr:to>
      <xdr:col>16</xdr:col>
      <xdr:colOff>133654</xdr:colOff>
      <xdr:row>139</xdr:row>
      <xdr:rowOff>56546</xdr:rowOff>
    </xdr:to>
    <xdr:cxnSp macro="">
      <xdr:nvCxnSpPr>
        <xdr:cNvPr id="751" name="Connecteur droit avec flèche 750"/>
        <xdr:cNvCxnSpPr/>
      </xdr:nvCxnSpPr>
      <xdr:spPr>
        <a:xfrm>
          <a:off x="13727945" y="1889805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141</xdr:row>
      <xdr:rowOff>54429</xdr:rowOff>
    </xdr:from>
    <xdr:to>
      <xdr:col>16</xdr:col>
      <xdr:colOff>80737</xdr:colOff>
      <xdr:row>141</xdr:row>
      <xdr:rowOff>56546</xdr:rowOff>
    </xdr:to>
    <xdr:cxnSp macro="">
      <xdr:nvCxnSpPr>
        <xdr:cNvPr id="752" name="Connecteur droit avec flèche 751"/>
        <xdr:cNvCxnSpPr/>
      </xdr:nvCxnSpPr>
      <xdr:spPr>
        <a:xfrm>
          <a:off x="13675028" y="1927905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142</xdr:row>
      <xdr:rowOff>65012</xdr:rowOff>
    </xdr:from>
    <xdr:to>
      <xdr:col>16</xdr:col>
      <xdr:colOff>70155</xdr:colOff>
      <xdr:row>142</xdr:row>
      <xdr:rowOff>67129</xdr:rowOff>
    </xdr:to>
    <xdr:cxnSp macro="">
      <xdr:nvCxnSpPr>
        <xdr:cNvPr id="753" name="Connecteur droit avec flèche 752"/>
        <xdr:cNvCxnSpPr/>
      </xdr:nvCxnSpPr>
      <xdr:spPr>
        <a:xfrm>
          <a:off x="13664446" y="194801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140</xdr:row>
      <xdr:rowOff>65013</xdr:rowOff>
    </xdr:from>
    <xdr:to>
      <xdr:col>16</xdr:col>
      <xdr:colOff>38404</xdr:colOff>
      <xdr:row>140</xdr:row>
      <xdr:rowOff>67130</xdr:rowOff>
    </xdr:to>
    <xdr:cxnSp macro="">
      <xdr:nvCxnSpPr>
        <xdr:cNvPr id="754" name="Connecteur droit avec flèche 753"/>
        <xdr:cNvCxnSpPr/>
      </xdr:nvCxnSpPr>
      <xdr:spPr>
        <a:xfrm>
          <a:off x="13632695" y="1909913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132</xdr:row>
      <xdr:rowOff>54429</xdr:rowOff>
    </xdr:from>
    <xdr:to>
      <xdr:col>16</xdr:col>
      <xdr:colOff>101904</xdr:colOff>
      <xdr:row>133</xdr:row>
      <xdr:rowOff>22680</xdr:rowOff>
    </xdr:to>
    <xdr:cxnSp macro="">
      <xdr:nvCxnSpPr>
        <xdr:cNvPr id="755" name="Connecteur droit avec flèche 754"/>
        <xdr:cNvCxnSpPr/>
      </xdr:nvCxnSpPr>
      <xdr:spPr>
        <a:xfrm flipV="1">
          <a:off x="13685611" y="1756455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134</xdr:row>
      <xdr:rowOff>75596</xdr:rowOff>
    </xdr:from>
    <xdr:to>
      <xdr:col>16</xdr:col>
      <xdr:colOff>144237</xdr:colOff>
      <xdr:row>135</xdr:row>
      <xdr:rowOff>43847</xdr:rowOff>
    </xdr:to>
    <xdr:cxnSp macro="">
      <xdr:nvCxnSpPr>
        <xdr:cNvPr id="756" name="Connecteur droit avec flèche 755"/>
        <xdr:cNvCxnSpPr/>
      </xdr:nvCxnSpPr>
      <xdr:spPr>
        <a:xfrm flipV="1">
          <a:off x="13738529" y="1796672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136</xdr:row>
      <xdr:rowOff>75596</xdr:rowOff>
    </xdr:from>
    <xdr:to>
      <xdr:col>16</xdr:col>
      <xdr:colOff>91320</xdr:colOff>
      <xdr:row>137</xdr:row>
      <xdr:rowOff>43847</xdr:rowOff>
    </xdr:to>
    <xdr:cxnSp macro="">
      <xdr:nvCxnSpPr>
        <xdr:cNvPr id="757" name="Connecteur droit avec flèche 756"/>
        <xdr:cNvCxnSpPr/>
      </xdr:nvCxnSpPr>
      <xdr:spPr>
        <a:xfrm flipV="1">
          <a:off x="13653862" y="1834772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138</xdr:row>
      <xdr:rowOff>75596</xdr:rowOff>
    </xdr:from>
    <xdr:to>
      <xdr:col>16</xdr:col>
      <xdr:colOff>165404</xdr:colOff>
      <xdr:row>139</xdr:row>
      <xdr:rowOff>33264</xdr:rowOff>
    </xdr:to>
    <xdr:cxnSp macro="">
      <xdr:nvCxnSpPr>
        <xdr:cNvPr id="758" name="Connecteur droit avec flèche 757"/>
        <xdr:cNvCxnSpPr/>
      </xdr:nvCxnSpPr>
      <xdr:spPr>
        <a:xfrm flipV="1">
          <a:off x="13706778" y="1872872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132</xdr:row>
      <xdr:rowOff>47625</xdr:rowOff>
    </xdr:from>
    <xdr:to>
      <xdr:col>10</xdr:col>
      <xdr:colOff>1031875</xdr:colOff>
      <xdr:row>142</xdr:row>
      <xdr:rowOff>142875</xdr:rowOff>
    </xdr:to>
    <xdr:sp macro="" textlink="">
      <xdr:nvSpPr>
        <xdr:cNvPr id="759" name="Accolade fermante 758"/>
        <xdr:cNvSpPr/>
      </xdr:nvSpPr>
      <xdr:spPr>
        <a:xfrm>
          <a:off x="10239375" y="19843750"/>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265</xdr:row>
      <xdr:rowOff>33264</xdr:rowOff>
    </xdr:from>
    <xdr:to>
      <xdr:col>14</xdr:col>
      <xdr:colOff>104019</xdr:colOff>
      <xdr:row>267</xdr:row>
      <xdr:rowOff>75596</xdr:rowOff>
    </xdr:to>
    <xdr:cxnSp macro="">
      <xdr:nvCxnSpPr>
        <xdr:cNvPr id="812" name="Connecteur droit avec flèche 811"/>
        <xdr:cNvCxnSpPr/>
      </xdr:nvCxnSpPr>
      <xdr:spPr>
        <a:xfrm flipV="1">
          <a:off x="12103403" y="2001459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267</xdr:row>
      <xdr:rowOff>73481</xdr:rowOff>
    </xdr:from>
    <xdr:to>
      <xdr:col>14</xdr:col>
      <xdr:colOff>17236</xdr:colOff>
      <xdr:row>267</xdr:row>
      <xdr:rowOff>86180</xdr:rowOff>
    </xdr:to>
    <xdr:cxnSp macro="">
      <xdr:nvCxnSpPr>
        <xdr:cNvPr id="817" name="Connecteur droit avec flèche 816"/>
        <xdr:cNvCxnSpPr/>
      </xdr:nvCxnSpPr>
      <xdr:spPr>
        <a:xfrm>
          <a:off x="12061069" y="2043581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269</xdr:row>
      <xdr:rowOff>75596</xdr:rowOff>
    </xdr:from>
    <xdr:to>
      <xdr:col>14</xdr:col>
      <xdr:colOff>17237</xdr:colOff>
      <xdr:row>271</xdr:row>
      <xdr:rowOff>75594</xdr:rowOff>
    </xdr:to>
    <xdr:cxnSp macro="">
      <xdr:nvCxnSpPr>
        <xdr:cNvPr id="818" name="Connecteur droit avec flèche 817"/>
        <xdr:cNvCxnSpPr/>
      </xdr:nvCxnSpPr>
      <xdr:spPr>
        <a:xfrm flipV="1">
          <a:off x="11944654" y="2081892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274</xdr:row>
      <xdr:rowOff>65012</xdr:rowOff>
    </xdr:from>
    <xdr:to>
      <xdr:col>14</xdr:col>
      <xdr:colOff>6654</xdr:colOff>
      <xdr:row>274</xdr:row>
      <xdr:rowOff>75597</xdr:rowOff>
    </xdr:to>
    <xdr:cxnSp macro="">
      <xdr:nvCxnSpPr>
        <xdr:cNvPr id="819" name="Connecteur droit avec flèche 818"/>
        <xdr:cNvCxnSpPr/>
      </xdr:nvCxnSpPr>
      <xdr:spPr>
        <a:xfrm>
          <a:off x="12071654" y="21760845"/>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272</xdr:row>
      <xdr:rowOff>54429</xdr:rowOff>
    </xdr:from>
    <xdr:to>
      <xdr:col>14</xdr:col>
      <xdr:colOff>27821</xdr:colOff>
      <xdr:row>272</xdr:row>
      <xdr:rowOff>65014</xdr:rowOff>
    </xdr:to>
    <xdr:cxnSp macro="">
      <xdr:nvCxnSpPr>
        <xdr:cNvPr id="821" name="Connecteur droit avec flèche 820"/>
        <xdr:cNvCxnSpPr/>
      </xdr:nvCxnSpPr>
      <xdr:spPr>
        <a:xfrm>
          <a:off x="12145738" y="2136926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271</xdr:row>
      <xdr:rowOff>43846</xdr:rowOff>
    </xdr:from>
    <xdr:to>
      <xdr:col>13</xdr:col>
      <xdr:colOff>747487</xdr:colOff>
      <xdr:row>271</xdr:row>
      <xdr:rowOff>65014</xdr:rowOff>
    </xdr:to>
    <xdr:cxnSp macro="">
      <xdr:nvCxnSpPr>
        <xdr:cNvPr id="822" name="Connecteur droit avec flèche 821"/>
        <xdr:cNvCxnSpPr/>
      </xdr:nvCxnSpPr>
      <xdr:spPr>
        <a:xfrm>
          <a:off x="11997571" y="2116817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273</xdr:row>
      <xdr:rowOff>107345</xdr:rowOff>
    </xdr:from>
    <xdr:to>
      <xdr:col>14</xdr:col>
      <xdr:colOff>38404</xdr:colOff>
      <xdr:row>274</xdr:row>
      <xdr:rowOff>65012</xdr:rowOff>
    </xdr:to>
    <xdr:cxnSp macro="">
      <xdr:nvCxnSpPr>
        <xdr:cNvPr id="823" name="Connecteur droit avec flèche 822"/>
        <xdr:cNvCxnSpPr/>
      </xdr:nvCxnSpPr>
      <xdr:spPr>
        <a:xfrm flipV="1">
          <a:off x="12071654" y="21612678"/>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265</xdr:row>
      <xdr:rowOff>33262</xdr:rowOff>
    </xdr:from>
    <xdr:to>
      <xdr:col>16</xdr:col>
      <xdr:colOff>123071</xdr:colOff>
      <xdr:row>265</xdr:row>
      <xdr:rowOff>45962</xdr:rowOff>
    </xdr:to>
    <xdr:cxnSp macro="">
      <xdr:nvCxnSpPr>
        <xdr:cNvPr id="824" name="Connecteur droit avec flèche 823"/>
        <xdr:cNvCxnSpPr/>
      </xdr:nvCxnSpPr>
      <xdr:spPr>
        <a:xfrm>
          <a:off x="13701487" y="20014595"/>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269</xdr:row>
      <xdr:rowOff>65012</xdr:rowOff>
    </xdr:from>
    <xdr:to>
      <xdr:col>16</xdr:col>
      <xdr:colOff>70154</xdr:colOff>
      <xdr:row>269</xdr:row>
      <xdr:rowOff>67129</xdr:rowOff>
    </xdr:to>
    <xdr:cxnSp macro="">
      <xdr:nvCxnSpPr>
        <xdr:cNvPr id="825" name="Connecteur droit avec flèche 824"/>
        <xdr:cNvCxnSpPr/>
      </xdr:nvCxnSpPr>
      <xdr:spPr>
        <a:xfrm>
          <a:off x="13669737" y="2080834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267</xdr:row>
      <xdr:rowOff>65012</xdr:rowOff>
    </xdr:from>
    <xdr:to>
      <xdr:col>16</xdr:col>
      <xdr:colOff>144238</xdr:colOff>
      <xdr:row>267</xdr:row>
      <xdr:rowOff>67129</xdr:rowOff>
    </xdr:to>
    <xdr:cxnSp macro="">
      <xdr:nvCxnSpPr>
        <xdr:cNvPr id="826" name="Connecteur droit avec flèche 825"/>
        <xdr:cNvCxnSpPr/>
      </xdr:nvCxnSpPr>
      <xdr:spPr>
        <a:xfrm>
          <a:off x="13743821" y="2042734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271</xdr:row>
      <xdr:rowOff>54429</xdr:rowOff>
    </xdr:from>
    <xdr:to>
      <xdr:col>16</xdr:col>
      <xdr:colOff>133654</xdr:colOff>
      <xdr:row>271</xdr:row>
      <xdr:rowOff>56546</xdr:rowOff>
    </xdr:to>
    <xdr:cxnSp macro="">
      <xdr:nvCxnSpPr>
        <xdr:cNvPr id="827" name="Connecteur droit avec flèche 826"/>
        <xdr:cNvCxnSpPr/>
      </xdr:nvCxnSpPr>
      <xdr:spPr>
        <a:xfrm>
          <a:off x="13733237" y="21178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273</xdr:row>
      <xdr:rowOff>54429</xdr:rowOff>
    </xdr:from>
    <xdr:to>
      <xdr:col>16</xdr:col>
      <xdr:colOff>80737</xdr:colOff>
      <xdr:row>273</xdr:row>
      <xdr:rowOff>56546</xdr:rowOff>
    </xdr:to>
    <xdr:cxnSp macro="">
      <xdr:nvCxnSpPr>
        <xdr:cNvPr id="828" name="Connecteur droit avec flèche 827"/>
        <xdr:cNvCxnSpPr/>
      </xdr:nvCxnSpPr>
      <xdr:spPr>
        <a:xfrm>
          <a:off x="13680320" y="21559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274</xdr:row>
      <xdr:rowOff>65012</xdr:rowOff>
    </xdr:from>
    <xdr:to>
      <xdr:col>16</xdr:col>
      <xdr:colOff>70155</xdr:colOff>
      <xdr:row>274</xdr:row>
      <xdr:rowOff>67129</xdr:rowOff>
    </xdr:to>
    <xdr:cxnSp macro="">
      <xdr:nvCxnSpPr>
        <xdr:cNvPr id="829" name="Connecteur droit avec flèche 828"/>
        <xdr:cNvCxnSpPr/>
      </xdr:nvCxnSpPr>
      <xdr:spPr>
        <a:xfrm>
          <a:off x="13669738" y="2176084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272</xdr:row>
      <xdr:rowOff>65013</xdr:rowOff>
    </xdr:from>
    <xdr:to>
      <xdr:col>16</xdr:col>
      <xdr:colOff>38404</xdr:colOff>
      <xdr:row>272</xdr:row>
      <xdr:rowOff>67130</xdr:rowOff>
    </xdr:to>
    <xdr:cxnSp macro="">
      <xdr:nvCxnSpPr>
        <xdr:cNvPr id="830" name="Connecteur droit avec flèche 829"/>
        <xdr:cNvCxnSpPr/>
      </xdr:nvCxnSpPr>
      <xdr:spPr>
        <a:xfrm>
          <a:off x="13637987" y="2137984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264</xdr:row>
      <xdr:rowOff>54429</xdr:rowOff>
    </xdr:from>
    <xdr:to>
      <xdr:col>16</xdr:col>
      <xdr:colOff>101904</xdr:colOff>
      <xdr:row>265</xdr:row>
      <xdr:rowOff>22680</xdr:rowOff>
    </xdr:to>
    <xdr:cxnSp macro="">
      <xdr:nvCxnSpPr>
        <xdr:cNvPr id="831" name="Connecteur droit avec flèche 830"/>
        <xdr:cNvCxnSpPr/>
      </xdr:nvCxnSpPr>
      <xdr:spPr>
        <a:xfrm flipV="1">
          <a:off x="13690903" y="19845262"/>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266</xdr:row>
      <xdr:rowOff>75596</xdr:rowOff>
    </xdr:from>
    <xdr:to>
      <xdr:col>16</xdr:col>
      <xdr:colOff>144237</xdr:colOff>
      <xdr:row>267</xdr:row>
      <xdr:rowOff>43847</xdr:rowOff>
    </xdr:to>
    <xdr:cxnSp macro="">
      <xdr:nvCxnSpPr>
        <xdr:cNvPr id="832" name="Connecteur droit avec flèche 831"/>
        <xdr:cNvCxnSpPr/>
      </xdr:nvCxnSpPr>
      <xdr:spPr>
        <a:xfrm flipV="1">
          <a:off x="13743821" y="20247429"/>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268</xdr:row>
      <xdr:rowOff>75596</xdr:rowOff>
    </xdr:from>
    <xdr:to>
      <xdr:col>16</xdr:col>
      <xdr:colOff>91320</xdr:colOff>
      <xdr:row>269</xdr:row>
      <xdr:rowOff>43847</xdr:rowOff>
    </xdr:to>
    <xdr:cxnSp macro="">
      <xdr:nvCxnSpPr>
        <xdr:cNvPr id="833" name="Connecteur droit avec flèche 832"/>
        <xdr:cNvCxnSpPr/>
      </xdr:nvCxnSpPr>
      <xdr:spPr>
        <a:xfrm flipV="1">
          <a:off x="13659154" y="20628429"/>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270</xdr:row>
      <xdr:rowOff>75596</xdr:rowOff>
    </xdr:from>
    <xdr:to>
      <xdr:col>16</xdr:col>
      <xdr:colOff>165404</xdr:colOff>
      <xdr:row>271</xdr:row>
      <xdr:rowOff>33264</xdr:rowOff>
    </xdr:to>
    <xdr:cxnSp macro="">
      <xdr:nvCxnSpPr>
        <xdr:cNvPr id="834" name="Connecteur droit avec flèche 833"/>
        <xdr:cNvCxnSpPr/>
      </xdr:nvCxnSpPr>
      <xdr:spPr>
        <a:xfrm flipV="1">
          <a:off x="13712070" y="21009429"/>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264</xdr:row>
      <xdr:rowOff>47625</xdr:rowOff>
    </xdr:from>
    <xdr:to>
      <xdr:col>10</xdr:col>
      <xdr:colOff>1031875</xdr:colOff>
      <xdr:row>274</xdr:row>
      <xdr:rowOff>142875</xdr:rowOff>
    </xdr:to>
    <xdr:sp macro="" textlink="">
      <xdr:nvSpPr>
        <xdr:cNvPr id="835" name="Accolade fermante 834"/>
        <xdr:cNvSpPr/>
      </xdr:nvSpPr>
      <xdr:spPr>
        <a:xfrm>
          <a:off x="10244667" y="19838458"/>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384</xdr:row>
      <xdr:rowOff>103911</xdr:rowOff>
    </xdr:from>
    <xdr:to>
      <xdr:col>11</xdr:col>
      <xdr:colOff>714375</xdr:colOff>
      <xdr:row>384</xdr:row>
      <xdr:rowOff>114300</xdr:rowOff>
    </xdr:to>
    <xdr:cxnSp macro="">
      <xdr:nvCxnSpPr>
        <xdr:cNvPr id="836" name="Connecteur droit avec flèche 835"/>
        <xdr:cNvCxnSpPr/>
      </xdr:nvCxnSpPr>
      <xdr:spPr>
        <a:xfrm>
          <a:off x="10446712" y="49231744"/>
          <a:ext cx="9250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384</xdr:row>
      <xdr:rowOff>114300</xdr:rowOff>
    </xdr:from>
    <xdr:to>
      <xdr:col>12</xdr:col>
      <xdr:colOff>348344</xdr:colOff>
      <xdr:row>384</xdr:row>
      <xdr:rowOff>122464</xdr:rowOff>
    </xdr:to>
    <xdr:cxnSp macro="">
      <xdr:nvCxnSpPr>
        <xdr:cNvPr id="837" name="Connecteur droit avec flèche 836"/>
        <xdr:cNvCxnSpPr/>
      </xdr:nvCxnSpPr>
      <xdr:spPr>
        <a:xfrm>
          <a:off x="10539489" y="49242133"/>
          <a:ext cx="12282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379</xdr:row>
      <xdr:rowOff>72573</xdr:rowOff>
    </xdr:from>
    <xdr:to>
      <xdr:col>12</xdr:col>
      <xdr:colOff>429079</xdr:colOff>
      <xdr:row>384</xdr:row>
      <xdr:rowOff>108857</xdr:rowOff>
    </xdr:to>
    <xdr:cxnSp macro="">
      <xdr:nvCxnSpPr>
        <xdr:cNvPr id="838" name="Connecteur droit avec flèche 837"/>
        <xdr:cNvCxnSpPr/>
      </xdr:nvCxnSpPr>
      <xdr:spPr>
        <a:xfrm flipV="1">
          <a:off x="10588475" y="48247906"/>
          <a:ext cx="12600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383</xdr:row>
      <xdr:rowOff>27215</xdr:rowOff>
    </xdr:from>
    <xdr:to>
      <xdr:col>12</xdr:col>
      <xdr:colOff>286960</xdr:colOff>
      <xdr:row>384</xdr:row>
      <xdr:rowOff>108857</xdr:rowOff>
    </xdr:to>
    <xdr:cxnSp macro="">
      <xdr:nvCxnSpPr>
        <xdr:cNvPr id="839" name="Connecteur droit avec flèche 838"/>
        <xdr:cNvCxnSpPr/>
      </xdr:nvCxnSpPr>
      <xdr:spPr>
        <a:xfrm flipV="1">
          <a:off x="10574868" y="48964548"/>
          <a:ext cx="11315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377</xdr:row>
      <xdr:rowOff>19657</xdr:rowOff>
    </xdr:from>
    <xdr:to>
      <xdr:col>14</xdr:col>
      <xdr:colOff>261862</xdr:colOff>
      <xdr:row>379</xdr:row>
      <xdr:rowOff>61989</xdr:rowOff>
    </xdr:to>
    <xdr:cxnSp macro="">
      <xdr:nvCxnSpPr>
        <xdr:cNvPr id="840" name="Connecteur droit avec flèche 839"/>
        <xdr:cNvCxnSpPr/>
      </xdr:nvCxnSpPr>
      <xdr:spPr>
        <a:xfrm flipV="1">
          <a:off x="12261246" y="4781399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379</xdr:row>
      <xdr:rowOff>59874</xdr:rowOff>
    </xdr:from>
    <xdr:to>
      <xdr:col>14</xdr:col>
      <xdr:colOff>175079</xdr:colOff>
      <xdr:row>379</xdr:row>
      <xdr:rowOff>72573</xdr:rowOff>
    </xdr:to>
    <xdr:cxnSp macro="">
      <xdr:nvCxnSpPr>
        <xdr:cNvPr id="841" name="Connecteur droit avec flèche 840"/>
        <xdr:cNvCxnSpPr/>
      </xdr:nvCxnSpPr>
      <xdr:spPr>
        <a:xfrm>
          <a:off x="12218912" y="4823520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381</xdr:row>
      <xdr:rowOff>61989</xdr:rowOff>
    </xdr:from>
    <xdr:to>
      <xdr:col>14</xdr:col>
      <xdr:colOff>175080</xdr:colOff>
      <xdr:row>383</xdr:row>
      <xdr:rowOff>61987</xdr:rowOff>
    </xdr:to>
    <xdr:cxnSp macro="">
      <xdr:nvCxnSpPr>
        <xdr:cNvPr id="842" name="Connecteur droit avec flèche 841"/>
        <xdr:cNvCxnSpPr/>
      </xdr:nvCxnSpPr>
      <xdr:spPr>
        <a:xfrm flipV="1">
          <a:off x="12102497" y="4861832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384</xdr:row>
      <xdr:rowOff>93738</xdr:rowOff>
    </xdr:from>
    <xdr:to>
      <xdr:col>14</xdr:col>
      <xdr:colOff>26914</xdr:colOff>
      <xdr:row>384</xdr:row>
      <xdr:rowOff>104323</xdr:rowOff>
    </xdr:to>
    <xdr:cxnSp macro="">
      <xdr:nvCxnSpPr>
        <xdr:cNvPr id="843" name="Connecteur droit avec flèche 842"/>
        <xdr:cNvCxnSpPr/>
      </xdr:nvCxnSpPr>
      <xdr:spPr>
        <a:xfrm>
          <a:off x="12144831" y="49221571"/>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383</xdr:row>
      <xdr:rowOff>30239</xdr:rowOff>
    </xdr:from>
    <xdr:to>
      <xdr:col>14</xdr:col>
      <xdr:colOff>143330</xdr:colOff>
      <xdr:row>383</xdr:row>
      <xdr:rowOff>51407</xdr:rowOff>
    </xdr:to>
    <xdr:cxnSp macro="">
      <xdr:nvCxnSpPr>
        <xdr:cNvPr id="844" name="Connecteur droit avec flèche 843"/>
        <xdr:cNvCxnSpPr/>
      </xdr:nvCxnSpPr>
      <xdr:spPr>
        <a:xfrm>
          <a:off x="12155414" y="4896757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377</xdr:row>
      <xdr:rowOff>101298</xdr:rowOff>
    </xdr:from>
    <xdr:to>
      <xdr:col>16</xdr:col>
      <xdr:colOff>267307</xdr:colOff>
      <xdr:row>377</xdr:row>
      <xdr:rowOff>113998</xdr:rowOff>
    </xdr:to>
    <xdr:cxnSp macro="">
      <xdr:nvCxnSpPr>
        <xdr:cNvPr id="845" name="Connecteur droit avec flèche 844"/>
        <xdr:cNvCxnSpPr/>
      </xdr:nvCxnSpPr>
      <xdr:spPr>
        <a:xfrm>
          <a:off x="13845723" y="4789563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381</xdr:row>
      <xdr:rowOff>133048</xdr:rowOff>
    </xdr:from>
    <xdr:to>
      <xdr:col>16</xdr:col>
      <xdr:colOff>214390</xdr:colOff>
      <xdr:row>381</xdr:row>
      <xdr:rowOff>135165</xdr:rowOff>
    </xdr:to>
    <xdr:cxnSp macro="">
      <xdr:nvCxnSpPr>
        <xdr:cNvPr id="846" name="Connecteur droit avec flèche 845"/>
        <xdr:cNvCxnSpPr/>
      </xdr:nvCxnSpPr>
      <xdr:spPr>
        <a:xfrm>
          <a:off x="13813973" y="4868938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379</xdr:row>
      <xdr:rowOff>133048</xdr:rowOff>
    </xdr:from>
    <xdr:to>
      <xdr:col>16</xdr:col>
      <xdr:colOff>288474</xdr:colOff>
      <xdr:row>379</xdr:row>
      <xdr:rowOff>135165</xdr:rowOff>
    </xdr:to>
    <xdr:cxnSp macro="">
      <xdr:nvCxnSpPr>
        <xdr:cNvPr id="847" name="Connecteur droit avec flèche 846"/>
        <xdr:cNvCxnSpPr/>
      </xdr:nvCxnSpPr>
      <xdr:spPr>
        <a:xfrm>
          <a:off x="13888057" y="4830838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383</xdr:row>
      <xdr:rowOff>122465</xdr:rowOff>
    </xdr:from>
    <xdr:to>
      <xdr:col>16</xdr:col>
      <xdr:colOff>277890</xdr:colOff>
      <xdr:row>383</xdr:row>
      <xdr:rowOff>124582</xdr:rowOff>
    </xdr:to>
    <xdr:cxnSp macro="">
      <xdr:nvCxnSpPr>
        <xdr:cNvPr id="848" name="Connecteur droit avec flèche 847"/>
        <xdr:cNvCxnSpPr/>
      </xdr:nvCxnSpPr>
      <xdr:spPr>
        <a:xfrm>
          <a:off x="13877473" y="490597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384</xdr:row>
      <xdr:rowOff>133049</xdr:rowOff>
    </xdr:from>
    <xdr:to>
      <xdr:col>16</xdr:col>
      <xdr:colOff>182640</xdr:colOff>
      <xdr:row>384</xdr:row>
      <xdr:rowOff>135166</xdr:rowOff>
    </xdr:to>
    <xdr:cxnSp macro="">
      <xdr:nvCxnSpPr>
        <xdr:cNvPr id="849" name="Connecteur droit avec flèche 848"/>
        <xdr:cNvCxnSpPr/>
      </xdr:nvCxnSpPr>
      <xdr:spPr>
        <a:xfrm>
          <a:off x="13782223" y="4926088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376</xdr:row>
      <xdr:rowOff>122465</xdr:rowOff>
    </xdr:from>
    <xdr:to>
      <xdr:col>16</xdr:col>
      <xdr:colOff>246140</xdr:colOff>
      <xdr:row>377</xdr:row>
      <xdr:rowOff>90716</xdr:rowOff>
    </xdr:to>
    <xdr:cxnSp macro="">
      <xdr:nvCxnSpPr>
        <xdr:cNvPr id="850" name="Connecteur droit avec flèche 849"/>
        <xdr:cNvCxnSpPr/>
      </xdr:nvCxnSpPr>
      <xdr:spPr>
        <a:xfrm flipV="1">
          <a:off x="13835139" y="47726298"/>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378</xdr:row>
      <xdr:rowOff>143632</xdr:rowOff>
    </xdr:from>
    <xdr:to>
      <xdr:col>16</xdr:col>
      <xdr:colOff>288473</xdr:colOff>
      <xdr:row>379</xdr:row>
      <xdr:rowOff>111883</xdr:rowOff>
    </xdr:to>
    <xdr:cxnSp macro="">
      <xdr:nvCxnSpPr>
        <xdr:cNvPr id="851" name="Connecteur droit avec flèche 850"/>
        <xdr:cNvCxnSpPr/>
      </xdr:nvCxnSpPr>
      <xdr:spPr>
        <a:xfrm flipV="1">
          <a:off x="13888057" y="48128465"/>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380</xdr:row>
      <xdr:rowOff>143632</xdr:rowOff>
    </xdr:from>
    <xdr:to>
      <xdr:col>16</xdr:col>
      <xdr:colOff>235556</xdr:colOff>
      <xdr:row>381</xdr:row>
      <xdr:rowOff>111883</xdr:rowOff>
    </xdr:to>
    <xdr:cxnSp macro="">
      <xdr:nvCxnSpPr>
        <xdr:cNvPr id="852" name="Connecteur droit avec flèche 851"/>
        <xdr:cNvCxnSpPr/>
      </xdr:nvCxnSpPr>
      <xdr:spPr>
        <a:xfrm flipV="1">
          <a:off x="13803390" y="48509465"/>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382</xdr:row>
      <xdr:rowOff>122464</xdr:rowOff>
    </xdr:from>
    <xdr:to>
      <xdr:col>16</xdr:col>
      <xdr:colOff>176893</xdr:colOff>
      <xdr:row>383</xdr:row>
      <xdr:rowOff>101300</xdr:rowOff>
    </xdr:to>
    <xdr:cxnSp macro="">
      <xdr:nvCxnSpPr>
        <xdr:cNvPr id="853" name="Connecteur droit avec flèche 852"/>
        <xdr:cNvCxnSpPr/>
      </xdr:nvCxnSpPr>
      <xdr:spPr>
        <a:xfrm flipV="1">
          <a:off x="13856306" y="48869297"/>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376</xdr:row>
      <xdr:rowOff>5292</xdr:rowOff>
    </xdr:from>
    <xdr:to>
      <xdr:col>10</xdr:col>
      <xdr:colOff>963084</xdr:colOff>
      <xdr:row>384</xdr:row>
      <xdr:rowOff>158751</xdr:rowOff>
    </xdr:to>
    <xdr:sp macro="" textlink="">
      <xdr:nvSpPr>
        <xdr:cNvPr id="854" name="Accolade fermante 853"/>
        <xdr:cNvSpPr/>
      </xdr:nvSpPr>
      <xdr:spPr>
        <a:xfrm>
          <a:off x="10202335" y="495141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1209675</xdr:colOff>
      <xdr:row>494</xdr:row>
      <xdr:rowOff>114300</xdr:rowOff>
    </xdr:from>
    <xdr:to>
      <xdr:col>12</xdr:col>
      <xdr:colOff>0</xdr:colOff>
      <xdr:row>494</xdr:row>
      <xdr:rowOff>114300</xdr:rowOff>
    </xdr:to>
    <xdr:cxnSp macro="">
      <xdr:nvCxnSpPr>
        <xdr:cNvPr id="855" name="Connecteur droit avec flèche 854"/>
        <xdr:cNvCxnSpPr/>
      </xdr:nvCxnSpPr>
      <xdr:spPr>
        <a:xfrm>
          <a:off x="10565342" y="62577133"/>
          <a:ext cx="85407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489</xdr:row>
      <xdr:rowOff>58965</xdr:rowOff>
    </xdr:from>
    <xdr:to>
      <xdr:col>12</xdr:col>
      <xdr:colOff>238578</xdr:colOff>
      <xdr:row>494</xdr:row>
      <xdr:rowOff>95249</xdr:rowOff>
    </xdr:to>
    <xdr:cxnSp macro="">
      <xdr:nvCxnSpPr>
        <xdr:cNvPr id="857" name="Connecteur droit avec flèche 856"/>
        <xdr:cNvCxnSpPr/>
      </xdr:nvCxnSpPr>
      <xdr:spPr>
        <a:xfrm flipV="1">
          <a:off x="10397974" y="61569298"/>
          <a:ext cx="12600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493</xdr:row>
      <xdr:rowOff>13607</xdr:rowOff>
    </xdr:from>
    <xdr:to>
      <xdr:col>12</xdr:col>
      <xdr:colOff>96459</xdr:colOff>
      <xdr:row>494</xdr:row>
      <xdr:rowOff>95249</xdr:rowOff>
    </xdr:to>
    <xdr:cxnSp macro="">
      <xdr:nvCxnSpPr>
        <xdr:cNvPr id="858" name="Connecteur droit avec flèche 857"/>
        <xdr:cNvCxnSpPr/>
      </xdr:nvCxnSpPr>
      <xdr:spPr>
        <a:xfrm flipV="1">
          <a:off x="10384367" y="62285940"/>
          <a:ext cx="11315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487</xdr:row>
      <xdr:rowOff>6049</xdr:rowOff>
    </xdr:from>
    <xdr:to>
      <xdr:col>14</xdr:col>
      <xdr:colOff>71361</xdr:colOff>
      <xdr:row>489</xdr:row>
      <xdr:rowOff>48381</xdr:rowOff>
    </xdr:to>
    <xdr:cxnSp macro="">
      <xdr:nvCxnSpPr>
        <xdr:cNvPr id="859" name="Connecteur droit avec flèche 858"/>
        <xdr:cNvCxnSpPr/>
      </xdr:nvCxnSpPr>
      <xdr:spPr>
        <a:xfrm flipV="1">
          <a:off x="12070745" y="6113538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489</xdr:row>
      <xdr:rowOff>46266</xdr:rowOff>
    </xdr:from>
    <xdr:to>
      <xdr:col>13</xdr:col>
      <xdr:colOff>746578</xdr:colOff>
      <xdr:row>489</xdr:row>
      <xdr:rowOff>58965</xdr:rowOff>
    </xdr:to>
    <xdr:cxnSp macro="">
      <xdr:nvCxnSpPr>
        <xdr:cNvPr id="860" name="Connecteur droit avec flèche 859"/>
        <xdr:cNvCxnSpPr/>
      </xdr:nvCxnSpPr>
      <xdr:spPr>
        <a:xfrm>
          <a:off x="12028411" y="6155659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491</xdr:row>
      <xdr:rowOff>48381</xdr:rowOff>
    </xdr:from>
    <xdr:to>
      <xdr:col>13</xdr:col>
      <xdr:colOff>746579</xdr:colOff>
      <xdr:row>493</xdr:row>
      <xdr:rowOff>48379</xdr:rowOff>
    </xdr:to>
    <xdr:cxnSp macro="">
      <xdr:nvCxnSpPr>
        <xdr:cNvPr id="861" name="Connecteur droit avec flèche 860"/>
        <xdr:cNvCxnSpPr/>
      </xdr:nvCxnSpPr>
      <xdr:spPr>
        <a:xfrm flipV="1">
          <a:off x="11911996" y="6193971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494</xdr:row>
      <xdr:rowOff>81642</xdr:rowOff>
    </xdr:from>
    <xdr:to>
      <xdr:col>13</xdr:col>
      <xdr:colOff>757163</xdr:colOff>
      <xdr:row>494</xdr:row>
      <xdr:rowOff>92227</xdr:rowOff>
    </xdr:to>
    <xdr:cxnSp macro="">
      <xdr:nvCxnSpPr>
        <xdr:cNvPr id="862" name="Connecteur droit avec flèche 861"/>
        <xdr:cNvCxnSpPr/>
      </xdr:nvCxnSpPr>
      <xdr:spPr>
        <a:xfrm>
          <a:off x="12113080" y="6254447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493</xdr:row>
      <xdr:rowOff>16631</xdr:rowOff>
    </xdr:from>
    <xdr:to>
      <xdr:col>13</xdr:col>
      <xdr:colOff>714829</xdr:colOff>
      <xdr:row>493</xdr:row>
      <xdr:rowOff>37799</xdr:rowOff>
    </xdr:to>
    <xdr:cxnSp macro="">
      <xdr:nvCxnSpPr>
        <xdr:cNvPr id="863" name="Connecteur droit avec flèche 862"/>
        <xdr:cNvCxnSpPr/>
      </xdr:nvCxnSpPr>
      <xdr:spPr>
        <a:xfrm>
          <a:off x="11964913" y="6228896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487</xdr:row>
      <xdr:rowOff>87690</xdr:rowOff>
    </xdr:from>
    <xdr:to>
      <xdr:col>16</xdr:col>
      <xdr:colOff>76806</xdr:colOff>
      <xdr:row>487</xdr:row>
      <xdr:rowOff>100390</xdr:rowOff>
    </xdr:to>
    <xdr:cxnSp macro="">
      <xdr:nvCxnSpPr>
        <xdr:cNvPr id="864" name="Connecteur droit avec flèche 863"/>
        <xdr:cNvCxnSpPr/>
      </xdr:nvCxnSpPr>
      <xdr:spPr>
        <a:xfrm>
          <a:off x="13655222" y="6121702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491</xdr:row>
      <xdr:rowOff>119440</xdr:rowOff>
    </xdr:from>
    <xdr:to>
      <xdr:col>16</xdr:col>
      <xdr:colOff>23889</xdr:colOff>
      <xdr:row>491</xdr:row>
      <xdr:rowOff>121557</xdr:rowOff>
    </xdr:to>
    <xdr:cxnSp macro="">
      <xdr:nvCxnSpPr>
        <xdr:cNvPr id="865" name="Connecteur droit avec flèche 864"/>
        <xdr:cNvCxnSpPr/>
      </xdr:nvCxnSpPr>
      <xdr:spPr>
        <a:xfrm>
          <a:off x="13623472" y="6201077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489</xdr:row>
      <xdr:rowOff>119440</xdr:rowOff>
    </xdr:from>
    <xdr:to>
      <xdr:col>16</xdr:col>
      <xdr:colOff>97973</xdr:colOff>
      <xdr:row>489</xdr:row>
      <xdr:rowOff>121557</xdr:rowOff>
    </xdr:to>
    <xdr:cxnSp macro="">
      <xdr:nvCxnSpPr>
        <xdr:cNvPr id="866" name="Connecteur droit avec flèche 865"/>
        <xdr:cNvCxnSpPr/>
      </xdr:nvCxnSpPr>
      <xdr:spPr>
        <a:xfrm>
          <a:off x="13697556" y="6162977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493</xdr:row>
      <xdr:rowOff>108857</xdr:rowOff>
    </xdr:from>
    <xdr:to>
      <xdr:col>16</xdr:col>
      <xdr:colOff>87389</xdr:colOff>
      <xdr:row>493</xdr:row>
      <xdr:rowOff>110974</xdr:rowOff>
    </xdr:to>
    <xdr:cxnSp macro="">
      <xdr:nvCxnSpPr>
        <xdr:cNvPr id="867" name="Connecteur droit avec flèche 866"/>
        <xdr:cNvCxnSpPr/>
      </xdr:nvCxnSpPr>
      <xdr:spPr>
        <a:xfrm>
          <a:off x="13686972" y="6238119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494</xdr:row>
      <xdr:rowOff>119441</xdr:rowOff>
    </xdr:from>
    <xdr:to>
      <xdr:col>15</xdr:col>
      <xdr:colOff>754139</xdr:colOff>
      <xdr:row>494</xdr:row>
      <xdr:rowOff>121558</xdr:rowOff>
    </xdr:to>
    <xdr:cxnSp macro="">
      <xdr:nvCxnSpPr>
        <xdr:cNvPr id="868" name="Connecteur droit avec flèche 867"/>
        <xdr:cNvCxnSpPr/>
      </xdr:nvCxnSpPr>
      <xdr:spPr>
        <a:xfrm>
          <a:off x="13591722" y="6258227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486</xdr:row>
      <xdr:rowOff>108857</xdr:rowOff>
    </xdr:from>
    <xdr:to>
      <xdr:col>16</xdr:col>
      <xdr:colOff>55639</xdr:colOff>
      <xdr:row>487</xdr:row>
      <xdr:rowOff>77108</xdr:rowOff>
    </xdr:to>
    <xdr:cxnSp macro="">
      <xdr:nvCxnSpPr>
        <xdr:cNvPr id="869" name="Connecteur droit avec flèche 868"/>
        <xdr:cNvCxnSpPr/>
      </xdr:nvCxnSpPr>
      <xdr:spPr>
        <a:xfrm flipV="1">
          <a:off x="13644638" y="6104769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488</xdr:row>
      <xdr:rowOff>130024</xdr:rowOff>
    </xdr:from>
    <xdr:to>
      <xdr:col>16</xdr:col>
      <xdr:colOff>97972</xdr:colOff>
      <xdr:row>489</xdr:row>
      <xdr:rowOff>98275</xdr:rowOff>
    </xdr:to>
    <xdr:cxnSp macro="">
      <xdr:nvCxnSpPr>
        <xdr:cNvPr id="870" name="Connecteur droit avec flèche 869"/>
        <xdr:cNvCxnSpPr/>
      </xdr:nvCxnSpPr>
      <xdr:spPr>
        <a:xfrm flipV="1">
          <a:off x="13697556" y="6144985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490</xdr:row>
      <xdr:rowOff>130024</xdr:rowOff>
    </xdr:from>
    <xdr:to>
      <xdr:col>16</xdr:col>
      <xdr:colOff>45055</xdr:colOff>
      <xdr:row>491</xdr:row>
      <xdr:rowOff>98275</xdr:rowOff>
    </xdr:to>
    <xdr:cxnSp macro="">
      <xdr:nvCxnSpPr>
        <xdr:cNvPr id="871" name="Connecteur droit avec flèche 870"/>
        <xdr:cNvCxnSpPr/>
      </xdr:nvCxnSpPr>
      <xdr:spPr>
        <a:xfrm flipV="1">
          <a:off x="13612889" y="6183085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492</xdr:row>
      <xdr:rowOff>130024</xdr:rowOff>
    </xdr:from>
    <xdr:to>
      <xdr:col>16</xdr:col>
      <xdr:colOff>119139</xdr:colOff>
      <xdr:row>493</xdr:row>
      <xdr:rowOff>87692</xdr:rowOff>
    </xdr:to>
    <xdr:cxnSp macro="">
      <xdr:nvCxnSpPr>
        <xdr:cNvPr id="872" name="Connecteur droit avec flèche 871"/>
        <xdr:cNvCxnSpPr/>
      </xdr:nvCxnSpPr>
      <xdr:spPr>
        <a:xfrm flipV="1">
          <a:off x="13665805" y="6221185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494</xdr:row>
      <xdr:rowOff>103911</xdr:rowOff>
    </xdr:from>
    <xdr:to>
      <xdr:col>12</xdr:col>
      <xdr:colOff>158750</xdr:colOff>
      <xdr:row>494</xdr:row>
      <xdr:rowOff>105834</xdr:rowOff>
    </xdr:to>
    <xdr:cxnSp macro="">
      <xdr:nvCxnSpPr>
        <xdr:cNvPr id="873" name="Connecteur droit avec flèche 872"/>
        <xdr:cNvCxnSpPr/>
      </xdr:nvCxnSpPr>
      <xdr:spPr>
        <a:xfrm>
          <a:off x="10446712" y="64471744"/>
          <a:ext cx="1131455" cy="192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486</xdr:row>
      <xdr:rowOff>47625</xdr:rowOff>
    </xdr:from>
    <xdr:to>
      <xdr:col>10</xdr:col>
      <xdr:colOff>931334</xdr:colOff>
      <xdr:row>495</xdr:row>
      <xdr:rowOff>10584</xdr:rowOff>
    </xdr:to>
    <xdr:sp macro="" textlink="">
      <xdr:nvSpPr>
        <xdr:cNvPr id="874" name="Accolade fermante 873"/>
        <xdr:cNvSpPr/>
      </xdr:nvSpPr>
      <xdr:spPr>
        <a:xfrm>
          <a:off x="10170585" y="62891458"/>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121</xdr:row>
      <xdr:rowOff>33264</xdr:rowOff>
    </xdr:from>
    <xdr:to>
      <xdr:col>14</xdr:col>
      <xdr:colOff>104019</xdr:colOff>
      <xdr:row>123</xdr:row>
      <xdr:rowOff>75596</xdr:rowOff>
    </xdr:to>
    <xdr:cxnSp macro="">
      <xdr:nvCxnSpPr>
        <xdr:cNvPr id="876" name="Connecteur droit avec flèche 875"/>
        <xdr:cNvCxnSpPr/>
      </xdr:nvCxnSpPr>
      <xdr:spPr>
        <a:xfrm flipV="1">
          <a:off x="12133036" y="27274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123</xdr:row>
      <xdr:rowOff>73481</xdr:rowOff>
    </xdr:from>
    <xdr:to>
      <xdr:col>14</xdr:col>
      <xdr:colOff>17236</xdr:colOff>
      <xdr:row>123</xdr:row>
      <xdr:rowOff>86180</xdr:rowOff>
    </xdr:to>
    <xdr:cxnSp macro="">
      <xdr:nvCxnSpPr>
        <xdr:cNvPr id="877" name="Connecteur droit avec flèche 876"/>
        <xdr:cNvCxnSpPr/>
      </xdr:nvCxnSpPr>
      <xdr:spPr>
        <a:xfrm>
          <a:off x="12090702" y="27695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125</xdr:row>
      <xdr:rowOff>75596</xdr:rowOff>
    </xdr:from>
    <xdr:to>
      <xdr:col>14</xdr:col>
      <xdr:colOff>17237</xdr:colOff>
      <xdr:row>127</xdr:row>
      <xdr:rowOff>75594</xdr:rowOff>
    </xdr:to>
    <xdr:cxnSp macro="">
      <xdr:nvCxnSpPr>
        <xdr:cNvPr id="878" name="Connecteur droit avec flèche 877"/>
        <xdr:cNvCxnSpPr/>
      </xdr:nvCxnSpPr>
      <xdr:spPr>
        <a:xfrm flipV="1">
          <a:off x="11974287" y="28079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130</xdr:row>
      <xdr:rowOff>65012</xdr:rowOff>
    </xdr:from>
    <xdr:to>
      <xdr:col>14</xdr:col>
      <xdr:colOff>6654</xdr:colOff>
      <xdr:row>130</xdr:row>
      <xdr:rowOff>75597</xdr:rowOff>
    </xdr:to>
    <xdr:cxnSp macro="">
      <xdr:nvCxnSpPr>
        <xdr:cNvPr id="879" name="Connecteur droit avec flèche 878"/>
        <xdr:cNvCxnSpPr/>
      </xdr:nvCxnSpPr>
      <xdr:spPr>
        <a:xfrm>
          <a:off x="12101287" y="29021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128</xdr:row>
      <xdr:rowOff>54429</xdr:rowOff>
    </xdr:from>
    <xdr:to>
      <xdr:col>14</xdr:col>
      <xdr:colOff>27821</xdr:colOff>
      <xdr:row>128</xdr:row>
      <xdr:rowOff>65014</xdr:rowOff>
    </xdr:to>
    <xdr:cxnSp macro="">
      <xdr:nvCxnSpPr>
        <xdr:cNvPr id="880" name="Connecteur droit avec flèche 879"/>
        <xdr:cNvCxnSpPr/>
      </xdr:nvCxnSpPr>
      <xdr:spPr>
        <a:xfrm>
          <a:off x="12175371" y="28629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127</xdr:row>
      <xdr:rowOff>43846</xdr:rowOff>
    </xdr:from>
    <xdr:to>
      <xdr:col>13</xdr:col>
      <xdr:colOff>747487</xdr:colOff>
      <xdr:row>127</xdr:row>
      <xdr:rowOff>65014</xdr:rowOff>
    </xdr:to>
    <xdr:cxnSp macro="">
      <xdr:nvCxnSpPr>
        <xdr:cNvPr id="881" name="Connecteur droit avec flèche 880"/>
        <xdr:cNvCxnSpPr/>
      </xdr:nvCxnSpPr>
      <xdr:spPr>
        <a:xfrm>
          <a:off x="12027204" y="28428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129</xdr:row>
      <xdr:rowOff>107345</xdr:rowOff>
    </xdr:from>
    <xdr:to>
      <xdr:col>14</xdr:col>
      <xdr:colOff>38404</xdr:colOff>
      <xdr:row>130</xdr:row>
      <xdr:rowOff>65012</xdr:rowOff>
    </xdr:to>
    <xdr:cxnSp macro="">
      <xdr:nvCxnSpPr>
        <xdr:cNvPr id="882" name="Connecteur droit avec flèche 881"/>
        <xdr:cNvCxnSpPr/>
      </xdr:nvCxnSpPr>
      <xdr:spPr>
        <a:xfrm flipV="1">
          <a:off x="12101287" y="28872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121</xdr:row>
      <xdr:rowOff>33262</xdr:rowOff>
    </xdr:from>
    <xdr:to>
      <xdr:col>16</xdr:col>
      <xdr:colOff>123071</xdr:colOff>
      <xdr:row>121</xdr:row>
      <xdr:rowOff>45962</xdr:rowOff>
    </xdr:to>
    <xdr:cxnSp macro="">
      <xdr:nvCxnSpPr>
        <xdr:cNvPr id="883" name="Connecteur droit avec flèche 882"/>
        <xdr:cNvCxnSpPr/>
      </xdr:nvCxnSpPr>
      <xdr:spPr>
        <a:xfrm>
          <a:off x="13731120" y="27274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125</xdr:row>
      <xdr:rowOff>65012</xdr:rowOff>
    </xdr:from>
    <xdr:to>
      <xdr:col>16</xdr:col>
      <xdr:colOff>70154</xdr:colOff>
      <xdr:row>125</xdr:row>
      <xdr:rowOff>67129</xdr:rowOff>
    </xdr:to>
    <xdr:cxnSp macro="">
      <xdr:nvCxnSpPr>
        <xdr:cNvPr id="884" name="Connecteur droit avec flèche 883"/>
        <xdr:cNvCxnSpPr/>
      </xdr:nvCxnSpPr>
      <xdr:spPr>
        <a:xfrm>
          <a:off x="13699370" y="28068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123</xdr:row>
      <xdr:rowOff>65012</xdr:rowOff>
    </xdr:from>
    <xdr:to>
      <xdr:col>16</xdr:col>
      <xdr:colOff>144238</xdr:colOff>
      <xdr:row>123</xdr:row>
      <xdr:rowOff>67129</xdr:rowOff>
    </xdr:to>
    <xdr:cxnSp macro="">
      <xdr:nvCxnSpPr>
        <xdr:cNvPr id="885" name="Connecteur droit avec flèche 884"/>
        <xdr:cNvCxnSpPr/>
      </xdr:nvCxnSpPr>
      <xdr:spPr>
        <a:xfrm>
          <a:off x="13773454" y="27687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127</xdr:row>
      <xdr:rowOff>54429</xdr:rowOff>
    </xdr:from>
    <xdr:to>
      <xdr:col>16</xdr:col>
      <xdr:colOff>133654</xdr:colOff>
      <xdr:row>127</xdr:row>
      <xdr:rowOff>56546</xdr:rowOff>
    </xdr:to>
    <xdr:cxnSp macro="">
      <xdr:nvCxnSpPr>
        <xdr:cNvPr id="886" name="Connecteur droit avec flèche 885"/>
        <xdr:cNvCxnSpPr/>
      </xdr:nvCxnSpPr>
      <xdr:spPr>
        <a:xfrm>
          <a:off x="13762870" y="28438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129</xdr:row>
      <xdr:rowOff>54429</xdr:rowOff>
    </xdr:from>
    <xdr:to>
      <xdr:col>16</xdr:col>
      <xdr:colOff>80737</xdr:colOff>
      <xdr:row>129</xdr:row>
      <xdr:rowOff>56546</xdr:rowOff>
    </xdr:to>
    <xdr:cxnSp macro="">
      <xdr:nvCxnSpPr>
        <xdr:cNvPr id="887" name="Connecteur droit avec flèche 886"/>
        <xdr:cNvCxnSpPr/>
      </xdr:nvCxnSpPr>
      <xdr:spPr>
        <a:xfrm>
          <a:off x="13709953" y="28819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130</xdr:row>
      <xdr:rowOff>65012</xdr:rowOff>
    </xdr:from>
    <xdr:to>
      <xdr:col>16</xdr:col>
      <xdr:colOff>70155</xdr:colOff>
      <xdr:row>130</xdr:row>
      <xdr:rowOff>67129</xdr:rowOff>
    </xdr:to>
    <xdr:cxnSp macro="">
      <xdr:nvCxnSpPr>
        <xdr:cNvPr id="888" name="Connecteur droit avec flèche 887"/>
        <xdr:cNvCxnSpPr/>
      </xdr:nvCxnSpPr>
      <xdr:spPr>
        <a:xfrm>
          <a:off x="13699371" y="29021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128</xdr:row>
      <xdr:rowOff>65013</xdr:rowOff>
    </xdr:from>
    <xdr:to>
      <xdr:col>16</xdr:col>
      <xdr:colOff>38404</xdr:colOff>
      <xdr:row>128</xdr:row>
      <xdr:rowOff>67130</xdr:rowOff>
    </xdr:to>
    <xdr:cxnSp macro="">
      <xdr:nvCxnSpPr>
        <xdr:cNvPr id="889" name="Connecteur droit avec flèche 888"/>
        <xdr:cNvCxnSpPr/>
      </xdr:nvCxnSpPr>
      <xdr:spPr>
        <a:xfrm>
          <a:off x="13667620" y="28640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120</xdr:row>
      <xdr:rowOff>54429</xdr:rowOff>
    </xdr:from>
    <xdr:to>
      <xdr:col>16</xdr:col>
      <xdr:colOff>101904</xdr:colOff>
      <xdr:row>121</xdr:row>
      <xdr:rowOff>22680</xdr:rowOff>
    </xdr:to>
    <xdr:cxnSp macro="">
      <xdr:nvCxnSpPr>
        <xdr:cNvPr id="890" name="Connecteur droit avec flèche 889"/>
        <xdr:cNvCxnSpPr/>
      </xdr:nvCxnSpPr>
      <xdr:spPr>
        <a:xfrm flipV="1">
          <a:off x="13720536" y="27105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122</xdr:row>
      <xdr:rowOff>75596</xdr:rowOff>
    </xdr:from>
    <xdr:to>
      <xdr:col>16</xdr:col>
      <xdr:colOff>144237</xdr:colOff>
      <xdr:row>123</xdr:row>
      <xdr:rowOff>43847</xdr:rowOff>
    </xdr:to>
    <xdr:cxnSp macro="">
      <xdr:nvCxnSpPr>
        <xdr:cNvPr id="891" name="Connecteur droit avec flèche 890"/>
        <xdr:cNvCxnSpPr/>
      </xdr:nvCxnSpPr>
      <xdr:spPr>
        <a:xfrm flipV="1">
          <a:off x="13773454" y="27507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124</xdr:row>
      <xdr:rowOff>75596</xdr:rowOff>
    </xdr:from>
    <xdr:to>
      <xdr:col>16</xdr:col>
      <xdr:colOff>91320</xdr:colOff>
      <xdr:row>125</xdr:row>
      <xdr:rowOff>43847</xdr:rowOff>
    </xdr:to>
    <xdr:cxnSp macro="">
      <xdr:nvCxnSpPr>
        <xdr:cNvPr id="892" name="Connecteur droit avec flèche 891"/>
        <xdr:cNvCxnSpPr/>
      </xdr:nvCxnSpPr>
      <xdr:spPr>
        <a:xfrm flipV="1">
          <a:off x="13688787" y="27888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126</xdr:row>
      <xdr:rowOff>75596</xdr:rowOff>
    </xdr:from>
    <xdr:to>
      <xdr:col>16</xdr:col>
      <xdr:colOff>165404</xdr:colOff>
      <xdr:row>127</xdr:row>
      <xdr:rowOff>33264</xdr:rowOff>
    </xdr:to>
    <xdr:cxnSp macro="">
      <xdr:nvCxnSpPr>
        <xdr:cNvPr id="893" name="Connecteur droit avec flèche 892"/>
        <xdr:cNvCxnSpPr/>
      </xdr:nvCxnSpPr>
      <xdr:spPr>
        <a:xfrm flipV="1">
          <a:off x="13741703" y="28269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120</xdr:row>
      <xdr:rowOff>47625</xdr:rowOff>
    </xdr:from>
    <xdr:to>
      <xdr:col>10</xdr:col>
      <xdr:colOff>1031875</xdr:colOff>
      <xdr:row>130</xdr:row>
      <xdr:rowOff>142875</xdr:rowOff>
    </xdr:to>
    <xdr:sp macro="" textlink="">
      <xdr:nvSpPr>
        <xdr:cNvPr id="894" name="Accolade fermante 893"/>
        <xdr:cNvSpPr/>
      </xdr:nvSpPr>
      <xdr:spPr>
        <a:xfrm>
          <a:off x="10261600" y="270986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97</xdr:row>
      <xdr:rowOff>33264</xdr:rowOff>
    </xdr:from>
    <xdr:to>
      <xdr:col>14</xdr:col>
      <xdr:colOff>104019</xdr:colOff>
      <xdr:row>99</xdr:row>
      <xdr:rowOff>75596</xdr:rowOff>
    </xdr:to>
    <xdr:cxnSp macro="">
      <xdr:nvCxnSpPr>
        <xdr:cNvPr id="895" name="Connecteur droit avec flèche 894"/>
        <xdr:cNvCxnSpPr/>
      </xdr:nvCxnSpPr>
      <xdr:spPr>
        <a:xfrm flipV="1">
          <a:off x="12133036" y="24988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99</xdr:row>
      <xdr:rowOff>73481</xdr:rowOff>
    </xdr:from>
    <xdr:to>
      <xdr:col>14</xdr:col>
      <xdr:colOff>17236</xdr:colOff>
      <xdr:row>99</xdr:row>
      <xdr:rowOff>86180</xdr:rowOff>
    </xdr:to>
    <xdr:cxnSp macro="">
      <xdr:nvCxnSpPr>
        <xdr:cNvPr id="896" name="Connecteur droit avec flèche 895"/>
        <xdr:cNvCxnSpPr/>
      </xdr:nvCxnSpPr>
      <xdr:spPr>
        <a:xfrm>
          <a:off x="12090702" y="25409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101</xdr:row>
      <xdr:rowOff>75596</xdr:rowOff>
    </xdr:from>
    <xdr:to>
      <xdr:col>14</xdr:col>
      <xdr:colOff>17237</xdr:colOff>
      <xdr:row>103</xdr:row>
      <xdr:rowOff>75594</xdr:rowOff>
    </xdr:to>
    <xdr:cxnSp macro="">
      <xdr:nvCxnSpPr>
        <xdr:cNvPr id="897" name="Connecteur droit avec flèche 896"/>
        <xdr:cNvCxnSpPr/>
      </xdr:nvCxnSpPr>
      <xdr:spPr>
        <a:xfrm flipV="1">
          <a:off x="11974287" y="25793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106</xdr:row>
      <xdr:rowOff>65012</xdr:rowOff>
    </xdr:from>
    <xdr:to>
      <xdr:col>14</xdr:col>
      <xdr:colOff>6654</xdr:colOff>
      <xdr:row>106</xdr:row>
      <xdr:rowOff>75597</xdr:rowOff>
    </xdr:to>
    <xdr:cxnSp macro="">
      <xdr:nvCxnSpPr>
        <xdr:cNvPr id="898" name="Connecteur droit avec flèche 897"/>
        <xdr:cNvCxnSpPr/>
      </xdr:nvCxnSpPr>
      <xdr:spPr>
        <a:xfrm>
          <a:off x="12101287" y="26735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104</xdr:row>
      <xdr:rowOff>54429</xdr:rowOff>
    </xdr:from>
    <xdr:to>
      <xdr:col>14</xdr:col>
      <xdr:colOff>27821</xdr:colOff>
      <xdr:row>104</xdr:row>
      <xdr:rowOff>65014</xdr:rowOff>
    </xdr:to>
    <xdr:cxnSp macro="">
      <xdr:nvCxnSpPr>
        <xdr:cNvPr id="899" name="Connecteur droit avec flèche 898"/>
        <xdr:cNvCxnSpPr/>
      </xdr:nvCxnSpPr>
      <xdr:spPr>
        <a:xfrm>
          <a:off x="12175371" y="26343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103</xdr:row>
      <xdr:rowOff>43846</xdr:rowOff>
    </xdr:from>
    <xdr:to>
      <xdr:col>13</xdr:col>
      <xdr:colOff>747487</xdr:colOff>
      <xdr:row>103</xdr:row>
      <xdr:rowOff>65014</xdr:rowOff>
    </xdr:to>
    <xdr:cxnSp macro="">
      <xdr:nvCxnSpPr>
        <xdr:cNvPr id="900" name="Connecteur droit avec flèche 899"/>
        <xdr:cNvCxnSpPr/>
      </xdr:nvCxnSpPr>
      <xdr:spPr>
        <a:xfrm>
          <a:off x="12027204" y="26142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105</xdr:row>
      <xdr:rowOff>107345</xdr:rowOff>
    </xdr:from>
    <xdr:to>
      <xdr:col>14</xdr:col>
      <xdr:colOff>38404</xdr:colOff>
      <xdr:row>106</xdr:row>
      <xdr:rowOff>65012</xdr:rowOff>
    </xdr:to>
    <xdr:cxnSp macro="">
      <xdr:nvCxnSpPr>
        <xdr:cNvPr id="901" name="Connecteur droit avec flèche 900"/>
        <xdr:cNvCxnSpPr/>
      </xdr:nvCxnSpPr>
      <xdr:spPr>
        <a:xfrm flipV="1">
          <a:off x="12101287" y="26586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97</xdr:row>
      <xdr:rowOff>33262</xdr:rowOff>
    </xdr:from>
    <xdr:to>
      <xdr:col>16</xdr:col>
      <xdr:colOff>123071</xdr:colOff>
      <xdr:row>97</xdr:row>
      <xdr:rowOff>45962</xdr:rowOff>
    </xdr:to>
    <xdr:cxnSp macro="">
      <xdr:nvCxnSpPr>
        <xdr:cNvPr id="902" name="Connecteur droit avec flèche 901"/>
        <xdr:cNvCxnSpPr/>
      </xdr:nvCxnSpPr>
      <xdr:spPr>
        <a:xfrm>
          <a:off x="13731120" y="24988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101</xdr:row>
      <xdr:rowOff>65012</xdr:rowOff>
    </xdr:from>
    <xdr:to>
      <xdr:col>16</xdr:col>
      <xdr:colOff>70154</xdr:colOff>
      <xdr:row>101</xdr:row>
      <xdr:rowOff>67129</xdr:rowOff>
    </xdr:to>
    <xdr:cxnSp macro="">
      <xdr:nvCxnSpPr>
        <xdr:cNvPr id="903" name="Connecteur droit avec flèche 902"/>
        <xdr:cNvCxnSpPr/>
      </xdr:nvCxnSpPr>
      <xdr:spPr>
        <a:xfrm>
          <a:off x="13699370" y="25782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99</xdr:row>
      <xdr:rowOff>65012</xdr:rowOff>
    </xdr:from>
    <xdr:to>
      <xdr:col>16</xdr:col>
      <xdr:colOff>144238</xdr:colOff>
      <xdr:row>99</xdr:row>
      <xdr:rowOff>67129</xdr:rowOff>
    </xdr:to>
    <xdr:cxnSp macro="">
      <xdr:nvCxnSpPr>
        <xdr:cNvPr id="904" name="Connecteur droit avec flèche 903"/>
        <xdr:cNvCxnSpPr/>
      </xdr:nvCxnSpPr>
      <xdr:spPr>
        <a:xfrm>
          <a:off x="13773454" y="25401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103</xdr:row>
      <xdr:rowOff>54429</xdr:rowOff>
    </xdr:from>
    <xdr:to>
      <xdr:col>16</xdr:col>
      <xdr:colOff>133654</xdr:colOff>
      <xdr:row>103</xdr:row>
      <xdr:rowOff>56546</xdr:rowOff>
    </xdr:to>
    <xdr:cxnSp macro="">
      <xdr:nvCxnSpPr>
        <xdr:cNvPr id="905" name="Connecteur droit avec flèche 904"/>
        <xdr:cNvCxnSpPr/>
      </xdr:nvCxnSpPr>
      <xdr:spPr>
        <a:xfrm>
          <a:off x="13762870" y="26152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105</xdr:row>
      <xdr:rowOff>54429</xdr:rowOff>
    </xdr:from>
    <xdr:to>
      <xdr:col>16</xdr:col>
      <xdr:colOff>80737</xdr:colOff>
      <xdr:row>105</xdr:row>
      <xdr:rowOff>56546</xdr:rowOff>
    </xdr:to>
    <xdr:cxnSp macro="">
      <xdr:nvCxnSpPr>
        <xdr:cNvPr id="906" name="Connecteur droit avec flèche 905"/>
        <xdr:cNvCxnSpPr/>
      </xdr:nvCxnSpPr>
      <xdr:spPr>
        <a:xfrm>
          <a:off x="13709953" y="26533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106</xdr:row>
      <xdr:rowOff>65012</xdr:rowOff>
    </xdr:from>
    <xdr:to>
      <xdr:col>16</xdr:col>
      <xdr:colOff>70155</xdr:colOff>
      <xdr:row>106</xdr:row>
      <xdr:rowOff>67129</xdr:rowOff>
    </xdr:to>
    <xdr:cxnSp macro="">
      <xdr:nvCxnSpPr>
        <xdr:cNvPr id="907" name="Connecteur droit avec flèche 906"/>
        <xdr:cNvCxnSpPr/>
      </xdr:nvCxnSpPr>
      <xdr:spPr>
        <a:xfrm>
          <a:off x="13699371" y="26735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104</xdr:row>
      <xdr:rowOff>65013</xdr:rowOff>
    </xdr:from>
    <xdr:to>
      <xdr:col>16</xdr:col>
      <xdr:colOff>38404</xdr:colOff>
      <xdr:row>104</xdr:row>
      <xdr:rowOff>67130</xdr:rowOff>
    </xdr:to>
    <xdr:cxnSp macro="">
      <xdr:nvCxnSpPr>
        <xdr:cNvPr id="908" name="Connecteur droit avec flèche 907"/>
        <xdr:cNvCxnSpPr/>
      </xdr:nvCxnSpPr>
      <xdr:spPr>
        <a:xfrm>
          <a:off x="13667620" y="26354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96</xdr:row>
      <xdr:rowOff>54429</xdr:rowOff>
    </xdr:from>
    <xdr:to>
      <xdr:col>16</xdr:col>
      <xdr:colOff>101904</xdr:colOff>
      <xdr:row>97</xdr:row>
      <xdr:rowOff>22680</xdr:rowOff>
    </xdr:to>
    <xdr:cxnSp macro="">
      <xdr:nvCxnSpPr>
        <xdr:cNvPr id="909" name="Connecteur droit avec flèche 908"/>
        <xdr:cNvCxnSpPr/>
      </xdr:nvCxnSpPr>
      <xdr:spPr>
        <a:xfrm flipV="1">
          <a:off x="13720536" y="24819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98</xdr:row>
      <xdr:rowOff>75596</xdr:rowOff>
    </xdr:from>
    <xdr:to>
      <xdr:col>16</xdr:col>
      <xdr:colOff>144237</xdr:colOff>
      <xdr:row>99</xdr:row>
      <xdr:rowOff>43847</xdr:rowOff>
    </xdr:to>
    <xdr:cxnSp macro="">
      <xdr:nvCxnSpPr>
        <xdr:cNvPr id="910" name="Connecteur droit avec flèche 909"/>
        <xdr:cNvCxnSpPr/>
      </xdr:nvCxnSpPr>
      <xdr:spPr>
        <a:xfrm flipV="1">
          <a:off x="13773454" y="25221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100</xdr:row>
      <xdr:rowOff>75596</xdr:rowOff>
    </xdr:from>
    <xdr:to>
      <xdr:col>16</xdr:col>
      <xdr:colOff>91320</xdr:colOff>
      <xdr:row>101</xdr:row>
      <xdr:rowOff>43847</xdr:rowOff>
    </xdr:to>
    <xdr:cxnSp macro="">
      <xdr:nvCxnSpPr>
        <xdr:cNvPr id="911" name="Connecteur droit avec flèche 910"/>
        <xdr:cNvCxnSpPr/>
      </xdr:nvCxnSpPr>
      <xdr:spPr>
        <a:xfrm flipV="1">
          <a:off x="13688787" y="25602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102</xdr:row>
      <xdr:rowOff>75596</xdr:rowOff>
    </xdr:from>
    <xdr:to>
      <xdr:col>16</xdr:col>
      <xdr:colOff>165404</xdr:colOff>
      <xdr:row>103</xdr:row>
      <xdr:rowOff>33264</xdr:rowOff>
    </xdr:to>
    <xdr:cxnSp macro="">
      <xdr:nvCxnSpPr>
        <xdr:cNvPr id="912" name="Connecteur droit avec flèche 911"/>
        <xdr:cNvCxnSpPr/>
      </xdr:nvCxnSpPr>
      <xdr:spPr>
        <a:xfrm flipV="1">
          <a:off x="13741703" y="25983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96</xdr:row>
      <xdr:rowOff>47625</xdr:rowOff>
    </xdr:from>
    <xdr:to>
      <xdr:col>10</xdr:col>
      <xdr:colOff>1031875</xdr:colOff>
      <xdr:row>106</xdr:row>
      <xdr:rowOff>142875</xdr:rowOff>
    </xdr:to>
    <xdr:sp macro="" textlink="">
      <xdr:nvSpPr>
        <xdr:cNvPr id="913" name="Accolade fermante 912"/>
        <xdr:cNvSpPr/>
      </xdr:nvSpPr>
      <xdr:spPr>
        <a:xfrm>
          <a:off x="10261600" y="248126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73</xdr:row>
      <xdr:rowOff>33264</xdr:rowOff>
    </xdr:from>
    <xdr:to>
      <xdr:col>14</xdr:col>
      <xdr:colOff>104019</xdr:colOff>
      <xdr:row>75</xdr:row>
      <xdr:rowOff>75596</xdr:rowOff>
    </xdr:to>
    <xdr:cxnSp macro="">
      <xdr:nvCxnSpPr>
        <xdr:cNvPr id="914" name="Connecteur droit avec flèche 913"/>
        <xdr:cNvCxnSpPr/>
      </xdr:nvCxnSpPr>
      <xdr:spPr>
        <a:xfrm flipV="1">
          <a:off x="12133036" y="202262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75</xdr:row>
      <xdr:rowOff>73481</xdr:rowOff>
    </xdr:from>
    <xdr:to>
      <xdr:col>14</xdr:col>
      <xdr:colOff>17236</xdr:colOff>
      <xdr:row>75</xdr:row>
      <xdr:rowOff>86180</xdr:rowOff>
    </xdr:to>
    <xdr:cxnSp macro="">
      <xdr:nvCxnSpPr>
        <xdr:cNvPr id="915" name="Connecteur droit avec flèche 914"/>
        <xdr:cNvCxnSpPr/>
      </xdr:nvCxnSpPr>
      <xdr:spPr>
        <a:xfrm>
          <a:off x="12090702" y="206474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77</xdr:row>
      <xdr:rowOff>75596</xdr:rowOff>
    </xdr:from>
    <xdr:to>
      <xdr:col>14</xdr:col>
      <xdr:colOff>17237</xdr:colOff>
      <xdr:row>79</xdr:row>
      <xdr:rowOff>75594</xdr:rowOff>
    </xdr:to>
    <xdr:cxnSp macro="">
      <xdr:nvCxnSpPr>
        <xdr:cNvPr id="916" name="Connecteur droit avec flèche 915"/>
        <xdr:cNvCxnSpPr/>
      </xdr:nvCxnSpPr>
      <xdr:spPr>
        <a:xfrm flipV="1">
          <a:off x="11974287" y="210305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82</xdr:row>
      <xdr:rowOff>65012</xdr:rowOff>
    </xdr:from>
    <xdr:to>
      <xdr:col>14</xdr:col>
      <xdr:colOff>6654</xdr:colOff>
      <xdr:row>82</xdr:row>
      <xdr:rowOff>75597</xdr:rowOff>
    </xdr:to>
    <xdr:cxnSp macro="">
      <xdr:nvCxnSpPr>
        <xdr:cNvPr id="917" name="Connecteur droit avec flèche 916"/>
        <xdr:cNvCxnSpPr/>
      </xdr:nvCxnSpPr>
      <xdr:spPr>
        <a:xfrm>
          <a:off x="12101287" y="219725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80</xdr:row>
      <xdr:rowOff>54429</xdr:rowOff>
    </xdr:from>
    <xdr:to>
      <xdr:col>14</xdr:col>
      <xdr:colOff>27821</xdr:colOff>
      <xdr:row>80</xdr:row>
      <xdr:rowOff>65014</xdr:rowOff>
    </xdr:to>
    <xdr:cxnSp macro="">
      <xdr:nvCxnSpPr>
        <xdr:cNvPr id="918" name="Connecteur droit avec flèche 917"/>
        <xdr:cNvCxnSpPr/>
      </xdr:nvCxnSpPr>
      <xdr:spPr>
        <a:xfrm>
          <a:off x="12175371" y="215809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79</xdr:row>
      <xdr:rowOff>43846</xdr:rowOff>
    </xdr:from>
    <xdr:to>
      <xdr:col>13</xdr:col>
      <xdr:colOff>747487</xdr:colOff>
      <xdr:row>79</xdr:row>
      <xdr:rowOff>65014</xdr:rowOff>
    </xdr:to>
    <xdr:cxnSp macro="">
      <xdr:nvCxnSpPr>
        <xdr:cNvPr id="919" name="Connecteur droit avec flèche 918"/>
        <xdr:cNvCxnSpPr/>
      </xdr:nvCxnSpPr>
      <xdr:spPr>
        <a:xfrm>
          <a:off x="12027204" y="213798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81</xdr:row>
      <xdr:rowOff>107345</xdr:rowOff>
    </xdr:from>
    <xdr:to>
      <xdr:col>14</xdr:col>
      <xdr:colOff>38404</xdr:colOff>
      <xdr:row>82</xdr:row>
      <xdr:rowOff>65012</xdr:rowOff>
    </xdr:to>
    <xdr:cxnSp macro="">
      <xdr:nvCxnSpPr>
        <xdr:cNvPr id="920" name="Connecteur droit avec flèche 919"/>
        <xdr:cNvCxnSpPr/>
      </xdr:nvCxnSpPr>
      <xdr:spPr>
        <a:xfrm flipV="1">
          <a:off x="12101287" y="218243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73</xdr:row>
      <xdr:rowOff>33262</xdr:rowOff>
    </xdr:from>
    <xdr:to>
      <xdr:col>16</xdr:col>
      <xdr:colOff>123071</xdr:colOff>
      <xdr:row>73</xdr:row>
      <xdr:rowOff>45962</xdr:rowOff>
    </xdr:to>
    <xdr:cxnSp macro="">
      <xdr:nvCxnSpPr>
        <xdr:cNvPr id="921" name="Connecteur droit avec flèche 920"/>
        <xdr:cNvCxnSpPr/>
      </xdr:nvCxnSpPr>
      <xdr:spPr>
        <a:xfrm>
          <a:off x="13731120" y="202262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77</xdr:row>
      <xdr:rowOff>65012</xdr:rowOff>
    </xdr:from>
    <xdr:to>
      <xdr:col>16</xdr:col>
      <xdr:colOff>70154</xdr:colOff>
      <xdr:row>77</xdr:row>
      <xdr:rowOff>67129</xdr:rowOff>
    </xdr:to>
    <xdr:cxnSp macro="">
      <xdr:nvCxnSpPr>
        <xdr:cNvPr id="922" name="Connecteur droit avec flèche 921"/>
        <xdr:cNvCxnSpPr/>
      </xdr:nvCxnSpPr>
      <xdr:spPr>
        <a:xfrm>
          <a:off x="13699370" y="21020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75</xdr:row>
      <xdr:rowOff>65012</xdr:rowOff>
    </xdr:from>
    <xdr:to>
      <xdr:col>16</xdr:col>
      <xdr:colOff>144238</xdr:colOff>
      <xdr:row>75</xdr:row>
      <xdr:rowOff>67129</xdr:rowOff>
    </xdr:to>
    <xdr:cxnSp macro="">
      <xdr:nvCxnSpPr>
        <xdr:cNvPr id="923" name="Connecteur droit avec flèche 922"/>
        <xdr:cNvCxnSpPr/>
      </xdr:nvCxnSpPr>
      <xdr:spPr>
        <a:xfrm>
          <a:off x="13773454" y="20639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79</xdr:row>
      <xdr:rowOff>54429</xdr:rowOff>
    </xdr:from>
    <xdr:to>
      <xdr:col>16</xdr:col>
      <xdr:colOff>133654</xdr:colOff>
      <xdr:row>79</xdr:row>
      <xdr:rowOff>56546</xdr:rowOff>
    </xdr:to>
    <xdr:cxnSp macro="">
      <xdr:nvCxnSpPr>
        <xdr:cNvPr id="924" name="Connecteur droit avec flèche 923"/>
        <xdr:cNvCxnSpPr/>
      </xdr:nvCxnSpPr>
      <xdr:spPr>
        <a:xfrm>
          <a:off x="13762870" y="213904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81</xdr:row>
      <xdr:rowOff>54429</xdr:rowOff>
    </xdr:from>
    <xdr:to>
      <xdr:col>16</xdr:col>
      <xdr:colOff>80737</xdr:colOff>
      <xdr:row>81</xdr:row>
      <xdr:rowOff>56546</xdr:rowOff>
    </xdr:to>
    <xdr:cxnSp macro="">
      <xdr:nvCxnSpPr>
        <xdr:cNvPr id="925" name="Connecteur droit avec flèche 924"/>
        <xdr:cNvCxnSpPr/>
      </xdr:nvCxnSpPr>
      <xdr:spPr>
        <a:xfrm>
          <a:off x="13709953" y="217714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82</xdr:row>
      <xdr:rowOff>65012</xdr:rowOff>
    </xdr:from>
    <xdr:to>
      <xdr:col>16</xdr:col>
      <xdr:colOff>70155</xdr:colOff>
      <xdr:row>82</xdr:row>
      <xdr:rowOff>67129</xdr:rowOff>
    </xdr:to>
    <xdr:cxnSp macro="">
      <xdr:nvCxnSpPr>
        <xdr:cNvPr id="926" name="Connecteur droit avec flèche 925"/>
        <xdr:cNvCxnSpPr/>
      </xdr:nvCxnSpPr>
      <xdr:spPr>
        <a:xfrm>
          <a:off x="13699371" y="21972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80</xdr:row>
      <xdr:rowOff>65013</xdr:rowOff>
    </xdr:from>
    <xdr:to>
      <xdr:col>16</xdr:col>
      <xdr:colOff>38404</xdr:colOff>
      <xdr:row>80</xdr:row>
      <xdr:rowOff>67130</xdr:rowOff>
    </xdr:to>
    <xdr:cxnSp macro="">
      <xdr:nvCxnSpPr>
        <xdr:cNvPr id="927" name="Connecteur droit avec flèche 926"/>
        <xdr:cNvCxnSpPr/>
      </xdr:nvCxnSpPr>
      <xdr:spPr>
        <a:xfrm>
          <a:off x="13667620" y="215915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72</xdr:row>
      <xdr:rowOff>54429</xdr:rowOff>
    </xdr:from>
    <xdr:to>
      <xdr:col>16</xdr:col>
      <xdr:colOff>101904</xdr:colOff>
      <xdr:row>73</xdr:row>
      <xdr:rowOff>22680</xdr:rowOff>
    </xdr:to>
    <xdr:cxnSp macro="">
      <xdr:nvCxnSpPr>
        <xdr:cNvPr id="928" name="Connecteur droit avec flèche 927"/>
        <xdr:cNvCxnSpPr/>
      </xdr:nvCxnSpPr>
      <xdr:spPr>
        <a:xfrm flipV="1">
          <a:off x="13720536" y="200569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74</xdr:row>
      <xdr:rowOff>75596</xdr:rowOff>
    </xdr:from>
    <xdr:to>
      <xdr:col>16</xdr:col>
      <xdr:colOff>144237</xdr:colOff>
      <xdr:row>75</xdr:row>
      <xdr:rowOff>43847</xdr:rowOff>
    </xdr:to>
    <xdr:cxnSp macro="">
      <xdr:nvCxnSpPr>
        <xdr:cNvPr id="929" name="Connecteur droit avec flèche 928"/>
        <xdr:cNvCxnSpPr/>
      </xdr:nvCxnSpPr>
      <xdr:spPr>
        <a:xfrm flipV="1">
          <a:off x="13773454" y="204590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76</xdr:row>
      <xdr:rowOff>75596</xdr:rowOff>
    </xdr:from>
    <xdr:to>
      <xdr:col>16</xdr:col>
      <xdr:colOff>91320</xdr:colOff>
      <xdr:row>77</xdr:row>
      <xdr:rowOff>43847</xdr:rowOff>
    </xdr:to>
    <xdr:cxnSp macro="">
      <xdr:nvCxnSpPr>
        <xdr:cNvPr id="930" name="Connecteur droit avec flèche 929"/>
        <xdr:cNvCxnSpPr/>
      </xdr:nvCxnSpPr>
      <xdr:spPr>
        <a:xfrm flipV="1">
          <a:off x="13688787" y="208400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78</xdr:row>
      <xdr:rowOff>75596</xdr:rowOff>
    </xdr:from>
    <xdr:to>
      <xdr:col>16</xdr:col>
      <xdr:colOff>165404</xdr:colOff>
      <xdr:row>79</xdr:row>
      <xdr:rowOff>33264</xdr:rowOff>
    </xdr:to>
    <xdr:cxnSp macro="">
      <xdr:nvCxnSpPr>
        <xdr:cNvPr id="931" name="Connecteur droit avec flèche 930"/>
        <xdr:cNvCxnSpPr/>
      </xdr:nvCxnSpPr>
      <xdr:spPr>
        <a:xfrm flipV="1">
          <a:off x="13741703" y="212210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72</xdr:row>
      <xdr:rowOff>38100</xdr:rowOff>
    </xdr:from>
    <xdr:to>
      <xdr:col>10</xdr:col>
      <xdr:colOff>1000125</xdr:colOff>
      <xdr:row>82</xdr:row>
      <xdr:rowOff>133350</xdr:rowOff>
    </xdr:to>
    <xdr:sp macro="" textlink="">
      <xdr:nvSpPr>
        <xdr:cNvPr id="933" name="Accolade fermante 932"/>
        <xdr:cNvSpPr/>
      </xdr:nvSpPr>
      <xdr:spPr>
        <a:xfrm>
          <a:off x="10344150" y="15278100"/>
          <a:ext cx="285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205</xdr:row>
      <xdr:rowOff>33264</xdr:rowOff>
    </xdr:from>
    <xdr:to>
      <xdr:col>14</xdr:col>
      <xdr:colOff>104019</xdr:colOff>
      <xdr:row>207</xdr:row>
      <xdr:rowOff>75596</xdr:rowOff>
    </xdr:to>
    <xdr:cxnSp macro="">
      <xdr:nvCxnSpPr>
        <xdr:cNvPr id="934" name="Connecteur droit avec flèche 933"/>
        <xdr:cNvCxnSpPr/>
      </xdr:nvCxnSpPr>
      <xdr:spPr>
        <a:xfrm flipV="1">
          <a:off x="12133036" y="24607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207</xdr:row>
      <xdr:rowOff>73481</xdr:rowOff>
    </xdr:from>
    <xdr:to>
      <xdr:col>14</xdr:col>
      <xdr:colOff>17236</xdr:colOff>
      <xdr:row>207</xdr:row>
      <xdr:rowOff>86180</xdr:rowOff>
    </xdr:to>
    <xdr:cxnSp macro="">
      <xdr:nvCxnSpPr>
        <xdr:cNvPr id="935" name="Connecteur droit avec flèche 934"/>
        <xdr:cNvCxnSpPr/>
      </xdr:nvCxnSpPr>
      <xdr:spPr>
        <a:xfrm>
          <a:off x="12090702" y="25028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209</xdr:row>
      <xdr:rowOff>75596</xdr:rowOff>
    </xdr:from>
    <xdr:to>
      <xdr:col>14</xdr:col>
      <xdr:colOff>17237</xdr:colOff>
      <xdr:row>211</xdr:row>
      <xdr:rowOff>75594</xdr:rowOff>
    </xdr:to>
    <xdr:cxnSp macro="">
      <xdr:nvCxnSpPr>
        <xdr:cNvPr id="936" name="Connecteur droit avec flèche 935"/>
        <xdr:cNvCxnSpPr/>
      </xdr:nvCxnSpPr>
      <xdr:spPr>
        <a:xfrm flipV="1">
          <a:off x="11974287" y="25412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214</xdr:row>
      <xdr:rowOff>65012</xdr:rowOff>
    </xdr:from>
    <xdr:to>
      <xdr:col>14</xdr:col>
      <xdr:colOff>6654</xdr:colOff>
      <xdr:row>214</xdr:row>
      <xdr:rowOff>75597</xdr:rowOff>
    </xdr:to>
    <xdr:cxnSp macro="">
      <xdr:nvCxnSpPr>
        <xdr:cNvPr id="937" name="Connecteur droit avec flèche 936"/>
        <xdr:cNvCxnSpPr/>
      </xdr:nvCxnSpPr>
      <xdr:spPr>
        <a:xfrm>
          <a:off x="12101287" y="26354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212</xdr:row>
      <xdr:rowOff>54429</xdr:rowOff>
    </xdr:from>
    <xdr:to>
      <xdr:col>14</xdr:col>
      <xdr:colOff>27821</xdr:colOff>
      <xdr:row>212</xdr:row>
      <xdr:rowOff>65014</xdr:rowOff>
    </xdr:to>
    <xdr:cxnSp macro="">
      <xdr:nvCxnSpPr>
        <xdr:cNvPr id="938" name="Connecteur droit avec flèche 937"/>
        <xdr:cNvCxnSpPr/>
      </xdr:nvCxnSpPr>
      <xdr:spPr>
        <a:xfrm>
          <a:off x="12175371" y="25962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211</xdr:row>
      <xdr:rowOff>43846</xdr:rowOff>
    </xdr:from>
    <xdr:to>
      <xdr:col>13</xdr:col>
      <xdr:colOff>747487</xdr:colOff>
      <xdr:row>211</xdr:row>
      <xdr:rowOff>65014</xdr:rowOff>
    </xdr:to>
    <xdr:cxnSp macro="">
      <xdr:nvCxnSpPr>
        <xdr:cNvPr id="939" name="Connecteur droit avec flèche 938"/>
        <xdr:cNvCxnSpPr/>
      </xdr:nvCxnSpPr>
      <xdr:spPr>
        <a:xfrm>
          <a:off x="12027204" y="25761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213</xdr:row>
      <xdr:rowOff>107345</xdr:rowOff>
    </xdr:from>
    <xdr:to>
      <xdr:col>14</xdr:col>
      <xdr:colOff>38404</xdr:colOff>
      <xdr:row>214</xdr:row>
      <xdr:rowOff>65012</xdr:rowOff>
    </xdr:to>
    <xdr:cxnSp macro="">
      <xdr:nvCxnSpPr>
        <xdr:cNvPr id="940" name="Connecteur droit avec flèche 939"/>
        <xdr:cNvCxnSpPr/>
      </xdr:nvCxnSpPr>
      <xdr:spPr>
        <a:xfrm flipV="1">
          <a:off x="12101287" y="26205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205</xdr:row>
      <xdr:rowOff>33262</xdr:rowOff>
    </xdr:from>
    <xdr:to>
      <xdr:col>16</xdr:col>
      <xdr:colOff>123071</xdr:colOff>
      <xdr:row>205</xdr:row>
      <xdr:rowOff>45962</xdr:rowOff>
    </xdr:to>
    <xdr:cxnSp macro="">
      <xdr:nvCxnSpPr>
        <xdr:cNvPr id="941" name="Connecteur droit avec flèche 940"/>
        <xdr:cNvCxnSpPr/>
      </xdr:nvCxnSpPr>
      <xdr:spPr>
        <a:xfrm>
          <a:off x="13731120" y="24607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209</xdr:row>
      <xdr:rowOff>65012</xdr:rowOff>
    </xdr:from>
    <xdr:to>
      <xdr:col>16</xdr:col>
      <xdr:colOff>70154</xdr:colOff>
      <xdr:row>209</xdr:row>
      <xdr:rowOff>67129</xdr:rowOff>
    </xdr:to>
    <xdr:cxnSp macro="">
      <xdr:nvCxnSpPr>
        <xdr:cNvPr id="942" name="Connecteur droit avec flèche 941"/>
        <xdr:cNvCxnSpPr/>
      </xdr:nvCxnSpPr>
      <xdr:spPr>
        <a:xfrm>
          <a:off x="13699370" y="25401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207</xdr:row>
      <xdr:rowOff>65012</xdr:rowOff>
    </xdr:from>
    <xdr:to>
      <xdr:col>16</xdr:col>
      <xdr:colOff>144238</xdr:colOff>
      <xdr:row>207</xdr:row>
      <xdr:rowOff>67129</xdr:rowOff>
    </xdr:to>
    <xdr:cxnSp macro="">
      <xdr:nvCxnSpPr>
        <xdr:cNvPr id="943" name="Connecteur droit avec flèche 942"/>
        <xdr:cNvCxnSpPr/>
      </xdr:nvCxnSpPr>
      <xdr:spPr>
        <a:xfrm>
          <a:off x="13773454" y="25020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211</xdr:row>
      <xdr:rowOff>54429</xdr:rowOff>
    </xdr:from>
    <xdr:to>
      <xdr:col>16</xdr:col>
      <xdr:colOff>133654</xdr:colOff>
      <xdr:row>211</xdr:row>
      <xdr:rowOff>56546</xdr:rowOff>
    </xdr:to>
    <xdr:cxnSp macro="">
      <xdr:nvCxnSpPr>
        <xdr:cNvPr id="944" name="Connecteur droit avec flèche 943"/>
        <xdr:cNvCxnSpPr/>
      </xdr:nvCxnSpPr>
      <xdr:spPr>
        <a:xfrm>
          <a:off x="13762870" y="25771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213</xdr:row>
      <xdr:rowOff>54429</xdr:rowOff>
    </xdr:from>
    <xdr:to>
      <xdr:col>16</xdr:col>
      <xdr:colOff>80737</xdr:colOff>
      <xdr:row>213</xdr:row>
      <xdr:rowOff>56546</xdr:rowOff>
    </xdr:to>
    <xdr:cxnSp macro="">
      <xdr:nvCxnSpPr>
        <xdr:cNvPr id="945" name="Connecteur droit avec flèche 944"/>
        <xdr:cNvCxnSpPr/>
      </xdr:nvCxnSpPr>
      <xdr:spPr>
        <a:xfrm>
          <a:off x="13709953" y="26152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214</xdr:row>
      <xdr:rowOff>65012</xdr:rowOff>
    </xdr:from>
    <xdr:to>
      <xdr:col>16</xdr:col>
      <xdr:colOff>70155</xdr:colOff>
      <xdr:row>214</xdr:row>
      <xdr:rowOff>67129</xdr:rowOff>
    </xdr:to>
    <xdr:cxnSp macro="">
      <xdr:nvCxnSpPr>
        <xdr:cNvPr id="946" name="Connecteur droit avec flèche 945"/>
        <xdr:cNvCxnSpPr/>
      </xdr:nvCxnSpPr>
      <xdr:spPr>
        <a:xfrm>
          <a:off x="13699371" y="26354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212</xdr:row>
      <xdr:rowOff>65013</xdr:rowOff>
    </xdr:from>
    <xdr:to>
      <xdr:col>16</xdr:col>
      <xdr:colOff>38404</xdr:colOff>
      <xdr:row>212</xdr:row>
      <xdr:rowOff>67130</xdr:rowOff>
    </xdr:to>
    <xdr:cxnSp macro="">
      <xdr:nvCxnSpPr>
        <xdr:cNvPr id="947" name="Connecteur droit avec flèche 946"/>
        <xdr:cNvCxnSpPr/>
      </xdr:nvCxnSpPr>
      <xdr:spPr>
        <a:xfrm>
          <a:off x="13667620" y="25973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204</xdr:row>
      <xdr:rowOff>54429</xdr:rowOff>
    </xdr:from>
    <xdr:to>
      <xdr:col>16</xdr:col>
      <xdr:colOff>101904</xdr:colOff>
      <xdr:row>205</xdr:row>
      <xdr:rowOff>22680</xdr:rowOff>
    </xdr:to>
    <xdr:cxnSp macro="">
      <xdr:nvCxnSpPr>
        <xdr:cNvPr id="948" name="Connecteur droit avec flèche 947"/>
        <xdr:cNvCxnSpPr/>
      </xdr:nvCxnSpPr>
      <xdr:spPr>
        <a:xfrm flipV="1">
          <a:off x="13720536" y="24438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206</xdr:row>
      <xdr:rowOff>75596</xdr:rowOff>
    </xdr:from>
    <xdr:to>
      <xdr:col>16</xdr:col>
      <xdr:colOff>144237</xdr:colOff>
      <xdr:row>207</xdr:row>
      <xdr:rowOff>43847</xdr:rowOff>
    </xdr:to>
    <xdr:cxnSp macro="">
      <xdr:nvCxnSpPr>
        <xdr:cNvPr id="949" name="Connecteur droit avec flèche 948"/>
        <xdr:cNvCxnSpPr/>
      </xdr:nvCxnSpPr>
      <xdr:spPr>
        <a:xfrm flipV="1">
          <a:off x="13773454" y="24840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208</xdr:row>
      <xdr:rowOff>75596</xdr:rowOff>
    </xdr:from>
    <xdr:to>
      <xdr:col>16</xdr:col>
      <xdr:colOff>91320</xdr:colOff>
      <xdr:row>209</xdr:row>
      <xdr:rowOff>43847</xdr:rowOff>
    </xdr:to>
    <xdr:cxnSp macro="">
      <xdr:nvCxnSpPr>
        <xdr:cNvPr id="950" name="Connecteur droit avec flèche 949"/>
        <xdr:cNvCxnSpPr/>
      </xdr:nvCxnSpPr>
      <xdr:spPr>
        <a:xfrm flipV="1">
          <a:off x="13688787" y="25221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210</xdr:row>
      <xdr:rowOff>75596</xdr:rowOff>
    </xdr:from>
    <xdr:to>
      <xdr:col>16</xdr:col>
      <xdr:colOff>165404</xdr:colOff>
      <xdr:row>211</xdr:row>
      <xdr:rowOff>33264</xdr:rowOff>
    </xdr:to>
    <xdr:cxnSp macro="">
      <xdr:nvCxnSpPr>
        <xdr:cNvPr id="951" name="Connecteur droit avec flèche 950"/>
        <xdr:cNvCxnSpPr/>
      </xdr:nvCxnSpPr>
      <xdr:spPr>
        <a:xfrm flipV="1">
          <a:off x="13741703" y="25602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204</xdr:row>
      <xdr:rowOff>47625</xdr:rowOff>
    </xdr:from>
    <xdr:to>
      <xdr:col>10</xdr:col>
      <xdr:colOff>1031875</xdr:colOff>
      <xdr:row>214</xdr:row>
      <xdr:rowOff>142875</xdr:rowOff>
    </xdr:to>
    <xdr:sp macro="" textlink="">
      <xdr:nvSpPr>
        <xdr:cNvPr id="952" name="Accolade fermante 951"/>
        <xdr:cNvSpPr/>
      </xdr:nvSpPr>
      <xdr:spPr>
        <a:xfrm>
          <a:off x="10261600" y="244316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229</xdr:row>
      <xdr:rowOff>33264</xdr:rowOff>
    </xdr:from>
    <xdr:to>
      <xdr:col>14</xdr:col>
      <xdr:colOff>104019</xdr:colOff>
      <xdr:row>231</xdr:row>
      <xdr:rowOff>75596</xdr:rowOff>
    </xdr:to>
    <xdr:cxnSp macro="">
      <xdr:nvCxnSpPr>
        <xdr:cNvPr id="953" name="Connecteur droit avec flèche 952"/>
        <xdr:cNvCxnSpPr/>
      </xdr:nvCxnSpPr>
      <xdr:spPr>
        <a:xfrm flipV="1">
          <a:off x="12133036" y="24607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231</xdr:row>
      <xdr:rowOff>73481</xdr:rowOff>
    </xdr:from>
    <xdr:to>
      <xdr:col>14</xdr:col>
      <xdr:colOff>17236</xdr:colOff>
      <xdr:row>231</xdr:row>
      <xdr:rowOff>86180</xdr:rowOff>
    </xdr:to>
    <xdr:cxnSp macro="">
      <xdr:nvCxnSpPr>
        <xdr:cNvPr id="954" name="Connecteur droit avec flèche 953"/>
        <xdr:cNvCxnSpPr/>
      </xdr:nvCxnSpPr>
      <xdr:spPr>
        <a:xfrm>
          <a:off x="12090702" y="25028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233</xdr:row>
      <xdr:rowOff>75596</xdr:rowOff>
    </xdr:from>
    <xdr:to>
      <xdr:col>14</xdr:col>
      <xdr:colOff>17237</xdr:colOff>
      <xdr:row>235</xdr:row>
      <xdr:rowOff>75594</xdr:rowOff>
    </xdr:to>
    <xdr:cxnSp macro="">
      <xdr:nvCxnSpPr>
        <xdr:cNvPr id="955" name="Connecteur droit avec flèche 954"/>
        <xdr:cNvCxnSpPr/>
      </xdr:nvCxnSpPr>
      <xdr:spPr>
        <a:xfrm flipV="1">
          <a:off x="11974287" y="25412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238</xdr:row>
      <xdr:rowOff>65012</xdr:rowOff>
    </xdr:from>
    <xdr:to>
      <xdr:col>14</xdr:col>
      <xdr:colOff>6654</xdr:colOff>
      <xdr:row>238</xdr:row>
      <xdr:rowOff>75597</xdr:rowOff>
    </xdr:to>
    <xdr:cxnSp macro="">
      <xdr:nvCxnSpPr>
        <xdr:cNvPr id="956" name="Connecteur droit avec flèche 955"/>
        <xdr:cNvCxnSpPr/>
      </xdr:nvCxnSpPr>
      <xdr:spPr>
        <a:xfrm>
          <a:off x="12101287" y="26354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236</xdr:row>
      <xdr:rowOff>54429</xdr:rowOff>
    </xdr:from>
    <xdr:to>
      <xdr:col>14</xdr:col>
      <xdr:colOff>27821</xdr:colOff>
      <xdr:row>236</xdr:row>
      <xdr:rowOff>65014</xdr:rowOff>
    </xdr:to>
    <xdr:cxnSp macro="">
      <xdr:nvCxnSpPr>
        <xdr:cNvPr id="957" name="Connecteur droit avec flèche 956"/>
        <xdr:cNvCxnSpPr/>
      </xdr:nvCxnSpPr>
      <xdr:spPr>
        <a:xfrm>
          <a:off x="12175371" y="25962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235</xdr:row>
      <xdr:rowOff>43846</xdr:rowOff>
    </xdr:from>
    <xdr:to>
      <xdr:col>13</xdr:col>
      <xdr:colOff>747487</xdr:colOff>
      <xdr:row>235</xdr:row>
      <xdr:rowOff>65014</xdr:rowOff>
    </xdr:to>
    <xdr:cxnSp macro="">
      <xdr:nvCxnSpPr>
        <xdr:cNvPr id="958" name="Connecteur droit avec flèche 957"/>
        <xdr:cNvCxnSpPr/>
      </xdr:nvCxnSpPr>
      <xdr:spPr>
        <a:xfrm>
          <a:off x="12027204" y="25761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237</xdr:row>
      <xdr:rowOff>107345</xdr:rowOff>
    </xdr:from>
    <xdr:to>
      <xdr:col>14</xdr:col>
      <xdr:colOff>38404</xdr:colOff>
      <xdr:row>238</xdr:row>
      <xdr:rowOff>65012</xdr:rowOff>
    </xdr:to>
    <xdr:cxnSp macro="">
      <xdr:nvCxnSpPr>
        <xdr:cNvPr id="959" name="Connecteur droit avec flèche 958"/>
        <xdr:cNvCxnSpPr/>
      </xdr:nvCxnSpPr>
      <xdr:spPr>
        <a:xfrm flipV="1">
          <a:off x="12101287" y="26205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229</xdr:row>
      <xdr:rowOff>33262</xdr:rowOff>
    </xdr:from>
    <xdr:to>
      <xdr:col>16</xdr:col>
      <xdr:colOff>123071</xdr:colOff>
      <xdr:row>229</xdr:row>
      <xdr:rowOff>45962</xdr:rowOff>
    </xdr:to>
    <xdr:cxnSp macro="">
      <xdr:nvCxnSpPr>
        <xdr:cNvPr id="960" name="Connecteur droit avec flèche 959"/>
        <xdr:cNvCxnSpPr/>
      </xdr:nvCxnSpPr>
      <xdr:spPr>
        <a:xfrm>
          <a:off x="13731120" y="24607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233</xdr:row>
      <xdr:rowOff>65012</xdr:rowOff>
    </xdr:from>
    <xdr:to>
      <xdr:col>16</xdr:col>
      <xdr:colOff>70154</xdr:colOff>
      <xdr:row>233</xdr:row>
      <xdr:rowOff>67129</xdr:rowOff>
    </xdr:to>
    <xdr:cxnSp macro="">
      <xdr:nvCxnSpPr>
        <xdr:cNvPr id="961" name="Connecteur droit avec flèche 960"/>
        <xdr:cNvCxnSpPr/>
      </xdr:nvCxnSpPr>
      <xdr:spPr>
        <a:xfrm>
          <a:off x="13699370" y="25401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231</xdr:row>
      <xdr:rowOff>65012</xdr:rowOff>
    </xdr:from>
    <xdr:to>
      <xdr:col>16</xdr:col>
      <xdr:colOff>144238</xdr:colOff>
      <xdr:row>231</xdr:row>
      <xdr:rowOff>67129</xdr:rowOff>
    </xdr:to>
    <xdr:cxnSp macro="">
      <xdr:nvCxnSpPr>
        <xdr:cNvPr id="962" name="Connecteur droit avec flèche 961"/>
        <xdr:cNvCxnSpPr/>
      </xdr:nvCxnSpPr>
      <xdr:spPr>
        <a:xfrm>
          <a:off x="13773454" y="25020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235</xdr:row>
      <xdr:rowOff>54429</xdr:rowOff>
    </xdr:from>
    <xdr:to>
      <xdr:col>16</xdr:col>
      <xdr:colOff>133654</xdr:colOff>
      <xdr:row>235</xdr:row>
      <xdr:rowOff>56546</xdr:rowOff>
    </xdr:to>
    <xdr:cxnSp macro="">
      <xdr:nvCxnSpPr>
        <xdr:cNvPr id="963" name="Connecteur droit avec flèche 962"/>
        <xdr:cNvCxnSpPr/>
      </xdr:nvCxnSpPr>
      <xdr:spPr>
        <a:xfrm>
          <a:off x="13762870" y="25771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237</xdr:row>
      <xdr:rowOff>54429</xdr:rowOff>
    </xdr:from>
    <xdr:to>
      <xdr:col>16</xdr:col>
      <xdr:colOff>80737</xdr:colOff>
      <xdr:row>237</xdr:row>
      <xdr:rowOff>56546</xdr:rowOff>
    </xdr:to>
    <xdr:cxnSp macro="">
      <xdr:nvCxnSpPr>
        <xdr:cNvPr id="964" name="Connecteur droit avec flèche 963"/>
        <xdr:cNvCxnSpPr/>
      </xdr:nvCxnSpPr>
      <xdr:spPr>
        <a:xfrm>
          <a:off x="13709953" y="26152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238</xdr:row>
      <xdr:rowOff>65012</xdr:rowOff>
    </xdr:from>
    <xdr:to>
      <xdr:col>16</xdr:col>
      <xdr:colOff>70155</xdr:colOff>
      <xdr:row>238</xdr:row>
      <xdr:rowOff>67129</xdr:rowOff>
    </xdr:to>
    <xdr:cxnSp macro="">
      <xdr:nvCxnSpPr>
        <xdr:cNvPr id="965" name="Connecteur droit avec flèche 964"/>
        <xdr:cNvCxnSpPr/>
      </xdr:nvCxnSpPr>
      <xdr:spPr>
        <a:xfrm>
          <a:off x="13699371" y="26354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236</xdr:row>
      <xdr:rowOff>65013</xdr:rowOff>
    </xdr:from>
    <xdr:to>
      <xdr:col>16</xdr:col>
      <xdr:colOff>38404</xdr:colOff>
      <xdr:row>236</xdr:row>
      <xdr:rowOff>67130</xdr:rowOff>
    </xdr:to>
    <xdr:cxnSp macro="">
      <xdr:nvCxnSpPr>
        <xdr:cNvPr id="966" name="Connecteur droit avec flèche 965"/>
        <xdr:cNvCxnSpPr/>
      </xdr:nvCxnSpPr>
      <xdr:spPr>
        <a:xfrm>
          <a:off x="13667620" y="25973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228</xdr:row>
      <xdr:rowOff>54429</xdr:rowOff>
    </xdr:from>
    <xdr:to>
      <xdr:col>16</xdr:col>
      <xdr:colOff>101904</xdr:colOff>
      <xdr:row>229</xdr:row>
      <xdr:rowOff>22680</xdr:rowOff>
    </xdr:to>
    <xdr:cxnSp macro="">
      <xdr:nvCxnSpPr>
        <xdr:cNvPr id="967" name="Connecteur droit avec flèche 966"/>
        <xdr:cNvCxnSpPr/>
      </xdr:nvCxnSpPr>
      <xdr:spPr>
        <a:xfrm flipV="1">
          <a:off x="13720536" y="24438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230</xdr:row>
      <xdr:rowOff>75596</xdr:rowOff>
    </xdr:from>
    <xdr:to>
      <xdr:col>16</xdr:col>
      <xdr:colOff>144237</xdr:colOff>
      <xdr:row>231</xdr:row>
      <xdr:rowOff>43847</xdr:rowOff>
    </xdr:to>
    <xdr:cxnSp macro="">
      <xdr:nvCxnSpPr>
        <xdr:cNvPr id="968" name="Connecteur droit avec flèche 967"/>
        <xdr:cNvCxnSpPr/>
      </xdr:nvCxnSpPr>
      <xdr:spPr>
        <a:xfrm flipV="1">
          <a:off x="13773454" y="24840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232</xdr:row>
      <xdr:rowOff>75596</xdr:rowOff>
    </xdr:from>
    <xdr:to>
      <xdr:col>16</xdr:col>
      <xdr:colOff>91320</xdr:colOff>
      <xdr:row>233</xdr:row>
      <xdr:rowOff>43847</xdr:rowOff>
    </xdr:to>
    <xdr:cxnSp macro="">
      <xdr:nvCxnSpPr>
        <xdr:cNvPr id="969" name="Connecteur droit avec flèche 968"/>
        <xdr:cNvCxnSpPr/>
      </xdr:nvCxnSpPr>
      <xdr:spPr>
        <a:xfrm flipV="1">
          <a:off x="13688787" y="25221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234</xdr:row>
      <xdr:rowOff>75596</xdr:rowOff>
    </xdr:from>
    <xdr:to>
      <xdr:col>16</xdr:col>
      <xdr:colOff>165404</xdr:colOff>
      <xdr:row>235</xdr:row>
      <xdr:rowOff>33264</xdr:rowOff>
    </xdr:to>
    <xdr:cxnSp macro="">
      <xdr:nvCxnSpPr>
        <xdr:cNvPr id="970" name="Connecteur droit avec flèche 969"/>
        <xdr:cNvCxnSpPr/>
      </xdr:nvCxnSpPr>
      <xdr:spPr>
        <a:xfrm flipV="1">
          <a:off x="13741703" y="25602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228</xdr:row>
      <xdr:rowOff>47625</xdr:rowOff>
    </xdr:from>
    <xdr:to>
      <xdr:col>10</xdr:col>
      <xdr:colOff>1031875</xdr:colOff>
      <xdr:row>238</xdr:row>
      <xdr:rowOff>142875</xdr:rowOff>
    </xdr:to>
    <xdr:sp macro="" textlink="">
      <xdr:nvSpPr>
        <xdr:cNvPr id="971" name="Accolade fermante 970"/>
        <xdr:cNvSpPr/>
      </xdr:nvSpPr>
      <xdr:spPr>
        <a:xfrm>
          <a:off x="10261600" y="244316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253</xdr:row>
      <xdr:rowOff>33264</xdr:rowOff>
    </xdr:from>
    <xdr:to>
      <xdr:col>14</xdr:col>
      <xdr:colOff>104019</xdr:colOff>
      <xdr:row>255</xdr:row>
      <xdr:rowOff>75596</xdr:rowOff>
    </xdr:to>
    <xdr:cxnSp macro="">
      <xdr:nvCxnSpPr>
        <xdr:cNvPr id="972" name="Connecteur droit avec flèche 971"/>
        <xdr:cNvCxnSpPr/>
      </xdr:nvCxnSpPr>
      <xdr:spPr>
        <a:xfrm flipV="1">
          <a:off x="12133036" y="24607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255</xdr:row>
      <xdr:rowOff>73481</xdr:rowOff>
    </xdr:from>
    <xdr:to>
      <xdr:col>14</xdr:col>
      <xdr:colOff>17236</xdr:colOff>
      <xdr:row>255</xdr:row>
      <xdr:rowOff>86180</xdr:rowOff>
    </xdr:to>
    <xdr:cxnSp macro="">
      <xdr:nvCxnSpPr>
        <xdr:cNvPr id="973" name="Connecteur droit avec flèche 972"/>
        <xdr:cNvCxnSpPr/>
      </xdr:nvCxnSpPr>
      <xdr:spPr>
        <a:xfrm>
          <a:off x="12090702" y="25028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257</xdr:row>
      <xdr:rowOff>75596</xdr:rowOff>
    </xdr:from>
    <xdr:to>
      <xdr:col>14</xdr:col>
      <xdr:colOff>17237</xdr:colOff>
      <xdr:row>259</xdr:row>
      <xdr:rowOff>75594</xdr:rowOff>
    </xdr:to>
    <xdr:cxnSp macro="">
      <xdr:nvCxnSpPr>
        <xdr:cNvPr id="974" name="Connecteur droit avec flèche 973"/>
        <xdr:cNvCxnSpPr/>
      </xdr:nvCxnSpPr>
      <xdr:spPr>
        <a:xfrm flipV="1">
          <a:off x="11974287" y="25412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262</xdr:row>
      <xdr:rowOff>65012</xdr:rowOff>
    </xdr:from>
    <xdr:to>
      <xdr:col>14</xdr:col>
      <xdr:colOff>6654</xdr:colOff>
      <xdr:row>262</xdr:row>
      <xdr:rowOff>75597</xdr:rowOff>
    </xdr:to>
    <xdr:cxnSp macro="">
      <xdr:nvCxnSpPr>
        <xdr:cNvPr id="975" name="Connecteur droit avec flèche 974"/>
        <xdr:cNvCxnSpPr/>
      </xdr:nvCxnSpPr>
      <xdr:spPr>
        <a:xfrm>
          <a:off x="12101287" y="26354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260</xdr:row>
      <xdr:rowOff>54429</xdr:rowOff>
    </xdr:from>
    <xdr:to>
      <xdr:col>14</xdr:col>
      <xdr:colOff>27821</xdr:colOff>
      <xdr:row>260</xdr:row>
      <xdr:rowOff>65014</xdr:rowOff>
    </xdr:to>
    <xdr:cxnSp macro="">
      <xdr:nvCxnSpPr>
        <xdr:cNvPr id="976" name="Connecteur droit avec flèche 975"/>
        <xdr:cNvCxnSpPr/>
      </xdr:nvCxnSpPr>
      <xdr:spPr>
        <a:xfrm>
          <a:off x="12175371" y="25962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259</xdr:row>
      <xdr:rowOff>43846</xdr:rowOff>
    </xdr:from>
    <xdr:to>
      <xdr:col>13</xdr:col>
      <xdr:colOff>747487</xdr:colOff>
      <xdr:row>259</xdr:row>
      <xdr:rowOff>65014</xdr:rowOff>
    </xdr:to>
    <xdr:cxnSp macro="">
      <xdr:nvCxnSpPr>
        <xdr:cNvPr id="977" name="Connecteur droit avec flèche 976"/>
        <xdr:cNvCxnSpPr/>
      </xdr:nvCxnSpPr>
      <xdr:spPr>
        <a:xfrm>
          <a:off x="12027204" y="25761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261</xdr:row>
      <xdr:rowOff>107345</xdr:rowOff>
    </xdr:from>
    <xdr:to>
      <xdr:col>14</xdr:col>
      <xdr:colOff>38404</xdr:colOff>
      <xdr:row>262</xdr:row>
      <xdr:rowOff>65012</xdr:rowOff>
    </xdr:to>
    <xdr:cxnSp macro="">
      <xdr:nvCxnSpPr>
        <xdr:cNvPr id="978" name="Connecteur droit avec flèche 977"/>
        <xdr:cNvCxnSpPr/>
      </xdr:nvCxnSpPr>
      <xdr:spPr>
        <a:xfrm flipV="1">
          <a:off x="12101287" y="26205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253</xdr:row>
      <xdr:rowOff>33262</xdr:rowOff>
    </xdr:from>
    <xdr:to>
      <xdr:col>16</xdr:col>
      <xdr:colOff>123071</xdr:colOff>
      <xdr:row>253</xdr:row>
      <xdr:rowOff>45962</xdr:rowOff>
    </xdr:to>
    <xdr:cxnSp macro="">
      <xdr:nvCxnSpPr>
        <xdr:cNvPr id="979" name="Connecteur droit avec flèche 978"/>
        <xdr:cNvCxnSpPr/>
      </xdr:nvCxnSpPr>
      <xdr:spPr>
        <a:xfrm>
          <a:off x="13731120" y="24607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257</xdr:row>
      <xdr:rowOff>65012</xdr:rowOff>
    </xdr:from>
    <xdr:to>
      <xdr:col>16</xdr:col>
      <xdr:colOff>70154</xdr:colOff>
      <xdr:row>257</xdr:row>
      <xdr:rowOff>67129</xdr:rowOff>
    </xdr:to>
    <xdr:cxnSp macro="">
      <xdr:nvCxnSpPr>
        <xdr:cNvPr id="980" name="Connecteur droit avec flèche 979"/>
        <xdr:cNvCxnSpPr/>
      </xdr:nvCxnSpPr>
      <xdr:spPr>
        <a:xfrm>
          <a:off x="13699370" y="25401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255</xdr:row>
      <xdr:rowOff>65012</xdr:rowOff>
    </xdr:from>
    <xdr:to>
      <xdr:col>16</xdr:col>
      <xdr:colOff>144238</xdr:colOff>
      <xdr:row>255</xdr:row>
      <xdr:rowOff>67129</xdr:rowOff>
    </xdr:to>
    <xdr:cxnSp macro="">
      <xdr:nvCxnSpPr>
        <xdr:cNvPr id="981" name="Connecteur droit avec flèche 980"/>
        <xdr:cNvCxnSpPr/>
      </xdr:nvCxnSpPr>
      <xdr:spPr>
        <a:xfrm>
          <a:off x="13773454" y="25020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259</xdr:row>
      <xdr:rowOff>54429</xdr:rowOff>
    </xdr:from>
    <xdr:to>
      <xdr:col>16</xdr:col>
      <xdr:colOff>133654</xdr:colOff>
      <xdr:row>259</xdr:row>
      <xdr:rowOff>56546</xdr:rowOff>
    </xdr:to>
    <xdr:cxnSp macro="">
      <xdr:nvCxnSpPr>
        <xdr:cNvPr id="982" name="Connecteur droit avec flèche 981"/>
        <xdr:cNvCxnSpPr/>
      </xdr:nvCxnSpPr>
      <xdr:spPr>
        <a:xfrm>
          <a:off x="13762870" y="25771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261</xdr:row>
      <xdr:rowOff>54429</xdr:rowOff>
    </xdr:from>
    <xdr:to>
      <xdr:col>16</xdr:col>
      <xdr:colOff>80737</xdr:colOff>
      <xdr:row>261</xdr:row>
      <xdr:rowOff>56546</xdr:rowOff>
    </xdr:to>
    <xdr:cxnSp macro="">
      <xdr:nvCxnSpPr>
        <xdr:cNvPr id="983" name="Connecteur droit avec flèche 982"/>
        <xdr:cNvCxnSpPr/>
      </xdr:nvCxnSpPr>
      <xdr:spPr>
        <a:xfrm>
          <a:off x="13709953" y="26152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262</xdr:row>
      <xdr:rowOff>65012</xdr:rowOff>
    </xdr:from>
    <xdr:to>
      <xdr:col>16</xdr:col>
      <xdr:colOff>70155</xdr:colOff>
      <xdr:row>262</xdr:row>
      <xdr:rowOff>67129</xdr:rowOff>
    </xdr:to>
    <xdr:cxnSp macro="">
      <xdr:nvCxnSpPr>
        <xdr:cNvPr id="984" name="Connecteur droit avec flèche 983"/>
        <xdr:cNvCxnSpPr/>
      </xdr:nvCxnSpPr>
      <xdr:spPr>
        <a:xfrm>
          <a:off x="13699371" y="26354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260</xdr:row>
      <xdr:rowOff>65013</xdr:rowOff>
    </xdr:from>
    <xdr:to>
      <xdr:col>16</xdr:col>
      <xdr:colOff>38404</xdr:colOff>
      <xdr:row>260</xdr:row>
      <xdr:rowOff>67130</xdr:rowOff>
    </xdr:to>
    <xdr:cxnSp macro="">
      <xdr:nvCxnSpPr>
        <xdr:cNvPr id="985" name="Connecteur droit avec flèche 984"/>
        <xdr:cNvCxnSpPr/>
      </xdr:nvCxnSpPr>
      <xdr:spPr>
        <a:xfrm>
          <a:off x="13667620" y="25973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252</xdr:row>
      <xdr:rowOff>54429</xdr:rowOff>
    </xdr:from>
    <xdr:to>
      <xdr:col>16</xdr:col>
      <xdr:colOff>101904</xdr:colOff>
      <xdr:row>253</xdr:row>
      <xdr:rowOff>22680</xdr:rowOff>
    </xdr:to>
    <xdr:cxnSp macro="">
      <xdr:nvCxnSpPr>
        <xdr:cNvPr id="986" name="Connecteur droit avec flèche 985"/>
        <xdr:cNvCxnSpPr/>
      </xdr:nvCxnSpPr>
      <xdr:spPr>
        <a:xfrm flipV="1">
          <a:off x="13720536" y="24438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254</xdr:row>
      <xdr:rowOff>75596</xdr:rowOff>
    </xdr:from>
    <xdr:to>
      <xdr:col>16</xdr:col>
      <xdr:colOff>144237</xdr:colOff>
      <xdr:row>255</xdr:row>
      <xdr:rowOff>43847</xdr:rowOff>
    </xdr:to>
    <xdr:cxnSp macro="">
      <xdr:nvCxnSpPr>
        <xdr:cNvPr id="987" name="Connecteur droit avec flèche 986"/>
        <xdr:cNvCxnSpPr/>
      </xdr:nvCxnSpPr>
      <xdr:spPr>
        <a:xfrm flipV="1">
          <a:off x="13773454" y="24840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256</xdr:row>
      <xdr:rowOff>75596</xdr:rowOff>
    </xdr:from>
    <xdr:to>
      <xdr:col>16</xdr:col>
      <xdr:colOff>91320</xdr:colOff>
      <xdr:row>257</xdr:row>
      <xdr:rowOff>43847</xdr:rowOff>
    </xdr:to>
    <xdr:cxnSp macro="">
      <xdr:nvCxnSpPr>
        <xdr:cNvPr id="988" name="Connecteur droit avec flèche 987"/>
        <xdr:cNvCxnSpPr/>
      </xdr:nvCxnSpPr>
      <xdr:spPr>
        <a:xfrm flipV="1">
          <a:off x="13688787" y="25221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258</xdr:row>
      <xdr:rowOff>75596</xdr:rowOff>
    </xdr:from>
    <xdr:to>
      <xdr:col>16</xdr:col>
      <xdr:colOff>165404</xdr:colOff>
      <xdr:row>259</xdr:row>
      <xdr:rowOff>33264</xdr:rowOff>
    </xdr:to>
    <xdr:cxnSp macro="">
      <xdr:nvCxnSpPr>
        <xdr:cNvPr id="989" name="Connecteur droit avec flèche 988"/>
        <xdr:cNvCxnSpPr/>
      </xdr:nvCxnSpPr>
      <xdr:spPr>
        <a:xfrm flipV="1">
          <a:off x="13741703" y="25602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252</xdr:row>
      <xdr:rowOff>47625</xdr:rowOff>
    </xdr:from>
    <xdr:to>
      <xdr:col>10</xdr:col>
      <xdr:colOff>1031875</xdr:colOff>
      <xdr:row>262</xdr:row>
      <xdr:rowOff>142875</xdr:rowOff>
    </xdr:to>
    <xdr:sp macro="" textlink="">
      <xdr:nvSpPr>
        <xdr:cNvPr id="990" name="Accolade fermante 989"/>
        <xdr:cNvSpPr/>
      </xdr:nvSpPr>
      <xdr:spPr>
        <a:xfrm>
          <a:off x="10261600" y="244316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374</xdr:row>
      <xdr:rowOff>103911</xdr:rowOff>
    </xdr:from>
    <xdr:to>
      <xdr:col>11</xdr:col>
      <xdr:colOff>714375</xdr:colOff>
      <xdr:row>374</xdr:row>
      <xdr:rowOff>114300</xdr:rowOff>
    </xdr:to>
    <xdr:cxnSp macro="">
      <xdr:nvCxnSpPr>
        <xdr:cNvPr id="991" name="Connecteur droit avec flèche 990"/>
        <xdr:cNvCxnSpPr/>
      </xdr:nvCxnSpPr>
      <xdr:spPr>
        <a:xfrm>
          <a:off x="10463645" y="669694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374</xdr:row>
      <xdr:rowOff>114300</xdr:rowOff>
    </xdr:from>
    <xdr:to>
      <xdr:col>12</xdr:col>
      <xdr:colOff>348344</xdr:colOff>
      <xdr:row>374</xdr:row>
      <xdr:rowOff>122464</xdr:rowOff>
    </xdr:to>
    <xdr:cxnSp macro="">
      <xdr:nvCxnSpPr>
        <xdr:cNvPr id="992" name="Connecteur droit avec flèche 991"/>
        <xdr:cNvCxnSpPr/>
      </xdr:nvCxnSpPr>
      <xdr:spPr>
        <a:xfrm>
          <a:off x="10556422" y="669798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369</xdr:row>
      <xdr:rowOff>72573</xdr:rowOff>
    </xdr:from>
    <xdr:to>
      <xdr:col>12</xdr:col>
      <xdr:colOff>429079</xdr:colOff>
      <xdr:row>374</xdr:row>
      <xdr:rowOff>108857</xdr:rowOff>
    </xdr:to>
    <xdr:cxnSp macro="">
      <xdr:nvCxnSpPr>
        <xdr:cNvPr id="993" name="Connecteur droit avec flèche 992"/>
        <xdr:cNvCxnSpPr/>
      </xdr:nvCxnSpPr>
      <xdr:spPr>
        <a:xfrm flipV="1">
          <a:off x="10605408" y="659855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373</xdr:row>
      <xdr:rowOff>27215</xdr:rowOff>
    </xdr:from>
    <xdr:to>
      <xdr:col>12</xdr:col>
      <xdr:colOff>286960</xdr:colOff>
      <xdr:row>374</xdr:row>
      <xdr:rowOff>108857</xdr:rowOff>
    </xdr:to>
    <xdr:cxnSp macro="">
      <xdr:nvCxnSpPr>
        <xdr:cNvPr id="994" name="Connecteur droit avec flèche 993"/>
        <xdr:cNvCxnSpPr/>
      </xdr:nvCxnSpPr>
      <xdr:spPr>
        <a:xfrm flipV="1">
          <a:off x="10591801" y="667022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367</xdr:row>
      <xdr:rowOff>19657</xdr:rowOff>
    </xdr:from>
    <xdr:to>
      <xdr:col>14</xdr:col>
      <xdr:colOff>261862</xdr:colOff>
      <xdr:row>369</xdr:row>
      <xdr:rowOff>61989</xdr:rowOff>
    </xdr:to>
    <xdr:cxnSp macro="">
      <xdr:nvCxnSpPr>
        <xdr:cNvPr id="995" name="Connecteur droit avec flèche 994"/>
        <xdr:cNvCxnSpPr/>
      </xdr:nvCxnSpPr>
      <xdr:spPr>
        <a:xfrm flipV="1">
          <a:off x="12290879" y="655516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369</xdr:row>
      <xdr:rowOff>59874</xdr:rowOff>
    </xdr:from>
    <xdr:to>
      <xdr:col>14</xdr:col>
      <xdr:colOff>175079</xdr:colOff>
      <xdr:row>369</xdr:row>
      <xdr:rowOff>72573</xdr:rowOff>
    </xdr:to>
    <xdr:cxnSp macro="">
      <xdr:nvCxnSpPr>
        <xdr:cNvPr id="996" name="Connecteur droit avec flèche 995"/>
        <xdr:cNvCxnSpPr/>
      </xdr:nvCxnSpPr>
      <xdr:spPr>
        <a:xfrm>
          <a:off x="12248545" y="659728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371</xdr:row>
      <xdr:rowOff>61989</xdr:rowOff>
    </xdr:from>
    <xdr:to>
      <xdr:col>14</xdr:col>
      <xdr:colOff>175080</xdr:colOff>
      <xdr:row>373</xdr:row>
      <xdr:rowOff>61987</xdr:rowOff>
    </xdr:to>
    <xdr:cxnSp macro="">
      <xdr:nvCxnSpPr>
        <xdr:cNvPr id="997" name="Connecteur droit avec flèche 996"/>
        <xdr:cNvCxnSpPr/>
      </xdr:nvCxnSpPr>
      <xdr:spPr>
        <a:xfrm flipV="1">
          <a:off x="12132130" y="663559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374</xdr:row>
      <xdr:rowOff>93738</xdr:rowOff>
    </xdr:from>
    <xdr:to>
      <xdr:col>14</xdr:col>
      <xdr:colOff>26914</xdr:colOff>
      <xdr:row>374</xdr:row>
      <xdr:rowOff>104323</xdr:rowOff>
    </xdr:to>
    <xdr:cxnSp macro="">
      <xdr:nvCxnSpPr>
        <xdr:cNvPr id="998" name="Connecteur droit avec flèche 997"/>
        <xdr:cNvCxnSpPr/>
      </xdr:nvCxnSpPr>
      <xdr:spPr>
        <a:xfrm>
          <a:off x="12174464" y="669592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373</xdr:row>
      <xdr:rowOff>30239</xdr:rowOff>
    </xdr:from>
    <xdr:to>
      <xdr:col>14</xdr:col>
      <xdr:colOff>143330</xdr:colOff>
      <xdr:row>373</xdr:row>
      <xdr:rowOff>51407</xdr:rowOff>
    </xdr:to>
    <xdr:cxnSp macro="">
      <xdr:nvCxnSpPr>
        <xdr:cNvPr id="999" name="Connecteur droit avec flèche 998"/>
        <xdr:cNvCxnSpPr/>
      </xdr:nvCxnSpPr>
      <xdr:spPr>
        <a:xfrm>
          <a:off x="12185047" y="667052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367</xdr:row>
      <xdr:rowOff>101298</xdr:rowOff>
    </xdr:from>
    <xdr:to>
      <xdr:col>16</xdr:col>
      <xdr:colOff>267307</xdr:colOff>
      <xdr:row>367</xdr:row>
      <xdr:rowOff>113998</xdr:rowOff>
    </xdr:to>
    <xdr:cxnSp macro="">
      <xdr:nvCxnSpPr>
        <xdr:cNvPr id="1000" name="Connecteur droit avec flèche 999"/>
        <xdr:cNvCxnSpPr/>
      </xdr:nvCxnSpPr>
      <xdr:spPr>
        <a:xfrm>
          <a:off x="13875356" y="656332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371</xdr:row>
      <xdr:rowOff>133048</xdr:rowOff>
    </xdr:from>
    <xdr:to>
      <xdr:col>16</xdr:col>
      <xdr:colOff>214390</xdr:colOff>
      <xdr:row>371</xdr:row>
      <xdr:rowOff>135165</xdr:rowOff>
    </xdr:to>
    <xdr:cxnSp macro="">
      <xdr:nvCxnSpPr>
        <xdr:cNvPr id="1001" name="Connecteur droit avec flèche 1000"/>
        <xdr:cNvCxnSpPr/>
      </xdr:nvCxnSpPr>
      <xdr:spPr>
        <a:xfrm>
          <a:off x="13843606" y="66427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369</xdr:row>
      <xdr:rowOff>133048</xdr:rowOff>
    </xdr:from>
    <xdr:to>
      <xdr:col>16</xdr:col>
      <xdr:colOff>288474</xdr:colOff>
      <xdr:row>369</xdr:row>
      <xdr:rowOff>135165</xdr:rowOff>
    </xdr:to>
    <xdr:cxnSp macro="">
      <xdr:nvCxnSpPr>
        <xdr:cNvPr id="1002" name="Connecteur droit avec flèche 1001"/>
        <xdr:cNvCxnSpPr/>
      </xdr:nvCxnSpPr>
      <xdr:spPr>
        <a:xfrm>
          <a:off x="13917690" y="66046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373</xdr:row>
      <xdr:rowOff>122465</xdr:rowOff>
    </xdr:from>
    <xdr:to>
      <xdr:col>16</xdr:col>
      <xdr:colOff>277890</xdr:colOff>
      <xdr:row>373</xdr:row>
      <xdr:rowOff>124582</xdr:rowOff>
    </xdr:to>
    <xdr:cxnSp macro="">
      <xdr:nvCxnSpPr>
        <xdr:cNvPr id="1003" name="Connecteur droit avec flèche 1002"/>
        <xdr:cNvCxnSpPr/>
      </xdr:nvCxnSpPr>
      <xdr:spPr>
        <a:xfrm>
          <a:off x="13907106" y="667974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374</xdr:row>
      <xdr:rowOff>133049</xdr:rowOff>
    </xdr:from>
    <xdr:to>
      <xdr:col>16</xdr:col>
      <xdr:colOff>182640</xdr:colOff>
      <xdr:row>374</xdr:row>
      <xdr:rowOff>135166</xdr:rowOff>
    </xdr:to>
    <xdr:cxnSp macro="">
      <xdr:nvCxnSpPr>
        <xdr:cNvPr id="1004" name="Connecteur droit avec flèche 1003"/>
        <xdr:cNvCxnSpPr/>
      </xdr:nvCxnSpPr>
      <xdr:spPr>
        <a:xfrm>
          <a:off x="13811856" y="669985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366</xdr:row>
      <xdr:rowOff>122465</xdr:rowOff>
    </xdr:from>
    <xdr:to>
      <xdr:col>16</xdr:col>
      <xdr:colOff>246140</xdr:colOff>
      <xdr:row>367</xdr:row>
      <xdr:rowOff>90716</xdr:rowOff>
    </xdr:to>
    <xdr:cxnSp macro="">
      <xdr:nvCxnSpPr>
        <xdr:cNvPr id="1005" name="Connecteur droit avec flèche 1004"/>
        <xdr:cNvCxnSpPr/>
      </xdr:nvCxnSpPr>
      <xdr:spPr>
        <a:xfrm flipV="1">
          <a:off x="13864772" y="654639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368</xdr:row>
      <xdr:rowOff>143632</xdr:rowOff>
    </xdr:from>
    <xdr:to>
      <xdr:col>16</xdr:col>
      <xdr:colOff>288473</xdr:colOff>
      <xdr:row>369</xdr:row>
      <xdr:rowOff>111883</xdr:rowOff>
    </xdr:to>
    <xdr:cxnSp macro="">
      <xdr:nvCxnSpPr>
        <xdr:cNvPr id="1006" name="Connecteur droit avec flèche 1005"/>
        <xdr:cNvCxnSpPr/>
      </xdr:nvCxnSpPr>
      <xdr:spPr>
        <a:xfrm flipV="1">
          <a:off x="13917690" y="658661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370</xdr:row>
      <xdr:rowOff>143632</xdr:rowOff>
    </xdr:from>
    <xdr:to>
      <xdr:col>16</xdr:col>
      <xdr:colOff>235556</xdr:colOff>
      <xdr:row>371</xdr:row>
      <xdr:rowOff>111883</xdr:rowOff>
    </xdr:to>
    <xdr:cxnSp macro="">
      <xdr:nvCxnSpPr>
        <xdr:cNvPr id="1007" name="Connecteur droit avec flèche 1006"/>
        <xdr:cNvCxnSpPr/>
      </xdr:nvCxnSpPr>
      <xdr:spPr>
        <a:xfrm flipV="1">
          <a:off x="13833023" y="662471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372</xdr:row>
      <xdr:rowOff>122464</xdr:rowOff>
    </xdr:from>
    <xdr:to>
      <xdr:col>16</xdr:col>
      <xdr:colOff>176893</xdr:colOff>
      <xdr:row>373</xdr:row>
      <xdr:rowOff>101300</xdr:rowOff>
    </xdr:to>
    <xdr:cxnSp macro="">
      <xdr:nvCxnSpPr>
        <xdr:cNvPr id="1008" name="Connecteur droit avec flèche 1007"/>
        <xdr:cNvCxnSpPr/>
      </xdr:nvCxnSpPr>
      <xdr:spPr>
        <a:xfrm flipV="1">
          <a:off x="13885939" y="666069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366</xdr:row>
      <xdr:rowOff>5292</xdr:rowOff>
    </xdr:from>
    <xdr:to>
      <xdr:col>10</xdr:col>
      <xdr:colOff>963084</xdr:colOff>
      <xdr:row>374</xdr:row>
      <xdr:rowOff>158751</xdr:rowOff>
    </xdr:to>
    <xdr:sp macro="" textlink="">
      <xdr:nvSpPr>
        <xdr:cNvPr id="1009" name="Accolade fermante 1008"/>
        <xdr:cNvSpPr/>
      </xdr:nvSpPr>
      <xdr:spPr>
        <a:xfrm>
          <a:off x="10219268" y="653467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354</xdr:row>
      <xdr:rowOff>103911</xdr:rowOff>
    </xdr:from>
    <xdr:to>
      <xdr:col>11</xdr:col>
      <xdr:colOff>714375</xdr:colOff>
      <xdr:row>354</xdr:row>
      <xdr:rowOff>114300</xdr:rowOff>
    </xdr:to>
    <xdr:cxnSp macro="">
      <xdr:nvCxnSpPr>
        <xdr:cNvPr id="1048" name="Connecteur droit avec flèche 1047"/>
        <xdr:cNvCxnSpPr/>
      </xdr:nvCxnSpPr>
      <xdr:spPr>
        <a:xfrm>
          <a:off x="10463645" y="667789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354</xdr:row>
      <xdr:rowOff>114300</xdr:rowOff>
    </xdr:from>
    <xdr:to>
      <xdr:col>12</xdr:col>
      <xdr:colOff>348344</xdr:colOff>
      <xdr:row>354</xdr:row>
      <xdr:rowOff>122464</xdr:rowOff>
    </xdr:to>
    <xdr:cxnSp macro="">
      <xdr:nvCxnSpPr>
        <xdr:cNvPr id="1049" name="Connecteur droit avec flèche 1048"/>
        <xdr:cNvCxnSpPr/>
      </xdr:nvCxnSpPr>
      <xdr:spPr>
        <a:xfrm>
          <a:off x="10556422" y="667893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349</xdr:row>
      <xdr:rowOff>72573</xdr:rowOff>
    </xdr:from>
    <xdr:to>
      <xdr:col>12</xdr:col>
      <xdr:colOff>429079</xdr:colOff>
      <xdr:row>354</xdr:row>
      <xdr:rowOff>108857</xdr:rowOff>
    </xdr:to>
    <xdr:cxnSp macro="">
      <xdr:nvCxnSpPr>
        <xdr:cNvPr id="1050" name="Connecteur droit avec flèche 1049"/>
        <xdr:cNvCxnSpPr/>
      </xdr:nvCxnSpPr>
      <xdr:spPr>
        <a:xfrm flipV="1">
          <a:off x="10605408" y="657950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353</xdr:row>
      <xdr:rowOff>27215</xdr:rowOff>
    </xdr:from>
    <xdr:to>
      <xdr:col>12</xdr:col>
      <xdr:colOff>286960</xdr:colOff>
      <xdr:row>354</xdr:row>
      <xdr:rowOff>108857</xdr:rowOff>
    </xdr:to>
    <xdr:cxnSp macro="">
      <xdr:nvCxnSpPr>
        <xdr:cNvPr id="1051" name="Connecteur droit avec flèche 1050"/>
        <xdr:cNvCxnSpPr/>
      </xdr:nvCxnSpPr>
      <xdr:spPr>
        <a:xfrm flipV="1">
          <a:off x="10591801" y="665117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347</xdr:row>
      <xdr:rowOff>19657</xdr:rowOff>
    </xdr:from>
    <xdr:to>
      <xdr:col>14</xdr:col>
      <xdr:colOff>261862</xdr:colOff>
      <xdr:row>349</xdr:row>
      <xdr:rowOff>61989</xdr:rowOff>
    </xdr:to>
    <xdr:cxnSp macro="">
      <xdr:nvCxnSpPr>
        <xdr:cNvPr id="1052" name="Connecteur droit avec flèche 1051"/>
        <xdr:cNvCxnSpPr/>
      </xdr:nvCxnSpPr>
      <xdr:spPr>
        <a:xfrm flipV="1">
          <a:off x="12290879" y="65361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349</xdr:row>
      <xdr:rowOff>59874</xdr:rowOff>
    </xdr:from>
    <xdr:to>
      <xdr:col>14</xdr:col>
      <xdr:colOff>175079</xdr:colOff>
      <xdr:row>349</xdr:row>
      <xdr:rowOff>72573</xdr:rowOff>
    </xdr:to>
    <xdr:cxnSp macro="">
      <xdr:nvCxnSpPr>
        <xdr:cNvPr id="1053" name="Connecteur droit avec flèche 1052"/>
        <xdr:cNvCxnSpPr/>
      </xdr:nvCxnSpPr>
      <xdr:spPr>
        <a:xfrm>
          <a:off x="12248545" y="65782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351</xdr:row>
      <xdr:rowOff>61989</xdr:rowOff>
    </xdr:from>
    <xdr:to>
      <xdr:col>14</xdr:col>
      <xdr:colOff>175080</xdr:colOff>
      <xdr:row>353</xdr:row>
      <xdr:rowOff>61987</xdr:rowOff>
    </xdr:to>
    <xdr:cxnSp macro="">
      <xdr:nvCxnSpPr>
        <xdr:cNvPr id="1054" name="Connecteur droit avec flèche 1053"/>
        <xdr:cNvCxnSpPr/>
      </xdr:nvCxnSpPr>
      <xdr:spPr>
        <a:xfrm flipV="1">
          <a:off x="12132130" y="66165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354</xdr:row>
      <xdr:rowOff>93738</xdr:rowOff>
    </xdr:from>
    <xdr:to>
      <xdr:col>14</xdr:col>
      <xdr:colOff>26914</xdr:colOff>
      <xdr:row>354</xdr:row>
      <xdr:rowOff>104323</xdr:rowOff>
    </xdr:to>
    <xdr:cxnSp macro="">
      <xdr:nvCxnSpPr>
        <xdr:cNvPr id="1055" name="Connecteur droit avec flèche 1054"/>
        <xdr:cNvCxnSpPr/>
      </xdr:nvCxnSpPr>
      <xdr:spPr>
        <a:xfrm>
          <a:off x="12174464" y="667687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353</xdr:row>
      <xdr:rowOff>30239</xdr:rowOff>
    </xdr:from>
    <xdr:to>
      <xdr:col>14</xdr:col>
      <xdr:colOff>143330</xdr:colOff>
      <xdr:row>353</xdr:row>
      <xdr:rowOff>51407</xdr:rowOff>
    </xdr:to>
    <xdr:cxnSp macro="">
      <xdr:nvCxnSpPr>
        <xdr:cNvPr id="1056" name="Connecteur droit avec flèche 1055"/>
        <xdr:cNvCxnSpPr/>
      </xdr:nvCxnSpPr>
      <xdr:spPr>
        <a:xfrm>
          <a:off x="12185047" y="66514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347</xdr:row>
      <xdr:rowOff>101298</xdr:rowOff>
    </xdr:from>
    <xdr:to>
      <xdr:col>16</xdr:col>
      <xdr:colOff>267307</xdr:colOff>
      <xdr:row>347</xdr:row>
      <xdr:rowOff>113998</xdr:rowOff>
    </xdr:to>
    <xdr:cxnSp macro="">
      <xdr:nvCxnSpPr>
        <xdr:cNvPr id="1057" name="Connecteur droit avec flèche 1056"/>
        <xdr:cNvCxnSpPr/>
      </xdr:nvCxnSpPr>
      <xdr:spPr>
        <a:xfrm>
          <a:off x="13875356" y="65442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351</xdr:row>
      <xdr:rowOff>133048</xdr:rowOff>
    </xdr:from>
    <xdr:to>
      <xdr:col>16</xdr:col>
      <xdr:colOff>214390</xdr:colOff>
      <xdr:row>351</xdr:row>
      <xdr:rowOff>135165</xdr:rowOff>
    </xdr:to>
    <xdr:cxnSp macro="">
      <xdr:nvCxnSpPr>
        <xdr:cNvPr id="1058" name="Connecteur droit avec flèche 1057"/>
        <xdr:cNvCxnSpPr/>
      </xdr:nvCxnSpPr>
      <xdr:spPr>
        <a:xfrm>
          <a:off x="13843606" y="66236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349</xdr:row>
      <xdr:rowOff>133048</xdr:rowOff>
    </xdr:from>
    <xdr:to>
      <xdr:col>16</xdr:col>
      <xdr:colOff>288474</xdr:colOff>
      <xdr:row>349</xdr:row>
      <xdr:rowOff>135165</xdr:rowOff>
    </xdr:to>
    <xdr:cxnSp macro="">
      <xdr:nvCxnSpPr>
        <xdr:cNvPr id="1059" name="Connecteur droit avec flèche 1058"/>
        <xdr:cNvCxnSpPr/>
      </xdr:nvCxnSpPr>
      <xdr:spPr>
        <a:xfrm>
          <a:off x="13917690" y="65855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353</xdr:row>
      <xdr:rowOff>122465</xdr:rowOff>
    </xdr:from>
    <xdr:to>
      <xdr:col>16</xdr:col>
      <xdr:colOff>277890</xdr:colOff>
      <xdr:row>353</xdr:row>
      <xdr:rowOff>124582</xdr:rowOff>
    </xdr:to>
    <xdr:cxnSp macro="">
      <xdr:nvCxnSpPr>
        <xdr:cNvPr id="1060" name="Connecteur droit avec flèche 1059"/>
        <xdr:cNvCxnSpPr/>
      </xdr:nvCxnSpPr>
      <xdr:spPr>
        <a:xfrm>
          <a:off x="13907106" y="66606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354</xdr:row>
      <xdr:rowOff>133049</xdr:rowOff>
    </xdr:from>
    <xdr:to>
      <xdr:col>16</xdr:col>
      <xdr:colOff>182640</xdr:colOff>
      <xdr:row>354</xdr:row>
      <xdr:rowOff>135166</xdr:rowOff>
    </xdr:to>
    <xdr:cxnSp macro="">
      <xdr:nvCxnSpPr>
        <xdr:cNvPr id="1061" name="Connecteur droit avec flèche 1060"/>
        <xdr:cNvCxnSpPr/>
      </xdr:nvCxnSpPr>
      <xdr:spPr>
        <a:xfrm>
          <a:off x="13811856" y="66808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346</xdr:row>
      <xdr:rowOff>122465</xdr:rowOff>
    </xdr:from>
    <xdr:to>
      <xdr:col>16</xdr:col>
      <xdr:colOff>246140</xdr:colOff>
      <xdr:row>347</xdr:row>
      <xdr:rowOff>90716</xdr:rowOff>
    </xdr:to>
    <xdr:cxnSp macro="">
      <xdr:nvCxnSpPr>
        <xdr:cNvPr id="1062" name="Connecteur droit avec flèche 1061"/>
        <xdr:cNvCxnSpPr/>
      </xdr:nvCxnSpPr>
      <xdr:spPr>
        <a:xfrm flipV="1">
          <a:off x="13864772" y="65273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348</xdr:row>
      <xdr:rowOff>143632</xdr:rowOff>
    </xdr:from>
    <xdr:to>
      <xdr:col>16</xdr:col>
      <xdr:colOff>288473</xdr:colOff>
      <xdr:row>349</xdr:row>
      <xdr:rowOff>111883</xdr:rowOff>
    </xdr:to>
    <xdr:cxnSp macro="">
      <xdr:nvCxnSpPr>
        <xdr:cNvPr id="1063" name="Connecteur droit avec flèche 1062"/>
        <xdr:cNvCxnSpPr/>
      </xdr:nvCxnSpPr>
      <xdr:spPr>
        <a:xfrm flipV="1">
          <a:off x="13917690" y="65675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350</xdr:row>
      <xdr:rowOff>143632</xdr:rowOff>
    </xdr:from>
    <xdr:to>
      <xdr:col>16</xdr:col>
      <xdr:colOff>235556</xdr:colOff>
      <xdr:row>351</xdr:row>
      <xdr:rowOff>111883</xdr:rowOff>
    </xdr:to>
    <xdr:cxnSp macro="">
      <xdr:nvCxnSpPr>
        <xdr:cNvPr id="1064" name="Connecteur droit avec flèche 1063"/>
        <xdr:cNvCxnSpPr/>
      </xdr:nvCxnSpPr>
      <xdr:spPr>
        <a:xfrm flipV="1">
          <a:off x="13833023" y="66056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352</xdr:row>
      <xdr:rowOff>122464</xdr:rowOff>
    </xdr:from>
    <xdr:to>
      <xdr:col>16</xdr:col>
      <xdr:colOff>176893</xdr:colOff>
      <xdr:row>353</xdr:row>
      <xdr:rowOff>101300</xdr:rowOff>
    </xdr:to>
    <xdr:cxnSp macro="">
      <xdr:nvCxnSpPr>
        <xdr:cNvPr id="1065" name="Connecteur droit avec flèche 1064"/>
        <xdr:cNvCxnSpPr/>
      </xdr:nvCxnSpPr>
      <xdr:spPr>
        <a:xfrm flipV="1">
          <a:off x="13885939" y="664164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346</xdr:row>
      <xdr:rowOff>5292</xdr:rowOff>
    </xdr:from>
    <xdr:to>
      <xdr:col>10</xdr:col>
      <xdr:colOff>963084</xdr:colOff>
      <xdr:row>354</xdr:row>
      <xdr:rowOff>158751</xdr:rowOff>
    </xdr:to>
    <xdr:sp macro="" textlink="">
      <xdr:nvSpPr>
        <xdr:cNvPr id="1066" name="Accolade fermante 1065"/>
        <xdr:cNvSpPr/>
      </xdr:nvSpPr>
      <xdr:spPr>
        <a:xfrm>
          <a:off x="10219268" y="651562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334</xdr:row>
      <xdr:rowOff>103911</xdr:rowOff>
    </xdr:from>
    <xdr:to>
      <xdr:col>11</xdr:col>
      <xdr:colOff>714375</xdr:colOff>
      <xdr:row>334</xdr:row>
      <xdr:rowOff>114300</xdr:rowOff>
    </xdr:to>
    <xdr:cxnSp macro="">
      <xdr:nvCxnSpPr>
        <xdr:cNvPr id="1067" name="Connecteur droit avec flèche 1066"/>
        <xdr:cNvCxnSpPr/>
      </xdr:nvCxnSpPr>
      <xdr:spPr>
        <a:xfrm>
          <a:off x="10463645" y="686839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334</xdr:row>
      <xdr:rowOff>114300</xdr:rowOff>
    </xdr:from>
    <xdr:to>
      <xdr:col>12</xdr:col>
      <xdr:colOff>348344</xdr:colOff>
      <xdr:row>334</xdr:row>
      <xdr:rowOff>122464</xdr:rowOff>
    </xdr:to>
    <xdr:cxnSp macro="">
      <xdr:nvCxnSpPr>
        <xdr:cNvPr id="1068" name="Connecteur droit avec flèche 1067"/>
        <xdr:cNvCxnSpPr/>
      </xdr:nvCxnSpPr>
      <xdr:spPr>
        <a:xfrm>
          <a:off x="10556422" y="686943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329</xdr:row>
      <xdr:rowOff>72573</xdr:rowOff>
    </xdr:from>
    <xdr:to>
      <xdr:col>12</xdr:col>
      <xdr:colOff>429079</xdr:colOff>
      <xdr:row>334</xdr:row>
      <xdr:rowOff>108857</xdr:rowOff>
    </xdr:to>
    <xdr:cxnSp macro="">
      <xdr:nvCxnSpPr>
        <xdr:cNvPr id="1069" name="Connecteur droit avec flèche 1068"/>
        <xdr:cNvCxnSpPr/>
      </xdr:nvCxnSpPr>
      <xdr:spPr>
        <a:xfrm flipV="1">
          <a:off x="10605408" y="677000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333</xdr:row>
      <xdr:rowOff>27215</xdr:rowOff>
    </xdr:from>
    <xdr:to>
      <xdr:col>12</xdr:col>
      <xdr:colOff>286960</xdr:colOff>
      <xdr:row>334</xdr:row>
      <xdr:rowOff>108857</xdr:rowOff>
    </xdr:to>
    <xdr:cxnSp macro="">
      <xdr:nvCxnSpPr>
        <xdr:cNvPr id="1070" name="Connecteur droit avec flèche 1069"/>
        <xdr:cNvCxnSpPr/>
      </xdr:nvCxnSpPr>
      <xdr:spPr>
        <a:xfrm flipV="1">
          <a:off x="10591801" y="684167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327</xdr:row>
      <xdr:rowOff>19657</xdr:rowOff>
    </xdr:from>
    <xdr:to>
      <xdr:col>14</xdr:col>
      <xdr:colOff>261862</xdr:colOff>
      <xdr:row>329</xdr:row>
      <xdr:rowOff>61989</xdr:rowOff>
    </xdr:to>
    <xdr:cxnSp macro="">
      <xdr:nvCxnSpPr>
        <xdr:cNvPr id="1071" name="Connecteur droit avec flèche 1070"/>
        <xdr:cNvCxnSpPr/>
      </xdr:nvCxnSpPr>
      <xdr:spPr>
        <a:xfrm flipV="1">
          <a:off x="12290879" y="67266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329</xdr:row>
      <xdr:rowOff>59874</xdr:rowOff>
    </xdr:from>
    <xdr:to>
      <xdr:col>14</xdr:col>
      <xdr:colOff>175079</xdr:colOff>
      <xdr:row>329</xdr:row>
      <xdr:rowOff>72573</xdr:rowOff>
    </xdr:to>
    <xdr:cxnSp macro="">
      <xdr:nvCxnSpPr>
        <xdr:cNvPr id="1072" name="Connecteur droit avec flèche 1071"/>
        <xdr:cNvCxnSpPr/>
      </xdr:nvCxnSpPr>
      <xdr:spPr>
        <a:xfrm>
          <a:off x="12248545" y="67687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331</xdr:row>
      <xdr:rowOff>61989</xdr:rowOff>
    </xdr:from>
    <xdr:to>
      <xdr:col>14</xdr:col>
      <xdr:colOff>175080</xdr:colOff>
      <xdr:row>333</xdr:row>
      <xdr:rowOff>61987</xdr:rowOff>
    </xdr:to>
    <xdr:cxnSp macro="">
      <xdr:nvCxnSpPr>
        <xdr:cNvPr id="1073" name="Connecteur droit avec flèche 1072"/>
        <xdr:cNvCxnSpPr/>
      </xdr:nvCxnSpPr>
      <xdr:spPr>
        <a:xfrm flipV="1">
          <a:off x="12132130" y="68070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334</xdr:row>
      <xdr:rowOff>93738</xdr:rowOff>
    </xdr:from>
    <xdr:to>
      <xdr:col>14</xdr:col>
      <xdr:colOff>26914</xdr:colOff>
      <xdr:row>334</xdr:row>
      <xdr:rowOff>104323</xdr:rowOff>
    </xdr:to>
    <xdr:cxnSp macro="">
      <xdr:nvCxnSpPr>
        <xdr:cNvPr id="1074" name="Connecteur droit avec flèche 1073"/>
        <xdr:cNvCxnSpPr/>
      </xdr:nvCxnSpPr>
      <xdr:spPr>
        <a:xfrm>
          <a:off x="12174464" y="686737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333</xdr:row>
      <xdr:rowOff>30239</xdr:rowOff>
    </xdr:from>
    <xdr:to>
      <xdr:col>14</xdr:col>
      <xdr:colOff>143330</xdr:colOff>
      <xdr:row>333</xdr:row>
      <xdr:rowOff>51407</xdr:rowOff>
    </xdr:to>
    <xdr:cxnSp macro="">
      <xdr:nvCxnSpPr>
        <xdr:cNvPr id="1075" name="Connecteur droit avec flèche 1074"/>
        <xdr:cNvCxnSpPr/>
      </xdr:nvCxnSpPr>
      <xdr:spPr>
        <a:xfrm>
          <a:off x="12185047" y="68419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327</xdr:row>
      <xdr:rowOff>101298</xdr:rowOff>
    </xdr:from>
    <xdr:to>
      <xdr:col>16</xdr:col>
      <xdr:colOff>267307</xdr:colOff>
      <xdr:row>327</xdr:row>
      <xdr:rowOff>113998</xdr:rowOff>
    </xdr:to>
    <xdr:cxnSp macro="">
      <xdr:nvCxnSpPr>
        <xdr:cNvPr id="1076" name="Connecteur droit avec flèche 1075"/>
        <xdr:cNvCxnSpPr/>
      </xdr:nvCxnSpPr>
      <xdr:spPr>
        <a:xfrm>
          <a:off x="13875356" y="67347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331</xdr:row>
      <xdr:rowOff>133048</xdr:rowOff>
    </xdr:from>
    <xdr:to>
      <xdr:col>16</xdr:col>
      <xdr:colOff>214390</xdr:colOff>
      <xdr:row>331</xdr:row>
      <xdr:rowOff>135165</xdr:rowOff>
    </xdr:to>
    <xdr:cxnSp macro="">
      <xdr:nvCxnSpPr>
        <xdr:cNvPr id="1077" name="Connecteur droit avec flèche 1076"/>
        <xdr:cNvCxnSpPr/>
      </xdr:nvCxnSpPr>
      <xdr:spPr>
        <a:xfrm>
          <a:off x="13843606" y="68141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329</xdr:row>
      <xdr:rowOff>133048</xdr:rowOff>
    </xdr:from>
    <xdr:to>
      <xdr:col>16</xdr:col>
      <xdr:colOff>288474</xdr:colOff>
      <xdr:row>329</xdr:row>
      <xdr:rowOff>135165</xdr:rowOff>
    </xdr:to>
    <xdr:cxnSp macro="">
      <xdr:nvCxnSpPr>
        <xdr:cNvPr id="1078" name="Connecteur droit avec flèche 1077"/>
        <xdr:cNvCxnSpPr/>
      </xdr:nvCxnSpPr>
      <xdr:spPr>
        <a:xfrm>
          <a:off x="13917690" y="67760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333</xdr:row>
      <xdr:rowOff>122465</xdr:rowOff>
    </xdr:from>
    <xdr:to>
      <xdr:col>16</xdr:col>
      <xdr:colOff>277890</xdr:colOff>
      <xdr:row>333</xdr:row>
      <xdr:rowOff>124582</xdr:rowOff>
    </xdr:to>
    <xdr:cxnSp macro="">
      <xdr:nvCxnSpPr>
        <xdr:cNvPr id="1079" name="Connecteur droit avec flèche 1078"/>
        <xdr:cNvCxnSpPr/>
      </xdr:nvCxnSpPr>
      <xdr:spPr>
        <a:xfrm>
          <a:off x="13907106" y="68511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334</xdr:row>
      <xdr:rowOff>133049</xdr:rowOff>
    </xdr:from>
    <xdr:to>
      <xdr:col>16</xdr:col>
      <xdr:colOff>182640</xdr:colOff>
      <xdr:row>334</xdr:row>
      <xdr:rowOff>135166</xdr:rowOff>
    </xdr:to>
    <xdr:cxnSp macro="">
      <xdr:nvCxnSpPr>
        <xdr:cNvPr id="1080" name="Connecteur droit avec flèche 1079"/>
        <xdr:cNvCxnSpPr/>
      </xdr:nvCxnSpPr>
      <xdr:spPr>
        <a:xfrm>
          <a:off x="13811856" y="68713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326</xdr:row>
      <xdr:rowOff>122465</xdr:rowOff>
    </xdr:from>
    <xdr:to>
      <xdr:col>16</xdr:col>
      <xdr:colOff>246140</xdr:colOff>
      <xdr:row>327</xdr:row>
      <xdr:rowOff>90716</xdr:rowOff>
    </xdr:to>
    <xdr:cxnSp macro="">
      <xdr:nvCxnSpPr>
        <xdr:cNvPr id="1081" name="Connecteur droit avec flèche 1080"/>
        <xdr:cNvCxnSpPr/>
      </xdr:nvCxnSpPr>
      <xdr:spPr>
        <a:xfrm flipV="1">
          <a:off x="13864772" y="67178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328</xdr:row>
      <xdr:rowOff>143632</xdr:rowOff>
    </xdr:from>
    <xdr:to>
      <xdr:col>16</xdr:col>
      <xdr:colOff>288473</xdr:colOff>
      <xdr:row>329</xdr:row>
      <xdr:rowOff>111883</xdr:rowOff>
    </xdr:to>
    <xdr:cxnSp macro="">
      <xdr:nvCxnSpPr>
        <xdr:cNvPr id="1082" name="Connecteur droit avec flèche 1081"/>
        <xdr:cNvCxnSpPr/>
      </xdr:nvCxnSpPr>
      <xdr:spPr>
        <a:xfrm flipV="1">
          <a:off x="13917690" y="67580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330</xdr:row>
      <xdr:rowOff>143632</xdr:rowOff>
    </xdr:from>
    <xdr:to>
      <xdr:col>16</xdr:col>
      <xdr:colOff>235556</xdr:colOff>
      <xdr:row>331</xdr:row>
      <xdr:rowOff>111883</xdr:rowOff>
    </xdr:to>
    <xdr:cxnSp macro="">
      <xdr:nvCxnSpPr>
        <xdr:cNvPr id="1083" name="Connecteur droit avec flèche 1082"/>
        <xdr:cNvCxnSpPr/>
      </xdr:nvCxnSpPr>
      <xdr:spPr>
        <a:xfrm flipV="1">
          <a:off x="13833023" y="67961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332</xdr:row>
      <xdr:rowOff>122464</xdr:rowOff>
    </xdr:from>
    <xdr:to>
      <xdr:col>16</xdr:col>
      <xdr:colOff>176893</xdr:colOff>
      <xdr:row>333</xdr:row>
      <xdr:rowOff>101300</xdr:rowOff>
    </xdr:to>
    <xdr:cxnSp macro="">
      <xdr:nvCxnSpPr>
        <xdr:cNvPr id="1084" name="Connecteur droit avec flèche 1083"/>
        <xdr:cNvCxnSpPr/>
      </xdr:nvCxnSpPr>
      <xdr:spPr>
        <a:xfrm flipV="1">
          <a:off x="13885939" y="683214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326</xdr:row>
      <xdr:rowOff>5292</xdr:rowOff>
    </xdr:from>
    <xdr:to>
      <xdr:col>10</xdr:col>
      <xdr:colOff>963084</xdr:colOff>
      <xdr:row>334</xdr:row>
      <xdr:rowOff>158751</xdr:rowOff>
    </xdr:to>
    <xdr:sp macro="" textlink="">
      <xdr:nvSpPr>
        <xdr:cNvPr id="1085" name="Accolade fermante 1084"/>
        <xdr:cNvSpPr/>
      </xdr:nvSpPr>
      <xdr:spPr>
        <a:xfrm>
          <a:off x="10219268" y="670612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1209675</xdr:colOff>
      <xdr:row>484</xdr:row>
      <xdr:rowOff>114300</xdr:rowOff>
    </xdr:from>
    <xdr:to>
      <xdr:col>12</xdr:col>
      <xdr:colOff>0</xdr:colOff>
      <xdr:row>484</xdr:row>
      <xdr:rowOff>114300</xdr:rowOff>
    </xdr:to>
    <xdr:cxnSp macro="">
      <xdr:nvCxnSpPr>
        <xdr:cNvPr id="1086" name="Connecteur droit avec flèche 1085"/>
        <xdr:cNvCxnSpPr/>
      </xdr:nvCxnSpPr>
      <xdr:spPr>
        <a:xfrm>
          <a:off x="10582275" y="85839300"/>
          <a:ext cx="86677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479</xdr:row>
      <xdr:rowOff>58965</xdr:rowOff>
    </xdr:from>
    <xdr:to>
      <xdr:col>12</xdr:col>
      <xdr:colOff>238578</xdr:colOff>
      <xdr:row>484</xdr:row>
      <xdr:rowOff>95249</xdr:rowOff>
    </xdr:to>
    <xdr:cxnSp macro="">
      <xdr:nvCxnSpPr>
        <xdr:cNvPr id="1087" name="Connecteur droit avec flèche 1086"/>
        <xdr:cNvCxnSpPr/>
      </xdr:nvCxnSpPr>
      <xdr:spPr>
        <a:xfrm flipV="1">
          <a:off x="10414907" y="84831465"/>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483</xdr:row>
      <xdr:rowOff>13607</xdr:rowOff>
    </xdr:from>
    <xdr:to>
      <xdr:col>12</xdr:col>
      <xdr:colOff>96459</xdr:colOff>
      <xdr:row>484</xdr:row>
      <xdr:rowOff>95249</xdr:rowOff>
    </xdr:to>
    <xdr:cxnSp macro="">
      <xdr:nvCxnSpPr>
        <xdr:cNvPr id="1088" name="Connecteur droit avec flèche 1087"/>
        <xdr:cNvCxnSpPr/>
      </xdr:nvCxnSpPr>
      <xdr:spPr>
        <a:xfrm flipV="1">
          <a:off x="10401300" y="85548107"/>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477</xdr:row>
      <xdr:rowOff>6049</xdr:rowOff>
    </xdr:from>
    <xdr:to>
      <xdr:col>14</xdr:col>
      <xdr:colOff>71361</xdr:colOff>
      <xdr:row>479</xdr:row>
      <xdr:rowOff>48381</xdr:rowOff>
    </xdr:to>
    <xdr:cxnSp macro="">
      <xdr:nvCxnSpPr>
        <xdr:cNvPr id="1089" name="Connecteur droit avec flèche 1088"/>
        <xdr:cNvCxnSpPr/>
      </xdr:nvCxnSpPr>
      <xdr:spPr>
        <a:xfrm flipV="1">
          <a:off x="12100378" y="84397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479</xdr:row>
      <xdr:rowOff>46266</xdr:rowOff>
    </xdr:from>
    <xdr:to>
      <xdr:col>13</xdr:col>
      <xdr:colOff>746578</xdr:colOff>
      <xdr:row>479</xdr:row>
      <xdr:rowOff>58965</xdr:rowOff>
    </xdr:to>
    <xdr:cxnSp macro="">
      <xdr:nvCxnSpPr>
        <xdr:cNvPr id="1090" name="Connecteur droit avec flèche 1089"/>
        <xdr:cNvCxnSpPr/>
      </xdr:nvCxnSpPr>
      <xdr:spPr>
        <a:xfrm>
          <a:off x="12058044" y="84818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481</xdr:row>
      <xdr:rowOff>48381</xdr:rowOff>
    </xdr:from>
    <xdr:to>
      <xdr:col>13</xdr:col>
      <xdr:colOff>746579</xdr:colOff>
      <xdr:row>483</xdr:row>
      <xdr:rowOff>48379</xdr:rowOff>
    </xdr:to>
    <xdr:cxnSp macro="">
      <xdr:nvCxnSpPr>
        <xdr:cNvPr id="1091" name="Connecteur droit avec flèche 1090"/>
        <xdr:cNvCxnSpPr/>
      </xdr:nvCxnSpPr>
      <xdr:spPr>
        <a:xfrm flipV="1">
          <a:off x="11941629" y="85201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484</xdr:row>
      <xdr:rowOff>81642</xdr:rowOff>
    </xdr:from>
    <xdr:to>
      <xdr:col>13</xdr:col>
      <xdr:colOff>757163</xdr:colOff>
      <xdr:row>484</xdr:row>
      <xdr:rowOff>92227</xdr:rowOff>
    </xdr:to>
    <xdr:cxnSp macro="">
      <xdr:nvCxnSpPr>
        <xdr:cNvPr id="1092" name="Connecteur droit avec flèche 1091"/>
        <xdr:cNvCxnSpPr/>
      </xdr:nvCxnSpPr>
      <xdr:spPr>
        <a:xfrm>
          <a:off x="12142713" y="85806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483</xdr:row>
      <xdr:rowOff>16631</xdr:rowOff>
    </xdr:from>
    <xdr:to>
      <xdr:col>13</xdr:col>
      <xdr:colOff>714829</xdr:colOff>
      <xdr:row>483</xdr:row>
      <xdr:rowOff>37799</xdr:rowOff>
    </xdr:to>
    <xdr:cxnSp macro="">
      <xdr:nvCxnSpPr>
        <xdr:cNvPr id="1093" name="Connecteur droit avec flèche 1092"/>
        <xdr:cNvCxnSpPr/>
      </xdr:nvCxnSpPr>
      <xdr:spPr>
        <a:xfrm>
          <a:off x="11994546" y="85551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477</xdr:row>
      <xdr:rowOff>87690</xdr:rowOff>
    </xdr:from>
    <xdr:to>
      <xdr:col>16</xdr:col>
      <xdr:colOff>76806</xdr:colOff>
      <xdr:row>477</xdr:row>
      <xdr:rowOff>100390</xdr:rowOff>
    </xdr:to>
    <xdr:cxnSp macro="">
      <xdr:nvCxnSpPr>
        <xdr:cNvPr id="1094" name="Connecteur droit avec flèche 1093"/>
        <xdr:cNvCxnSpPr/>
      </xdr:nvCxnSpPr>
      <xdr:spPr>
        <a:xfrm>
          <a:off x="13684855" y="84479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481</xdr:row>
      <xdr:rowOff>119440</xdr:rowOff>
    </xdr:from>
    <xdr:to>
      <xdr:col>16</xdr:col>
      <xdr:colOff>23889</xdr:colOff>
      <xdr:row>481</xdr:row>
      <xdr:rowOff>121557</xdr:rowOff>
    </xdr:to>
    <xdr:cxnSp macro="">
      <xdr:nvCxnSpPr>
        <xdr:cNvPr id="1095" name="Connecteur droit avec flèche 1094"/>
        <xdr:cNvCxnSpPr/>
      </xdr:nvCxnSpPr>
      <xdr:spPr>
        <a:xfrm>
          <a:off x="13653105" y="85272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479</xdr:row>
      <xdr:rowOff>119440</xdr:rowOff>
    </xdr:from>
    <xdr:to>
      <xdr:col>16</xdr:col>
      <xdr:colOff>97973</xdr:colOff>
      <xdr:row>479</xdr:row>
      <xdr:rowOff>121557</xdr:rowOff>
    </xdr:to>
    <xdr:cxnSp macro="">
      <xdr:nvCxnSpPr>
        <xdr:cNvPr id="1096" name="Connecteur droit avec flèche 1095"/>
        <xdr:cNvCxnSpPr/>
      </xdr:nvCxnSpPr>
      <xdr:spPr>
        <a:xfrm>
          <a:off x="13727189" y="84891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483</xdr:row>
      <xdr:rowOff>108857</xdr:rowOff>
    </xdr:from>
    <xdr:to>
      <xdr:col>16</xdr:col>
      <xdr:colOff>87389</xdr:colOff>
      <xdr:row>483</xdr:row>
      <xdr:rowOff>110974</xdr:rowOff>
    </xdr:to>
    <xdr:cxnSp macro="">
      <xdr:nvCxnSpPr>
        <xdr:cNvPr id="1097" name="Connecteur droit avec flèche 1096"/>
        <xdr:cNvCxnSpPr/>
      </xdr:nvCxnSpPr>
      <xdr:spPr>
        <a:xfrm>
          <a:off x="13716605" y="85643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484</xdr:row>
      <xdr:rowOff>119441</xdr:rowOff>
    </xdr:from>
    <xdr:to>
      <xdr:col>15</xdr:col>
      <xdr:colOff>754139</xdr:colOff>
      <xdr:row>484</xdr:row>
      <xdr:rowOff>121558</xdr:rowOff>
    </xdr:to>
    <xdr:cxnSp macro="">
      <xdr:nvCxnSpPr>
        <xdr:cNvPr id="1098" name="Connecteur droit avec flèche 1097"/>
        <xdr:cNvCxnSpPr/>
      </xdr:nvCxnSpPr>
      <xdr:spPr>
        <a:xfrm>
          <a:off x="13621355" y="85844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476</xdr:row>
      <xdr:rowOff>108857</xdr:rowOff>
    </xdr:from>
    <xdr:to>
      <xdr:col>16</xdr:col>
      <xdr:colOff>55639</xdr:colOff>
      <xdr:row>477</xdr:row>
      <xdr:rowOff>77108</xdr:rowOff>
    </xdr:to>
    <xdr:cxnSp macro="">
      <xdr:nvCxnSpPr>
        <xdr:cNvPr id="1099" name="Connecteur droit avec flèche 1098"/>
        <xdr:cNvCxnSpPr/>
      </xdr:nvCxnSpPr>
      <xdr:spPr>
        <a:xfrm flipV="1">
          <a:off x="13674271" y="84309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478</xdr:row>
      <xdr:rowOff>130024</xdr:rowOff>
    </xdr:from>
    <xdr:to>
      <xdr:col>16</xdr:col>
      <xdr:colOff>97972</xdr:colOff>
      <xdr:row>479</xdr:row>
      <xdr:rowOff>98275</xdr:rowOff>
    </xdr:to>
    <xdr:cxnSp macro="">
      <xdr:nvCxnSpPr>
        <xdr:cNvPr id="1100" name="Connecteur droit avec flèche 1099"/>
        <xdr:cNvCxnSpPr/>
      </xdr:nvCxnSpPr>
      <xdr:spPr>
        <a:xfrm flipV="1">
          <a:off x="13727189" y="84712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480</xdr:row>
      <xdr:rowOff>130024</xdr:rowOff>
    </xdr:from>
    <xdr:to>
      <xdr:col>16</xdr:col>
      <xdr:colOff>45055</xdr:colOff>
      <xdr:row>481</xdr:row>
      <xdr:rowOff>98275</xdr:rowOff>
    </xdr:to>
    <xdr:cxnSp macro="">
      <xdr:nvCxnSpPr>
        <xdr:cNvPr id="1101" name="Connecteur droit avec flèche 1100"/>
        <xdr:cNvCxnSpPr/>
      </xdr:nvCxnSpPr>
      <xdr:spPr>
        <a:xfrm flipV="1">
          <a:off x="13642522" y="85093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482</xdr:row>
      <xdr:rowOff>130024</xdr:rowOff>
    </xdr:from>
    <xdr:to>
      <xdr:col>16</xdr:col>
      <xdr:colOff>119139</xdr:colOff>
      <xdr:row>483</xdr:row>
      <xdr:rowOff>87692</xdr:rowOff>
    </xdr:to>
    <xdr:cxnSp macro="">
      <xdr:nvCxnSpPr>
        <xdr:cNvPr id="1102" name="Connecteur droit avec flèche 1101"/>
        <xdr:cNvCxnSpPr/>
      </xdr:nvCxnSpPr>
      <xdr:spPr>
        <a:xfrm flipV="1">
          <a:off x="13695438" y="85474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484</xdr:row>
      <xdr:rowOff>103911</xdr:rowOff>
    </xdr:from>
    <xdr:to>
      <xdr:col>12</xdr:col>
      <xdr:colOff>158750</xdr:colOff>
      <xdr:row>484</xdr:row>
      <xdr:rowOff>105834</xdr:rowOff>
    </xdr:to>
    <xdr:cxnSp macro="">
      <xdr:nvCxnSpPr>
        <xdr:cNvPr id="1103" name="Connecteur droit avec flèche 1102"/>
        <xdr:cNvCxnSpPr/>
      </xdr:nvCxnSpPr>
      <xdr:spPr>
        <a:xfrm>
          <a:off x="10463645" y="85828911"/>
          <a:ext cx="1144155" cy="192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476</xdr:row>
      <xdr:rowOff>47625</xdr:rowOff>
    </xdr:from>
    <xdr:to>
      <xdr:col>10</xdr:col>
      <xdr:colOff>931334</xdr:colOff>
      <xdr:row>485</xdr:row>
      <xdr:rowOff>10584</xdr:rowOff>
    </xdr:to>
    <xdr:sp macro="" textlink="">
      <xdr:nvSpPr>
        <xdr:cNvPr id="1104" name="Accolade fermante 1103"/>
        <xdr:cNvSpPr/>
      </xdr:nvSpPr>
      <xdr:spPr>
        <a:xfrm>
          <a:off x="10187518" y="842486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1209675</xdr:colOff>
      <xdr:row>464</xdr:row>
      <xdr:rowOff>114300</xdr:rowOff>
    </xdr:from>
    <xdr:to>
      <xdr:col>12</xdr:col>
      <xdr:colOff>0</xdr:colOff>
      <xdr:row>464</xdr:row>
      <xdr:rowOff>114300</xdr:rowOff>
    </xdr:to>
    <xdr:cxnSp macro="">
      <xdr:nvCxnSpPr>
        <xdr:cNvPr id="1105" name="Connecteur droit avec flèche 1104"/>
        <xdr:cNvCxnSpPr/>
      </xdr:nvCxnSpPr>
      <xdr:spPr>
        <a:xfrm>
          <a:off x="10582275" y="85839300"/>
          <a:ext cx="86677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459</xdr:row>
      <xdr:rowOff>58965</xdr:rowOff>
    </xdr:from>
    <xdr:to>
      <xdr:col>12</xdr:col>
      <xdr:colOff>238578</xdr:colOff>
      <xdr:row>464</xdr:row>
      <xdr:rowOff>95249</xdr:rowOff>
    </xdr:to>
    <xdr:cxnSp macro="">
      <xdr:nvCxnSpPr>
        <xdr:cNvPr id="1106" name="Connecteur droit avec flèche 1105"/>
        <xdr:cNvCxnSpPr/>
      </xdr:nvCxnSpPr>
      <xdr:spPr>
        <a:xfrm flipV="1">
          <a:off x="10414907" y="84831465"/>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463</xdr:row>
      <xdr:rowOff>13607</xdr:rowOff>
    </xdr:from>
    <xdr:to>
      <xdr:col>12</xdr:col>
      <xdr:colOff>96459</xdr:colOff>
      <xdr:row>464</xdr:row>
      <xdr:rowOff>95249</xdr:rowOff>
    </xdr:to>
    <xdr:cxnSp macro="">
      <xdr:nvCxnSpPr>
        <xdr:cNvPr id="1107" name="Connecteur droit avec flèche 1106"/>
        <xdr:cNvCxnSpPr/>
      </xdr:nvCxnSpPr>
      <xdr:spPr>
        <a:xfrm flipV="1">
          <a:off x="10401300" y="85548107"/>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457</xdr:row>
      <xdr:rowOff>6049</xdr:rowOff>
    </xdr:from>
    <xdr:to>
      <xdr:col>14</xdr:col>
      <xdr:colOff>71361</xdr:colOff>
      <xdr:row>459</xdr:row>
      <xdr:rowOff>48381</xdr:rowOff>
    </xdr:to>
    <xdr:cxnSp macro="">
      <xdr:nvCxnSpPr>
        <xdr:cNvPr id="1108" name="Connecteur droit avec flèche 1107"/>
        <xdr:cNvCxnSpPr/>
      </xdr:nvCxnSpPr>
      <xdr:spPr>
        <a:xfrm flipV="1">
          <a:off x="12100378" y="84397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459</xdr:row>
      <xdr:rowOff>46266</xdr:rowOff>
    </xdr:from>
    <xdr:to>
      <xdr:col>13</xdr:col>
      <xdr:colOff>746578</xdr:colOff>
      <xdr:row>459</xdr:row>
      <xdr:rowOff>58965</xdr:rowOff>
    </xdr:to>
    <xdr:cxnSp macro="">
      <xdr:nvCxnSpPr>
        <xdr:cNvPr id="1109" name="Connecteur droit avec flèche 1108"/>
        <xdr:cNvCxnSpPr/>
      </xdr:nvCxnSpPr>
      <xdr:spPr>
        <a:xfrm>
          <a:off x="12058044" y="84818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461</xdr:row>
      <xdr:rowOff>48381</xdr:rowOff>
    </xdr:from>
    <xdr:to>
      <xdr:col>13</xdr:col>
      <xdr:colOff>746579</xdr:colOff>
      <xdr:row>463</xdr:row>
      <xdr:rowOff>48379</xdr:rowOff>
    </xdr:to>
    <xdr:cxnSp macro="">
      <xdr:nvCxnSpPr>
        <xdr:cNvPr id="1110" name="Connecteur droit avec flèche 1109"/>
        <xdr:cNvCxnSpPr/>
      </xdr:nvCxnSpPr>
      <xdr:spPr>
        <a:xfrm flipV="1">
          <a:off x="11941629" y="85201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464</xdr:row>
      <xdr:rowOff>81642</xdr:rowOff>
    </xdr:from>
    <xdr:to>
      <xdr:col>13</xdr:col>
      <xdr:colOff>757163</xdr:colOff>
      <xdr:row>464</xdr:row>
      <xdr:rowOff>92227</xdr:rowOff>
    </xdr:to>
    <xdr:cxnSp macro="">
      <xdr:nvCxnSpPr>
        <xdr:cNvPr id="1111" name="Connecteur droit avec flèche 1110"/>
        <xdr:cNvCxnSpPr/>
      </xdr:nvCxnSpPr>
      <xdr:spPr>
        <a:xfrm>
          <a:off x="12142713" y="85806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463</xdr:row>
      <xdr:rowOff>16631</xdr:rowOff>
    </xdr:from>
    <xdr:to>
      <xdr:col>13</xdr:col>
      <xdr:colOff>714829</xdr:colOff>
      <xdr:row>463</xdr:row>
      <xdr:rowOff>37799</xdr:rowOff>
    </xdr:to>
    <xdr:cxnSp macro="">
      <xdr:nvCxnSpPr>
        <xdr:cNvPr id="1112" name="Connecteur droit avec flèche 1111"/>
        <xdr:cNvCxnSpPr/>
      </xdr:nvCxnSpPr>
      <xdr:spPr>
        <a:xfrm>
          <a:off x="11994546" y="85551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457</xdr:row>
      <xdr:rowOff>87690</xdr:rowOff>
    </xdr:from>
    <xdr:to>
      <xdr:col>16</xdr:col>
      <xdr:colOff>76806</xdr:colOff>
      <xdr:row>457</xdr:row>
      <xdr:rowOff>100390</xdr:rowOff>
    </xdr:to>
    <xdr:cxnSp macro="">
      <xdr:nvCxnSpPr>
        <xdr:cNvPr id="1113" name="Connecteur droit avec flèche 1112"/>
        <xdr:cNvCxnSpPr/>
      </xdr:nvCxnSpPr>
      <xdr:spPr>
        <a:xfrm>
          <a:off x="13684855" y="84479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461</xdr:row>
      <xdr:rowOff>119440</xdr:rowOff>
    </xdr:from>
    <xdr:to>
      <xdr:col>16</xdr:col>
      <xdr:colOff>23889</xdr:colOff>
      <xdr:row>461</xdr:row>
      <xdr:rowOff>121557</xdr:rowOff>
    </xdr:to>
    <xdr:cxnSp macro="">
      <xdr:nvCxnSpPr>
        <xdr:cNvPr id="1114" name="Connecteur droit avec flèche 1113"/>
        <xdr:cNvCxnSpPr/>
      </xdr:nvCxnSpPr>
      <xdr:spPr>
        <a:xfrm>
          <a:off x="13653105" y="85272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459</xdr:row>
      <xdr:rowOff>119440</xdr:rowOff>
    </xdr:from>
    <xdr:to>
      <xdr:col>16</xdr:col>
      <xdr:colOff>97973</xdr:colOff>
      <xdr:row>459</xdr:row>
      <xdr:rowOff>121557</xdr:rowOff>
    </xdr:to>
    <xdr:cxnSp macro="">
      <xdr:nvCxnSpPr>
        <xdr:cNvPr id="1115" name="Connecteur droit avec flèche 1114"/>
        <xdr:cNvCxnSpPr/>
      </xdr:nvCxnSpPr>
      <xdr:spPr>
        <a:xfrm>
          <a:off x="13727189" y="84891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463</xdr:row>
      <xdr:rowOff>108857</xdr:rowOff>
    </xdr:from>
    <xdr:to>
      <xdr:col>16</xdr:col>
      <xdr:colOff>87389</xdr:colOff>
      <xdr:row>463</xdr:row>
      <xdr:rowOff>110974</xdr:rowOff>
    </xdr:to>
    <xdr:cxnSp macro="">
      <xdr:nvCxnSpPr>
        <xdr:cNvPr id="1116" name="Connecteur droit avec flèche 1115"/>
        <xdr:cNvCxnSpPr/>
      </xdr:nvCxnSpPr>
      <xdr:spPr>
        <a:xfrm>
          <a:off x="13716605" y="85643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464</xdr:row>
      <xdr:rowOff>119441</xdr:rowOff>
    </xdr:from>
    <xdr:to>
      <xdr:col>15</xdr:col>
      <xdr:colOff>754139</xdr:colOff>
      <xdr:row>464</xdr:row>
      <xdr:rowOff>121558</xdr:rowOff>
    </xdr:to>
    <xdr:cxnSp macro="">
      <xdr:nvCxnSpPr>
        <xdr:cNvPr id="1117" name="Connecteur droit avec flèche 1116"/>
        <xdr:cNvCxnSpPr/>
      </xdr:nvCxnSpPr>
      <xdr:spPr>
        <a:xfrm>
          <a:off x="13621355" y="85844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456</xdr:row>
      <xdr:rowOff>108857</xdr:rowOff>
    </xdr:from>
    <xdr:to>
      <xdr:col>16</xdr:col>
      <xdr:colOff>55639</xdr:colOff>
      <xdr:row>457</xdr:row>
      <xdr:rowOff>77108</xdr:rowOff>
    </xdr:to>
    <xdr:cxnSp macro="">
      <xdr:nvCxnSpPr>
        <xdr:cNvPr id="1118" name="Connecteur droit avec flèche 1117"/>
        <xdr:cNvCxnSpPr/>
      </xdr:nvCxnSpPr>
      <xdr:spPr>
        <a:xfrm flipV="1">
          <a:off x="13674271" y="84309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458</xdr:row>
      <xdr:rowOff>130024</xdr:rowOff>
    </xdr:from>
    <xdr:to>
      <xdr:col>16</xdr:col>
      <xdr:colOff>97972</xdr:colOff>
      <xdr:row>459</xdr:row>
      <xdr:rowOff>98275</xdr:rowOff>
    </xdr:to>
    <xdr:cxnSp macro="">
      <xdr:nvCxnSpPr>
        <xdr:cNvPr id="1119" name="Connecteur droit avec flèche 1118"/>
        <xdr:cNvCxnSpPr/>
      </xdr:nvCxnSpPr>
      <xdr:spPr>
        <a:xfrm flipV="1">
          <a:off x="13727189" y="84712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460</xdr:row>
      <xdr:rowOff>130024</xdr:rowOff>
    </xdr:from>
    <xdr:to>
      <xdr:col>16</xdr:col>
      <xdr:colOff>45055</xdr:colOff>
      <xdr:row>461</xdr:row>
      <xdr:rowOff>98275</xdr:rowOff>
    </xdr:to>
    <xdr:cxnSp macro="">
      <xdr:nvCxnSpPr>
        <xdr:cNvPr id="1120" name="Connecteur droit avec flèche 1119"/>
        <xdr:cNvCxnSpPr/>
      </xdr:nvCxnSpPr>
      <xdr:spPr>
        <a:xfrm flipV="1">
          <a:off x="13642522" y="85093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462</xdr:row>
      <xdr:rowOff>130024</xdr:rowOff>
    </xdr:from>
    <xdr:to>
      <xdr:col>16</xdr:col>
      <xdr:colOff>119139</xdr:colOff>
      <xdr:row>463</xdr:row>
      <xdr:rowOff>87692</xdr:rowOff>
    </xdr:to>
    <xdr:cxnSp macro="">
      <xdr:nvCxnSpPr>
        <xdr:cNvPr id="1121" name="Connecteur droit avec flèche 1120"/>
        <xdr:cNvCxnSpPr/>
      </xdr:nvCxnSpPr>
      <xdr:spPr>
        <a:xfrm flipV="1">
          <a:off x="13695438" y="85474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464</xdr:row>
      <xdr:rowOff>103911</xdr:rowOff>
    </xdr:from>
    <xdr:to>
      <xdr:col>12</xdr:col>
      <xdr:colOff>158750</xdr:colOff>
      <xdr:row>464</xdr:row>
      <xdr:rowOff>105834</xdr:rowOff>
    </xdr:to>
    <xdr:cxnSp macro="">
      <xdr:nvCxnSpPr>
        <xdr:cNvPr id="1122" name="Connecteur droit avec flèche 1121"/>
        <xdr:cNvCxnSpPr/>
      </xdr:nvCxnSpPr>
      <xdr:spPr>
        <a:xfrm>
          <a:off x="10463645" y="85828911"/>
          <a:ext cx="1144155" cy="192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456</xdr:row>
      <xdr:rowOff>47625</xdr:rowOff>
    </xdr:from>
    <xdr:to>
      <xdr:col>10</xdr:col>
      <xdr:colOff>931334</xdr:colOff>
      <xdr:row>465</xdr:row>
      <xdr:rowOff>10584</xdr:rowOff>
    </xdr:to>
    <xdr:sp macro="" textlink="">
      <xdr:nvSpPr>
        <xdr:cNvPr id="1123" name="Accolade fermante 1122"/>
        <xdr:cNvSpPr/>
      </xdr:nvSpPr>
      <xdr:spPr>
        <a:xfrm>
          <a:off x="10187518" y="842486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1209675</xdr:colOff>
      <xdr:row>444</xdr:row>
      <xdr:rowOff>114300</xdr:rowOff>
    </xdr:from>
    <xdr:to>
      <xdr:col>12</xdr:col>
      <xdr:colOff>0</xdr:colOff>
      <xdr:row>444</xdr:row>
      <xdr:rowOff>114300</xdr:rowOff>
    </xdr:to>
    <xdr:cxnSp macro="">
      <xdr:nvCxnSpPr>
        <xdr:cNvPr id="1124" name="Connecteur droit avec flèche 1123"/>
        <xdr:cNvCxnSpPr/>
      </xdr:nvCxnSpPr>
      <xdr:spPr>
        <a:xfrm>
          <a:off x="10582275" y="87744300"/>
          <a:ext cx="86677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439</xdr:row>
      <xdr:rowOff>58965</xdr:rowOff>
    </xdr:from>
    <xdr:to>
      <xdr:col>12</xdr:col>
      <xdr:colOff>238578</xdr:colOff>
      <xdr:row>444</xdr:row>
      <xdr:rowOff>95249</xdr:rowOff>
    </xdr:to>
    <xdr:cxnSp macro="">
      <xdr:nvCxnSpPr>
        <xdr:cNvPr id="1125" name="Connecteur droit avec flèche 1124"/>
        <xdr:cNvCxnSpPr/>
      </xdr:nvCxnSpPr>
      <xdr:spPr>
        <a:xfrm flipV="1">
          <a:off x="10414907" y="86736465"/>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443</xdr:row>
      <xdr:rowOff>13607</xdr:rowOff>
    </xdr:from>
    <xdr:to>
      <xdr:col>12</xdr:col>
      <xdr:colOff>96459</xdr:colOff>
      <xdr:row>444</xdr:row>
      <xdr:rowOff>95249</xdr:rowOff>
    </xdr:to>
    <xdr:cxnSp macro="">
      <xdr:nvCxnSpPr>
        <xdr:cNvPr id="1126" name="Connecteur droit avec flèche 1125"/>
        <xdr:cNvCxnSpPr/>
      </xdr:nvCxnSpPr>
      <xdr:spPr>
        <a:xfrm flipV="1">
          <a:off x="10401300" y="87453107"/>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437</xdr:row>
      <xdr:rowOff>6049</xdr:rowOff>
    </xdr:from>
    <xdr:to>
      <xdr:col>14</xdr:col>
      <xdr:colOff>71361</xdr:colOff>
      <xdr:row>439</xdr:row>
      <xdr:rowOff>48381</xdr:rowOff>
    </xdr:to>
    <xdr:cxnSp macro="">
      <xdr:nvCxnSpPr>
        <xdr:cNvPr id="1127" name="Connecteur droit avec flèche 1126"/>
        <xdr:cNvCxnSpPr/>
      </xdr:nvCxnSpPr>
      <xdr:spPr>
        <a:xfrm flipV="1">
          <a:off x="12100378" y="86302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439</xdr:row>
      <xdr:rowOff>46266</xdr:rowOff>
    </xdr:from>
    <xdr:to>
      <xdr:col>13</xdr:col>
      <xdr:colOff>746578</xdr:colOff>
      <xdr:row>439</xdr:row>
      <xdr:rowOff>58965</xdr:rowOff>
    </xdr:to>
    <xdr:cxnSp macro="">
      <xdr:nvCxnSpPr>
        <xdr:cNvPr id="1128" name="Connecteur droit avec flèche 1127"/>
        <xdr:cNvCxnSpPr/>
      </xdr:nvCxnSpPr>
      <xdr:spPr>
        <a:xfrm>
          <a:off x="12058044" y="86723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441</xdr:row>
      <xdr:rowOff>48381</xdr:rowOff>
    </xdr:from>
    <xdr:to>
      <xdr:col>13</xdr:col>
      <xdr:colOff>746579</xdr:colOff>
      <xdr:row>443</xdr:row>
      <xdr:rowOff>48379</xdr:rowOff>
    </xdr:to>
    <xdr:cxnSp macro="">
      <xdr:nvCxnSpPr>
        <xdr:cNvPr id="1129" name="Connecteur droit avec flèche 1128"/>
        <xdr:cNvCxnSpPr/>
      </xdr:nvCxnSpPr>
      <xdr:spPr>
        <a:xfrm flipV="1">
          <a:off x="11941629" y="87106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444</xdr:row>
      <xdr:rowOff>81642</xdr:rowOff>
    </xdr:from>
    <xdr:to>
      <xdr:col>13</xdr:col>
      <xdr:colOff>757163</xdr:colOff>
      <xdr:row>444</xdr:row>
      <xdr:rowOff>92227</xdr:rowOff>
    </xdr:to>
    <xdr:cxnSp macro="">
      <xdr:nvCxnSpPr>
        <xdr:cNvPr id="1130" name="Connecteur droit avec flèche 1129"/>
        <xdr:cNvCxnSpPr/>
      </xdr:nvCxnSpPr>
      <xdr:spPr>
        <a:xfrm>
          <a:off x="12142713" y="87711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443</xdr:row>
      <xdr:rowOff>16631</xdr:rowOff>
    </xdr:from>
    <xdr:to>
      <xdr:col>13</xdr:col>
      <xdr:colOff>714829</xdr:colOff>
      <xdr:row>443</xdr:row>
      <xdr:rowOff>37799</xdr:rowOff>
    </xdr:to>
    <xdr:cxnSp macro="">
      <xdr:nvCxnSpPr>
        <xdr:cNvPr id="1131" name="Connecteur droit avec flèche 1130"/>
        <xdr:cNvCxnSpPr/>
      </xdr:nvCxnSpPr>
      <xdr:spPr>
        <a:xfrm>
          <a:off x="11994546" y="87456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437</xdr:row>
      <xdr:rowOff>87690</xdr:rowOff>
    </xdr:from>
    <xdr:to>
      <xdr:col>16</xdr:col>
      <xdr:colOff>76806</xdr:colOff>
      <xdr:row>437</xdr:row>
      <xdr:rowOff>100390</xdr:rowOff>
    </xdr:to>
    <xdr:cxnSp macro="">
      <xdr:nvCxnSpPr>
        <xdr:cNvPr id="1132" name="Connecteur droit avec flèche 1131"/>
        <xdr:cNvCxnSpPr/>
      </xdr:nvCxnSpPr>
      <xdr:spPr>
        <a:xfrm>
          <a:off x="13684855" y="86384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441</xdr:row>
      <xdr:rowOff>119440</xdr:rowOff>
    </xdr:from>
    <xdr:to>
      <xdr:col>16</xdr:col>
      <xdr:colOff>23889</xdr:colOff>
      <xdr:row>441</xdr:row>
      <xdr:rowOff>121557</xdr:rowOff>
    </xdr:to>
    <xdr:cxnSp macro="">
      <xdr:nvCxnSpPr>
        <xdr:cNvPr id="1133" name="Connecteur droit avec flèche 1132"/>
        <xdr:cNvCxnSpPr/>
      </xdr:nvCxnSpPr>
      <xdr:spPr>
        <a:xfrm>
          <a:off x="13653105" y="87177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439</xdr:row>
      <xdr:rowOff>119440</xdr:rowOff>
    </xdr:from>
    <xdr:to>
      <xdr:col>16</xdr:col>
      <xdr:colOff>97973</xdr:colOff>
      <xdr:row>439</xdr:row>
      <xdr:rowOff>121557</xdr:rowOff>
    </xdr:to>
    <xdr:cxnSp macro="">
      <xdr:nvCxnSpPr>
        <xdr:cNvPr id="1134" name="Connecteur droit avec flèche 1133"/>
        <xdr:cNvCxnSpPr/>
      </xdr:nvCxnSpPr>
      <xdr:spPr>
        <a:xfrm>
          <a:off x="13727189" y="86796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443</xdr:row>
      <xdr:rowOff>108857</xdr:rowOff>
    </xdr:from>
    <xdr:to>
      <xdr:col>16</xdr:col>
      <xdr:colOff>87389</xdr:colOff>
      <xdr:row>443</xdr:row>
      <xdr:rowOff>110974</xdr:rowOff>
    </xdr:to>
    <xdr:cxnSp macro="">
      <xdr:nvCxnSpPr>
        <xdr:cNvPr id="1135" name="Connecteur droit avec flèche 1134"/>
        <xdr:cNvCxnSpPr/>
      </xdr:nvCxnSpPr>
      <xdr:spPr>
        <a:xfrm>
          <a:off x="13716605" y="87548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444</xdr:row>
      <xdr:rowOff>119441</xdr:rowOff>
    </xdr:from>
    <xdr:to>
      <xdr:col>15</xdr:col>
      <xdr:colOff>754139</xdr:colOff>
      <xdr:row>444</xdr:row>
      <xdr:rowOff>121558</xdr:rowOff>
    </xdr:to>
    <xdr:cxnSp macro="">
      <xdr:nvCxnSpPr>
        <xdr:cNvPr id="1136" name="Connecteur droit avec flèche 1135"/>
        <xdr:cNvCxnSpPr/>
      </xdr:nvCxnSpPr>
      <xdr:spPr>
        <a:xfrm>
          <a:off x="13621355" y="87749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436</xdr:row>
      <xdr:rowOff>108857</xdr:rowOff>
    </xdr:from>
    <xdr:to>
      <xdr:col>16</xdr:col>
      <xdr:colOff>55639</xdr:colOff>
      <xdr:row>437</xdr:row>
      <xdr:rowOff>77108</xdr:rowOff>
    </xdr:to>
    <xdr:cxnSp macro="">
      <xdr:nvCxnSpPr>
        <xdr:cNvPr id="1137" name="Connecteur droit avec flèche 1136"/>
        <xdr:cNvCxnSpPr/>
      </xdr:nvCxnSpPr>
      <xdr:spPr>
        <a:xfrm flipV="1">
          <a:off x="13674271" y="86214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438</xdr:row>
      <xdr:rowOff>130024</xdr:rowOff>
    </xdr:from>
    <xdr:to>
      <xdr:col>16</xdr:col>
      <xdr:colOff>97972</xdr:colOff>
      <xdr:row>439</xdr:row>
      <xdr:rowOff>98275</xdr:rowOff>
    </xdr:to>
    <xdr:cxnSp macro="">
      <xdr:nvCxnSpPr>
        <xdr:cNvPr id="1138" name="Connecteur droit avec flèche 1137"/>
        <xdr:cNvCxnSpPr/>
      </xdr:nvCxnSpPr>
      <xdr:spPr>
        <a:xfrm flipV="1">
          <a:off x="13727189" y="86617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440</xdr:row>
      <xdr:rowOff>130024</xdr:rowOff>
    </xdr:from>
    <xdr:to>
      <xdr:col>16</xdr:col>
      <xdr:colOff>45055</xdr:colOff>
      <xdr:row>441</xdr:row>
      <xdr:rowOff>98275</xdr:rowOff>
    </xdr:to>
    <xdr:cxnSp macro="">
      <xdr:nvCxnSpPr>
        <xdr:cNvPr id="1139" name="Connecteur droit avec flèche 1138"/>
        <xdr:cNvCxnSpPr/>
      </xdr:nvCxnSpPr>
      <xdr:spPr>
        <a:xfrm flipV="1">
          <a:off x="13642522" y="86998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442</xdr:row>
      <xdr:rowOff>130024</xdr:rowOff>
    </xdr:from>
    <xdr:to>
      <xdr:col>16</xdr:col>
      <xdr:colOff>119139</xdr:colOff>
      <xdr:row>443</xdr:row>
      <xdr:rowOff>87692</xdr:rowOff>
    </xdr:to>
    <xdr:cxnSp macro="">
      <xdr:nvCxnSpPr>
        <xdr:cNvPr id="1140" name="Connecteur droit avec flèche 1139"/>
        <xdr:cNvCxnSpPr/>
      </xdr:nvCxnSpPr>
      <xdr:spPr>
        <a:xfrm flipV="1">
          <a:off x="13695438" y="87379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444</xdr:row>
      <xdr:rowOff>103911</xdr:rowOff>
    </xdr:from>
    <xdr:to>
      <xdr:col>12</xdr:col>
      <xdr:colOff>158750</xdr:colOff>
      <xdr:row>444</xdr:row>
      <xdr:rowOff>105834</xdr:rowOff>
    </xdr:to>
    <xdr:cxnSp macro="">
      <xdr:nvCxnSpPr>
        <xdr:cNvPr id="1141" name="Connecteur droit avec flèche 1140"/>
        <xdr:cNvCxnSpPr/>
      </xdr:nvCxnSpPr>
      <xdr:spPr>
        <a:xfrm>
          <a:off x="10463645" y="87733911"/>
          <a:ext cx="1144155" cy="192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436</xdr:row>
      <xdr:rowOff>47625</xdr:rowOff>
    </xdr:from>
    <xdr:to>
      <xdr:col>10</xdr:col>
      <xdr:colOff>931334</xdr:colOff>
      <xdr:row>445</xdr:row>
      <xdr:rowOff>10584</xdr:rowOff>
    </xdr:to>
    <xdr:sp macro="" textlink="">
      <xdr:nvSpPr>
        <xdr:cNvPr id="1142" name="Accolade fermante 1141"/>
        <xdr:cNvSpPr/>
      </xdr:nvSpPr>
      <xdr:spPr>
        <a:xfrm>
          <a:off x="10187518" y="861536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971550</xdr:colOff>
      <xdr:row>34</xdr:row>
      <xdr:rowOff>114300</xdr:rowOff>
    </xdr:from>
    <xdr:to>
      <xdr:col>11</xdr:col>
      <xdr:colOff>696790</xdr:colOff>
      <xdr:row>34</xdr:row>
      <xdr:rowOff>114715</xdr:rowOff>
    </xdr:to>
    <xdr:cxnSp macro="">
      <xdr:nvCxnSpPr>
        <xdr:cNvPr id="932" name="Connecteur droit avec flèche 931"/>
        <xdr:cNvCxnSpPr/>
      </xdr:nvCxnSpPr>
      <xdr:spPr>
        <a:xfrm>
          <a:off x="10344150" y="117348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27</xdr:row>
      <xdr:rowOff>99786</xdr:rowOff>
    </xdr:from>
    <xdr:to>
      <xdr:col>12</xdr:col>
      <xdr:colOff>339272</xdr:colOff>
      <xdr:row>34</xdr:row>
      <xdr:rowOff>97670</xdr:rowOff>
    </xdr:to>
    <xdr:cxnSp macro="">
      <xdr:nvCxnSpPr>
        <xdr:cNvPr id="1010" name="Connecteur droit avec flèche 1009"/>
        <xdr:cNvCxnSpPr/>
      </xdr:nvCxnSpPr>
      <xdr:spPr>
        <a:xfrm flipV="1">
          <a:off x="10461172" y="10386786"/>
          <a:ext cx="13271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31</xdr:row>
      <xdr:rowOff>68036</xdr:rowOff>
    </xdr:from>
    <xdr:to>
      <xdr:col>12</xdr:col>
      <xdr:colOff>169939</xdr:colOff>
      <xdr:row>34</xdr:row>
      <xdr:rowOff>97670</xdr:rowOff>
    </xdr:to>
    <xdr:cxnSp macro="">
      <xdr:nvCxnSpPr>
        <xdr:cNvPr id="1011" name="Connecteur droit avec flèche 1010"/>
        <xdr:cNvCxnSpPr/>
      </xdr:nvCxnSpPr>
      <xdr:spPr>
        <a:xfrm flipV="1">
          <a:off x="10463289" y="11117036"/>
          <a:ext cx="11557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32</xdr:row>
      <xdr:rowOff>78619</xdr:rowOff>
    </xdr:from>
    <xdr:to>
      <xdr:col>12</xdr:col>
      <xdr:colOff>307522</xdr:colOff>
      <xdr:row>34</xdr:row>
      <xdr:rowOff>131536</xdr:rowOff>
    </xdr:to>
    <xdr:cxnSp macro="">
      <xdr:nvCxnSpPr>
        <xdr:cNvPr id="1012" name="Connecteur droit avec flèche 1011"/>
        <xdr:cNvCxnSpPr/>
      </xdr:nvCxnSpPr>
      <xdr:spPr>
        <a:xfrm flipV="1">
          <a:off x="10495039" y="11318119"/>
          <a:ext cx="12615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34</xdr:row>
      <xdr:rowOff>89202</xdr:rowOff>
    </xdr:from>
    <xdr:to>
      <xdr:col>12</xdr:col>
      <xdr:colOff>201689</xdr:colOff>
      <xdr:row>34</xdr:row>
      <xdr:rowOff>120952</xdr:rowOff>
    </xdr:to>
    <xdr:cxnSp macro="">
      <xdr:nvCxnSpPr>
        <xdr:cNvPr id="1013" name="Connecteur droit avec flèche 1012"/>
        <xdr:cNvCxnSpPr/>
      </xdr:nvCxnSpPr>
      <xdr:spPr>
        <a:xfrm flipV="1">
          <a:off x="10505622" y="11709702"/>
          <a:ext cx="11451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25</xdr:row>
      <xdr:rowOff>46870</xdr:rowOff>
    </xdr:from>
    <xdr:to>
      <xdr:col>14</xdr:col>
      <xdr:colOff>172055</xdr:colOff>
      <xdr:row>27</xdr:row>
      <xdr:rowOff>89202</xdr:rowOff>
    </xdr:to>
    <xdr:cxnSp macro="">
      <xdr:nvCxnSpPr>
        <xdr:cNvPr id="1014" name="Connecteur droit avec flèche 1013"/>
        <xdr:cNvCxnSpPr/>
      </xdr:nvCxnSpPr>
      <xdr:spPr>
        <a:xfrm flipV="1">
          <a:off x="12201072" y="99528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27</xdr:row>
      <xdr:rowOff>87087</xdr:rowOff>
    </xdr:from>
    <xdr:to>
      <xdr:col>14</xdr:col>
      <xdr:colOff>85272</xdr:colOff>
      <xdr:row>27</xdr:row>
      <xdr:rowOff>99786</xdr:rowOff>
    </xdr:to>
    <xdr:cxnSp macro="">
      <xdr:nvCxnSpPr>
        <xdr:cNvPr id="1015" name="Connecteur droit avec flèche 1014"/>
        <xdr:cNvCxnSpPr/>
      </xdr:nvCxnSpPr>
      <xdr:spPr>
        <a:xfrm>
          <a:off x="12158738" y="103740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29</xdr:row>
      <xdr:rowOff>89202</xdr:rowOff>
    </xdr:from>
    <xdr:to>
      <xdr:col>14</xdr:col>
      <xdr:colOff>85273</xdr:colOff>
      <xdr:row>31</xdr:row>
      <xdr:rowOff>89200</xdr:rowOff>
    </xdr:to>
    <xdr:cxnSp macro="">
      <xdr:nvCxnSpPr>
        <xdr:cNvPr id="1016" name="Connecteur droit avec flèche 1015"/>
        <xdr:cNvCxnSpPr/>
      </xdr:nvCxnSpPr>
      <xdr:spPr>
        <a:xfrm flipV="1">
          <a:off x="12042323" y="107572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34</xdr:row>
      <xdr:rowOff>78618</xdr:rowOff>
    </xdr:from>
    <xdr:to>
      <xdr:col>14</xdr:col>
      <xdr:colOff>74690</xdr:colOff>
      <xdr:row>34</xdr:row>
      <xdr:rowOff>89203</xdr:rowOff>
    </xdr:to>
    <xdr:cxnSp macro="">
      <xdr:nvCxnSpPr>
        <xdr:cNvPr id="1017" name="Connecteur droit avec flèche 1016"/>
        <xdr:cNvCxnSpPr/>
      </xdr:nvCxnSpPr>
      <xdr:spPr>
        <a:xfrm>
          <a:off x="12169323" y="11699118"/>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32</xdr:row>
      <xdr:rowOff>68035</xdr:rowOff>
    </xdr:from>
    <xdr:to>
      <xdr:col>14</xdr:col>
      <xdr:colOff>95857</xdr:colOff>
      <xdr:row>32</xdr:row>
      <xdr:rowOff>78620</xdr:rowOff>
    </xdr:to>
    <xdr:cxnSp macro="">
      <xdr:nvCxnSpPr>
        <xdr:cNvPr id="1018" name="Connecteur droit avec flèche 1017"/>
        <xdr:cNvCxnSpPr/>
      </xdr:nvCxnSpPr>
      <xdr:spPr>
        <a:xfrm>
          <a:off x="12243407" y="113075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31</xdr:row>
      <xdr:rowOff>57452</xdr:rowOff>
    </xdr:from>
    <xdr:to>
      <xdr:col>14</xdr:col>
      <xdr:colOff>53523</xdr:colOff>
      <xdr:row>31</xdr:row>
      <xdr:rowOff>78620</xdr:rowOff>
    </xdr:to>
    <xdr:cxnSp macro="">
      <xdr:nvCxnSpPr>
        <xdr:cNvPr id="1019" name="Connecteur droit avec flèche 1018"/>
        <xdr:cNvCxnSpPr/>
      </xdr:nvCxnSpPr>
      <xdr:spPr>
        <a:xfrm>
          <a:off x="12095240" y="111064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33</xdr:row>
      <xdr:rowOff>120951</xdr:rowOff>
    </xdr:from>
    <xdr:to>
      <xdr:col>14</xdr:col>
      <xdr:colOff>106440</xdr:colOff>
      <xdr:row>34</xdr:row>
      <xdr:rowOff>78618</xdr:rowOff>
    </xdr:to>
    <xdr:cxnSp macro="">
      <xdr:nvCxnSpPr>
        <xdr:cNvPr id="1020" name="Connecteur droit avec flèche 1019"/>
        <xdr:cNvCxnSpPr/>
      </xdr:nvCxnSpPr>
      <xdr:spPr>
        <a:xfrm flipV="1">
          <a:off x="12169323" y="11550951"/>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25</xdr:row>
      <xdr:rowOff>46868</xdr:rowOff>
    </xdr:from>
    <xdr:to>
      <xdr:col>16</xdr:col>
      <xdr:colOff>191107</xdr:colOff>
      <xdr:row>25</xdr:row>
      <xdr:rowOff>59568</xdr:rowOff>
    </xdr:to>
    <xdr:cxnSp macro="">
      <xdr:nvCxnSpPr>
        <xdr:cNvPr id="1021" name="Connecteur droit avec flèche 1020"/>
        <xdr:cNvCxnSpPr/>
      </xdr:nvCxnSpPr>
      <xdr:spPr>
        <a:xfrm>
          <a:off x="13799156" y="995286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29</xdr:row>
      <xdr:rowOff>78618</xdr:rowOff>
    </xdr:from>
    <xdr:to>
      <xdr:col>16</xdr:col>
      <xdr:colOff>138190</xdr:colOff>
      <xdr:row>29</xdr:row>
      <xdr:rowOff>80735</xdr:rowOff>
    </xdr:to>
    <xdr:cxnSp macro="">
      <xdr:nvCxnSpPr>
        <xdr:cNvPr id="1022" name="Connecteur droit avec flèche 1021"/>
        <xdr:cNvCxnSpPr/>
      </xdr:nvCxnSpPr>
      <xdr:spPr>
        <a:xfrm>
          <a:off x="13767406" y="107466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27</xdr:row>
      <xdr:rowOff>78618</xdr:rowOff>
    </xdr:from>
    <xdr:to>
      <xdr:col>16</xdr:col>
      <xdr:colOff>212274</xdr:colOff>
      <xdr:row>27</xdr:row>
      <xdr:rowOff>80735</xdr:rowOff>
    </xdr:to>
    <xdr:cxnSp macro="">
      <xdr:nvCxnSpPr>
        <xdr:cNvPr id="1023" name="Connecteur droit avec flèche 1022"/>
        <xdr:cNvCxnSpPr/>
      </xdr:nvCxnSpPr>
      <xdr:spPr>
        <a:xfrm>
          <a:off x="13841490" y="103656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31</xdr:row>
      <xdr:rowOff>68035</xdr:rowOff>
    </xdr:from>
    <xdr:to>
      <xdr:col>16</xdr:col>
      <xdr:colOff>201690</xdr:colOff>
      <xdr:row>31</xdr:row>
      <xdr:rowOff>70152</xdr:rowOff>
    </xdr:to>
    <xdr:cxnSp macro="">
      <xdr:nvCxnSpPr>
        <xdr:cNvPr id="1024" name="Connecteur droit avec flèche 1023"/>
        <xdr:cNvCxnSpPr/>
      </xdr:nvCxnSpPr>
      <xdr:spPr>
        <a:xfrm>
          <a:off x="13830906" y="111170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33</xdr:row>
      <xdr:rowOff>68035</xdr:rowOff>
    </xdr:from>
    <xdr:to>
      <xdr:col>16</xdr:col>
      <xdr:colOff>148773</xdr:colOff>
      <xdr:row>33</xdr:row>
      <xdr:rowOff>70152</xdr:rowOff>
    </xdr:to>
    <xdr:cxnSp macro="">
      <xdr:nvCxnSpPr>
        <xdr:cNvPr id="1025" name="Connecteur droit avec flèche 1024"/>
        <xdr:cNvCxnSpPr/>
      </xdr:nvCxnSpPr>
      <xdr:spPr>
        <a:xfrm>
          <a:off x="13777989" y="114980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34</xdr:row>
      <xdr:rowOff>78618</xdr:rowOff>
    </xdr:from>
    <xdr:to>
      <xdr:col>16</xdr:col>
      <xdr:colOff>138191</xdr:colOff>
      <xdr:row>34</xdr:row>
      <xdr:rowOff>80735</xdr:rowOff>
    </xdr:to>
    <xdr:cxnSp macro="">
      <xdr:nvCxnSpPr>
        <xdr:cNvPr id="1026" name="Connecteur droit avec flèche 1025"/>
        <xdr:cNvCxnSpPr/>
      </xdr:nvCxnSpPr>
      <xdr:spPr>
        <a:xfrm>
          <a:off x="13767407" y="11699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32</xdr:row>
      <xdr:rowOff>78619</xdr:rowOff>
    </xdr:from>
    <xdr:to>
      <xdr:col>16</xdr:col>
      <xdr:colOff>106440</xdr:colOff>
      <xdr:row>32</xdr:row>
      <xdr:rowOff>80736</xdr:rowOff>
    </xdr:to>
    <xdr:cxnSp macro="">
      <xdr:nvCxnSpPr>
        <xdr:cNvPr id="1027" name="Connecteur droit avec flèche 1026"/>
        <xdr:cNvCxnSpPr/>
      </xdr:nvCxnSpPr>
      <xdr:spPr>
        <a:xfrm>
          <a:off x="13735656" y="11318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24</xdr:row>
      <xdr:rowOff>68035</xdr:rowOff>
    </xdr:from>
    <xdr:to>
      <xdr:col>16</xdr:col>
      <xdr:colOff>169940</xdr:colOff>
      <xdr:row>25</xdr:row>
      <xdr:rowOff>36286</xdr:rowOff>
    </xdr:to>
    <xdr:cxnSp macro="">
      <xdr:nvCxnSpPr>
        <xdr:cNvPr id="1028" name="Connecteur droit avec flèche 1027"/>
        <xdr:cNvCxnSpPr/>
      </xdr:nvCxnSpPr>
      <xdr:spPr>
        <a:xfrm flipV="1">
          <a:off x="13788572" y="978353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26</xdr:row>
      <xdr:rowOff>89202</xdr:rowOff>
    </xdr:from>
    <xdr:to>
      <xdr:col>16</xdr:col>
      <xdr:colOff>212273</xdr:colOff>
      <xdr:row>27</xdr:row>
      <xdr:rowOff>57453</xdr:rowOff>
    </xdr:to>
    <xdr:cxnSp macro="">
      <xdr:nvCxnSpPr>
        <xdr:cNvPr id="1029" name="Connecteur droit avec flèche 1028"/>
        <xdr:cNvCxnSpPr/>
      </xdr:nvCxnSpPr>
      <xdr:spPr>
        <a:xfrm flipV="1">
          <a:off x="13841490" y="1018570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28</xdr:row>
      <xdr:rowOff>89202</xdr:rowOff>
    </xdr:from>
    <xdr:to>
      <xdr:col>16</xdr:col>
      <xdr:colOff>159356</xdr:colOff>
      <xdr:row>29</xdr:row>
      <xdr:rowOff>57453</xdr:rowOff>
    </xdr:to>
    <xdr:cxnSp macro="">
      <xdr:nvCxnSpPr>
        <xdr:cNvPr id="1030" name="Connecteur droit avec flèche 1029"/>
        <xdr:cNvCxnSpPr/>
      </xdr:nvCxnSpPr>
      <xdr:spPr>
        <a:xfrm flipV="1">
          <a:off x="13756823" y="1056670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30</xdr:row>
      <xdr:rowOff>89202</xdr:rowOff>
    </xdr:from>
    <xdr:to>
      <xdr:col>16</xdr:col>
      <xdr:colOff>233440</xdr:colOff>
      <xdr:row>31</xdr:row>
      <xdr:rowOff>46870</xdr:rowOff>
    </xdr:to>
    <xdr:cxnSp macro="">
      <xdr:nvCxnSpPr>
        <xdr:cNvPr id="1031" name="Connecteur droit avec flèche 1030"/>
        <xdr:cNvCxnSpPr/>
      </xdr:nvCxnSpPr>
      <xdr:spPr>
        <a:xfrm flipV="1">
          <a:off x="13809739" y="1094770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723900</xdr:colOff>
      <xdr:row>23</xdr:row>
      <xdr:rowOff>114300</xdr:rowOff>
    </xdr:from>
    <xdr:to>
      <xdr:col>10</xdr:col>
      <xdr:colOff>38100</xdr:colOff>
      <xdr:row>34</xdr:row>
      <xdr:rowOff>95250</xdr:rowOff>
    </xdr:to>
    <xdr:cxnSp macro="">
      <xdr:nvCxnSpPr>
        <xdr:cNvPr id="1032" name="Connecteur droit avec flèche 1031"/>
        <xdr:cNvCxnSpPr/>
      </xdr:nvCxnSpPr>
      <xdr:spPr>
        <a:xfrm>
          <a:off x="8077200" y="7353300"/>
          <a:ext cx="1333500" cy="20764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166</xdr:row>
      <xdr:rowOff>114300</xdr:rowOff>
    </xdr:from>
    <xdr:to>
      <xdr:col>11</xdr:col>
      <xdr:colOff>696790</xdr:colOff>
      <xdr:row>166</xdr:row>
      <xdr:rowOff>114715</xdr:rowOff>
    </xdr:to>
    <xdr:cxnSp macro="">
      <xdr:nvCxnSpPr>
        <xdr:cNvPr id="1155" name="Connecteur droit avec flèche 1154"/>
        <xdr:cNvCxnSpPr/>
      </xdr:nvCxnSpPr>
      <xdr:spPr>
        <a:xfrm>
          <a:off x="10344150" y="368808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159</xdr:row>
      <xdr:rowOff>113394</xdr:rowOff>
    </xdr:from>
    <xdr:to>
      <xdr:col>12</xdr:col>
      <xdr:colOff>230414</xdr:colOff>
      <xdr:row>166</xdr:row>
      <xdr:rowOff>111278</xdr:rowOff>
    </xdr:to>
    <xdr:cxnSp macro="">
      <xdr:nvCxnSpPr>
        <xdr:cNvPr id="1156" name="Connecteur droit avec flèche 1155"/>
        <xdr:cNvCxnSpPr/>
      </xdr:nvCxnSpPr>
      <xdr:spPr>
        <a:xfrm flipV="1">
          <a:off x="10352314" y="35546394"/>
          <a:ext cx="13271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163</xdr:row>
      <xdr:rowOff>81644</xdr:rowOff>
    </xdr:from>
    <xdr:to>
      <xdr:col>12</xdr:col>
      <xdr:colOff>61081</xdr:colOff>
      <xdr:row>166</xdr:row>
      <xdr:rowOff>111278</xdr:rowOff>
    </xdr:to>
    <xdr:cxnSp macro="">
      <xdr:nvCxnSpPr>
        <xdr:cNvPr id="1157" name="Connecteur droit avec flèche 1156"/>
        <xdr:cNvCxnSpPr/>
      </xdr:nvCxnSpPr>
      <xdr:spPr>
        <a:xfrm flipV="1">
          <a:off x="10354431" y="36276644"/>
          <a:ext cx="11557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164</xdr:row>
      <xdr:rowOff>92227</xdr:rowOff>
    </xdr:from>
    <xdr:to>
      <xdr:col>12</xdr:col>
      <xdr:colOff>198664</xdr:colOff>
      <xdr:row>166</xdr:row>
      <xdr:rowOff>145144</xdr:rowOff>
    </xdr:to>
    <xdr:cxnSp macro="">
      <xdr:nvCxnSpPr>
        <xdr:cNvPr id="1158" name="Connecteur droit avec flèche 1157"/>
        <xdr:cNvCxnSpPr/>
      </xdr:nvCxnSpPr>
      <xdr:spPr>
        <a:xfrm flipV="1">
          <a:off x="10386181" y="36477727"/>
          <a:ext cx="12615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166</xdr:row>
      <xdr:rowOff>102810</xdr:rowOff>
    </xdr:from>
    <xdr:to>
      <xdr:col>12</xdr:col>
      <xdr:colOff>92831</xdr:colOff>
      <xdr:row>166</xdr:row>
      <xdr:rowOff>134560</xdr:rowOff>
    </xdr:to>
    <xdr:cxnSp macro="">
      <xdr:nvCxnSpPr>
        <xdr:cNvPr id="1159" name="Connecteur droit avec flèche 1158"/>
        <xdr:cNvCxnSpPr/>
      </xdr:nvCxnSpPr>
      <xdr:spPr>
        <a:xfrm flipV="1">
          <a:off x="10396764" y="36869310"/>
          <a:ext cx="11451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157</xdr:row>
      <xdr:rowOff>60478</xdr:rowOff>
    </xdr:from>
    <xdr:to>
      <xdr:col>14</xdr:col>
      <xdr:colOff>63197</xdr:colOff>
      <xdr:row>159</xdr:row>
      <xdr:rowOff>102810</xdr:rowOff>
    </xdr:to>
    <xdr:cxnSp macro="">
      <xdr:nvCxnSpPr>
        <xdr:cNvPr id="1160" name="Connecteur droit avec flèche 1159"/>
        <xdr:cNvCxnSpPr/>
      </xdr:nvCxnSpPr>
      <xdr:spPr>
        <a:xfrm flipV="1">
          <a:off x="12092214" y="351124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159</xdr:row>
      <xdr:rowOff>100695</xdr:rowOff>
    </xdr:from>
    <xdr:to>
      <xdr:col>13</xdr:col>
      <xdr:colOff>738414</xdr:colOff>
      <xdr:row>159</xdr:row>
      <xdr:rowOff>113394</xdr:rowOff>
    </xdr:to>
    <xdr:cxnSp macro="">
      <xdr:nvCxnSpPr>
        <xdr:cNvPr id="1161" name="Connecteur droit avec flèche 1160"/>
        <xdr:cNvCxnSpPr/>
      </xdr:nvCxnSpPr>
      <xdr:spPr>
        <a:xfrm>
          <a:off x="12049880" y="355336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161</xdr:row>
      <xdr:rowOff>102810</xdr:rowOff>
    </xdr:from>
    <xdr:to>
      <xdr:col>13</xdr:col>
      <xdr:colOff>738415</xdr:colOff>
      <xdr:row>163</xdr:row>
      <xdr:rowOff>102808</xdr:rowOff>
    </xdr:to>
    <xdr:cxnSp macro="">
      <xdr:nvCxnSpPr>
        <xdr:cNvPr id="1162" name="Connecteur droit avec flèche 1161"/>
        <xdr:cNvCxnSpPr/>
      </xdr:nvCxnSpPr>
      <xdr:spPr>
        <a:xfrm flipV="1">
          <a:off x="11933465" y="359168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166</xdr:row>
      <xdr:rowOff>92226</xdr:rowOff>
    </xdr:from>
    <xdr:to>
      <xdr:col>13</xdr:col>
      <xdr:colOff>727832</xdr:colOff>
      <xdr:row>166</xdr:row>
      <xdr:rowOff>102811</xdr:rowOff>
    </xdr:to>
    <xdr:cxnSp macro="">
      <xdr:nvCxnSpPr>
        <xdr:cNvPr id="1163" name="Connecteur droit avec flèche 1162"/>
        <xdr:cNvCxnSpPr/>
      </xdr:nvCxnSpPr>
      <xdr:spPr>
        <a:xfrm>
          <a:off x="12060465" y="368587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164</xdr:row>
      <xdr:rowOff>81643</xdr:rowOff>
    </xdr:from>
    <xdr:to>
      <xdr:col>13</xdr:col>
      <xdr:colOff>748999</xdr:colOff>
      <xdr:row>164</xdr:row>
      <xdr:rowOff>92228</xdr:rowOff>
    </xdr:to>
    <xdr:cxnSp macro="">
      <xdr:nvCxnSpPr>
        <xdr:cNvPr id="1164" name="Connecteur droit avec flèche 1163"/>
        <xdr:cNvCxnSpPr/>
      </xdr:nvCxnSpPr>
      <xdr:spPr>
        <a:xfrm>
          <a:off x="12134549" y="364671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163</xdr:row>
      <xdr:rowOff>71060</xdr:rowOff>
    </xdr:from>
    <xdr:to>
      <xdr:col>13</xdr:col>
      <xdr:colOff>706665</xdr:colOff>
      <xdr:row>163</xdr:row>
      <xdr:rowOff>92228</xdr:rowOff>
    </xdr:to>
    <xdr:cxnSp macro="">
      <xdr:nvCxnSpPr>
        <xdr:cNvPr id="1165" name="Connecteur droit avec flèche 1164"/>
        <xdr:cNvCxnSpPr/>
      </xdr:nvCxnSpPr>
      <xdr:spPr>
        <a:xfrm>
          <a:off x="11986382" y="362660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165</xdr:row>
      <xdr:rowOff>134559</xdr:rowOff>
    </xdr:from>
    <xdr:to>
      <xdr:col>13</xdr:col>
      <xdr:colOff>759582</xdr:colOff>
      <xdr:row>166</xdr:row>
      <xdr:rowOff>92226</xdr:rowOff>
    </xdr:to>
    <xdr:cxnSp macro="">
      <xdr:nvCxnSpPr>
        <xdr:cNvPr id="1166" name="Connecteur droit avec flèche 1165"/>
        <xdr:cNvCxnSpPr/>
      </xdr:nvCxnSpPr>
      <xdr:spPr>
        <a:xfrm flipV="1">
          <a:off x="12060465" y="367105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157</xdr:row>
      <xdr:rowOff>60476</xdr:rowOff>
    </xdr:from>
    <xdr:to>
      <xdr:col>16</xdr:col>
      <xdr:colOff>82249</xdr:colOff>
      <xdr:row>157</xdr:row>
      <xdr:rowOff>73176</xdr:rowOff>
    </xdr:to>
    <xdr:cxnSp macro="">
      <xdr:nvCxnSpPr>
        <xdr:cNvPr id="1167" name="Connecteur droit avec flèche 1166"/>
        <xdr:cNvCxnSpPr/>
      </xdr:nvCxnSpPr>
      <xdr:spPr>
        <a:xfrm>
          <a:off x="13690298" y="351124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161</xdr:row>
      <xdr:rowOff>92226</xdr:rowOff>
    </xdr:from>
    <xdr:to>
      <xdr:col>16</xdr:col>
      <xdr:colOff>29332</xdr:colOff>
      <xdr:row>161</xdr:row>
      <xdr:rowOff>94343</xdr:rowOff>
    </xdr:to>
    <xdr:cxnSp macro="">
      <xdr:nvCxnSpPr>
        <xdr:cNvPr id="1168" name="Connecteur droit avec flèche 1167"/>
        <xdr:cNvCxnSpPr/>
      </xdr:nvCxnSpPr>
      <xdr:spPr>
        <a:xfrm>
          <a:off x="13658548" y="35906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159</xdr:row>
      <xdr:rowOff>92226</xdr:rowOff>
    </xdr:from>
    <xdr:to>
      <xdr:col>16</xdr:col>
      <xdr:colOff>103416</xdr:colOff>
      <xdr:row>159</xdr:row>
      <xdr:rowOff>94343</xdr:rowOff>
    </xdr:to>
    <xdr:cxnSp macro="">
      <xdr:nvCxnSpPr>
        <xdr:cNvPr id="1169" name="Connecteur droit avec flèche 1168"/>
        <xdr:cNvCxnSpPr/>
      </xdr:nvCxnSpPr>
      <xdr:spPr>
        <a:xfrm>
          <a:off x="13732632" y="3552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163</xdr:row>
      <xdr:rowOff>81643</xdr:rowOff>
    </xdr:from>
    <xdr:to>
      <xdr:col>16</xdr:col>
      <xdr:colOff>92832</xdr:colOff>
      <xdr:row>163</xdr:row>
      <xdr:rowOff>83760</xdr:rowOff>
    </xdr:to>
    <xdr:cxnSp macro="">
      <xdr:nvCxnSpPr>
        <xdr:cNvPr id="1170" name="Connecteur droit avec flèche 1169"/>
        <xdr:cNvCxnSpPr/>
      </xdr:nvCxnSpPr>
      <xdr:spPr>
        <a:xfrm>
          <a:off x="13722048" y="362766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165</xdr:row>
      <xdr:rowOff>81643</xdr:rowOff>
    </xdr:from>
    <xdr:to>
      <xdr:col>16</xdr:col>
      <xdr:colOff>39915</xdr:colOff>
      <xdr:row>165</xdr:row>
      <xdr:rowOff>83760</xdr:rowOff>
    </xdr:to>
    <xdr:cxnSp macro="">
      <xdr:nvCxnSpPr>
        <xdr:cNvPr id="1171" name="Connecteur droit avec flèche 1170"/>
        <xdr:cNvCxnSpPr/>
      </xdr:nvCxnSpPr>
      <xdr:spPr>
        <a:xfrm>
          <a:off x="13669131" y="366576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166</xdr:row>
      <xdr:rowOff>92226</xdr:rowOff>
    </xdr:from>
    <xdr:to>
      <xdr:col>16</xdr:col>
      <xdr:colOff>29333</xdr:colOff>
      <xdr:row>166</xdr:row>
      <xdr:rowOff>94343</xdr:rowOff>
    </xdr:to>
    <xdr:cxnSp macro="">
      <xdr:nvCxnSpPr>
        <xdr:cNvPr id="1172" name="Connecteur droit avec flèche 1171"/>
        <xdr:cNvCxnSpPr/>
      </xdr:nvCxnSpPr>
      <xdr:spPr>
        <a:xfrm>
          <a:off x="13658549" y="36858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164</xdr:row>
      <xdr:rowOff>92227</xdr:rowOff>
    </xdr:from>
    <xdr:to>
      <xdr:col>15</xdr:col>
      <xdr:colOff>759582</xdr:colOff>
      <xdr:row>164</xdr:row>
      <xdr:rowOff>94344</xdr:rowOff>
    </xdr:to>
    <xdr:cxnSp macro="">
      <xdr:nvCxnSpPr>
        <xdr:cNvPr id="1173" name="Connecteur droit avec flèche 1172"/>
        <xdr:cNvCxnSpPr/>
      </xdr:nvCxnSpPr>
      <xdr:spPr>
        <a:xfrm>
          <a:off x="13626798" y="364777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156</xdr:row>
      <xdr:rowOff>81643</xdr:rowOff>
    </xdr:from>
    <xdr:to>
      <xdr:col>16</xdr:col>
      <xdr:colOff>61082</xdr:colOff>
      <xdr:row>157</xdr:row>
      <xdr:rowOff>49894</xdr:rowOff>
    </xdr:to>
    <xdr:cxnSp macro="">
      <xdr:nvCxnSpPr>
        <xdr:cNvPr id="1174" name="Connecteur droit avec flèche 1173"/>
        <xdr:cNvCxnSpPr/>
      </xdr:nvCxnSpPr>
      <xdr:spPr>
        <a:xfrm flipV="1">
          <a:off x="13679714" y="349431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158</xdr:row>
      <xdr:rowOff>102810</xdr:rowOff>
    </xdr:from>
    <xdr:to>
      <xdr:col>16</xdr:col>
      <xdr:colOff>103415</xdr:colOff>
      <xdr:row>159</xdr:row>
      <xdr:rowOff>71061</xdr:rowOff>
    </xdr:to>
    <xdr:cxnSp macro="">
      <xdr:nvCxnSpPr>
        <xdr:cNvPr id="1175" name="Connecteur droit avec flèche 1174"/>
        <xdr:cNvCxnSpPr/>
      </xdr:nvCxnSpPr>
      <xdr:spPr>
        <a:xfrm flipV="1">
          <a:off x="13732632" y="353453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160</xdr:row>
      <xdr:rowOff>102810</xdr:rowOff>
    </xdr:from>
    <xdr:to>
      <xdr:col>16</xdr:col>
      <xdr:colOff>50498</xdr:colOff>
      <xdr:row>161</xdr:row>
      <xdr:rowOff>71061</xdr:rowOff>
    </xdr:to>
    <xdr:cxnSp macro="">
      <xdr:nvCxnSpPr>
        <xdr:cNvPr id="1176" name="Connecteur droit avec flèche 1175"/>
        <xdr:cNvCxnSpPr/>
      </xdr:nvCxnSpPr>
      <xdr:spPr>
        <a:xfrm flipV="1">
          <a:off x="13647965" y="357263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162</xdr:row>
      <xdr:rowOff>102810</xdr:rowOff>
    </xdr:from>
    <xdr:to>
      <xdr:col>16</xdr:col>
      <xdr:colOff>124582</xdr:colOff>
      <xdr:row>163</xdr:row>
      <xdr:rowOff>60478</xdr:rowOff>
    </xdr:to>
    <xdr:cxnSp macro="">
      <xdr:nvCxnSpPr>
        <xdr:cNvPr id="1177" name="Connecteur droit avec flèche 1176"/>
        <xdr:cNvCxnSpPr/>
      </xdr:nvCxnSpPr>
      <xdr:spPr>
        <a:xfrm flipV="1">
          <a:off x="13700881" y="361073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876300</xdr:colOff>
      <xdr:row>155</xdr:row>
      <xdr:rowOff>133350</xdr:rowOff>
    </xdr:from>
    <xdr:to>
      <xdr:col>9</xdr:col>
      <xdr:colOff>857250</xdr:colOff>
      <xdr:row>166</xdr:row>
      <xdr:rowOff>76200</xdr:rowOff>
    </xdr:to>
    <xdr:cxnSp macro="">
      <xdr:nvCxnSpPr>
        <xdr:cNvPr id="1178" name="Connecteur droit avec flèche 1177"/>
        <xdr:cNvCxnSpPr/>
      </xdr:nvCxnSpPr>
      <xdr:spPr>
        <a:xfrm>
          <a:off x="8229600" y="32518350"/>
          <a:ext cx="1066800" cy="20383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294</xdr:row>
      <xdr:rowOff>60287</xdr:rowOff>
    </xdr:from>
    <xdr:to>
      <xdr:col>12</xdr:col>
      <xdr:colOff>152505</xdr:colOff>
      <xdr:row>294</xdr:row>
      <xdr:rowOff>81643</xdr:rowOff>
    </xdr:to>
    <xdr:cxnSp macro="">
      <xdr:nvCxnSpPr>
        <xdr:cNvPr id="1199" name="Connecteur droit avec flèche 1198"/>
        <xdr:cNvCxnSpPr/>
      </xdr:nvCxnSpPr>
      <xdr:spPr>
        <a:xfrm flipV="1">
          <a:off x="10433958" y="61020287"/>
          <a:ext cx="1167597"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289</xdr:row>
      <xdr:rowOff>4537</xdr:rowOff>
    </xdr:from>
    <xdr:to>
      <xdr:col>12</xdr:col>
      <xdr:colOff>224971</xdr:colOff>
      <xdr:row>294</xdr:row>
      <xdr:rowOff>81643</xdr:rowOff>
    </xdr:to>
    <xdr:cxnSp macro="">
      <xdr:nvCxnSpPr>
        <xdr:cNvPr id="1200" name="Connecteur droit avec flèche 1199"/>
        <xdr:cNvCxnSpPr/>
      </xdr:nvCxnSpPr>
      <xdr:spPr>
        <a:xfrm flipV="1">
          <a:off x="10461172" y="60012037"/>
          <a:ext cx="1212849"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293</xdr:row>
      <xdr:rowOff>54430</xdr:rowOff>
    </xdr:from>
    <xdr:to>
      <xdr:col>12</xdr:col>
      <xdr:colOff>68036</xdr:colOff>
      <xdr:row>294</xdr:row>
      <xdr:rowOff>81643</xdr:rowOff>
    </xdr:to>
    <xdr:cxnSp macro="">
      <xdr:nvCxnSpPr>
        <xdr:cNvPr id="1201" name="Connecteur droit avec flèche 1200"/>
        <xdr:cNvCxnSpPr/>
      </xdr:nvCxnSpPr>
      <xdr:spPr>
        <a:xfrm flipV="1">
          <a:off x="10433958" y="60823930"/>
          <a:ext cx="1083128"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286</xdr:row>
      <xdr:rowOff>142121</xdr:rowOff>
    </xdr:from>
    <xdr:to>
      <xdr:col>14</xdr:col>
      <xdr:colOff>57754</xdr:colOff>
      <xdr:row>288</xdr:row>
      <xdr:rowOff>184453</xdr:rowOff>
    </xdr:to>
    <xdr:cxnSp macro="">
      <xdr:nvCxnSpPr>
        <xdr:cNvPr id="1202" name="Connecteur droit avec flèche 1201"/>
        <xdr:cNvCxnSpPr/>
      </xdr:nvCxnSpPr>
      <xdr:spPr>
        <a:xfrm flipV="1">
          <a:off x="12086771" y="5957812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290</xdr:row>
      <xdr:rowOff>184453</xdr:rowOff>
    </xdr:from>
    <xdr:to>
      <xdr:col>13</xdr:col>
      <xdr:colOff>732972</xdr:colOff>
      <xdr:row>292</xdr:row>
      <xdr:rowOff>184451</xdr:rowOff>
    </xdr:to>
    <xdr:cxnSp macro="">
      <xdr:nvCxnSpPr>
        <xdr:cNvPr id="1203" name="Connecteur droit avec flèche 1202"/>
        <xdr:cNvCxnSpPr/>
      </xdr:nvCxnSpPr>
      <xdr:spPr>
        <a:xfrm flipV="1">
          <a:off x="11928022" y="6038245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292</xdr:row>
      <xdr:rowOff>152703</xdr:rowOff>
    </xdr:from>
    <xdr:to>
      <xdr:col>13</xdr:col>
      <xdr:colOff>701222</xdr:colOff>
      <xdr:row>292</xdr:row>
      <xdr:rowOff>173871</xdr:rowOff>
    </xdr:to>
    <xdr:cxnSp macro="">
      <xdr:nvCxnSpPr>
        <xdr:cNvPr id="1204" name="Connecteur droit avec flèche 1203"/>
        <xdr:cNvCxnSpPr/>
      </xdr:nvCxnSpPr>
      <xdr:spPr>
        <a:xfrm>
          <a:off x="11980939" y="6073170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287</xdr:row>
      <xdr:rowOff>33262</xdr:rowOff>
    </xdr:from>
    <xdr:to>
      <xdr:col>16</xdr:col>
      <xdr:colOff>63199</xdr:colOff>
      <xdr:row>287</xdr:row>
      <xdr:rowOff>45962</xdr:rowOff>
    </xdr:to>
    <xdr:cxnSp macro="">
      <xdr:nvCxnSpPr>
        <xdr:cNvPr id="1205" name="Connecteur droit avec flèche 1204"/>
        <xdr:cNvCxnSpPr/>
      </xdr:nvCxnSpPr>
      <xdr:spPr>
        <a:xfrm>
          <a:off x="13671248" y="59659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291</xdr:row>
      <xdr:rowOff>65012</xdr:rowOff>
    </xdr:from>
    <xdr:to>
      <xdr:col>16</xdr:col>
      <xdr:colOff>10282</xdr:colOff>
      <xdr:row>291</xdr:row>
      <xdr:rowOff>67129</xdr:rowOff>
    </xdr:to>
    <xdr:cxnSp macro="">
      <xdr:nvCxnSpPr>
        <xdr:cNvPr id="1206" name="Connecteur droit avec flèche 1205"/>
        <xdr:cNvCxnSpPr/>
      </xdr:nvCxnSpPr>
      <xdr:spPr>
        <a:xfrm>
          <a:off x="13639498" y="60453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289</xdr:row>
      <xdr:rowOff>65012</xdr:rowOff>
    </xdr:from>
    <xdr:to>
      <xdr:col>16</xdr:col>
      <xdr:colOff>84366</xdr:colOff>
      <xdr:row>289</xdr:row>
      <xdr:rowOff>67129</xdr:rowOff>
    </xdr:to>
    <xdr:cxnSp macro="">
      <xdr:nvCxnSpPr>
        <xdr:cNvPr id="1207" name="Connecteur droit avec flèche 1206"/>
        <xdr:cNvCxnSpPr/>
      </xdr:nvCxnSpPr>
      <xdr:spPr>
        <a:xfrm>
          <a:off x="13713582" y="60072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293</xdr:row>
      <xdr:rowOff>54429</xdr:rowOff>
    </xdr:from>
    <xdr:to>
      <xdr:col>16</xdr:col>
      <xdr:colOff>73782</xdr:colOff>
      <xdr:row>293</xdr:row>
      <xdr:rowOff>56546</xdr:rowOff>
    </xdr:to>
    <xdr:cxnSp macro="">
      <xdr:nvCxnSpPr>
        <xdr:cNvPr id="1208" name="Connecteur droit avec flèche 1207"/>
        <xdr:cNvCxnSpPr/>
      </xdr:nvCxnSpPr>
      <xdr:spPr>
        <a:xfrm>
          <a:off x="13702998" y="60823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294</xdr:row>
      <xdr:rowOff>65013</xdr:rowOff>
    </xdr:from>
    <xdr:to>
      <xdr:col>15</xdr:col>
      <xdr:colOff>740532</xdr:colOff>
      <xdr:row>294</xdr:row>
      <xdr:rowOff>67130</xdr:rowOff>
    </xdr:to>
    <xdr:cxnSp macro="">
      <xdr:nvCxnSpPr>
        <xdr:cNvPr id="1209" name="Connecteur droit avec flèche 1208"/>
        <xdr:cNvCxnSpPr/>
      </xdr:nvCxnSpPr>
      <xdr:spPr>
        <a:xfrm>
          <a:off x="13607748" y="61025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286</xdr:row>
      <xdr:rowOff>54429</xdr:rowOff>
    </xdr:from>
    <xdr:to>
      <xdr:col>16</xdr:col>
      <xdr:colOff>42032</xdr:colOff>
      <xdr:row>287</xdr:row>
      <xdr:rowOff>22680</xdr:rowOff>
    </xdr:to>
    <xdr:cxnSp macro="">
      <xdr:nvCxnSpPr>
        <xdr:cNvPr id="1210" name="Connecteur droit avec flèche 1209"/>
        <xdr:cNvCxnSpPr/>
      </xdr:nvCxnSpPr>
      <xdr:spPr>
        <a:xfrm flipV="1">
          <a:off x="13660664" y="59490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288</xdr:row>
      <xdr:rowOff>75596</xdr:rowOff>
    </xdr:from>
    <xdr:to>
      <xdr:col>16</xdr:col>
      <xdr:colOff>84365</xdr:colOff>
      <xdr:row>289</xdr:row>
      <xdr:rowOff>43847</xdr:rowOff>
    </xdr:to>
    <xdr:cxnSp macro="">
      <xdr:nvCxnSpPr>
        <xdr:cNvPr id="1211" name="Connecteur droit avec flèche 1210"/>
        <xdr:cNvCxnSpPr/>
      </xdr:nvCxnSpPr>
      <xdr:spPr>
        <a:xfrm flipV="1">
          <a:off x="13713582" y="59892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290</xdr:row>
      <xdr:rowOff>75596</xdr:rowOff>
    </xdr:from>
    <xdr:to>
      <xdr:col>16</xdr:col>
      <xdr:colOff>31448</xdr:colOff>
      <xdr:row>291</xdr:row>
      <xdr:rowOff>43847</xdr:rowOff>
    </xdr:to>
    <xdr:cxnSp macro="">
      <xdr:nvCxnSpPr>
        <xdr:cNvPr id="1212" name="Connecteur droit avec flèche 1211"/>
        <xdr:cNvCxnSpPr/>
      </xdr:nvCxnSpPr>
      <xdr:spPr>
        <a:xfrm flipV="1">
          <a:off x="13628915" y="60273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292</xdr:row>
      <xdr:rowOff>75596</xdr:rowOff>
    </xdr:from>
    <xdr:to>
      <xdr:col>16</xdr:col>
      <xdr:colOff>105532</xdr:colOff>
      <xdr:row>293</xdr:row>
      <xdr:rowOff>33264</xdr:rowOff>
    </xdr:to>
    <xdr:cxnSp macro="">
      <xdr:nvCxnSpPr>
        <xdr:cNvPr id="1213" name="Connecteur droit avec flèche 1212"/>
        <xdr:cNvCxnSpPr/>
      </xdr:nvCxnSpPr>
      <xdr:spPr>
        <a:xfrm flipV="1">
          <a:off x="13681831" y="60654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289</xdr:row>
      <xdr:rowOff>59874</xdr:rowOff>
    </xdr:from>
    <xdr:to>
      <xdr:col>13</xdr:col>
      <xdr:colOff>724807</xdr:colOff>
      <xdr:row>289</xdr:row>
      <xdr:rowOff>72573</xdr:rowOff>
    </xdr:to>
    <xdr:cxnSp macro="">
      <xdr:nvCxnSpPr>
        <xdr:cNvPr id="1214" name="Connecteur droit avec flèche 1213"/>
        <xdr:cNvCxnSpPr/>
      </xdr:nvCxnSpPr>
      <xdr:spPr>
        <a:xfrm>
          <a:off x="12036273" y="60067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294</xdr:row>
      <xdr:rowOff>40822</xdr:rowOff>
    </xdr:from>
    <xdr:to>
      <xdr:col>13</xdr:col>
      <xdr:colOff>735392</xdr:colOff>
      <xdr:row>294</xdr:row>
      <xdr:rowOff>51407</xdr:rowOff>
    </xdr:to>
    <xdr:cxnSp macro="">
      <xdr:nvCxnSpPr>
        <xdr:cNvPr id="1215" name="Connecteur droit avec flèche 1214"/>
        <xdr:cNvCxnSpPr/>
      </xdr:nvCxnSpPr>
      <xdr:spPr>
        <a:xfrm>
          <a:off x="12120942" y="61000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404</xdr:row>
      <xdr:rowOff>114300</xdr:rowOff>
    </xdr:from>
    <xdr:to>
      <xdr:col>11</xdr:col>
      <xdr:colOff>696790</xdr:colOff>
      <xdr:row>404</xdr:row>
      <xdr:rowOff>114715</xdr:rowOff>
    </xdr:to>
    <xdr:cxnSp macro="">
      <xdr:nvCxnSpPr>
        <xdr:cNvPr id="1216" name="Connecteur droit avec flèche 1215"/>
        <xdr:cNvCxnSpPr/>
      </xdr:nvCxnSpPr>
      <xdr:spPr>
        <a:xfrm>
          <a:off x="10344150" y="822198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404</xdr:row>
      <xdr:rowOff>141513</xdr:rowOff>
    </xdr:from>
    <xdr:to>
      <xdr:col>12</xdr:col>
      <xdr:colOff>117022</xdr:colOff>
      <xdr:row>404</xdr:row>
      <xdr:rowOff>149677</xdr:rowOff>
    </xdr:to>
    <xdr:cxnSp macro="">
      <xdr:nvCxnSpPr>
        <xdr:cNvPr id="1217" name="Connecteur droit avec flèche 1216"/>
        <xdr:cNvCxnSpPr/>
      </xdr:nvCxnSpPr>
      <xdr:spPr>
        <a:xfrm>
          <a:off x="10325100" y="82247013"/>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399</xdr:row>
      <xdr:rowOff>99786</xdr:rowOff>
    </xdr:from>
    <xdr:to>
      <xdr:col>12</xdr:col>
      <xdr:colOff>197757</xdr:colOff>
      <xdr:row>404</xdr:row>
      <xdr:rowOff>136070</xdr:rowOff>
    </xdr:to>
    <xdr:cxnSp macro="">
      <xdr:nvCxnSpPr>
        <xdr:cNvPr id="1218" name="Connecteur droit avec flèche 1217"/>
        <xdr:cNvCxnSpPr/>
      </xdr:nvCxnSpPr>
      <xdr:spPr>
        <a:xfrm flipV="1">
          <a:off x="10374086" y="81252786"/>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403</xdr:row>
      <xdr:rowOff>54428</xdr:rowOff>
    </xdr:from>
    <xdr:to>
      <xdr:col>12</xdr:col>
      <xdr:colOff>55638</xdr:colOff>
      <xdr:row>404</xdr:row>
      <xdr:rowOff>136070</xdr:rowOff>
    </xdr:to>
    <xdr:cxnSp macro="">
      <xdr:nvCxnSpPr>
        <xdr:cNvPr id="1219" name="Connecteur droit avec flèche 1218"/>
        <xdr:cNvCxnSpPr/>
      </xdr:nvCxnSpPr>
      <xdr:spPr>
        <a:xfrm flipV="1">
          <a:off x="10360479" y="81969428"/>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397</xdr:row>
      <xdr:rowOff>46870</xdr:rowOff>
    </xdr:from>
    <xdr:to>
      <xdr:col>14</xdr:col>
      <xdr:colOff>30540</xdr:colOff>
      <xdr:row>399</xdr:row>
      <xdr:rowOff>89202</xdr:rowOff>
    </xdr:to>
    <xdr:cxnSp macro="">
      <xdr:nvCxnSpPr>
        <xdr:cNvPr id="1220" name="Connecteur droit avec flèche 1219"/>
        <xdr:cNvCxnSpPr/>
      </xdr:nvCxnSpPr>
      <xdr:spPr>
        <a:xfrm flipV="1">
          <a:off x="12059557" y="808188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399</xdr:row>
      <xdr:rowOff>87087</xdr:rowOff>
    </xdr:from>
    <xdr:to>
      <xdr:col>13</xdr:col>
      <xdr:colOff>705757</xdr:colOff>
      <xdr:row>399</xdr:row>
      <xdr:rowOff>99786</xdr:rowOff>
    </xdr:to>
    <xdr:cxnSp macro="">
      <xdr:nvCxnSpPr>
        <xdr:cNvPr id="1221" name="Connecteur droit avec flèche 1220"/>
        <xdr:cNvCxnSpPr/>
      </xdr:nvCxnSpPr>
      <xdr:spPr>
        <a:xfrm>
          <a:off x="12017223" y="812400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401</xdr:row>
      <xdr:rowOff>89202</xdr:rowOff>
    </xdr:from>
    <xdr:to>
      <xdr:col>13</xdr:col>
      <xdr:colOff>705758</xdr:colOff>
      <xdr:row>403</xdr:row>
      <xdr:rowOff>89200</xdr:rowOff>
    </xdr:to>
    <xdr:cxnSp macro="">
      <xdr:nvCxnSpPr>
        <xdr:cNvPr id="1222" name="Connecteur droit avec flèche 1221"/>
        <xdr:cNvCxnSpPr/>
      </xdr:nvCxnSpPr>
      <xdr:spPr>
        <a:xfrm flipV="1">
          <a:off x="11900808" y="816232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404</xdr:row>
      <xdr:rowOff>68035</xdr:rowOff>
    </xdr:from>
    <xdr:to>
      <xdr:col>13</xdr:col>
      <xdr:colOff>716342</xdr:colOff>
      <xdr:row>404</xdr:row>
      <xdr:rowOff>78620</xdr:rowOff>
    </xdr:to>
    <xdr:cxnSp macro="">
      <xdr:nvCxnSpPr>
        <xdr:cNvPr id="1223" name="Connecteur droit avec flèche 1222"/>
        <xdr:cNvCxnSpPr/>
      </xdr:nvCxnSpPr>
      <xdr:spPr>
        <a:xfrm>
          <a:off x="12101892" y="821735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403</xdr:row>
      <xdr:rowOff>57452</xdr:rowOff>
    </xdr:from>
    <xdr:to>
      <xdr:col>13</xdr:col>
      <xdr:colOff>674008</xdr:colOff>
      <xdr:row>403</xdr:row>
      <xdr:rowOff>78620</xdr:rowOff>
    </xdr:to>
    <xdr:cxnSp macro="">
      <xdr:nvCxnSpPr>
        <xdr:cNvPr id="1224" name="Connecteur droit avec flèche 1223"/>
        <xdr:cNvCxnSpPr/>
      </xdr:nvCxnSpPr>
      <xdr:spPr>
        <a:xfrm>
          <a:off x="11953725" y="819724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397</xdr:row>
      <xdr:rowOff>128511</xdr:rowOff>
    </xdr:from>
    <xdr:to>
      <xdr:col>16</xdr:col>
      <xdr:colOff>35985</xdr:colOff>
      <xdr:row>397</xdr:row>
      <xdr:rowOff>141211</xdr:rowOff>
    </xdr:to>
    <xdr:cxnSp macro="">
      <xdr:nvCxnSpPr>
        <xdr:cNvPr id="1225" name="Connecteur droit avec flèche 1224"/>
        <xdr:cNvCxnSpPr/>
      </xdr:nvCxnSpPr>
      <xdr:spPr>
        <a:xfrm>
          <a:off x="13644034" y="8090051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401</xdr:row>
      <xdr:rowOff>160261</xdr:rowOff>
    </xdr:from>
    <xdr:to>
      <xdr:col>15</xdr:col>
      <xdr:colOff>745068</xdr:colOff>
      <xdr:row>401</xdr:row>
      <xdr:rowOff>162378</xdr:rowOff>
    </xdr:to>
    <xdr:cxnSp macro="">
      <xdr:nvCxnSpPr>
        <xdr:cNvPr id="1226" name="Connecteur droit avec flèche 1225"/>
        <xdr:cNvCxnSpPr/>
      </xdr:nvCxnSpPr>
      <xdr:spPr>
        <a:xfrm>
          <a:off x="13612284" y="816942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399</xdr:row>
      <xdr:rowOff>160261</xdr:rowOff>
    </xdr:from>
    <xdr:to>
      <xdr:col>16</xdr:col>
      <xdr:colOff>57152</xdr:colOff>
      <xdr:row>399</xdr:row>
      <xdr:rowOff>162378</xdr:rowOff>
    </xdr:to>
    <xdr:cxnSp macro="">
      <xdr:nvCxnSpPr>
        <xdr:cNvPr id="1227" name="Connecteur droit avec flèche 1226"/>
        <xdr:cNvCxnSpPr/>
      </xdr:nvCxnSpPr>
      <xdr:spPr>
        <a:xfrm>
          <a:off x="13686368" y="813132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403</xdr:row>
      <xdr:rowOff>149678</xdr:rowOff>
    </xdr:from>
    <xdr:to>
      <xdr:col>16</xdr:col>
      <xdr:colOff>46568</xdr:colOff>
      <xdr:row>403</xdr:row>
      <xdr:rowOff>151795</xdr:rowOff>
    </xdr:to>
    <xdr:cxnSp macro="">
      <xdr:nvCxnSpPr>
        <xdr:cNvPr id="1228" name="Connecteur droit avec flèche 1227"/>
        <xdr:cNvCxnSpPr/>
      </xdr:nvCxnSpPr>
      <xdr:spPr>
        <a:xfrm>
          <a:off x="13675784" y="8206467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404</xdr:row>
      <xdr:rowOff>92226</xdr:rowOff>
    </xdr:from>
    <xdr:to>
      <xdr:col>15</xdr:col>
      <xdr:colOff>726925</xdr:colOff>
      <xdr:row>404</xdr:row>
      <xdr:rowOff>94343</xdr:rowOff>
    </xdr:to>
    <xdr:cxnSp macro="">
      <xdr:nvCxnSpPr>
        <xdr:cNvPr id="1229" name="Connecteur droit avec flèche 1228"/>
        <xdr:cNvCxnSpPr/>
      </xdr:nvCxnSpPr>
      <xdr:spPr>
        <a:xfrm>
          <a:off x="13594141" y="82197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396</xdr:row>
      <xdr:rowOff>68036</xdr:rowOff>
    </xdr:from>
    <xdr:to>
      <xdr:col>16</xdr:col>
      <xdr:colOff>54429</xdr:colOff>
      <xdr:row>397</xdr:row>
      <xdr:rowOff>117930</xdr:rowOff>
    </xdr:to>
    <xdr:cxnSp macro="">
      <xdr:nvCxnSpPr>
        <xdr:cNvPr id="1230" name="Connecteur droit avec flèche 1229"/>
        <xdr:cNvCxnSpPr/>
      </xdr:nvCxnSpPr>
      <xdr:spPr>
        <a:xfrm flipV="1">
          <a:off x="13633450" y="80649536"/>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398</xdr:row>
      <xdr:rowOff>108857</xdr:rowOff>
    </xdr:from>
    <xdr:to>
      <xdr:col>16</xdr:col>
      <xdr:colOff>27214</xdr:colOff>
      <xdr:row>399</xdr:row>
      <xdr:rowOff>139097</xdr:rowOff>
    </xdr:to>
    <xdr:cxnSp macro="">
      <xdr:nvCxnSpPr>
        <xdr:cNvPr id="1231" name="Connecteur droit avec flèche 1230"/>
        <xdr:cNvCxnSpPr/>
      </xdr:nvCxnSpPr>
      <xdr:spPr>
        <a:xfrm flipV="1">
          <a:off x="13686368" y="81071357"/>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400</xdr:row>
      <xdr:rowOff>136071</xdr:rowOff>
    </xdr:from>
    <xdr:to>
      <xdr:col>15</xdr:col>
      <xdr:colOff>748393</xdr:colOff>
      <xdr:row>401</xdr:row>
      <xdr:rowOff>139097</xdr:rowOff>
    </xdr:to>
    <xdr:cxnSp macro="">
      <xdr:nvCxnSpPr>
        <xdr:cNvPr id="1232" name="Connecteur droit avec flèche 1231"/>
        <xdr:cNvCxnSpPr/>
      </xdr:nvCxnSpPr>
      <xdr:spPr>
        <a:xfrm flipV="1">
          <a:off x="13601701" y="81479571"/>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402</xdr:row>
      <xdr:rowOff>108857</xdr:rowOff>
    </xdr:from>
    <xdr:to>
      <xdr:col>15</xdr:col>
      <xdr:colOff>748393</xdr:colOff>
      <xdr:row>403</xdr:row>
      <xdr:rowOff>128513</xdr:rowOff>
    </xdr:to>
    <xdr:cxnSp macro="">
      <xdr:nvCxnSpPr>
        <xdr:cNvPr id="1233" name="Connecteur droit avec flèche 1232"/>
        <xdr:cNvCxnSpPr/>
      </xdr:nvCxnSpPr>
      <xdr:spPr>
        <a:xfrm flipV="1">
          <a:off x="13654617" y="81833357"/>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1047750</xdr:colOff>
      <xdr:row>395</xdr:row>
      <xdr:rowOff>76200</xdr:rowOff>
    </xdr:from>
    <xdr:to>
      <xdr:col>10</xdr:col>
      <xdr:colOff>1465</xdr:colOff>
      <xdr:row>404</xdr:row>
      <xdr:rowOff>57565</xdr:rowOff>
    </xdr:to>
    <xdr:cxnSp macro="">
      <xdr:nvCxnSpPr>
        <xdr:cNvPr id="1234" name="Connecteur droit avec flèche 1233"/>
        <xdr:cNvCxnSpPr/>
      </xdr:nvCxnSpPr>
      <xdr:spPr>
        <a:xfrm>
          <a:off x="8401050" y="78371700"/>
          <a:ext cx="973015" cy="1695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1009650</xdr:colOff>
      <xdr:row>285</xdr:row>
      <xdr:rowOff>0</xdr:rowOff>
    </xdr:from>
    <xdr:to>
      <xdr:col>9</xdr:col>
      <xdr:colOff>819150</xdr:colOff>
      <xdr:row>294</xdr:row>
      <xdr:rowOff>76200</xdr:rowOff>
    </xdr:to>
    <xdr:cxnSp macro="">
      <xdr:nvCxnSpPr>
        <xdr:cNvPr id="1236" name="Connecteur droit avec flèche 1235"/>
        <xdr:cNvCxnSpPr/>
      </xdr:nvCxnSpPr>
      <xdr:spPr>
        <a:xfrm>
          <a:off x="8362950" y="57226200"/>
          <a:ext cx="895350" cy="19050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531496</xdr:colOff>
      <xdr:row>22</xdr:row>
      <xdr:rowOff>106680</xdr:rowOff>
    </xdr:from>
    <xdr:to>
      <xdr:col>3</xdr:col>
      <xdr:colOff>710566</xdr:colOff>
      <xdr:row>69</xdr:row>
      <xdr:rowOff>106680</xdr:rowOff>
    </xdr:to>
    <xdr:cxnSp macro="">
      <xdr:nvCxnSpPr>
        <xdr:cNvPr id="2" name="Connecteur droit avec flèche 1"/>
        <xdr:cNvCxnSpPr/>
      </xdr:nvCxnSpPr>
      <xdr:spPr>
        <a:xfrm rot="5400000" flipH="1" flipV="1">
          <a:off x="-807719" y="7160895"/>
          <a:ext cx="6667500" cy="94107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579120</xdr:colOff>
      <xdr:row>69</xdr:row>
      <xdr:rowOff>114300</xdr:rowOff>
    </xdr:from>
    <xdr:to>
      <xdr:col>3</xdr:col>
      <xdr:colOff>762000</xdr:colOff>
      <xdr:row>92</xdr:row>
      <xdr:rowOff>129540</xdr:rowOff>
    </xdr:to>
    <xdr:cxnSp macro="">
      <xdr:nvCxnSpPr>
        <xdr:cNvPr id="3" name="Connecteur droit avec flèche 2"/>
        <xdr:cNvCxnSpPr/>
      </xdr:nvCxnSpPr>
      <xdr:spPr>
        <a:xfrm>
          <a:off x="2103120" y="10972800"/>
          <a:ext cx="944880" cy="211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902546</xdr:colOff>
      <xdr:row>22</xdr:row>
      <xdr:rowOff>83820</xdr:rowOff>
    </xdr:from>
    <xdr:to>
      <xdr:col>5</xdr:col>
      <xdr:colOff>696806</xdr:colOff>
      <xdr:row>22</xdr:row>
      <xdr:rowOff>85408</xdr:rowOff>
    </xdr:to>
    <xdr:cxnSp macro="">
      <xdr:nvCxnSpPr>
        <xdr:cNvPr id="4" name="Connecteur droit avec flèche 3"/>
        <xdr:cNvCxnSpPr/>
      </xdr:nvCxnSpPr>
      <xdr:spPr>
        <a:xfrm>
          <a:off x="3950546" y="4274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118</xdr:row>
      <xdr:rowOff>114300</xdr:rowOff>
    </xdr:from>
    <xdr:to>
      <xdr:col>8</xdr:col>
      <xdr:colOff>22860</xdr:colOff>
      <xdr:row>118</xdr:row>
      <xdr:rowOff>115888</xdr:rowOff>
    </xdr:to>
    <xdr:cxnSp macro="">
      <xdr:nvCxnSpPr>
        <xdr:cNvPr id="5" name="Connecteur droit avec flèche 4"/>
        <xdr:cNvCxnSpPr/>
      </xdr:nvCxnSpPr>
      <xdr:spPr>
        <a:xfrm>
          <a:off x="6572250" y="15735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70</xdr:row>
      <xdr:rowOff>100648</xdr:rowOff>
    </xdr:from>
    <xdr:to>
      <xdr:col>6</xdr:col>
      <xdr:colOff>30480</xdr:colOff>
      <xdr:row>92</xdr:row>
      <xdr:rowOff>68580</xdr:rowOff>
    </xdr:to>
    <xdr:cxnSp macro="">
      <xdr:nvCxnSpPr>
        <xdr:cNvPr id="6" name="Connecteur droit avec flèche 5"/>
        <xdr:cNvCxnSpPr/>
      </xdr:nvCxnSpPr>
      <xdr:spPr>
        <a:xfrm flipV="1">
          <a:off x="4145280" y="11149648"/>
          <a:ext cx="1076325" cy="1872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92</xdr:row>
      <xdr:rowOff>91440</xdr:rowOff>
    </xdr:from>
    <xdr:to>
      <xdr:col>6</xdr:col>
      <xdr:colOff>0</xdr:colOff>
      <xdr:row>118</xdr:row>
      <xdr:rowOff>30480</xdr:rowOff>
    </xdr:to>
    <xdr:cxnSp macro="">
      <xdr:nvCxnSpPr>
        <xdr:cNvPr id="7" name="Connecteur droit avec flèche 6"/>
        <xdr:cNvCxnSpPr/>
      </xdr:nvCxnSpPr>
      <xdr:spPr>
        <a:xfrm rot="16200000" flipH="1">
          <a:off x="3357563" y="13817917"/>
          <a:ext cx="2606040" cy="10610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48</xdr:row>
      <xdr:rowOff>99060</xdr:rowOff>
    </xdr:from>
    <xdr:to>
      <xdr:col>7</xdr:col>
      <xdr:colOff>952500</xdr:colOff>
      <xdr:row>70</xdr:row>
      <xdr:rowOff>51752</xdr:rowOff>
    </xdr:to>
    <xdr:cxnSp macro="">
      <xdr:nvCxnSpPr>
        <xdr:cNvPr id="8" name="Connecteur droit avec flèche 7"/>
        <xdr:cNvCxnSpPr/>
      </xdr:nvCxnSpPr>
      <xdr:spPr>
        <a:xfrm flipV="1">
          <a:off x="6356985" y="6957060"/>
          <a:ext cx="977265" cy="4143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70</xdr:row>
      <xdr:rowOff>51752</xdr:rowOff>
    </xdr:from>
    <xdr:to>
      <xdr:col>7</xdr:col>
      <xdr:colOff>929640</xdr:colOff>
      <xdr:row>92</xdr:row>
      <xdr:rowOff>114300</xdr:rowOff>
    </xdr:to>
    <xdr:cxnSp macro="">
      <xdr:nvCxnSpPr>
        <xdr:cNvPr id="9" name="Connecteur droit avec flèche 8"/>
        <xdr:cNvCxnSpPr/>
      </xdr:nvCxnSpPr>
      <xdr:spPr>
        <a:xfrm>
          <a:off x="6364605" y="11100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22</xdr:row>
      <xdr:rowOff>99647</xdr:rowOff>
    </xdr:from>
    <xdr:to>
      <xdr:col>8</xdr:col>
      <xdr:colOff>7620</xdr:colOff>
      <xdr:row>22</xdr:row>
      <xdr:rowOff>108268</xdr:rowOff>
    </xdr:to>
    <xdr:cxnSp macro="">
      <xdr:nvCxnSpPr>
        <xdr:cNvPr id="10" name="Connecteur droit avec flèche 9"/>
        <xdr:cNvCxnSpPr/>
      </xdr:nvCxnSpPr>
      <xdr:spPr>
        <a:xfrm>
          <a:off x="6375156" y="4290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22</xdr:row>
      <xdr:rowOff>123093</xdr:rowOff>
    </xdr:from>
    <xdr:to>
      <xdr:col>10</xdr:col>
      <xdr:colOff>0</xdr:colOff>
      <xdr:row>22</xdr:row>
      <xdr:rowOff>123508</xdr:rowOff>
    </xdr:to>
    <xdr:cxnSp macro="">
      <xdr:nvCxnSpPr>
        <xdr:cNvPr id="11" name="Connecteur droit avec flèche 10"/>
        <xdr:cNvCxnSpPr/>
      </xdr:nvCxnSpPr>
      <xdr:spPr>
        <a:xfrm>
          <a:off x="8266235" y="4314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926123</xdr:colOff>
      <xdr:row>46</xdr:row>
      <xdr:rowOff>123825</xdr:rowOff>
    </xdr:from>
    <xdr:to>
      <xdr:col>9</xdr:col>
      <xdr:colOff>742950</xdr:colOff>
      <xdr:row>48</xdr:row>
      <xdr:rowOff>99646</xdr:rowOff>
    </xdr:to>
    <xdr:cxnSp macro="">
      <xdr:nvCxnSpPr>
        <xdr:cNvPr id="12" name="Connecteur droit avec flèche 11"/>
        <xdr:cNvCxnSpPr/>
      </xdr:nvCxnSpPr>
      <xdr:spPr>
        <a:xfrm flipV="1">
          <a:off x="8260373" y="6600825"/>
          <a:ext cx="893152" cy="3568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1027</xdr:colOff>
      <xdr:row>92</xdr:row>
      <xdr:rowOff>99648</xdr:rowOff>
    </xdr:from>
    <xdr:to>
      <xdr:col>9</xdr:col>
      <xdr:colOff>733425</xdr:colOff>
      <xdr:row>94</xdr:row>
      <xdr:rowOff>133350</xdr:rowOff>
    </xdr:to>
    <xdr:cxnSp macro="">
      <xdr:nvCxnSpPr>
        <xdr:cNvPr id="13" name="Connecteur droit avec flèche 12"/>
        <xdr:cNvCxnSpPr/>
      </xdr:nvCxnSpPr>
      <xdr:spPr>
        <a:xfrm>
          <a:off x="8411602" y="13053648"/>
          <a:ext cx="732398" cy="41470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118</xdr:row>
      <xdr:rowOff>87922</xdr:rowOff>
    </xdr:from>
    <xdr:to>
      <xdr:col>9</xdr:col>
      <xdr:colOff>791307</xdr:colOff>
      <xdr:row>118</xdr:row>
      <xdr:rowOff>87924</xdr:rowOff>
    </xdr:to>
    <xdr:cxnSp macro="">
      <xdr:nvCxnSpPr>
        <xdr:cNvPr id="14" name="Connecteur droit avec flèche 13"/>
        <xdr:cNvCxnSpPr/>
      </xdr:nvCxnSpPr>
      <xdr:spPr>
        <a:xfrm flipV="1">
          <a:off x="8413799" y="157089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728135</xdr:colOff>
      <xdr:row>154</xdr:row>
      <xdr:rowOff>106682</xdr:rowOff>
    </xdr:from>
    <xdr:to>
      <xdr:col>3</xdr:col>
      <xdr:colOff>777238</xdr:colOff>
      <xdr:row>201</xdr:row>
      <xdr:rowOff>110068</xdr:rowOff>
    </xdr:to>
    <xdr:cxnSp macro="">
      <xdr:nvCxnSpPr>
        <xdr:cNvPr id="15" name="Connecteur droit avec flèche 14"/>
        <xdr:cNvCxnSpPr/>
      </xdr:nvCxnSpPr>
      <xdr:spPr>
        <a:xfrm rot="5400000" flipH="1" flipV="1">
          <a:off x="-687281" y="20953098"/>
          <a:ext cx="6670886" cy="79205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201</xdr:row>
      <xdr:rowOff>118534</xdr:rowOff>
    </xdr:from>
    <xdr:to>
      <xdr:col>3</xdr:col>
      <xdr:colOff>762000</xdr:colOff>
      <xdr:row>224</xdr:row>
      <xdr:rowOff>129540</xdr:rowOff>
    </xdr:to>
    <xdr:cxnSp macro="">
      <xdr:nvCxnSpPr>
        <xdr:cNvPr id="16" name="Connecteur droit avec flèche 15"/>
        <xdr:cNvCxnSpPr/>
      </xdr:nvCxnSpPr>
      <xdr:spPr>
        <a:xfrm>
          <a:off x="2243666" y="24693034"/>
          <a:ext cx="804334" cy="21065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154</xdr:row>
      <xdr:rowOff>83820</xdr:rowOff>
    </xdr:from>
    <xdr:to>
      <xdr:col>5</xdr:col>
      <xdr:colOff>739140</xdr:colOff>
      <xdr:row>154</xdr:row>
      <xdr:rowOff>85408</xdr:rowOff>
    </xdr:to>
    <xdr:cxnSp macro="">
      <xdr:nvCxnSpPr>
        <xdr:cNvPr id="17" name="Connecteur droit avec flèche 16"/>
        <xdr:cNvCxnSpPr/>
      </xdr:nvCxnSpPr>
      <xdr:spPr>
        <a:xfrm>
          <a:off x="3992880" y="17990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18" name="Connecteur droit avec flèche 17"/>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202</xdr:row>
      <xdr:rowOff>100648</xdr:rowOff>
    </xdr:from>
    <xdr:to>
      <xdr:col>6</xdr:col>
      <xdr:colOff>30480</xdr:colOff>
      <xdr:row>224</xdr:row>
      <xdr:rowOff>68580</xdr:rowOff>
    </xdr:to>
    <xdr:cxnSp macro="">
      <xdr:nvCxnSpPr>
        <xdr:cNvPr id="19" name="Connecteur droit avec flèche 18"/>
        <xdr:cNvCxnSpPr/>
      </xdr:nvCxnSpPr>
      <xdr:spPr>
        <a:xfrm flipV="1">
          <a:off x="4145280" y="24865648"/>
          <a:ext cx="1076325" cy="1872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224</xdr:row>
      <xdr:rowOff>91440</xdr:rowOff>
    </xdr:from>
    <xdr:to>
      <xdr:col>6</xdr:col>
      <xdr:colOff>0</xdr:colOff>
      <xdr:row>250</xdr:row>
      <xdr:rowOff>30480</xdr:rowOff>
    </xdr:to>
    <xdr:cxnSp macro="">
      <xdr:nvCxnSpPr>
        <xdr:cNvPr id="20" name="Connecteur droit avec flèche 19"/>
        <xdr:cNvCxnSpPr/>
      </xdr:nvCxnSpPr>
      <xdr:spPr>
        <a:xfrm rot="16200000" flipH="1">
          <a:off x="3357563" y="27533917"/>
          <a:ext cx="2606040" cy="10610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21" name="Connecteur droit avec flèche 20"/>
        <xdr:cNvCxnSpPr/>
      </xdr:nvCxnSpPr>
      <xdr:spPr>
        <a:xfrm flipV="1">
          <a:off x="6356985" y="22197060"/>
          <a:ext cx="977265" cy="2619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22" name="Connecteur droit avec flèche 21"/>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23" name="Connecteur droit avec flèche 22"/>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154</xdr:row>
      <xdr:rowOff>123093</xdr:rowOff>
    </xdr:from>
    <xdr:to>
      <xdr:col>10</xdr:col>
      <xdr:colOff>0</xdr:colOff>
      <xdr:row>154</xdr:row>
      <xdr:rowOff>123508</xdr:rowOff>
    </xdr:to>
    <xdr:cxnSp macro="">
      <xdr:nvCxnSpPr>
        <xdr:cNvPr id="24" name="Connecteur droit avec flèche 23"/>
        <xdr:cNvCxnSpPr/>
      </xdr:nvCxnSpPr>
      <xdr:spPr>
        <a:xfrm>
          <a:off x="8266235" y="18030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25" name="Connecteur droit avec flèche 24"/>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26" name="Connecteur droit avec flèche 25"/>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27" name="Connecteur droit avec flèche 26"/>
        <xdr:cNvCxnSpPr/>
      </xdr:nvCxnSpPr>
      <xdr:spPr>
        <a:xfrm>
          <a:off x="8414972" y="26768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250</xdr:row>
      <xdr:rowOff>87922</xdr:rowOff>
    </xdr:from>
    <xdr:to>
      <xdr:col>9</xdr:col>
      <xdr:colOff>791307</xdr:colOff>
      <xdr:row>250</xdr:row>
      <xdr:rowOff>87924</xdr:rowOff>
    </xdr:to>
    <xdr:cxnSp macro="">
      <xdr:nvCxnSpPr>
        <xdr:cNvPr id="28" name="Connecteur droit avec flèche 27"/>
        <xdr:cNvCxnSpPr/>
      </xdr:nvCxnSpPr>
      <xdr:spPr>
        <a:xfrm flipV="1">
          <a:off x="8413799" y="294249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711202</xdr:colOff>
      <xdr:row>284</xdr:row>
      <xdr:rowOff>106682</xdr:rowOff>
    </xdr:from>
    <xdr:to>
      <xdr:col>3</xdr:col>
      <xdr:colOff>777239</xdr:colOff>
      <xdr:row>323</xdr:row>
      <xdr:rowOff>101601</xdr:rowOff>
    </xdr:to>
    <xdr:cxnSp macro="">
      <xdr:nvCxnSpPr>
        <xdr:cNvPr id="29" name="Connecteur droit avec flèche 28"/>
        <xdr:cNvCxnSpPr/>
      </xdr:nvCxnSpPr>
      <xdr:spPr>
        <a:xfrm rot="5400000" flipH="1" flipV="1">
          <a:off x="-120014" y="33703898"/>
          <a:ext cx="5519419" cy="8089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323</xdr:row>
      <xdr:rowOff>127000</xdr:rowOff>
    </xdr:from>
    <xdr:to>
      <xdr:col>3</xdr:col>
      <xdr:colOff>762000</xdr:colOff>
      <xdr:row>342</xdr:row>
      <xdr:rowOff>129540</xdr:rowOff>
    </xdr:to>
    <xdr:cxnSp macro="">
      <xdr:nvCxnSpPr>
        <xdr:cNvPr id="30" name="Connecteur droit avec flèche 29"/>
        <xdr:cNvCxnSpPr/>
      </xdr:nvCxnSpPr>
      <xdr:spPr>
        <a:xfrm>
          <a:off x="2243666" y="36893500"/>
          <a:ext cx="804334" cy="17170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284</xdr:row>
      <xdr:rowOff>83820</xdr:rowOff>
    </xdr:from>
    <xdr:to>
      <xdr:col>5</xdr:col>
      <xdr:colOff>739140</xdr:colOff>
      <xdr:row>284</xdr:row>
      <xdr:rowOff>85408</xdr:rowOff>
    </xdr:to>
    <xdr:cxnSp macro="">
      <xdr:nvCxnSpPr>
        <xdr:cNvPr id="31" name="Connecteur droit avec flèche 30"/>
        <xdr:cNvCxnSpPr/>
      </xdr:nvCxnSpPr>
      <xdr:spPr>
        <a:xfrm>
          <a:off x="3992880" y="3132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32" name="Connecteur droit avec flèche 31"/>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324</xdr:row>
      <xdr:rowOff>100648</xdr:rowOff>
    </xdr:from>
    <xdr:to>
      <xdr:col>6</xdr:col>
      <xdr:colOff>30480</xdr:colOff>
      <xdr:row>342</xdr:row>
      <xdr:rowOff>68580</xdr:rowOff>
    </xdr:to>
    <xdr:cxnSp macro="">
      <xdr:nvCxnSpPr>
        <xdr:cNvPr id="33" name="Connecteur droit avec flèche 32"/>
        <xdr:cNvCxnSpPr/>
      </xdr:nvCxnSpPr>
      <xdr:spPr>
        <a:xfrm flipV="1">
          <a:off x="4145280" y="37057648"/>
          <a:ext cx="1076325" cy="1491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342</xdr:row>
      <xdr:rowOff>91440</xdr:rowOff>
    </xdr:from>
    <xdr:to>
      <xdr:col>6</xdr:col>
      <xdr:colOff>0</xdr:colOff>
      <xdr:row>385</xdr:row>
      <xdr:rowOff>30480</xdr:rowOff>
    </xdr:to>
    <xdr:cxnSp macro="">
      <xdr:nvCxnSpPr>
        <xdr:cNvPr id="34" name="Connecteur droit avec flèche 33"/>
        <xdr:cNvCxnSpPr/>
      </xdr:nvCxnSpPr>
      <xdr:spPr>
        <a:xfrm rot="16200000" flipH="1">
          <a:off x="3452813" y="39249667"/>
          <a:ext cx="2415540" cy="10610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306</xdr:row>
      <xdr:rowOff>148167</xdr:rowOff>
    </xdr:from>
    <xdr:to>
      <xdr:col>8</xdr:col>
      <xdr:colOff>0</xdr:colOff>
      <xdr:row>324</xdr:row>
      <xdr:rowOff>51752</xdr:rowOff>
    </xdr:to>
    <xdr:cxnSp macro="">
      <xdr:nvCxnSpPr>
        <xdr:cNvPr id="35" name="Connecteur droit avec flèche 34"/>
        <xdr:cNvCxnSpPr/>
      </xdr:nvCxnSpPr>
      <xdr:spPr>
        <a:xfrm flipV="1">
          <a:off x="6356985" y="33676167"/>
          <a:ext cx="977265" cy="3332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36" name="Connecteur droit avec flèche 35"/>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37" name="Connecteur droit avec flèche 36"/>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284</xdr:row>
      <xdr:rowOff>123093</xdr:rowOff>
    </xdr:from>
    <xdr:to>
      <xdr:col>10</xdr:col>
      <xdr:colOff>0</xdr:colOff>
      <xdr:row>284</xdr:row>
      <xdr:rowOff>123508</xdr:rowOff>
    </xdr:to>
    <xdr:cxnSp macro="">
      <xdr:nvCxnSpPr>
        <xdr:cNvPr id="38" name="Connecteur droit avec flèche 37"/>
        <xdr:cNvCxnSpPr/>
      </xdr:nvCxnSpPr>
      <xdr:spPr>
        <a:xfrm>
          <a:off x="8266235" y="31365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39" name="Connecteur droit avec flèche 38"/>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342</xdr:row>
      <xdr:rowOff>98474</xdr:rowOff>
    </xdr:from>
    <xdr:to>
      <xdr:col>10</xdr:col>
      <xdr:colOff>0</xdr:colOff>
      <xdr:row>344</xdr:row>
      <xdr:rowOff>87923</xdr:rowOff>
    </xdr:to>
    <xdr:cxnSp macro="">
      <xdr:nvCxnSpPr>
        <xdr:cNvPr id="40" name="Connecteur droit avec flèche 39"/>
        <xdr:cNvCxnSpPr/>
      </xdr:nvCxnSpPr>
      <xdr:spPr>
        <a:xfrm>
          <a:off x="8414972" y="38579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474</xdr:row>
      <xdr:rowOff>114300</xdr:rowOff>
    </xdr:from>
    <xdr:to>
      <xdr:col>9</xdr:col>
      <xdr:colOff>733425</xdr:colOff>
      <xdr:row>474</xdr:row>
      <xdr:rowOff>123825</xdr:rowOff>
    </xdr:to>
    <xdr:cxnSp macro="">
      <xdr:nvCxnSpPr>
        <xdr:cNvPr id="41" name="Connecteur droit avec flèche 40"/>
        <xdr:cNvCxnSpPr/>
      </xdr:nvCxnSpPr>
      <xdr:spPr>
        <a:xfrm>
          <a:off x="8515350" y="523113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685800</xdr:colOff>
      <xdr:row>394</xdr:row>
      <xdr:rowOff>152400</xdr:rowOff>
    </xdr:from>
    <xdr:to>
      <xdr:col>3</xdr:col>
      <xdr:colOff>723900</xdr:colOff>
      <xdr:row>424</xdr:row>
      <xdr:rowOff>0</xdr:rowOff>
    </xdr:to>
    <xdr:cxnSp macro="">
      <xdr:nvCxnSpPr>
        <xdr:cNvPr id="42" name="Connecteur droit avec flèche 41"/>
        <xdr:cNvCxnSpPr/>
      </xdr:nvCxnSpPr>
      <xdr:spPr>
        <a:xfrm flipV="1">
          <a:off x="2209800" y="42824400"/>
          <a:ext cx="800100" cy="36576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579120</xdr:colOff>
      <xdr:row>424</xdr:row>
      <xdr:rowOff>114300</xdr:rowOff>
    </xdr:from>
    <xdr:to>
      <xdr:col>3</xdr:col>
      <xdr:colOff>762000</xdr:colOff>
      <xdr:row>434</xdr:row>
      <xdr:rowOff>129540</xdr:rowOff>
    </xdr:to>
    <xdr:cxnSp macro="">
      <xdr:nvCxnSpPr>
        <xdr:cNvPr id="43" name="Connecteur droit avec flèche 42"/>
        <xdr:cNvCxnSpPr/>
      </xdr:nvCxnSpPr>
      <xdr:spPr>
        <a:xfrm>
          <a:off x="2103120" y="46596300"/>
          <a:ext cx="944880" cy="19202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394</xdr:row>
      <xdr:rowOff>83820</xdr:rowOff>
    </xdr:from>
    <xdr:to>
      <xdr:col>5</xdr:col>
      <xdr:colOff>739140</xdr:colOff>
      <xdr:row>394</xdr:row>
      <xdr:rowOff>85408</xdr:rowOff>
    </xdr:to>
    <xdr:cxnSp macro="">
      <xdr:nvCxnSpPr>
        <xdr:cNvPr id="44" name="Connecteur droit avec flèche 43"/>
        <xdr:cNvCxnSpPr/>
      </xdr:nvCxnSpPr>
      <xdr:spPr>
        <a:xfrm>
          <a:off x="3992880" y="4275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432</xdr:row>
      <xdr:rowOff>121227</xdr:rowOff>
    </xdr:from>
    <xdr:to>
      <xdr:col>5</xdr:col>
      <xdr:colOff>727363</xdr:colOff>
      <xdr:row>434</xdr:row>
      <xdr:rowOff>125731</xdr:rowOff>
    </xdr:to>
    <xdr:cxnSp macro="">
      <xdr:nvCxnSpPr>
        <xdr:cNvPr id="45" name="Connecteur droit avec flèche 44"/>
        <xdr:cNvCxnSpPr/>
      </xdr:nvCxnSpPr>
      <xdr:spPr>
        <a:xfrm flipV="1">
          <a:off x="4145280" y="48127227"/>
          <a:ext cx="1011208" cy="38550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46" name="Connecteur droit avec flèche 45"/>
        <xdr:cNvCxnSpPr/>
      </xdr:nvCxnSpPr>
      <xdr:spPr>
        <a:xfrm>
          <a:off x="6375156" y="427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394</xdr:row>
      <xdr:rowOff>123093</xdr:rowOff>
    </xdr:from>
    <xdr:to>
      <xdr:col>10</xdr:col>
      <xdr:colOff>0</xdr:colOff>
      <xdr:row>394</xdr:row>
      <xdr:rowOff>123508</xdr:rowOff>
    </xdr:to>
    <xdr:cxnSp macro="">
      <xdr:nvCxnSpPr>
        <xdr:cNvPr id="47" name="Connecteur droit avec flèche 46"/>
        <xdr:cNvCxnSpPr/>
      </xdr:nvCxnSpPr>
      <xdr:spPr>
        <a:xfrm>
          <a:off x="8266235" y="42795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1153890</xdr:colOff>
      <xdr:row>70</xdr:row>
      <xdr:rowOff>32659</xdr:rowOff>
    </xdr:from>
    <xdr:to>
      <xdr:col>1</xdr:col>
      <xdr:colOff>772890</xdr:colOff>
      <xdr:row>275</xdr:row>
      <xdr:rowOff>10888</xdr:rowOff>
    </xdr:to>
    <xdr:cxnSp macro="">
      <xdr:nvCxnSpPr>
        <xdr:cNvPr id="48" name="Connecteur droit avec flèche 47"/>
        <xdr:cNvCxnSpPr/>
      </xdr:nvCxnSpPr>
      <xdr:spPr>
        <a:xfrm rot="5400000" flipH="1" flipV="1">
          <a:off x="-8084000" y="19929024"/>
          <a:ext cx="18456729" cy="7620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1186547</xdr:colOff>
      <xdr:row>201</xdr:row>
      <xdr:rowOff>119747</xdr:rowOff>
    </xdr:from>
    <xdr:to>
      <xdr:col>2</xdr:col>
      <xdr:colOff>10888</xdr:colOff>
      <xdr:row>275</xdr:row>
      <xdr:rowOff>54428</xdr:rowOff>
    </xdr:to>
    <xdr:cxnSp macro="">
      <xdr:nvCxnSpPr>
        <xdr:cNvPr id="49" name="Connecteur droit avec flèche 48"/>
        <xdr:cNvCxnSpPr/>
      </xdr:nvCxnSpPr>
      <xdr:spPr>
        <a:xfrm rot="5400000" flipH="1" flipV="1">
          <a:off x="-1297436" y="26749605"/>
          <a:ext cx="4887681" cy="77696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760642</xdr:colOff>
      <xdr:row>275</xdr:row>
      <xdr:rowOff>152400</xdr:rowOff>
    </xdr:from>
    <xdr:to>
      <xdr:col>2</xdr:col>
      <xdr:colOff>68039</xdr:colOff>
      <xdr:row>323</xdr:row>
      <xdr:rowOff>13610</xdr:rowOff>
    </xdr:to>
    <xdr:cxnSp macro="">
      <xdr:nvCxnSpPr>
        <xdr:cNvPr id="50" name="Connecteur droit avec flèche 49"/>
        <xdr:cNvCxnSpPr/>
      </xdr:nvCxnSpPr>
      <xdr:spPr>
        <a:xfrm>
          <a:off x="760642" y="29679900"/>
          <a:ext cx="831397" cy="710021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276</xdr:row>
      <xdr:rowOff>0</xdr:rowOff>
    </xdr:from>
    <xdr:to>
      <xdr:col>2</xdr:col>
      <xdr:colOff>40823</xdr:colOff>
      <xdr:row>424</xdr:row>
      <xdr:rowOff>12244</xdr:rowOff>
    </xdr:to>
    <xdr:cxnSp macro="">
      <xdr:nvCxnSpPr>
        <xdr:cNvPr id="51" name="Connecteur droit avec flèche 50"/>
        <xdr:cNvCxnSpPr/>
      </xdr:nvCxnSpPr>
      <xdr:spPr>
        <a:xfrm>
          <a:off x="802821" y="29718000"/>
          <a:ext cx="762002" cy="167762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52" name="Connecteur droit avec flèche 51"/>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53" name="Connecteur droit avec flèche 52"/>
        <xdr:cNvCxnSpPr/>
      </xdr:nvCxnSpPr>
      <xdr:spPr>
        <a:xfrm flipV="1">
          <a:off x="6356985" y="22197060"/>
          <a:ext cx="977265" cy="2619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54" name="Connecteur droit avec flèche 53"/>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55" name="Connecteur droit avec flèche 54"/>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56" name="Connecteur droit avec flèche 55"/>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57" name="Connecteur droit avec flèche 56"/>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58" name="Connecteur droit avec flèche 57"/>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59" name="Connecteur droit avec flèche 58"/>
        <xdr:cNvCxnSpPr/>
      </xdr:nvCxnSpPr>
      <xdr:spPr>
        <a:xfrm>
          <a:off x="6375156" y="427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60" name="Connecteur droit avec flèche 59"/>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61" name="Connecteur droit avec flèche 60"/>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62" name="Connecteur droit avec flèche 61"/>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63" name="Connecteur droit avec flèche 62"/>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64" name="Connecteur droit avec flèche 63"/>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65" name="Connecteur droit avec flèche 64"/>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66" name="Connecteur droit avec flèche 65"/>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973667</xdr:colOff>
      <xdr:row>304</xdr:row>
      <xdr:rowOff>53340</xdr:rowOff>
    </xdr:from>
    <xdr:to>
      <xdr:col>9</xdr:col>
      <xdr:colOff>716280</xdr:colOff>
      <xdr:row>306</xdr:row>
      <xdr:rowOff>127000</xdr:rowOff>
    </xdr:to>
    <xdr:cxnSp macro="">
      <xdr:nvCxnSpPr>
        <xdr:cNvPr id="67" name="Connecteur droit avec flèche 66"/>
        <xdr:cNvCxnSpPr/>
      </xdr:nvCxnSpPr>
      <xdr:spPr>
        <a:xfrm flipV="1">
          <a:off x="8307917" y="33200340"/>
          <a:ext cx="818938" cy="45466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994834</xdr:colOff>
      <xdr:row>306</xdr:row>
      <xdr:rowOff>137583</xdr:rowOff>
    </xdr:from>
    <xdr:to>
      <xdr:col>9</xdr:col>
      <xdr:colOff>723900</xdr:colOff>
      <xdr:row>314</xdr:row>
      <xdr:rowOff>123825</xdr:rowOff>
    </xdr:to>
    <xdr:cxnSp macro="">
      <xdr:nvCxnSpPr>
        <xdr:cNvPr id="68" name="Connecteur droit avec flèche 67"/>
        <xdr:cNvCxnSpPr/>
      </xdr:nvCxnSpPr>
      <xdr:spPr>
        <a:xfrm>
          <a:off x="8329084" y="33665583"/>
          <a:ext cx="805391" cy="15102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69" name="Connecteur droit avec flèche 68"/>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422</xdr:row>
      <xdr:rowOff>145257</xdr:rowOff>
    </xdr:from>
    <xdr:to>
      <xdr:col>8</xdr:col>
      <xdr:colOff>50006</xdr:colOff>
      <xdr:row>432</xdr:row>
      <xdr:rowOff>133350</xdr:rowOff>
    </xdr:to>
    <xdr:cxnSp macro="">
      <xdr:nvCxnSpPr>
        <xdr:cNvPr id="70" name="Connecteur droit avec flèche 69"/>
        <xdr:cNvCxnSpPr/>
      </xdr:nvCxnSpPr>
      <xdr:spPr>
        <a:xfrm flipV="1">
          <a:off x="6524625" y="46246257"/>
          <a:ext cx="859631" cy="189309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1" name="Connecteur droit avec flèche 70"/>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2" name="Connecteur droit avec flèche 71"/>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73" name="Connecteur droit avec flèche 72"/>
        <xdr:cNvCxnSpPr/>
      </xdr:nvCxnSpPr>
      <xdr:spPr>
        <a:xfrm>
          <a:off x="8414972" y="26768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4" name="Connecteur droit avec flèche 73"/>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5" name="Connecteur droit avec flèche 74"/>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6" name="Connecteur droit avec flèche 75"/>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923925</xdr:colOff>
      <xdr:row>188</xdr:row>
      <xdr:rowOff>123825</xdr:rowOff>
    </xdr:from>
    <xdr:to>
      <xdr:col>9</xdr:col>
      <xdr:colOff>733425</xdr:colOff>
      <xdr:row>190</xdr:row>
      <xdr:rowOff>114300</xdr:rowOff>
    </xdr:to>
    <xdr:cxnSp macro="">
      <xdr:nvCxnSpPr>
        <xdr:cNvPr id="77" name="Connecteur droit avec flèche 76"/>
        <xdr:cNvCxnSpPr/>
      </xdr:nvCxnSpPr>
      <xdr:spPr>
        <a:xfrm>
          <a:off x="8258175" y="22221825"/>
          <a:ext cx="885825" cy="3714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8" name="Connecteur droit avec flèche 77"/>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xdr:row>
      <xdr:rowOff>116417</xdr:rowOff>
    </xdr:from>
    <xdr:to>
      <xdr:col>12</xdr:col>
      <xdr:colOff>222250</xdr:colOff>
      <xdr:row>22</xdr:row>
      <xdr:rowOff>114301</xdr:rowOff>
    </xdr:to>
    <xdr:cxnSp macro="">
      <xdr:nvCxnSpPr>
        <xdr:cNvPr id="79" name="Connecteur droit avec flèche 78"/>
        <xdr:cNvCxnSpPr/>
      </xdr:nvCxnSpPr>
      <xdr:spPr>
        <a:xfrm flipV="1">
          <a:off x="10315575" y="297391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118</xdr:row>
      <xdr:rowOff>104775</xdr:rowOff>
    </xdr:from>
    <xdr:to>
      <xdr:col>12</xdr:col>
      <xdr:colOff>0</xdr:colOff>
      <xdr:row>118</xdr:row>
      <xdr:rowOff>114300</xdr:rowOff>
    </xdr:to>
    <xdr:cxnSp macro="">
      <xdr:nvCxnSpPr>
        <xdr:cNvPr id="80" name="Connecteur droit avec flèche 79"/>
        <xdr:cNvCxnSpPr/>
      </xdr:nvCxnSpPr>
      <xdr:spPr>
        <a:xfrm>
          <a:off x="10677525" y="15725775"/>
          <a:ext cx="73342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46</xdr:row>
      <xdr:rowOff>114300</xdr:rowOff>
    </xdr:from>
    <xdr:to>
      <xdr:col>11</xdr:col>
      <xdr:colOff>696790</xdr:colOff>
      <xdr:row>46</xdr:row>
      <xdr:rowOff>114715</xdr:rowOff>
    </xdr:to>
    <xdr:cxnSp macro="">
      <xdr:nvCxnSpPr>
        <xdr:cNvPr id="81" name="Connecteur droit avec flèche 80"/>
        <xdr:cNvCxnSpPr/>
      </xdr:nvCxnSpPr>
      <xdr:spPr>
        <a:xfrm>
          <a:off x="10315575" y="659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58</xdr:row>
      <xdr:rowOff>114300</xdr:rowOff>
    </xdr:from>
    <xdr:to>
      <xdr:col>11</xdr:col>
      <xdr:colOff>696790</xdr:colOff>
      <xdr:row>58</xdr:row>
      <xdr:rowOff>114715</xdr:rowOff>
    </xdr:to>
    <xdr:cxnSp macro="">
      <xdr:nvCxnSpPr>
        <xdr:cNvPr id="82" name="Connecteur droit avec flèche 81"/>
        <xdr:cNvCxnSpPr/>
      </xdr:nvCxnSpPr>
      <xdr:spPr>
        <a:xfrm>
          <a:off x="10315575" y="8877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942975</xdr:colOff>
      <xdr:row>48</xdr:row>
      <xdr:rowOff>104775</xdr:rowOff>
    </xdr:from>
    <xdr:to>
      <xdr:col>9</xdr:col>
      <xdr:colOff>685800</xdr:colOff>
      <xdr:row>58</xdr:row>
      <xdr:rowOff>114300</xdr:rowOff>
    </xdr:to>
    <xdr:cxnSp macro="">
      <xdr:nvCxnSpPr>
        <xdr:cNvPr id="83" name="Connecteur droit avec flèche 82"/>
        <xdr:cNvCxnSpPr/>
      </xdr:nvCxnSpPr>
      <xdr:spPr>
        <a:xfrm>
          <a:off x="8277225" y="6962775"/>
          <a:ext cx="819150" cy="1914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70</xdr:row>
      <xdr:rowOff>114300</xdr:rowOff>
    </xdr:from>
    <xdr:to>
      <xdr:col>11</xdr:col>
      <xdr:colOff>696790</xdr:colOff>
      <xdr:row>70</xdr:row>
      <xdr:rowOff>114715</xdr:rowOff>
    </xdr:to>
    <xdr:cxnSp macro="">
      <xdr:nvCxnSpPr>
        <xdr:cNvPr id="84" name="Connecteur droit avec flèche 83"/>
        <xdr:cNvCxnSpPr/>
      </xdr:nvCxnSpPr>
      <xdr:spPr>
        <a:xfrm>
          <a:off x="10315575" y="11163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94</xdr:row>
      <xdr:rowOff>114300</xdr:rowOff>
    </xdr:from>
    <xdr:to>
      <xdr:col>11</xdr:col>
      <xdr:colOff>696790</xdr:colOff>
      <xdr:row>94</xdr:row>
      <xdr:rowOff>114715</xdr:rowOff>
    </xdr:to>
    <xdr:cxnSp macro="">
      <xdr:nvCxnSpPr>
        <xdr:cNvPr id="85" name="Connecteur droit avec flèche 84"/>
        <xdr:cNvCxnSpPr/>
      </xdr:nvCxnSpPr>
      <xdr:spPr>
        <a:xfrm>
          <a:off x="10315575" y="13449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276</xdr:row>
      <xdr:rowOff>0</xdr:rowOff>
    </xdr:from>
    <xdr:to>
      <xdr:col>1</xdr:col>
      <xdr:colOff>723900</xdr:colOff>
      <xdr:row>497</xdr:row>
      <xdr:rowOff>104775</xdr:rowOff>
    </xdr:to>
    <xdr:cxnSp macro="">
      <xdr:nvCxnSpPr>
        <xdr:cNvPr id="87" name="Connecteur droit avec flèche 86"/>
        <xdr:cNvCxnSpPr/>
      </xdr:nvCxnSpPr>
      <xdr:spPr>
        <a:xfrm>
          <a:off x="762000" y="29718000"/>
          <a:ext cx="723900" cy="231552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497</xdr:row>
      <xdr:rowOff>83820</xdr:rowOff>
    </xdr:from>
    <xdr:to>
      <xdr:col>5</xdr:col>
      <xdr:colOff>739140</xdr:colOff>
      <xdr:row>497</xdr:row>
      <xdr:rowOff>85408</xdr:rowOff>
    </xdr:to>
    <xdr:cxnSp macro="">
      <xdr:nvCxnSpPr>
        <xdr:cNvPr id="88" name="Connecteur droit avec flèche 87"/>
        <xdr:cNvCxnSpPr/>
      </xdr:nvCxnSpPr>
      <xdr:spPr>
        <a:xfrm>
          <a:off x="3992880" y="528523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89" name="Connecteur droit avec flèche 88"/>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497</xdr:row>
      <xdr:rowOff>123093</xdr:rowOff>
    </xdr:from>
    <xdr:to>
      <xdr:col>10</xdr:col>
      <xdr:colOff>0</xdr:colOff>
      <xdr:row>497</xdr:row>
      <xdr:rowOff>123508</xdr:rowOff>
    </xdr:to>
    <xdr:cxnSp macro="">
      <xdr:nvCxnSpPr>
        <xdr:cNvPr id="90" name="Connecteur droit avec flèche 89"/>
        <xdr:cNvCxnSpPr/>
      </xdr:nvCxnSpPr>
      <xdr:spPr>
        <a:xfrm>
          <a:off x="8266235" y="528915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91" name="Connecteur droit avec flèche 90"/>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497</xdr:row>
      <xdr:rowOff>95251</xdr:rowOff>
    </xdr:from>
    <xdr:to>
      <xdr:col>4</xdr:col>
      <xdr:colOff>0</xdr:colOff>
      <xdr:row>497</xdr:row>
      <xdr:rowOff>114300</xdr:rowOff>
    </xdr:to>
    <xdr:cxnSp macro="">
      <xdr:nvCxnSpPr>
        <xdr:cNvPr id="92" name="Connecteur droit avec flèche 91"/>
        <xdr:cNvCxnSpPr/>
      </xdr:nvCxnSpPr>
      <xdr:spPr>
        <a:xfrm>
          <a:off x="2171700" y="52863751"/>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250</xdr:row>
      <xdr:rowOff>104775</xdr:rowOff>
    </xdr:from>
    <xdr:to>
      <xdr:col>12</xdr:col>
      <xdr:colOff>0</xdr:colOff>
      <xdr:row>250</xdr:row>
      <xdr:rowOff>114300</xdr:rowOff>
    </xdr:to>
    <xdr:cxnSp macro="">
      <xdr:nvCxnSpPr>
        <xdr:cNvPr id="93" name="Connecteur droit avec flèche 92"/>
        <xdr:cNvCxnSpPr/>
      </xdr:nvCxnSpPr>
      <xdr:spPr>
        <a:xfrm>
          <a:off x="10677525" y="29441775"/>
          <a:ext cx="73342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154</xdr:row>
      <xdr:rowOff>114300</xdr:rowOff>
    </xdr:from>
    <xdr:to>
      <xdr:col>11</xdr:col>
      <xdr:colOff>696790</xdr:colOff>
      <xdr:row>154</xdr:row>
      <xdr:rowOff>114715</xdr:rowOff>
    </xdr:to>
    <xdr:cxnSp macro="">
      <xdr:nvCxnSpPr>
        <xdr:cNvPr id="94" name="Connecteur droit avec flèche 93"/>
        <xdr:cNvCxnSpPr/>
      </xdr:nvCxnSpPr>
      <xdr:spPr>
        <a:xfrm>
          <a:off x="10315575" y="1802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178</xdr:row>
      <xdr:rowOff>114300</xdr:rowOff>
    </xdr:from>
    <xdr:to>
      <xdr:col>11</xdr:col>
      <xdr:colOff>696790</xdr:colOff>
      <xdr:row>178</xdr:row>
      <xdr:rowOff>114715</xdr:rowOff>
    </xdr:to>
    <xdr:cxnSp macro="">
      <xdr:nvCxnSpPr>
        <xdr:cNvPr id="95" name="Connecteur droit avec flèche 94"/>
        <xdr:cNvCxnSpPr/>
      </xdr:nvCxnSpPr>
      <xdr:spPr>
        <a:xfrm>
          <a:off x="10315575" y="20307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190</xdr:row>
      <xdr:rowOff>114300</xdr:rowOff>
    </xdr:from>
    <xdr:to>
      <xdr:col>11</xdr:col>
      <xdr:colOff>696790</xdr:colOff>
      <xdr:row>190</xdr:row>
      <xdr:rowOff>114715</xdr:rowOff>
    </xdr:to>
    <xdr:cxnSp macro="">
      <xdr:nvCxnSpPr>
        <xdr:cNvPr id="96" name="Connecteur droit avec flèche 95"/>
        <xdr:cNvCxnSpPr/>
      </xdr:nvCxnSpPr>
      <xdr:spPr>
        <a:xfrm>
          <a:off x="10315575" y="22593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202</xdr:row>
      <xdr:rowOff>114300</xdr:rowOff>
    </xdr:from>
    <xdr:to>
      <xdr:col>11</xdr:col>
      <xdr:colOff>696790</xdr:colOff>
      <xdr:row>202</xdr:row>
      <xdr:rowOff>114715</xdr:rowOff>
    </xdr:to>
    <xdr:cxnSp macro="">
      <xdr:nvCxnSpPr>
        <xdr:cNvPr id="97" name="Connecteur droit avec flèche 96"/>
        <xdr:cNvCxnSpPr/>
      </xdr:nvCxnSpPr>
      <xdr:spPr>
        <a:xfrm>
          <a:off x="10315575" y="24879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1200150</xdr:colOff>
      <xdr:row>226</xdr:row>
      <xdr:rowOff>95250</xdr:rowOff>
    </xdr:from>
    <xdr:to>
      <xdr:col>12</xdr:col>
      <xdr:colOff>0</xdr:colOff>
      <xdr:row>226</xdr:row>
      <xdr:rowOff>107156</xdr:rowOff>
    </xdr:to>
    <xdr:cxnSp macro="">
      <xdr:nvCxnSpPr>
        <xdr:cNvPr id="98" name="Connecteur droit avec flèche 97"/>
        <xdr:cNvCxnSpPr/>
      </xdr:nvCxnSpPr>
      <xdr:spPr>
        <a:xfrm>
          <a:off x="10544175" y="27146250"/>
          <a:ext cx="866775" cy="119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497</xdr:row>
      <xdr:rowOff>104775</xdr:rowOff>
    </xdr:from>
    <xdr:to>
      <xdr:col>11</xdr:col>
      <xdr:colOff>715840</xdr:colOff>
      <xdr:row>497</xdr:row>
      <xdr:rowOff>105190</xdr:rowOff>
    </xdr:to>
    <xdr:cxnSp macro="">
      <xdr:nvCxnSpPr>
        <xdr:cNvPr id="99" name="Connecteur droit avec flèche 98"/>
        <xdr:cNvCxnSpPr/>
      </xdr:nvCxnSpPr>
      <xdr:spPr>
        <a:xfrm>
          <a:off x="10334625" y="52873275"/>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1209675</xdr:colOff>
      <xdr:row>474</xdr:row>
      <xdr:rowOff>114300</xdr:rowOff>
    </xdr:from>
    <xdr:to>
      <xdr:col>12</xdr:col>
      <xdr:colOff>0</xdr:colOff>
      <xdr:row>474</xdr:row>
      <xdr:rowOff>114300</xdr:rowOff>
    </xdr:to>
    <xdr:cxnSp macro="">
      <xdr:nvCxnSpPr>
        <xdr:cNvPr id="100" name="Connecteur droit avec flèche 99"/>
        <xdr:cNvCxnSpPr/>
      </xdr:nvCxnSpPr>
      <xdr:spPr>
        <a:xfrm>
          <a:off x="10553700" y="52311300"/>
          <a:ext cx="857250"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284</xdr:row>
      <xdr:rowOff>114300</xdr:rowOff>
    </xdr:from>
    <xdr:to>
      <xdr:col>12</xdr:col>
      <xdr:colOff>136072</xdr:colOff>
      <xdr:row>284</xdr:row>
      <xdr:rowOff>122464</xdr:rowOff>
    </xdr:to>
    <xdr:cxnSp macro="">
      <xdr:nvCxnSpPr>
        <xdr:cNvPr id="101" name="Connecteur droit avec flèche 100"/>
        <xdr:cNvCxnSpPr/>
      </xdr:nvCxnSpPr>
      <xdr:spPr>
        <a:xfrm>
          <a:off x="10315575" y="3135630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304</xdr:row>
      <xdr:rowOff>60287</xdr:rowOff>
    </xdr:from>
    <xdr:to>
      <xdr:col>12</xdr:col>
      <xdr:colOff>152505</xdr:colOff>
      <xdr:row>304</xdr:row>
      <xdr:rowOff>81643</xdr:rowOff>
    </xdr:to>
    <xdr:cxnSp macro="">
      <xdr:nvCxnSpPr>
        <xdr:cNvPr id="102" name="Connecteur droit avec flèche 101"/>
        <xdr:cNvCxnSpPr/>
      </xdr:nvCxnSpPr>
      <xdr:spPr>
        <a:xfrm flipV="1">
          <a:off x="10405383" y="33207287"/>
          <a:ext cx="1158072"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314</xdr:row>
      <xdr:rowOff>114300</xdr:rowOff>
    </xdr:from>
    <xdr:to>
      <xdr:col>11</xdr:col>
      <xdr:colOff>696790</xdr:colOff>
      <xdr:row>314</xdr:row>
      <xdr:rowOff>114715</xdr:rowOff>
    </xdr:to>
    <xdr:cxnSp macro="">
      <xdr:nvCxnSpPr>
        <xdr:cNvPr id="103" name="Connecteur droit avec flèche 102"/>
        <xdr:cNvCxnSpPr/>
      </xdr:nvCxnSpPr>
      <xdr:spPr>
        <a:xfrm>
          <a:off x="10315575" y="3516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324</xdr:row>
      <xdr:rowOff>114300</xdr:rowOff>
    </xdr:from>
    <xdr:to>
      <xdr:col>11</xdr:col>
      <xdr:colOff>696790</xdr:colOff>
      <xdr:row>324</xdr:row>
      <xdr:rowOff>114715</xdr:rowOff>
    </xdr:to>
    <xdr:cxnSp macro="">
      <xdr:nvCxnSpPr>
        <xdr:cNvPr id="104" name="Connecteur droit avec flèche 103"/>
        <xdr:cNvCxnSpPr/>
      </xdr:nvCxnSpPr>
      <xdr:spPr>
        <a:xfrm>
          <a:off x="10315575" y="3707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344</xdr:row>
      <xdr:rowOff>114300</xdr:rowOff>
    </xdr:from>
    <xdr:to>
      <xdr:col>11</xdr:col>
      <xdr:colOff>696790</xdr:colOff>
      <xdr:row>344</xdr:row>
      <xdr:rowOff>114715</xdr:rowOff>
    </xdr:to>
    <xdr:cxnSp macro="">
      <xdr:nvCxnSpPr>
        <xdr:cNvPr id="105" name="Connecteur droit avec flèche 104"/>
        <xdr:cNvCxnSpPr/>
      </xdr:nvCxnSpPr>
      <xdr:spPr>
        <a:xfrm>
          <a:off x="10315575" y="3897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394</xdr:row>
      <xdr:rowOff>114300</xdr:rowOff>
    </xdr:from>
    <xdr:to>
      <xdr:col>11</xdr:col>
      <xdr:colOff>696790</xdr:colOff>
      <xdr:row>394</xdr:row>
      <xdr:rowOff>114715</xdr:rowOff>
    </xdr:to>
    <xdr:cxnSp macro="">
      <xdr:nvCxnSpPr>
        <xdr:cNvPr id="106" name="Connecteur droit avec flèche 105"/>
        <xdr:cNvCxnSpPr/>
      </xdr:nvCxnSpPr>
      <xdr:spPr>
        <a:xfrm>
          <a:off x="10315575" y="4278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1352550</xdr:colOff>
      <xdr:row>432</xdr:row>
      <xdr:rowOff>142875</xdr:rowOff>
    </xdr:from>
    <xdr:to>
      <xdr:col>7</xdr:col>
      <xdr:colOff>733425</xdr:colOff>
      <xdr:row>446</xdr:row>
      <xdr:rowOff>66675</xdr:rowOff>
    </xdr:to>
    <xdr:cxnSp macro="">
      <xdr:nvCxnSpPr>
        <xdr:cNvPr id="107" name="Connecteur droit avec flèche 106"/>
        <xdr:cNvCxnSpPr/>
      </xdr:nvCxnSpPr>
      <xdr:spPr>
        <a:xfrm>
          <a:off x="6543675" y="48148875"/>
          <a:ext cx="762000" cy="6858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1160318</xdr:colOff>
      <xdr:row>434</xdr:row>
      <xdr:rowOff>121227</xdr:rowOff>
    </xdr:from>
    <xdr:to>
      <xdr:col>5</xdr:col>
      <xdr:colOff>736022</xdr:colOff>
      <xdr:row>474</xdr:row>
      <xdr:rowOff>77932</xdr:rowOff>
    </xdr:to>
    <xdr:cxnSp macro="">
      <xdr:nvCxnSpPr>
        <xdr:cNvPr id="108" name="Connecteur droit avec flèche 107"/>
        <xdr:cNvCxnSpPr/>
      </xdr:nvCxnSpPr>
      <xdr:spPr>
        <a:xfrm>
          <a:off x="4208318" y="48508227"/>
          <a:ext cx="956829" cy="376670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09" name="Connecteur droit avec flèche 108"/>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364</xdr:row>
      <xdr:rowOff>114300</xdr:rowOff>
    </xdr:from>
    <xdr:to>
      <xdr:col>9</xdr:col>
      <xdr:colOff>733425</xdr:colOff>
      <xdr:row>364</xdr:row>
      <xdr:rowOff>123825</xdr:rowOff>
    </xdr:to>
    <xdr:cxnSp macro="">
      <xdr:nvCxnSpPr>
        <xdr:cNvPr id="110" name="Connecteur droit avec flèche 109"/>
        <xdr:cNvCxnSpPr/>
      </xdr:nvCxnSpPr>
      <xdr:spPr>
        <a:xfrm>
          <a:off x="8515350" y="408813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11" name="Connecteur droit avec flèche 110"/>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12" name="Connecteur droit avec flèche 111"/>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364</xdr:row>
      <xdr:rowOff>103911</xdr:rowOff>
    </xdr:from>
    <xdr:to>
      <xdr:col>11</xdr:col>
      <xdr:colOff>714375</xdr:colOff>
      <xdr:row>364</xdr:row>
      <xdr:rowOff>114300</xdr:rowOff>
    </xdr:to>
    <xdr:cxnSp macro="">
      <xdr:nvCxnSpPr>
        <xdr:cNvPr id="113" name="Connecteur droit avec flèche 112"/>
        <xdr:cNvCxnSpPr/>
      </xdr:nvCxnSpPr>
      <xdr:spPr>
        <a:xfrm>
          <a:off x="10435070" y="40870911"/>
          <a:ext cx="928255"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4" name="Connecteur droit avec flèche 113"/>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446</xdr:row>
      <xdr:rowOff>98474</xdr:rowOff>
    </xdr:from>
    <xdr:to>
      <xdr:col>10</xdr:col>
      <xdr:colOff>0</xdr:colOff>
      <xdr:row>454</xdr:row>
      <xdr:rowOff>87923</xdr:rowOff>
    </xdr:to>
    <xdr:cxnSp macro="">
      <xdr:nvCxnSpPr>
        <xdr:cNvPr id="115" name="Connecteur droit avec flèche 114"/>
        <xdr:cNvCxnSpPr/>
      </xdr:nvCxnSpPr>
      <xdr:spPr>
        <a:xfrm>
          <a:off x="8414972" y="48866474"/>
          <a:ext cx="929053" cy="1513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6" name="Connecteur droit avec flèche 115"/>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7" name="Connecteur droit avec flèche 116"/>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920262</xdr:colOff>
      <xdr:row>422</xdr:row>
      <xdr:rowOff>105508</xdr:rowOff>
    </xdr:from>
    <xdr:to>
      <xdr:col>9</xdr:col>
      <xdr:colOff>723900</xdr:colOff>
      <xdr:row>424</xdr:row>
      <xdr:rowOff>123825</xdr:rowOff>
    </xdr:to>
    <xdr:cxnSp macro="">
      <xdr:nvCxnSpPr>
        <xdr:cNvPr id="118" name="Connecteur droit avec flèche 117"/>
        <xdr:cNvCxnSpPr/>
      </xdr:nvCxnSpPr>
      <xdr:spPr>
        <a:xfrm>
          <a:off x="8254512" y="46206508"/>
          <a:ext cx="879963" cy="3993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43</xdr:colOff>
      <xdr:row>434</xdr:row>
      <xdr:rowOff>95250</xdr:rowOff>
    </xdr:from>
    <xdr:to>
      <xdr:col>9</xdr:col>
      <xdr:colOff>721179</xdr:colOff>
      <xdr:row>446</xdr:row>
      <xdr:rowOff>106097</xdr:rowOff>
    </xdr:to>
    <xdr:cxnSp macro="">
      <xdr:nvCxnSpPr>
        <xdr:cNvPr id="119" name="Connecteur droit avec flèche 118"/>
        <xdr:cNvCxnSpPr/>
      </xdr:nvCxnSpPr>
      <xdr:spPr>
        <a:xfrm flipV="1">
          <a:off x="8410618" y="48482250"/>
          <a:ext cx="721136" cy="39184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414</xdr:row>
      <xdr:rowOff>114300</xdr:rowOff>
    </xdr:from>
    <xdr:to>
      <xdr:col>11</xdr:col>
      <xdr:colOff>696790</xdr:colOff>
      <xdr:row>414</xdr:row>
      <xdr:rowOff>114715</xdr:rowOff>
    </xdr:to>
    <xdr:cxnSp macro="">
      <xdr:nvCxnSpPr>
        <xdr:cNvPr id="120" name="Connecteur droit avec flèche 119"/>
        <xdr:cNvCxnSpPr/>
      </xdr:nvCxnSpPr>
      <xdr:spPr>
        <a:xfrm>
          <a:off x="10315575" y="4469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424</xdr:row>
      <xdr:rowOff>114300</xdr:rowOff>
    </xdr:from>
    <xdr:to>
      <xdr:col>11</xdr:col>
      <xdr:colOff>696790</xdr:colOff>
      <xdr:row>424</xdr:row>
      <xdr:rowOff>114715</xdr:rowOff>
    </xdr:to>
    <xdr:cxnSp macro="">
      <xdr:nvCxnSpPr>
        <xdr:cNvPr id="121" name="Connecteur droit avec flèche 120"/>
        <xdr:cNvCxnSpPr/>
      </xdr:nvCxnSpPr>
      <xdr:spPr>
        <a:xfrm>
          <a:off x="10315575" y="4659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1219200</xdr:colOff>
      <xdr:row>454</xdr:row>
      <xdr:rowOff>114300</xdr:rowOff>
    </xdr:from>
    <xdr:to>
      <xdr:col>11</xdr:col>
      <xdr:colOff>696790</xdr:colOff>
      <xdr:row>454</xdr:row>
      <xdr:rowOff>114715</xdr:rowOff>
    </xdr:to>
    <xdr:cxnSp macro="">
      <xdr:nvCxnSpPr>
        <xdr:cNvPr id="122" name="Connecteur droit avec flèche 121"/>
        <xdr:cNvCxnSpPr/>
      </xdr:nvCxnSpPr>
      <xdr:spPr>
        <a:xfrm>
          <a:off x="10563225" y="50406300"/>
          <a:ext cx="78251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973667</xdr:colOff>
      <xdr:row>19</xdr:row>
      <xdr:rowOff>84667</xdr:rowOff>
    </xdr:from>
    <xdr:to>
      <xdr:col>12</xdr:col>
      <xdr:colOff>52917</xdr:colOff>
      <xdr:row>22</xdr:row>
      <xdr:rowOff>114301</xdr:rowOff>
    </xdr:to>
    <xdr:cxnSp macro="">
      <xdr:nvCxnSpPr>
        <xdr:cNvPr id="123" name="Connecteur droit avec flèche 122"/>
        <xdr:cNvCxnSpPr/>
      </xdr:nvCxnSpPr>
      <xdr:spPr>
        <a:xfrm flipV="1">
          <a:off x="10317692" y="370416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1005417</xdr:colOff>
      <xdr:row>20</xdr:row>
      <xdr:rowOff>95250</xdr:rowOff>
    </xdr:from>
    <xdr:to>
      <xdr:col>12</xdr:col>
      <xdr:colOff>190500</xdr:colOff>
      <xdr:row>22</xdr:row>
      <xdr:rowOff>148167</xdr:rowOff>
    </xdr:to>
    <xdr:cxnSp macro="">
      <xdr:nvCxnSpPr>
        <xdr:cNvPr id="124" name="Connecteur droit avec flèche 123"/>
        <xdr:cNvCxnSpPr/>
      </xdr:nvCxnSpPr>
      <xdr:spPr>
        <a:xfrm flipV="1">
          <a:off x="10349442" y="390525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1016000</xdr:colOff>
      <xdr:row>22</xdr:row>
      <xdr:rowOff>105833</xdr:rowOff>
    </xdr:from>
    <xdr:to>
      <xdr:col>12</xdr:col>
      <xdr:colOff>84667</xdr:colOff>
      <xdr:row>22</xdr:row>
      <xdr:rowOff>137583</xdr:rowOff>
    </xdr:to>
    <xdr:cxnSp macro="">
      <xdr:nvCxnSpPr>
        <xdr:cNvPr id="125" name="Connecteur droit avec flèche 124"/>
        <xdr:cNvCxnSpPr/>
      </xdr:nvCxnSpPr>
      <xdr:spPr>
        <a:xfrm flipV="1">
          <a:off x="10360025" y="429683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635000</xdr:colOff>
      <xdr:row>13</xdr:row>
      <xdr:rowOff>63501</xdr:rowOff>
    </xdr:from>
    <xdr:to>
      <xdr:col>14</xdr:col>
      <xdr:colOff>55033</xdr:colOff>
      <xdr:row>15</xdr:row>
      <xdr:rowOff>105833</xdr:rowOff>
    </xdr:to>
    <xdr:cxnSp macro="">
      <xdr:nvCxnSpPr>
        <xdr:cNvPr id="126" name="Connecteur droit avec flèche 125"/>
        <xdr:cNvCxnSpPr/>
      </xdr:nvCxnSpPr>
      <xdr:spPr>
        <a:xfrm flipV="1">
          <a:off x="12045950" y="254000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592666</xdr:colOff>
      <xdr:row>15</xdr:row>
      <xdr:rowOff>103718</xdr:rowOff>
    </xdr:from>
    <xdr:to>
      <xdr:col>13</xdr:col>
      <xdr:colOff>730250</xdr:colOff>
      <xdr:row>15</xdr:row>
      <xdr:rowOff>116417</xdr:rowOff>
    </xdr:to>
    <xdr:cxnSp macro="">
      <xdr:nvCxnSpPr>
        <xdr:cNvPr id="127" name="Connecteur droit avec flèche 126"/>
        <xdr:cNvCxnSpPr/>
      </xdr:nvCxnSpPr>
      <xdr:spPr>
        <a:xfrm>
          <a:off x="12003616" y="296121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476251</xdr:colOff>
      <xdr:row>17</xdr:row>
      <xdr:rowOff>105833</xdr:rowOff>
    </xdr:from>
    <xdr:to>
      <xdr:col>13</xdr:col>
      <xdr:colOff>730251</xdr:colOff>
      <xdr:row>19</xdr:row>
      <xdr:rowOff>105831</xdr:rowOff>
    </xdr:to>
    <xdr:cxnSp macro="">
      <xdr:nvCxnSpPr>
        <xdr:cNvPr id="128" name="Connecteur droit avec flèche 127"/>
        <xdr:cNvCxnSpPr/>
      </xdr:nvCxnSpPr>
      <xdr:spPr>
        <a:xfrm flipV="1">
          <a:off x="11887201" y="334433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22</xdr:row>
      <xdr:rowOff>95249</xdr:rowOff>
    </xdr:from>
    <xdr:to>
      <xdr:col>13</xdr:col>
      <xdr:colOff>719668</xdr:colOff>
      <xdr:row>22</xdr:row>
      <xdr:rowOff>105834</xdr:rowOff>
    </xdr:to>
    <xdr:cxnSp macro="">
      <xdr:nvCxnSpPr>
        <xdr:cNvPr id="129" name="Connecteur droit avec flèche 128"/>
        <xdr:cNvCxnSpPr/>
      </xdr:nvCxnSpPr>
      <xdr:spPr>
        <a:xfrm>
          <a:off x="12014201" y="428624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677335</xdr:colOff>
      <xdr:row>20</xdr:row>
      <xdr:rowOff>84666</xdr:rowOff>
    </xdr:from>
    <xdr:to>
      <xdr:col>13</xdr:col>
      <xdr:colOff>740835</xdr:colOff>
      <xdr:row>20</xdr:row>
      <xdr:rowOff>95251</xdr:rowOff>
    </xdr:to>
    <xdr:cxnSp macro="">
      <xdr:nvCxnSpPr>
        <xdr:cNvPr id="130" name="Connecteur droit avec flèche 129"/>
        <xdr:cNvCxnSpPr/>
      </xdr:nvCxnSpPr>
      <xdr:spPr>
        <a:xfrm>
          <a:off x="12088285" y="389466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529168</xdr:colOff>
      <xdr:row>19</xdr:row>
      <xdr:rowOff>74083</xdr:rowOff>
    </xdr:from>
    <xdr:to>
      <xdr:col>13</xdr:col>
      <xdr:colOff>698501</xdr:colOff>
      <xdr:row>19</xdr:row>
      <xdr:rowOff>95251</xdr:rowOff>
    </xdr:to>
    <xdr:cxnSp macro="">
      <xdr:nvCxnSpPr>
        <xdr:cNvPr id="131" name="Connecteur droit avec flèche 130"/>
        <xdr:cNvCxnSpPr/>
      </xdr:nvCxnSpPr>
      <xdr:spPr>
        <a:xfrm>
          <a:off x="11940118" y="369358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21</xdr:row>
      <xdr:rowOff>137582</xdr:rowOff>
    </xdr:from>
    <xdr:to>
      <xdr:col>13</xdr:col>
      <xdr:colOff>751418</xdr:colOff>
      <xdr:row>22</xdr:row>
      <xdr:rowOff>95249</xdr:rowOff>
    </xdr:to>
    <xdr:cxnSp macro="">
      <xdr:nvCxnSpPr>
        <xdr:cNvPr id="132" name="Connecteur droit avec flèche 131"/>
        <xdr:cNvCxnSpPr/>
      </xdr:nvCxnSpPr>
      <xdr:spPr>
        <a:xfrm flipV="1">
          <a:off x="12014201" y="413808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709084</xdr:colOff>
      <xdr:row>13</xdr:row>
      <xdr:rowOff>63499</xdr:rowOff>
    </xdr:from>
    <xdr:to>
      <xdr:col>16</xdr:col>
      <xdr:colOff>74085</xdr:colOff>
      <xdr:row>13</xdr:row>
      <xdr:rowOff>76199</xdr:rowOff>
    </xdr:to>
    <xdr:cxnSp macro="">
      <xdr:nvCxnSpPr>
        <xdr:cNvPr id="133" name="Connecteur droit avec flèche 132"/>
        <xdr:cNvCxnSpPr/>
      </xdr:nvCxnSpPr>
      <xdr:spPr>
        <a:xfrm>
          <a:off x="13644034" y="253999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677334</xdr:colOff>
      <xdr:row>17</xdr:row>
      <xdr:rowOff>95249</xdr:rowOff>
    </xdr:from>
    <xdr:to>
      <xdr:col>16</xdr:col>
      <xdr:colOff>21168</xdr:colOff>
      <xdr:row>17</xdr:row>
      <xdr:rowOff>97366</xdr:rowOff>
    </xdr:to>
    <xdr:cxnSp macro="">
      <xdr:nvCxnSpPr>
        <xdr:cNvPr id="134" name="Connecteur droit avec flèche 133"/>
        <xdr:cNvCxnSpPr/>
      </xdr:nvCxnSpPr>
      <xdr:spPr>
        <a:xfrm>
          <a:off x="13612284" y="3333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15</xdr:row>
      <xdr:rowOff>95249</xdr:rowOff>
    </xdr:from>
    <xdr:to>
      <xdr:col>16</xdr:col>
      <xdr:colOff>95252</xdr:colOff>
      <xdr:row>15</xdr:row>
      <xdr:rowOff>97366</xdr:rowOff>
    </xdr:to>
    <xdr:cxnSp macro="">
      <xdr:nvCxnSpPr>
        <xdr:cNvPr id="135" name="Connecteur droit avec flèche 134"/>
        <xdr:cNvCxnSpPr/>
      </xdr:nvCxnSpPr>
      <xdr:spPr>
        <a:xfrm>
          <a:off x="13686368" y="2952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740834</xdr:colOff>
      <xdr:row>19</xdr:row>
      <xdr:rowOff>84666</xdr:rowOff>
    </xdr:from>
    <xdr:to>
      <xdr:col>16</xdr:col>
      <xdr:colOff>84668</xdr:colOff>
      <xdr:row>19</xdr:row>
      <xdr:rowOff>86783</xdr:rowOff>
    </xdr:to>
    <xdr:cxnSp macro="">
      <xdr:nvCxnSpPr>
        <xdr:cNvPr id="136" name="Connecteur droit avec flèche 135"/>
        <xdr:cNvCxnSpPr/>
      </xdr:nvCxnSpPr>
      <xdr:spPr>
        <a:xfrm>
          <a:off x="13675784" y="3704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687917</xdr:colOff>
      <xdr:row>21</xdr:row>
      <xdr:rowOff>84666</xdr:rowOff>
    </xdr:from>
    <xdr:to>
      <xdr:col>16</xdr:col>
      <xdr:colOff>31751</xdr:colOff>
      <xdr:row>21</xdr:row>
      <xdr:rowOff>86783</xdr:rowOff>
    </xdr:to>
    <xdr:cxnSp macro="">
      <xdr:nvCxnSpPr>
        <xdr:cNvPr id="137" name="Connecteur droit avec flèche 136"/>
        <xdr:cNvCxnSpPr/>
      </xdr:nvCxnSpPr>
      <xdr:spPr>
        <a:xfrm>
          <a:off x="13622867" y="4085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677335</xdr:colOff>
      <xdr:row>22</xdr:row>
      <xdr:rowOff>95249</xdr:rowOff>
    </xdr:from>
    <xdr:to>
      <xdr:col>16</xdr:col>
      <xdr:colOff>21169</xdr:colOff>
      <xdr:row>22</xdr:row>
      <xdr:rowOff>97366</xdr:rowOff>
    </xdr:to>
    <xdr:cxnSp macro="">
      <xdr:nvCxnSpPr>
        <xdr:cNvPr id="138" name="Connecteur droit avec flèche 137"/>
        <xdr:cNvCxnSpPr/>
      </xdr:nvCxnSpPr>
      <xdr:spPr>
        <a:xfrm>
          <a:off x="13612285" y="4286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645584</xdr:colOff>
      <xdr:row>20</xdr:row>
      <xdr:rowOff>95250</xdr:rowOff>
    </xdr:from>
    <xdr:to>
      <xdr:col>15</xdr:col>
      <xdr:colOff>751418</xdr:colOff>
      <xdr:row>20</xdr:row>
      <xdr:rowOff>97367</xdr:rowOff>
    </xdr:to>
    <xdr:cxnSp macro="">
      <xdr:nvCxnSpPr>
        <xdr:cNvPr id="139" name="Connecteur droit avec flèche 138"/>
        <xdr:cNvCxnSpPr/>
      </xdr:nvCxnSpPr>
      <xdr:spPr>
        <a:xfrm>
          <a:off x="13580534" y="39052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698500</xdr:colOff>
      <xdr:row>12</xdr:row>
      <xdr:rowOff>84666</xdr:rowOff>
    </xdr:from>
    <xdr:to>
      <xdr:col>16</xdr:col>
      <xdr:colOff>52918</xdr:colOff>
      <xdr:row>13</xdr:row>
      <xdr:rowOff>52917</xdr:rowOff>
    </xdr:to>
    <xdr:cxnSp macro="">
      <xdr:nvCxnSpPr>
        <xdr:cNvPr id="140" name="Connecteur droit avec flèche 139"/>
        <xdr:cNvCxnSpPr/>
      </xdr:nvCxnSpPr>
      <xdr:spPr>
        <a:xfrm flipV="1">
          <a:off x="13633450" y="237066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14</xdr:row>
      <xdr:rowOff>105833</xdr:rowOff>
    </xdr:from>
    <xdr:to>
      <xdr:col>16</xdr:col>
      <xdr:colOff>95251</xdr:colOff>
      <xdr:row>15</xdr:row>
      <xdr:rowOff>74084</xdr:rowOff>
    </xdr:to>
    <xdr:cxnSp macro="">
      <xdr:nvCxnSpPr>
        <xdr:cNvPr id="141" name="Connecteur droit avec flèche 140"/>
        <xdr:cNvCxnSpPr/>
      </xdr:nvCxnSpPr>
      <xdr:spPr>
        <a:xfrm flipV="1">
          <a:off x="13686368" y="277283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666751</xdr:colOff>
      <xdr:row>16</xdr:row>
      <xdr:rowOff>105833</xdr:rowOff>
    </xdr:from>
    <xdr:to>
      <xdr:col>16</xdr:col>
      <xdr:colOff>42334</xdr:colOff>
      <xdr:row>17</xdr:row>
      <xdr:rowOff>74084</xdr:rowOff>
    </xdr:to>
    <xdr:cxnSp macro="">
      <xdr:nvCxnSpPr>
        <xdr:cNvPr id="142" name="Connecteur droit avec flèche 141"/>
        <xdr:cNvCxnSpPr/>
      </xdr:nvCxnSpPr>
      <xdr:spPr>
        <a:xfrm flipV="1">
          <a:off x="13601701" y="315383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719667</xdr:colOff>
      <xdr:row>18</xdr:row>
      <xdr:rowOff>105833</xdr:rowOff>
    </xdr:from>
    <xdr:to>
      <xdr:col>16</xdr:col>
      <xdr:colOff>116418</xdr:colOff>
      <xdr:row>19</xdr:row>
      <xdr:rowOff>63501</xdr:rowOff>
    </xdr:to>
    <xdr:cxnSp macro="">
      <xdr:nvCxnSpPr>
        <xdr:cNvPr id="143" name="Connecteur droit avec flèche 142"/>
        <xdr:cNvCxnSpPr/>
      </xdr:nvCxnSpPr>
      <xdr:spPr>
        <a:xfrm flipV="1">
          <a:off x="13654617" y="353483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39</xdr:row>
      <xdr:rowOff>99786</xdr:rowOff>
    </xdr:from>
    <xdr:to>
      <xdr:col>12</xdr:col>
      <xdr:colOff>339272</xdr:colOff>
      <xdr:row>46</xdr:row>
      <xdr:rowOff>97670</xdr:rowOff>
    </xdr:to>
    <xdr:cxnSp macro="">
      <xdr:nvCxnSpPr>
        <xdr:cNvPr id="144" name="Connecteur droit avec flèche 143"/>
        <xdr:cNvCxnSpPr/>
      </xdr:nvCxnSpPr>
      <xdr:spPr>
        <a:xfrm flipV="1">
          <a:off x="10432597" y="5243286"/>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43</xdr:row>
      <xdr:rowOff>68036</xdr:rowOff>
    </xdr:from>
    <xdr:to>
      <xdr:col>12</xdr:col>
      <xdr:colOff>169939</xdr:colOff>
      <xdr:row>46</xdr:row>
      <xdr:rowOff>97670</xdr:rowOff>
    </xdr:to>
    <xdr:cxnSp macro="">
      <xdr:nvCxnSpPr>
        <xdr:cNvPr id="145" name="Connecteur droit avec flèche 144"/>
        <xdr:cNvCxnSpPr/>
      </xdr:nvCxnSpPr>
      <xdr:spPr>
        <a:xfrm flipV="1">
          <a:off x="10434714" y="5973536"/>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44</xdr:row>
      <xdr:rowOff>78619</xdr:rowOff>
    </xdr:from>
    <xdr:to>
      <xdr:col>12</xdr:col>
      <xdr:colOff>307522</xdr:colOff>
      <xdr:row>46</xdr:row>
      <xdr:rowOff>131536</xdr:rowOff>
    </xdr:to>
    <xdr:cxnSp macro="">
      <xdr:nvCxnSpPr>
        <xdr:cNvPr id="146" name="Connecteur droit avec flèche 145"/>
        <xdr:cNvCxnSpPr/>
      </xdr:nvCxnSpPr>
      <xdr:spPr>
        <a:xfrm flipV="1">
          <a:off x="10466464" y="6174619"/>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46</xdr:row>
      <xdr:rowOff>89202</xdr:rowOff>
    </xdr:from>
    <xdr:to>
      <xdr:col>12</xdr:col>
      <xdr:colOff>201689</xdr:colOff>
      <xdr:row>46</xdr:row>
      <xdr:rowOff>120952</xdr:rowOff>
    </xdr:to>
    <xdr:cxnSp macro="">
      <xdr:nvCxnSpPr>
        <xdr:cNvPr id="147" name="Connecteur droit avec flèche 146"/>
        <xdr:cNvCxnSpPr/>
      </xdr:nvCxnSpPr>
      <xdr:spPr>
        <a:xfrm flipV="1">
          <a:off x="10477047" y="6566202"/>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37</xdr:row>
      <xdr:rowOff>46870</xdr:rowOff>
    </xdr:from>
    <xdr:to>
      <xdr:col>14</xdr:col>
      <xdr:colOff>172055</xdr:colOff>
      <xdr:row>39</xdr:row>
      <xdr:rowOff>89202</xdr:rowOff>
    </xdr:to>
    <xdr:cxnSp macro="">
      <xdr:nvCxnSpPr>
        <xdr:cNvPr id="148" name="Connecteur droit avec flèche 147"/>
        <xdr:cNvCxnSpPr/>
      </xdr:nvCxnSpPr>
      <xdr:spPr>
        <a:xfrm flipV="1">
          <a:off x="12162972" y="4809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39</xdr:row>
      <xdr:rowOff>87087</xdr:rowOff>
    </xdr:from>
    <xdr:to>
      <xdr:col>14</xdr:col>
      <xdr:colOff>85272</xdr:colOff>
      <xdr:row>39</xdr:row>
      <xdr:rowOff>99786</xdr:rowOff>
    </xdr:to>
    <xdr:cxnSp macro="">
      <xdr:nvCxnSpPr>
        <xdr:cNvPr id="149" name="Connecteur droit avec flèche 148"/>
        <xdr:cNvCxnSpPr/>
      </xdr:nvCxnSpPr>
      <xdr:spPr>
        <a:xfrm>
          <a:off x="12120638" y="5230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41</xdr:row>
      <xdr:rowOff>89202</xdr:rowOff>
    </xdr:from>
    <xdr:to>
      <xdr:col>14</xdr:col>
      <xdr:colOff>85273</xdr:colOff>
      <xdr:row>43</xdr:row>
      <xdr:rowOff>89200</xdr:rowOff>
    </xdr:to>
    <xdr:cxnSp macro="">
      <xdr:nvCxnSpPr>
        <xdr:cNvPr id="150" name="Connecteur droit avec flèche 149"/>
        <xdr:cNvCxnSpPr/>
      </xdr:nvCxnSpPr>
      <xdr:spPr>
        <a:xfrm flipV="1">
          <a:off x="12004223" y="5613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46</xdr:row>
      <xdr:rowOff>78618</xdr:rowOff>
    </xdr:from>
    <xdr:to>
      <xdr:col>14</xdr:col>
      <xdr:colOff>74690</xdr:colOff>
      <xdr:row>46</xdr:row>
      <xdr:rowOff>89203</xdr:rowOff>
    </xdr:to>
    <xdr:cxnSp macro="">
      <xdr:nvCxnSpPr>
        <xdr:cNvPr id="151" name="Connecteur droit avec flèche 150"/>
        <xdr:cNvCxnSpPr/>
      </xdr:nvCxnSpPr>
      <xdr:spPr>
        <a:xfrm>
          <a:off x="12131223" y="6555618"/>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44</xdr:row>
      <xdr:rowOff>68035</xdr:rowOff>
    </xdr:from>
    <xdr:to>
      <xdr:col>14</xdr:col>
      <xdr:colOff>95857</xdr:colOff>
      <xdr:row>44</xdr:row>
      <xdr:rowOff>78620</xdr:rowOff>
    </xdr:to>
    <xdr:cxnSp macro="">
      <xdr:nvCxnSpPr>
        <xdr:cNvPr id="152" name="Connecteur droit avec flèche 151"/>
        <xdr:cNvCxnSpPr/>
      </xdr:nvCxnSpPr>
      <xdr:spPr>
        <a:xfrm>
          <a:off x="12205307" y="6164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43</xdr:row>
      <xdr:rowOff>57452</xdr:rowOff>
    </xdr:from>
    <xdr:to>
      <xdr:col>14</xdr:col>
      <xdr:colOff>53523</xdr:colOff>
      <xdr:row>43</xdr:row>
      <xdr:rowOff>78620</xdr:rowOff>
    </xdr:to>
    <xdr:cxnSp macro="">
      <xdr:nvCxnSpPr>
        <xdr:cNvPr id="153" name="Connecteur droit avec flèche 152"/>
        <xdr:cNvCxnSpPr/>
      </xdr:nvCxnSpPr>
      <xdr:spPr>
        <a:xfrm>
          <a:off x="12057140" y="5962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45</xdr:row>
      <xdr:rowOff>120951</xdr:rowOff>
    </xdr:from>
    <xdr:to>
      <xdr:col>14</xdr:col>
      <xdr:colOff>106440</xdr:colOff>
      <xdr:row>46</xdr:row>
      <xdr:rowOff>78618</xdr:rowOff>
    </xdr:to>
    <xdr:cxnSp macro="">
      <xdr:nvCxnSpPr>
        <xdr:cNvPr id="154" name="Connecteur droit avec flèche 153"/>
        <xdr:cNvCxnSpPr/>
      </xdr:nvCxnSpPr>
      <xdr:spPr>
        <a:xfrm flipV="1">
          <a:off x="12131223" y="6407451"/>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37</xdr:row>
      <xdr:rowOff>46868</xdr:rowOff>
    </xdr:from>
    <xdr:to>
      <xdr:col>16</xdr:col>
      <xdr:colOff>191107</xdr:colOff>
      <xdr:row>37</xdr:row>
      <xdr:rowOff>59568</xdr:rowOff>
    </xdr:to>
    <xdr:cxnSp macro="">
      <xdr:nvCxnSpPr>
        <xdr:cNvPr id="155" name="Connecteur droit avec flèche 154"/>
        <xdr:cNvCxnSpPr/>
      </xdr:nvCxnSpPr>
      <xdr:spPr>
        <a:xfrm>
          <a:off x="13761056" y="480936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41</xdr:row>
      <xdr:rowOff>78618</xdr:rowOff>
    </xdr:from>
    <xdr:to>
      <xdr:col>16</xdr:col>
      <xdr:colOff>138190</xdr:colOff>
      <xdr:row>41</xdr:row>
      <xdr:rowOff>80735</xdr:rowOff>
    </xdr:to>
    <xdr:cxnSp macro="">
      <xdr:nvCxnSpPr>
        <xdr:cNvPr id="156" name="Connecteur droit avec flèche 155"/>
        <xdr:cNvCxnSpPr/>
      </xdr:nvCxnSpPr>
      <xdr:spPr>
        <a:xfrm>
          <a:off x="13729306" y="5603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39</xdr:row>
      <xdr:rowOff>78618</xdr:rowOff>
    </xdr:from>
    <xdr:to>
      <xdr:col>16</xdr:col>
      <xdr:colOff>212274</xdr:colOff>
      <xdr:row>39</xdr:row>
      <xdr:rowOff>80735</xdr:rowOff>
    </xdr:to>
    <xdr:cxnSp macro="">
      <xdr:nvCxnSpPr>
        <xdr:cNvPr id="157" name="Connecteur droit avec flèche 156"/>
        <xdr:cNvCxnSpPr/>
      </xdr:nvCxnSpPr>
      <xdr:spPr>
        <a:xfrm>
          <a:off x="13803390" y="5222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43</xdr:row>
      <xdr:rowOff>68035</xdr:rowOff>
    </xdr:from>
    <xdr:to>
      <xdr:col>16</xdr:col>
      <xdr:colOff>201690</xdr:colOff>
      <xdr:row>43</xdr:row>
      <xdr:rowOff>70152</xdr:rowOff>
    </xdr:to>
    <xdr:cxnSp macro="">
      <xdr:nvCxnSpPr>
        <xdr:cNvPr id="158" name="Connecteur droit avec flèche 157"/>
        <xdr:cNvCxnSpPr/>
      </xdr:nvCxnSpPr>
      <xdr:spPr>
        <a:xfrm>
          <a:off x="13792806" y="5973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45</xdr:row>
      <xdr:rowOff>68035</xdr:rowOff>
    </xdr:from>
    <xdr:to>
      <xdr:col>16</xdr:col>
      <xdr:colOff>148773</xdr:colOff>
      <xdr:row>45</xdr:row>
      <xdr:rowOff>70152</xdr:rowOff>
    </xdr:to>
    <xdr:cxnSp macro="">
      <xdr:nvCxnSpPr>
        <xdr:cNvPr id="159" name="Connecteur droit avec flèche 158"/>
        <xdr:cNvCxnSpPr/>
      </xdr:nvCxnSpPr>
      <xdr:spPr>
        <a:xfrm>
          <a:off x="13739889" y="6354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46</xdr:row>
      <xdr:rowOff>78618</xdr:rowOff>
    </xdr:from>
    <xdr:to>
      <xdr:col>16</xdr:col>
      <xdr:colOff>138191</xdr:colOff>
      <xdr:row>46</xdr:row>
      <xdr:rowOff>80735</xdr:rowOff>
    </xdr:to>
    <xdr:cxnSp macro="">
      <xdr:nvCxnSpPr>
        <xdr:cNvPr id="160" name="Connecteur droit avec flèche 159"/>
        <xdr:cNvCxnSpPr/>
      </xdr:nvCxnSpPr>
      <xdr:spPr>
        <a:xfrm>
          <a:off x="13729307" y="65556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44</xdr:row>
      <xdr:rowOff>78619</xdr:rowOff>
    </xdr:from>
    <xdr:to>
      <xdr:col>16</xdr:col>
      <xdr:colOff>106440</xdr:colOff>
      <xdr:row>44</xdr:row>
      <xdr:rowOff>80736</xdr:rowOff>
    </xdr:to>
    <xdr:cxnSp macro="">
      <xdr:nvCxnSpPr>
        <xdr:cNvPr id="161" name="Connecteur droit avec flèche 160"/>
        <xdr:cNvCxnSpPr/>
      </xdr:nvCxnSpPr>
      <xdr:spPr>
        <a:xfrm>
          <a:off x="13697556" y="6174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36</xdr:row>
      <xdr:rowOff>68035</xdr:rowOff>
    </xdr:from>
    <xdr:to>
      <xdr:col>16</xdr:col>
      <xdr:colOff>169940</xdr:colOff>
      <xdr:row>37</xdr:row>
      <xdr:rowOff>36286</xdr:rowOff>
    </xdr:to>
    <xdr:cxnSp macro="">
      <xdr:nvCxnSpPr>
        <xdr:cNvPr id="162" name="Connecteur droit avec flèche 161"/>
        <xdr:cNvCxnSpPr/>
      </xdr:nvCxnSpPr>
      <xdr:spPr>
        <a:xfrm flipV="1">
          <a:off x="13750472" y="464003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38</xdr:row>
      <xdr:rowOff>89202</xdr:rowOff>
    </xdr:from>
    <xdr:to>
      <xdr:col>16</xdr:col>
      <xdr:colOff>212273</xdr:colOff>
      <xdr:row>39</xdr:row>
      <xdr:rowOff>57453</xdr:rowOff>
    </xdr:to>
    <xdr:cxnSp macro="">
      <xdr:nvCxnSpPr>
        <xdr:cNvPr id="163" name="Connecteur droit avec flèche 162"/>
        <xdr:cNvCxnSpPr/>
      </xdr:nvCxnSpPr>
      <xdr:spPr>
        <a:xfrm flipV="1">
          <a:off x="13803390" y="504220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40</xdr:row>
      <xdr:rowOff>89202</xdr:rowOff>
    </xdr:from>
    <xdr:to>
      <xdr:col>16</xdr:col>
      <xdr:colOff>159356</xdr:colOff>
      <xdr:row>41</xdr:row>
      <xdr:rowOff>57453</xdr:rowOff>
    </xdr:to>
    <xdr:cxnSp macro="">
      <xdr:nvCxnSpPr>
        <xdr:cNvPr id="164" name="Connecteur droit avec flèche 163"/>
        <xdr:cNvCxnSpPr/>
      </xdr:nvCxnSpPr>
      <xdr:spPr>
        <a:xfrm flipV="1">
          <a:off x="13718723" y="542320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42</xdr:row>
      <xdr:rowOff>89202</xdr:rowOff>
    </xdr:from>
    <xdr:to>
      <xdr:col>16</xdr:col>
      <xdr:colOff>233440</xdr:colOff>
      <xdr:row>43</xdr:row>
      <xdr:rowOff>46870</xdr:rowOff>
    </xdr:to>
    <xdr:cxnSp macro="">
      <xdr:nvCxnSpPr>
        <xdr:cNvPr id="165" name="Connecteur droit avec flèche 164"/>
        <xdr:cNvCxnSpPr/>
      </xdr:nvCxnSpPr>
      <xdr:spPr>
        <a:xfrm flipV="1">
          <a:off x="13771639" y="580420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1224643</xdr:colOff>
      <xdr:row>51</xdr:row>
      <xdr:rowOff>113394</xdr:rowOff>
    </xdr:from>
    <xdr:to>
      <xdr:col>12</xdr:col>
      <xdr:colOff>475343</xdr:colOff>
      <xdr:row>58</xdr:row>
      <xdr:rowOff>111278</xdr:rowOff>
    </xdr:to>
    <xdr:cxnSp macro="">
      <xdr:nvCxnSpPr>
        <xdr:cNvPr id="166" name="Connecteur droit avec flèche 165"/>
        <xdr:cNvCxnSpPr/>
      </xdr:nvCxnSpPr>
      <xdr:spPr>
        <a:xfrm flipV="1">
          <a:off x="10568668" y="7542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1226760</xdr:colOff>
      <xdr:row>55</xdr:row>
      <xdr:rowOff>81644</xdr:rowOff>
    </xdr:from>
    <xdr:to>
      <xdr:col>12</xdr:col>
      <xdr:colOff>306010</xdr:colOff>
      <xdr:row>58</xdr:row>
      <xdr:rowOff>111278</xdr:rowOff>
    </xdr:to>
    <xdr:cxnSp macro="">
      <xdr:nvCxnSpPr>
        <xdr:cNvPr id="167" name="Connecteur droit avec flèche 166"/>
        <xdr:cNvCxnSpPr/>
      </xdr:nvCxnSpPr>
      <xdr:spPr>
        <a:xfrm flipV="1">
          <a:off x="10570785" y="8273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1258510</xdr:colOff>
      <xdr:row>56</xdr:row>
      <xdr:rowOff>92227</xdr:rowOff>
    </xdr:from>
    <xdr:to>
      <xdr:col>12</xdr:col>
      <xdr:colOff>443593</xdr:colOff>
      <xdr:row>58</xdr:row>
      <xdr:rowOff>145144</xdr:rowOff>
    </xdr:to>
    <xdr:cxnSp macro="">
      <xdr:nvCxnSpPr>
        <xdr:cNvPr id="168" name="Connecteur droit avec flèche 167"/>
        <xdr:cNvCxnSpPr/>
      </xdr:nvCxnSpPr>
      <xdr:spPr>
        <a:xfrm flipV="1">
          <a:off x="10602535" y="8474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1269093</xdr:colOff>
      <xdr:row>58</xdr:row>
      <xdr:rowOff>102810</xdr:rowOff>
    </xdr:from>
    <xdr:to>
      <xdr:col>12</xdr:col>
      <xdr:colOff>337760</xdr:colOff>
      <xdr:row>58</xdr:row>
      <xdr:rowOff>134560</xdr:rowOff>
    </xdr:to>
    <xdr:cxnSp macro="">
      <xdr:nvCxnSpPr>
        <xdr:cNvPr id="169" name="Connecteur droit avec flèche 168"/>
        <xdr:cNvCxnSpPr/>
      </xdr:nvCxnSpPr>
      <xdr:spPr>
        <a:xfrm flipV="1">
          <a:off x="10613118" y="8865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126093</xdr:colOff>
      <xdr:row>49</xdr:row>
      <xdr:rowOff>60478</xdr:rowOff>
    </xdr:from>
    <xdr:to>
      <xdr:col>14</xdr:col>
      <xdr:colOff>308126</xdr:colOff>
      <xdr:row>51</xdr:row>
      <xdr:rowOff>102810</xdr:rowOff>
    </xdr:to>
    <xdr:cxnSp macro="">
      <xdr:nvCxnSpPr>
        <xdr:cNvPr id="170" name="Connecteur droit avec flèche 169"/>
        <xdr:cNvCxnSpPr/>
      </xdr:nvCxnSpPr>
      <xdr:spPr>
        <a:xfrm flipV="1">
          <a:off x="12299043" y="7108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83759</xdr:colOff>
      <xdr:row>51</xdr:row>
      <xdr:rowOff>100695</xdr:rowOff>
    </xdr:from>
    <xdr:to>
      <xdr:col>14</xdr:col>
      <xdr:colOff>221343</xdr:colOff>
      <xdr:row>51</xdr:row>
      <xdr:rowOff>113394</xdr:rowOff>
    </xdr:to>
    <xdr:cxnSp macro="">
      <xdr:nvCxnSpPr>
        <xdr:cNvPr id="171" name="Connecteur droit avec flèche 170"/>
        <xdr:cNvCxnSpPr/>
      </xdr:nvCxnSpPr>
      <xdr:spPr>
        <a:xfrm>
          <a:off x="12256709" y="7530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729344</xdr:colOff>
      <xdr:row>53</xdr:row>
      <xdr:rowOff>102810</xdr:rowOff>
    </xdr:from>
    <xdr:to>
      <xdr:col>14</xdr:col>
      <xdr:colOff>221344</xdr:colOff>
      <xdr:row>55</xdr:row>
      <xdr:rowOff>102808</xdr:rowOff>
    </xdr:to>
    <xdr:cxnSp macro="">
      <xdr:nvCxnSpPr>
        <xdr:cNvPr id="172" name="Connecteur droit avec flèche 171"/>
        <xdr:cNvCxnSpPr/>
      </xdr:nvCxnSpPr>
      <xdr:spPr>
        <a:xfrm flipV="1">
          <a:off x="12140294" y="7913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58</xdr:row>
      <xdr:rowOff>92226</xdr:rowOff>
    </xdr:from>
    <xdr:to>
      <xdr:col>14</xdr:col>
      <xdr:colOff>210761</xdr:colOff>
      <xdr:row>58</xdr:row>
      <xdr:rowOff>102811</xdr:rowOff>
    </xdr:to>
    <xdr:cxnSp macro="">
      <xdr:nvCxnSpPr>
        <xdr:cNvPr id="173" name="Connecteur droit avec flèche 172"/>
        <xdr:cNvCxnSpPr/>
      </xdr:nvCxnSpPr>
      <xdr:spPr>
        <a:xfrm>
          <a:off x="12267294" y="8855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168428</xdr:colOff>
      <xdr:row>56</xdr:row>
      <xdr:rowOff>81643</xdr:rowOff>
    </xdr:from>
    <xdr:to>
      <xdr:col>14</xdr:col>
      <xdr:colOff>231928</xdr:colOff>
      <xdr:row>56</xdr:row>
      <xdr:rowOff>92228</xdr:rowOff>
    </xdr:to>
    <xdr:cxnSp macro="">
      <xdr:nvCxnSpPr>
        <xdr:cNvPr id="174" name="Connecteur droit avec flèche 173"/>
        <xdr:cNvCxnSpPr/>
      </xdr:nvCxnSpPr>
      <xdr:spPr>
        <a:xfrm>
          <a:off x="12341378" y="846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20261</xdr:colOff>
      <xdr:row>55</xdr:row>
      <xdr:rowOff>71060</xdr:rowOff>
    </xdr:from>
    <xdr:to>
      <xdr:col>14</xdr:col>
      <xdr:colOff>189594</xdr:colOff>
      <xdr:row>55</xdr:row>
      <xdr:rowOff>92228</xdr:rowOff>
    </xdr:to>
    <xdr:cxnSp macro="">
      <xdr:nvCxnSpPr>
        <xdr:cNvPr id="175" name="Connecteur droit avec flèche 174"/>
        <xdr:cNvCxnSpPr/>
      </xdr:nvCxnSpPr>
      <xdr:spPr>
        <a:xfrm>
          <a:off x="12193211" y="8262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57</xdr:row>
      <xdr:rowOff>134559</xdr:rowOff>
    </xdr:from>
    <xdr:to>
      <xdr:col>14</xdr:col>
      <xdr:colOff>242511</xdr:colOff>
      <xdr:row>58</xdr:row>
      <xdr:rowOff>92226</xdr:rowOff>
    </xdr:to>
    <xdr:cxnSp macro="">
      <xdr:nvCxnSpPr>
        <xdr:cNvPr id="176" name="Connecteur droit avec flèche 175"/>
        <xdr:cNvCxnSpPr/>
      </xdr:nvCxnSpPr>
      <xdr:spPr>
        <a:xfrm flipV="1">
          <a:off x="12267294" y="8707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200177</xdr:colOff>
      <xdr:row>49</xdr:row>
      <xdr:rowOff>60476</xdr:rowOff>
    </xdr:from>
    <xdr:to>
      <xdr:col>16</xdr:col>
      <xdr:colOff>327178</xdr:colOff>
      <xdr:row>49</xdr:row>
      <xdr:rowOff>73176</xdr:rowOff>
    </xdr:to>
    <xdr:cxnSp macro="">
      <xdr:nvCxnSpPr>
        <xdr:cNvPr id="177" name="Connecteur droit avec flèche 176"/>
        <xdr:cNvCxnSpPr/>
      </xdr:nvCxnSpPr>
      <xdr:spPr>
        <a:xfrm>
          <a:off x="13897127" y="7108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168427</xdr:colOff>
      <xdr:row>53</xdr:row>
      <xdr:rowOff>92226</xdr:rowOff>
    </xdr:from>
    <xdr:to>
      <xdr:col>16</xdr:col>
      <xdr:colOff>274261</xdr:colOff>
      <xdr:row>53</xdr:row>
      <xdr:rowOff>94343</xdr:rowOff>
    </xdr:to>
    <xdr:cxnSp macro="">
      <xdr:nvCxnSpPr>
        <xdr:cNvPr id="178" name="Connecteur droit avec flèche 177"/>
        <xdr:cNvCxnSpPr/>
      </xdr:nvCxnSpPr>
      <xdr:spPr>
        <a:xfrm>
          <a:off x="13865377" y="7902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51</xdr:row>
      <xdr:rowOff>92226</xdr:rowOff>
    </xdr:from>
    <xdr:to>
      <xdr:col>16</xdr:col>
      <xdr:colOff>348345</xdr:colOff>
      <xdr:row>51</xdr:row>
      <xdr:rowOff>94343</xdr:rowOff>
    </xdr:to>
    <xdr:cxnSp macro="">
      <xdr:nvCxnSpPr>
        <xdr:cNvPr id="179" name="Connecteur droit avec flèche 178"/>
        <xdr:cNvCxnSpPr/>
      </xdr:nvCxnSpPr>
      <xdr:spPr>
        <a:xfrm>
          <a:off x="13939461" y="7521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231927</xdr:colOff>
      <xdr:row>55</xdr:row>
      <xdr:rowOff>81643</xdr:rowOff>
    </xdr:from>
    <xdr:to>
      <xdr:col>16</xdr:col>
      <xdr:colOff>337761</xdr:colOff>
      <xdr:row>55</xdr:row>
      <xdr:rowOff>83760</xdr:rowOff>
    </xdr:to>
    <xdr:cxnSp macro="">
      <xdr:nvCxnSpPr>
        <xdr:cNvPr id="180" name="Connecteur droit avec flèche 179"/>
        <xdr:cNvCxnSpPr/>
      </xdr:nvCxnSpPr>
      <xdr:spPr>
        <a:xfrm>
          <a:off x="13928877" y="8273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179010</xdr:colOff>
      <xdr:row>57</xdr:row>
      <xdr:rowOff>81643</xdr:rowOff>
    </xdr:from>
    <xdr:to>
      <xdr:col>16</xdr:col>
      <xdr:colOff>284844</xdr:colOff>
      <xdr:row>57</xdr:row>
      <xdr:rowOff>83760</xdr:rowOff>
    </xdr:to>
    <xdr:cxnSp macro="">
      <xdr:nvCxnSpPr>
        <xdr:cNvPr id="181" name="Connecteur droit avec flèche 180"/>
        <xdr:cNvCxnSpPr/>
      </xdr:nvCxnSpPr>
      <xdr:spPr>
        <a:xfrm>
          <a:off x="13875960" y="8654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168428</xdr:colOff>
      <xdr:row>58</xdr:row>
      <xdr:rowOff>92226</xdr:rowOff>
    </xdr:from>
    <xdr:to>
      <xdr:col>16</xdr:col>
      <xdr:colOff>274262</xdr:colOff>
      <xdr:row>58</xdr:row>
      <xdr:rowOff>94343</xdr:rowOff>
    </xdr:to>
    <xdr:cxnSp macro="">
      <xdr:nvCxnSpPr>
        <xdr:cNvPr id="182" name="Connecteur droit avec flèche 181"/>
        <xdr:cNvCxnSpPr/>
      </xdr:nvCxnSpPr>
      <xdr:spPr>
        <a:xfrm>
          <a:off x="13865378" y="885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56</xdr:row>
      <xdr:rowOff>92227</xdr:rowOff>
    </xdr:from>
    <xdr:to>
      <xdr:col>16</xdr:col>
      <xdr:colOff>242511</xdr:colOff>
      <xdr:row>56</xdr:row>
      <xdr:rowOff>94344</xdr:rowOff>
    </xdr:to>
    <xdr:cxnSp macro="">
      <xdr:nvCxnSpPr>
        <xdr:cNvPr id="183" name="Connecteur droit avec flèche 182"/>
        <xdr:cNvCxnSpPr/>
      </xdr:nvCxnSpPr>
      <xdr:spPr>
        <a:xfrm>
          <a:off x="13833627" y="847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189593</xdr:colOff>
      <xdr:row>48</xdr:row>
      <xdr:rowOff>81643</xdr:rowOff>
    </xdr:from>
    <xdr:to>
      <xdr:col>16</xdr:col>
      <xdr:colOff>306011</xdr:colOff>
      <xdr:row>49</xdr:row>
      <xdr:rowOff>49894</xdr:rowOff>
    </xdr:to>
    <xdr:cxnSp macro="">
      <xdr:nvCxnSpPr>
        <xdr:cNvPr id="184" name="Connecteur droit avec flèche 183"/>
        <xdr:cNvCxnSpPr/>
      </xdr:nvCxnSpPr>
      <xdr:spPr>
        <a:xfrm flipV="1">
          <a:off x="13886543" y="6939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50</xdr:row>
      <xdr:rowOff>102810</xdr:rowOff>
    </xdr:from>
    <xdr:to>
      <xdr:col>16</xdr:col>
      <xdr:colOff>348344</xdr:colOff>
      <xdr:row>51</xdr:row>
      <xdr:rowOff>71061</xdr:rowOff>
    </xdr:to>
    <xdr:cxnSp macro="">
      <xdr:nvCxnSpPr>
        <xdr:cNvPr id="185" name="Connecteur droit avec flèche 184"/>
        <xdr:cNvCxnSpPr/>
      </xdr:nvCxnSpPr>
      <xdr:spPr>
        <a:xfrm flipV="1">
          <a:off x="13939461" y="7341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157844</xdr:colOff>
      <xdr:row>52</xdr:row>
      <xdr:rowOff>102810</xdr:rowOff>
    </xdr:from>
    <xdr:to>
      <xdr:col>16</xdr:col>
      <xdr:colOff>295427</xdr:colOff>
      <xdr:row>53</xdr:row>
      <xdr:rowOff>71061</xdr:rowOff>
    </xdr:to>
    <xdr:cxnSp macro="">
      <xdr:nvCxnSpPr>
        <xdr:cNvPr id="186" name="Connecteur droit avec flèche 185"/>
        <xdr:cNvCxnSpPr/>
      </xdr:nvCxnSpPr>
      <xdr:spPr>
        <a:xfrm flipV="1">
          <a:off x="13854794" y="7722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210760</xdr:colOff>
      <xdr:row>54</xdr:row>
      <xdr:rowOff>102810</xdr:rowOff>
    </xdr:from>
    <xdr:to>
      <xdr:col>16</xdr:col>
      <xdr:colOff>369511</xdr:colOff>
      <xdr:row>55</xdr:row>
      <xdr:rowOff>60478</xdr:rowOff>
    </xdr:to>
    <xdr:cxnSp macro="">
      <xdr:nvCxnSpPr>
        <xdr:cNvPr id="187" name="Connecteur droit avec flèche 186"/>
        <xdr:cNvCxnSpPr/>
      </xdr:nvCxnSpPr>
      <xdr:spPr>
        <a:xfrm flipV="1">
          <a:off x="13907710" y="8103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63</xdr:row>
      <xdr:rowOff>127001</xdr:rowOff>
    </xdr:from>
    <xdr:to>
      <xdr:col>12</xdr:col>
      <xdr:colOff>352879</xdr:colOff>
      <xdr:row>70</xdr:row>
      <xdr:rowOff>124885</xdr:rowOff>
    </xdr:to>
    <xdr:cxnSp macro="">
      <xdr:nvCxnSpPr>
        <xdr:cNvPr id="188" name="Connecteur droit avec flèche 187"/>
        <xdr:cNvCxnSpPr/>
      </xdr:nvCxnSpPr>
      <xdr:spPr>
        <a:xfrm flipV="1">
          <a:off x="10446204" y="9842501"/>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1104296</xdr:colOff>
      <xdr:row>67</xdr:row>
      <xdr:rowOff>95251</xdr:rowOff>
    </xdr:from>
    <xdr:to>
      <xdr:col>12</xdr:col>
      <xdr:colOff>183546</xdr:colOff>
      <xdr:row>70</xdr:row>
      <xdr:rowOff>124885</xdr:rowOff>
    </xdr:to>
    <xdr:cxnSp macro="">
      <xdr:nvCxnSpPr>
        <xdr:cNvPr id="189" name="Connecteur droit avec flèche 188"/>
        <xdr:cNvCxnSpPr/>
      </xdr:nvCxnSpPr>
      <xdr:spPr>
        <a:xfrm flipV="1">
          <a:off x="10448321" y="10572751"/>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1136046</xdr:colOff>
      <xdr:row>68</xdr:row>
      <xdr:rowOff>105834</xdr:rowOff>
    </xdr:from>
    <xdr:to>
      <xdr:col>12</xdr:col>
      <xdr:colOff>321129</xdr:colOff>
      <xdr:row>70</xdr:row>
      <xdr:rowOff>158751</xdr:rowOff>
    </xdr:to>
    <xdr:cxnSp macro="">
      <xdr:nvCxnSpPr>
        <xdr:cNvPr id="190" name="Connecteur droit avec flèche 189"/>
        <xdr:cNvCxnSpPr/>
      </xdr:nvCxnSpPr>
      <xdr:spPr>
        <a:xfrm flipV="1">
          <a:off x="10480071" y="10773834"/>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1146629</xdr:colOff>
      <xdr:row>70</xdr:row>
      <xdr:rowOff>116417</xdr:rowOff>
    </xdr:from>
    <xdr:to>
      <xdr:col>12</xdr:col>
      <xdr:colOff>215296</xdr:colOff>
      <xdr:row>70</xdr:row>
      <xdr:rowOff>148167</xdr:rowOff>
    </xdr:to>
    <xdr:cxnSp macro="">
      <xdr:nvCxnSpPr>
        <xdr:cNvPr id="191" name="Connecteur droit avec flèche 190"/>
        <xdr:cNvCxnSpPr/>
      </xdr:nvCxnSpPr>
      <xdr:spPr>
        <a:xfrm flipV="1">
          <a:off x="10490654" y="11165417"/>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3629</xdr:colOff>
      <xdr:row>61</xdr:row>
      <xdr:rowOff>74085</xdr:rowOff>
    </xdr:from>
    <xdr:to>
      <xdr:col>14</xdr:col>
      <xdr:colOff>185662</xdr:colOff>
      <xdr:row>63</xdr:row>
      <xdr:rowOff>116417</xdr:rowOff>
    </xdr:to>
    <xdr:cxnSp macro="">
      <xdr:nvCxnSpPr>
        <xdr:cNvPr id="192" name="Connecteur droit avec flèche 191"/>
        <xdr:cNvCxnSpPr/>
      </xdr:nvCxnSpPr>
      <xdr:spPr>
        <a:xfrm flipV="1">
          <a:off x="12176579" y="9408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723295</xdr:colOff>
      <xdr:row>63</xdr:row>
      <xdr:rowOff>114302</xdr:rowOff>
    </xdr:from>
    <xdr:to>
      <xdr:col>14</xdr:col>
      <xdr:colOff>98879</xdr:colOff>
      <xdr:row>63</xdr:row>
      <xdr:rowOff>127001</xdr:rowOff>
    </xdr:to>
    <xdr:cxnSp macro="">
      <xdr:nvCxnSpPr>
        <xdr:cNvPr id="193" name="Connecteur droit avec flèche 192"/>
        <xdr:cNvCxnSpPr/>
      </xdr:nvCxnSpPr>
      <xdr:spPr>
        <a:xfrm>
          <a:off x="12134245" y="9829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606880</xdr:colOff>
      <xdr:row>65</xdr:row>
      <xdr:rowOff>116417</xdr:rowOff>
    </xdr:from>
    <xdr:to>
      <xdr:col>14</xdr:col>
      <xdr:colOff>98880</xdr:colOff>
      <xdr:row>67</xdr:row>
      <xdr:rowOff>116415</xdr:rowOff>
    </xdr:to>
    <xdr:cxnSp macro="">
      <xdr:nvCxnSpPr>
        <xdr:cNvPr id="194" name="Connecteur droit avec flèche 193"/>
        <xdr:cNvCxnSpPr/>
      </xdr:nvCxnSpPr>
      <xdr:spPr>
        <a:xfrm flipV="1">
          <a:off x="12017830" y="10212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70</xdr:row>
      <xdr:rowOff>105833</xdr:rowOff>
    </xdr:from>
    <xdr:to>
      <xdr:col>14</xdr:col>
      <xdr:colOff>88297</xdr:colOff>
      <xdr:row>70</xdr:row>
      <xdr:rowOff>116418</xdr:rowOff>
    </xdr:to>
    <xdr:cxnSp macro="">
      <xdr:nvCxnSpPr>
        <xdr:cNvPr id="195" name="Connecteur droit avec flèche 194"/>
        <xdr:cNvCxnSpPr/>
      </xdr:nvCxnSpPr>
      <xdr:spPr>
        <a:xfrm>
          <a:off x="12144830" y="11154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45964</xdr:colOff>
      <xdr:row>68</xdr:row>
      <xdr:rowOff>95250</xdr:rowOff>
    </xdr:from>
    <xdr:to>
      <xdr:col>14</xdr:col>
      <xdr:colOff>109464</xdr:colOff>
      <xdr:row>68</xdr:row>
      <xdr:rowOff>105835</xdr:rowOff>
    </xdr:to>
    <xdr:cxnSp macro="">
      <xdr:nvCxnSpPr>
        <xdr:cNvPr id="196" name="Connecteur droit avec flèche 195"/>
        <xdr:cNvCxnSpPr/>
      </xdr:nvCxnSpPr>
      <xdr:spPr>
        <a:xfrm>
          <a:off x="12218914" y="10763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659797</xdr:colOff>
      <xdr:row>67</xdr:row>
      <xdr:rowOff>84667</xdr:rowOff>
    </xdr:from>
    <xdr:to>
      <xdr:col>14</xdr:col>
      <xdr:colOff>67130</xdr:colOff>
      <xdr:row>67</xdr:row>
      <xdr:rowOff>105835</xdr:rowOff>
    </xdr:to>
    <xdr:cxnSp macro="">
      <xdr:nvCxnSpPr>
        <xdr:cNvPr id="197" name="Connecteur droit avec flèche 196"/>
        <xdr:cNvCxnSpPr/>
      </xdr:nvCxnSpPr>
      <xdr:spPr>
        <a:xfrm>
          <a:off x="12070747" y="10562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69</xdr:row>
      <xdr:rowOff>148166</xdr:rowOff>
    </xdr:from>
    <xdr:to>
      <xdr:col>14</xdr:col>
      <xdr:colOff>120047</xdr:colOff>
      <xdr:row>70</xdr:row>
      <xdr:rowOff>105833</xdr:rowOff>
    </xdr:to>
    <xdr:cxnSp macro="">
      <xdr:nvCxnSpPr>
        <xdr:cNvPr id="198" name="Connecteur droit avec flèche 197"/>
        <xdr:cNvCxnSpPr/>
      </xdr:nvCxnSpPr>
      <xdr:spPr>
        <a:xfrm flipV="1">
          <a:off x="12144830" y="11006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77713</xdr:colOff>
      <xdr:row>61</xdr:row>
      <xdr:rowOff>74083</xdr:rowOff>
    </xdr:from>
    <xdr:to>
      <xdr:col>16</xdr:col>
      <xdr:colOff>204714</xdr:colOff>
      <xdr:row>61</xdr:row>
      <xdr:rowOff>86783</xdr:rowOff>
    </xdr:to>
    <xdr:cxnSp macro="">
      <xdr:nvCxnSpPr>
        <xdr:cNvPr id="199" name="Connecteur droit avec flèche 198"/>
        <xdr:cNvCxnSpPr/>
      </xdr:nvCxnSpPr>
      <xdr:spPr>
        <a:xfrm>
          <a:off x="13774663" y="9408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45963</xdr:colOff>
      <xdr:row>65</xdr:row>
      <xdr:rowOff>105833</xdr:rowOff>
    </xdr:from>
    <xdr:to>
      <xdr:col>16</xdr:col>
      <xdr:colOff>151797</xdr:colOff>
      <xdr:row>65</xdr:row>
      <xdr:rowOff>107950</xdr:rowOff>
    </xdr:to>
    <xdr:cxnSp macro="">
      <xdr:nvCxnSpPr>
        <xdr:cNvPr id="200" name="Connecteur droit avec flèche 199"/>
        <xdr:cNvCxnSpPr/>
      </xdr:nvCxnSpPr>
      <xdr:spPr>
        <a:xfrm>
          <a:off x="13742913" y="10202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63</xdr:row>
      <xdr:rowOff>105833</xdr:rowOff>
    </xdr:from>
    <xdr:to>
      <xdr:col>16</xdr:col>
      <xdr:colOff>225881</xdr:colOff>
      <xdr:row>63</xdr:row>
      <xdr:rowOff>107950</xdr:rowOff>
    </xdr:to>
    <xdr:cxnSp macro="">
      <xdr:nvCxnSpPr>
        <xdr:cNvPr id="201" name="Connecteur droit avec flèche 200"/>
        <xdr:cNvCxnSpPr/>
      </xdr:nvCxnSpPr>
      <xdr:spPr>
        <a:xfrm>
          <a:off x="13816997" y="9821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109463</xdr:colOff>
      <xdr:row>67</xdr:row>
      <xdr:rowOff>95250</xdr:rowOff>
    </xdr:from>
    <xdr:to>
      <xdr:col>16</xdr:col>
      <xdr:colOff>215297</xdr:colOff>
      <xdr:row>67</xdr:row>
      <xdr:rowOff>97367</xdr:rowOff>
    </xdr:to>
    <xdr:cxnSp macro="">
      <xdr:nvCxnSpPr>
        <xdr:cNvPr id="202" name="Connecteur droit avec flèche 201"/>
        <xdr:cNvCxnSpPr/>
      </xdr:nvCxnSpPr>
      <xdr:spPr>
        <a:xfrm>
          <a:off x="13806413" y="10572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56546</xdr:colOff>
      <xdr:row>69</xdr:row>
      <xdr:rowOff>95250</xdr:rowOff>
    </xdr:from>
    <xdr:to>
      <xdr:col>16</xdr:col>
      <xdr:colOff>162380</xdr:colOff>
      <xdr:row>69</xdr:row>
      <xdr:rowOff>97367</xdr:rowOff>
    </xdr:to>
    <xdr:cxnSp macro="">
      <xdr:nvCxnSpPr>
        <xdr:cNvPr id="203" name="Connecteur droit avec flèche 202"/>
        <xdr:cNvCxnSpPr/>
      </xdr:nvCxnSpPr>
      <xdr:spPr>
        <a:xfrm>
          <a:off x="13753496" y="10953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45964</xdr:colOff>
      <xdr:row>70</xdr:row>
      <xdr:rowOff>105833</xdr:rowOff>
    </xdr:from>
    <xdr:to>
      <xdr:col>16</xdr:col>
      <xdr:colOff>151798</xdr:colOff>
      <xdr:row>70</xdr:row>
      <xdr:rowOff>107950</xdr:rowOff>
    </xdr:to>
    <xdr:cxnSp macro="">
      <xdr:nvCxnSpPr>
        <xdr:cNvPr id="204" name="Connecteur droit avec flèche 203"/>
        <xdr:cNvCxnSpPr/>
      </xdr:nvCxnSpPr>
      <xdr:spPr>
        <a:xfrm>
          <a:off x="13742914" y="11154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14213</xdr:colOff>
      <xdr:row>68</xdr:row>
      <xdr:rowOff>105834</xdr:rowOff>
    </xdr:from>
    <xdr:to>
      <xdr:col>16</xdr:col>
      <xdr:colOff>120047</xdr:colOff>
      <xdr:row>68</xdr:row>
      <xdr:rowOff>107951</xdr:rowOff>
    </xdr:to>
    <xdr:cxnSp macro="">
      <xdr:nvCxnSpPr>
        <xdr:cNvPr id="205" name="Connecteur droit avec flèche 204"/>
        <xdr:cNvCxnSpPr/>
      </xdr:nvCxnSpPr>
      <xdr:spPr>
        <a:xfrm>
          <a:off x="13711163" y="10773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67129</xdr:colOff>
      <xdr:row>60</xdr:row>
      <xdr:rowOff>95250</xdr:rowOff>
    </xdr:from>
    <xdr:to>
      <xdr:col>16</xdr:col>
      <xdr:colOff>183547</xdr:colOff>
      <xdr:row>61</xdr:row>
      <xdr:rowOff>63501</xdr:rowOff>
    </xdr:to>
    <xdr:cxnSp macro="">
      <xdr:nvCxnSpPr>
        <xdr:cNvPr id="206" name="Connecteur droit avec flèche 205"/>
        <xdr:cNvCxnSpPr/>
      </xdr:nvCxnSpPr>
      <xdr:spPr>
        <a:xfrm flipV="1">
          <a:off x="13764079" y="9239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62</xdr:row>
      <xdr:rowOff>116417</xdr:rowOff>
    </xdr:from>
    <xdr:to>
      <xdr:col>16</xdr:col>
      <xdr:colOff>225880</xdr:colOff>
      <xdr:row>63</xdr:row>
      <xdr:rowOff>84668</xdr:rowOff>
    </xdr:to>
    <xdr:cxnSp macro="">
      <xdr:nvCxnSpPr>
        <xdr:cNvPr id="207" name="Connecteur droit avec flèche 206"/>
        <xdr:cNvCxnSpPr/>
      </xdr:nvCxnSpPr>
      <xdr:spPr>
        <a:xfrm flipV="1">
          <a:off x="13816997" y="9641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35380</xdr:colOff>
      <xdr:row>64</xdr:row>
      <xdr:rowOff>116417</xdr:rowOff>
    </xdr:from>
    <xdr:to>
      <xdr:col>16</xdr:col>
      <xdr:colOff>172963</xdr:colOff>
      <xdr:row>65</xdr:row>
      <xdr:rowOff>84668</xdr:rowOff>
    </xdr:to>
    <xdr:cxnSp macro="">
      <xdr:nvCxnSpPr>
        <xdr:cNvPr id="208" name="Connecteur droit avec flèche 207"/>
        <xdr:cNvCxnSpPr/>
      </xdr:nvCxnSpPr>
      <xdr:spPr>
        <a:xfrm flipV="1">
          <a:off x="13732330" y="10022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88296</xdr:colOff>
      <xdr:row>66</xdr:row>
      <xdr:rowOff>116417</xdr:rowOff>
    </xdr:from>
    <xdr:to>
      <xdr:col>16</xdr:col>
      <xdr:colOff>247047</xdr:colOff>
      <xdr:row>67</xdr:row>
      <xdr:rowOff>74085</xdr:rowOff>
    </xdr:to>
    <xdr:cxnSp macro="">
      <xdr:nvCxnSpPr>
        <xdr:cNvPr id="209" name="Connecteur droit avec flèche 208"/>
        <xdr:cNvCxnSpPr/>
      </xdr:nvCxnSpPr>
      <xdr:spPr>
        <a:xfrm flipV="1">
          <a:off x="13785246" y="10403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87</xdr:row>
      <xdr:rowOff>140608</xdr:rowOff>
    </xdr:from>
    <xdr:to>
      <xdr:col>12</xdr:col>
      <xdr:colOff>298450</xdr:colOff>
      <xdr:row>94</xdr:row>
      <xdr:rowOff>138492</xdr:rowOff>
    </xdr:to>
    <xdr:cxnSp macro="">
      <xdr:nvCxnSpPr>
        <xdr:cNvPr id="210" name="Connecteur droit avec flèche 209"/>
        <xdr:cNvCxnSpPr/>
      </xdr:nvCxnSpPr>
      <xdr:spPr>
        <a:xfrm flipV="1">
          <a:off x="10391775" y="12142108"/>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1049867</xdr:colOff>
      <xdr:row>91</xdr:row>
      <xdr:rowOff>108858</xdr:rowOff>
    </xdr:from>
    <xdr:to>
      <xdr:col>12</xdr:col>
      <xdr:colOff>129117</xdr:colOff>
      <xdr:row>94</xdr:row>
      <xdr:rowOff>138492</xdr:rowOff>
    </xdr:to>
    <xdr:cxnSp macro="">
      <xdr:nvCxnSpPr>
        <xdr:cNvPr id="211" name="Connecteur droit avec flèche 210"/>
        <xdr:cNvCxnSpPr/>
      </xdr:nvCxnSpPr>
      <xdr:spPr>
        <a:xfrm flipV="1">
          <a:off x="10393892" y="12872358"/>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1081617</xdr:colOff>
      <xdr:row>92</xdr:row>
      <xdr:rowOff>119441</xdr:rowOff>
    </xdr:from>
    <xdr:to>
      <xdr:col>12</xdr:col>
      <xdr:colOff>266700</xdr:colOff>
      <xdr:row>94</xdr:row>
      <xdr:rowOff>172358</xdr:rowOff>
    </xdr:to>
    <xdr:cxnSp macro="">
      <xdr:nvCxnSpPr>
        <xdr:cNvPr id="212" name="Connecteur droit avec flèche 211"/>
        <xdr:cNvCxnSpPr/>
      </xdr:nvCxnSpPr>
      <xdr:spPr>
        <a:xfrm flipV="1">
          <a:off x="10425642" y="13073441"/>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1092200</xdr:colOff>
      <xdr:row>94</xdr:row>
      <xdr:rowOff>130024</xdr:rowOff>
    </xdr:from>
    <xdr:to>
      <xdr:col>12</xdr:col>
      <xdr:colOff>160867</xdr:colOff>
      <xdr:row>94</xdr:row>
      <xdr:rowOff>161774</xdr:rowOff>
    </xdr:to>
    <xdr:cxnSp macro="">
      <xdr:nvCxnSpPr>
        <xdr:cNvPr id="213" name="Connecteur droit avec flèche 212"/>
        <xdr:cNvCxnSpPr/>
      </xdr:nvCxnSpPr>
      <xdr:spPr>
        <a:xfrm flipV="1">
          <a:off x="10436225" y="13465024"/>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711200</xdr:colOff>
      <xdr:row>85</xdr:row>
      <xdr:rowOff>87692</xdr:rowOff>
    </xdr:from>
    <xdr:to>
      <xdr:col>14</xdr:col>
      <xdr:colOff>131233</xdr:colOff>
      <xdr:row>87</xdr:row>
      <xdr:rowOff>130024</xdr:rowOff>
    </xdr:to>
    <xdr:cxnSp macro="">
      <xdr:nvCxnSpPr>
        <xdr:cNvPr id="214" name="Connecteur droit avec flèche 213"/>
        <xdr:cNvCxnSpPr/>
      </xdr:nvCxnSpPr>
      <xdr:spPr>
        <a:xfrm flipV="1">
          <a:off x="12122150" y="11708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668866</xdr:colOff>
      <xdr:row>87</xdr:row>
      <xdr:rowOff>127909</xdr:rowOff>
    </xdr:from>
    <xdr:to>
      <xdr:col>14</xdr:col>
      <xdr:colOff>44450</xdr:colOff>
      <xdr:row>87</xdr:row>
      <xdr:rowOff>140608</xdr:rowOff>
    </xdr:to>
    <xdr:cxnSp macro="">
      <xdr:nvCxnSpPr>
        <xdr:cNvPr id="215" name="Connecteur droit avec flèche 214"/>
        <xdr:cNvCxnSpPr/>
      </xdr:nvCxnSpPr>
      <xdr:spPr>
        <a:xfrm>
          <a:off x="12079816" y="12129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552451</xdr:colOff>
      <xdr:row>89</xdr:row>
      <xdr:rowOff>130024</xdr:rowOff>
    </xdr:from>
    <xdr:to>
      <xdr:col>14</xdr:col>
      <xdr:colOff>44451</xdr:colOff>
      <xdr:row>91</xdr:row>
      <xdr:rowOff>130022</xdr:rowOff>
    </xdr:to>
    <xdr:cxnSp macro="">
      <xdr:nvCxnSpPr>
        <xdr:cNvPr id="216" name="Connecteur droit avec flèche 215"/>
        <xdr:cNvCxnSpPr/>
      </xdr:nvCxnSpPr>
      <xdr:spPr>
        <a:xfrm flipV="1">
          <a:off x="11963401" y="12512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94</xdr:row>
      <xdr:rowOff>119440</xdr:rowOff>
    </xdr:from>
    <xdr:to>
      <xdr:col>14</xdr:col>
      <xdr:colOff>33868</xdr:colOff>
      <xdr:row>94</xdr:row>
      <xdr:rowOff>130025</xdr:rowOff>
    </xdr:to>
    <xdr:cxnSp macro="">
      <xdr:nvCxnSpPr>
        <xdr:cNvPr id="217" name="Connecteur droit avec flèche 216"/>
        <xdr:cNvCxnSpPr/>
      </xdr:nvCxnSpPr>
      <xdr:spPr>
        <a:xfrm>
          <a:off x="12090401" y="13454440"/>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753535</xdr:colOff>
      <xdr:row>92</xdr:row>
      <xdr:rowOff>108857</xdr:rowOff>
    </xdr:from>
    <xdr:to>
      <xdr:col>14</xdr:col>
      <xdr:colOff>55035</xdr:colOff>
      <xdr:row>92</xdr:row>
      <xdr:rowOff>119442</xdr:rowOff>
    </xdr:to>
    <xdr:cxnSp macro="">
      <xdr:nvCxnSpPr>
        <xdr:cNvPr id="218" name="Connecteur droit avec flèche 217"/>
        <xdr:cNvCxnSpPr/>
      </xdr:nvCxnSpPr>
      <xdr:spPr>
        <a:xfrm>
          <a:off x="12164485" y="13062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605368</xdr:colOff>
      <xdr:row>91</xdr:row>
      <xdr:rowOff>98274</xdr:rowOff>
    </xdr:from>
    <xdr:to>
      <xdr:col>14</xdr:col>
      <xdr:colOff>12701</xdr:colOff>
      <xdr:row>91</xdr:row>
      <xdr:rowOff>119442</xdr:rowOff>
    </xdr:to>
    <xdr:cxnSp macro="">
      <xdr:nvCxnSpPr>
        <xdr:cNvPr id="219" name="Connecteur droit avec flèche 218"/>
        <xdr:cNvCxnSpPr/>
      </xdr:nvCxnSpPr>
      <xdr:spPr>
        <a:xfrm>
          <a:off x="12016318" y="12861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93</xdr:row>
      <xdr:rowOff>161773</xdr:rowOff>
    </xdr:from>
    <xdr:to>
      <xdr:col>14</xdr:col>
      <xdr:colOff>65618</xdr:colOff>
      <xdr:row>94</xdr:row>
      <xdr:rowOff>119440</xdr:rowOff>
    </xdr:to>
    <xdr:cxnSp macro="">
      <xdr:nvCxnSpPr>
        <xdr:cNvPr id="220" name="Connecteur droit avec flèche 219"/>
        <xdr:cNvCxnSpPr/>
      </xdr:nvCxnSpPr>
      <xdr:spPr>
        <a:xfrm flipV="1">
          <a:off x="12090401" y="13306273"/>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23284</xdr:colOff>
      <xdr:row>85</xdr:row>
      <xdr:rowOff>87690</xdr:rowOff>
    </xdr:from>
    <xdr:to>
      <xdr:col>16</xdr:col>
      <xdr:colOff>150285</xdr:colOff>
      <xdr:row>85</xdr:row>
      <xdr:rowOff>100390</xdr:rowOff>
    </xdr:to>
    <xdr:cxnSp macro="">
      <xdr:nvCxnSpPr>
        <xdr:cNvPr id="221" name="Connecteur droit avec flèche 220"/>
        <xdr:cNvCxnSpPr/>
      </xdr:nvCxnSpPr>
      <xdr:spPr>
        <a:xfrm>
          <a:off x="13720234" y="11708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753534</xdr:colOff>
      <xdr:row>89</xdr:row>
      <xdr:rowOff>119440</xdr:rowOff>
    </xdr:from>
    <xdr:to>
      <xdr:col>16</xdr:col>
      <xdr:colOff>97368</xdr:colOff>
      <xdr:row>89</xdr:row>
      <xdr:rowOff>121557</xdr:rowOff>
    </xdr:to>
    <xdr:cxnSp macro="">
      <xdr:nvCxnSpPr>
        <xdr:cNvPr id="222" name="Connecteur droit avec flèche 221"/>
        <xdr:cNvCxnSpPr/>
      </xdr:nvCxnSpPr>
      <xdr:spPr>
        <a:xfrm>
          <a:off x="13688484" y="12501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87</xdr:row>
      <xdr:rowOff>119440</xdr:rowOff>
    </xdr:from>
    <xdr:to>
      <xdr:col>16</xdr:col>
      <xdr:colOff>171452</xdr:colOff>
      <xdr:row>87</xdr:row>
      <xdr:rowOff>121557</xdr:rowOff>
    </xdr:to>
    <xdr:cxnSp macro="">
      <xdr:nvCxnSpPr>
        <xdr:cNvPr id="223" name="Connecteur droit avec flèche 222"/>
        <xdr:cNvCxnSpPr/>
      </xdr:nvCxnSpPr>
      <xdr:spPr>
        <a:xfrm>
          <a:off x="13762568" y="12120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55034</xdr:colOff>
      <xdr:row>91</xdr:row>
      <xdr:rowOff>108857</xdr:rowOff>
    </xdr:from>
    <xdr:to>
      <xdr:col>16</xdr:col>
      <xdr:colOff>160868</xdr:colOff>
      <xdr:row>91</xdr:row>
      <xdr:rowOff>110974</xdr:rowOff>
    </xdr:to>
    <xdr:cxnSp macro="">
      <xdr:nvCxnSpPr>
        <xdr:cNvPr id="224" name="Connecteur droit avec flèche 223"/>
        <xdr:cNvCxnSpPr/>
      </xdr:nvCxnSpPr>
      <xdr:spPr>
        <a:xfrm>
          <a:off x="13751984" y="12872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2117</xdr:colOff>
      <xdr:row>93</xdr:row>
      <xdr:rowOff>108857</xdr:rowOff>
    </xdr:from>
    <xdr:to>
      <xdr:col>16</xdr:col>
      <xdr:colOff>107951</xdr:colOff>
      <xdr:row>93</xdr:row>
      <xdr:rowOff>110974</xdr:rowOff>
    </xdr:to>
    <xdr:cxnSp macro="">
      <xdr:nvCxnSpPr>
        <xdr:cNvPr id="225" name="Connecteur droit avec flèche 224"/>
        <xdr:cNvCxnSpPr/>
      </xdr:nvCxnSpPr>
      <xdr:spPr>
        <a:xfrm>
          <a:off x="13699067" y="13253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753535</xdr:colOff>
      <xdr:row>94</xdr:row>
      <xdr:rowOff>119440</xdr:rowOff>
    </xdr:from>
    <xdr:to>
      <xdr:col>16</xdr:col>
      <xdr:colOff>97369</xdr:colOff>
      <xdr:row>94</xdr:row>
      <xdr:rowOff>121557</xdr:rowOff>
    </xdr:to>
    <xdr:cxnSp macro="">
      <xdr:nvCxnSpPr>
        <xdr:cNvPr id="226" name="Connecteur droit avec flèche 225"/>
        <xdr:cNvCxnSpPr/>
      </xdr:nvCxnSpPr>
      <xdr:spPr>
        <a:xfrm>
          <a:off x="13688485" y="134544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92</xdr:row>
      <xdr:rowOff>119441</xdr:rowOff>
    </xdr:from>
    <xdr:to>
      <xdr:col>16</xdr:col>
      <xdr:colOff>65618</xdr:colOff>
      <xdr:row>92</xdr:row>
      <xdr:rowOff>121558</xdr:rowOff>
    </xdr:to>
    <xdr:cxnSp macro="">
      <xdr:nvCxnSpPr>
        <xdr:cNvPr id="227" name="Connecteur droit avec flèche 226"/>
        <xdr:cNvCxnSpPr/>
      </xdr:nvCxnSpPr>
      <xdr:spPr>
        <a:xfrm>
          <a:off x="13656734" y="13073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12700</xdr:colOff>
      <xdr:row>84</xdr:row>
      <xdr:rowOff>108857</xdr:rowOff>
    </xdr:from>
    <xdr:to>
      <xdr:col>16</xdr:col>
      <xdr:colOff>129118</xdr:colOff>
      <xdr:row>85</xdr:row>
      <xdr:rowOff>77108</xdr:rowOff>
    </xdr:to>
    <xdr:cxnSp macro="">
      <xdr:nvCxnSpPr>
        <xdr:cNvPr id="228" name="Connecteur droit avec flèche 227"/>
        <xdr:cNvCxnSpPr/>
      </xdr:nvCxnSpPr>
      <xdr:spPr>
        <a:xfrm flipV="1">
          <a:off x="13709650" y="11538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86</xdr:row>
      <xdr:rowOff>130024</xdr:rowOff>
    </xdr:from>
    <xdr:to>
      <xdr:col>16</xdr:col>
      <xdr:colOff>171451</xdr:colOff>
      <xdr:row>87</xdr:row>
      <xdr:rowOff>98275</xdr:rowOff>
    </xdr:to>
    <xdr:cxnSp macro="">
      <xdr:nvCxnSpPr>
        <xdr:cNvPr id="229" name="Connecteur droit avec flèche 228"/>
        <xdr:cNvCxnSpPr/>
      </xdr:nvCxnSpPr>
      <xdr:spPr>
        <a:xfrm flipV="1">
          <a:off x="13762568" y="11941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742951</xdr:colOff>
      <xdr:row>88</xdr:row>
      <xdr:rowOff>130024</xdr:rowOff>
    </xdr:from>
    <xdr:to>
      <xdr:col>16</xdr:col>
      <xdr:colOff>118534</xdr:colOff>
      <xdr:row>89</xdr:row>
      <xdr:rowOff>98275</xdr:rowOff>
    </xdr:to>
    <xdr:cxnSp macro="">
      <xdr:nvCxnSpPr>
        <xdr:cNvPr id="230" name="Connecteur droit avec flèche 229"/>
        <xdr:cNvCxnSpPr/>
      </xdr:nvCxnSpPr>
      <xdr:spPr>
        <a:xfrm flipV="1">
          <a:off x="13677901" y="12322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33867</xdr:colOff>
      <xdr:row>90</xdr:row>
      <xdr:rowOff>130024</xdr:rowOff>
    </xdr:from>
    <xdr:to>
      <xdr:col>16</xdr:col>
      <xdr:colOff>192618</xdr:colOff>
      <xdr:row>91</xdr:row>
      <xdr:rowOff>87692</xdr:rowOff>
    </xdr:to>
    <xdr:cxnSp macro="">
      <xdr:nvCxnSpPr>
        <xdr:cNvPr id="231" name="Connecteur droit avec flèche 230"/>
        <xdr:cNvCxnSpPr/>
      </xdr:nvCxnSpPr>
      <xdr:spPr>
        <a:xfrm flipV="1">
          <a:off x="13730817" y="12703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111</xdr:row>
      <xdr:rowOff>86180</xdr:rowOff>
    </xdr:from>
    <xdr:to>
      <xdr:col>12</xdr:col>
      <xdr:colOff>271236</xdr:colOff>
      <xdr:row>118</xdr:row>
      <xdr:rowOff>84064</xdr:rowOff>
    </xdr:to>
    <xdr:cxnSp macro="">
      <xdr:nvCxnSpPr>
        <xdr:cNvPr id="232" name="Connecteur droit avec flèche 231"/>
        <xdr:cNvCxnSpPr/>
      </xdr:nvCxnSpPr>
      <xdr:spPr>
        <a:xfrm flipV="1">
          <a:off x="10364561" y="14373680"/>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1022653</xdr:colOff>
      <xdr:row>115</xdr:row>
      <xdr:rowOff>54430</xdr:rowOff>
    </xdr:from>
    <xdr:to>
      <xdr:col>12</xdr:col>
      <xdr:colOff>101903</xdr:colOff>
      <xdr:row>118</xdr:row>
      <xdr:rowOff>84064</xdr:rowOff>
    </xdr:to>
    <xdr:cxnSp macro="">
      <xdr:nvCxnSpPr>
        <xdr:cNvPr id="233" name="Connecteur droit avec flèche 232"/>
        <xdr:cNvCxnSpPr/>
      </xdr:nvCxnSpPr>
      <xdr:spPr>
        <a:xfrm flipV="1">
          <a:off x="10366678" y="15103930"/>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1054403</xdr:colOff>
      <xdr:row>116</xdr:row>
      <xdr:rowOff>65013</xdr:rowOff>
    </xdr:from>
    <xdr:to>
      <xdr:col>12</xdr:col>
      <xdr:colOff>239486</xdr:colOff>
      <xdr:row>118</xdr:row>
      <xdr:rowOff>117930</xdr:rowOff>
    </xdr:to>
    <xdr:cxnSp macro="">
      <xdr:nvCxnSpPr>
        <xdr:cNvPr id="234" name="Connecteur droit avec flèche 233"/>
        <xdr:cNvCxnSpPr/>
      </xdr:nvCxnSpPr>
      <xdr:spPr>
        <a:xfrm flipV="1">
          <a:off x="10398428" y="15305013"/>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1064986</xdr:colOff>
      <xdr:row>118</xdr:row>
      <xdr:rowOff>75596</xdr:rowOff>
    </xdr:from>
    <xdr:to>
      <xdr:col>12</xdr:col>
      <xdr:colOff>133653</xdr:colOff>
      <xdr:row>118</xdr:row>
      <xdr:rowOff>107346</xdr:rowOff>
    </xdr:to>
    <xdr:cxnSp macro="">
      <xdr:nvCxnSpPr>
        <xdr:cNvPr id="235" name="Connecteur droit avec flèche 234"/>
        <xdr:cNvCxnSpPr/>
      </xdr:nvCxnSpPr>
      <xdr:spPr>
        <a:xfrm flipV="1">
          <a:off x="10409011" y="15696596"/>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109</xdr:row>
      <xdr:rowOff>33264</xdr:rowOff>
    </xdr:from>
    <xdr:to>
      <xdr:col>14</xdr:col>
      <xdr:colOff>104019</xdr:colOff>
      <xdr:row>111</xdr:row>
      <xdr:rowOff>75596</xdr:rowOff>
    </xdr:to>
    <xdr:cxnSp macro="">
      <xdr:nvCxnSpPr>
        <xdr:cNvPr id="236" name="Connecteur droit avec flèche 235"/>
        <xdr:cNvCxnSpPr/>
      </xdr:nvCxnSpPr>
      <xdr:spPr>
        <a:xfrm flipV="1">
          <a:off x="12094936" y="13939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111</xdr:row>
      <xdr:rowOff>73481</xdr:rowOff>
    </xdr:from>
    <xdr:to>
      <xdr:col>14</xdr:col>
      <xdr:colOff>17236</xdr:colOff>
      <xdr:row>111</xdr:row>
      <xdr:rowOff>86180</xdr:rowOff>
    </xdr:to>
    <xdr:cxnSp macro="">
      <xdr:nvCxnSpPr>
        <xdr:cNvPr id="237" name="Connecteur droit avec flèche 236"/>
        <xdr:cNvCxnSpPr/>
      </xdr:nvCxnSpPr>
      <xdr:spPr>
        <a:xfrm>
          <a:off x="12052602" y="14360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113</xdr:row>
      <xdr:rowOff>75596</xdr:rowOff>
    </xdr:from>
    <xdr:to>
      <xdr:col>14</xdr:col>
      <xdr:colOff>17237</xdr:colOff>
      <xdr:row>115</xdr:row>
      <xdr:rowOff>75594</xdr:rowOff>
    </xdr:to>
    <xdr:cxnSp macro="">
      <xdr:nvCxnSpPr>
        <xdr:cNvPr id="238" name="Connecteur droit avec flèche 237"/>
        <xdr:cNvCxnSpPr/>
      </xdr:nvCxnSpPr>
      <xdr:spPr>
        <a:xfrm flipV="1">
          <a:off x="11936187" y="14744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118</xdr:row>
      <xdr:rowOff>65012</xdr:rowOff>
    </xdr:from>
    <xdr:to>
      <xdr:col>14</xdr:col>
      <xdr:colOff>6654</xdr:colOff>
      <xdr:row>118</xdr:row>
      <xdr:rowOff>75597</xdr:rowOff>
    </xdr:to>
    <xdr:cxnSp macro="">
      <xdr:nvCxnSpPr>
        <xdr:cNvPr id="239" name="Connecteur droit avec flèche 238"/>
        <xdr:cNvCxnSpPr/>
      </xdr:nvCxnSpPr>
      <xdr:spPr>
        <a:xfrm>
          <a:off x="12063187" y="15686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116</xdr:row>
      <xdr:rowOff>54429</xdr:rowOff>
    </xdr:from>
    <xdr:to>
      <xdr:col>14</xdr:col>
      <xdr:colOff>27821</xdr:colOff>
      <xdr:row>116</xdr:row>
      <xdr:rowOff>65014</xdr:rowOff>
    </xdr:to>
    <xdr:cxnSp macro="">
      <xdr:nvCxnSpPr>
        <xdr:cNvPr id="240" name="Connecteur droit avec flèche 239"/>
        <xdr:cNvCxnSpPr/>
      </xdr:nvCxnSpPr>
      <xdr:spPr>
        <a:xfrm>
          <a:off x="12137271" y="15294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115</xdr:row>
      <xdr:rowOff>43846</xdr:rowOff>
    </xdr:from>
    <xdr:to>
      <xdr:col>13</xdr:col>
      <xdr:colOff>747487</xdr:colOff>
      <xdr:row>115</xdr:row>
      <xdr:rowOff>65014</xdr:rowOff>
    </xdr:to>
    <xdr:cxnSp macro="">
      <xdr:nvCxnSpPr>
        <xdr:cNvPr id="241" name="Connecteur droit avec flèche 240"/>
        <xdr:cNvCxnSpPr/>
      </xdr:nvCxnSpPr>
      <xdr:spPr>
        <a:xfrm>
          <a:off x="11989104" y="15093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117</xdr:row>
      <xdr:rowOff>107345</xdr:rowOff>
    </xdr:from>
    <xdr:to>
      <xdr:col>14</xdr:col>
      <xdr:colOff>38404</xdr:colOff>
      <xdr:row>118</xdr:row>
      <xdr:rowOff>65012</xdr:rowOff>
    </xdr:to>
    <xdr:cxnSp macro="">
      <xdr:nvCxnSpPr>
        <xdr:cNvPr id="242" name="Connecteur droit avec flèche 241"/>
        <xdr:cNvCxnSpPr/>
      </xdr:nvCxnSpPr>
      <xdr:spPr>
        <a:xfrm flipV="1">
          <a:off x="12063187" y="15537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109</xdr:row>
      <xdr:rowOff>33262</xdr:rowOff>
    </xdr:from>
    <xdr:to>
      <xdr:col>16</xdr:col>
      <xdr:colOff>123071</xdr:colOff>
      <xdr:row>109</xdr:row>
      <xdr:rowOff>45962</xdr:rowOff>
    </xdr:to>
    <xdr:cxnSp macro="">
      <xdr:nvCxnSpPr>
        <xdr:cNvPr id="243" name="Connecteur droit avec flèche 242"/>
        <xdr:cNvCxnSpPr/>
      </xdr:nvCxnSpPr>
      <xdr:spPr>
        <a:xfrm>
          <a:off x="13693020" y="13939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113</xdr:row>
      <xdr:rowOff>65012</xdr:rowOff>
    </xdr:from>
    <xdr:to>
      <xdr:col>16</xdr:col>
      <xdr:colOff>70154</xdr:colOff>
      <xdr:row>113</xdr:row>
      <xdr:rowOff>67129</xdr:rowOff>
    </xdr:to>
    <xdr:cxnSp macro="">
      <xdr:nvCxnSpPr>
        <xdr:cNvPr id="244" name="Connecteur droit avec flèche 243"/>
        <xdr:cNvCxnSpPr/>
      </xdr:nvCxnSpPr>
      <xdr:spPr>
        <a:xfrm>
          <a:off x="13661270" y="14733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111</xdr:row>
      <xdr:rowOff>65012</xdr:rowOff>
    </xdr:from>
    <xdr:to>
      <xdr:col>16</xdr:col>
      <xdr:colOff>144238</xdr:colOff>
      <xdr:row>111</xdr:row>
      <xdr:rowOff>67129</xdr:rowOff>
    </xdr:to>
    <xdr:cxnSp macro="">
      <xdr:nvCxnSpPr>
        <xdr:cNvPr id="245" name="Connecteur droit avec flèche 244"/>
        <xdr:cNvCxnSpPr/>
      </xdr:nvCxnSpPr>
      <xdr:spPr>
        <a:xfrm>
          <a:off x="13735354" y="14352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115</xdr:row>
      <xdr:rowOff>54429</xdr:rowOff>
    </xdr:from>
    <xdr:to>
      <xdr:col>16</xdr:col>
      <xdr:colOff>133654</xdr:colOff>
      <xdr:row>115</xdr:row>
      <xdr:rowOff>56546</xdr:rowOff>
    </xdr:to>
    <xdr:cxnSp macro="">
      <xdr:nvCxnSpPr>
        <xdr:cNvPr id="246" name="Connecteur droit avec flèche 245"/>
        <xdr:cNvCxnSpPr/>
      </xdr:nvCxnSpPr>
      <xdr:spPr>
        <a:xfrm>
          <a:off x="13724770" y="15103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117</xdr:row>
      <xdr:rowOff>54429</xdr:rowOff>
    </xdr:from>
    <xdr:to>
      <xdr:col>16</xdr:col>
      <xdr:colOff>80737</xdr:colOff>
      <xdr:row>117</xdr:row>
      <xdr:rowOff>56546</xdr:rowOff>
    </xdr:to>
    <xdr:cxnSp macro="">
      <xdr:nvCxnSpPr>
        <xdr:cNvPr id="247" name="Connecteur droit avec flèche 246"/>
        <xdr:cNvCxnSpPr/>
      </xdr:nvCxnSpPr>
      <xdr:spPr>
        <a:xfrm>
          <a:off x="13671853" y="15484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118</xdr:row>
      <xdr:rowOff>65012</xdr:rowOff>
    </xdr:from>
    <xdr:to>
      <xdr:col>16</xdr:col>
      <xdr:colOff>70155</xdr:colOff>
      <xdr:row>118</xdr:row>
      <xdr:rowOff>67129</xdr:rowOff>
    </xdr:to>
    <xdr:cxnSp macro="">
      <xdr:nvCxnSpPr>
        <xdr:cNvPr id="248" name="Connecteur droit avec flèche 247"/>
        <xdr:cNvCxnSpPr/>
      </xdr:nvCxnSpPr>
      <xdr:spPr>
        <a:xfrm>
          <a:off x="13661271" y="15686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116</xdr:row>
      <xdr:rowOff>65013</xdr:rowOff>
    </xdr:from>
    <xdr:to>
      <xdr:col>16</xdr:col>
      <xdr:colOff>38404</xdr:colOff>
      <xdr:row>116</xdr:row>
      <xdr:rowOff>67130</xdr:rowOff>
    </xdr:to>
    <xdr:cxnSp macro="">
      <xdr:nvCxnSpPr>
        <xdr:cNvPr id="249" name="Connecteur droit avec flèche 248"/>
        <xdr:cNvCxnSpPr/>
      </xdr:nvCxnSpPr>
      <xdr:spPr>
        <a:xfrm>
          <a:off x="13629520" y="15305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108</xdr:row>
      <xdr:rowOff>54429</xdr:rowOff>
    </xdr:from>
    <xdr:to>
      <xdr:col>16</xdr:col>
      <xdr:colOff>101904</xdr:colOff>
      <xdr:row>109</xdr:row>
      <xdr:rowOff>22680</xdr:rowOff>
    </xdr:to>
    <xdr:cxnSp macro="">
      <xdr:nvCxnSpPr>
        <xdr:cNvPr id="250" name="Connecteur droit avec flèche 249"/>
        <xdr:cNvCxnSpPr/>
      </xdr:nvCxnSpPr>
      <xdr:spPr>
        <a:xfrm flipV="1">
          <a:off x="13682436" y="13770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110</xdr:row>
      <xdr:rowOff>75596</xdr:rowOff>
    </xdr:from>
    <xdr:to>
      <xdr:col>16</xdr:col>
      <xdr:colOff>144237</xdr:colOff>
      <xdr:row>111</xdr:row>
      <xdr:rowOff>43847</xdr:rowOff>
    </xdr:to>
    <xdr:cxnSp macro="">
      <xdr:nvCxnSpPr>
        <xdr:cNvPr id="251" name="Connecteur droit avec flèche 250"/>
        <xdr:cNvCxnSpPr/>
      </xdr:nvCxnSpPr>
      <xdr:spPr>
        <a:xfrm flipV="1">
          <a:off x="13735354" y="14172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112</xdr:row>
      <xdr:rowOff>75596</xdr:rowOff>
    </xdr:from>
    <xdr:to>
      <xdr:col>16</xdr:col>
      <xdr:colOff>91320</xdr:colOff>
      <xdr:row>113</xdr:row>
      <xdr:rowOff>43847</xdr:rowOff>
    </xdr:to>
    <xdr:cxnSp macro="">
      <xdr:nvCxnSpPr>
        <xdr:cNvPr id="252" name="Connecteur droit avec flèche 251"/>
        <xdr:cNvCxnSpPr/>
      </xdr:nvCxnSpPr>
      <xdr:spPr>
        <a:xfrm flipV="1">
          <a:off x="13650687" y="14553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114</xdr:row>
      <xdr:rowOff>75596</xdr:rowOff>
    </xdr:from>
    <xdr:to>
      <xdr:col>16</xdr:col>
      <xdr:colOff>165404</xdr:colOff>
      <xdr:row>115</xdr:row>
      <xdr:rowOff>33264</xdr:rowOff>
    </xdr:to>
    <xdr:cxnSp macro="">
      <xdr:nvCxnSpPr>
        <xdr:cNvPr id="253" name="Connecteur droit avec flèche 252"/>
        <xdr:cNvCxnSpPr/>
      </xdr:nvCxnSpPr>
      <xdr:spPr>
        <a:xfrm flipV="1">
          <a:off x="13703603" y="14934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147</xdr:row>
      <xdr:rowOff>99787</xdr:rowOff>
    </xdr:from>
    <xdr:to>
      <xdr:col>12</xdr:col>
      <xdr:colOff>244021</xdr:colOff>
      <xdr:row>154</xdr:row>
      <xdr:rowOff>97671</xdr:rowOff>
    </xdr:to>
    <xdr:cxnSp macro="">
      <xdr:nvCxnSpPr>
        <xdr:cNvPr id="254" name="Connecteur droit avec flèche 253"/>
        <xdr:cNvCxnSpPr/>
      </xdr:nvCxnSpPr>
      <xdr:spPr>
        <a:xfrm flipV="1">
          <a:off x="10337346" y="16673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151</xdr:row>
      <xdr:rowOff>68037</xdr:rowOff>
    </xdr:from>
    <xdr:to>
      <xdr:col>12</xdr:col>
      <xdr:colOff>74688</xdr:colOff>
      <xdr:row>154</xdr:row>
      <xdr:rowOff>97671</xdr:rowOff>
    </xdr:to>
    <xdr:cxnSp macro="">
      <xdr:nvCxnSpPr>
        <xdr:cNvPr id="255" name="Connecteur droit avec flèche 254"/>
        <xdr:cNvCxnSpPr/>
      </xdr:nvCxnSpPr>
      <xdr:spPr>
        <a:xfrm flipV="1">
          <a:off x="10339463" y="17403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152</xdr:row>
      <xdr:rowOff>78620</xdr:rowOff>
    </xdr:from>
    <xdr:to>
      <xdr:col>12</xdr:col>
      <xdr:colOff>212271</xdr:colOff>
      <xdr:row>154</xdr:row>
      <xdr:rowOff>131537</xdr:rowOff>
    </xdr:to>
    <xdr:cxnSp macro="">
      <xdr:nvCxnSpPr>
        <xdr:cNvPr id="256" name="Connecteur droit avec flèche 255"/>
        <xdr:cNvCxnSpPr/>
      </xdr:nvCxnSpPr>
      <xdr:spPr>
        <a:xfrm flipV="1">
          <a:off x="10371213" y="17604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154</xdr:row>
      <xdr:rowOff>89203</xdr:rowOff>
    </xdr:from>
    <xdr:to>
      <xdr:col>12</xdr:col>
      <xdr:colOff>106438</xdr:colOff>
      <xdr:row>154</xdr:row>
      <xdr:rowOff>120953</xdr:rowOff>
    </xdr:to>
    <xdr:cxnSp macro="">
      <xdr:nvCxnSpPr>
        <xdr:cNvPr id="257" name="Connecteur droit avec flèche 256"/>
        <xdr:cNvCxnSpPr/>
      </xdr:nvCxnSpPr>
      <xdr:spPr>
        <a:xfrm flipV="1">
          <a:off x="10381796" y="17996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145</xdr:row>
      <xdr:rowOff>46871</xdr:rowOff>
    </xdr:from>
    <xdr:to>
      <xdr:col>14</xdr:col>
      <xdr:colOff>76804</xdr:colOff>
      <xdr:row>147</xdr:row>
      <xdr:rowOff>89203</xdr:rowOff>
    </xdr:to>
    <xdr:cxnSp macro="">
      <xdr:nvCxnSpPr>
        <xdr:cNvPr id="258" name="Connecteur droit avec flèche 257"/>
        <xdr:cNvCxnSpPr/>
      </xdr:nvCxnSpPr>
      <xdr:spPr>
        <a:xfrm flipV="1">
          <a:off x="12067721" y="16239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147</xdr:row>
      <xdr:rowOff>87088</xdr:rowOff>
    </xdr:from>
    <xdr:to>
      <xdr:col>13</xdr:col>
      <xdr:colOff>752021</xdr:colOff>
      <xdr:row>147</xdr:row>
      <xdr:rowOff>99787</xdr:rowOff>
    </xdr:to>
    <xdr:cxnSp macro="">
      <xdr:nvCxnSpPr>
        <xdr:cNvPr id="259" name="Connecteur droit avec flèche 258"/>
        <xdr:cNvCxnSpPr/>
      </xdr:nvCxnSpPr>
      <xdr:spPr>
        <a:xfrm>
          <a:off x="12025387" y="16660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149</xdr:row>
      <xdr:rowOff>89203</xdr:rowOff>
    </xdr:from>
    <xdr:to>
      <xdr:col>13</xdr:col>
      <xdr:colOff>752022</xdr:colOff>
      <xdr:row>151</xdr:row>
      <xdr:rowOff>89201</xdr:rowOff>
    </xdr:to>
    <xdr:cxnSp macro="">
      <xdr:nvCxnSpPr>
        <xdr:cNvPr id="260" name="Connecteur droit avec flèche 259"/>
        <xdr:cNvCxnSpPr/>
      </xdr:nvCxnSpPr>
      <xdr:spPr>
        <a:xfrm flipV="1">
          <a:off x="11908972" y="17043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154</xdr:row>
      <xdr:rowOff>78619</xdr:rowOff>
    </xdr:from>
    <xdr:to>
      <xdr:col>13</xdr:col>
      <xdr:colOff>741439</xdr:colOff>
      <xdr:row>154</xdr:row>
      <xdr:rowOff>89204</xdr:rowOff>
    </xdr:to>
    <xdr:cxnSp macro="">
      <xdr:nvCxnSpPr>
        <xdr:cNvPr id="261" name="Connecteur droit avec flèche 260"/>
        <xdr:cNvCxnSpPr/>
      </xdr:nvCxnSpPr>
      <xdr:spPr>
        <a:xfrm>
          <a:off x="12035972" y="17985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152</xdr:row>
      <xdr:rowOff>68036</xdr:rowOff>
    </xdr:from>
    <xdr:to>
      <xdr:col>14</xdr:col>
      <xdr:colOff>606</xdr:colOff>
      <xdr:row>152</xdr:row>
      <xdr:rowOff>78621</xdr:rowOff>
    </xdr:to>
    <xdr:cxnSp macro="">
      <xdr:nvCxnSpPr>
        <xdr:cNvPr id="262" name="Connecteur droit avec flèche 261"/>
        <xdr:cNvCxnSpPr/>
      </xdr:nvCxnSpPr>
      <xdr:spPr>
        <a:xfrm>
          <a:off x="12110056" y="17594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151</xdr:row>
      <xdr:rowOff>57453</xdr:rowOff>
    </xdr:from>
    <xdr:to>
      <xdr:col>13</xdr:col>
      <xdr:colOff>720272</xdr:colOff>
      <xdr:row>151</xdr:row>
      <xdr:rowOff>78621</xdr:rowOff>
    </xdr:to>
    <xdr:cxnSp macro="">
      <xdr:nvCxnSpPr>
        <xdr:cNvPr id="263" name="Connecteur droit avec flèche 262"/>
        <xdr:cNvCxnSpPr/>
      </xdr:nvCxnSpPr>
      <xdr:spPr>
        <a:xfrm>
          <a:off x="11961889" y="17392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153</xdr:row>
      <xdr:rowOff>120952</xdr:rowOff>
    </xdr:from>
    <xdr:to>
      <xdr:col>14</xdr:col>
      <xdr:colOff>11189</xdr:colOff>
      <xdr:row>154</xdr:row>
      <xdr:rowOff>78619</xdr:rowOff>
    </xdr:to>
    <xdr:cxnSp macro="">
      <xdr:nvCxnSpPr>
        <xdr:cNvPr id="264" name="Connecteur droit avec flèche 263"/>
        <xdr:cNvCxnSpPr/>
      </xdr:nvCxnSpPr>
      <xdr:spPr>
        <a:xfrm flipV="1">
          <a:off x="12035972" y="17837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145</xdr:row>
      <xdr:rowOff>46869</xdr:rowOff>
    </xdr:from>
    <xdr:to>
      <xdr:col>16</xdr:col>
      <xdr:colOff>95856</xdr:colOff>
      <xdr:row>145</xdr:row>
      <xdr:rowOff>59569</xdr:rowOff>
    </xdr:to>
    <xdr:cxnSp macro="">
      <xdr:nvCxnSpPr>
        <xdr:cNvPr id="265" name="Connecteur droit avec flèche 264"/>
        <xdr:cNvCxnSpPr/>
      </xdr:nvCxnSpPr>
      <xdr:spPr>
        <a:xfrm>
          <a:off x="13665805" y="16239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149</xdr:row>
      <xdr:rowOff>78619</xdr:rowOff>
    </xdr:from>
    <xdr:to>
      <xdr:col>16</xdr:col>
      <xdr:colOff>42939</xdr:colOff>
      <xdr:row>149</xdr:row>
      <xdr:rowOff>80736</xdr:rowOff>
    </xdr:to>
    <xdr:cxnSp macro="">
      <xdr:nvCxnSpPr>
        <xdr:cNvPr id="266" name="Connecteur droit avec flèche 265"/>
        <xdr:cNvCxnSpPr/>
      </xdr:nvCxnSpPr>
      <xdr:spPr>
        <a:xfrm>
          <a:off x="13634055" y="17033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147</xdr:row>
      <xdr:rowOff>78619</xdr:rowOff>
    </xdr:from>
    <xdr:to>
      <xdr:col>16</xdr:col>
      <xdr:colOff>117023</xdr:colOff>
      <xdr:row>147</xdr:row>
      <xdr:rowOff>80736</xdr:rowOff>
    </xdr:to>
    <xdr:cxnSp macro="">
      <xdr:nvCxnSpPr>
        <xdr:cNvPr id="267" name="Connecteur droit avec flèche 266"/>
        <xdr:cNvCxnSpPr/>
      </xdr:nvCxnSpPr>
      <xdr:spPr>
        <a:xfrm>
          <a:off x="13708139" y="16652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151</xdr:row>
      <xdr:rowOff>68036</xdr:rowOff>
    </xdr:from>
    <xdr:to>
      <xdr:col>16</xdr:col>
      <xdr:colOff>106439</xdr:colOff>
      <xdr:row>151</xdr:row>
      <xdr:rowOff>70153</xdr:rowOff>
    </xdr:to>
    <xdr:cxnSp macro="">
      <xdr:nvCxnSpPr>
        <xdr:cNvPr id="268" name="Connecteur droit avec flèche 267"/>
        <xdr:cNvCxnSpPr/>
      </xdr:nvCxnSpPr>
      <xdr:spPr>
        <a:xfrm>
          <a:off x="13697555" y="17403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153</xdr:row>
      <xdr:rowOff>68036</xdr:rowOff>
    </xdr:from>
    <xdr:to>
      <xdr:col>16</xdr:col>
      <xdr:colOff>53522</xdr:colOff>
      <xdr:row>153</xdr:row>
      <xdr:rowOff>70153</xdr:rowOff>
    </xdr:to>
    <xdr:cxnSp macro="">
      <xdr:nvCxnSpPr>
        <xdr:cNvPr id="269" name="Connecteur droit avec flèche 268"/>
        <xdr:cNvCxnSpPr/>
      </xdr:nvCxnSpPr>
      <xdr:spPr>
        <a:xfrm>
          <a:off x="13644638" y="17784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154</xdr:row>
      <xdr:rowOff>78619</xdr:rowOff>
    </xdr:from>
    <xdr:to>
      <xdr:col>16</xdr:col>
      <xdr:colOff>42940</xdr:colOff>
      <xdr:row>154</xdr:row>
      <xdr:rowOff>80736</xdr:rowOff>
    </xdr:to>
    <xdr:cxnSp macro="">
      <xdr:nvCxnSpPr>
        <xdr:cNvPr id="270" name="Connecteur droit avec flèche 269"/>
        <xdr:cNvCxnSpPr/>
      </xdr:nvCxnSpPr>
      <xdr:spPr>
        <a:xfrm>
          <a:off x="13634056" y="17985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152</xdr:row>
      <xdr:rowOff>78620</xdr:rowOff>
    </xdr:from>
    <xdr:to>
      <xdr:col>16</xdr:col>
      <xdr:colOff>11189</xdr:colOff>
      <xdr:row>152</xdr:row>
      <xdr:rowOff>80737</xdr:rowOff>
    </xdr:to>
    <xdr:cxnSp macro="">
      <xdr:nvCxnSpPr>
        <xdr:cNvPr id="271" name="Connecteur droit avec flèche 270"/>
        <xdr:cNvCxnSpPr/>
      </xdr:nvCxnSpPr>
      <xdr:spPr>
        <a:xfrm>
          <a:off x="13602305" y="17604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144</xdr:row>
      <xdr:rowOff>68036</xdr:rowOff>
    </xdr:from>
    <xdr:to>
      <xdr:col>16</xdr:col>
      <xdr:colOff>74689</xdr:colOff>
      <xdr:row>145</xdr:row>
      <xdr:rowOff>36287</xdr:rowOff>
    </xdr:to>
    <xdr:cxnSp macro="">
      <xdr:nvCxnSpPr>
        <xdr:cNvPr id="272" name="Connecteur droit avec flèche 271"/>
        <xdr:cNvCxnSpPr/>
      </xdr:nvCxnSpPr>
      <xdr:spPr>
        <a:xfrm flipV="1">
          <a:off x="13655221" y="16070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146</xdr:row>
      <xdr:rowOff>89203</xdr:rowOff>
    </xdr:from>
    <xdr:to>
      <xdr:col>16</xdr:col>
      <xdr:colOff>117022</xdr:colOff>
      <xdr:row>147</xdr:row>
      <xdr:rowOff>57454</xdr:rowOff>
    </xdr:to>
    <xdr:cxnSp macro="">
      <xdr:nvCxnSpPr>
        <xdr:cNvPr id="273" name="Connecteur droit avec flèche 272"/>
        <xdr:cNvCxnSpPr/>
      </xdr:nvCxnSpPr>
      <xdr:spPr>
        <a:xfrm flipV="1">
          <a:off x="13708139" y="16472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148</xdr:row>
      <xdr:rowOff>89203</xdr:rowOff>
    </xdr:from>
    <xdr:to>
      <xdr:col>16</xdr:col>
      <xdr:colOff>64105</xdr:colOff>
      <xdr:row>149</xdr:row>
      <xdr:rowOff>57454</xdr:rowOff>
    </xdr:to>
    <xdr:cxnSp macro="">
      <xdr:nvCxnSpPr>
        <xdr:cNvPr id="274" name="Connecteur droit avec flèche 273"/>
        <xdr:cNvCxnSpPr/>
      </xdr:nvCxnSpPr>
      <xdr:spPr>
        <a:xfrm flipV="1">
          <a:off x="13623472" y="16853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150</xdr:row>
      <xdr:rowOff>89203</xdr:rowOff>
    </xdr:from>
    <xdr:to>
      <xdr:col>16</xdr:col>
      <xdr:colOff>138189</xdr:colOff>
      <xdr:row>151</xdr:row>
      <xdr:rowOff>46871</xdr:rowOff>
    </xdr:to>
    <xdr:cxnSp macro="">
      <xdr:nvCxnSpPr>
        <xdr:cNvPr id="275" name="Connecteur droit avec flèche 274"/>
        <xdr:cNvCxnSpPr/>
      </xdr:nvCxnSpPr>
      <xdr:spPr>
        <a:xfrm flipV="1">
          <a:off x="13676388" y="17234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171</xdr:row>
      <xdr:rowOff>113394</xdr:rowOff>
    </xdr:from>
    <xdr:to>
      <xdr:col>12</xdr:col>
      <xdr:colOff>230414</xdr:colOff>
      <xdr:row>178</xdr:row>
      <xdr:rowOff>111278</xdr:rowOff>
    </xdr:to>
    <xdr:cxnSp macro="">
      <xdr:nvCxnSpPr>
        <xdr:cNvPr id="276" name="Connecteur droit avec flèche 275"/>
        <xdr:cNvCxnSpPr/>
      </xdr:nvCxnSpPr>
      <xdr:spPr>
        <a:xfrm flipV="1">
          <a:off x="10323739" y="18972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175</xdr:row>
      <xdr:rowOff>81644</xdr:rowOff>
    </xdr:from>
    <xdr:to>
      <xdr:col>12</xdr:col>
      <xdr:colOff>61081</xdr:colOff>
      <xdr:row>178</xdr:row>
      <xdr:rowOff>111278</xdr:rowOff>
    </xdr:to>
    <xdr:cxnSp macro="">
      <xdr:nvCxnSpPr>
        <xdr:cNvPr id="277" name="Connecteur droit avec flèche 276"/>
        <xdr:cNvCxnSpPr/>
      </xdr:nvCxnSpPr>
      <xdr:spPr>
        <a:xfrm flipV="1">
          <a:off x="10325856" y="19703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176</xdr:row>
      <xdr:rowOff>92227</xdr:rowOff>
    </xdr:from>
    <xdr:to>
      <xdr:col>12</xdr:col>
      <xdr:colOff>198664</xdr:colOff>
      <xdr:row>178</xdr:row>
      <xdr:rowOff>145144</xdr:rowOff>
    </xdr:to>
    <xdr:cxnSp macro="">
      <xdr:nvCxnSpPr>
        <xdr:cNvPr id="278" name="Connecteur droit avec flèche 277"/>
        <xdr:cNvCxnSpPr/>
      </xdr:nvCxnSpPr>
      <xdr:spPr>
        <a:xfrm flipV="1">
          <a:off x="10357606" y="19904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178</xdr:row>
      <xdr:rowOff>102810</xdr:rowOff>
    </xdr:from>
    <xdr:to>
      <xdr:col>12</xdr:col>
      <xdr:colOff>92831</xdr:colOff>
      <xdr:row>178</xdr:row>
      <xdr:rowOff>134560</xdr:rowOff>
    </xdr:to>
    <xdr:cxnSp macro="">
      <xdr:nvCxnSpPr>
        <xdr:cNvPr id="279" name="Connecteur droit avec flèche 278"/>
        <xdr:cNvCxnSpPr/>
      </xdr:nvCxnSpPr>
      <xdr:spPr>
        <a:xfrm flipV="1">
          <a:off x="10368189" y="20295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169</xdr:row>
      <xdr:rowOff>60478</xdr:rowOff>
    </xdr:from>
    <xdr:to>
      <xdr:col>14</xdr:col>
      <xdr:colOff>63197</xdr:colOff>
      <xdr:row>171</xdr:row>
      <xdr:rowOff>102810</xdr:rowOff>
    </xdr:to>
    <xdr:cxnSp macro="">
      <xdr:nvCxnSpPr>
        <xdr:cNvPr id="280" name="Connecteur droit avec flèche 279"/>
        <xdr:cNvCxnSpPr/>
      </xdr:nvCxnSpPr>
      <xdr:spPr>
        <a:xfrm flipV="1">
          <a:off x="12054114" y="18538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171</xdr:row>
      <xdr:rowOff>100695</xdr:rowOff>
    </xdr:from>
    <xdr:to>
      <xdr:col>13</xdr:col>
      <xdr:colOff>738414</xdr:colOff>
      <xdr:row>171</xdr:row>
      <xdr:rowOff>113394</xdr:rowOff>
    </xdr:to>
    <xdr:cxnSp macro="">
      <xdr:nvCxnSpPr>
        <xdr:cNvPr id="281" name="Connecteur droit avec flèche 280"/>
        <xdr:cNvCxnSpPr/>
      </xdr:nvCxnSpPr>
      <xdr:spPr>
        <a:xfrm>
          <a:off x="12011780" y="18960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173</xdr:row>
      <xdr:rowOff>102810</xdr:rowOff>
    </xdr:from>
    <xdr:to>
      <xdr:col>13</xdr:col>
      <xdr:colOff>738415</xdr:colOff>
      <xdr:row>175</xdr:row>
      <xdr:rowOff>102808</xdr:rowOff>
    </xdr:to>
    <xdr:cxnSp macro="">
      <xdr:nvCxnSpPr>
        <xdr:cNvPr id="282" name="Connecteur droit avec flèche 281"/>
        <xdr:cNvCxnSpPr/>
      </xdr:nvCxnSpPr>
      <xdr:spPr>
        <a:xfrm flipV="1">
          <a:off x="11895365" y="19343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178</xdr:row>
      <xdr:rowOff>92226</xdr:rowOff>
    </xdr:from>
    <xdr:to>
      <xdr:col>13</xdr:col>
      <xdr:colOff>727832</xdr:colOff>
      <xdr:row>178</xdr:row>
      <xdr:rowOff>102811</xdr:rowOff>
    </xdr:to>
    <xdr:cxnSp macro="">
      <xdr:nvCxnSpPr>
        <xdr:cNvPr id="283" name="Connecteur droit avec flèche 282"/>
        <xdr:cNvCxnSpPr/>
      </xdr:nvCxnSpPr>
      <xdr:spPr>
        <a:xfrm>
          <a:off x="12022365" y="20285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176</xdr:row>
      <xdr:rowOff>81643</xdr:rowOff>
    </xdr:from>
    <xdr:to>
      <xdr:col>13</xdr:col>
      <xdr:colOff>748999</xdr:colOff>
      <xdr:row>176</xdr:row>
      <xdr:rowOff>92228</xdr:rowOff>
    </xdr:to>
    <xdr:cxnSp macro="">
      <xdr:nvCxnSpPr>
        <xdr:cNvPr id="284" name="Connecteur droit avec flèche 283"/>
        <xdr:cNvCxnSpPr/>
      </xdr:nvCxnSpPr>
      <xdr:spPr>
        <a:xfrm>
          <a:off x="12096449" y="1989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175</xdr:row>
      <xdr:rowOff>71060</xdr:rowOff>
    </xdr:from>
    <xdr:to>
      <xdr:col>13</xdr:col>
      <xdr:colOff>706665</xdr:colOff>
      <xdr:row>175</xdr:row>
      <xdr:rowOff>92228</xdr:rowOff>
    </xdr:to>
    <xdr:cxnSp macro="">
      <xdr:nvCxnSpPr>
        <xdr:cNvPr id="285" name="Connecteur droit avec flèche 284"/>
        <xdr:cNvCxnSpPr/>
      </xdr:nvCxnSpPr>
      <xdr:spPr>
        <a:xfrm>
          <a:off x="11948282" y="19692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177</xdr:row>
      <xdr:rowOff>134559</xdr:rowOff>
    </xdr:from>
    <xdr:to>
      <xdr:col>13</xdr:col>
      <xdr:colOff>759582</xdr:colOff>
      <xdr:row>178</xdr:row>
      <xdr:rowOff>92226</xdr:rowOff>
    </xdr:to>
    <xdr:cxnSp macro="">
      <xdr:nvCxnSpPr>
        <xdr:cNvPr id="286" name="Connecteur droit avec flèche 285"/>
        <xdr:cNvCxnSpPr/>
      </xdr:nvCxnSpPr>
      <xdr:spPr>
        <a:xfrm flipV="1">
          <a:off x="12022365" y="20137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169</xdr:row>
      <xdr:rowOff>60476</xdr:rowOff>
    </xdr:from>
    <xdr:to>
      <xdr:col>16</xdr:col>
      <xdr:colOff>82249</xdr:colOff>
      <xdr:row>169</xdr:row>
      <xdr:rowOff>73176</xdr:rowOff>
    </xdr:to>
    <xdr:cxnSp macro="">
      <xdr:nvCxnSpPr>
        <xdr:cNvPr id="287" name="Connecteur droit avec flèche 286"/>
        <xdr:cNvCxnSpPr/>
      </xdr:nvCxnSpPr>
      <xdr:spPr>
        <a:xfrm>
          <a:off x="13652198" y="18538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173</xdr:row>
      <xdr:rowOff>92226</xdr:rowOff>
    </xdr:from>
    <xdr:to>
      <xdr:col>16</xdr:col>
      <xdr:colOff>29332</xdr:colOff>
      <xdr:row>173</xdr:row>
      <xdr:rowOff>94343</xdr:rowOff>
    </xdr:to>
    <xdr:cxnSp macro="">
      <xdr:nvCxnSpPr>
        <xdr:cNvPr id="288" name="Connecteur droit avec flèche 287"/>
        <xdr:cNvCxnSpPr/>
      </xdr:nvCxnSpPr>
      <xdr:spPr>
        <a:xfrm>
          <a:off x="13620448" y="19332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171</xdr:row>
      <xdr:rowOff>92226</xdr:rowOff>
    </xdr:from>
    <xdr:to>
      <xdr:col>16</xdr:col>
      <xdr:colOff>103416</xdr:colOff>
      <xdr:row>171</xdr:row>
      <xdr:rowOff>94343</xdr:rowOff>
    </xdr:to>
    <xdr:cxnSp macro="">
      <xdr:nvCxnSpPr>
        <xdr:cNvPr id="289" name="Connecteur droit avec flèche 288"/>
        <xdr:cNvCxnSpPr/>
      </xdr:nvCxnSpPr>
      <xdr:spPr>
        <a:xfrm>
          <a:off x="13694532" y="18951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175</xdr:row>
      <xdr:rowOff>81643</xdr:rowOff>
    </xdr:from>
    <xdr:to>
      <xdr:col>16</xdr:col>
      <xdr:colOff>92832</xdr:colOff>
      <xdr:row>175</xdr:row>
      <xdr:rowOff>83760</xdr:rowOff>
    </xdr:to>
    <xdr:cxnSp macro="">
      <xdr:nvCxnSpPr>
        <xdr:cNvPr id="290" name="Connecteur droit avec flèche 289"/>
        <xdr:cNvCxnSpPr/>
      </xdr:nvCxnSpPr>
      <xdr:spPr>
        <a:xfrm>
          <a:off x="13683948" y="19703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177</xdr:row>
      <xdr:rowOff>81643</xdr:rowOff>
    </xdr:from>
    <xdr:to>
      <xdr:col>16</xdr:col>
      <xdr:colOff>39915</xdr:colOff>
      <xdr:row>177</xdr:row>
      <xdr:rowOff>83760</xdr:rowOff>
    </xdr:to>
    <xdr:cxnSp macro="">
      <xdr:nvCxnSpPr>
        <xdr:cNvPr id="291" name="Connecteur droit avec flèche 290"/>
        <xdr:cNvCxnSpPr/>
      </xdr:nvCxnSpPr>
      <xdr:spPr>
        <a:xfrm>
          <a:off x="13631031" y="20084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178</xdr:row>
      <xdr:rowOff>92226</xdr:rowOff>
    </xdr:from>
    <xdr:to>
      <xdr:col>16</xdr:col>
      <xdr:colOff>29333</xdr:colOff>
      <xdr:row>178</xdr:row>
      <xdr:rowOff>94343</xdr:rowOff>
    </xdr:to>
    <xdr:cxnSp macro="">
      <xdr:nvCxnSpPr>
        <xdr:cNvPr id="292" name="Connecteur droit avec flèche 291"/>
        <xdr:cNvCxnSpPr/>
      </xdr:nvCxnSpPr>
      <xdr:spPr>
        <a:xfrm>
          <a:off x="13620449" y="2028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176</xdr:row>
      <xdr:rowOff>92227</xdr:rowOff>
    </xdr:from>
    <xdr:to>
      <xdr:col>15</xdr:col>
      <xdr:colOff>759582</xdr:colOff>
      <xdr:row>176</xdr:row>
      <xdr:rowOff>94344</xdr:rowOff>
    </xdr:to>
    <xdr:cxnSp macro="">
      <xdr:nvCxnSpPr>
        <xdr:cNvPr id="293" name="Connecteur droit avec flèche 292"/>
        <xdr:cNvCxnSpPr/>
      </xdr:nvCxnSpPr>
      <xdr:spPr>
        <a:xfrm>
          <a:off x="13588698" y="1990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168</xdr:row>
      <xdr:rowOff>81643</xdr:rowOff>
    </xdr:from>
    <xdr:to>
      <xdr:col>16</xdr:col>
      <xdr:colOff>61082</xdr:colOff>
      <xdr:row>169</xdr:row>
      <xdr:rowOff>49894</xdr:rowOff>
    </xdr:to>
    <xdr:cxnSp macro="">
      <xdr:nvCxnSpPr>
        <xdr:cNvPr id="294" name="Connecteur droit avec flèche 293"/>
        <xdr:cNvCxnSpPr/>
      </xdr:nvCxnSpPr>
      <xdr:spPr>
        <a:xfrm flipV="1">
          <a:off x="13641614" y="18369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170</xdr:row>
      <xdr:rowOff>102810</xdr:rowOff>
    </xdr:from>
    <xdr:to>
      <xdr:col>16</xdr:col>
      <xdr:colOff>103415</xdr:colOff>
      <xdr:row>171</xdr:row>
      <xdr:rowOff>71061</xdr:rowOff>
    </xdr:to>
    <xdr:cxnSp macro="">
      <xdr:nvCxnSpPr>
        <xdr:cNvPr id="295" name="Connecteur droit avec flèche 294"/>
        <xdr:cNvCxnSpPr/>
      </xdr:nvCxnSpPr>
      <xdr:spPr>
        <a:xfrm flipV="1">
          <a:off x="13694532" y="18771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172</xdr:row>
      <xdr:rowOff>102810</xdr:rowOff>
    </xdr:from>
    <xdr:to>
      <xdr:col>16</xdr:col>
      <xdr:colOff>50498</xdr:colOff>
      <xdr:row>173</xdr:row>
      <xdr:rowOff>71061</xdr:rowOff>
    </xdr:to>
    <xdr:cxnSp macro="">
      <xdr:nvCxnSpPr>
        <xdr:cNvPr id="296" name="Connecteur droit avec flèche 295"/>
        <xdr:cNvCxnSpPr/>
      </xdr:nvCxnSpPr>
      <xdr:spPr>
        <a:xfrm flipV="1">
          <a:off x="13609865" y="19152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174</xdr:row>
      <xdr:rowOff>102810</xdr:rowOff>
    </xdr:from>
    <xdr:to>
      <xdr:col>16</xdr:col>
      <xdr:colOff>124582</xdr:colOff>
      <xdr:row>175</xdr:row>
      <xdr:rowOff>60478</xdr:rowOff>
    </xdr:to>
    <xdr:cxnSp macro="">
      <xdr:nvCxnSpPr>
        <xdr:cNvPr id="297" name="Connecteur droit avec flèche 296"/>
        <xdr:cNvCxnSpPr/>
      </xdr:nvCxnSpPr>
      <xdr:spPr>
        <a:xfrm flipV="1">
          <a:off x="13662781" y="19533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183</xdr:row>
      <xdr:rowOff>99787</xdr:rowOff>
    </xdr:from>
    <xdr:to>
      <xdr:col>12</xdr:col>
      <xdr:colOff>380093</xdr:colOff>
      <xdr:row>190</xdr:row>
      <xdr:rowOff>97671</xdr:rowOff>
    </xdr:to>
    <xdr:cxnSp macro="">
      <xdr:nvCxnSpPr>
        <xdr:cNvPr id="298" name="Connecteur droit avec flèche 297"/>
        <xdr:cNvCxnSpPr/>
      </xdr:nvCxnSpPr>
      <xdr:spPr>
        <a:xfrm flipV="1">
          <a:off x="10473418" y="21245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1131510</xdr:colOff>
      <xdr:row>187</xdr:row>
      <xdr:rowOff>68037</xdr:rowOff>
    </xdr:from>
    <xdr:to>
      <xdr:col>12</xdr:col>
      <xdr:colOff>210760</xdr:colOff>
      <xdr:row>190</xdr:row>
      <xdr:rowOff>97671</xdr:rowOff>
    </xdr:to>
    <xdr:cxnSp macro="">
      <xdr:nvCxnSpPr>
        <xdr:cNvPr id="299" name="Connecteur droit avec flèche 298"/>
        <xdr:cNvCxnSpPr/>
      </xdr:nvCxnSpPr>
      <xdr:spPr>
        <a:xfrm flipV="1">
          <a:off x="10475535" y="21975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1163260</xdr:colOff>
      <xdr:row>188</xdr:row>
      <xdr:rowOff>78620</xdr:rowOff>
    </xdr:from>
    <xdr:to>
      <xdr:col>12</xdr:col>
      <xdr:colOff>348343</xdr:colOff>
      <xdr:row>190</xdr:row>
      <xdr:rowOff>131537</xdr:rowOff>
    </xdr:to>
    <xdr:cxnSp macro="">
      <xdr:nvCxnSpPr>
        <xdr:cNvPr id="300" name="Connecteur droit avec flèche 299"/>
        <xdr:cNvCxnSpPr/>
      </xdr:nvCxnSpPr>
      <xdr:spPr>
        <a:xfrm flipV="1">
          <a:off x="10507285" y="22176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1173843</xdr:colOff>
      <xdr:row>190</xdr:row>
      <xdr:rowOff>89203</xdr:rowOff>
    </xdr:from>
    <xdr:to>
      <xdr:col>12</xdr:col>
      <xdr:colOff>242510</xdr:colOff>
      <xdr:row>190</xdr:row>
      <xdr:rowOff>120953</xdr:rowOff>
    </xdr:to>
    <xdr:cxnSp macro="">
      <xdr:nvCxnSpPr>
        <xdr:cNvPr id="301" name="Connecteur droit avec flèche 300"/>
        <xdr:cNvCxnSpPr/>
      </xdr:nvCxnSpPr>
      <xdr:spPr>
        <a:xfrm flipV="1">
          <a:off x="10517868" y="22568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30843</xdr:colOff>
      <xdr:row>181</xdr:row>
      <xdr:rowOff>46871</xdr:rowOff>
    </xdr:from>
    <xdr:to>
      <xdr:col>14</xdr:col>
      <xdr:colOff>212876</xdr:colOff>
      <xdr:row>183</xdr:row>
      <xdr:rowOff>89203</xdr:rowOff>
    </xdr:to>
    <xdr:cxnSp macro="">
      <xdr:nvCxnSpPr>
        <xdr:cNvPr id="302" name="Connecteur droit avec flèche 301"/>
        <xdr:cNvCxnSpPr/>
      </xdr:nvCxnSpPr>
      <xdr:spPr>
        <a:xfrm flipV="1">
          <a:off x="12203793" y="20811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750509</xdr:colOff>
      <xdr:row>183</xdr:row>
      <xdr:rowOff>87088</xdr:rowOff>
    </xdr:from>
    <xdr:to>
      <xdr:col>14</xdr:col>
      <xdr:colOff>126093</xdr:colOff>
      <xdr:row>183</xdr:row>
      <xdr:rowOff>99787</xdr:rowOff>
    </xdr:to>
    <xdr:cxnSp macro="">
      <xdr:nvCxnSpPr>
        <xdr:cNvPr id="303" name="Connecteur droit avec flèche 302"/>
        <xdr:cNvCxnSpPr/>
      </xdr:nvCxnSpPr>
      <xdr:spPr>
        <a:xfrm>
          <a:off x="12161459" y="21232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634094</xdr:colOff>
      <xdr:row>185</xdr:row>
      <xdr:rowOff>89203</xdr:rowOff>
    </xdr:from>
    <xdr:to>
      <xdr:col>14</xdr:col>
      <xdr:colOff>126094</xdr:colOff>
      <xdr:row>187</xdr:row>
      <xdr:rowOff>89201</xdr:rowOff>
    </xdr:to>
    <xdr:cxnSp macro="">
      <xdr:nvCxnSpPr>
        <xdr:cNvPr id="304" name="Connecteur droit avec flèche 303"/>
        <xdr:cNvCxnSpPr/>
      </xdr:nvCxnSpPr>
      <xdr:spPr>
        <a:xfrm flipV="1">
          <a:off x="12045044" y="21615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190</xdr:row>
      <xdr:rowOff>78619</xdr:rowOff>
    </xdr:from>
    <xdr:to>
      <xdr:col>14</xdr:col>
      <xdr:colOff>115511</xdr:colOff>
      <xdr:row>190</xdr:row>
      <xdr:rowOff>89204</xdr:rowOff>
    </xdr:to>
    <xdr:cxnSp macro="">
      <xdr:nvCxnSpPr>
        <xdr:cNvPr id="305" name="Connecteur droit avec flèche 304"/>
        <xdr:cNvCxnSpPr/>
      </xdr:nvCxnSpPr>
      <xdr:spPr>
        <a:xfrm>
          <a:off x="12172044" y="22557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73178</xdr:colOff>
      <xdr:row>188</xdr:row>
      <xdr:rowOff>68036</xdr:rowOff>
    </xdr:from>
    <xdr:to>
      <xdr:col>14</xdr:col>
      <xdr:colOff>136678</xdr:colOff>
      <xdr:row>188</xdr:row>
      <xdr:rowOff>78621</xdr:rowOff>
    </xdr:to>
    <xdr:cxnSp macro="">
      <xdr:nvCxnSpPr>
        <xdr:cNvPr id="306" name="Connecteur droit avec flèche 305"/>
        <xdr:cNvCxnSpPr/>
      </xdr:nvCxnSpPr>
      <xdr:spPr>
        <a:xfrm>
          <a:off x="12246128" y="22166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687011</xdr:colOff>
      <xdr:row>187</xdr:row>
      <xdr:rowOff>57453</xdr:rowOff>
    </xdr:from>
    <xdr:to>
      <xdr:col>14</xdr:col>
      <xdr:colOff>94344</xdr:colOff>
      <xdr:row>187</xdr:row>
      <xdr:rowOff>78621</xdr:rowOff>
    </xdr:to>
    <xdr:cxnSp macro="">
      <xdr:nvCxnSpPr>
        <xdr:cNvPr id="307" name="Connecteur droit avec flèche 306"/>
        <xdr:cNvCxnSpPr/>
      </xdr:nvCxnSpPr>
      <xdr:spPr>
        <a:xfrm>
          <a:off x="12097961" y="21964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189</xdr:row>
      <xdr:rowOff>120952</xdr:rowOff>
    </xdr:from>
    <xdr:to>
      <xdr:col>14</xdr:col>
      <xdr:colOff>147261</xdr:colOff>
      <xdr:row>190</xdr:row>
      <xdr:rowOff>78619</xdr:rowOff>
    </xdr:to>
    <xdr:cxnSp macro="">
      <xdr:nvCxnSpPr>
        <xdr:cNvPr id="308" name="Connecteur droit avec flèche 307"/>
        <xdr:cNvCxnSpPr/>
      </xdr:nvCxnSpPr>
      <xdr:spPr>
        <a:xfrm flipV="1">
          <a:off x="12172044" y="22409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104927</xdr:colOff>
      <xdr:row>181</xdr:row>
      <xdr:rowOff>46869</xdr:rowOff>
    </xdr:from>
    <xdr:to>
      <xdr:col>16</xdr:col>
      <xdr:colOff>231928</xdr:colOff>
      <xdr:row>181</xdr:row>
      <xdr:rowOff>59569</xdr:rowOff>
    </xdr:to>
    <xdr:cxnSp macro="">
      <xdr:nvCxnSpPr>
        <xdr:cNvPr id="309" name="Connecteur droit avec flèche 308"/>
        <xdr:cNvCxnSpPr/>
      </xdr:nvCxnSpPr>
      <xdr:spPr>
        <a:xfrm>
          <a:off x="13801877" y="20811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73177</xdr:colOff>
      <xdr:row>185</xdr:row>
      <xdr:rowOff>78619</xdr:rowOff>
    </xdr:from>
    <xdr:to>
      <xdr:col>16</xdr:col>
      <xdr:colOff>179011</xdr:colOff>
      <xdr:row>185</xdr:row>
      <xdr:rowOff>80736</xdr:rowOff>
    </xdr:to>
    <xdr:cxnSp macro="">
      <xdr:nvCxnSpPr>
        <xdr:cNvPr id="310" name="Connecteur droit avec flèche 309"/>
        <xdr:cNvCxnSpPr/>
      </xdr:nvCxnSpPr>
      <xdr:spPr>
        <a:xfrm>
          <a:off x="13770127" y="21605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183</xdr:row>
      <xdr:rowOff>78619</xdr:rowOff>
    </xdr:from>
    <xdr:to>
      <xdr:col>16</xdr:col>
      <xdr:colOff>253095</xdr:colOff>
      <xdr:row>183</xdr:row>
      <xdr:rowOff>80736</xdr:rowOff>
    </xdr:to>
    <xdr:cxnSp macro="">
      <xdr:nvCxnSpPr>
        <xdr:cNvPr id="311" name="Connecteur droit avec flèche 310"/>
        <xdr:cNvCxnSpPr/>
      </xdr:nvCxnSpPr>
      <xdr:spPr>
        <a:xfrm>
          <a:off x="13844211" y="21224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187</xdr:row>
      <xdr:rowOff>68036</xdr:rowOff>
    </xdr:from>
    <xdr:to>
      <xdr:col>16</xdr:col>
      <xdr:colOff>242511</xdr:colOff>
      <xdr:row>187</xdr:row>
      <xdr:rowOff>70153</xdr:rowOff>
    </xdr:to>
    <xdr:cxnSp macro="">
      <xdr:nvCxnSpPr>
        <xdr:cNvPr id="312" name="Connecteur droit avec flèche 311"/>
        <xdr:cNvCxnSpPr/>
      </xdr:nvCxnSpPr>
      <xdr:spPr>
        <a:xfrm>
          <a:off x="13833627" y="21975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83760</xdr:colOff>
      <xdr:row>189</xdr:row>
      <xdr:rowOff>68036</xdr:rowOff>
    </xdr:from>
    <xdr:to>
      <xdr:col>16</xdr:col>
      <xdr:colOff>189594</xdr:colOff>
      <xdr:row>189</xdr:row>
      <xdr:rowOff>70153</xdr:rowOff>
    </xdr:to>
    <xdr:cxnSp macro="">
      <xdr:nvCxnSpPr>
        <xdr:cNvPr id="313" name="Connecteur droit avec flèche 312"/>
        <xdr:cNvCxnSpPr/>
      </xdr:nvCxnSpPr>
      <xdr:spPr>
        <a:xfrm>
          <a:off x="13780710" y="22356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73178</xdr:colOff>
      <xdr:row>190</xdr:row>
      <xdr:rowOff>78619</xdr:rowOff>
    </xdr:from>
    <xdr:to>
      <xdr:col>16</xdr:col>
      <xdr:colOff>179012</xdr:colOff>
      <xdr:row>190</xdr:row>
      <xdr:rowOff>80736</xdr:rowOff>
    </xdr:to>
    <xdr:cxnSp macro="">
      <xdr:nvCxnSpPr>
        <xdr:cNvPr id="314" name="Connecteur droit avec flèche 313"/>
        <xdr:cNvCxnSpPr/>
      </xdr:nvCxnSpPr>
      <xdr:spPr>
        <a:xfrm>
          <a:off x="13770128" y="22557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41427</xdr:colOff>
      <xdr:row>188</xdr:row>
      <xdr:rowOff>78620</xdr:rowOff>
    </xdr:from>
    <xdr:to>
      <xdr:col>16</xdr:col>
      <xdr:colOff>147261</xdr:colOff>
      <xdr:row>188</xdr:row>
      <xdr:rowOff>80737</xdr:rowOff>
    </xdr:to>
    <xdr:cxnSp macro="">
      <xdr:nvCxnSpPr>
        <xdr:cNvPr id="315" name="Connecteur droit avec flèche 314"/>
        <xdr:cNvCxnSpPr/>
      </xdr:nvCxnSpPr>
      <xdr:spPr>
        <a:xfrm>
          <a:off x="13738377" y="22176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94343</xdr:colOff>
      <xdr:row>180</xdr:row>
      <xdr:rowOff>68036</xdr:rowOff>
    </xdr:from>
    <xdr:to>
      <xdr:col>16</xdr:col>
      <xdr:colOff>210761</xdr:colOff>
      <xdr:row>181</xdr:row>
      <xdr:rowOff>36287</xdr:rowOff>
    </xdr:to>
    <xdr:cxnSp macro="">
      <xdr:nvCxnSpPr>
        <xdr:cNvPr id="316" name="Connecteur droit avec flèche 315"/>
        <xdr:cNvCxnSpPr/>
      </xdr:nvCxnSpPr>
      <xdr:spPr>
        <a:xfrm flipV="1">
          <a:off x="13791293" y="20642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182</xdr:row>
      <xdr:rowOff>89203</xdr:rowOff>
    </xdr:from>
    <xdr:to>
      <xdr:col>16</xdr:col>
      <xdr:colOff>253094</xdr:colOff>
      <xdr:row>183</xdr:row>
      <xdr:rowOff>57454</xdr:rowOff>
    </xdr:to>
    <xdr:cxnSp macro="">
      <xdr:nvCxnSpPr>
        <xdr:cNvPr id="317" name="Connecteur droit avec flèche 316"/>
        <xdr:cNvCxnSpPr/>
      </xdr:nvCxnSpPr>
      <xdr:spPr>
        <a:xfrm flipV="1">
          <a:off x="13844211" y="21044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62594</xdr:colOff>
      <xdr:row>184</xdr:row>
      <xdr:rowOff>89203</xdr:rowOff>
    </xdr:from>
    <xdr:to>
      <xdr:col>16</xdr:col>
      <xdr:colOff>200177</xdr:colOff>
      <xdr:row>185</xdr:row>
      <xdr:rowOff>57454</xdr:rowOff>
    </xdr:to>
    <xdr:cxnSp macro="">
      <xdr:nvCxnSpPr>
        <xdr:cNvPr id="318" name="Connecteur droit avec flèche 317"/>
        <xdr:cNvCxnSpPr/>
      </xdr:nvCxnSpPr>
      <xdr:spPr>
        <a:xfrm flipV="1">
          <a:off x="13759544" y="21425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115510</xdr:colOff>
      <xdr:row>186</xdr:row>
      <xdr:rowOff>89203</xdr:rowOff>
    </xdr:from>
    <xdr:to>
      <xdr:col>16</xdr:col>
      <xdr:colOff>274261</xdr:colOff>
      <xdr:row>187</xdr:row>
      <xdr:rowOff>46871</xdr:rowOff>
    </xdr:to>
    <xdr:cxnSp macro="">
      <xdr:nvCxnSpPr>
        <xdr:cNvPr id="319" name="Connecteur droit avec flèche 318"/>
        <xdr:cNvCxnSpPr/>
      </xdr:nvCxnSpPr>
      <xdr:spPr>
        <a:xfrm flipV="1">
          <a:off x="13812460" y="21806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966107</xdr:colOff>
      <xdr:row>195</xdr:row>
      <xdr:rowOff>113394</xdr:rowOff>
    </xdr:from>
    <xdr:to>
      <xdr:col>12</xdr:col>
      <xdr:colOff>216807</xdr:colOff>
      <xdr:row>202</xdr:row>
      <xdr:rowOff>111278</xdr:rowOff>
    </xdr:to>
    <xdr:cxnSp macro="">
      <xdr:nvCxnSpPr>
        <xdr:cNvPr id="320" name="Connecteur droit avec flèche 319"/>
        <xdr:cNvCxnSpPr/>
      </xdr:nvCxnSpPr>
      <xdr:spPr>
        <a:xfrm flipV="1">
          <a:off x="10310132" y="23544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968224</xdr:colOff>
      <xdr:row>199</xdr:row>
      <xdr:rowOff>81644</xdr:rowOff>
    </xdr:from>
    <xdr:to>
      <xdr:col>12</xdr:col>
      <xdr:colOff>47474</xdr:colOff>
      <xdr:row>202</xdr:row>
      <xdr:rowOff>111278</xdr:rowOff>
    </xdr:to>
    <xdr:cxnSp macro="">
      <xdr:nvCxnSpPr>
        <xdr:cNvPr id="321" name="Connecteur droit avec flèche 320"/>
        <xdr:cNvCxnSpPr/>
      </xdr:nvCxnSpPr>
      <xdr:spPr>
        <a:xfrm flipV="1">
          <a:off x="10312249" y="24275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999974</xdr:colOff>
      <xdr:row>200</xdr:row>
      <xdr:rowOff>92227</xdr:rowOff>
    </xdr:from>
    <xdr:to>
      <xdr:col>12</xdr:col>
      <xdr:colOff>185057</xdr:colOff>
      <xdr:row>202</xdr:row>
      <xdr:rowOff>145144</xdr:rowOff>
    </xdr:to>
    <xdr:cxnSp macro="">
      <xdr:nvCxnSpPr>
        <xdr:cNvPr id="322" name="Connecteur droit avec flèche 321"/>
        <xdr:cNvCxnSpPr/>
      </xdr:nvCxnSpPr>
      <xdr:spPr>
        <a:xfrm flipV="1">
          <a:off x="10343999" y="24476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1010557</xdr:colOff>
      <xdr:row>202</xdr:row>
      <xdr:rowOff>102810</xdr:rowOff>
    </xdr:from>
    <xdr:to>
      <xdr:col>12</xdr:col>
      <xdr:colOff>79224</xdr:colOff>
      <xdr:row>202</xdr:row>
      <xdr:rowOff>134560</xdr:rowOff>
    </xdr:to>
    <xdr:cxnSp macro="">
      <xdr:nvCxnSpPr>
        <xdr:cNvPr id="323" name="Connecteur droit avec flèche 322"/>
        <xdr:cNvCxnSpPr/>
      </xdr:nvCxnSpPr>
      <xdr:spPr>
        <a:xfrm flipV="1">
          <a:off x="10354582" y="24867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193</xdr:row>
      <xdr:rowOff>60478</xdr:rowOff>
    </xdr:from>
    <xdr:to>
      <xdr:col>14</xdr:col>
      <xdr:colOff>49590</xdr:colOff>
      <xdr:row>195</xdr:row>
      <xdr:rowOff>102810</xdr:rowOff>
    </xdr:to>
    <xdr:cxnSp macro="">
      <xdr:nvCxnSpPr>
        <xdr:cNvPr id="324" name="Connecteur droit avec flèche 323"/>
        <xdr:cNvCxnSpPr/>
      </xdr:nvCxnSpPr>
      <xdr:spPr>
        <a:xfrm flipV="1">
          <a:off x="12040507" y="23110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195</xdr:row>
      <xdr:rowOff>100695</xdr:rowOff>
    </xdr:from>
    <xdr:to>
      <xdr:col>13</xdr:col>
      <xdr:colOff>724807</xdr:colOff>
      <xdr:row>195</xdr:row>
      <xdr:rowOff>113394</xdr:rowOff>
    </xdr:to>
    <xdr:cxnSp macro="">
      <xdr:nvCxnSpPr>
        <xdr:cNvPr id="325" name="Connecteur droit avec flèche 324"/>
        <xdr:cNvCxnSpPr/>
      </xdr:nvCxnSpPr>
      <xdr:spPr>
        <a:xfrm>
          <a:off x="11998173" y="23532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197</xdr:row>
      <xdr:rowOff>102810</xdr:rowOff>
    </xdr:from>
    <xdr:to>
      <xdr:col>13</xdr:col>
      <xdr:colOff>724808</xdr:colOff>
      <xdr:row>199</xdr:row>
      <xdr:rowOff>102808</xdr:rowOff>
    </xdr:to>
    <xdr:cxnSp macro="">
      <xdr:nvCxnSpPr>
        <xdr:cNvPr id="326" name="Connecteur droit avec flèche 325"/>
        <xdr:cNvCxnSpPr/>
      </xdr:nvCxnSpPr>
      <xdr:spPr>
        <a:xfrm flipV="1">
          <a:off x="11881758" y="23915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202</xdr:row>
      <xdr:rowOff>92226</xdr:rowOff>
    </xdr:from>
    <xdr:to>
      <xdr:col>13</xdr:col>
      <xdr:colOff>714225</xdr:colOff>
      <xdr:row>202</xdr:row>
      <xdr:rowOff>102811</xdr:rowOff>
    </xdr:to>
    <xdr:cxnSp macro="">
      <xdr:nvCxnSpPr>
        <xdr:cNvPr id="327" name="Connecteur droit avec flèche 326"/>
        <xdr:cNvCxnSpPr/>
      </xdr:nvCxnSpPr>
      <xdr:spPr>
        <a:xfrm>
          <a:off x="12008758" y="24857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200</xdr:row>
      <xdr:rowOff>81643</xdr:rowOff>
    </xdr:from>
    <xdr:to>
      <xdr:col>13</xdr:col>
      <xdr:colOff>735392</xdr:colOff>
      <xdr:row>200</xdr:row>
      <xdr:rowOff>92228</xdr:rowOff>
    </xdr:to>
    <xdr:cxnSp macro="">
      <xdr:nvCxnSpPr>
        <xdr:cNvPr id="328" name="Connecteur droit avec flèche 327"/>
        <xdr:cNvCxnSpPr/>
      </xdr:nvCxnSpPr>
      <xdr:spPr>
        <a:xfrm>
          <a:off x="12082842" y="24465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199</xdr:row>
      <xdr:rowOff>71060</xdr:rowOff>
    </xdr:from>
    <xdr:to>
      <xdr:col>13</xdr:col>
      <xdr:colOff>693058</xdr:colOff>
      <xdr:row>199</xdr:row>
      <xdr:rowOff>92228</xdr:rowOff>
    </xdr:to>
    <xdr:cxnSp macro="">
      <xdr:nvCxnSpPr>
        <xdr:cNvPr id="329" name="Connecteur droit avec flèche 328"/>
        <xdr:cNvCxnSpPr/>
      </xdr:nvCxnSpPr>
      <xdr:spPr>
        <a:xfrm>
          <a:off x="11934675" y="24264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201</xdr:row>
      <xdr:rowOff>134559</xdr:rowOff>
    </xdr:from>
    <xdr:to>
      <xdr:col>13</xdr:col>
      <xdr:colOff>745975</xdr:colOff>
      <xdr:row>202</xdr:row>
      <xdr:rowOff>92226</xdr:rowOff>
    </xdr:to>
    <xdr:cxnSp macro="">
      <xdr:nvCxnSpPr>
        <xdr:cNvPr id="330" name="Connecteur droit avec flèche 329"/>
        <xdr:cNvCxnSpPr/>
      </xdr:nvCxnSpPr>
      <xdr:spPr>
        <a:xfrm flipV="1">
          <a:off x="12008758" y="24709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703641</xdr:colOff>
      <xdr:row>193</xdr:row>
      <xdr:rowOff>60476</xdr:rowOff>
    </xdr:from>
    <xdr:to>
      <xdr:col>16</xdr:col>
      <xdr:colOff>68642</xdr:colOff>
      <xdr:row>193</xdr:row>
      <xdr:rowOff>73176</xdr:rowOff>
    </xdr:to>
    <xdr:cxnSp macro="">
      <xdr:nvCxnSpPr>
        <xdr:cNvPr id="331" name="Connecteur droit avec flèche 330"/>
        <xdr:cNvCxnSpPr/>
      </xdr:nvCxnSpPr>
      <xdr:spPr>
        <a:xfrm>
          <a:off x="13638591" y="23110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671891</xdr:colOff>
      <xdr:row>197</xdr:row>
      <xdr:rowOff>92226</xdr:rowOff>
    </xdr:from>
    <xdr:to>
      <xdr:col>16</xdr:col>
      <xdr:colOff>15725</xdr:colOff>
      <xdr:row>197</xdr:row>
      <xdr:rowOff>94343</xdr:rowOff>
    </xdr:to>
    <xdr:cxnSp macro="">
      <xdr:nvCxnSpPr>
        <xdr:cNvPr id="332" name="Connecteur droit avec flèche 331"/>
        <xdr:cNvCxnSpPr/>
      </xdr:nvCxnSpPr>
      <xdr:spPr>
        <a:xfrm>
          <a:off x="13606841" y="23904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195</xdr:row>
      <xdr:rowOff>92226</xdr:rowOff>
    </xdr:from>
    <xdr:to>
      <xdr:col>16</xdr:col>
      <xdr:colOff>89809</xdr:colOff>
      <xdr:row>195</xdr:row>
      <xdr:rowOff>94343</xdr:rowOff>
    </xdr:to>
    <xdr:cxnSp macro="">
      <xdr:nvCxnSpPr>
        <xdr:cNvPr id="333" name="Connecteur droit avec flèche 332"/>
        <xdr:cNvCxnSpPr/>
      </xdr:nvCxnSpPr>
      <xdr:spPr>
        <a:xfrm>
          <a:off x="13680925" y="23523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735391</xdr:colOff>
      <xdr:row>199</xdr:row>
      <xdr:rowOff>81643</xdr:rowOff>
    </xdr:from>
    <xdr:to>
      <xdr:col>16</xdr:col>
      <xdr:colOff>79225</xdr:colOff>
      <xdr:row>199</xdr:row>
      <xdr:rowOff>83760</xdr:rowOff>
    </xdr:to>
    <xdr:cxnSp macro="">
      <xdr:nvCxnSpPr>
        <xdr:cNvPr id="334" name="Connecteur droit avec flèche 333"/>
        <xdr:cNvCxnSpPr/>
      </xdr:nvCxnSpPr>
      <xdr:spPr>
        <a:xfrm>
          <a:off x="13670341" y="24275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682474</xdr:colOff>
      <xdr:row>201</xdr:row>
      <xdr:rowOff>81643</xdr:rowOff>
    </xdr:from>
    <xdr:to>
      <xdr:col>16</xdr:col>
      <xdr:colOff>26308</xdr:colOff>
      <xdr:row>201</xdr:row>
      <xdr:rowOff>83760</xdr:rowOff>
    </xdr:to>
    <xdr:cxnSp macro="">
      <xdr:nvCxnSpPr>
        <xdr:cNvPr id="335" name="Connecteur droit avec flèche 334"/>
        <xdr:cNvCxnSpPr/>
      </xdr:nvCxnSpPr>
      <xdr:spPr>
        <a:xfrm>
          <a:off x="13617424" y="24656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671892</xdr:colOff>
      <xdr:row>202</xdr:row>
      <xdr:rowOff>92226</xdr:rowOff>
    </xdr:from>
    <xdr:to>
      <xdr:col>16</xdr:col>
      <xdr:colOff>15726</xdr:colOff>
      <xdr:row>202</xdr:row>
      <xdr:rowOff>94343</xdr:rowOff>
    </xdr:to>
    <xdr:cxnSp macro="">
      <xdr:nvCxnSpPr>
        <xdr:cNvPr id="336" name="Connecteur droit avec flèche 335"/>
        <xdr:cNvCxnSpPr/>
      </xdr:nvCxnSpPr>
      <xdr:spPr>
        <a:xfrm>
          <a:off x="13606842" y="24857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640141</xdr:colOff>
      <xdr:row>200</xdr:row>
      <xdr:rowOff>92227</xdr:rowOff>
    </xdr:from>
    <xdr:to>
      <xdr:col>15</xdr:col>
      <xdr:colOff>745975</xdr:colOff>
      <xdr:row>200</xdr:row>
      <xdr:rowOff>94344</xdr:rowOff>
    </xdr:to>
    <xdr:cxnSp macro="">
      <xdr:nvCxnSpPr>
        <xdr:cNvPr id="337" name="Connecteur droit avec flèche 336"/>
        <xdr:cNvCxnSpPr/>
      </xdr:nvCxnSpPr>
      <xdr:spPr>
        <a:xfrm>
          <a:off x="13575091" y="24476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693057</xdr:colOff>
      <xdr:row>192</xdr:row>
      <xdr:rowOff>81643</xdr:rowOff>
    </xdr:from>
    <xdr:to>
      <xdr:col>16</xdr:col>
      <xdr:colOff>47475</xdr:colOff>
      <xdr:row>193</xdr:row>
      <xdr:rowOff>49894</xdr:rowOff>
    </xdr:to>
    <xdr:cxnSp macro="">
      <xdr:nvCxnSpPr>
        <xdr:cNvPr id="338" name="Connecteur droit avec flèche 337"/>
        <xdr:cNvCxnSpPr/>
      </xdr:nvCxnSpPr>
      <xdr:spPr>
        <a:xfrm flipV="1">
          <a:off x="13628007" y="22941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194</xdr:row>
      <xdr:rowOff>102810</xdr:rowOff>
    </xdr:from>
    <xdr:to>
      <xdr:col>16</xdr:col>
      <xdr:colOff>89808</xdr:colOff>
      <xdr:row>195</xdr:row>
      <xdr:rowOff>71061</xdr:rowOff>
    </xdr:to>
    <xdr:cxnSp macro="">
      <xdr:nvCxnSpPr>
        <xdr:cNvPr id="339" name="Connecteur droit avec flèche 338"/>
        <xdr:cNvCxnSpPr/>
      </xdr:nvCxnSpPr>
      <xdr:spPr>
        <a:xfrm flipV="1">
          <a:off x="13680925" y="23343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661308</xdr:colOff>
      <xdr:row>196</xdr:row>
      <xdr:rowOff>102810</xdr:rowOff>
    </xdr:from>
    <xdr:to>
      <xdr:col>16</xdr:col>
      <xdr:colOff>36891</xdr:colOff>
      <xdr:row>197</xdr:row>
      <xdr:rowOff>71061</xdr:rowOff>
    </xdr:to>
    <xdr:cxnSp macro="">
      <xdr:nvCxnSpPr>
        <xdr:cNvPr id="340" name="Connecteur droit avec flèche 339"/>
        <xdr:cNvCxnSpPr/>
      </xdr:nvCxnSpPr>
      <xdr:spPr>
        <a:xfrm flipV="1">
          <a:off x="13596258" y="23724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714224</xdr:colOff>
      <xdr:row>198</xdr:row>
      <xdr:rowOff>102810</xdr:rowOff>
    </xdr:from>
    <xdr:to>
      <xdr:col>16</xdr:col>
      <xdr:colOff>110975</xdr:colOff>
      <xdr:row>199</xdr:row>
      <xdr:rowOff>60478</xdr:rowOff>
    </xdr:to>
    <xdr:cxnSp macro="">
      <xdr:nvCxnSpPr>
        <xdr:cNvPr id="341" name="Connecteur droit avec flèche 340"/>
        <xdr:cNvCxnSpPr/>
      </xdr:nvCxnSpPr>
      <xdr:spPr>
        <a:xfrm flipV="1">
          <a:off x="13649174" y="24105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219</xdr:row>
      <xdr:rowOff>127001</xdr:rowOff>
    </xdr:from>
    <xdr:to>
      <xdr:col>12</xdr:col>
      <xdr:colOff>244021</xdr:colOff>
      <xdr:row>226</xdr:row>
      <xdr:rowOff>124885</xdr:rowOff>
    </xdr:to>
    <xdr:cxnSp macro="">
      <xdr:nvCxnSpPr>
        <xdr:cNvPr id="342" name="Connecteur droit avec flèche 341"/>
        <xdr:cNvCxnSpPr/>
      </xdr:nvCxnSpPr>
      <xdr:spPr>
        <a:xfrm flipV="1">
          <a:off x="10337346" y="25844501"/>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223</xdr:row>
      <xdr:rowOff>95251</xdr:rowOff>
    </xdr:from>
    <xdr:to>
      <xdr:col>12</xdr:col>
      <xdr:colOff>74688</xdr:colOff>
      <xdr:row>226</xdr:row>
      <xdr:rowOff>124885</xdr:rowOff>
    </xdr:to>
    <xdr:cxnSp macro="">
      <xdr:nvCxnSpPr>
        <xdr:cNvPr id="343" name="Connecteur droit avec flèche 342"/>
        <xdr:cNvCxnSpPr/>
      </xdr:nvCxnSpPr>
      <xdr:spPr>
        <a:xfrm flipV="1">
          <a:off x="10339463" y="26574751"/>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224</xdr:row>
      <xdr:rowOff>105834</xdr:rowOff>
    </xdr:from>
    <xdr:to>
      <xdr:col>12</xdr:col>
      <xdr:colOff>212271</xdr:colOff>
      <xdr:row>226</xdr:row>
      <xdr:rowOff>158751</xdr:rowOff>
    </xdr:to>
    <xdr:cxnSp macro="">
      <xdr:nvCxnSpPr>
        <xdr:cNvPr id="344" name="Connecteur droit avec flèche 343"/>
        <xdr:cNvCxnSpPr/>
      </xdr:nvCxnSpPr>
      <xdr:spPr>
        <a:xfrm flipV="1">
          <a:off x="10371213" y="26775834"/>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226</xdr:row>
      <xdr:rowOff>116417</xdr:rowOff>
    </xdr:from>
    <xdr:to>
      <xdr:col>12</xdr:col>
      <xdr:colOff>106438</xdr:colOff>
      <xdr:row>226</xdr:row>
      <xdr:rowOff>148167</xdr:rowOff>
    </xdr:to>
    <xdr:cxnSp macro="">
      <xdr:nvCxnSpPr>
        <xdr:cNvPr id="345" name="Connecteur droit avec flèche 344"/>
        <xdr:cNvCxnSpPr/>
      </xdr:nvCxnSpPr>
      <xdr:spPr>
        <a:xfrm flipV="1">
          <a:off x="10381796" y="27167417"/>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217</xdr:row>
      <xdr:rowOff>74085</xdr:rowOff>
    </xdr:from>
    <xdr:to>
      <xdr:col>14</xdr:col>
      <xdr:colOff>76804</xdr:colOff>
      <xdr:row>219</xdr:row>
      <xdr:rowOff>116417</xdr:rowOff>
    </xdr:to>
    <xdr:cxnSp macro="">
      <xdr:nvCxnSpPr>
        <xdr:cNvPr id="346" name="Connecteur droit avec flèche 345"/>
        <xdr:cNvCxnSpPr/>
      </xdr:nvCxnSpPr>
      <xdr:spPr>
        <a:xfrm flipV="1">
          <a:off x="12067721" y="25410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219</xdr:row>
      <xdr:rowOff>114302</xdr:rowOff>
    </xdr:from>
    <xdr:to>
      <xdr:col>13</xdr:col>
      <xdr:colOff>752021</xdr:colOff>
      <xdr:row>219</xdr:row>
      <xdr:rowOff>127001</xdr:rowOff>
    </xdr:to>
    <xdr:cxnSp macro="">
      <xdr:nvCxnSpPr>
        <xdr:cNvPr id="347" name="Connecteur droit avec flèche 346"/>
        <xdr:cNvCxnSpPr/>
      </xdr:nvCxnSpPr>
      <xdr:spPr>
        <a:xfrm>
          <a:off x="12025387" y="25831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221</xdr:row>
      <xdr:rowOff>116417</xdr:rowOff>
    </xdr:from>
    <xdr:to>
      <xdr:col>13</xdr:col>
      <xdr:colOff>752022</xdr:colOff>
      <xdr:row>223</xdr:row>
      <xdr:rowOff>116415</xdr:rowOff>
    </xdr:to>
    <xdr:cxnSp macro="">
      <xdr:nvCxnSpPr>
        <xdr:cNvPr id="348" name="Connecteur droit avec flèche 347"/>
        <xdr:cNvCxnSpPr/>
      </xdr:nvCxnSpPr>
      <xdr:spPr>
        <a:xfrm flipV="1">
          <a:off x="11908972" y="26214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226</xdr:row>
      <xdr:rowOff>105833</xdr:rowOff>
    </xdr:from>
    <xdr:to>
      <xdr:col>13</xdr:col>
      <xdr:colOff>741439</xdr:colOff>
      <xdr:row>226</xdr:row>
      <xdr:rowOff>116418</xdr:rowOff>
    </xdr:to>
    <xdr:cxnSp macro="">
      <xdr:nvCxnSpPr>
        <xdr:cNvPr id="349" name="Connecteur droit avec flèche 348"/>
        <xdr:cNvCxnSpPr/>
      </xdr:nvCxnSpPr>
      <xdr:spPr>
        <a:xfrm>
          <a:off x="12035972" y="27156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224</xdr:row>
      <xdr:rowOff>95250</xdr:rowOff>
    </xdr:from>
    <xdr:to>
      <xdr:col>14</xdr:col>
      <xdr:colOff>606</xdr:colOff>
      <xdr:row>224</xdr:row>
      <xdr:rowOff>105835</xdr:rowOff>
    </xdr:to>
    <xdr:cxnSp macro="">
      <xdr:nvCxnSpPr>
        <xdr:cNvPr id="350" name="Connecteur droit avec flèche 349"/>
        <xdr:cNvCxnSpPr/>
      </xdr:nvCxnSpPr>
      <xdr:spPr>
        <a:xfrm>
          <a:off x="12110056" y="26765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223</xdr:row>
      <xdr:rowOff>84667</xdr:rowOff>
    </xdr:from>
    <xdr:to>
      <xdr:col>13</xdr:col>
      <xdr:colOff>720272</xdr:colOff>
      <xdr:row>223</xdr:row>
      <xdr:rowOff>105835</xdr:rowOff>
    </xdr:to>
    <xdr:cxnSp macro="">
      <xdr:nvCxnSpPr>
        <xdr:cNvPr id="351" name="Connecteur droit avec flèche 350"/>
        <xdr:cNvCxnSpPr/>
      </xdr:nvCxnSpPr>
      <xdr:spPr>
        <a:xfrm>
          <a:off x="11961889" y="26564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225</xdr:row>
      <xdr:rowOff>148166</xdr:rowOff>
    </xdr:from>
    <xdr:to>
      <xdr:col>14</xdr:col>
      <xdr:colOff>11189</xdr:colOff>
      <xdr:row>226</xdr:row>
      <xdr:rowOff>105833</xdr:rowOff>
    </xdr:to>
    <xdr:cxnSp macro="">
      <xdr:nvCxnSpPr>
        <xdr:cNvPr id="352" name="Connecteur droit avec flèche 351"/>
        <xdr:cNvCxnSpPr/>
      </xdr:nvCxnSpPr>
      <xdr:spPr>
        <a:xfrm flipV="1">
          <a:off x="12035972" y="27008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217</xdr:row>
      <xdr:rowOff>74083</xdr:rowOff>
    </xdr:from>
    <xdr:to>
      <xdr:col>16</xdr:col>
      <xdr:colOff>95856</xdr:colOff>
      <xdr:row>217</xdr:row>
      <xdr:rowOff>86783</xdr:rowOff>
    </xdr:to>
    <xdr:cxnSp macro="">
      <xdr:nvCxnSpPr>
        <xdr:cNvPr id="353" name="Connecteur droit avec flèche 352"/>
        <xdr:cNvCxnSpPr/>
      </xdr:nvCxnSpPr>
      <xdr:spPr>
        <a:xfrm>
          <a:off x="13665805" y="25410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221</xdr:row>
      <xdr:rowOff>105833</xdr:rowOff>
    </xdr:from>
    <xdr:to>
      <xdr:col>16</xdr:col>
      <xdr:colOff>42939</xdr:colOff>
      <xdr:row>221</xdr:row>
      <xdr:rowOff>107950</xdr:rowOff>
    </xdr:to>
    <xdr:cxnSp macro="">
      <xdr:nvCxnSpPr>
        <xdr:cNvPr id="354" name="Connecteur droit avec flèche 353"/>
        <xdr:cNvCxnSpPr/>
      </xdr:nvCxnSpPr>
      <xdr:spPr>
        <a:xfrm>
          <a:off x="13634055" y="26204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219</xdr:row>
      <xdr:rowOff>105833</xdr:rowOff>
    </xdr:from>
    <xdr:to>
      <xdr:col>16</xdr:col>
      <xdr:colOff>117023</xdr:colOff>
      <xdr:row>219</xdr:row>
      <xdr:rowOff>107950</xdr:rowOff>
    </xdr:to>
    <xdr:cxnSp macro="">
      <xdr:nvCxnSpPr>
        <xdr:cNvPr id="355" name="Connecteur droit avec flèche 354"/>
        <xdr:cNvCxnSpPr/>
      </xdr:nvCxnSpPr>
      <xdr:spPr>
        <a:xfrm>
          <a:off x="13708139" y="25823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223</xdr:row>
      <xdr:rowOff>95250</xdr:rowOff>
    </xdr:from>
    <xdr:to>
      <xdr:col>16</xdr:col>
      <xdr:colOff>106439</xdr:colOff>
      <xdr:row>223</xdr:row>
      <xdr:rowOff>97367</xdr:rowOff>
    </xdr:to>
    <xdr:cxnSp macro="">
      <xdr:nvCxnSpPr>
        <xdr:cNvPr id="356" name="Connecteur droit avec flèche 355"/>
        <xdr:cNvCxnSpPr/>
      </xdr:nvCxnSpPr>
      <xdr:spPr>
        <a:xfrm>
          <a:off x="13697555" y="26574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225</xdr:row>
      <xdr:rowOff>95250</xdr:rowOff>
    </xdr:from>
    <xdr:to>
      <xdr:col>16</xdr:col>
      <xdr:colOff>53522</xdr:colOff>
      <xdr:row>225</xdr:row>
      <xdr:rowOff>97367</xdr:rowOff>
    </xdr:to>
    <xdr:cxnSp macro="">
      <xdr:nvCxnSpPr>
        <xdr:cNvPr id="357" name="Connecteur droit avec flèche 356"/>
        <xdr:cNvCxnSpPr/>
      </xdr:nvCxnSpPr>
      <xdr:spPr>
        <a:xfrm>
          <a:off x="13644638" y="26955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226</xdr:row>
      <xdr:rowOff>105833</xdr:rowOff>
    </xdr:from>
    <xdr:to>
      <xdr:col>16</xdr:col>
      <xdr:colOff>42940</xdr:colOff>
      <xdr:row>226</xdr:row>
      <xdr:rowOff>107950</xdr:rowOff>
    </xdr:to>
    <xdr:cxnSp macro="">
      <xdr:nvCxnSpPr>
        <xdr:cNvPr id="358" name="Connecteur droit avec flèche 357"/>
        <xdr:cNvCxnSpPr/>
      </xdr:nvCxnSpPr>
      <xdr:spPr>
        <a:xfrm>
          <a:off x="13634056" y="27156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224</xdr:row>
      <xdr:rowOff>105834</xdr:rowOff>
    </xdr:from>
    <xdr:to>
      <xdr:col>16</xdr:col>
      <xdr:colOff>11189</xdr:colOff>
      <xdr:row>224</xdr:row>
      <xdr:rowOff>107951</xdr:rowOff>
    </xdr:to>
    <xdr:cxnSp macro="">
      <xdr:nvCxnSpPr>
        <xdr:cNvPr id="359" name="Connecteur droit avec flèche 358"/>
        <xdr:cNvCxnSpPr/>
      </xdr:nvCxnSpPr>
      <xdr:spPr>
        <a:xfrm>
          <a:off x="13602305" y="26775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216</xdr:row>
      <xdr:rowOff>95250</xdr:rowOff>
    </xdr:from>
    <xdr:to>
      <xdr:col>16</xdr:col>
      <xdr:colOff>74689</xdr:colOff>
      <xdr:row>217</xdr:row>
      <xdr:rowOff>63501</xdr:rowOff>
    </xdr:to>
    <xdr:cxnSp macro="">
      <xdr:nvCxnSpPr>
        <xdr:cNvPr id="360" name="Connecteur droit avec flèche 359"/>
        <xdr:cNvCxnSpPr/>
      </xdr:nvCxnSpPr>
      <xdr:spPr>
        <a:xfrm flipV="1">
          <a:off x="13655221" y="25241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218</xdr:row>
      <xdr:rowOff>116417</xdr:rowOff>
    </xdr:from>
    <xdr:to>
      <xdr:col>16</xdr:col>
      <xdr:colOff>117022</xdr:colOff>
      <xdr:row>219</xdr:row>
      <xdr:rowOff>84668</xdr:rowOff>
    </xdr:to>
    <xdr:cxnSp macro="">
      <xdr:nvCxnSpPr>
        <xdr:cNvPr id="361" name="Connecteur droit avec flèche 360"/>
        <xdr:cNvCxnSpPr/>
      </xdr:nvCxnSpPr>
      <xdr:spPr>
        <a:xfrm flipV="1">
          <a:off x="13708139" y="25643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220</xdr:row>
      <xdr:rowOff>116417</xdr:rowOff>
    </xdr:from>
    <xdr:to>
      <xdr:col>16</xdr:col>
      <xdr:colOff>64105</xdr:colOff>
      <xdr:row>221</xdr:row>
      <xdr:rowOff>84668</xdr:rowOff>
    </xdr:to>
    <xdr:cxnSp macro="">
      <xdr:nvCxnSpPr>
        <xdr:cNvPr id="362" name="Connecteur droit avec flèche 361"/>
        <xdr:cNvCxnSpPr/>
      </xdr:nvCxnSpPr>
      <xdr:spPr>
        <a:xfrm flipV="1">
          <a:off x="13623472" y="26024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222</xdr:row>
      <xdr:rowOff>116417</xdr:rowOff>
    </xdr:from>
    <xdr:to>
      <xdr:col>16</xdr:col>
      <xdr:colOff>138189</xdr:colOff>
      <xdr:row>223</xdr:row>
      <xdr:rowOff>74085</xdr:rowOff>
    </xdr:to>
    <xdr:cxnSp macro="">
      <xdr:nvCxnSpPr>
        <xdr:cNvPr id="363" name="Connecteur droit avec flèche 362"/>
        <xdr:cNvCxnSpPr/>
      </xdr:nvCxnSpPr>
      <xdr:spPr>
        <a:xfrm flipV="1">
          <a:off x="13676388" y="26405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243</xdr:row>
      <xdr:rowOff>99787</xdr:rowOff>
    </xdr:from>
    <xdr:to>
      <xdr:col>12</xdr:col>
      <xdr:colOff>203200</xdr:colOff>
      <xdr:row>250</xdr:row>
      <xdr:rowOff>97671</xdr:rowOff>
    </xdr:to>
    <xdr:cxnSp macro="">
      <xdr:nvCxnSpPr>
        <xdr:cNvPr id="364" name="Connecteur droit avec flèche 363"/>
        <xdr:cNvCxnSpPr/>
      </xdr:nvCxnSpPr>
      <xdr:spPr>
        <a:xfrm flipV="1">
          <a:off x="10296525" y="28103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954617</xdr:colOff>
      <xdr:row>247</xdr:row>
      <xdr:rowOff>68037</xdr:rowOff>
    </xdr:from>
    <xdr:to>
      <xdr:col>12</xdr:col>
      <xdr:colOff>33867</xdr:colOff>
      <xdr:row>250</xdr:row>
      <xdr:rowOff>97671</xdr:rowOff>
    </xdr:to>
    <xdr:cxnSp macro="">
      <xdr:nvCxnSpPr>
        <xdr:cNvPr id="365" name="Connecteur droit avec flèche 364"/>
        <xdr:cNvCxnSpPr/>
      </xdr:nvCxnSpPr>
      <xdr:spPr>
        <a:xfrm flipV="1">
          <a:off x="10298642" y="28833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986367</xdr:colOff>
      <xdr:row>248</xdr:row>
      <xdr:rowOff>78620</xdr:rowOff>
    </xdr:from>
    <xdr:to>
      <xdr:col>12</xdr:col>
      <xdr:colOff>171450</xdr:colOff>
      <xdr:row>250</xdr:row>
      <xdr:rowOff>131537</xdr:rowOff>
    </xdr:to>
    <xdr:cxnSp macro="">
      <xdr:nvCxnSpPr>
        <xdr:cNvPr id="366" name="Connecteur droit avec flèche 365"/>
        <xdr:cNvCxnSpPr/>
      </xdr:nvCxnSpPr>
      <xdr:spPr>
        <a:xfrm flipV="1">
          <a:off x="10330392" y="29034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996950</xdr:colOff>
      <xdr:row>250</xdr:row>
      <xdr:rowOff>89203</xdr:rowOff>
    </xdr:from>
    <xdr:to>
      <xdr:col>12</xdr:col>
      <xdr:colOff>65617</xdr:colOff>
      <xdr:row>250</xdr:row>
      <xdr:rowOff>120953</xdr:rowOff>
    </xdr:to>
    <xdr:cxnSp macro="">
      <xdr:nvCxnSpPr>
        <xdr:cNvPr id="367" name="Connecteur droit avec flèche 366"/>
        <xdr:cNvCxnSpPr/>
      </xdr:nvCxnSpPr>
      <xdr:spPr>
        <a:xfrm flipV="1">
          <a:off x="10340975" y="29426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615950</xdr:colOff>
      <xdr:row>241</xdr:row>
      <xdr:rowOff>46871</xdr:rowOff>
    </xdr:from>
    <xdr:to>
      <xdr:col>14</xdr:col>
      <xdr:colOff>35983</xdr:colOff>
      <xdr:row>243</xdr:row>
      <xdr:rowOff>89203</xdr:rowOff>
    </xdr:to>
    <xdr:cxnSp macro="">
      <xdr:nvCxnSpPr>
        <xdr:cNvPr id="368" name="Connecteur droit avec flèche 367"/>
        <xdr:cNvCxnSpPr/>
      </xdr:nvCxnSpPr>
      <xdr:spPr>
        <a:xfrm flipV="1">
          <a:off x="12026900" y="27669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573616</xdr:colOff>
      <xdr:row>243</xdr:row>
      <xdr:rowOff>87088</xdr:rowOff>
    </xdr:from>
    <xdr:to>
      <xdr:col>13</xdr:col>
      <xdr:colOff>711200</xdr:colOff>
      <xdr:row>243</xdr:row>
      <xdr:rowOff>99787</xdr:rowOff>
    </xdr:to>
    <xdr:cxnSp macro="">
      <xdr:nvCxnSpPr>
        <xdr:cNvPr id="369" name="Connecteur droit avec flèche 368"/>
        <xdr:cNvCxnSpPr/>
      </xdr:nvCxnSpPr>
      <xdr:spPr>
        <a:xfrm>
          <a:off x="11984566" y="28090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457201</xdr:colOff>
      <xdr:row>245</xdr:row>
      <xdr:rowOff>89203</xdr:rowOff>
    </xdr:from>
    <xdr:to>
      <xdr:col>13</xdr:col>
      <xdr:colOff>711201</xdr:colOff>
      <xdr:row>247</xdr:row>
      <xdr:rowOff>89201</xdr:rowOff>
    </xdr:to>
    <xdr:cxnSp macro="">
      <xdr:nvCxnSpPr>
        <xdr:cNvPr id="370" name="Connecteur droit avec flèche 369"/>
        <xdr:cNvCxnSpPr/>
      </xdr:nvCxnSpPr>
      <xdr:spPr>
        <a:xfrm flipV="1">
          <a:off x="11868151" y="28473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250</xdr:row>
      <xdr:rowOff>78619</xdr:rowOff>
    </xdr:from>
    <xdr:to>
      <xdr:col>13</xdr:col>
      <xdr:colOff>700618</xdr:colOff>
      <xdr:row>250</xdr:row>
      <xdr:rowOff>89204</xdr:rowOff>
    </xdr:to>
    <xdr:cxnSp macro="">
      <xdr:nvCxnSpPr>
        <xdr:cNvPr id="371" name="Connecteur droit avec flèche 370"/>
        <xdr:cNvCxnSpPr/>
      </xdr:nvCxnSpPr>
      <xdr:spPr>
        <a:xfrm>
          <a:off x="11995151" y="29415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658285</xdr:colOff>
      <xdr:row>248</xdr:row>
      <xdr:rowOff>68036</xdr:rowOff>
    </xdr:from>
    <xdr:to>
      <xdr:col>13</xdr:col>
      <xdr:colOff>721785</xdr:colOff>
      <xdr:row>248</xdr:row>
      <xdr:rowOff>78621</xdr:rowOff>
    </xdr:to>
    <xdr:cxnSp macro="">
      <xdr:nvCxnSpPr>
        <xdr:cNvPr id="372" name="Connecteur droit avec flèche 371"/>
        <xdr:cNvCxnSpPr/>
      </xdr:nvCxnSpPr>
      <xdr:spPr>
        <a:xfrm>
          <a:off x="12069235" y="29024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510118</xdr:colOff>
      <xdr:row>247</xdr:row>
      <xdr:rowOff>57453</xdr:rowOff>
    </xdr:from>
    <xdr:to>
      <xdr:col>13</xdr:col>
      <xdr:colOff>679451</xdr:colOff>
      <xdr:row>247</xdr:row>
      <xdr:rowOff>78621</xdr:rowOff>
    </xdr:to>
    <xdr:cxnSp macro="">
      <xdr:nvCxnSpPr>
        <xdr:cNvPr id="373" name="Connecteur droit avec flèche 372"/>
        <xdr:cNvCxnSpPr/>
      </xdr:nvCxnSpPr>
      <xdr:spPr>
        <a:xfrm>
          <a:off x="11921068" y="28822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249</xdr:row>
      <xdr:rowOff>120952</xdr:rowOff>
    </xdr:from>
    <xdr:to>
      <xdr:col>13</xdr:col>
      <xdr:colOff>732368</xdr:colOff>
      <xdr:row>250</xdr:row>
      <xdr:rowOff>78619</xdr:rowOff>
    </xdr:to>
    <xdr:cxnSp macro="">
      <xdr:nvCxnSpPr>
        <xdr:cNvPr id="374" name="Connecteur droit avec flèche 373"/>
        <xdr:cNvCxnSpPr/>
      </xdr:nvCxnSpPr>
      <xdr:spPr>
        <a:xfrm flipV="1">
          <a:off x="11995151" y="29267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241</xdr:row>
      <xdr:rowOff>46869</xdr:rowOff>
    </xdr:from>
    <xdr:to>
      <xdr:col>16</xdr:col>
      <xdr:colOff>55035</xdr:colOff>
      <xdr:row>241</xdr:row>
      <xdr:rowOff>59569</xdr:rowOff>
    </xdr:to>
    <xdr:cxnSp macro="">
      <xdr:nvCxnSpPr>
        <xdr:cNvPr id="375" name="Connecteur droit avec flèche 374"/>
        <xdr:cNvCxnSpPr/>
      </xdr:nvCxnSpPr>
      <xdr:spPr>
        <a:xfrm>
          <a:off x="13624984" y="27669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245</xdr:row>
      <xdr:rowOff>78619</xdr:rowOff>
    </xdr:from>
    <xdr:to>
      <xdr:col>16</xdr:col>
      <xdr:colOff>2118</xdr:colOff>
      <xdr:row>245</xdr:row>
      <xdr:rowOff>80736</xdr:rowOff>
    </xdr:to>
    <xdr:cxnSp macro="">
      <xdr:nvCxnSpPr>
        <xdr:cNvPr id="376" name="Connecteur droit avec flèche 375"/>
        <xdr:cNvCxnSpPr/>
      </xdr:nvCxnSpPr>
      <xdr:spPr>
        <a:xfrm>
          <a:off x="13593234" y="28463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243</xdr:row>
      <xdr:rowOff>78619</xdr:rowOff>
    </xdr:from>
    <xdr:to>
      <xdr:col>16</xdr:col>
      <xdr:colOff>76202</xdr:colOff>
      <xdr:row>243</xdr:row>
      <xdr:rowOff>80736</xdr:rowOff>
    </xdr:to>
    <xdr:cxnSp macro="">
      <xdr:nvCxnSpPr>
        <xdr:cNvPr id="377" name="Connecteur droit avec flèche 376"/>
        <xdr:cNvCxnSpPr/>
      </xdr:nvCxnSpPr>
      <xdr:spPr>
        <a:xfrm>
          <a:off x="13667318" y="28082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247</xdr:row>
      <xdr:rowOff>68036</xdr:rowOff>
    </xdr:from>
    <xdr:to>
      <xdr:col>16</xdr:col>
      <xdr:colOff>65618</xdr:colOff>
      <xdr:row>247</xdr:row>
      <xdr:rowOff>70153</xdr:rowOff>
    </xdr:to>
    <xdr:cxnSp macro="">
      <xdr:nvCxnSpPr>
        <xdr:cNvPr id="378" name="Connecteur droit avec flèche 377"/>
        <xdr:cNvCxnSpPr/>
      </xdr:nvCxnSpPr>
      <xdr:spPr>
        <a:xfrm>
          <a:off x="13656734" y="28833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668867</xdr:colOff>
      <xdr:row>249</xdr:row>
      <xdr:rowOff>68036</xdr:rowOff>
    </xdr:from>
    <xdr:to>
      <xdr:col>16</xdr:col>
      <xdr:colOff>12701</xdr:colOff>
      <xdr:row>249</xdr:row>
      <xdr:rowOff>70153</xdr:rowOff>
    </xdr:to>
    <xdr:cxnSp macro="">
      <xdr:nvCxnSpPr>
        <xdr:cNvPr id="379" name="Connecteur droit avec flèche 378"/>
        <xdr:cNvCxnSpPr/>
      </xdr:nvCxnSpPr>
      <xdr:spPr>
        <a:xfrm>
          <a:off x="13603817" y="29214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658285</xdr:colOff>
      <xdr:row>250</xdr:row>
      <xdr:rowOff>78619</xdr:rowOff>
    </xdr:from>
    <xdr:to>
      <xdr:col>16</xdr:col>
      <xdr:colOff>2119</xdr:colOff>
      <xdr:row>250</xdr:row>
      <xdr:rowOff>80736</xdr:rowOff>
    </xdr:to>
    <xdr:cxnSp macro="">
      <xdr:nvCxnSpPr>
        <xdr:cNvPr id="380" name="Connecteur droit avec flèche 379"/>
        <xdr:cNvCxnSpPr/>
      </xdr:nvCxnSpPr>
      <xdr:spPr>
        <a:xfrm>
          <a:off x="13593235" y="29415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248</xdr:row>
      <xdr:rowOff>78620</xdr:rowOff>
    </xdr:from>
    <xdr:to>
      <xdr:col>15</xdr:col>
      <xdr:colOff>732368</xdr:colOff>
      <xdr:row>248</xdr:row>
      <xdr:rowOff>80737</xdr:rowOff>
    </xdr:to>
    <xdr:cxnSp macro="">
      <xdr:nvCxnSpPr>
        <xdr:cNvPr id="381" name="Connecteur droit avec flèche 380"/>
        <xdr:cNvCxnSpPr/>
      </xdr:nvCxnSpPr>
      <xdr:spPr>
        <a:xfrm>
          <a:off x="13561484" y="29034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240</xdr:row>
      <xdr:rowOff>68036</xdr:rowOff>
    </xdr:from>
    <xdr:to>
      <xdr:col>16</xdr:col>
      <xdr:colOff>33868</xdr:colOff>
      <xdr:row>241</xdr:row>
      <xdr:rowOff>36287</xdr:rowOff>
    </xdr:to>
    <xdr:cxnSp macro="">
      <xdr:nvCxnSpPr>
        <xdr:cNvPr id="382" name="Connecteur droit avec flèche 381"/>
        <xdr:cNvCxnSpPr/>
      </xdr:nvCxnSpPr>
      <xdr:spPr>
        <a:xfrm flipV="1">
          <a:off x="13614400" y="27500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242</xdr:row>
      <xdr:rowOff>89203</xdr:rowOff>
    </xdr:from>
    <xdr:to>
      <xdr:col>16</xdr:col>
      <xdr:colOff>76201</xdr:colOff>
      <xdr:row>243</xdr:row>
      <xdr:rowOff>57454</xdr:rowOff>
    </xdr:to>
    <xdr:cxnSp macro="">
      <xdr:nvCxnSpPr>
        <xdr:cNvPr id="383" name="Connecteur droit avec flèche 382"/>
        <xdr:cNvCxnSpPr/>
      </xdr:nvCxnSpPr>
      <xdr:spPr>
        <a:xfrm flipV="1">
          <a:off x="13667318" y="27902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244</xdr:row>
      <xdr:rowOff>89203</xdr:rowOff>
    </xdr:from>
    <xdr:to>
      <xdr:col>16</xdr:col>
      <xdr:colOff>23284</xdr:colOff>
      <xdr:row>245</xdr:row>
      <xdr:rowOff>57454</xdr:rowOff>
    </xdr:to>
    <xdr:cxnSp macro="">
      <xdr:nvCxnSpPr>
        <xdr:cNvPr id="384" name="Connecteur droit avec flèche 383"/>
        <xdr:cNvCxnSpPr/>
      </xdr:nvCxnSpPr>
      <xdr:spPr>
        <a:xfrm flipV="1">
          <a:off x="13582651" y="28283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246</xdr:row>
      <xdr:rowOff>89203</xdr:rowOff>
    </xdr:from>
    <xdr:to>
      <xdr:col>16</xdr:col>
      <xdr:colOff>97368</xdr:colOff>
      <xdr:row>247</xdr:row>
      <xdr:rowOff>46871</xdr:rowOff>
    </xdr:to>
    <xdr:cxnSp macro="">
      <xdr:nvCxnSpPr>
        <xdr:cNvPr id="385" name="Connecteur droit avec flèche 384"/>
        <xdr:cNvCxnSpPr/>
      </xdr:nvCxnSpPr>
      <xdr:spPr>
        <a:xfrm flipV="1">
          <a:off x="13635567" y="28664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279</xdr:row>
      <xdr:rowOff>72573</xdr:rowOff>
    </xdr:from>
    <xdr:to>
      <xdr:col>12</xdr:col>
      <xdr:colOff>216807</xdr:colOff>
      <xdr:row>284</xdr:row>
      <xdr:rowOff>108857</xdr:rowOff>
    </xdr:to>
    <xdr:cxnSp macro="">
      <xdr:nvCxnSpPr>
        <xdr:cNvPr id="386" name="Connecteur droit avec flèche 385"/>
        <xdr:cNvCxnSpPr/>
      </xdr:nvCxnSpPr>
      <xdr:spPr>
        <a:xfrm flipV="1">
          <a:off x="10364561" y="3036207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283</xdr:row>
      <xdr:rowOff>27215</xdr:rowOff>
    </xdr:from>
    <xdr:to>
      <xdr:col>12</xdr:col>
      <xdr:colOff>74688</xdr:colOff>
      <xdr:row>284</xdr:row>
      <xdr:rowOff>108857</xdr:rowOff>
    </xdr:to>
    <xdr:cxnSp macro="">
      <xdr:nvCxnSpPr>
        <xdr:cNvPr id="387" name="Connecteur droit avec flèche 386"/>
        <xdr:cNvCxnSpPr/>
      </xdr:nvCxnSpPr>
      <xdr:spPr>
        <a:xfrm flipV="1">
          <a:off x="10350954" y="3107871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277</xdr:row>
      <xdr:rowOff>19657</xdr:rowOff>
    </xdr:from>
    <xdr:to>
      <xdr:col>14</xdr:col>
      <xdr:colOff>49590</xdr:colOff>
      <xdr:row>279</xdr:row>
      <xdr:rowOff>61989</xdr:rowOff>
    </xdr:to>
    <xdr:cxnSp macro="">
      <xdr:nvCxnSpPr>
        <xdr:cNvPr id="388" name="Connecteur droit avec flèche 387"/>
        <xdr:cNvCxnSpPr/>
      </xdr:nvCxnSpPr>
      <xdr:spPr>
        <a:xfrm flipV="1">
          <a:off x="12040507" y="29928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279</xdr:row>
      <xdr:rowOff>59874</xdr:rowOff>
    </xdr:from>
    <xdr:to>
      <xdr:col>13</xdr:col>
      <xdr:colOff>724807</xdr:colOff>
      <xdr:row>279</xdr:row>
      <xdr:rowOff>72573</xdr:rowOff>
    </xdr:to>
    <xdr:cxnSp macro="">
      <xdr:nvCxnSpPr>
        <xdr:cNvPr id="389" name="Connecteur droit avec flèche 388"/>
        <xdr:cNvCxnSpPr/>
      </xdr:nvCxnSpPr>
      <xdr:spPr>
        <a:xfrm>
          <a:off x="11998173" y="30349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281</xdr:row>
      <xdr:rowOff>61989</xdr:rowOff>
    </xdr:from>
    <xdr:to>
      <xdr:col>13</xdr:col>
      <xdr:colOff>724808</xdr:colOff>
      <xdr:row>283</xdr:row>
      <xdr:rowOff>61987</xdr:rowOff>
    </xdr:to>
    <xdr:cxnSp macro="">
      <xdr:nvCxnSpPr>
        <xdr:cNvPr id="390" name="Connecteur droit avec flèche 389"/>
        <xdr:cNvCxnSpPr/>
      </xdr:nvCxnSpPr>
      <xdr:spPr>
        <a:xfrm flipV="1">
          <a:off x="11881758" y="30732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284</xdr:row>
      <xdr:rowOff>40822</xdr:rowOff>
    </xdr:from>
    <xdr:to>
      <xdr:col>13</xdr:col>
      <xdr:colOff>735392</xdr:colOff>
      <xdr:row>284</xdr:row>
      <xdr:rowOff>51407</xdr:rowOff>
    </xdr:to>
    <xdr:cxnSp macro="">
      <xdr:nvCxnSpPr>
        <xdr:cNvPr id="391" name="Connecteur droit avec flèche 390"/>
        <xdr:cNvCxnSpPr/>
      </xdr:nvCxnSpPr>
      <xdr:spPr>
        <a:xfrm>
          <a:off x="12082842" y="31282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283</xdr:row>
      <xdr:rowOff>30239</xdr:rowOff>
    </xdr:from>
    <xdr:to>
      <xdr:col>13</xdr:col>
      <xdr:colOff>693058</xdr:colOff>
      <xdr:row>283</xdr:row>
      <xdr:rowOff>51407</xdr:rowOff>
    </xdr:to>
    <xdr:cxnSp macro="">
      <xdr:nvCxnSpPr>
        <xdr:cNvPr id="392" name="Connecteur droit avec flèche 391"/>
        <xdr:cNvCxnSpPr/>
      </xdr:nvCxnSpPr>
      <xdr:spPr>
        <a:xfrm>
          <a:off x="11934675" y="3108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277</xdr:row>
      <xdr:rowOff>101298</xdr:rowOff>
    </xdr:from>
    <xdr:to>
      <xdr:col>16</xdr:col>
      <xdr:colOff>55035</xdr:colOff>
      <xdr:row>277</xdr:row>
      <xdr:rowOff>113998</xdr:rowOff>
    </xdr:to>
    <xdr:cxnSp macro="">
      <xdr:nvCxnSpPr>
        <xdr:cNvPr id="393" name="Connecteur droit avec flèche 392"/>
        <xdr:cNvCxnSpPr/>
      </xdr:nvCxnSpPr>
      <xdr:spPr>
        <a:xfrm>
          <a:off x="13624984" y="30009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281</xdr:row>
      <xdr:rowOff>133048</xdr:rowOff>
    </xdr:from>
    <xdr:to>
      <xdr:col>16</xdr:col>
      <xdr:colOff>2118</xdr:colOff>
      <xdr:row>281</xdr:row>
      <xdr:rowOff>135165</xdr:rowOff>
    </xdr:to>
    <xdr:cxnSp macro="">
      <xdr:nvCxnSpPr>
        <xdr:cNvPr id="394" name="Connecteur droit avec flèche 393"/>
        <xdr:cNvCxnSpPr/>
      </xdr:nvCxnSpPr>
      <xdr:spPr>
        <a:xfrm>
          <a:off x="13593234" y="30803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279</xdr:row>
      <xdr:rowOff>133048</xdr:rowOff>
    </xdr:from>
    <xdr:to>
      <xdr:col>16</xdr:col>
      <xdr:colOff>76202</xdr:colOff>
      <xdr:row>279</xdr:row>
      <xdr:rowOff>135165</xdr:rowOff>
    </xdr:to>
    <xdr:cxnSp macro="">
      <xdr:nvCxnSpPr>
        <xdr:cNvPr id="395" name="Connecteur droit avec flèche 394"/>
        <xdr:cNvCxnSpPr/>
      </xdr:nvCxnSpPr>
      <xdr:spPr>
        <a:xfrm>
          <a:off x="13667318" y="30422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283</xdr:row>
      <xdr:rowOff>122465</xdr:rowOff>
    </xdr:from>
    <xdr:to>
      <xdr:col>16</xdr:col>
      <xdr:colOff>65618</xdr:colOff>
      <xdr:row>283</xdr:row>
      <xdr:rowOff>124582</xdr:rowOff>
    </xdr:to>
    <xdr:cxnSp macro="">
      <xdr:nvCxnSpPr>
        <xdr:cNvPr id="396" name="Connecteur droit avec flèche 395"/>
        <xdr:cNvCxnSpPr/>
      </xdr:nvCxnSpPr>
      <xdr:spPr>
        <a:xfrm>
          <a:off x="13656734" y="31173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284</xdr:row>
      <xdr:rowOff>133049</xdr:rowOff>
    </xdr:from>
    <xdr:to>
      <xdr:col>15</xdr:col>
      <xdr:colOff>732368</xdr:colOff>
      <xdr:row>284</xdr:row>
      <xdr:rowOff>135166</xdr:rowOff>
    </xdr:to>
    <xdr:cxnSp macro="">
      <xdr:nvCxnSpPr>
        <xdr:cNvPr id="397" name="Connecteur droit avec flèche 396"/>
        <xdr:cNvCxnSpPr/>
      </xdr:nvCxnSpPr>
      <xdr:spPr>
        <a:xfrm>
          <a:off x="13561484" y="31375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276</xdr:row>
      <xdr:rowOff>122465</xdr:rowOff>
    </xdr:from>
    <xdr:to>
      <xdr:col>16</xdr:col>
      <xdr:colOff>33868</xdr:colOff>
      <xdr:row>277</xdr:row>
      <xdr:rowOff>90716</xdr:rowOff>
    </xdr:to>
    <xdr:cxnSp macro="">
      <xdr:nvCxnSpPr>
        <xdr:cNvPr id="398" name="Connecteur droit avec flèche 397"/>
        <xdr:cNvCxnSpPr/>
      </xdr:nvCxnSpPr>
      <xdr:spPr>
        <a:xfrm flipV="1">
          <a:off x="13614400" y="29840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278</xdr:row>
      <xdr:rowOff>143632</xdr:rowOff>
    </xdr:from>
    <xdr:to>
      <xdr:col>16</xdr:col>
      <xdr:colOff>76201</xdr:colOff>
      <xdr:row>279</xdr:row>
      <xdr:rowOff>111883</xdr:rowOff>
    </xdr:to>
    <xdr:cxnSp macro="">
      <xdr:nvCxnSpPr>
        <xdr:cNvPr id="399" name="Connecteur droit avec flèche 398"/>
        <xdr:cNvCxnSpPr/>
      </xdr:nvCxnSpPr>
      <xdr:spPr>
        <a:xfrm flipV="1">
          <a:off x="13667318" y="30242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280</xdr:row>
      <xdr:rowOff>143632</xdr:rowOff>
    </xdr:from>
    <xdr:to>
      <xdr:col>16</xdr:col>
      <xdr:colOff>23284</xdr:colOff>
      <xdr:row>281</xdr:row>
      <xdr:rowOff>111883</xdr:rowOff>
    </xdr:to>
    <xdr:cxnSp macro="">
      <xdr:nvCxnSpPr>
        <xdr:cNvPr id="400" name="Connecteur droit avec flèche 399"/>
        <xdr:cNvCxnSpPr/>
      </xdr:nvCxnSpPr>
      <xdr:spPr>
        <a:xfrm flipV="1">
          <a:off x="13582651" y="30623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282</xdr:row>
      <xdr:rowOff>143632</xdr:rowOff>
    </xdr:from>
    <xdr:to>
      <xdr:col>16</xdr:col>
      <xdr:colOff>97368</xdr:colOff>
      <xdr:row>283</xdr:row>
      <xdr:rowOff>101300</xdr:rowOff>
    </xdr:to>
    <xdr:cxnSp macro="">
      <xdr:nvCxnSpPr>
        <xdr:cNvPr id="401" name="Connecteur droit avec flèche 400"/>
        <xdr:cNvCxnSpPr/>
      </xdr:nvCxnSpPr>
      <xdr:spPr>
        <a:xfrm flipV="1">
          <a:off x="13635567" y="3100463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299</xdr:row>
      <xdr:rowOff>4537</xdr:rowOff>
    </xdr:from>
    <xdr:to>
      <xdr:col>12</xdr:col>
      <xdr:colOff>224971</xdr:colOff>
      <xdr:row>304</xdr:row>
      <xdr:rowOff>81643</xdr:rowOff>
    </xdr:to>
    <xdr:cxnSp macro="">
      <xdr:nvCxnSpPr>
        <xdr:cNvPr id="402" name="Connecteur droit avec flèche 401"/>
        <xdr:cNvCxnSpPr/>
      </xdr:nvCxnSpPr>
      <xdr:spPr>
        <a:xfrm flipV="1">
          <a:off x="10432597" y="32199037"/>
          <a:ext cx="1203324"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303</xdr:row>
      <xdr:rowOff>54430</xdr:rowOff>
    </xdr:from>
    <xdr:to>
      <xdr:col>12</xdr:col>
      <xdr:colOff>68036</xdr:colOff>
      <xdr:row>304</xdr:row>
      <xdr:rowOff>81643</xdr:rowOff>
    </xdr:to>
    <xdr:cxnSp macro="">
      <xdr:nvCxnSpPr>
        <xdr:cNvPr id="403" name="Connecteur droit avec flèche 402"/>
        <xdr:cNvCxnSpPr/>
      </xdr:nvCxnSpPr>
      <xdr:spPr>
        <a:xfrm flipV="1">
          <a:off x="10405383" y="33010930"/>
          <a:ext cx="1073603"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296</xdr:row>
      <xdr:rowOff>142121</xdr:rowOff>
    </xdr:from>
    <xdr:to>
      <xdr:col>14</xdr:col>
      <xdr:colOff>57754</xdr:colOff>
      <xdr:row>298</xdr:row>
      <xdr:rowOff>184453</xdr:rowOff>
    </xdr:to>
    <xdr:cxnSp macro="">
      <xdr:nvCxnSpPr>
        <xdr:cNvPr id="404" name="Connecteur droit avec flèche 403"/>
        <xdr:cNvCxnSpPr/>
      </xdr:nvCxnSpPr>
      <xdr:spPr>
        <a:xfrm flipV="1">
          <a:off x="12048671" y="3176512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300</xdr:row>
      <xdr:rowOff>184453</xdr:rowOff>
    </xdr:from>
    <xdr:to>
      <xdr:col>13</xdr:col>
      <xdr:colOff>732972</xdr:colOff>
      <xdr:row>302</xdr:row>
      <xdr:rowOff>184451</xdr:rowOff>
    </xdr:to>
    <xdr:cxnSp macro="">
      <xdr:nvCxnSpPr>
        <xdr:cNvPr id="405" name="Connecteur droit avec flèche 404"/>
        <xdr:cNvCxnSpPr/>
      </xdr:nvCxnSpPr>
      <xdr:spPr>
        <a:xfrm flipV="1">
          <a:off x="11889922" y="3256945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302</xdr:row>
      <xdr:rowOff>152703</xdr:rowOff>
    </xdr:from>
    <xdr:to>
      <xdr:col>13</xdr:col>
      <xdr:colOff>701222</xdr:colOff>
      <xdr:row>302</xdr:row>
      <xdr:rowOff>173871</xdr:rowOff>
    </xdr:to>
    <xdr:cxnSp macro="">
      <xdr:nvCxnSpPr>
        <xdr:cNvPr id="406" name="Connecteur droit avec flèche 405"/>
        <xdr:cNvCxnSpPr/>
      </xdr:nvCxnSpPr>
      <xdr:spPr>
        <a:xfrm>
          <a:off x="11942839" y="3291870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297</xdr:row>
      <xdr:rowOff>33262</xdr:rowOff>
    </xdr:from>
    <xdr:to>
      <xdr:col>16</xdr:col>
      <xdr:colOff>63199</xdr:colOff>
      <xdr:row>297</xdr:row>
      <xdr:rowOff>45962</xdr:rowOff>
    </xdr:to>
    <xdr:cxnSp macro="">
      <xdr:nvCxnSpPr>
        <xdr:cNvPr id="407" name="Connecteur droit avec flèche 406"/>
        <xdr:cNvCxnSpPr/>
      </xdr:nvCxnSpPr>
      <xdr:spPr>
        <a:xfrm>
          <a:off x="13633148" y="31846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301</xdr:row>
      <xdr:rowOff>65012</xdr:rowOff>
    </xdr:from>
    <xdr:to>
      <xdr:col>16</xdr:col>
      <xdr:colOff>10282</xdr:colOff>
      <xdr:row>301</xdr:row>
      <xdr:rowOff>67129</xdr:rowOff>
    </xdr:to>
    <xdr:cxnSp macro="">
      <xdr:nvCxnSpPr>
        <xdr:cNvPr id="408" name="Connecteur droit avec flèche 407"/>
        <xdr:cNvCxnSpPr/>
      </xdr:nvCxnSpPr>
      <xdr:spPr>
        <a:xfrm>
          <a:off x="13601398" y="32640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299</xdr:row>
      <xdr:rowOff>65012</xdr:rowOff>
    </xdr:from>
    <xdr:to>
      <xdr:col>16</xdr:col>
      <xdr:colOff>84366</xdr:colOff>
      <xdr:row>299</xdr:row>
      <xdr:rowOff>67129</xdr:rowOff>
    </xdr:to>
    <xdr:cxnSp macro="">
      <xdr:nvCxnSpPr>
        <xdr:cNvPr id="409" name="Connecteur droit avec flèche 408"/>
        <xdr:cNvCxnSpPr/>
      </xdr:nvCxnSpPr>
      <xdr:spPr>
        <a:xfrm>
          <a:off x="13675482" y="32259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303</xdr:row>
      <xdr:rowOff>54429</xdr:rowOff>
    </xdr:from>
    <xdr:to>
      <xdr:col>16</xdr:col>
      <xdr:colOff>73782</xdr:colOff>
      <xdr:row>303</xdr:row>
      <xdr:rowOff>56546</xdr:rowOff>
    </xdr:to>
    <xdr:cxnSp macro="">
      <xdr:nvCxnSpPr>
        <xdr:cNvPr id="410" name="Connecteur droit avec flèche 409"/>
        <xdr:cNvCxnSpPr/>
      </xdr:nvCxnSpPr>
      <xdr:spPr>
        <a:xfrm>
          <a:off x="13664898" y="33010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304</xdr:row>
      <xdr:rowOff>65013</xdr:rowOff>
    </xdr:from>
    <xdr:to>
      <xdr:col>15</xdr:col>
      <xdr:colOff>740532</xdr:colOff>
      <xdr:row>304</xdr:row>
      <xdr:rowOff>67130</xdr:rowOff>
    </xdr:to>
    <xdr:cxnSp macro="">
      <xdr:nvCxnSpPr>
        <xdr:cNvPr id="411" name="Connecteur droit avec flèche 410"/>
        <xdr:cNvCxnSpPr/>
      </xdr:nvCxnSpPr>
      <xdr:spPr>
        <a:xfrm>
          <a:off x="13569648" y="33212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296</xdr:row>
      <xdr:rowOff>54429</xdr:rowOff>
    </xdr:from>
    <xdr:to>
      <xdr:col>16</xdr:col>
      <xdr:colOff>42032</xdr:colOff>
      <xdr:row>297</xdr:row>
      <xdr:rowOff>22680</xdr:rowOff>
    </xdr:to>
    <xdr:cxnSp macro="">
      <xdr:nvCxnSpPr>
        <xdr:cNvPr id="412" name="Connecteur droit avec flèche 411"/>
        <xdr:cNvCxnSpPr/>
      </xdr:nvCxnSpPr>
      <xdr:spPr>
        <a:xfrm flipV="1">
          <a:off x="13622564" y="31677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298</xdr:row>
      <xdr:rowOff>75596</xdr:rowOff>
    </xdr:from>
    <xdr:to>
      <xdr:col>16</xdr:col>
      <xdr:colOff>84365</xdr:colOff>
      <xdr:row>299</xdr:row>
      <xdr:rowOff>43847</xdr:rowOff>
    </xdr:to>
    <xdr:cxnSp macro="">
      <xdr:nvCxnSpPr>
        <xdr:cNvPr id="413" name="Connecteur droit avec flèche 412"/>
        <xdr:cNvCxnSpPr/>
      </xdr:nvCxnSpPr>
      <xdr:spPr>
        <a:xfrm flipV="1">
          <a:off x="13675482" y="32079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300</xdr:row>
      <xdr:rowOff>75596</xdr:rowOff>
    </xdr:from>
    <xdr:to>
      <xdr:col>16</xdr:col>
      <xdr:colOff>31448</xdr:colOff>
      <xdr:row>301</xdr:row>
      <xdr:rowOff>43847</xdr:rowOff>
    </xdr:to>
    <xdr:cxnSp macro="">
      <xdr:nvCxnSpPr>
        <xdr:cNvPr id="414" name="Connecteur droit avec flèche 413"/>
        <xdr:cNvCxnSpPr/>
      </xdr:nvCxnSpPr>
      <xdr:spPr>
        <a:xfrm flipV="1">
          <a:off x="13590815" y="32460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302</xdr:row>
      <xdr:rowOff>75596</xdr:rowOff>
    </xdr:from>
    <xdr:to>
      <xdr:col>16</xdr:col>
      <xdr:colOff>105532</xdr:colOff>
      <xdr:row>303</xdr:row>
      <xdr:rowOff>33264</xdr:rowOff>
    </xdr:to>
    <xdr:cxnSp macro="">
      <xdr:nvCxnSpPr>
        <xdr:cNvPr id="415" name="Connecteur droit avec flèche 414"/>
        <xdr:cNvCxnSpPr/>
      </xdr:nvCxnSpPr>
      <xdr:spPr>
        <a:xfrm flipV="1">
          <a:off x="13643731" y="32841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314</xdr:row>
      <xdr:rowOff>73477</xdr:rowOff>
    </xdr:from>
    <xdr:to>
      <xdr:col>12</xdr:col>
      <xdr:colOff>293915</xdr:colOff>
      <xdr:row>314</xdr:row>
      <xdr:rowOff>81641</xdr:rowOff>
    </xdr:to>
    <xdr:cxnSp macro="">
      <xdr:nvCxnSpPr>
        <xdr:cNvPr id="416" name="Connecteur droit avec flèche 415"/>
        <xdr:cNvCxnSpPr/>
      </xdr:nvCxnSpPr>
      <xdr:spPr>
        <a:xfrm>
          <a:off x="10473418" y="35125477"/>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1178379</xdr:colOff>
      <xdr:row>309</xdr:row>
      <xdr:rowOff>31750</xdr:rowOff>
    </xdr:from>
    <xdr:to>
      <xdr:col>12</xdr:col>
      <xdr:colOff>374650</xdr:colOff>
      <xdr:row>314</xdr:row>
      <xdr:rowOff>68034</xdr:rowOff>
    </xdr:to>
    <xdr:cxnSp macro="">
      <xdr:nvCxnSpPr>
        <xdr:cNvPr id="417" name="Connecteur droit avec flèche 416"/>
        <xdr:cNvCxnSpPr/>
      </xdr:nvCxnSpPr>
      <xdr:spPr>
        <a:xfrm flipV="1">
          <a:off x="10522404" y="34131250"/>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1164772</xdr:colOff>
      <xdr:row>312</xdr:row>
      <xdr:rowOff>176892</xdr:rowOff>
    </xdr:from>
    <xdr:to>
      <xdr:col>12</xdr:col>
      <xdr:colOff>232531</xdr:colOff>
      <xdr:row>314</xdr:row>
      <xdr:rowOff>68034</xdr:rowOff>
    </xdr:to>
    <xdr:cxnSp macro="">
      <xdr:nvCxnSpPr>
        <xdr:cNvPr id="418" name="Connecteur droit avec flèche 417"/>
        <xdr:cNvCxnSpPr/>
      </xdr:nvCxnSpPr>
      <xdr:spPr>
        <a:xfrm flipV="1">
          <a:off x="10508797" y="34847892"/>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25400</xdr:colOff>
      <xdr:row>306</xdr:row>
      <xdr:rowOff>169334</xdr:rowOff>
    </xdr:from>
    <xdr:to>
      <xdr:col>14</xdr:col>
      <xdr:colOff>207433</xdr:colOff>
      <xdr:row>309</xdr:row>
      <xdr:rowOff>21166</xdr:rowOff>
    </xdr:to>
    <xdr:cxnSp macro="">
      <xdr:nvCxnSpPr>
        <xdr:cNvPr id="419" name="Connecteur droit avec flèche 418"/>
        <xdr:cNvCxnSpPr/>
      </xdr:nvCxnSpPr>
      <xdr:spPr>
        <a:xfrm flipV="1">
          <a:off x="12198350" y="3369733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745066</xdr:colOff>
      <xdr:row>309</xdr:row>
      <xdr:rowOff>19051</xdr:rowOff>
    </xdr:from>
    <xdr:to>
      <xdr:col>14</xdr:col>
      <xdr:colOff>120650</xdr:colOff>
      <xdr:row>309</xdr:row>
      <xdr:rowOff>31750</xdr:rowOff>
    </xdr:to>
    <xdr:cxnSp macro="">
      <xdr:nvCxnSpPr>
        <xdr:cNvPr id="420" name="Connecteur droit avec flèche 419"/>
        <xdr:cNvCxnSpPr/>
      </xdr:nvCxnSpPr>
      <xdr:spPr>
        <a:xfrm>
          <a:off x="12156016" y="3411855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628651</xdr:colOff>
      <xdr:row>311</xdr:row>
      <xdr:rowOff>21166</xdr:rowOff>
    </xdr:from>
    <xdr:to>
      <xdr:col>14</xdr:col>
      <xdr:colOff>120651</xdr:colOff>
      <xdr:row>313</xdr:row>
      <xdr:rowOff>21164</xdr:rowOff>
    </xdr:to>
    <xdr:cxnSp macro="">
      <xdr:nvCxnSpPr>
        <xdr:cNvPr id="421" name="Connecteur droit avec flèche 420"/>
        <xdr:cNvCxnSpPr/>
      </xdr:nvCxnSpPr>
      <xdr:spPr>
        <a:xfrm flipV="1">
          <a:off x="12039601" y="3450166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67735</xdr:colOff>
      <xdr:row>314</xdr:row>
      <xdr:rowOff>54428</xdr:rowOff>
    </xdr:from>
    <xdr:to>
      <xdr:col>14</xdr:col>
      <xdr:colOff>131235</xdr:colOff>
      <xdr:row>314</xdr:row>
      <xdr:rowOff>65013</xdr:rowOff>
    </xdr:to>
    <xdr:cxnSp macro="">
      <xdr:nvCxnSpPr>
        <xdr:cNvPr id="422" name="Connecteur droit avec flèche 421"/>
        <xdr:cNvCxnSpPr/>
      </xdr:nvCxnSpPr>
      <xdr:spPr>
        <a:xfrm>
          <a:off x="12240685" y="3510642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85877</xdr:colOff>
      <xdr:row>307</xdr:row>
      <xdr:rowOff>60475</xdr:rowOff>
    </xdr:from>
    <xdr:to>
      <xdr:col>16</xdr:col>
      <xdr:colOff>212878</xdr:colOff>
      <xdr:row>307</xdr:row>
      <xdr:rowOff>73175</xdr:rowOff>
    </xdr:to>
    <xdr:cxnSp macro="">
      <xdr:nvCxnSpPr>
        <xdr:cNvPr id="423" name="Connecteur droit avec flèche 422"/>
        <xdr:cNvCxnSpPr/>
      </xdr:nvCxnSpPr>
      <xdr:spPr>
        <a:xfrm>
          <a:off x="13782827" y="33778975"/>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54127</xdr:colOff>
      <xdr:row>311</xdr:row>
      <xdr:rowOff>92225</xdr:rowOff>
    </xdr:from>
    <xdr:to>
      <xdr:col>16</xdr:col>
      <xdr:colOff>159961</xdr:colOff>
      <xdr:row>311</xdr:row>
      <xdr:rowOff>94342</xdr:rowOff>
    </xdr:to>
    <xdr:cxnSp macro="">
      <xdr:nvCxnSpPr>
        <xdr:cNvPr id="424" name="Connecteur droit avec flèche 423"/>
        <xdr:cNvCxnSpPr/>
      </xdr:nvCxnSpPr>
      <xdr:spPr>
        <a:xfrm>
          <a:off x="13751077" y="34572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309</xdr:row>
      <xdr:rowOff>92225</xdr:rowOff>
    </xdr:from>
    <xdr:to>
      <xdr:col>16</xdr:col>
      <xdr:colOff>234045</xdr:colOff>
      <xdr:row>309</xdr:row>
      <xdr:rowOff>94342</xdr:rowOff>
    </xdr:to>
    <xdr:cxnSp macro="">
      <xdr:nvCxnSpPr>
        <xdr:cNvPr id="425" name="Connecteur droit avec flèche 424"/>
        <xdr:cNvCxnSpPr/>
      </xdr:nvCxnSpPr>
      <xdr:spPr>
        <a:xfrm>
          <a:off x="13825161" y="34191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117627</xdr:colOff>
      <xdr:row>313</xdr:row>
      <xdr:rowOff>81642</xdr:rowOff>
    </xdr:from>
    <xdr:to>
      <xdr:col>16</xdr:col>
      <xdr:colOff>223461</xdr:colOff>
      <xdr:row>313</xdr:row>
      <xdr:rowOff>83759</xdr:rowOff>
    </xdr:to>
    <xdr:cxnSp macro="">
      <xdr:nvCxnSpPr>
        <xdr:cNvPr id="426" name="Connecteur droit avec flèche 425"/>
        <xdr:cNvCxnSpPr/>
      </xdr:nvCxnSpPr>
      <xdr:spPr>
        <a:xfrm>
          <a:off x="13814577" y="3494314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22377</xdr:colOff>
      <xdr:row>314</xdr:row>
      <xdr:rowOff>92226</xdr:rowOff>
    </xdr:from>
    <xdr:to>
      <xdr:col>16</xdr:col>
      <xdr:colOff>128211</xdr:colOff>
      <xdr:row>314</xdr:row>
      <xdr:rowOff>94343</xdr:rowOff>
    </xdr:to>
    <xdr:cxnSp macro="">
      <xdr:nvCxnSpPr>
        <xdr:cNvPr id="427" name="Connecteur droit avec flèche 426"/>
        <xdr:cNvCxnSpPr/>
      </xdr:nvCxnSpPr>
      <xdr:spPr>
        <a:xfrm>
          <a:off x="13719327" y="35144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75293</xdr:colOff>
      <xdr:row>306</xdr:row>
      <xdr:rowOff>81642</xdr:rowOff>
    </xdr:from>
    <xdr:to>
      <xdr:col>16</xdr:col>
      <xdr:colOff>191711</xdr:colOff>
      <xdr:row>307</xdr:row>
      <xdr:rowOff>49893</xdr:rowOff>
    </xdr:to>
    <xdr:cxnSp macro="">
      <xdr:nvCxnSpPr>
        <xdr:cNvPr id="428" name="Connecteur droit avec flèche 427"/>
        <xdr:cNvCxnSpPr/>
      </xdr:nvCxnSpPr>
      <xdr:spPr>
        <a:xfrm flipV="1">
          <a:off x="13772243" y="33609642"/>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308</xdr:row>
      <xdr:rowOff>102809</xdr:rowOff>
    </xdr:from>
    <xdr:to>
      <xdr:col>16</xdr:col>
      <xdr:colOff>234044</xdr:colOff>
      <xdr:row>309</xdr:row>
      <xdr:rowOff>71060</xdr:rowOff>
    </xdr:to>
    <xdr:cxnSp macro="">
      <xdr:nvCxnSpPr>
        <xdr:cNvPr id="429" name="Connecteur droit avec flèche 428"/>
        <xdr:cNvCxnSpPr/>
      </xdr:nvCxnSpPr>
      <xdr:spPr>
        <a:xfrm flipV="1">
          <a:off x="13825161" y="34011809"/>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43544</xdr:colOff>
      <xdr:row>310</xdr:row>
      <xdr:rowOff>102809</xdr:rowOff>
    </xdr:from>
    <xdr:to>
      <xdr:col>16</xdr:col>
      <xdr:colOff>181127</xdr:colOff>
      <xdr:row>311</xdr:row>
      <xdr:rowOff>71060</xdr:rowOff>
    </xdr:to>
    <xdr:cxnSp macro="">
      <xdr:nvCxnSpPr>
        <xdr:cNvPr id="430" name="Connecteur droit avec flèche 429"/>
        <xdr:cNvCxnSpPr/>
      </xdr:nvCxnSpPr>
      <xdr:spPr>
        <a:xfrm flipV="1">
          <a:off x="13740494" y="34392809"/>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96460</xdr:colOff>
      <xdr:row>312</xdr:row>
      <xdr:rowOff>102809</xdr:rowOff>
    </xdr:from>
    <xdr:to>
      <xdr:col>16</xdr:col>
      <xdr:colOff>255211</xdr:colOff>
      <xdr:row>313</xdr:row>
      <xdr:rowOff>60477</xdr:rowOff>
    </xdr:to>
    <xdr:cxnSp macro="">
      <xdr:nvCxnSpPr>
        <xdr:cNvPr id="431" name="Connecteur droit avec flèche 430"/>
        <xdr:cNvCxnSpPr/>
      </xdr:nvCxnSpPr>
      <xdr:spPr>
        <a:xfrm flipV="1">
          <a:off x="13793410" y="34773809"/>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324</xdr:row>
      <xdr:rowOff>100692</xdr:rowOff>
    </xdr:from>
    <xdr:to>
      <xdr:col>12</xdr:col>
      <xdr:colOff>253094</xdr:colOff>
      <xdr:row>324</xdr:row>
      <xdr:rowOff>108856</xdr:rowOff>
    </xdr:to>
    <xdr:cxnSp macro="">
      <xdr:nvCxnSpPr>
        <xdr:cNvPr id="432" name="Connecteur droit avec flèche 431"/>
        <xdr:cNvCxnSpPr/>
      </xdr:nvCxnSpPr>
      <xdr:spPr>
        <a:xfrm>
          <a:off x="10432597" y="37057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319</xdr:row>
      <xdr:rowOff>58965</xdr:rowOff>
    </xdr:from>
    <xdr:to>
      <xdr:col>12</xdr:col>
      <xdr:colOff>333829</xdr:colOff>
      <xdr:row>324</xdr:row>
      <xdr:rowOff>95249</xdr:rowOff>
    </xdr:to>
    <xdr:cxnSp macro="">
      <xdr:nvCxnSpPr>
        <xdr:cNvPr id="433" name="Connecteur droit avec flèche 432"/>
        <xdr:cNvCxnSpPr/>
      </xdr:nvCxnSpPr>
      <xdr:spPr>
        <a:xfrm flipV="1">
          <a:off x="10481583" y="36063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323</xdr:row>
      <xdr:rowOff>13607</xdr:rowOff>
    </xdr:from>
    <xdr:to>
      <xdr:col>12</xdr:col>
      <xdr:colOff>191710</xdr:colOff>
      <xdr:row>324</xdr:row>
      <xdr:rowOff>95249</xdr:rowOff>
    </xdr:to>
    <xdr:cxnSp macro="">
      <xdr:nvCxnSpPr>
        <xdr:cNvPr id="434" name="Connecteur droit avec flèche 433"/>
        <xdr:cNvCxnSpPr/>
      </xdr:nvCxnSpPr>
      <xdr:spPr>
        <a:xfrm flipV="1">
          <a:off x="10467976" y="36780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317</xdr:row>
      <xdr:rowOff>108857</xdr:rowOff>
    </xdr:from>
    <xdr:to>
      <xdr:col>14</xdr:col>
      <xdr:colOff>68036</xdr:colOff>
      <xdr:row>319</xdr:row>
      <xdr:rowOff>48381</xdr:rowOff>
    </xdr:to>
    <xdr:cxnSp macro="">
      <xdr:nvCxnSpPr>
        <xdr:cNvPr id="435" name="Connecteur droit avec flèche 434"/>
        <xdr:cNvCxnSpPr/>
      </xdr:nvCxnSpPr>
      <xdr:spPr>
        <a:xfrm flipV="1">
          <a:off x="12157529" y="35732357"/>
          <a:ext cx="845457" cy="32052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319</xdr:row>
      <xdr:rowOff>46266</xdr:rowOff>
    </xdr:from>
    <xdr:to>
      <xdr:col>14</xdr:col>
      <xdr:colOff>79829</xdr:colOff>
      <xdr:row>319</xdr:row>
      <xdr:rowOff>58965</xdr:rowOff>
    </xdr:to>
    <xdr:cxnSp macro="">
      <xdr:nvCxnSpPr>
        <xdr:cNvPr id="436" name="Connecteur droit avec flèche 435"/>
        <xdr:cNvCxnSpPr/>
      </xdr:nvCxnSpPr>
      <xdr:spPr>
        <a:xfrm>
          <a:off x="12115195" y="36050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321</xdr:row>
      <xdr:rowOff>48381</xdr:rowOff>
    </xdr:from>
    <xdr:to>
      <xdr:col>14</xdr:col>
      <xdr:colOff>79830</xdr:colOff>
      <xdr:row>323</xdr:row>
      <xdr:rowOff>48379</xdr:rowOff>
    </xdr:to>
    <xdr:cxnSp macro="">
      <xdr:nvCxnSpPr>
        <xdr:cNvPr id="437" name="Connecteur droit avec flèche 436"/>
        <xdr:cNvCxnSpPr/>
      </xdr:nvCxnSpPr>
      <xdr:spPr>
        <a:xfrm flipV="1">
          <a:off x="11998780" y="36433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324</xdr:row>
      <xdr:rowOff>27214</xdr:rowOff>
    </xdr:from>
    <xdr:to>
      <xdr:col>14</xdr:col>
      <xdr:colOff>90414</xdr:colOff>
      <xdr:row>324</xdr:row>
      <xdr:rowOff>37799</xdr:rowOff>
    </xdr:to>
    <xdr:cxnSp macro="">
      <xdr:nvCxnSpPr>
        <xdr:cNvPr id="438" name="Connecteur droit avec flèche 437"/>
        <xdr:cNvCxnSpPr/>
      </xdr:nvCxnSpPr>
      <xdr:spPr>
        <a:xfrm>
          <a:off x="12199864" y="36984214"/>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323</xdr:row>
      <xdr:rowOff>16631</xdr:rowOff>
    </xdr:from>
    <xdr:to>
      <xdr:col>14</xdr:col>
      <xdr:colOff>48080</xdr:colOff>
      <xdr:row>323</xdr:row>
      <xdr:rowOff>37799</xdr:rowOff>
    </xdr:to>
    <xdr:cxnSp macro="">
      <xdr:nvCxnSpPr>
        <xdr:cNvPr id="439" name="Connecteur droit avec flèche 438"/>
        <xdr:cNvCxnSpPr/>
      </xdr:nvCxnSpPr>
      <xdr:spPr>
        <a:xfrm>
          <a:off x="12051697" y="36783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317</xdr:row>
      <xdr:rowOff>87690</xdr:rowOff>
    </xdr:from>
    <xdr:to>
      <xdr:col>16</xdr:col>
      <xdr:colOff>172057</xdr:colOff>
      <xdr:row>317</xdr:row>
      <xdr:rowOff>100390</xdr:rowOff>
    </xdr:to>
    <xdr:cxnSp macro="">
      <xdr:nvCxnSpPr>
        <xdr:cNvPr id="440" name="Connecteur droit avec flèche 439"/>
        <xdr:cNvCxnSpPr/>
      </xdr:nvCxnSpPr>
      <xdr:spPr>
        <a:xfrm>
          <a:off x="13742006" y="35711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321</xdr:row>
      <xdr:rowOff>119440</xdr:rowOff>
    </xdr:from>
    <xdr:to>
      <xdr:col>16</xdr:col>
      <xdr:colOff>119140</xdr:colOff>
      <xdr:row>321</xdr:row>
      <xdr:rowOff>121557</xdr:rowOff>
    </xdr:to>
    <xdr:cxnSp macro="">
      <xdr:nvCxnSpPr>
        <xdr:cNvPr id="441" name="Connecteur droit avec flèche 440"/>
        <xdr:cNvCxnSpPr/>
      </xdr:nvCxnSpPr>
      <xdr:spPr>
        <a:xfrm>
          <a:off x="13710256" y="36504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319</xdr:row>
      <xdr:rowOff>119440</xdr:rowOff>
    </xdr:from>
    <xdr:to>
      <xdr:col>16</xdr:col>
      <xdr:colOff>193224</xdr:colOff>
      <xdr:row>319</xdr:row>
      <xdr:rowOff>121557</xdr:rowOff>
    </xdr:to>
    <xdr:cxnSp macro="">
      <xdr:nvCxnSpPr>
        <xdr:cNvPr id="442" name="Connecteur droit avec flèche 441"/>
        <xdr:cNvCxnSpPr/>
      </xdr:nvCxnSpPr>
      <xdr:spPr>
        <a:xfrm>
          <a:off x="13784340" y="36123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323</xdr:row>
      <xdr:rowOff>108857</xdr:rowOff>
    </xdr:from>
    <xdr:to>
      <xdr:col>16</xdr:col>
      <xdr:colOff>182640</xdr:colOff>
      <xdr:row>323</xdr:row>
      <xdr:rowOff>110974</xdr:rowOff>
    </xdr:to>
    <xdr:cxnSp macro="">
      <xdr:nvCxnSpPr>
        <xdr:cNvPr id="443" name="Connecteur droit avec flèche 442"/>
        <xdr:cNvCxnSpPr/>
      </xdr:nvCxnSpPr>
      <xdr:spPr>
        <a:xfrm>
          <a:off x="13773756" y="36875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324</xdr:row>
      <xdr:rowOff>119441</xdr:rowOff>
    </xdr:from>
    <xdr:to>
      <xdr:col>16</xdr:col>
      <xdr:colOff>87390</xdr:colOff>
      <xdr:row>324</xdr:row>
      <xdr:rowOff>121558</xdr:rowOff>
    </xdr:to>
    <xdr:cxnSp macro="">
      <xdr:nvCxnSpPr>
        <xdr:cNvPr id="444" name="Connecteur droit avec flèche 443"/>
        <xdr:cNvCxnSpPr/>
      </xdr:nvCxnSpPr>
      <xdr:spPr>
        <a:xfrm>
          <a:off x="13678506" y="37076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316</xdr:row>
      <xdr:rowOff>108857</xdr:rowOff>
    </xdr:from>
    <xdr:to>
      <xdr:col>16</xdr:col>
      <xdr:colOff>150890</xdr:colOff>
      <xdr:row>317</xdr:row>
      <xdr:rowOff>77108</xdr:rowOff>
    </xdr:to>
    <xdr:cxnSp macro="">
      <xdr:nvCxnSpPr>
        <xdr:cNvPr id="445" name="Connecteur droit avec flèche 444"/>
        <xdr:cNvCxnSpPr/>
      </xdr:nvCxnSpPr>
      <xdr:spPr>
        <a:xfrm flipV="1">
          <a:off x="13731422" y="35541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318</xdr:row>
      <xdr:rowOff>130024</xdr:rowOff>
    </xdr:from>
    <xdr:to>
      <xdr:col>16</xdr:col>
      <xdr:colOff>193223</xdr:colOff>
      <xdr:row>319</xdr:row>
      <xdr:rowOff>98275</xdr:rowOff>
    </xdr:to>
    <xdr:cxnSp macro="">
      <xdr:nvCxnSpPr>
        <xdr:cNvPr id="446" name="Connecteur droit avec flèche 445"/>
        <xdr:cNvCxnSpPr/>
      </xdr:nvCxnSpPr>
      <xdr:spPr>
        <a:xfrm flipV="1">
          <a:off x="13784340" y="35944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320</xdr:row>
      <xdr:rowOff>130024</xdr:rowOff>
    </xdr:from>
    <xdr:to>
      <xdr:col>16</xdr:col>
      <xdr:colOff>140306</xdr:colOff>
      <xdr:row>321</xdr:row>
      <xdr:rowOff>98275</xdr:rowOff>
    </xdr:to>
    <xdr:cxnSp macro="">
      <xdr:nvCxnSpPr>
        <xdr:cNvPr id="447" name="Connecteur droit avec flèche 446"/>
        <xdr:cNvCxnSpPr/>
      </xdr:nvCxnSpPr>
      <xdr:spPr>
        <a:xfrm flipV="1">
          <a:off x="13699673" y="36325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322</xdr:row>
      <xdr:rowOff>130024</xdr:rowOff>
    </xdr:from>
    <xdr:to>
      <xdr:col>16</xdr:col>
      <xdr:colOff>214390</xdr:colOff>
      <xdr:row>323</xdr:row>
      <xdr:rowOff>87692</xdr:rowOff>
    </xdr:to>
    <xdr:cxnSp macro="">
      <xdr:nvCxnSpPr>
        <xdr:cNvPr id="448" name="Connecteur droit avec flèche 447"/>
        <xdr:cNvCxnSpPr/>
      </xdr:nvCxnSpPr>
      <xdr:spPr>
        <a:xfrm flipV="1">
          <a:off x="13752589" y="36706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344</xdr:row>
      <xdr:rowOff>141514</xdr:rowOff>
    </xdr:from>
    <xdr:to>
      <xdr:col>12</xdr:col>
      <xdr:colOff>253094</xdr:colOff>
      <xdr:row>344</xdr:row>
      <xdr:rowOff>149678</xdr:rowOff>
    </xdr:to>
    <xdr:cxnSp macro="">
      <xdr:nvCxnSpPr>
        <xdr:cNvPr id="449" name="Connecteur droit avec flèche 448"/>
        <xdr:cNvCxnSpPr/>
      </xdr:nvCxnSpPr>
      <xdr:spPr>
        <a:xfrm>
          <a:off x="10432597" y="39003514"/>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339</xdr:row>
      <xdr:rowOff>99787</xdr:rowOff>
    </xdr:from>
    <xdr:to>
      <xdr:col>12</xdr:col>
      <xdr:colOff>333829</xdr:colOff>
      <xdr:row>344</xdr:row>
      <xdr:rowOff>136071</xdr:rowOff>
    </xdr:to>
    <xdr:cxnSp macro="">
      <xdr:nvCxnSpPr>
        <xdr:cNvPr id="450" name="Connecteur droit avec flèche 449"/>
        <xdr:cNvCxnSpPr/>
      </xdr:nvCxnSpPr>
      <xdr:spPr>
        <a:xfrm flipV="1">
          <a:off x="10481583" y="38009287"/>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343</xdr:row>
      <xdr:rowOff>54429</xdr:rowOff>
    </xdr:from>
    <xdr:to>
      <xdr:col>12</xdr:col>
      <xdr:colOff>191710</xdr:colOff>
      <xdr:row>344</xdr:row>
      <xdr:rowOff>136071</xdr:rowOff>
    </xdr:to>
    <xdr:cxnSp macro="">
      <xdr:nvCxnSpPr>
        <xdr:cNvPr id="451" name="Connecteur droit avec flèche 450"/>
        <xdr:cNvCxnSpPr/>
      </xdr:nvCxnSpPr>
      <xdr:spPr>
        <a:xfrm flipV="1">
          <a:off x="10467976" y="38725929"/>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337</xdr:row>
      <xdr:rowOff>46871</xdr:rowOff>
    </xdr:from>
    <xdr:to>
      <xdr:col>14</xdr:col>
      <xdr:colOff>166612</xdr:colOff>
      <xdr:row>339</xdr:row>
      <xdr:rowOff>89203</xdr:rowOff>
    </xdr:to>
    <xdr:cxnSp macro="">
      <xdr:nvCxnSpPr>
        <xdr:cNvPr id="452" name="Connecteur droit avec flèche 451"/>
        <xdr:cNvCxnSpPr/>
      </xdr:nvCxnSpPr>
      <xdr:spPr>
        <a:xfrm flipV="1">
          <a:off x="12157529" y="37575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339</xdr:row>
      <xdr:rowOff>87088</xdr:rowOff>
    </xdr:from>
    <xdr:to>
      <xdr:col>14</xdr:col>
      <xdr:colOff>79829</xdr:colOff>
      <xdr:row>339</xdr:row>
      <xdr:rowOff>99787</xdr:rowOff>
    </xdr:to>
    <xdr:cxnSp macro="">
      <xdr:nvCxnSpPr>
        <xdr:cNvPr id="453" name="Connecteur droit avec flèche 452"/>
        <xdr:cNvCxnSpPr/>
      </xdr:nvCxnSpPr>
      <xdr:spPr>
        <a:xfrm>
          <a:off x="12115195" y="37996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341</xdr:row>
      <xdr:rowOff>89203</xdr:rowOff>
    </xdr:from>
    <xdr:to>
      <xdr:col>14</xdr:col>
      <xdr:colOff>79830</xdr:colOff>
      <xdr:row>343</xdr:row>
      <xdr:rowOff>89201</xdr:rowOff>
    </xdr:to>
    <xdr:cxnSp macro="">
      <xdr:nvCxnSpPr>
        <xdr:cNvPr id="454" name="Connecteur droit avec flèche 453"/>
        <xdr:cNvCxnSpPr/>
      </xdr:nvCxnSpPr>
      <xdr:spPr>
        <a:xfrm flipV="1">
          <a:off x="11998780" y="38379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344</xdr:row>
      <xdr:rowOff>68036</xdr:rowOff>
    </xdr:from>
    <xdr:to>
      <xdr:col>14</xdr:col>
      <xdr:colOff>90414</xdr:colOff>
      <xdr:row>344</xdr:row>
      <xdr:rowOff>78621</xdr:rowOff>
    </xdr:to>
    <xdr:cxnSp macro="">
      <xdr:nvCxnSpPr>
        <xdr:cNvPr id="455" name="Connecteur droit avec flèche 454"/>
        <xdr:cNvCxnSpPr/>
      </xdr:nvCxnSpPr>
      <xdr:spPr>
        <a:xfrm>
          <a:off x="12199864" y="38930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343</xdr:row>
      <xdr:rowOff>57453</xdr:rowOff>
    </xdr:from>
    <xdr:to>
      <xdr:col>14</xdr:col>
      <xdr:colOff>48080</xdr:colOff>
      <xdr:row>343</xdr:row>
      <xdr:rowOff>78621</xdr:rowOff>
    </xdr:to>
    <xdr:cxnSp macro="">
      <xdr:nvCxnSpPr>
        <xdr:cNvPr id="456" name="Connecteur droit avec flèche 455"/>
        <xdr:cNvCxnSpPr/>
      </xdr:nvCxnSpPr>
      <xdr:spPr>
        <a:xfrm>
          <a:off x="12051697" y="38728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337</xdr:row>
      <xdr:rowOff>128512</xdr:rowOff>
    </xdr:from>
    <xdr:to>
      <xdr:col>16</xdr:col>
      <xdr:colOff>172057</xdr:colOff>
      <xdr:row>337</xdr:row>
      <xdr:rowOff>141212</xdr:rowOff>
    </xdr:to>
    <xdr:cxnSp macro="">
      <xdr:nvCxnSpPr>
        <xdr:cNvPr id="457" name="Connecteur droit avec flèche 456"/>
        <xdr:cNvCxnSpPr/>
      </xdr:nvCxnSpPr>
      <xdr:spPr>
        <a:xfrm>
          <a:off x="13742006" y="376570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341</xdr:row>
      <xdr:rowOff>160262</xdr:rowOff>
    </xdr:from>
    <xdr:to>
      <xdr:col>16</xdr:col>
      <xdr:colOff>119140</xdr:colOff>
      <xdr:row>341</xdr:row>
      <xdr:rowOff>162379</xdr:rowOff>
    </xdr:to>
    <xdr:cxnSp macro="">
      <xdr:nvCxnSpPr>
        <xdr:cNvPr id="458" name="Connecteur droit avec flèche 457"/>
        <xdr:cNvCxnSpPr/>
      </xdr:nvCxnSpPr>
      <xdr:spPr>
        <a:xfrm>
          <a:off x="13710256" y="38450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339</xdr:row>
      <xdr:rowOff>160262</xdr:rowOff>
    </xdr:from>
    <xdr:to>
      <xdr:col>16</xdr:col>
      <xdr:colOff>193224</xdr:colOff>
      <xdr:row>339</xdr:row>
      <xdr:rowOff>162379</xdr:rowOff>
    </xdr:to>
    <xdr:cxnSp macro="">
      <xdr:nvCxnSpPr>
        <xdr:cNvPr id="459" name="Connecteur droit avec flèche 458"/>
        <xdr:cNvCxnSpPr/>
      </xdr:nvCxnSpPr>
      <xdr:spPr>
        <a:xfrm>
          <a:off x="13784340" y="38069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343</xdr:row>
      <xdr:rowOff>149679</xdr:rowOff>
    </xdr:from>
    <xdr:to>
      <xdr:col>16</xdr:col>
      <xdr:colOff>182640</xdr:colOff>
      <xdr:row>343</xdr:row>
      <xdr:rowOff>151796</xdr:rowOff>
    </xdr:to>
    <xdr:cxnSp macro="">
      <xdr:nvCxnSpPr>
        <xdr:cNvPr id="460" name="Connecteur droit avec flèche 459"/>
        <xdr:cNvCxnSpPr/>
      </xdr:nvCxnSpPr>
      <xdr:spPr>
        <a:xfrm>
          <a:off x="13773756" y="388211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344</xdr:row>
      <xdr:rowOff>92227</xdr:rowOff>
    </xdr:from>
    <xdr:to>
      <xdr:col>16</xdr:col>
      <xdr:colOff>87390</xdr:colOff>
      <xdr:row>344</xdr:row>
      <xdr:rowOff>94344</xdr:rowOff>
    </xdr:to>
    <xdr:cxnSp macro="">
      <xdr:nvCxnSpPr>
        <xdr:cNvPr id="461" name="Connecteur droit avec flèche 460"/>
        <xdr:cNvCxnSpPr/>
      </xdr:nvCxnSpPr>
      <xdr:spPr>
        <a:xfrm>
          <a:off x="13678506" y="3895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336</xdr:row>
      <xdr:rowOff>149679</xdr:rowOff>
    </xdr:from>
    <xdr:to>
      <xdr:col>16</xdr:col>
      <xdr:colOff>150890</xdr:colOff>
      <xdr:row>337</xdr:row>
      <xdr:rowOff>117930</xdr:rowOff>
    </xdr:to>
    <xdr:cxnSp macro="">
      <xdr:nvCxnSpPr>
        <xdr:cNvPr id="462" name="Connecteur droit avec flèche 461"/>
        <xdr:cNvCxnSpPr/>
      </xdr:nvCxnSpPr>
      <xdr:spPr>
        <a:xfrm flipV="1">
          <a:off x="13731422" y="374876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338</xdr:row>
      <xdr:rowOff>170846</xdr:rowOff>
    </xdr:from>
    <xdr:to>
      <xdr:col>16</xdr:col>
      <xdr:colOff>193223</xdr:colOff>
      <xdr:row>339</xdr:row>
      <xdr:rowOff>139097</xdr:rowOff>
    </xdr:to>
    <xdr:cxnSp macro="">
      <xdr:nvCxnSpPr>
        <xdr:cNvPr id="463" name="Connecteur droit avec flèche 462"/>
        <xdr:cNvCxnSpPr/>
      </xdr:nvCxnSpPr>
      <xdr:spPr>
        <a:xfrm flipV="1">
          <a:off x="13784340" y="378898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340</xdr:row>
      <xdr:rowOff>170846</xdr:rowOff>
    </xdr:from>
    <xdr:to>
      <xdr:col>16</xdr:col>
      <xdr:colOff>140306</xdr:colOff>
      <xdr:row>341</xdr:row>
      <xdr:rowOff>139097</xdr:rowOff>
    </xdr:to>
    <xdr:cxnSp macro="">
      <xdr:nvCxnSpPr>
        <xdr:cNvPr id="464" name="Connecteur droit avec flèche 463"/>
        <xdr:cNvCxnSpPr/>
      </xdr:nvCxnSpPr>
      <xdr:spPr>
        <a:xfrm flipV="1">
          <a:off x="13699673" y="382708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342</xdr:row>
      <xdr:rowOff>170846</xdr:rowOff>
    </xdr:from>
    <xdr:to>
      <xdr:col>16</xdr:col>
      <xdr:colOff>214390</xdr:colOff>
      <xdr:row>343</xdr:row>
      <xdr:rowOff>128514</xdr:rowOff>
    </xdr:to>
    <xdr:cxnSp macro="">
      <xdr:nvCxnSpPr>
        <xdr:cNvPr id="465" name="Connecteur droit avec flèche 464"/>
        <xdr:cNvCxnSpPr/>
      </xdr:nvCxnSpPr>
      <xdr:spPr>
        <a:xfrm flipV="1">
          <a:off x="13752589" y="386518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364</xdr:row>
      <xdr:rowOff>114300</xdr:rowOff>
    </xdr:from>
    <xdr:to>
      <xdr:col>12</xdr:col>
      <xdr:colOff>348344</xdr:colOff>
      <xdr:row>364</xdr:row>
      <xdr:rowOff>122464</xdr:rowOff>
    </xdr:to>
    <xdr:cxnSp macro="">
      <xdr:nvCxnSpPr>
        <xdr:cNvPr id="466" name="Connecteur droit avec flèche 465"/>
        <xdr:cNvCxnSpPr/>
      </xdr:nvCxnSpPr>
      <xdr:spPr>
        <a:xfrm>
          <a:off x="10527847" y="4088130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359</xdr:row>
      <xdr:rowOff>72573</xdr:rowOff>
    </xdr:from>
    <xdr:to>
      <xdr:col>12</xdr:col>
      <xdr:colOff>429079</xdr:colOff>
      <xdr:row>364</xdr:row>
      <xdr:rowOff>108857</xdr:rowOff>
    </xdr:to>
    <xdr:cxnSp macro="">
      <xdr:nvCxnSpPr>
        <xdr:cNvPr id="467" name="Connecteur droit avec flèche 466"/>
        <xdr:cNvCxnSpPr/>
      </xdr:nvCxnSpPr>
      <xdr:spPr>
        <a:xfrm flipV="1">
          <a:off x="10576833" y="3988707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363</xdr:row>
      <xdr:rowOff>27215</xdr:rowOff>
    </xdr:from>
    <xdr:to>
      <xdr:col>12</xdr:col>
      <xdr:colOff>286960</xdr:colOff>
      <xdr:row>364</xdr:row>
      <xdr:rowOff>108857</xdr:rowOff>
    </xdr:to>
    <xdr:cxnSp macro="">
      <xdr:nvCxnSpPr>
        <xdr:cNvPr id="468" name="Connecteur droit avec flèche 467"/>
        <xdr:cNvCxnSpPr/>
      </xdr:nvCxnSpPr>
      <xdr:spPr>
        <a:xfrm flipV="1">
          <a:off x="10563226" y="4060371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357</xdr:row>
      <xdr:rowOff>19657</xdr:rowOff>
    </xdr:from>
    <xdr:to>
      <xdr:col>14</xdr:col>
      <xdr:colOff>261862</xdr:colOff>
      <xdr:row>359</xdr:row>
      <xdr:rowOff>61989</xdr:rowOff>
    </xdr:to>
    <xdr:cxnSp macro="">
      <xdr:nvCxnSpPr>
        <xdr:cNvPr id="469" name="Connecteur droit avec flèche 468"/>
        <xdr:cNvCxnSpPr/>
      </xdr:nvCxnSpPr>
      <xdr:spPr>
        <a:xfrm flipV="1">
          <a:off x="12252779" y="39453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359</xdr:row>
      <xdr:rowOff>59874</xdr:rowOff>
    </xdr:from>
    <xdr:to>
      <xdr:col>14</xdr:col>
      <xdr:colOff>175079</xdr:colOff>
      <xdr:row>359</xdr:row>
      <xdr:rowOff>72573</xdr:rowOff>
    </xdr:to>
    <xdr:cxnSp macro="">
      <xdr:nvCxnSpPr>
        <xdr:cNvPr id="470" name="Connecteur droit avec flèche 469"/>
        <xdr:cNvCxnSpPr/>
      </xdr:nvCxnSpPr>
      <xdr:spPr>
        <a:xfrm>
          <a:off x="12210445" y="39874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361</xdr:row>
      <xdr:rowOff>61989</xdr:rowOff>
    </xdr:from>
    <xdr:to>
      <xdr:col>14</xdr:col>
      <xdr:colOff>175080</xdr:colOff>
      <xdr:row>363</xdr:row>
      <xdr:rowOff>61987</xdr:rowOff>
    </xdr:to>
    <xdr:cxnSp macro="">
      <xdr:nvCxnSpPr>
        <xdr:cNvPr id="471" name="Connecteur droit avec flèche 470"/>
        <xdr:cNvCxnSpPr/>
      </xdr:nvCxnSpPr>
      <xdr:spPr>
        <a:xfrm flipV="1">
          <a:off x="12094030" y="40257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364</xdr:row>
      <xdr:rowOff>93738</xdr:rowOff>
    </xdr:from>
    <xdr:to>
      <xdr:col>14</xdr:col>
      <xdr:colOff>26914</xdr:colOff>
      <xdr:row>364</xdr:row>
      <xdr:rowOff>104323</xdr:rowOff>
    </xdr:to>
    <xdr:cxnSp macro="">
      <xdr:nvCxnSpPr>
        <xdr:cNvPr id="472" name="Connecteur droit avec flèche 471"/>
        <xdr:cNvCxnSpPr/>
      </xdr:nvCxnSpPr>
      <xdr:spPr>
        <a:xfrm>
          <a:off x="12136364" y="408607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363</xdr:row>
      <xdr:rowOff>30239</xdr:rowOff>
    </xdr:from>
    <xdr:to>
      <xdr:col>14</xdr:col>
      <xdr:colOff>143330</xdr:colOff>
      <xdr:row>363</xdr:row>
      <xdr:rowOff>51407</xdr:rowOff>
    </xdr:to>
    <xdr:cxnSp macro="">
      <xdr:nvCxnSpPr>
        <xdr:cNvPr id="473" name="Connecteur droit avec flèche 472"/>
        <xdr:cNvCxnSpPr/>
      </xdr:nvCxnSpPr>
      <xdr:spPr>
        <a:xfrm>
          <a:off x="12146947" y="40606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357</xdr:row>
      <xdr:rowOff>101298</xdr:rowOff>
    </xdr:from>
    <xdr:to>
      <xdr:col>16</xdr:col>
      <xdr:colOff>267307</xdr:colOff>
      <xdr:row>357</xdr:row>
      <xdr:rowOff>113998</xdr:rowOff>
    </xdr:to>
    <xdr:cxnSp macro="">
      <xdr:nvCxnSpPr>
        <xdr:cNvPr id="474" name="Connecteur droit avec flèche 473"/>
        <xdr:cNvCxnSpPr/>
      </xdr:nvCxnSpPr>
      <xdr:spPr>
        <a:xfrm>
          <a:off x="13837256" y="39534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361</xdr:row>
      <xdr:rowOff>133048</xdr:rowOff>
    </xdr:from>
    <xdr:to>
      <xdr:col>16</xdr:col>
      <xdr:colOff>214390</xdr:colOff>
      <xdr:row>361</xdr:row>
      <xdr:rowOff>135165</xdr:rowOff>
    </xdr:to>
    <xdr:cxnSp macro="">
      <xdr:nvCxnSpPr>
        <xdr:cNvPr id="475" name="Connecteur droit avec flèche 474"/>
        <xdr:cNvCxnSpPr/>
      </xdr:nvCxnSpPr>
      <xdr:spPr>
        <a:xfrm>
          <a:off x="13805506" y="40328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359</xdr:row>
      <xdr:rowOff>133048</xdr:rowOff>
    </xdr:from>
    <xdr:to>
      <xdr:col>16</xdr:col>
      <xdr:colOff>288474</xdr:colOff>
      <xdr:row>359</xdr:row>
      <xdr:rowOff>135165</xdr:rowOff>
    </xdr:to>
    <xdr:cxnSp macro="">
      <xdr:nvCxnSpPr>
        <xdr:cNvPr id="476" name="Connecteur droit avec flèche 475"/>
        <xdr:cNvCxnSpPr/>
      </xdr:nvCxnSpPr>
      <xdr:spPr>
        <a:xfrm>
          <a:off x="13879590" y="39947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363</xdr:row>
      <xdr:rowOff>122465</xdr:rowOff>
    </xdr:from>
    <xdr:to>
      <xdr:col>16</xdr:col>
      <xdr:colOff>277890</xdr:colOff>
      <xdr:row>363</xdr:row>
      <xdr:rowOff>124582</xdr:rowOff>
    </xdr:to>
    <xdr:cxnSp macro="">
      <xdr:nvCxnSpPr>
        <xdr:cNvPr id="477" name="Connecteur droit avec flèche 476"/>
        <xdr:cNvCxnSpPr/>
      </xdr:nvCxnSpPr>
      <xdr:spPr>
        <a:xfrm>
          <a:off x="13869006" y="40698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364</xdr:row>
      <xdr:rowOff>133049</xdr:rowOff>
    </xdr:from>
    <xdr:to>
      <xdr:col>16</xdr:col>
      <xdr:colOff>182640</xdr:colOff>
      <xdr:row>364</xdr:row>
      <xdr:rowOff>135166</xdr:rowOff>
    </xdr:to>
    <xdr:cxnSp macro="">
      <xdr:nvCxnSpPr>
        <xdr:cNvPr id="478" name="Connecteur droit avec flèche 477"/>
        <xdr:cNvCxnSpPr/>
      </xdr:nvCxnSpPr>
      <xdr:spPr>
        <a:xfrm>
          <a:off x="13773756" y="40900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356</xdr:row>
      <xdr:rowOff>122465</xdr:rowOff>
    </xdr:from>
    <xdr:to>
      <xdr:col>16</xdr:col>
      <xdr:colOff>246140</xdr:colOff>
      <xdr:row>357</xdr:row>
      <xdr:rowOff>90716</xdr:rowOff>
    </xdr:to>
    <xdr:cxnSp macro="">
      <xdr:nvCxnSpPr>
        <xdr:cNvPr id="479" name="Connecteur droit avec flèche 478"/>
        <xdr:cNvCxnSpPr/>
      </xdr:nvCxnSpPr>
      <xdr:spPr>
        <a:xfrm flipV="1">
          <a:off x="13826672" y="39365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358</xdr:row>
      <xdr:rowOff>143632</xdr:rowOff>
    </xdr:from>
    <xdr:to>
      <xdr:col>16</xdr:col>
      <xdr:colOff>288473</xdr:colOff>
      <xdr:row>359</xdr:row>
      <xdr:rowOff>111883</xdr:rowOff>
    </xdr:to>
    <xdr:cxnSp macro="">
      <xdr:nvCxnSpPr>
        <xdr:cNvPr id="480" name="Connecteur droit avec flèche 479"/>
        <xdr:cNvCxnSpPr/>
      </xdr:nvCxnSpPr>
      <xdr:spPr>
        <a:xfrm flipV="1">
          <a:off x="13879590" y="39767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360</xdr:row>
      <xdr:rowOff>143632</xdr:rowOff>
    </xdr:from>
    <xdr:to>
      <xdr:col>16</xdr:col>
      <xdr:colOff>235556</xdr:colOff>
      <xdr:row>361</xdr:row>
      <xdr:rowOff>111883</xdr:rowOff>
    </xdr:to>
    <xdr:cxnSp macro="">
      <xdr:nvCxnSpPr>
        <xdr:cNvPr id="481" name="Connecteur droit avec flèche 480"/>
        <xdr:cNvCxnSpPr/>
      </xdr:nvCxnSpPr>
      <xdr:spPr>
        <a:xfrm flipV="1">
          <a:off x="13794923" y="40148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362</xdr:row>
      <xdr:rowOff>122464</xdr:rowOff>
    </xdr:from>
    <xdr:to>
      <xdr:col>16</xdr:col>
      <xdr:colOff>176893</xdr:colOff>
      <xdr:row>363</xdr:row>
      <xdr:rowOff>101300</xdr:rowOff>
    </xdr:to>
    <xdr:cxnSp macro="">
      <xdr:nvCxnSpPr>
        <xdr:cNvPr id="482" name="Connecteur droit avec flèche 481"/>
        <xdr:cNvCxnSpPr/>
      </xdr:nvCxnSpPr>
      <xdr:spPr>
        <a:xfrm flipV="1">
          <a:off x="13847839" y="405084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394</xdr:row>
      <xdr:rowOff>100692</xdr:rowOff>
    </xdr:from>
    <xdr:to>
      <xdr:col>12</xdr:col>
      <xdr:colOff>171451</xdr:colOff>
      <xdr:row>394</xdr:row>
      <xdr:rowOff>108856</xdr:rowOff>
    </xdr:to>
    <xdr:cxnSp macro="">
      <xdr:nvCxnSpPr>
        <xdr:cNvPr id="483" name="Connecteur droit avec flèche 482"/>
        <xdr:cNvCxnSpPr/>
      </xdr:nvCxnSpPr>
      <xdr:spPr>
        <a:xfrm>
          <a:off x="10350954" y="42772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1055915</xdr:colOff>
      <xdr:row>389</xdr:row>
      <xdr:rowOff>58965</xdr:rowOff>
    </xdr:from>
    <xdr:to>
      <xdr:col>12</xdr:col>
      <xdr:colOff>252186</xdr:colOff>
      <xdr:row>394</xdr:row>
      <xdr:rowOff>95249</xdr:rowOff>
    </xdr:to>
    <xdr:cxnSp macro="">
      <xdr:nvCxnSpPr>
        <xdr:cNvPr id="484" name="Connecteur droit avec flèche 483"/>
        <xdr:cNvCxnSpPr/>
      </xdr:nvCxnSpPr>
      <xdr:spPr>
        <a:xfrm flipV="1">
          <a:off x="10399940" y="41778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1042308</xdr:colOff>
      <xdr:row>393</xdr:row>
      <xdr:rowOff>13607</xdr:rowOff>
    </xdr:from>
    <xdr:to>
      <xdr:col>12</xdr:col>
      <xdr:colOff>110067</xdr:colOff>
      <xdr:row>394</xdr:row>
      <xdr:rowOff>95249</xdr:rowOff>
    </xdr:to>
    <xdr:cxnSp macro="">
      <xdr:nvCxnSpPr>
        <xdr:cNvPr id="485" name="Connecteur droit avec flèche 484"/>
        <xdr:cNvCxnSpPr/>
      </xdr:nvCxnSpPr>
      <xdr:spPr>
        <a:xfrm flipV="1">
          <a:off x="10386333" y="42495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664936</xdr:colOff>
      <xdr:row>387</xdr:row>
      <xdr:rowOff>6049</xdr:rowOff>
    </xdr:from>
    <xdr:to>
      <xdr:col>14</xdr:col>
      <xdr:colOff>84969</xdr:colOff>
      <xdr:row>389</xdr:row>
      <xdr:rowOff>48381</xdr:rowOff>
    </xdr:to>
    <xdr:cxnSp macro="">
      <xdr:nvCxnSpPr>
        <xdr:cNvPr id="486" name="Connecteur droit avec flèche 485"/>
        <xdr:cNvCxnSpPr/>
      </xdr:nvCxnSpPr>
      <xdr:spPr>
        <a:xfrm flipV="1">
          <a:off x="12075886" y="41344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622602</xdr:colOff>
      <xdr:row>389</xdr:row>
      <xdr:rowOff>46266</xdr:rowOff>
    </xdr:from>
    <xdr:to>
      <xdr:col>13</xdr:col>
      <xdr:colOff>760186</xdr:colOff>
      <xdr:row>389</xdr:row>
      <xdr:rowOff>58965</xdr:rowOff>
    </xdr:to>
    <xdr:cxnSp macro="">
      <xdr:nvCxnSpPr>
        <xdr:cNvPr id="487" name="Connecteur droit avec flèche 486"/>
        <xdr:cNvCxnSpPr/>
      </xdr:nvCxnSpPr>
      <xdr:spPr>
        <a:xfrm>
          <a:off x="12033552" y="41765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506187</xdr:colOff>
      <xdr:row>391</xdr:row>
      <xdr:rowOff>48381</xdr:rowOff>
    </xdr:from>
    <xdr:to>
      <xdr:col>13</xdr:col>
      <xdr:colOff>760187</xdr:colOff>
      <xdr:row>393</xdr:row>
      <xdr:rowOff>48379</xdr:rowOff>
    </xdr:to>
    <xdr:cxnSp macro="">
      <xdr:nvCxnSpPr>
        <xdr:cNvPr id="488" name="Connecteur droit avec flèche 487"/>
        <xdr:cNvCxnSpPr/>
      </xdr:nvCxnSpPr>
      <xdr:spPr>
        <a:xfrm flipV="1">
          <a:off x="11917137" y="42148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707271</xdr:colOff>
      <xdr:row>394</xdr:row>
      <xdr:rowOff>81643</xdr:rowOff>
    </xdr:from>
    <xdr:to>
      <xdr:col>14</xdr:col>
      <xdr:colOff>8771</xdr:colOff>
      <xdr:row>394</xdr:row>
      <xdr:rowOff>92228</xdr:rowOff>
    </xdr:to>
    <xdr:cxnSp macro="">
      <xdr:nvCxnSpPr>
        <xdr:cNvPr id="489" name="Connecteur droit avec flèche 488"/>
        <xdr:cNvCxnSpPr/>
      </xdr:nvCxnSpPr>
      <xdr:spPr>
        <a:xfrm>
          <a:off x="12118221" y="4275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725413</xdr:colOff>
      <xdr:row>387</xdr:row>
      <xdr:rowOff>87690</xdr:rowOff>
    </xdr:from>
    <xdr:to>
      <xdr:col>16</xdr:col>
      <xdr:colOff>90414</xdr:colOff>
      <xdr:row>387</xdr:row>
      <xdr:rowOff>100390</xdr:rowOff>
    </xdr:to>
    <xdr:cxnSp macro="">
      <xdr:nvCxnSpPr>
        <xdr:cNvPr id="490" name="Connecteur droit avec flèche 489"/>
        <xdr:cNvCxnSpPr/>
      </xdr:nvCxnSpPr>
      <xdr:spPr>
        <a:xfrm>
          <a:off x="13660363" y="41426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693663</xdr:colOff>
      <xdr:row>391</xdr:row>
      <xdr:rowOff>119440</xdr:rowOff>
    </xdr:from>
    <xdr:to>
      <xdr:col>16</xdr:col>
      <xdr:colOff>37497</xdr:colOff>
      <xdr:row>391</xdr:row>
      <xdr:rowOff>121557</xdr:rowOff>
    </xdr:to>
    <xdr:cxnSp macro="">
      <xdr:nvCxnSpPr>
        <xdr:cNvPr id="491" name="Connecteur droit avec flèche 490"/>
        <xdr:cNvCxnSpPr/>
      </xdr:nvCxnSpPr>
      <xdr:spPr>
        <a:xfrm>
          <a:off x="13628613" y="42219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389</xdr:row>
      <xdr:rowOff>119440</xdr:rowOff>
    </xdr:from>
    <xdr:to>
      <xdr:col>16</xdr:col>
      <xdr:colOff>111581</xdr:colOff>
      <xdr:row>389</xdr:row>
      <xdr:rowOff>121557</xdr:rowOff>
    </xdr:to>
    <xdr:cxnSp macro="">
      <xdr:nvCxnSpPr>
        <xdr:cNvPr id="492" name="Connecteur droit avec flèche 491"/>
        <xdr:cNvCxnSpPr/>
      </xdr:nvCxnSpPr>
      <xdr:spPr>
        <a:xfrm>
          <a:off x="13702697" y="41838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757163</xdr:colOff>
      <xdr:row>393</xdr:row>
      <xdr:rowOff>108857</xdr:rowOff>
    </xdr:from>
    <xdr:to>
      <xdr:col>16</xdr:col>
      <xdr:colOff>100997</xdr:colOff>
      <xdr:row>393</xdr:row>
      <xdr:rowOff>110974</xdr:rowOff>
    </xdr:to>
    <xdr:cxnSp macro="">
      <xdr:nvCxnSpPr>
        <xdr:cNvPr id="493" name="Connecteur droit avec flèche 492"/>
        <xdr:cNvCxnSpPr/>
      </xdr:nvCxnSpPr>
      <xdr:spPr>
        <a:xfrm>
          <a:off x="13692113" y="42590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661913</xdr:colOff>
      <xdr:row>394</xdr:row>
      <xdr:rowOff>65013</xdr:rowOff>
    </xdr:from>
    <xdr:to>
      <xdr:col>16</xdr:col>
      <xdr:colOff>5747</xdr:colOff>
      <xdr:row>394</xdr:row>
      <xdr:rowOff>67130</xdr:rowOff>
    </xdr:to>
    <xdr:cxnSp macro="">
      <xdr:nvCxnSpPr>
        <xdr:cNvPr id="494" name="Connecteur droit avec flèche 493"/>
        <xdr:cNvCxnSpPr/>
      </xdr:nvCxnSpPr>
      <xdr:spPr>
        <a:xfrm>
          <a:off x="13596863" y="42737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714829</xdr:colOff>
      <xdr:row>386</xdr:row>
      <xdr:rowOff>108857</xdr:rowOff>
    </xdr:from>
    <xdr:to>
      <xdr:col>16</xdr:col>
      <xdr:colOff>69247</xdr:colOff>
      <xdr:row>387</xdr:row>
      <xdr:rowOff>77108</xdr:rowOff>
    </xdr:to>
    <xdr:cxnSp macro="">
      <xdr:nvCxnSpPr>
        <xdr:cNvPr id="495" name="Connecteur droit avec flèche 494"/>
        <xdr:cNvCxnSpPr/>
      </xdr:nvCxnSpPr>
      <xdr:spPr>
        <a:xfrm flipV="1">
          <a:off x="13649779" y="41256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388</xdr:row>
      <xdr:rowOff>130024</xdr:rowOff>
    </xdr:from>
    <xdr:to>
      <xdr:col>16</xdr:col>
      <xdr:colOff>111580</xdr:colOff>
      <xdr:row>389</xdr:row>
      <xdr:rowOff>98275</xdr:rowOff>
    </xdr:to>
    <xdr:cxnSp macro="">
      <xdr:nvCxnSpPr>
        <xdr:cNvPr id="496" name="Connecteur droit avec flèche 495"/>
        <xdr:cNvCxnSpPr/>
      </xdr:nvCxnSpPr>
      <xdr:spPr>
        <a:xfrm flipV="1">
          <a:off x="13702697" y="41659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683080</xdr:colOff>
      <xdr:row>390</xdr:row>
      <xdr:rowOff>130024</xdr:rowOff>
    </xdr:from>
    <xdr:to>
      <xdr:col>16</xdr:col>
      <xdr:colOff>58663</xdr:colOff>
      <xdr:row>391</xdr:row>
      <xdr:rowOff>98275</xdr:rowOff>
    </xdr:to>
    <xdr:cxnSp macro="">
      <xdr:nvCxnSpPr>
        <xdr:cNvPr id="497" name="Connecteur droit avec flèche 496"/>
        <xdr:cNvCxnSpPr/>
      </xdr:nvCxnSpPr>
      <xdr:spPr>
        <a:xfrm flipV="1">
          <a:off x="13618030" y="42040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735996</xdr:colOff>
      <xdr:row>392</xdr:row>
      <xdr:rowOff>130024</xdr:rowOff>
    </xdr:from>
    <xdr:to>
      <xdr:col>16</xdr:col>
      <xdr:colOff>132747</xdr:colOff>
      <xdr:row>393</xdr:row>
      <xdr:rowOff>87692</xdr:rowOff>
    </xdr:to>
    <xdr:cxnSp macro="">
      <xdr:nvCxnSpPr>
        <xdr:cNvPr id="498" name="Connecteur droit avec flèche 497"/>
        <xdr:cNvCxnSpPr/>
      </xdr:nvCxnSpPr>
      <xdr:spPr>
        <a:xfrm flipV="1">
          <a:off x="13670946" y="42421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414</xdr:row>
      <xdr:rowOff>141513</xdr:rowOff>
    </xdr:from>
    <xdr:to>
      <xdr:col>12</xdr:col>
      <xdr:colOff>117022</xdr:colOff>
      <xdr:row>414</xdr:row>
      <xdr:rowOff>149677</xdr:rowOff>
    </xdr:to>
    <xdr:cxnSp macro="">
      <xdr:nvCxnSpPr>
        <xdr:cNvPr id="499" name="Connecteur droit avec flèche 498"/>
        <xdr:cNvCxnSpPr/>
      </xdr:nvCxnSpPr>
      <xdr:spPr>
        <a:xfrm>
          <a:off x="10296525" y="44718513"/>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409</xdr:row>
      <xdr:rowOff>99786</xdr:rowOff>
    </xdr:from>
    <xdr:to>
      <xdr:col>12</xdr:col>
      <xdr:colOff>197757</xdr:colOff>
      <xdr:row>414</xdr:row>
      <xdr:rowOff>136070</xdr:rowOff>
    </xdr:to>
    <xdr:cxnSp macro="">
      <xdr:nvCxnSpPr>
        <xdr:cNvPr id="500" name="Connecteur droit avec flèche 499"/>
        <xdr:cNvCxnSpPr/>
      </xdr:nvCxnSpPr>
      <xdr:spPr>
        <a:xfrm flipV="1">
          <a:off x="10345511" y="43724286"/>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413</xdr:row>
      <xdr:rowOff>54428</xdr:rowOff>
    </xdr:from>
    <xdr:to>
      <xdr:col>12</xdr:col>
      <xdr:colOff>55638</xdr:colOff>
      <xdr:row>414</xdr:row>
      <xdr:rowOff>136070</xdr:rowOff>
    </xdr:to>
    <xdr:cxnSp macro="">
      <xdr:nvCxnSpPr>
        <xdr:cNvPr id="501" name="Connecteur droit avec flèche 500"/>
        <xdr:cNvCxnSpPr/>
      </xdr:nvCxnSpPr>
      <xdr:spPr>
        <a:xfrm flipV="1">
          <a:off x="10331904" y="44440928"/>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407</xdr:row>
      <xdr:rowOff>46870</xdr:rowOff>
    </xdr:from>
    <xdr:to>
      <xdr:col>14</xdr:col>
      <xdr:colOff>30540</xdr:colOff>
      <xdr:row>409</xdr:row>
      <xdr:rowOff>89202</xdr:rowOff>
    </xdr:to>
    <xdr:cxnSp macro="">
      <xdr:nvCxnSpPr>
        <xdr:cNvPr id="502" name="Connecteur droit avec flèche 501"/>
        <xdr:cNvCxnSpPr/>
      </xdr:nvCxnSpPr>
      <xdr:spPr>
        <a:xfrm flipV="1">
          <a:off x="12021457" y="43290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409</xdr:row>
      <xdr:rowOff>87087</xdr:rowOff>
    </xdr:from>
    <xdr:to>
      <xdr:col>13</xdr:col>
      <xdr:colOff>705757</xdr:colOff>
      <xdr:row>409</xdr:row>
      <xdr:rowOff>99786</xdr:rowOff>
    </xdr:to>
    <xdr:cxnSp macro="">
      <xdr:nvCxnSpPr>
        <xdr:cNvPr id="503" name="Connecteur droit avec flèche 502"/>
        <xdr:cNvCxnSpPr/>
      </xdr:nvCxnSpPr>
      <xdr:spPr>
        <a:xfrm>
          <a:off x="11979123" y="43711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411</xdr:row>
      <xdr:rowOff>89202</xdr:rowOff>
    </xdr:from>
    <xdr:to>
      <xdr:col>13</xdr:col>
      <xdr:colOff>705758</xdr:colOff>
      <xdr:row>413</xdr:row>
      <xdr:rowOff>89200</xdr:rowOff>
    </xdr:to>
    <xdr:cxnSp macro="">
      <xdr:nvCxnSpPr>
        <xdr:cNvPr id="504" name="Connecteur droit avec flèche 503"/>
        <xdr:cNvCxnSpPr/>
      </xdr:nvCxnSpPr>
      <xdr:spPr>
        <a:xfrm flipV="1">
          <a:off x="11862708" y="44094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414</xdr:row>
      <xdr:rowOff>68035</xdr:rowOff>
    </xdr:from>
    <xdr:to>
      <xdr:col>13</xdr:col>
      <xdr:colOff>716342</xdr:colOff>
      <xdr:row>414</xdr:row>
      <xdr:rowOff>78620</xdr:rowOff>
    </xdr:to>
    <xdr:cxnSp macro="">
      <xdr:nvCxnSpPr>
        <xdr:cNvPr id="505" name="Connecteur droit avec flèche 504"/>
        <xdr:cNvCxnSpPr/>
      </xdr:nvCxnSpPr>
      <xdr:spPr>
        <a:xfrm>
          <a:off x="12063792" y="44645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413</xdr:row>
      <xdr:rowOff>57452</xdr:rowOff>
    </xdr:from>
    <xdr:to>
      <xdr:col>13</xdr:col>
      <xdr:colOff>674008</xdr:colOff>
      <xdr:row>413</xdr:row>
      <xdr:rowOff>78620</xdr:rowOff>
    </xdr:to>
    <xdr:cxnSp macro="">
      <xdr:nvCxnSpPr>
        <xdr:cNvPr id="506" name="Connecteur droit avec flèche 505"/>
        <xdr:cNvCxnSpPr/>
      </xdr:nvCxnSpPr>
      <xdr:spPr>
        <a:xfrm>
          <a:off x="11915625" y="44443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407</xdr:row>
      <xdr:rowOff>128511</xdr:rowOff>
    </xdr:from>
    <xdr:to>
      <xdr:col>16</xdr:col>
      <xdr:colOff>35985</xdr:colOff>
      <xdr:row>407</xdr:row>
      <xdr:rowOff>141211</xdr:rowOff>
    </xdr:to>
    <xdr:cxnSp macro="">
      <xdr:nvCxnSpPr>
        <xdr:cNvPr id="507" name="Connecteur droit avec flèche 506"/>
        <xdr:cNvCxnSpPr/>
      </xdr:nvCxnSpPr>
      <xdr:spPr>
        <a:xfrm>
          <a:off x="13605934" y="4337201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411</xdr:row>
      <xdr:rowOff>160261</xdr:rowOff>
    </xdr:from>
    <xdr:to>
      <xdr:col>15</xdr:col>
      <xdr:colOff>745068</xdr:colOff>
      <xdr:row>411</xdr:row>
      <xdr:rowOff>162378</xdr:rowOff>
    </xdr:to>
    <xdr:cxnSp macro="">
      <xdr:nvCxnSpPr>
        <xdr:cNvPr id="508" name="Connecteur droit avec flèche 507"/>
        <xdr:cNvCxnSpPr/>
      </xdr:nvCxnSpPr>
      <xdr:spPr>
        <a:xfrm>
          <a:off x="13574184" y="44165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409</xdr:row>
      <xdr:rowOff>160261</xdr:rowOff>
    </xdr:from>
    <xdr:to>
      <xdr:col>16</xdr:col>
      <xdr:colOff>57152</xdr:colOff>
      <xdr:row>409</xdr:row>
      <xdr:rowOff>162378</xdr:rowOff>
    </xdr:to>
    <xdr:cxnSp macro="">
      <xdr:nvCxnSpPr>
        <xdr:cNvPr id="509" name="Connecteur droit avec flèche 508"/>
        <xdr:cNvCxnSpPr/>
      </xdr:nvCxnSpPr>
      <xdr:spPr>
        <a:xfrm>
          <a:off x="13648268" y="43784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413</xdr:row>
      <xdr:rowOff>149678</xdr:rowOff>
    </xdr:from>
    <xdr:to>
      <xdr:col>16</xdr:col>
      <xdr:colOff>46568</xdr:colOff>
      <xdr:row>413</xdr:row>
      <xdr:rowOff>151795</xdr:rowOff>
    </xdr:to>
    <xdr:cxnSp macro="">
      <xdr:nvCxnSpPr>
        <xdr:cNvPr id="510" name="Connecteur droit avec flèche 509"/>
        <xdr:cNvCxnSpPr/>
      </xdr:nvCxnSpPr>
      <xdr:spPr>
        <a:xfrm>
          <a:off x="13637684" y="4453617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414</xdr:row>
      <xdr:rowOff>92226</xdr:rowOff>
    </xdr:from>
    <xdr:to>
      <xdr:col>15</xdr:col>
      <xdr:colOff>726925</xdr:colOff>
      <xdr:row>414</xdr:row>
      <xdr:rowOff>94343</xdr:rowOff>
    </xdr:to>
    <xdr:cxnSp macro="">
      <xdr:nvCxnSpPr>
        <xdr:cNvPr id="511" name="Connecteur droit avec flèche 510"/>
        <xdr:cNvCxnSpPr/>
      </xdr:nvCxnSpPr>
      <xdr:spPr>
        <a:xfrm>
          <a:off x="13556041" y="44669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406</xdr:row>
      <xdr:rowOff>68036</xdr:rowOff>
    </xdr:from>
    <xdr:to>
      <xdr:col>16</xdr:col>
      <xdr:colOff>54429</xdr:colOff>
      <xdr:row>407</xdr:row>
      <xdr:rowOff>117930</xdr:rowOff>
    </xdr:to>
    <xdr:cxnSp macro="">
      <xdr:nvCxnSpPr>
        <xdr:cNvPr id="512" name="Connecteur droit avec flèche 511"/>
        <xdr:cNvCxnSpPr/>
      </xdr:nvCxnSpPr>
      <xdr:spPr>
        <a:xfrm flipV="1">
          <a:off x="13595350" y="43121036"/>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408</xdr:row>
      <xdr:rowOff>108857</xdr:rowOff>
    </xdr:from>
    <xdr:to>
      <xdr:col>16</xdr:col>
      <xdr:colOff>27214</xdr:colOff>
      <xdr:row>409</xdr:row>
      <xdr:rowOff>139097</xdr:rowOff>
    </xdr:to>
    <xdr:cxnSp macro="">
      <xdr:nvCxnSpPr>
        <xdr:cNvPr id="513" name="Connecteur droit avec flèche 512"/>
        <xdr:cNvCxnSpPr/>
      </xdr:nvCxnSpPr>
      <xdr:spPr>
        <a:xfrm flipV="1">
          <a:off x="13648268" y="43542857"/>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410</xdr:row>
      <xdr:rowOff>136071</xdr:rowOff>
    </xdr:from>
    <xdr:to>
      <xdr:col>15</xdr:col>
      <xdr:colOff>748393</xdr:colOff>
      <xdr:row>411</xdr:row>
      <xdr:rowOff>139097</xdr:rowOff>
    </xdr:to>
    <xdr:cxnSp macro="">
      <xdr:nvCxnSpPr>
        <xdr:cNvPr id="514" name="Connecteur droit avec flèche 513"/>
        <xdr:cNvCxnSpPr/>
      </xdr:nvCxnSpPr>
      <xdr:spPr>
        <a:xfrm flipV="1">
          <a:off x="13563601" y="43951071"/>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412</xdr:row>
      <xdr:rowOff>108857</xdr:rowOff>
    </xdr:from>
    <xdr:to>
      <xdr:col>15</xdr:col>
      <xdr:colOff>748393</xdr:colOff>
      <xdr:row>413</xdr:row>
      <xdr:rowOff>128513</xdr:rowOff>
    </xdr:to>
    <xdr:cxnSp macro="">
      <xdr:nvCxnSpPr>
        <xdr:cNvPr id="515" name="Connecteur droit avec flèche 514"/>
        <xdr:cNvCxnSpPr/>
      </xdr:nvCxnSpPr>
      <xdr:spPr>
        <a:xfrm flipV="1">
          <a:off x="13616517" y="44304857"/>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1088571</xdr:colOff>
      <xdr:row>424</xdr:row>
      <xdr:rowOff>114299</xdr:rowOff>
    </xdr:from>
    <xdr:to>
      <xdr:col>12</xdr:col>
      <xdr:colOff>253093</xdr:colOff>
      <xdr:row>424</xdr:row>
      <xdr:rowOff>122463</xdr:rowOff>
    </xdr:to>
    <xdr:cxnSp macro="">
      <xdr:nvCxnSpPr>
        <xdr:cNvPr id="516" name="Connecteur droit avec flèche 515"/>
        <xdr:cNvCxnSpPr/>
      </xdr:nvCxnSpPr>
      <xdr:spPr>
        <a:xfrm>
          <a:off x="10432596" y="46596299"/>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1137557</xdr:colOff>
      <xdr:row>419</xdr:row>
      <xdr:rowOff>72572</xdr:rowOff>
    </xdr:from>
    <xdr:to>
      <xdr:col>12</xdr:col>
      <xdr:colOff>333828</xdr:colOff>
      <xdr:row>424</xdr:row>
      <xdr:rowOff>108856</xdr:rowOff>
    </xdr:to>
    <xdr:cxnSp macro="">
      <xdr:nvCxnSpPr>
        <xdr:cNvPr id="517" name="Connecteur droit avec flèche 516"/>
        <xdr:cNvCxnSpPr/>
      </xdr:nvCxnSpPr>
      <xdr:spPr>
        <a:xfrm flipV="1">
          <a:off x="10481582" y="45602072"/>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1123950</xdr:colOff>
      <xdr:row>423</xdr:row>
      <xdr:rowOff>27214</xdr:rowOff>
    </xdr:from>
    <xdr:to>
      <xdr:col>12</xdr:col>
      <xdr:colOff>191709</xdr:colOff>
      <xdr:row>424</xdr:row>
      <xdr:rowOff>108856</xdr:rowOff>
    </xdr:to>
    <xdr:cxnSp macro="">
      <xdr:nvCxnSpPr>
        <xdr:cNvPr id="518" name="Connecteur droit avec flèche 517"/>
        <xdr:cNvCxnSpPr/>
      </xdr:nvCxnSpPr>
      <xdr:spPr>
        <a:xfrm flipV="1">
          <a:off x="10467975" y="46318714"/>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746578</xdr:colOff>
      <xdr:row>417</xdr:row>
      <xdr:rowOff>19656</xdr:rowOff>
    </xdr:from>
    <xdr:to>
      <xdr:col>14</xdr:col>
      <xdr:colOff>166611</xdr:colOff>
      <xdr:row>419</xdr:row>
      <xdr:rowOff>61988</xdr:rowOff>
    </xdr:to>
    <xdr:cxnSp macro="">
      <xdr:nvCxnSpPr>
        <xdr:cNvPr id="519" name="Connecteur droit avec flèche 518"/>
        <xdr:cNvCxnSpPr/>
      </xdr:nvCxnSpPr>
      <xdr:spPr>
        <a:xfrm flipV="1">
          <a:off x="12157528" y="45168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704244</xdr:colOff>
      <xdr:row>419</xdr:row>
      <xdr:rowOff>59873</xdr:rowOff>
    </xdr:from>
    <xdr:to>
      <xdr:col>14</xdr:col>
      <xdr:colOff>79828</xdr:colOff>
      <xdr:row>419</xdr:row>
      <xdr:rowOff>72572</xdr:rowOff>
    </xdr:to>
    <xdr:cxnSp macro="">
      <xdr:nvCxnSpPr>
        <xdr:cNvPr id="520" name="Connecteur droit avec flèche 519"/>
        <xdr:cNvCxnSpPr/>
      </xdr:nvCxnSpPr>
      <xdr:spPr>
        <a:xfrm>
          <a:off x="12115194" y="45589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587829</xdr:colOff>
      <xdr:row>421</xdr:row>
      <xdr:rowOff>61988</xdr:rowOff>
    </xdr:from>
    <xdr:to>
      <xdr:col>14</xdr:col>
      <xdr:colOff>79829</xdr:colOff>
      <xdr:row>423</xdr:row>
      <xdr:rowOff>61986</xdr:rowOff>
    </xdr:to>
    <xdr:cxnSp macro="">
      <xdr:nvCxnSpPr>
        <xdr:cNvPr id="521" name="Connecteur droit avec flèche 520"/>
        <xdr:cNvCxnSpPr/>
      </xdr:nvCxnSpPr>
      <xdr:spPr>
        <a:xfrm flipV="1">
          <a:off x="11998779" y="45972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26913</xdr:colOff>
      <xdr:row>424</xdr:row>
      <xdr:rowOff>40821</xdr:rowOff>
    </xdr:from>
    <xdr:to>
      <xdr:col>14</xdr:col>
      <xdr:colOff>90413</xdr:colOff>
      <xdr:row>424</xdr:row>
      <xdr:rowOff>51406</xdr:rowOff>
    </xdr:to>
    <xdr:cxnSp macro="">
      <xdr:nvCxnSpPr>
        <xdr:cNvPr id="522" name="Connecteur droit avec flèche 521"/>
        <xdr:cNvCxnSpPr/>
      </xdr:nvCxnSpPr>
      <xdr:spPr>
        <a:xfrm>
          <a:off x="12199863" y="46522821"/>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640746</xdr:colOff>
      <xdr:row>423</xdr:row>
      <xdr:rowOff>30238</xdr:rowOff>
    </xdr:from>
    <xdr:to>
      <xdr:col>14</xdr:col>
      <xdr:colOff>48079</xdr:colOff>
      <xdr:row>423</xdr:row>
      <xdr:rowOff>51406</xdr:rowOff>
    </xdr:to>
    <xdr:cxnSp macro="">
      <xdr:nvCxnSpPr>
        <xdr:cNvPr id="523" name="Connecteur droit avec flèche 522"/>
        <xdr:cNvCxnSpPr/>
      </xdr:nvCxnSpPr>
      <xdr:spPr>
        <a:xfrm>
          <a:off x="12051696" y="46321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45055</xdr:colOff>
      <xdr:row>417</xdr:row>
      <xdr:rowOff>101297</xdr:rowOff>
    </xdr:from>
    <xdr:to>
      <xdr:col>16</xdr:col>
      <xdr:colOff>172056</xdr:colOff>
      <xdr:row>417</xdr:row>
      <xdr:rowOff>113997</xdr:rowOff>
    </xdr:to>
    <xdr:cxnSp macro="">
      <xdr:nvCxnSpPr>
        <xdr:cNvPr id="524" name="Connecteur droit avec flèche 523"/>
        <xdr:cNvCxnSpPr/>
      </xdr:nvCxnSpPr>
      <xdr:spPr>
        <a:xfrm>
          <a:off x="13742005" y="45249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13305</xdr:colOff>
      <xdr:row>421</xdr:row>
      <xdr:rowOff>133047</xdr:rowOff>
    </xdr:from>
    <xdr:to>
      <xdr:col>16</xdr:col>
      <xdr:colOff>119139</xdr:colOff>
      <xdr:row>421</xdr:row>
      <xdr:rowOff>135164</xdr:rowOff>
    </xdr:to>
    <xdr:cxnSp macro="">
      <xdr:nvCxnSpPr>
        <xdr:cNvPr id="525" name="Connecteur droit avec flèche 524"/>
        <xdr:cNvCxnSpPr/>
      </xdr:nvCxnSpPr>
      <xdr:spPr>
        <a:xfrm>
          <a:off x="13710255" y="46043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419</xdr:row>
      <xdr:rowOff>133047</xdr:rowOff>
    </xdr:from>
    <xdr:to>
      <xdr:col>16</xdr:col>
      <xdr:colOff>193223</xdr:colOff>
      <xdr:row>419</xdr:row>
      <xdr:rowOff>135164</xdr:rowOff>
    </xdr:to>
    <xdr:cxnSp macro="">
      <xdr:nvCxnSpPr>
        <xdr:cNvPr id="526" name="Connecteur droit avec flèche 525"/>
        <xdr:cNvCxnSpPr/>
      </xdr:nvCxnSpPr>
      <xdr:spPr>
        <a:xfrm>
          <a:off x="13784339" y="45662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76805</xdr:colOff>
      <xdr:row>423</xdr:row>
      <xdr:rowOff>122464</xdr:rowOff>
    </xdr:from>
    <xdr:to>
      <xdr:col>16</xdr:col>
      <xdr:colOff>182639</xdr:colOff>
      <xdr:row>423</xdr:row>
      <xdr:rowOff>124581</xdr:rowOff>
    </xdr:to>
    <xdr:cxnSp macro="">
      <xdr:nvCxnSpPr>
        <xdr:cNvPr id="527" name="Connecteur droit avec flèche 526"/>
        <xdr:cNvCxnSpPr/>
      </xdr:nvCxnSpPr>
      <xdr:spPr>
        <a:xfrm>
          <a:off x="13773755" y="46413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424</xdr:row>
      <xdr:rowOff>133048</xdr:rowOff>
    </xdr:from>
    <xdr:to>
      <xdr:col>16</xdr:col>
      <xdr:colOff>87389</xdr:colOff>
      <xdr:row>424</xdr:row>
      <xdr:rowOff>135165</xdr:rowOff>
    </xdr:to>
    <xdr:cxnSp macro="">
      <xdr:nvCxnSpPr>
        <xdr:cNvPr id="528" name="Connecteur droit avec flèche 527"/>
        <xdr:cNvCxnSpPr/>
      </xdr:nvCxnSpPr>
      <xdr:spPr>
        <a:xfrm>
          <a:off x="13678505" y="46615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34471</xdr:colOff>
      <xdr:row>416</xdr:row>
      <xdr:rowOff>122464</xdr:rowOff>
    </xdr:from>
    <xdr:to>
      <xdr:col>16</xdr:col>
      <xdr:colOff>150889</xdr:colOff>
      <xdr:row>417</xdr:row>
      <xdr:rowOff>90715</xdr:rowOff>
    </xdr:to>
    <xdr:cxnSp macro="">
      <xdr:nvCxnSpPr>
        <xdr:cNvPr id="529" name="Connecteur droit avec flèche 528"/>
        <xdr:cNvCxnSpPr/>
      </xdr:nvCxnSpPr>
      <xdr:spPr>
        <a:xfrm flipV="1">
          <a:off x="13731421" y="45080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418</xdr:row>
      <xdr:rowOff>143631</xdr:rowOff>
    </xdr:from>
    <xdr:to>
      <xdr:col>16</xdr:col>
      <xdr:colOff>193222</xdr:colOff>
      <xdr:row>419</xdr:row>
      <xdr:rowOff>111882</xdr:rowOff>
    </xdr:to>
    <xdr:cxnSp macro="">
      <xdr:nvCxnSpPr>
        <xdr:cNvPr id="530" name="Connecteur droit avec flèche 529"/>
        <xdr:cNvCxnSpPr/>
      </xdr:nvCxnSpPr>
      <xdr:spPr>
        <a:xfrm flipV="1">
          <a:off x="13784339" y="45482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2722</xdr:colOff>
      <xdr:row>420</xdr:row>
      <xdr:rowOff>143631</xdr:rowOff>
    </xdr:from>
    <xdr:to>
      <xdr:col>16</xdr:col>
      <xdr:colOff>140305</xdr:colOff>
      <xdr:row>421</xdr:row>
      <xdr:rowOff>111882</xdr:rowOff>
    </xdr:to>
    <xdr:cxnSp macro="">
      <xdr:nvCxnSpPr>
        <xdr:cNvPr id="531" name="Connecteur droit avec flèche 530"/>
        <xdr:cNvCxnSpPr/>
      </xdr:nvCxnSpPr>
      <xdr:spPr>
        <a:xfrm flipV="1">
          <a:off x="13699672" y="45863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55638</xdr:colOff>
      <xdr:row>422</xdr:row>
      <xdr:rowOff>143631</xdr:rowOff>
    </xdr:from>
    <xdr:to>
      <xdr:col>16</xdr:col>
      <xdr:colOff>214389</xdr:colOff>
      <xdr:row>423</xdr:row>
      <xdr:rowOff>101299</xdr:rowOff>
    </xdr:to>
    <xdr:cxnSp macro="">
      <xdr:nvCxnSpPr>
        <xdr:cNvPr id="532" name="Connecteur droit avec flèche 531"/>
        <xdr:cNvCxnSpPr/>
      </xdr:nvCxnSpPr>
      <xdr:spPr>
        <a:xfrm flipV="1">
          <a:off x="13752588" y="46244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434</xdr:row>
      <xdr:rowOff>84665</xdr:rowOff>
    </xdr:from>
    <xdr:to>
      <xdr:col>12</xdr:col>
      <xdr:colOff>156332</xdr:colOff>
      <xdr:row>434</xdr:row>
      <xdr:rowOff>95250</xdr:rowOff>
    </xdr:to>
    <xdr:cxnSp macro="">
      <xdr:nvCxnSpPr>
        <xdr:cNvPr id="533" name="Connecteur droit avec flèche 532"/>
        <xdr:cNvCxnSpPr/>
      </xdr:nvCxnSpPr>
      <xdr:spPr>
        <a:xfrm flipV="1">
          <a:off x="10391775" y="48471665"/>
          <a:ext cx="117550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1121833</xdr:colOff>
      <xdr:row>429</xdr:row>
      <xdr:rowOff>140608</xdr:rowOff>
    </xdr:from>
    <xdr:to>
      <xdr:col>12</xdr:col>
      <xdr:colOff>184150</xdr:colOff>
      <xdr:row>434</xdr:row>
      <xdr:rowOff>95250</xdr:rowOff>
    </xdr:to>
    <xdr:cxnSp macro="">
      <xdr:nvCxnSpPr>
        <xdr:cNvPr id="534" name="Connecteur droit avec flèche 533"/>
        <xdr:cNvCxnSpPr/>
      </xdr:nvCxnSpPr>
      <xdr:spPr>
        <a:xfrm flipV="1">
          <a:off x="10465858" y="47575108"/>
          <a:ext cx="1129242" cy="907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1100666</xdr:colOff>
      <xdr:row>433</xdr:row>
      <xdr:rowOff>95250</xdr:rowOff>
    </xdr:from>
    <xdr:to>
      <xdr:col>12</xdr:col>
      <xdr:colOff>42031</xdr:colOff>
      <xdr:row>434</xdr:row>
      <xdr:rowOff>95250</xdr:rowOff>
    </xdr:to>
    <xdr:cxnSp macro="">
      <xdr:nvCxnSpPr>
        <xdr:cNvPr id="535" name="Connecteur droit avec flèche 534"/>
        <xdr:cNvCxnSpPr/>
      </xdr:nvCxnSpPr>
      <xdr:spPr>
        <a:xfrm flipV="1">
          <a:off x="10444691" y="48291750"/>
          <a:ext cx="1008290"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596900</xdr:colOff>
      <xdr:row>427</xdr:row>
      <xdr:rowOff>87692</xdr:rowOff>
    </xdr:from>
    <xdr:to>
      <xdr:col>14</xdr:col>
      <xdr:colOff>16933</xdr:colOff>
      <xdr:row>429</xdr:row>
      <xdr:rowOff>130024</xdr:rowOff>
    </xdr:to>
    <xdr:cxnSp macro="">
      <xdr:nvCxnSpPr>
        <xdr:cNvPr id="536" name="Connecteur droit avec flèche 535"/>
        <xdr:cNvCxnSpPr/>
      </xdr:nvCxnSpPr>
      <xdr:spPr>
        <a:xfrm flipV="1">
          <a:off x="12007850" y="47141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554566</xdr:colOff>
      <xdr:row>429</xdr:row>
      <xdr:rowOff>127909</xdr:rowOff>
    </xdr:from>
    <xdr:to>
      <xdr:col>13</xdr:col>
      <xdr:colOff>692150</xdr:colOff>
      <xdr:row>429</xdr:row>
      <xdr:rowOff>140608</xdr:rowOff>
    </xdr:to>
    <xdr:cxnSp macro="">
      <xdr:nvCxnSpPr>
        <xdr:cNvPr id="537" name="Connecteur droit avec flèche 536"/>
        <xdr:cNvCxnSpPr/>
      </xdr:nvCxnSpPr>
      <xdr:spPr>
        <a:xfrm>
          <a:off x="11965516" y="47562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438151</xdr:colOff>
      <xdr:row>431</xdr:row>
      <xdr:rowOff>130024</xdr:rowOff>
    </xdr:from>
    <xdr:to>
      <xdr:col>13</xdr:col>
      <xdr:colOff>692151</xdr:colOff>
      <xdr:row>433</xdr:row>
      <xdr:rowOff>130022</xdr:rowOff>
    </xdr:to>
    <xdr:cxnSp macro="">
      <xdr:nvCxnSpPr>
        <xdr:cNvPr id="538" name="Connecteur droit avec flèche 537"/>
        <xdr:cNvCxnSpPr/>
      </xdr:nvCxnSpPr>
      <xdr:spPr>
        <a:xfrm flipV="1">
          <a:off x="11849101" y="47945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639235</xdr:colOff>
      <xdr:row>434</xdr:row>
      <xdr:rowOff>108857</xdr:rowOff>
    </xdr:from>
    <xdr:to>
      <xdr:col>13</xdr:col>
      <xdr:colOff>702735</xdr:colOff>
      <xdr:row>434</xdr:row>
      <xdr:rowOff>119442</xdr:rowOff>
    </xdr:to>
    <xdr:cxnSp macro="">
      <xdr:nvCxnSpPr>
        <xdr:cNvPr id="539" name="Connecteur droit avec flèche 538"/>
        <xdr:cNvCxnSpPr/>
      </xdr:nvCxnSpPr>
      <xdr:spPr>
        <a:xfrm>
          <a:off x="12050185" y="48495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491068</xdr:colOff>
      <xdr:row>433</xdr:row>
      <xdr:rowOff>98274</xdr:rowOff>
    </xdr:from>
    <xdr:to>
      <xdr:col>13</xdr:col>
      <xdr:colOff>660401</xdr:colOff>
      <xdr:row>433</xdr:row>
      <xdr:rowOff>119442</xdr:rowOff>
    </xdr:to>
    <xdr:cxnSp macro="">
      <xdr:nvCxnSpPr>
        <xdr:cNvPr id="540" name="Connecteur droit avec flèche 539"/>
        <xdr:cNvCxnSpPr/>
      </xdr:nvCxnSpPr>
      <xdr:spPr>
        <a:xfrm>
          <a:off x="11902018" y="48294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758977</xdr:colOff>
      <xdr:row>427</xdr:row>
      <xdr:rowOff>74083</xdr:rowOff>
    </xdr:from>
    <xdr:to>
      <xdr:col>16</xdr:col>
      <xdr:colOff>123978</xdr:colOff>
      <xdr:row>427</xdr:row>
      <xdr:rowOff>86783</xdr:rowOff>
    </xdr:to>
    <xdr:cxnSp macro="">
      <xdr:nvCxnSpPr>
        <xdr:cNvPr id="541" name="Connecteur droit avec flèche 540"/>
        <xdr:cNvCxnSpPr/>
      </xdr:nvCxnSpPr>
      <xdr:spPr>
        <a:xfrm>
          <a:off x="13693927" y="47127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701827</xdr:colOff>
      <xdr:row>431</xdr:row>
      <xdr:rowOff>67733</xdr:rowOff>
    </xdr:from>
    <xdr:to>
      <xdr:col>16</xdr:col>
      <xdr:colOff>45661</xdr:colOff>
      <xdr:row>431</xdr:row>
      <xdr:rowOff>69850</xdr:rowOff>
    </xdr:to>
    <xdr:cxnSp macro="">
      <xdr:nvCxnSpPr>
        <xdr:cNvPr id="542" name="Connecteur droit avec flèche 541"/>
        <xdr:cNvCxnSpPr/>
      </xdr:nvCxnSpPr>
      <xdr:spPr>
        <a:xfrm>
          <a:off x="13636777" y="478832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1211</xdr:colOff>
      <xdr:row>429</xdr:row>
      <xdr:rowOff>86783</xdr:rowOff>
    </xdr:from>
    <xdr:to>
      <xdr:col>16</xdr:col>
      <xdr:colOff>107045</xdr:colOff>
      <xdr:row>429</xdr:row>
      <xdr:rowOff>88900</xdr:rowOff>
    </xdr:to>
    <xdr:cxnSp macro="">
      <xdr:nvCxnSpPr>
        <xdr:cNvPr id="543" name="Connecteur droit avec flèche 542"/>
        <xdr:cNvCxnSpPr/>
      </xdr:nvCxnSpPr>
      <xdr:spPr>
        <a:xfrm>
          <a:off x="13698161" y="4752128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28727</xdr:colOff>
      <xdr:row>433</xdr:row>
      <xdr:rowOff>76200</xdr:rowOff>
    </xdr:from>
    <xdr:to>
      <xdr:col>16</xdr:col>
      <xdr:colOff>134561</xdr:colOff>
      <xdr:row>433</xdr:row>
      <xdr:rowOff>78317</xdr:rowOff>
    </xdr:to>
    <xdr:cxnSp macro="">
      <xdr:nvCxnSpPr>
        <xdr:cNvPr id="544" name="Connecteur droit avec flèche 543"/>
        <xdr:cNvCxnSpPr/>
      </xdr:nvCxnSpPr>
      <xdr:spPr>
        <a:xfrm>
          <a:off x="13725677" y="4827270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434</xdr:row>
      <xdr:rowOff>105834</xdr:rowOff>
    </xdr:from>
    <xdr:to>
      <xdr:col>16</xdr:col>
      <xdr:colOff>73782</xdr:colOff>
      <xdr:row>434</xdr:row>
      <xdr:rowOff>107951</xdr:rowOff>
    </xdr:to>
    <xdr:cxnSp macro="">
      <xdr:nvCxnSpPr>
        <xdr:cNvPr id="545" name="Connecteur droit avec flèche 544"/>
        <xdr:cNvCxnSpPr/>
      </xdr:nvCxnSpPr>
      <xdr:spPr>
        <a:xfrm>
          <a:off x="13664898" y="48492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754743</xdr:colOff>
      <xdr:row>426</xdr:row>
      <xdr:rowOff>88900</xdr:rowOff>
    </xdr:from>
    <xdr:to>
      <xdr:col>16</xdr:col>
      <xdr:colOff>109161</xdr:colOff>
      <xdr:row>427</xdr:row>
      <xdr:rowOff>57151</xdr:rowOff>
    </xdr:to>
    <xdr:cxnSp macro="">
      <xdr:nvCxnSpPr>
        <xdr:cNvPr id="546" name="Connecteur droit avec flèche 545"/>
        <xdr:cNvCxnSpPr/>
      </xdr:nvCxnSpPr>
      <xdr:spPr>
        <a:xfrm flipV="1">
          <a:off x="13689693" y="4695190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750511</xdr:colOff>
      <xdr:row>428</xdr:row>
      <xdr:rowOff>110067</xdr:rowOff>
    </xdr:from>
    <xdr:to>
      <xdr:col>16</xdr:col>
      <xdr:colOff>94344</xdr:colOff>
      <xdr:row>429</xdr:row>
      <xdr:rowOff>78318</xdr:rowOff>
    </xdr:to>
    <xdr:cxnSp macro="">
      <xdr:nvCxnSpPr>
        <xdr:cNvPr id="547" name="Connecteur droit avec flèche 546"/>
        <xdr:cNvCxnSpPr/>
      </xdr:nvCxnSpPr>
      <xdr:spPr>
        <a:xfrm flipV="1">
          <a:off x="13685461" y="4735406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697594</xdr:colOff>
      <xdr:row>430</xdr:row>
      <xdr:rowOff>84667</xdr:rowOff>
    </xdr:from>
    <xdr:to>
      <xdr:col>16</xdr:col>
      <xdr:colOff>73177</xdr:colOff>
      <xdr:row>431</xdr:row>
      <xdr:rowOff>52918</xdr:rowOff>
    </xdr:to>
    <xdr:cxnSp macro="">
      <xdr:nvCxnSpPr>
        <xdr:cNvPr id="548" name="Connecteur droit avec flèche 547"/>
        <xdr:cNvCxnSpPr/>
      </xdr:nvCxnSpPr>
      <xdr:spPr>
        <a:xfrm flipV="1">
          <a:off x="13632544" y="4770966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20260</xdr:colOff>
      <xdr:row>432</xdr:row>
      <xdr:rowOff>97367</xdr:rowOff>
    </xdr:from>
    <xdr:to>
      <xdr:col>16</xdr:col>
      <xdr:colOff>179011</xdr:colOff>
      <xdr:row>433</xdr:row>
      <xdr:rowOff>55035</xdr:rowOff>
    </xdr:to>
    <xdr:cxnSp macro="">
      <xdr:nvCxnSpPr>
        <xdr:cNvPr id="549" name="Connecteur droit avec flèche 548"/>
        <xdr:cNvCxnSpPr/>
      </xdr:nvCxnSpPr>
      <xdr:spPr>
        <a:xfrm flipV="1">
          <a:off x="13717210" y="4810336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1074965</xdr:colOff>
      <xdr:row>454</xdr:row>
      <xdr:rowOff>114299</xdr:rowOff>
    </xdr:from>
    <xdr:to>
      <xdr:col>12</xdr:col>
      <xdr:colOff>239487</xdr:colOff>
      <xdr:row>454</xdr:row>
      <xdr:rowOff>122463</xdr:rowOff>
    </xdr:to>
    <xdr:cxnSp macro="">
      <xdr:nvCxnSpPr>
        <xdr:cNvPr id="550" name="Connecteur droit avec flèche 549"/>
        <xdr:cNvCxnSpPr/>
      </xdr:nvCxnSpPr>
      <xdr:spPr>
        <a:xfrm>
          <a:off x="10418990" y="50406299"/>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449</xdr:row>
      <xdr:rowOff>72572</xdr:rowOff>
    </xdr:from>
    <xdr:to>
      <xdr:col>12</xdr:col>
      <xdr:colOff>320222</xdr:colOff>
      <xdr:row>454</xdr:row>
      <xdr:rowOff>108856</xdr:rowOff>
    </xdr:to>
    <xdr:cxnSp macro="">
      <xdr:nvCxnSpPr>
        <xdr:cNvPr id="551" name="Connecteur droit avec flèche 550"/>
        <xdr:cNvCxnSpPr/>
      </xdr:nvCxnSpPr>
      <xdr:spPr>
        <a:xfrm flipV="1">
          <a:off x="10467976" y="49412072"/>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1110344</xdr:colOff>
      <xdr:row>453</xdr:row>
      <xdr:rowOff>27214</xdr:rowOff>
    </xdr:from>
    <xdr:to>
      <xdr:col>12</xdr:col>
      <xdr:colOff>178103</xdr:colOff>
      <xdr:row>454</xdr:row>
      <xdr:rowOff>108856</xdr:rowOff>
    </xdr:to>
    <xdr:cxnSp macro="">
      <xdr:nvCxnSpPr>
        <xdr:cNvPr id="552" name="Connecteur droit avec flèche 551"/>
        <xdr:cNvCxnSpPr/>
      </xdr:nvCxnSpPr>
      <xdr:spPr>
        <a:xfrm flipV="1">
          <a:off x="10454369" y="50128714"/>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732972</xdr:colOff>
      <xdr:row>447</xdr:row>
      <xdr:rowOff>19656</xdr:rowOff>
    </xdr:from>
    <xdr:to>
      <xdr:col>14</xdr:col>
      <xdr:colOff>153005</xdr:colOff>
      <xdr:row>449</xdr:row>
      <xdr:rowOff>61988</xdr:rowOff>
    </xdr:to>
    <xdr:cxnSp macro="">
      <xdr:nvCxnSpPr>
        <xdr:cNvPr id="553" name="Connecteur droit avec flèche 552"/>
        <xdr:cNvCxnSpPr/>
      </xdr:nvCxnSpPr>
      <xdr:spPr>
        <a:xfrm flipV="1">
          <a:off x="12143922" y="48978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690638</xdr:colOff>
      <xdr:row>449</xdr:row>
      <xdr:rowOff>59873</xdr:rowOff>
    </xdr:from>
    <xdr:to>
      <xdr:col>14</xdr:col>
      <xdr:colOff>66222</xdr:colOff>
      <xdr:row>449</xdr:row>
      <xdr:rowOff>72572</xdr:rowOff>
    </xdr:to>
    <xdr:cxnSp macro="">
      <xdr:nvCxnSpPr>
        <xdr:cNvPr id="554" name="Connecteur droit avec flèche 553"/>
        <xdr:cNvCxnSpPr/>
      </xdr:nvCxnSpPr>
      <xdr:spPr>
        <a:xfrm>
          <a:off x="12101588" y="49399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574223</xdr:colOff>
      <xdr:row>451</xdr:row>
      <xdr:rowOff>61988</xdr:rowOff>
    </xdr:from>
    <xdr:to>
      <xdr:col>14</xdr:col>
      <xdr:colOff>66223</xdr:colOff>
      <xdr:row>453</xdr:row>
      <xdr:rowOff>61986</xdr:rowOff>
    </xdr:to>
    <xdr:cxnSp macro="">
      <xdr:nvCxnSpPr>
        <xdr:cNvPr id="555" name="Connecteur droit avec flèche 554"/>
        <xdr:cNvCxnSpPr/>
      </xdr:nvCxnSpPr>
      <xdr:spPr>
        <a:xfrm flipV="1">
          <a:off x="11985173" y="49782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761700</xdr:colOff>
      <xdr:row>454</xdr:row>
      <xdr:rowOff>81643</xdr:rowOff>
    </xdr:from>
    <xdr:to>
      <xdr:col>14</xdr:col>
      <xdr:colOff>63200</xdr:colOff>
      <xdr:row>454</xdr:row>
      <xdr:rowOff>92228</xdr:rowOff>
    </xdr:to>
    <xdr:cxnSp macro="">
      <xdr:nvCxnSpPr>
        <xdr:cNvPr id="556" name="Connecteur droit avec flèche 555"/>
        <xdr:cNvCxnSpPr/>
      </xdr:nvCxnSpPr>
      <xdr:spPr>
        <a:xfrm>
          <a:off x="12172650" y="5037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627140</xdr:colOff>
      <xdr:row>453</xdr:row>
      <xdr:rowOff>30238</xdr:rowOff>
    </xdr:from>
    <xdr:to>
      <xdr:col>14</xdr:col>
      <xdr:colOff>34473</xdr:colOff>
      <xdr:row>453</xdr:row>
      <xdr:rowOff>51406</xdr:rowOff>
    </xdr:to>
    <xdr:cxnSp macro="">
      <xdr:nvCxnSpPr>
        <xdr:cNvPr id="557" name="Connecteur droit avec flèche 556"/>
        <xdr:cNvCxnSpPr/>
      </xdr:nvCxnSpPr>
      <xdr:spPr>
        <a:xfrm>
          <a:off x="12038090" y="50131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31449</xdr:colOff>
      <xdr:row>447</xdr:row>
      <xdr:rowOff>101297</xdr:rowOff>
    </xdr:from>
    <xdr:to>
      <xdr:col>16</xdr:col>
      <xdr:colOff>158450</xdr:colOff>
      <xdr:row>447</xdr:row>
      <xdr:rowOff>113997</xdr:rowOff>
    </xdr:to>
    <xdr:cxnSp macro="">
      <xdr:nvCxnSpPr>
        <xdr:cNvPr id="558" name="Connecteur droit avec flèche 557"/>
        <xdr:cNvCxnSpPr/>
      </xdr:nvCxnSpPr>
      <xdr:spPr>
        <a:xfrm>
          <a:off x="13728399" y="49059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761699</xdr:colOff>
      <xdr:row>451</xdr:row>
      <xdr:rowOff>133047</xdr:rowOff>
    </xdr:from>
    <xdr:to>
      <xdr:col>16</xdr:col>
      <xdr:colOff>105533</xdr:colOff>
      <xdr:row>451</xdr:row>
      <xdr:rowOff>135164</xdr:rowOff>
    </xdr:to>
    <xdr:cxnSp macro="">
      <xdr:nvCxnSpPr>
        <xdr:cNvPr id="559" name="Connecteur droit avec flèche 558"/>
        <xdr:cNvCxnSpPr/>
      </xdr:nvCxnSpPr>
      <xdr:spPr>
        <a:xfrm>
          <a:off x="13696649" y="49853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449</xdr:row>
      <xdr:rowOff>133047</xdr:rowOff>
    </xdr:from>
    <xdr:to>
      <xdr:col>16</xdr:col>
      <xdr:colOff>179617</xdr:colOff>
      <xdr:row>449</xdr:row>
      <xdr:rowOff>135164</xdr:rowOff>
    </xdr:to>
    <xdr:cxnSp macro="">
      <xdr:nvCxnSpPr>
        <xdr:cNvPr id="560" name="Connecteur droit avec flèche 559"/>
        <xdr:cNvCxnSpPr/>
      </xdr:nvCxnSpPr>
      <xdr:spPr>
        <a:xfrm>
          <a:off x="13770733" y="49472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63199</xdr:colOff>
      <xdr:row>453</xdr:row>
      <xdr:rowOff>122464</xdr:rowOff>
    </xdr:from>
    <xdr:to>
      <xdr:col>16</xdr:col>
      <xdr:colOff>169033</xdr:colOff>
      <xdr:row>453</xdr:row>
      <xdr:rowOff>124581</xdr:rowOff>
    </xdr:to>
    <xdr:cxnSp macro="">
      <xdr:nvCxnSpPr>
        <xdr:cNvPr id="561" name="Connecteur droit avec flèche 560"/>
        <xdr:cNvCxnSpPr/>
      </xdr:nvCxnSpPr>
      <xdr:spPr>
        <a:xfrm>
          <a:off x="13760149" y="50223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729949</xdr:colOff>
      <xdr:row>454</xdr:row>
      <xdr:rowOff>133048</xdr:rowOff>
    </xdr:from>
    <xdr:to>
      <xdr:col>16</xdr:col>
      <xdr:colOff>73783</xdr:colOff>
      <xdr:row>454</xdr:row>
      <xdr:rowOff>135165</xdr:rowOff>
    </xdr:to>
    <xdr:cxnSp macro="">
      <xdr:nvCxnSpPr>
        <xdr:cNvPr id="562" name="Connecteur droit avec flèche 561"/>
        <xdr:cNvCxnSpPr/>
      </xdr:nvCxnSpPr>
      <xdr:spPr>
        <a:xfrm>
          <a:off x="13664899" y="50425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20865</xdr:colOff>
      <xdr:row>446</xdr:row>
      <xdr:rowOff>122464</xdr:rowOff>
    </xdr:from>
    <xdr:to>
      <xdr:col>16</xdr:col>
      <xdr:colOff>137283</xdr:colOff>
      <xdr:row>447</xdr:row>
      <xdr:rowOff>90715</xdr:rowOff>
    </xdr:to>
    <xdr:cxnSp macro="">
      <xdr:nvCxnSpPr>
        <xdr:cNvPr id="563" name="Connecteur droit avec flèche 562"/>
        <xdr:cNvCxnSpPr/>
      </xdr:nvCxnSpPr>
      <xdr:spPr>
        <a:xfrm flipV="1">
          <a:off x="13717815" y="48890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448</xdr:row>
      <xdr:rowOff>143631</xdr:rowOff>
    </xdr:from>
    <xdr:to>
      <xdr:col>16</xdr:col>
      <xdr:colOff>179616</xdr:colOff>
      <xdr:row>449</xdr:row>
      <xdr:rowOff>111882</xdr:rowOff>
    </xdr:to>
    <xdr:cxnSp macro="">
      <xdr:nvCxnSpPr>
        <xdr:cNvPr id="564" name="Connecteur droit avec flèche 563"/>
        <xdr:cNvCxnSpPr/>
      </xdr:nvCxnSpPr>
      <xdr:spPr>
        <a:xfrm flipV="1">
          <a:off x="13770733" y="49292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751116</xdr:colOff>
      <xdr:row>450</xdr:row>
      <xdr:rowOff>143631</xdr:rowOff>
    </xdr:from>
    <xdr:to>
      <xdr:col>16</xdr:col>
      <xdr:colOff>126699</xdr:colOff>
      <xdr:row>451</xdr:row>
      <xdr:rowOff>111882</xdr:rowOff>
    </xdr:to>
    <xdr:cxnSp macro="">
      <xdr:nvCxnSpPr>
        <xdr:cNvPr id="565" name="Connecteur droit avec flèche 564"/>
        <xdr:cNvCxnSpPr/>
      </xdr:nvCxnSpPr>
      <xdr:spPr>
        <a:xfrm flipV="1">
          <a:off x="13686066" y="49673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42032</xdr:colOff>
      <xdr:row>452</xdr:row>
      <xdr:rowOff>143631</xdr:rowOff>
    </xdr:from>
    <xdr:to>
      <xdr:col>16</xdr:col>
      <xdr:colOff>200783</xdr:colOff>
      <xdr:row>453</xdr:row>
      <xdr:rowOff>101299</xdr:rowOff>
    </xdr:to>
    <xdr:cxnSp macro="">
      <xdr:nvCxnSpPr>
        <xdr:cNvPr id="566" name="Connecteur droit avec flèche 565"/>
        <xdr:cNvCxnSpPr/>
      </xdr:nvCxnSpPr>
      <xdr:spPr>
        <a:xfrm flipV="1">
          <a:off x="13738982" y="50054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474</xdr:row>
      <xdr:rowOff>100692</xdr:rowOff>
    </xdr:from>
    <xdr:to>
      <xdr:col>12</xdr:col>
      <xdr:colOff>157843</xdr:colOff>
      <xdr:row>474</xdr:row>
      <xdr:rowOff>108856</xdr:rowOff>
    </xdr:to>
    <xdr:cxnSp macro="">
      <xdr:nvCxnSpPr>
        <xdr:cNvPr id="567" name="Connecteur droit avec flèche 566"/>
        <xdr:cNvCxnSpPr/>
      </xdr:nvCxnSpPr>
      <xdr:spPr>
        <a:xfrm>
          <a:off x="10337346" y="52297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469</xdr:row>
      <xdr:rowOff>58965</xdr:rowOff>
    </xdr:from>
    <xdr:to>
      <xdr:col>12</xdr:col>
      <xdr:colOff>238578</xdr:colOff>
      <xdr:row>474</xdr:row>
      <xdr:rowOff>95249</xdr:rowOff>
    </xdr:to>
    <xdr:cxnSp macro="">
      <xdr:nvCxnSpPr>
        <xdr:cNvPr id="568" name="Connecteur droit avec flèche 567"/>
        <xdr:cNvCxnSpPr/>
      </xdr:nvCxnSpPr>
      <xdr:spPr>
        <a:xfrm flipV="1">
          <a:off x="10386332" y="51303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473</xdr:row>
      <xdr:rowOff>13607</xdr:rowOff>
    </xdr:from>
    <xdr:to>
      <xdr:col>12</xdr:col>
      <xdr:colOff>96459</xdr:colOff>
      <xdr:row>474</xdr:row>
      <xdr:rowOff>95249</xdr:rowOff>
    </xdr:to>
    <xdr:cxnSp macro="">
      <xdr:nvCxnSpPr>
        <xdr:cNvPr id="569" name="Connecteur droit avec flèche 568"/>
        <xdr:cNvCxnSpPr/>
      </xdr:nvCxnSpPr>
      <xdr:spPr>
        <a:xfrm flipV="1">
          <a:off x="10372725" y="52020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467</xdr:row>
      <xdr:rowOff>6049</xdr:rowOff>
    </xdr:from>
    <xdr:to>
      <xdr:col>14</xdr:col>
      <xdr:colOff>71361</xdr:colOff>
      <xdr:row>469</xdr:row>
      <xdr:rowOff>48381</xdr:rowOff>
    </xdr:to>
    <xdr:cxnSp macro="">
      <xdr:nvCxnSpPr>
        <xdr:cNvPr id="570" name="Connecteur droit avec flèche 569"/>
        <xdr:cNvCxnSpPr/>
      </xdr:nvCxnSpPr>
      <xdr:spPr>
        <a:xfrm flipV="1">
          <a:off x="12062278" y="50869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469</xdr:row>
      <xdr:rowOff>46266</xdr:rowOff>
    </xdr:from>
    <xdr:to>
      <xdr:col>13</xdr:col>
      <xdr:colOff>746578</xdr:colOff>
      <xdr:row>469</xdr:row>
      <xdr:rowOff>58965</xdr:rowOff>
    </xdr:to>
    <xdr:cxnSp macro="">
      <xdr:nvCxnSpPr>
        <xdr:cNvPr id="571" name="Connecteur droit avec flèche 570"/>
        <xdr:cNvCxnSpPr/>
      </xdr:nvCxnSpPr>
      <xdr:spPr>
        <a:xfrm>
          <a:off x="12019944" y="51290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471</xdr:row>
      <xdr:rowOff>48381</xdr:rowOff>
    </xdr:from>
    <xdr:to>
      <xdr:col>13</xdr:col>
      <xdr:colOff>746579</xdr:colOff>
      <xdr:row>473</xdr:row>
      <xdr:rowOff>48379</xdr:rowOff>
    </xdr:to>
    <xdr:cxnSp macro="">
      <xdr:nvCxnSpPr>
        <xdr:cNvPr id="572" name="Connecteur droit avec flèche 571"/>
        <xdr:cNvCxnSpPr/>
      </xdr:nvCxnSpPr>
      <xdr:spPr>
        <a:xfrm flipV="1">
          <a:off x="11903529" y="51673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474</xdr:row>
      <xdr:rowOff>81642</xdr:rowOff>
    </xdr:from>
    <xdr:to>
      <xdr:col>13</xdr:col>
      <xdr:colOff>757163</xdr:colOff>
      <xdr:row>474</xdr:row>
      <xdr:rowOff>92227</xdr:rowOff>
    </xdr:to>
    <xdr:cxnSp macro="">
      <xdr:nvCxnSpPr>
        <xdr:cNvPr id="573" name="Connecteur droit avec flèche 572"/>
        <xdr:cNvCxnSpPr/>
      </xdr:nvCxnSpPr>
      <xdr:spPr>
        <a:xfrm>
          <a:off x="12104613" y="52278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473</xdr:row>
      <xdr:rowOff>16631</xdr:rowOff>
    </xdr:from>
    <xdr:to>
      <xdr:col>13</xdr:col>
      <xdr:colOff>714829</xdr:colOff>
      <xdr:row>473</xdr:row>
      <xdr:rowOff>37799</xdr:rowOff>
    </xdr:to>
    <xdr:cxnSp macro="">
      <xdr:nvCxnSpPr>
        <xdr:cNvPr id="574" name="Connecteur droit avec flèche 573"/>
        <xdr:cNvCxnSpPr/>
      </xdr:nvCxnSpPr>
      <xdr:spPr>
        <a:xfrm>
          <a:off x="11956446" y="52023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467</xdr:row>
      <xdr:rowOff>87690</xdr:rowOff>
    </xdr:from>
    <xdr:to>
      <xdr:col>16</xdr:col>
      <xdr:colOff>76806</xdr:colOff>
      <xdr:row>467</xdr:row>
      <xdr:rowOff>100390</xdr:rowOff>
    </xdr:to>
    <xdr:cxnSp macro="">
      <xdr:nvCxnSpPr>
        <xdr:cNvPr id="575" name="Connecteur droit avec flèche 574"/>
        <xdr:cNvCxnSpPr/>
      </xdr:nvCxnSpPr>
      <xdr:spPr>
        <a:xfrm>
          <a:off x="13646755" y="50951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471</xdr:row>
      <xdr:rowOff>119440</xdr:rowOff>
    </xdr:from>
    <xdr:to>
      <xdr:col>16</xdr:col>
      <xdr:colOff>23889</xdr:colOff>
      <xdr:row>471</xdr:row>
      <xdr:rowOff>121557</xdr:rowOff>
    </xdr:to>
    <xdr:cxnSp macro="">
      <xdr:nvCxnSpPr>
        <xdr:cNvPr id="576" name="Connecteur droit avec flèche 575"/>
        <xdr:cNvCxnSpPr/>
      </xdr:nvCxnSpPr>
      <xdr:spPr>
        <a:xfrm>
          <a:off x="13615005" y="51744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469</xdr:row>
      <xdr:rowOff>119440</xdr:rowOff>
    </xdr:from>
    <xdr:to>
      <xdr:col>16</xdr:col>
      <xdr:colOff>97973</xdr:colOff>
      <xdr:row>469</xdr:row>
      <xdr:rowOff>121557</xdr:rowOff>
    </xdr:to>
    <xdr:cxnSp macro="">
      <xdr:nvCxnSpPr>
        <xdr:cNvPr id="577" name="Connecteur droit avec flèche 576"/>
        <xdr:cNvCxnSpPr/>
      </xdr:nvCxnSpPr>
      <xdr:spPr>
        <a:xfrm>
          <a:off x="13689089" y="51363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473</xdr:row>
      <xdr:rowOff>108857</xdr:rowOff>
    </xdr:from>
    <xdr:to>
      <xdr:col>16</xdr:col>
      <xdr:colOff>87389</xdr:colOff>
      <xdr:row>473</xdr:row>
      <xdr:rowOff>110974</xdr:rowOff>
    </xdr:to>
    <xdr:cxnSp macro="">
      <xdr:nvCxnSpPr>
        <xdr:cNvPr id="578" name="Connecteur droit avec flèche 577"/>
        <xdr:cNvCxnSpPr/>
      </xdr:nvCxnSpPr>
      <xdr:spPr>
        <a:xfrm>
          <a:off x="13678505" y="52115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474</xdr:row>
      <xdr:rowOff>119441</xdr:rowOff>
    </xdr:from>
    <xdr:to>
      <xdr:col>15</xdr:col>
      <xdr:colOff>754139</xdr:colOff>
      <xdr:row>474</xdr:row>
      <xdr:rowOff>121558</xdr:rowOff>
    </xdr:to>
    <xdr:cxnSp macro="">
      <xdr:nvCxnSpPr>
        <xdr:cNvPr id="579" name="Connecteur droit avec flèche 578"/>
        <xdr:cNvCxnSpPr/>
      </xdr:nvCxnSpPr>
      <xdr:spPr>
        <a:xfrm>
          <a:off x="13583255" y="52316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466</xdr:row>
      <xdr:rowOff>108857</xdr:rowOff>
    </xdr:from>
    <xdr:to>
      <xdr:col>16</xdr:col>
      <xdr:colOff>55639</xdr:colOff>
      <xdr:row>467</xdr:row>
      <xdr:rowOff>77108</xdr:rowOff>
    </xdr:to>
    <xdr:cxnSp macro="">
      <xdr:nvCxnSpPr>
        <xdr:cNvPr id="580" name="Connecteur droit avec flèche 579"/>
        <xdr:cNvCxnSpPr/>
      </xdr:nvCxnSpPr>
      <xdr:spPr>
        <a:xfrm flipV="1">
          <a:off x="13636171" y="50781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468</xdr:row>
      <xdr:rowOff>130024</xdr:rowOff>
    </xdr:from>
    <xdr:to>
      <xdr:col>16</xdr:col>
      <xdr:colOff>97972</xdr:colOff>
      <xdr:row>469</xdr:row>
      <xdr:rowOff>98275</xdr:rowOff>
    </xdr:to>
    <xdr:cxnSp macro="">
      <xdr:nvCxnSpPr>
        <xdr:cNvPr id="581" name="Connecteur droit avec flèche 580"/>
        <xdr:cNvCxnSpPr/>
      </xdr:nvCxnSpPr>
      <xdr:spPr>
        <a:xfrm flipV="1">
          <a:off x="13689089" y="51184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470</xdr:row>
      <xdr:rowOff>130024</xdr:rowOff>
    </xdr:from>
    <xdr:to>
      <xdr:col>16</xdr:col>
      <xdr:colOff>45055</xdr:colOff>
      <xdr:row>471</xdr:row>
      <xdr:rowOff>98275</xdr:rowOff>
    </xdr:to>
    <xdr:cxnSp macro="">
      <xdr:nvCxnSpPr>
        <xdr:cNvPr id="582" name="Connecteur droit avec flèche 581"/>
        <xdr:cNvCxnSpPr/>
      </xdr:nvCxnSpPr>
      <xdr:spPr>
        <a:xfrm flipV="1">
          <a:off x="13604422" y="51565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472</xdr:row>
      <xdr:rowOff>130024</xdr:rowOff>
    </xdr:from>
    <xdr:to>
      <xdr:col>16</xdr:col>
      <xdr:colOff>119139</xdr:colOff>
      <xdr:row>473</xdr:row>
      <xdr:rowOff>87692</xdr:rowOff>
    </xdr:to>
    <xdr:cxnSp macro="">
      <xdr:nvCxnSpPr>
        <xdr:cNvPr id="583" name="Connecteur droit avec flèche 582"/>
        <xdr:cNvCxnSpPr/>
      </xdr:nvCxnSpPr>
      <xdr:spPr>
        <a:xfrm flipV="1">
          <a:off x="13657338" y="51946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496</xdr:row>
      <xdr:rowOff>68036</xdr:rowOff>
    </xdr:from>
    <xdr:to>
      <xdr:col>12</xdr:col>
      <xdr:colOff>127605</xdr:colOff>
      <xdr:row>497</xdr:row>
      <xdr:rowOff>95250</xdr:rowOff>
    </xdr:to>
    <xdr:cxnSp macro="">
      <xdr:nvCxnSpPr>
        <xdr:cNvPr id="584" name="Connecteur droit avec flèche 583"/>
        <xdr:cNvCxnSpPr/>
      </xdr:nvCxnSpPr>
      <xdr:spPr>
        <a:xfrm flipV="1">
          <a:off x="10378168" y="52646036"/>
          <a:ext cx="1160387" cy="2177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598714</xdr:colOff>
      <xdr:row>497</xdr:row>
      <xdr:rowOff>81643</xdr:rowOff>
    </xdr:from>
    <xdr:to>
      <xdr:col>14</xdr:col>
      <xdr:colOff>106240</xdr:colOff>
      <xdr:row>497</xdr:row>
      <xdr:rowOff>82058</xdr:rowOff>
    </xdr:to>
    <xdr:cxnSp macro="">
      <xdr:nvCxnSpPr>
        <xdr:cNvPr id="585" name="Connecteur droit avec flèche 584"/>
        <xdr:cNvCxnSpPr/>
      </xdr:nvCxnSpPr>
      <xdr:spPr>
        <a:xfrm>
          <a:off x="12009664" y="52850143"/>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497</xdr:row>
      <xdr:rowOff>81642</xdr:rowOff>
    </xdr:from>
    <xdr:to>
      <xdr:col>16</xdr:col>
      <xdr:colOff>201490</xdr:colOff>
      <xdr:row>497</xdr:row>
      <xdr:rowOff>82057</xdr:rowOff>
    </xdr:to>
    <xdr:cxnSp macro="">
      <xdr:nvCxnSpPr>
        <xdr:cNvPr id="586" name="Connecteur droit avec flèche 585"/>
        <xdr:cNvCxnSpPr/>
      </xdr:nvCxnSpPr>
      <xdr:spPr>
        <a:xfrm>
          <a:off x="13628914" y="5285014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496</xdr:row>
      <xdr:rowOff>95250</xdr:rowOff>
    </xdr:from>
    <xdr:to>
      <xdr:col>16</xdr:col>
      <xdr:colOff>242312</xdr:colOff>
      <xdr:row>496</xdr:row>
      <xdr:rowOff>95665</xdr:rowOff>
    </xdr:to>
    <xdr:cxnSp macro="">
      <xdr:nvCxnSpPr>
        <xdr:cNvPr id="587" name="Connecteur droit avec flèche 586"/>
        <xdr:cNvCxnSpPr/>
      </xdr:nvCxnSpPr>
      <xdr:spPr>
        <a:xfrm>
          <a:off x="13669736" y="52673250"/>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496</xdr:row>
      <xdr:rowOff>108857</xdr:rowOff>
    </xdr:from>
    <xdr:to>
      <xdr:col>14</xdr:col>
      <xdr:colOff>10990</xdr:colOff>
      <xdr:row>496</xdr:row>
      <xdr:rowOff>109272</xdr:rowOff>
    </xdr:to>
    <xdr:cxnSp macro="">
      <xdr:nvCxnSpPr>
        <xdr:cNvPr id="588" name="Connecteur droit avec flèche 587"/>
        <xdr:cNvCxnSpPr/>
      </xdr:nvCxnSpPr>
      <xdr:spPr>
        <a:xfrm>
          <a:off x="11914414" y="5268685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299</xdr:row>
      <xdr:rowOff>59874</xdr:rowOff>
    </xdr:from>
    <xdr:to>
      <xdr:col>13</xdr:col>
      <xdr:colOff>724807</xdr:colOff>
      <xdr:row>299</xdr:row>
      <xdr:rowOff>72573</xdr:rowOff>
    </xdr:to>
    <xdr:cxnSp macro="">
      <xdr:nvCxnSpPr>
        <xdr:cNvPr id="598" name="Connecteur droit avec flèche 597"/>
        <xdr:cNvCxnSpPr/>
      </xdr:nvCxnSpPr>
      <xdr:spPr>
        <a:xfrm>
          <a:off x="11998173" y="32254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304</xdr:row>
      <xdr:rowOff>40822</xdr:rowOff>
    </xdr:from>
    <xdr:to>
      <xdr:col>13</xdr:col>
      <xdr:colOff>735392</xdr:colOff>
      <xdr:row>304</xdr:row>
      <xdr:rowOff>51407</xdr:rowOff>
    </xdr:to>
    <xdr:cxnSp macro="">
      <xdr:nvCxnSpPr>
        <xdr:cNvPr id="599" name="Connecteur droit avec flèche 598"/>
        <xdr:cNvCxnSpPr/>
      </xdr:nvCxnSpPr>
      <xdr:spPr>
        <a:xfrm>
          <a:off x="12082842" y="33187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313</xdr:row>
      <xdr:rowOff>30239</xdr:rowOff>
    </xdr:from>
    <xdr:to>
      <xdr:col>13</xdr:col>
      <xdr:colOff>693058</xdr:colOff>
      <xdr:row>313</xdr:row>
      <xdr:rowOff>51407</xdr:rowOff>
    </xdr:to>
    <xdr:cxnSp macro="">
      <xdr:nvCxnSpPr>
        <xdr:cNvPr id="600" name="Connecteur droit avec flèche 599"/>
        <xdr:cNvCxnSpPr/>
      </xdr:nvCxnSpPr>
      <xdr:spPr>
        <a:xfrm>
          <a:off x="11934675" y="3489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393</xdr:row>
      <xdr:rowOff>30239</xdr:rowOff>
    </xdr:from>
    <xdr:to>
      <xdr:col>14</xdr:col>
      <xdr:colOff>143330</xdr:colOff>
      <xdr:row>393</xdr:row>
      <xdr:rowOff>51407</xdr:rowOff>
    </xdr:to>
    <xdr:cxnSp macro="">
      <xdr:nvCxnSpPr>
        <xdr:cNvPr id="601" name="Connecteur droit avec flèche 600"/>
        <xdr:cNvCxnSpPr/>
      </xdr:nvCxnSpPr>
      <xdr:spPr>
        <a:xfrm>
          <a:off x="12146947" y="4251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1019175</xdr:colOff>
      <xdr:row>70</xdr:row>
      <xdr:rowOff>105833</xdr:rowOff>
    </xdr:from>
    <xdr:to>
      <xdr:col>9</xdr:col>
      <xdr:colOff>751417</xdr:colOff>
      <xdr:row>92</xdr:row>
      <xdr:rowOff>118698</xdr:rowOff>
    </xdr:to>
    <xdr:cxnSp macro="">
      <xdr:nvCxnSpPr>
        <xdr:cNvPr id="86" name="Connecteur droit avec flèche 85"/>
        <xdr:cNvCxnSpPr/>
      </xdr:nvCxnSpPr>
      <xdr:spPr>
        <a:xfrm flipV="1">
          <a:off x="8353425" y="11154833"/>
          <a:ext cx="808567" cy="1917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596" name="Connecteur droit avec flèche 595"/>
        <xdr:cNvCxnSpPr/>
      </xdr:nvCxnSpPr>
      <xdr:spPr>
        <a:xfrm>
          <a:off x="6375156" y="5555419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501</xdr:row>
      <xdr:rowOff>83820</xdr:rowOff>
    </xdr:from>
    <xdr:to>
      <xdr:col>5</xdr:col>
      <xdr:colOff>739140</xdr:colOff>
      <xdr:row>501</xdr:row>
      <xdr:rowOff>85408</xdr:rowOff>
    </xdr:to>
    <xdr:cxnSp macro="">
      <xdr:nvCxnSpPr>
        <xdr:cNvPr id="614" name="Connecteur droit avec flèche 613"/>
        <xdr:cNvCxnSpPr/>
      </xdr:nvCxnSpPr>
      <xdr:spPr>
        <a:xfrm>
          <a:off x="3992880" y="56786145"/>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615" name="Connecteur droit avec flèche 614"/>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501</xdr:row>
      <xdr:rowOff>123093</xdr:rowOff>
    </xdr:from>
    <xdr:to>
      <xdr:col>10</xdr:col>
      <xdr:colOff>0</xdr:colOff>
      <xdr:row>501</xdr:row>
      <xdr:rowOff>123508</xdr:rowOff>
    </xdr:to>
    <xdr:cxnSp macro="">
      <xdr:nvCxnSpPr>
        <xdr:cNvPr id="616" name="Connecteur droit avec flèche 615"/>
        <xdr:cNvCxnSpPr/>
      </xdr:nvCxnSpPr>
      <xdr:spPr>
        <a:xfrm>
          <a:off x="8266235" y="56825418"/>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617" name="Connecteur droit avec flèche 616"/>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501</xdr:row>
      <xdr:rowOff>95251</xdr:rowOff>
    </xdr:from>
    <xdr:to>
      <xdr:col>4</xdr:col>
      <xdr:colOff>0</xdr:colOff>
      <xdr:row>501</xdr:row>
      <xdr:rowOff>114300</xdr:rowOff>
    </xdr:to>
    <xdr:cxnSp macro="">
      <xdr:nvCxnSpPr>
        <xdr:cNvPr id="618" name="Connecteur droit avec flèche 617"/>
        <xdr:cNvCxnSpPr/>
      </xdr:nvCxnSpPr>
      <xdr:spPr>
        <a:xfrm>
          <a:off x="2171700" y="56797576"/>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501</xdr:row>
      <xdr:rowOff>104775</xdr:rowOff>
    </xdr:from>
    <xdr:to>
      <xdr:col>11</xdr:col>
      <xdr:colOff>715840</xdr:colOff>
      <xdr:row>501</xdr:row>
      <xdr:rowOff>105190</xdr:rowOff>
    </xdr:to>
    <xdr:cxnSp macro="">
      <xdr:nvCxnSpPr>
        <xdr:cNvPr id="619" name="Connecteur droit avec flèche 618"/>
        <xdr:cNvCxnSpPr/>
      </xdr:nvCxnSpPr>
      <xdr:spPr>
        <a:xfrm>
          <a:off x="10334625" y="568071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499</xdr:row>
      <xdr:rowOff>68036</xdr:rowOff>
    </xdr:from>
    <xdr:to>
      <xdr:col>12</xdr:col>
      <xdr:colOff>127605</xdr:colOff>
      <xdr:row>501</xdr:row>
      <xdr:rowOff>95250</xdr:rowOff>
    </xdr:to>
    <xdr:cxnSp macro="">
      <xdr:nvCxnSpPr>
        <xdr:cNvPr id="620" name="Connecteur droit avec flèche 619"/>
        <xdr:cNvCxnSpPr/>
      </xdr:nvCxnSpPr>
      <xdr:spPr>
        <a:xfrm flipV="1">
          <a:off x="10378168" y="56389361"/>
          <a:ext cx="1160387" cy="4082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617764</xdr:colOff>
      <xdr:row>500</xdr:row>
      <xdr:rowOff>100693</xdr:rowOff>
    </xdr:from>
    <xdr:to>
      <xdr:col>14</xdr:col>
      <xdr:colOff>125290</xdr:colOff>
      <xdr:row>500</xdr:row>
      <xdr:rowOff>101108</xdr:rowOff>
    </xdr:to>
    <xdr:cxnSp macro="">
      <xdr:nvCxnSpPr>
        <xdr:cNvPr id="621" name="Connecteur droit avec flèche 620"/>
        <xdr:cNvCxnSpPr/>
      </xdr:nvCxnSpPr>
      <xdr:spPr>
        <a:xfrm>
          <a:off x="12028714" y="56612518"/>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500</xdr:row>
      <xdr:rowOff>81642</xdr:rowOff>
    </xdr:from>
    <xdr:to>
      <xdr:col>16</xdr:col>
      <xdr:colOff>201490</xdr:colOff>
      <xdr:row>500</xdr:row>
      <xdr:rowOff>82057</xdr:rowOff>
    </xdr:to>
    <xdr:cxnSp macro="">
      <xdr:nvCxnSpPr>
        <xdr:cNvPr id="622" name="Connecteur droit avec flèche 621"/>
        <xdr:cNvCxnSpPr/>
      </xdr:nvCxnSpPr>
      <xdr:spPr>
        <a:xfrm>
          <a:off x="13628914" y="5659346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499</xdr:row>
      <xdr:rowOff>95250</xdr:rowOff>
    </xdr:from>
    <xdr:to>
      <xdr:col>16</xdr:col>
      <xdr:colOff>242312</xdr:colOff>
      <xdr:row>499</xdr:row>
      <xdr:rowOff>95665</xdr:rowOff>
    </xdr:to>
    <xdr:cxnSp macro="">
      <xdr:nvCxnSpPr>
        <xdr:cNvPr id="623" name="Connecteur droit avec flèche 622"/>
        <xdr:cNvCxnSpPr/>
      </xdr:nvCxnSpPr>
      <xdr:spPr>
        <a:xfrm>
          <a:off x="13669736" y="56416575"/>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499</xdr:row>
      <xdr:rowOff>108857</xdr:rowOff>
    </xdr:from>
    <xdr:to>
      <xdr:col>14</xdr:col>
      <xdr:colOff>10990</xdr:colOff>
      <xdr:row>499</xdr:row>
      <xdr:rowOff>109272</xdr:rowOff>
    </xdr:to>
    <xdr:cxnSp macro="">
      <xdr:nvCxnSpPr>
        <xdr:cNvPr id="624" name="Connecteur droit avec flèche 623"/>
        <xdr:cNvCxnSpPr/>
      </xdr:nvCxnSpPr>
      <xdr:spPr>
        <a:xfrm>
          <a:off x="11914414" y="5643018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501</xdr:row>
      <xdr:rowOff>81642</xdr:rowOff>
    </xdr:from>
    <xdr:to>
      <xdr:col>13</xdr:col>
      <xdr:colOff>757163</xdr:colOff>
      <xdr:row>501</xdr:row>
      <xdr:rowOff>92227</xdr:rowOff>
    </xdr:to>
    <xdr:cxnSp macro="">
      <xdr:nvCxnSpPr>
        <xdr:cNvPr id="625" name="Connecteur droit avec flèche 624"/>
        <xdr:cNvCxnSpPr/>
      </xdr:nvCxnSpPr>
      <xdr:spPr>
        <a:xfrm>
          <a:off x="12104613" y="5678396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501</xdr:row>
      <xdr:rowOff>119441</xdr:rowOff>
    </xdr:from>
    <xdr:to>
      <xdr:col>15</xdr:col>
      <xdr:colOff>754139</xdr:colOff>
      <xdr:row>501</xdr:row>
      <xdr:rowOff>121558</xdr:rowOff>
    </xdr:to>
    <xdr:cxnSp macro="">
      <xdr:nvCxnSpPr>
        <xdr:cNvPr id="626" name="Connecteur droit avec flèche 625"/>
        <xdr:cNvCxnSpPr/>
      </xdr:nvCxnSpPr>
      <xdr:spPr>
        <a:xfrm>
          <a:off x="13583255" y="568217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1133475</xdr:colOff>
      <xdr:row>500</xdr:row>
      <xdr:rowOff>114300</xdr:rowOff>
    </xdr:from>
    <xdr:to>
      <xdr:col>12</xdr:col>
      <xdr:colOff>76200</xdr:colOff>
      <xdr:row>501</xdr:row>
      <xdr:rowOff>95250</xdr:rowOff>
    </xdr:to>
    <xdr:cxnSp macro="">
      <xdr:nvCxnSpPr>
        <xdr:cNvPr id="627" name="Connecteur droit avec flèche 626"/>
        <xdr:cNvCxnSpPr/>
      </xdr:nvCxnSpPr>
      <xdr:spPr>
        <a:xfrm flipV="1">
          <a:off x="10477500" y="56626125"/>
          <a:ext cx="1009650" cy="1714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133</xdr:row>
      <xdr:rowOff>33264</xdr:rowOff>
    </xdr:from>
    <xdr:to>
      <xdr:col>14</xdr:col>
      <xdr:colOff>104019</xdr:colOff>
      <xdr:row>135</xdr:row>
      <xdr:rowOff>75596</xdr:rowOff>
    </xdr:to>
    <xdr:cxnSp macro="">
      <xdr:nvCxnSpPr>
        <xdr:cNvPr id="610" name="Connecteur droit avec flèche 609"/>
        <xdr:cNvCxnSpPr/>
      </xdr:nvCxnSpPr>
      <xdr:spPr>
        <a:xfrm flipV="1">
          <a:off x="12094936" y="200167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135</xdr:row>
      <xdr:rowOff>73481</xdr:rowOff>
    </xdr:from>
    <xdr:to>
      <xdr:col>14</xdr:col>
      <xdr:colOff>17236</xdr:colOff>
      <xdr:row>135</xdr:row>
      <xdr:rowOff>86180</xdr:rowOff>
    </xdr:to>
    <xdr:cxnSp macro="">
      <xdr:nvCxnSpPr>
        <xdr:cNvPr id="611" name="Connecteur droit avec flèche 610"/>
        <xdr:cNvCxnSpPr/>
      </xdr:nvCxnSpPr>
      <xdr:spPr>
        <a:xfrm>
          <a:off x="12052602" y="204379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137</xdr:row>
      <xdr:rowOff>75596</xdr:rowOff>
    </xdr:from>
    <xdr:to>
      <xdr:col>14</xdr:col>
      <xdr:colOff>17237</xdr:colOff>
      <xdr:row>139</xdr:row>
      <xdr:rowOff>75594</xdr:rowOff>
    </xdr:to>
    <xdr:cxnSp macro="">
      <xdr:nvCxnSpPr>
        <xdr:cNvPr id="612" name="Connecteur droit avec flèche 611"/>
        <xdr:cNvCxnSpPr/>
      </xdr:nvCxnSpPr>
      <xdr:spPr>
        <a:xfrm flipV="1">
          <a:off x="11936187" y="208210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142</xdr:row>
      <xdr:rowOff>65012</xdr:rowOff>
    </xdr:from>
    <xdr:to>
      <xdr:col>14</xdr:col>
      <xdr:colOff>6654</xdr:colOff>
      <xdr:row>142</xdr:row>
      <xdr:rowOff>75597</xdr:rowOff>
    </xdr:to>
    <xdr:cxnSp macro="">
      <xdr:nvCxnSpPr>
        <xdr:cNvPr id="613" name="Connecteur droit avec flèche 612"/>
        <xdr:cNvCxnSpPr/>
      </xdr:nvCxnSpPr>
      <xdr:spPr>
        <a:xfrm>
          <a:off x="12063187" y="217629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140</xdr:row>
      <xdr:rowOff>54429</xdr:rowOff>
    </xdr:from>
    <xdr:to>
      <xdr:col>14</xdr:col>
      <xdr:colOff>27821</xdr:colOff>
      <xdr:row>140</xdr:row>
      <xdr:rowOff>65014</xdr:rowOff>
    </xdr:to>
    <xdr:cxnSp macro="">
      <xdr:nvCxnSpPr>
        <xdr:cNvPr id="628" name="Connecteur droit avec flèche 627"/>
        <xdr:cNvCxnSpPr/>
      </xdr:nvCxnSpPr>
      <xdr:spPr>
        <a:xfrm>
          <a:off x="12137271" y="213713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139</xdr:row>
      <xdr:rowOff>43846</xdr:rowOff>
    </xdr:from>
    <xdr:to>
      <xdr:col>13</xdr:col>
      <xdr:colOff>747487</xdr:colOff>
      <xdr:row>139</xdr:row>
      <xdr:rowOff>65014</xdr:rowOff>
    </xdr:to>
    <xdr:cxnSp macro="">
      <xdr:nvCxnSpPr>
        <xdr:cNvPr id="629" name="Connecteur droit avec flèche 628"/>
        <xdr:cNvCxnSpPr/>
      </xdr:nvCxnSpPr>
      <xdr:spPr>
        <a:xfrm>
          <a:off x="11989104" y="211702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141</xdr:row>
      <xdr:rowOff>107345</xdr:rowOff>
    </xdr:from>
    <xdr:to>
      <xdr:col>14</xdr:col>
      <xdr:colOff>38404</xdr:colOff>
      <xdr:row>142</xdr:row>
      <xdr:rowOff>65012</xdr:rowOff>
    </xdr:to>
    <xdr:cxnSp macro="">
      <xdr:nvCxnSpPr>
        <xdr:cNvPr id="630" name="Connecteur droit avec flèche 629"/>
        <xdr:cNvCxnSpPr/>
      </xdr:nvCxnSpPr>
      <xdr:spPr>
        <a:xfrm flipV="1">
          <a:off x="12063187" y="216147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133</xdr:row>
      <xdr:rowOff>33262</xdr:rowOff>
    </xdr:from>
    <xdr:to>
      <xdr:col>16</xdr:col>
      <xdr:colOff>123071</xdr:colOff>
      <xdr:row>133</xdr:row>
      <xdr:rowOff>45962</xdr:rowOff>
    </xdr:to>
    <xdr:cxnSp macro="">
      <xdr:nvCxnSpPr>
        <xdr:cNvPr id="631" name="Connecteur droit avec flèche 630"/>
        <xdr:cNvCxnSpPr/>
      </xdr:nvCxnSpPr>
      <xdr:spPr>
        <a:xfrm>
          <a:off x="13693020" y="200167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137</xdr:row>
      <xdr:rowOff>65012</xdr:rowOff>
    </xdr:from>
    <xdr:to>
      <xdr:col>16</xdr:col>
      <xdr:colOff>70154</xdr:colOff>
      <xdr:row>137</xdr:row>
      <xdr:rowOff>67129</xdr:rowOff>
    </xdr:to>
    <xdr:cxnSp macro="">
      <xdr:nvCxnSpPr>
        <xdr:cNvPr id="632" name="Connecteur droit avec flèche 631"/>
        <xdr:cNvCxnSpPr/>
      </xdr:nvCxnSpPr>
      <xdr:spPr>
        <a:xfrm>
          <a:off x="13661270" y="208104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135</xdr:row>
      <xdr:rowOff>65012</xdr:rowOff>
    </xdr:from>
    <xdr:to>
      <xdr:col>16</xdr:col>
      <xdr:colOff>144238</xdr:colOff>
      <xdr:row>135</xdr:row>
      <xdr:rowOff>67129</xdr:rowOff>
    </xdr:to>
    <xdr:cxnSp macro="">
      <xdr:nvCxnSpPr>
        <xdr:cNvPr id="633" name="Connecteur droit avec flèche 632"/>
        <xdr:cNvCxnSpPr/>
      </xdr:nvCxnSpPr>
      <xdr:spPr>
        <a:xfrm>
          <a:off x="13735354" y="204294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139</xdr:row>
      <xdr:rowOff>54429</xdr:rowOff>
    </xdr:from>
    <xdr:to>
      <xdr:col>16</xdr:col>
      <xdr:colOff>133654</xdr:colOff>
      <xdr:row>139</xdr:row>
      <xdr:rowOff>56546</xdr:rowOff>
    </xdr:to>
    <xdr:cxnSp macro="">
      <xdr:nvCxnSpPr>
        <xdr:cNvPr id="634" name="Connecteur droit avec flèche 633"/>
        <xdr:cNvCxnSpPr/>
      </xdr:nvCxnSpPr>
      <xdr:spPr>
        <a:xfrm>
          <a:off x="13724770" y="211808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141</xdr:row>
      <xdr:rowOff>54429</xdr:rowOff>
    </xdr:from>
    <xdr:to>
      <xdr:col>16</xdr:col>
      <xdr:colOff>80737</xdr:colOff>
      <xdr:row>141</xdr:row>
      <xdr:rowOff>56546</xdr:rowOff>
    </xdr:to>
    <xdr:cxnSp macro="">
      <xdr:nvCxnSpPr>
        <xdr:cNvPr id="635" name="Connecteur droit avec flèche 634"/>
        <xdr:cNvCxnSpPr/>
      </xdr:nvCxnSpPr>
      <xdr:spPr>
        <a:xfrm>
          <a:off x="13671853" y="215618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142</xdr:row>
      <xdr:rowOff>65012</xdr:rowOff>
    </xdr:from>
    <xdr:to>
      <xdr:col>16</xdr:col>
      <xdr:colOff>70155</xdr:colOff>
      <xdr:row>142</xdr:row>
      <xdr:rowOff>67129</xdr:rowOff>
    </xdr:to>
    <xdr:cxnSp macro="">
      <xdr:nvCxnSpPr>
        <xdr:cNvPr id="636" name="Connecteur droit avec flèche 635"/>
        <xdr:cNvCxnSpPr/>
      </xdr:nvCxnSpPr>
      <xdr:spPr>
        <a:xfrm>
          <a:off x="13661271" y="217629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140</xdr:row>
      <xdr:rowOff>65013</xdr:rowOff>
    </xdr:from>
    <xdr:to>
      <xdr:col>16</xdr:col>
      <xdr:colOff>38404</xdr:colOff>
      <xdr:row>140</xdr:row>
      <xdr:rowOff>67130</xdr:rowOff>
    </xdr:to>
    <xdr:cxnSp macro="">
      <xdr:nvCxnSpPr>
        <xdr:cNvPr id="637" name="Connecteur droit avec flèche 636"/>
        <xdr:cNvCxnSpPr/>
      </xdr:nvCxnSpPr>
      <xdr:spPr>
        <a:xfrm>
          <a:off x="13629520" y="213819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132</xdr:row>
      <xdr:rowOff>54429</xdr:rowOff>
    </xdr:from>
    <xdr:to>
      <xdr:col>16</xdr:col>
      <xdr:colOff>101904</xdr:colOff>
      <xdr:row>133</xdr:row>
      <xdr:rowOff>22680</xdr:rowOff>
    </xdr:to>
    <xdr:cxnSp macro="">
      <xdr:nvCxnSpPr>
        <xdr:cNvPr id="638" name="Connecteur droit avec flèche 637"/>
        <xdr:cNvCxnSpPr/>
      </xdr:nvCxnSpPr>
      <xdr:spPr>
        <a:xfrm flipV="1">
          <a:off x="13682436" y="198473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134</xdr:row>
      <xdr:rowOff>75596</xdr:rowOff>
    </xdr:from>
    <xdr:to>
      <xdr:col>16</xdr:col>
      <xdr:colOff>144237</xdr:colOff>
      <xdr:row>135</xdr:row>
      <xdr:rowOff>43847</xdr:rowOff>
    </xdr:to>
    <xdr:cxnSp macro="">
      <xdr:nvCxnSpPr>
        <xdr:cNvPr id="639" name="Connecteur droit avec flèche 638"/>
        <xdr:cNvCxnSpPr/>
      </xdr:nvCxnSpPr>
      <xdr:spPr>
        <a:xfrm flipV="1">
          <a:off x="13735354" y="202495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136</xdr:row>
      <xdr:rowOff>75596</xdr:rowOff>
    </xdr:from>
    <xdr:to>
      <xdr:col>16</xdr:col>
      <xdr:colOff>91320</xdr:colOff>
      <xdr:row>137</xdr:row>
      <xdr:rowOff>43847</xdr:rowOff>
    </xdr:to>
    <xdr:cxnSp macro="">
      <xdr:nvCxnSpPr>
        <xdr:cNvPr id="640" name="Connecteur droit avec flèche 639"/>
        <xdr:cNvCxnSpPr/>
      </xdr:nvCxnSpPr>
      <xdr:spPr>
        <a:xfrm flipV="1">
          <a:off x="13650687" y="206305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138</xdr:row>
      <xdr:rowOff>75596</xdr:rowOff>
    </xdr:from>
    <xdr:to>
      <xdr:col>16</xdr:col>
      <xdr:colOff>165404</xdr:colOff>
      <xdr:row>139</xdr:row>
      <xdr:rowOff>33264</xdr:rowOff>
    </xdr:to>
    <xdr:cxnSp macro="">
      <xdr:nvCxnSpPr>
        <xdr:cNvPr id="641" name="Connecteur droit avec flèche 640"/>
        <xdr:cNvCxnSpPr/>
      </xdr:nvCxnSpPr>
      <xdr:spPr>
        <a:xfrm flipV="1">
          <a:off x="13703603" y="210115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132</xdr:row>
      <xdr:rowOff>47625</xdr:rowOff>
    </xdr:from>
    <xdr:to>
      <xdr:col>10</xdr:col>
      <xdr:colOff>1031875</xdr:colOff>
      <xdr:row>142</xdr:row>
      <xdr:rowOff>142875</xdr:rowOff>
    </xdr:to>
    <xdr:sp macro="" textlink="">
      <xdr:nvSpPr>
        <xdr:cNvPr id="642" name="Accolade fermante 641"/>
        <xdr:cNvSpPr/>
      </xdr:nvSpPr>
      <xdr:spPr>
        <a:xfrm>
          <a:off x="10233025" y="198405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265</xdr:row>
      <xdr:rowOff>33264</xdr:rowOff>
    </xdr:from>
    <xdr:to>
      <xdr:col>14</xdr:col>
      <xdr:colOff>104019</xdr:colOff>
      <xdr:row>267</xdr:row>
      <xdr:rowOff>75596</xdr:rowOff>
    </xdr:to>
    <xdr:cxnSp macro="">
      <xdr:nvCxnSpPr>
        <xdr:cNvPr id="643" name="Connecteur droit avec flèche 642"/>
        <xdr:cNvCxnSpPr/>
      </xdr:nvCxnSpPr>
      <xdr:spPr>
        <a:xfrm flipV="1">
          <a:off x="12098111" y="193372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267</xdr:row>
      <xdr:rowOff>73481</xdr:rowOff>
    </xdr:from>
    <xdr:to>
      <xdr:col>14</xdr:col>
      <xdr:colOff>17236</xdr:colOff>
      <xdr:row>267</xdr:row>
      <xdr:rowOff>86180</xdr:rowOff>
    </xdr:to>
    <xdr:cxnSp macro="">
      <xdr:nvCxnSpPr>
        <xdr:cNvPr id="644" name="Connecteur droit avec flèche 643"/>
        <xdr:cNvCxnSpPr/>
      </xdr:nvCxnSpPr>
      <xdr:spPr>
        <a:xfrm>
          <a:off x="12055777" y="197584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269</xdr:row>
      <xdr:rowOff>75596</xdr:rowOff>
    </xdr:from>
    <xdr:to>
      <xdr:col>14</xdr:col>
      <xdr:colOff>17237</xdr:colOff>
      <xdr:row>271</xdr:row>
      <xdr:rowOff>75594</xdr:rowOff>
    </xdr:to>
    <xdr:cxnSp macro="">
      <xdr:nvCxnSpPr>
        <xdr:cNvPr id="645" name="Connecteur droit avec flèche 644"/>
        <xdr:cNvCxnSpPr/>
      </xdr:nvCxnSpPr>
      <xdr:spPr>
        <a:xfrm flipV="1">
          <a:off x="11939362" y="201415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274</xdr:row>
      <xdr:rowOff>65012</xdr:rowOff>
    </xdr:from>
    <xdr:to>
      <xdr:col>14</xdr:col>
      <xdr:colOff>6654</xdr:colOff>
      <xdr:row>274</xdr:row>
      <xdr:rowOff>75597</xdr:rowOff>
    </xdr:to>
    <xdr:cxnSp macro="">
      <xdr:nvCxnSpPr>
        <xdr:cNvPr id="646" name="Connecteur droit avec flèche 645"/>
        <xdr:cNvCxnSpPr/>
      </xdr:nvCxnSpPr>
      <xdr:spPr>
        <a:xfrm>
          <a:off x="12066362" y="210835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272</xdr:row>
      <xdr:rowOff>54429</xdr:rowOff>
    </xdr:from>
    <xdr:to>
      <xdr:col>14</xdr:col>
      <xdr:colOff>27821</xdr:colOff>
      <xdr:row>272</xdr:row>
      <xdr:rowOff>65014</xdr:rowOff>
    </xdr:to>
    <xdr:cxnSp macro="">
      <xdr:nvCxnSpPr>
        <xdr:cNvPr id="647" name="Connecteur droit avec flèche 646"/>
        <xdr:cNvCxnSpPr/>
      </xdr:nvCxnSpPr>
      <xdr:spPr>
        <a:xfrm>
          <a:off x="12140446" y="206919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271</xdr:row>
      <xdr:rowOff>43846</xdr:rowOff>
    </xdr:from>
    <xdr:to>
      <xdr:col>13</xdr:col>
      <xdr:colOff>747487</xdr:colOff>
      <xdr:row>271</xdr:row>
      <xdr:rowOff>65014</xdr:rowOff>
    </xdr:to>
    <xdr:cxnSp macro="">
      <xdr:nvCxnSpPr>
        <xdr:cNvPr id="648" name="Connecteur droit avec flèche 647"/>
        <xdr:cNvCxnSpPr/>
      </xdr:nvCxnSpPr>
      <xdr:spPr>
        <a:xfrm>
          <a:off x="11992279" y="204908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273</xdr:row>
      <xdr:rowOff>107345</xdr:rowOff>
    </xdr:from>
    <xdr:to>
      <xdr:col>14</xdr:col>
      <xdr:colOff>38404</xdr:colOff>
      <xdr:row>274</xdr:row>
      <xdr:rowOff>65012</xdr:rowOff>
    </xdr:to>
    <xdr:cxnSp macro="">
      <xdr:nvCxnSpPr>
        <xdr:cNvPr id="649" name="Connecteur droit avec flèche 648"/>
        <xdr:cNvCxnSpPr/>
      </xdr:nvCxnSpPr>
      <xdr:spPr>
        <a:xfrm flipV="1">
          <a:off x="12066362" y="209353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265</xdr:row>
      <xdr:rowOff>33262</xdr:rowOff>
    </xdr:from>
    <xdr:to>
      <xdr:col>16</xdr:col>
      <xdr:colOff>123071</xdr:colOff>
      <xdr:row>265</xdr:row>
      <xdr:rowOff>45962</xdr:rowOff>
    </xdr:to>
    <xdr:cxnSp macro="">
      <xdr:nvCxnSpPr>
        <xdr:cNvPr id="650" name="Connecteur droit avec flèche 649"/>
        <xdr:cNvCxnSpPr/>
      </xdr:nvCxnSpPr>
      <xdr:spPr>
        <a:xfrm>
          <a:off x="13696195" y="193372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269</xdr:row>
      <xdr:rowOff>65012</xdr:rowOff>
    </xdr:from>
    <xdr:to>
      <xdr:col>16</xdr:col>
      <xdr:colOff>70154</xdr:colOff>
      <xdr:row>269</xdr:row>
      <xdr:rowOff>67129</xdr:rowOff>
    </xdr:to>
    <xdr:cxnSp macro="">
      <xdr:nvCxnSpPr>
        <xdr:cNvPr id="651" name="Connecteur droit avec flèche 650"/>
        <xdr:cNvCxnSpPr/>
      </xdr:nvCxnSpPr>
      <xdr:spPr>
        <a:xfrm>
          <a:off x="13664445" y="20131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267</xdr:row>
      <xdr:rowOff>65012</xdr:rowOff>
    </xdr:from>
    <xdr:to>
      <xdr:col>16</xdr:col>
      <xdr:colOff>144238</xdr:colOff>
      <xdr:row>267</xdr:row>
      <xdr:rowOff>67129</xdr:rowOff>
    </xdr:to>
    <xdr:cxnSp macro="">
      <xdr:nvCxnSpPr>
        <xdr:cNvPr id="652" name="Connecteur droit avec flèche 651"/>
        <xdr:cNvCxnSpPr/>
      </xdr:nvCxnSpPr>
      <xdr:spPr>
        <a:xfrm>
          <a:off x="13738529" y="19750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271</xdr:row>
      <xdr:rowOff>54429</xdr:rowOff>
    </xdr:from>
    <xdr:to>
      <xdr:col>16</xdr:col>
      <xdr:colOff>133654</xdr:colOff>
      <xdr:row>271</xdr:row>
      <xdr:rowOff>56546</xdr:rowOff>
    </xdr:to>
    <xdr:cxnSp macro="">
      <xdr:nvCxnSpPr>
        <xdr:cNvPr id="653" name="Connecteur droit avec flèche 652"/>
        <xdr:cNvCxnSpPr/>
      </xdr:nvCxnSpPr>
      <xdr:spPr>
        <a:xfrm>
          <a:off x="13727945" y="205014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273</xdr:row>
      <xdr:rowOff>54429</xdr:rowOff>
    </xdr:from>
    <xdr:to>
      <xdr:col>16</xdr:col>
      <xdr:colOff>80737</xdr:colOff>
      <xdr:row>273</xdr:row>
      <xdr:rowOff>56546</xdr:rowOff>
    </xdr:to>
    <xdr:cxnSp macro="">
      <xdr:nvCxnSpPr>
        <xdr:cNvPr id="654" name="Connecteur droit avec flèche 653"/>
        <xdr:cNvCxnSpPr/>
      </xdr:nvCxnSpPr>
      <xdr:spPr>
        <a:xfrm>
          <a:off x="13675028" y="208824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274</xdr:row>
      <xdr:rowOff>65012</xdr:rowOff>
    </xdr:from>
    <xdr:to>
      <xdr:col>16</xdr:col>
      <xdr:colOff>70155</xdr:colOff>
      <xdr:row>274</xdr:row>
      <xdr:rowOff>67129</xdr:rowOff>
    </xdr:to>
    <xdr:cxnSp macro="">
      <xdr:nvCxnSpPr>
        <xdr:cNvPr id="655" name="Connecteur droit avec flèche 654"/>
        <xdr:cNvCxnSpPr/>
      </xdr:nvCxnSpPr>
      <xdr:spPr>
        <a:xfrm>
          <a:off x="13664446" y="21083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272</xdr:row>
      <xdr:rowOff>65013</xdr:rowOff>
    </xdr:from>
    <xdr:to>
      <xdr:col>16</xdr:col>
      <xdr:colOff>38404</xdr:colOff>
      <xdr:row>272</xdr:row>
      <xdr:rowOff>67130</xdr:rowOff>
    </xdr:to>
    <xdr:cxnSp macro="">
      <xdr:nvCxnSpPr>
        <xdr:cNvPr id="656" name="Connecteur droit avec flèche 655"/>
        <xdr:cNvCxnSpPr/>
      </xdr:nvCxnSpPr>
      <xdr:spPr>
        <a:xfrm>
          <a:off x="13632695" y="207025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264</xdr:row>
      <xdr:rowOff>54429</xdr:rowOff>
    </xdr:from>
    <xdr:to>
      <xdr:col>16</xdr:col>
      <xdr:colOff>101904</xdr:colOff>
      <xdr:row>265</xdr:row>
      <xdr:rowOff>22680</xdr:rowOff>
    </xdr:to>
    <xdr:cxnSp macro="">
      <xdr:nvCxnSpPr>
        <xdr:cNvPr id="657" name="Connecteur droit avec flèche 656"/>
        <xdr:cNvCxnSpPr/>
      </xdr:nvCxnSpPr>
      <xdr:spPr>
        <a:xfrm flipV="1">
          <a:off x="13685611" y="191679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266</xdr:row>
      <xdr:rowOff>75596</xdr:rowOff>
    </xdr:from>
    <xdr:to>
      <xdr:col>16</xdr:col>
      <xdr:colOff>144237</xdr:colOff>
      <xdr:row>267</xdr:row>
      <xdr:rowOff>43847</xdr:rowOff>
    </xdr:to>
    <xdr:cxnSp macro="">
      <xdr:nvCxnSpPr>
        <xdr:cNvPr id="658" name="Connecteur droit avec flèche 657"/>
        <xdr:cNvCxnSpPr/>
      </xdr:nvCxnSpPr>
      <xdr:spPr>
        <a:xfrm flipV="1">
          <a:off x="13738529" y="195700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268</xdr:row>
      <xdr:rowOff>75596</xdr:rowOff>
    </xdr:from>
    <xdr:to>
      <xdr:col>16</xdr:col>
      <xdr:colOff>91320</xdr:colOff>
      <xdr:row>269</xdr:row>
      <xdr:rowOff>43847</xdr:rowOff>
    </xdr:to>
    <xdr:cxnSp macro="">
      <xdr:nvCxnSpPr>
        <xdr:cNvPr id="659" name="Connecteur droit avec flèche 658"/>
        <xdr:cNvCxnSpPr/>
      </xdr:nvCxnSpPr>
      <xdr:spPr>
        <a:xfrm flipV="1">
          <a:off x="13653862" y="199510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270</xdr:row>
      <xdr:rowOff>75596</xdr:rowOff>
    </xdr:from>
    <xdr:to>
      <xdr:col>16</xdr:col>
      <xdr:colOff>165404</xdr:colOff>
      <xdr:row>271</xdr:row>
      <xdr:rowOff>33264</xdr:rowOff>
    </xdr:to>
    <xdr:cxnSp macro="">
      <xdr:nvCxnSpPr>
        <xdr:cNvPr id="660" name="Connecteur droit avec flèche 659"/>
        <xdr:cNvCxnSpPr/>
      </xdr:nvCxnSpPr>
      <xdr:spPr>
        <a:xfrm flipV="1">
          <a:off x="13706778" y="203320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264</xdr:row>
      <xdr:rowOff>47625</xdr:rowOff>
    </xdr:from>
    <xdr:to>
      <xdr:col>10</xdr:col>
      <xdr:colOff>1031875</xdr:colOff>
      <xdr:row>274</xdr:row>
      <xdr:rowOff>142875</xdr:rowOff>
    </xdr:to>
    <xdr:sp macro="" textlink="">
      <xdr:nvSpPr>
        <xdr:cNvPr id="661" name="Accolade fermante 660"/>
        <xdr:cNvSpPr/>
      </xdr:nvSpPr>
      <xdr:spPr>
        <a:xfrm>
          <a:off x="10239375" y="191611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384</xdr:row>
      <xdr:rowOff>103911</xdr:rowOff>
    </xdr:from>
    <xdr:to>
      <xdr:col>11</xdr:col>
      <xdr:colOff>714375</xdr:colOff>
      <xdr:row>384</xdr:row>
      <xdr:rowOff>114300</xdr:rowOff>
    </xdr:to>
    <xdr:cxnSp macro="">
      <xdr:nvCxnSpPr>
        <xdr:cNvPr id="662" name="Connecteur droit avec flèche 661"/>
        <xdr:cNvCxnSpPr/>
      </xdr:nvCxnSpPr>
      <xdr:spPr>
        <a:xfrm>
          <a:off x="10435070" y="51138861"/>
          <a:ext cx="928255"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384</xdr:row>
      <xdr:rowOff>114300</xdr:rowOff>
    </xdr:from>
    <xdr:to>
      <xdr:col>12</xdr:col>
      <xdr:colOff>348344</xdr:colOff>
      <xdr:row>384</xdr:row>
      <xdr:rowOff>122464</xdr:rowOff>
    </xdr:to>
    <xdr:cxnSp macro="">
      <xdr:nvCxnSpPr>
        <xdr:cNvPr id="663" name="Connecteur droit avec flèche 662"/>
        <xdr:cNvCxnSpPr/>
      </xdr:nvCxnSpPr>
      <xdr:spPr>
        <a:xfrm>
          <a:off x="10527847" y="5114925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379</xdr:row>
      <xdr:rowOff>72573</xdr:rowOff>
    </xdr:from>
    <xdr:to>
      <xdr:col>12</xdr:col>
      <xdr:colOff>429079</xdr:colOff>
      <xdr:row>384</xdr:row>
      <xdr:rowOff>108857</xdr:rowOff>
    </xdr:to>
    <xdr:cxnSp macro="">
      <xdr:nvCxnSpPr>
        <xdr:cNvPr id="664" name="Connecteur droit avec flèche 663"/>
        <xdr:cNvCxnSpPr/>
      </xdr:nvCxnSpPr>
      <xdr:spPr>
        <a:xfrm flipV="1">
          <a:off x="10576833" y="5015502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383</xdr:row>
      <xdr:rowOff>27215</xdr:rowOff>
    </xdr:from>
    <xdr:to>
      <xdr:col>12</xdr:col>
      <xdr:colOff>286960</xdr:colOff>
      <xdr:row>384</xdr:row>
      <xdr:rowOff>108857</xdr:rowOff>
    </xdr:to>
    <xdr:cxnSp macro="">
      <xdr:nvCxnSpPr>
        <xdr:cNvPr id="665" name="Connecteur droit avec flèche 664"/>
        <xdr:cNvCxnSpPr/>
      </xdr:nvCxnSpPr>
      <xdr:spPr>
        <a:xfrm flipV="1">
          <a:off x="10563226" y="5087166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377</xdr:row>
      <xdr:rowOff>19657</xdr:rowOff>
    </xdr:from>
    <xdr:to>
      <xdr:col>14</xdr:col>
      <xdr:colOff>261862</xdr:colOff>
      <xdr:row>379</xdr:row>
      <xdr:rowOff>61989</xdr:rowOff>
    </xdr:to>
    <xdr:cxnSp macro="">
      <xdr:nvCxnSpPr>
        <xdr:cNvPr id="666" name="Connecteur droit avec flèche 665"/>
        <xdr:cNvCxnSpPr/>
      </xdr:nvCxnSpPr>
      <xdr:spPr>
        <a:xfrm flipV="1">
          <a:off x="12252779" y="497211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379</xdr:row>
      <xdr:rowOff>59874</xdr:rowOff>
    </xdr:from>
    <xdr:to>
      <xdr:col>14</xdr:col>
      <xdr:colOff>175079</xdr:colOff>
      <xdr:row>379</xdr:row>
      <xdr:rowOff>72573</xdr:rowOff>
    </xdr:to>
    <xdr:cxnSp macro="">
      <xdr:nvCxnSpPr>
        <xdr:cNvPr id="667" name="Connecteur droit avec flèche 666"/>
        <xdr:cNvCxnSpPr/>
      </xdr:nvCxnSpPr>
      <xdr:spPr>
        <a:xfrm>
          <a:off x="12210445" y="501423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381</xdr:row>
      <xdr:rowOff>61989</xdr:rowOff>
    </xdr:from>
    <xdr:to>
      <xdr:col>14</xdr:col>
      <xdr:colOff>175080</xdr:colOff>
      <xdr:row>383</xdr:row>
      <xdr:rowOff>61987</xdr:rowOff>
    </xdr:to>
    <xdr:cxnSp macro="">
      <xdr:nvCxnSpPr>
        <xdr:cNvPr id="668" name="Connecteur droit avec flèche 667"/>
        <xdr:cNvCxnSpPr/>
      </xdr:nvCxnSpPr>
      <xdr:spPr>
        <a:xfrm flipV="1">
          <a:off x="12094030" y="505254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384</xdr:row>
      <xdr:rowOff>93738</xdr:rowOff>
    </xdr:from>
    <xdr:to>
      <xdr:col>14</xdr:col>
      <xdr:colOff>26914</xdr:colOff>
      <xdr:row>384</xdr:row>
      <xdr:rowOff>104323</xdr:rowOff>
    </xdr:to>
    <xdr:cxnSp macro="">
      <xdr:nvCxnSpPr>
        <xdr:cNvPr id="669" name="Connecteur droit avec flèche 668"/>
        <xdr:cNvCxnSpPr/>
      </xdr:nvCxnSpPr>
      <xdr:spPr>
        <a:xfrm>
          <a:off x="12136364" y="511286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383</xdr:row>
      <xdr:rowOff>30239</xdr:rowOff>
    </xdr:from>
    <xdr:to>
      <xdr:col>14</xdr:col>
      <xdr:colOff>143330</xdr:colOff>
      <xdr:row>383</xdr:row>
      <xdr:rowOff>51407</xdr:rowOff>
    </xdr:to>
    <xdr:cxnSp macro="">
      <xdr:nvCxnSpPr>
        <xdr:cNvPr id="670" name="Connecteur droit avec flèche 669"/>
        <xdr:cNvCxnSpPr/>
      </xdr:nvCxnSpPr>
      <xdr:spPr>
        <a:xfrm>
          <a:off x="12146947" y="508746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377</xdr:row>
      <xdr:rowOff>101298</xdr:rowOff>
    </xdr:from>
    <xdr:to>
      <xdr:col>16</xdr:col>
      <xdr:colOff>267307</xdr:colOff>
      <xdr:row>377</xdr:row>
      <xdr:rowOff>113998</xdr:rowOff>
    </xdr:to>
    <xdr:cxnSp macro="">
      <xdr:nvCxnSpPr>
        <xdr:cNvPr id="671" name="Connecteur droit avec flèche 670"/>
        <xdr:cNvCxnSpPr/>
      </xdr:nvCxnSpPr>
      <xdr:spPr>
        <a:xfrm>
          <a:off x="13837256" y="498027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381</xdr:row>
      <xdr:rowOff>133048</xdr:rowOff>
    </xdr:from>
    <xdr:to>
      <xdr:col>16</xdr:col>
      <xdr:colOff>214390</xdr:colOff>
      <xdr:row>381</xdr:row>
      <xdr:rowOff>135165</xdr:rowOff>
    </xdr:to>
    <xdr:cxnSp macro="">
      <xdr:nvCxnSpPr>
        <xdr:cNvPr id="672" name="Connecteur droit avec flèche 671"/>
        <xdr:cNvCxnSpPr/>
      </xdr:nvCxnSpPr>
      <xdr:spPr>
        <a:xfrm>
          <a:off x="13805506" y="505964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379</xdr:row>
      <xdr:rowOff>133048</xdr:rowOff>
    </xdr:from>
    <xdr:to>
      <xdr:col>16</xdr:col>
      <xdr:colOff>288474</xdr:colOff>
      <xdr:row>379</xdr:row>
      <xdr:rowOff>135165</xdr:rowOff>
    </xdr:to>
    <xdr:cxnSp macro="">
      <xdr:nvCxnSpPr>
        <xdr:cNvPr id="673" name="Connecteur droit avec flèche 672"/>
        <xdr:cNvCxnSpPr/>
      </xdr:nvCxnSpPr>
      <xdr:spPr>
        <a:xfrm>
          <a:off x="13879590" y="502154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383</xdr:row>
      <xdr:rowOff>122465</xdr:rowOff>
    </xdr:from>
    <xdr:to>
      <xdr:col>16</xdr:col>
      <xdr:colOff>277890</xdr:colOff>
      <xdr:row>383</xdr:row>
      <xdr:rowOff>124582</xdr:rowOff>
    </xdr:to>
    <xdr:cxnSp macro="">
      <xdr:nvCxnSpPr>
        <xdr:cNvPr id="674" name="Connecteur droit avec flèche 673"/>
        <xdr:cNvCxnSpPr/>
      </xdr:nvCxnSpPr>
      <xdr:spPr>
        <a:xfrm>
          <a:off x="13869006" y="509669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384</xdr:row>
      <xdr:rowOff>133049</xdr:rowOff>
    </xdr:from>
    <xdr:to>
      <xdr:col>16</xdr:col>
      <xdr:colOff>182640</xdr:colOff>
      <xdr:row>384</xdr:row>
      <xdr:rowOff>135166</xdr:rowOff>
    </xdr:to>
    <xdr:cxnSp macro="">
      <xdr:nvCxnSpPr>
        <xdr:cNvPr id="675" name="Connecteur droit avec flèche 674"/>
        <xdr:cNvCxnSpPr/>
      </xdr:nvCxnSpPr>
      <xdr:spPr>
        <a:xfrm>
          <a:off x="13773756" y="511679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376</xdr:row>
      <xdr:rowOff>122465</xdr:rowOff>
    </xdr:from>
    <xdr:to>
      <xdr:col>16</xdr:col>
      <xdr:colOff>246140</xdr:colOff>
      <xdr:row>377</xdr:row>
      <xdr:rowOff>90716</xdr:rowOff>
    </xdr:to>
    <xdr:cxnSp macro="">
      <xdr:nvCxnSpPr>
        <xdr:cNvPr id="676" name="Connecteur droit avec flèche 675"/>
        <xdr:cNvCxnSpPr/>
      </xdr:nvCxnSpPr>
      <xdr:spPr>
        <a:xfrm flipV="1">
          <a:off x="13826672" y="496334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378</xdr:row>
      <xdr:rowOff>143632</xdr:rowOff>
    </xdr:from>
    <xdr:to>
      <xdr:col>16</xdr:col>
      <xdr:colOff>288473</xdr:colOff>
      <xdr:row>379</xdr:row>
      <xdr:rowOff>111883</xdr:rowOff>
    </xdr:to>
    <xdr:cxnSp macro="">
      <xdr:nvCxnSpPr>
        <xdr:cNvPr id="677" name="Connecteur droit avec flèche 676"/>
        <xdr:cNvCxnSpPr/>
      </xdr:nvCxnSpPr>
      <xdr:spPr>
        <a:xfrm flipV="1">
          <a:off x="13879590" y="500355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380</xdr:row>
      <xdr:rowOff>143632</xdr:rowOff>
    </xdr:from>
    <xdr:to>
      <xdr:col>16</xdr:col>
      <xdr:colOff>235556</xdr:colOff>
      <xdr:row>381</xdr:row>
      <xdr:rowOff>111883</xdr:rowOff>
    </xdr:to>
    <xdr:cxnSp macro="">
      <xdr:nvCxnSpPr>
        <xdr:cNvPr id="678" name="Connecteur droit avec flèche 677"/>
        <xdr:cNvCxnSpPr/>
      </xdr:nvCxnSpPr>
      <xdr:spPr>
        <a:xfrm flipV="1">
          <a:off x="13794923" y="504165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382</xdr:row>
      <xdr:rowOff>122464</xdr:rowOff>
    </xdr:from>
    <xdr:to>
      <xdr:col>16</xdr:col>
      <xdr:colOff>176893</xdr:colOff>
      <xdr:row>383</xdr:row>
      <xdr:rowOff>101300</xdr:rowOff>
    </xdr:to>
    <xdr:cxnSp macro="">
      <xdr:nvCxnSpPr>
        <xdr:cNvPr id="679" name="Connecteur droit avec flèche 678"/>
        <xdr:cNvCxnSpPr/>
      </xdr:nvCxnSpPr>
      <xdr:spPr>
        <a:xfrm flipV="1">
          <a:off x="13847839" y="507764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376</xdr:row>
      <xdr:rowOff>5292</xdr:rowOff>
    </xdr:from>
    <xdr:to>
      <xdr:col>10</xdr:col>
      <xdr:colOff>963084</xdr:colOff>
      <xdr:row>384</xdr:row>
      <xdr:rowOff>158751</xdr:rowOff>
    </xdr:to>
    <xdr:sp macro="" textlink="">
      <xdr:nvSpPr>
        <xdr:cNvPr id="680" name="Accolade fermante 679"/>
        <xdr:cNvSpPr/>
      </xdr:nvSpPr>
      <xdr:spPr>
        <a:xfrm>
          <a:off x="10190693" y="495162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651328</xdr:colOff>
      <xdr:row>487</xdr:row>
      <xdr:rowOff>6049</xdr:rowOff>
    </xdr:from>
    <xdr:to>
      <xdr:col>14</xdr:col>
      <xdr:colOff>71361</xdr:colOff>
      <xdr:row>489</xdr:row>
      <xdr:rowOff>48381</xdr:rowOff>
    </xdr:to>
    <xdr:cxnSp macro="">
      <xdr:nvCxnSpPr>
        <xdr:cNvPr id="684" name="Connecteur droit avec flèche 683"/>
        <xdr:cNvCxnSpPr/>
      </xdr:nvCxnSpPr>
      <xdr:spPr>
        <a:xfrm flipV="1">
          <a:off x="12062278" y="6304249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489</xdr:row>
      <xdr:rowOff>46266</xdr:rowOff>
    </xdr:from>
    <xdr:to>
      <xdr:col>13</xdr:col>
      <xdr:colOff>746578</xdr:colOff>
      <xdr:row>489</xdr:row>
      <xdr:rowOff>58965</xdr:rowOff>
    </xdr:to>
    <xdr:cxnSp macro="">
      <xdr:nvCxnSpPr>
        <xdr:cNvPr id="685" name="Connecteur droit avec flèche 684"/>
        <xdr:cNvCxnSpPr/>
      </xdr:nvCxnSpPr>
      <xdr:spPr>
        <a:xfrm>
          <a:off x="12019944" y="6346371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491</xdr:row>
      <xdr:rowOff>48381</xdr:rowOff>
    </xdr:from>
    <xdr:to>
      <xdr:col>13</xdr:col>
      <xdr:colOff>746579</xdr:colOff>
      <xdr:row>493</xdr:row>
      <xdr:rowOff>48379</xdr:rowOff>
    </xdr:to>
    <xdr:cxnSp macro="">
      <xdr:nvCxnSpPr>
        <xdr:cNvPr id="686" name="Connecteur droit avec flèche 685"/>
        <xdr:cNvCxnSpPr/>
      </xdr:nvCxnSpPr>
      <xdr:spPr>
        <a:xfrm flipV="1">
          <a:off x="11903529" y="6384683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494</xdr:row>
      <xdr:rowOff>81642</xdr:rowOff>
    </xdr:from>
    <xdr:to>
      <xdr:col>13</xdr:col>
      <xdr:colOff>757163</xdr:colOff>
      <xdr:row>494</xdr:row>
      <xdr:rowOff>92227</xdr:rowOff>
    </xdr:to>
    <xdr:cxnSp macro="">
      <xdr:nvCxnSpPr>
        <xdr:cNvPr id="687" name="Connecteur droit avec flèche 686"/>
        <xdr:cNvCxnSpPr/>
      </xdr:nvCxnSpPr>
      <xdr:spPr>
        <a:xfrm>
          <a:off x="12104613" y="6445159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493</xdr:row>
      <xdr:rowOff>16631</xdr:rowOff>
    </xdr:from>
    <xdr:to>
      <xdr:col>13</xdr:col>
      <xdr:colOff>714829</xdr:colOff>
      <xdr:row>493</xdr:row>
      <xdr:rowOff>37799</xdr:rowOff>
    </xdr:to>
    <xdr:cxnSp macro="">
      <xdr:nvCxnSpPr>
        <xdr:cNvPr id="688" name="Connecteur droit avec flèche 687"/>
        <xdr:cNvCxnSpPr/>
      </xdr:nvCxnSpPr>
      <xdr:spPr>
        <a:xfrm>
          <a:off x="11956446" y="6419608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487</xdr:row>
      <xdr:rowOff>87690</xdr:rowOff>
    </xdr:from>
    <xdr:to>
      <xdr:col>16</xdr:col>
      <xdr:colOff>76806</xdr:colOff>
      <xdr:row>487</xdr:row>
      <xdr:rowOff>100390</xdr:rowOff>
    </xdr:to>
    <xdr:cxnSp macro="">
      <xdr:nvCxnSpPr>
        <xdr:cNvPr id="689" name="Connecteur droit avec flèche 688"/>
        <xdr:cNvCxnSpPr/>
      </xdr:nvCxnSpPr>
      <xdr:spPr>
        <a:xfrm>
          <a:off x="13646755" y="6312414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491</xdr:row>
      <xdr:rowOff>119440</xdr:rowOff>
    </xdr:from>
    <xdr:to>
      <xdr:col>16</xdr:col>
      <xdr:colOff>23889</xdr:colOff>
      <xdr:row>491</xdr:row>
      <xdr:rowOff>121557</xdr:rowOff>
    </xdr:to>
    <xdr:cxnSp macro="">
      <xdr:nvCxnSpPr>
        <xdr:cNvPr id="690" name="Connecteur droit avec flèche 689"/>
        <xdr:cNvCxnSpPr/>
      </xdr:nvCxnSpPr>
      <xdr:spPr>
        <a:xfrm>
          <a:off x="13615005" y="6391789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489</xdr:row>
      <xdr:rowOff>119440</xdr:rowOff>
    </xdr:from>
    <xdr:to>
      <xdr:col>16</xdr:col>
      <xdr:colOff>97973</xdr:colOff>
      <xdr:row>489</xdr:row>
      <xdr:rowOff>121557</xdr:rowOff>
    </xdr:to>
    <xdr:cxnSp macro="">
      <xdr:nvCxnSpPr>
        <xdr:cNvPr id="691" name="Connecteur droit avec flèche 690"/>
        <xdr:cNvCxnSpPr/>
      </xdr:nvCxnSpPr>
      <xdr:spPr>
        <a:xfrm>
          <a:off x="13689089" y="6353689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493</xdr:row>
      <xdr:rowOff>108857</xdr:rowOff>
    </xdr:from>
    <xdr:to>
      <xdr:col>16</xdr:col>
      <xdr:colOff>87389</xdr:colOff>
      <xdr:row>493</xdr:row>
      <xdr:rowOff>110974</xdr:rowOff>
    </xdr:to>
    <xdr:cxnSp macro="">
      <xdr:nvCxnSpPr>
        <xdr:cNvPr id="692" name="Connecteur droit avec flèche 691"/>
        <xdr:cNvCxnSpPr/>
      </xdr:nvCxnSpPr>
      <xdr:spPr>
        <a:xfrm>
          <a:off x="13678505" y="6428830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494</xdr:row>
      <xdr:rowOff>119441</xdr:rowOff>
    </xdr:from>
    <xdr:to>
      <xdr:col>15</xdr:col>
      <xdr:colOff>754139</xdr:colOff>
      <xdr:row>494</xdr:row>
      <xdr:rowOff>121558</xdr:rowOff>
    </xdr:to>
    <xdr:cxnSp macro="">
      <xdr:nvCxnSpPr>
        <xdr:cNvPr id="693" name="Connecteur droit avec flèche 692"/>
        <xdr:cNvCxnSpPr/>
      </xdr:nvCxnSpPr>
      <xdr:spPr>
        <a:xfrm>
          <a:off x="13583255" y="6448939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486</xdr:row>
      <xdr:rowOff>108857</xdr:rowOff>
    </xdr:from>
    <xdr:to>
      <xdr:col>16</xdr:col>
      <xdr:colOff>55639</xdr:colOff>
      <xdr:row>487</xdr:row>
      <xdr:rowOff>77108</xdr:rowOff>
    </xdr:to>
    <xdr:cxnSp macro="">
      <xdr:nvCxnSpPr>
        <xdr:cNvPr id="694" name="Connecteur droit avec flèche 693"/>
        <xdr:cNvCxnSpPr/>
      </xdr:nvCxnSpPr>
      <xdr:spPr>
        <a:xfrm flipV="1">
          <a:off x="13636171" y="6295480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488</xdr:row>
      <xdr:rowOff>130024</xdr:rowOff>
    </xdr:from>
    <xdr:to>
      <xdr:col>16</xdr:col>
      <xdr:colOff>97972</xdr:colOff>
      <xdr:row>489</xdr:row>
      <xdr:rowOff>98275</xdr:rowOff>
    </xdr:to>
    <xdr:cxnSp macro="">
      <xdr:nvCxnSpPr>
        <xdr:cNvPr id="695" name="Connecteur droit avec flèche 694"/>
        <xdr:cNvCxnSpPr/>
      </xdr:nvCxnSpPr>
      <xdr:spPr>
        <a:xfrm flipV="1">
          <a:off x="13689089" y="6335697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490</xdr:row>
      <xdr:rowOff>130024</xdr:rowOff>
    </xdr:from>
    <xdr:to>
      <xdr:col>16</xdr:col>
      <xdr:colOff>45055</xdr:colOff>
      <xdr:row>491</xdr:row>
      <xdr:rowOff>98275</xdr:rowOff>
    </xdr:to>
    <xdr:cxnSp macro="">
      <xdr:nvCxnSpPr>
        <xdr:cNvPr id="696" name="Connecteur droit avec flèche 695"/>
        <xdr:cNvCxnSpPr/>
      </xdr:nvCxnSpPr>
      <xdr:spPr>
        <a:xfrm flipV="1">
          <a:off x="13604422" y="6373797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492</xdr:row>
      <xdr:rowOff>130024</xdr:rowOff>
    </xdr:from>
    <xdr:to>
      <xdr:col>16</xdr:col>
      <xdr:colOff>119139</xdr:colOff>
      <xdr:row>493</xdr:row>
      <xdr:rowOff>87692</xdr:rowOff>
    </xdr:to>
    <xdr:cxnSp macro="">
      <xdr:nvCxnSpPr>
        <xdr:cNvPr id="697" name="Connecteur droit avec flèche 696"/>
        <xdr:cNvCxnSpPr/>
      </xdr:nvCxnSpPr>
      <xdr:spPr>
        <a:xfrm flipV="1">
          <a:off x="13657338" y="6411897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486</xdr:row>
      <xdr:rowOff>47625</xdr:rowOff>
    </xdr:from>
    <xdr:to>
      <xdr:col>10</xdr:col>
      <xdr:colOff>931334</xdr:colOff>
      <xdr:row>495</xdr:row>
      <xdr:rowOff>10584</xdr:rowOff>
    </xdr:to>
    <xdr:sp macro="" textlink="">
      <xdr:nvSpPr>
        <xdr:cNvPr id="699" name="Accolade fermante 698"/>
        <xdr:cNvSpPr/>
      </xdr:nvSpPr>
      <xdr:spPr>
        <a:xfrm>
          <a:off x="10158943" y="6289357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121</xdr:row>
      <xdr:rowOff>33264</xdr:rowOff>
    </xdr:from>
    <xdr:to>
      <xdr:col>14</xdr:col>
      <xdr:colOff>104019</xdr:colOff>
      <xdr:row>123</xdr:row>
      <xdr:rowOff>75596</xdr:rowOff>
    </xdr:to>
    <xdr:cxnSp macro="">
      <xdr:nvCxnSpPr>
        <xdr:cNvPr id="681" name="Connecteur droit avec flèche 680"/>
        <xdr:cNvCxnSpPr/>
      </xdr:nvCxnSpPr>
      <xdr:spPr>
        <a:xfrm flipV="1">
          <a:off x="12094936" y="245887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123</xdr:row>
      <xdr:rowOff>73481</xdr:rowOff>
    </xdr:from>
    <xdr:to>
      <xdr:col>14</xdr:col>
      <xdr:colOff>17236</xdr:colOff>
      <xdr:row>123</xdr:row>
      <xdr:rowOff>86180</xdr:rowOff>
    </xdr:to>
    <xdr:cxnSp macro="">
      <xdr:nvCxnSpPr>
        <xdr:cNvPr id="682" name="Connecteur droit avec flèche 681"/>
        <xdr:cNvCxnSpPr/>
      </xdr:nvCxnSpPr>
      <xdr:spPr>
        <a:xfrm>
          <a:off x="12052602" y="250099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125</xdr:row>
      <xdr:rowOff>75596</xdr:rowOff>
    </xdr:from>
    <xdr:to>
      <xdr:col>14</xdr:col>
      <xdr:colOff>17237</xdr:colOff>
      <xdr:row>127</xdr:row>
      <xdr:rowOff>75594</xdr:rowOff>
    </xdr:to>
    <xdr:cxnSp macro="">
      <xdr:nvCxnSpPr>
        <xdr:cNvPr id="683" name="Connecteur droit avec flèche 682"/>
        <xdr:cNvCxnSpPr/>
      </xdr:nvCxnSpPr>
      <xdr:spPr>
        <a:xfrm flipV="1">
          <a:off x="11936187" y="253930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130</xdr:row>
      <xdr:rowOff>65012</xdr:rowOff>
    </xdr:from>
    <xdr:to>
      <xdr:col>14</xdr:col>
      <xdr:colOff>6654</xdr:colOff>
      <xdr:row>130</xdr:row>
      <xdr:rowOff>75597</xdr:rowOff>
    </xdr:to>
    <xdr:cxnSp macro="">
      <xdr:nvCxnSpPr>
        <xdr:cNvPr id="698" name="Connecteur droit avec flèche 697"/>
        <xdr:cNvCxnSpPr/>
      </xdr:nvCxnSpPr>
      <xdr:spPr>
        <a:xfrm>
          <a:off x="12063187" y="263349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128</xdr:row>
      <xdr:rowOff>54429</xdr:rowOff>
    </xdr:from>
    <xdr:to>
      <xdr:col>14</xdr:col>
      <xdr:colOff>27821</xdr:colOff>
      <xdr:row>128</xdr:row>
      <xdr:rowOff>65014</xdr:rowOff>
    </xdr:to>
    <xdr:cxnSp macro="">
      <xdr:nvCxnSpPr>
        <xdr:cNvPr id="700" name="Connecteur droit avec flèche 699"/>
        <xdr:cNvCxnSpPr/>
      </xdr:nvCxnSpPr>
      <xdr:spPr>
        <a:xfrm>
          <a:off x="12137271" y="259433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127</xdr:row>
      <xdr:rowOff>43846</xdr:rowOff>
    </xdr:from>
    <xdr:to>
      <xdr:col>13</xdr:col>
      <xdr:colOff>747487</xdr:colOff>
      <xdr:row>127</xdr:row>
      <xdr:rowOff>65014</xdr:rowOff>
    </xdr:to>
    <xdr:cxnSp macro="">
      <xdr:nvCxnSpPr>
        <xdr:cNvPr id="701" name="Connecteur droit avec flèche 700"/>
        <xdr:cNvCxnSpPr/>
      </xdr:nvCxnSpPr>
      <xdr:spPr>
        <a:xfrm>
          <a:off x="11989104" y="257422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129</xdr:row>
      <xdr:rowOff>107345</xdr:rowOff>
    </xdr:from>
    <xdr:to>
      <xdr:col>14</xdr:col>
      <xdr:colOff>38404</xdr:colOff>
      <xdr:row>130</xdr:row>
      <xdr:rowOff>65012</xdr:rowOff>
    </xdr:to>
    <xdr:cxnSp macro="">
      <xdr:nvCxnSpPr>
        <xdr:cNvPr id="702" name="Connecteur droit avec flèche 701"/>
        <xdr:cNvCxnSpPr/>
      </xdr:nvCxnSpPr>
      <xdr:spPr>
        <a:xfrm flipV="1">
          <a:off x="12063187" y="261867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121</xdr:row>
      <xdr:rowOff>33262</xdr:rowOff>
    </xdr:from>
    <xdr:to>
      <xdr:col>16</xdr:col>
      <xdr:colOff>123071</xdr:colOff>
      <xdr:row>121</xdr:row>
      <xdr:rowOff>45962</xdr:rowOff>
    </xdr:to>
    <xdr:cxnSp macro="">
      <xdr:nvCxnSpPr>
        <xdr:cNvPr id="703" name="Connecteur droit avec flèche 702"/>
        <xdr:cNvCxnSpPr/>
      </xdr:nvCxnSpPr>
      <xdr:spPr>
        <a:xfrm>
          <a:off x="13693020" y="245887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125</xdr:row>
      <xdr:rowOff>65012</xdr:rowOff>
    </xdr:from>
    <xdr:to>
      <xdr:col>16</xdr:col>
      <xdr:colOff>70154</xdr:colOff>
      <xdr:row>125</xdr:row>
      <xdr:rowOff>67129</xdr:rowOff>
    </xdr:to>
    <xdr:cxnSp macro="">
      <xdr:nvCxnSpPr>
        <xdr:cNvPr id="704" name="Connecteur droit avec flèche 703"/>
        <xdr:cNvCxnSpPr/>
      </xdr:nvCxnSpPr>
      <xdr:spPr>
        <a:xfrm>
          <a:off x="13661270" y="253824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123</xdr:row>
      <xdr:rowOff>65012</xdr:rowOff>
    </xdr:from>
    <xdr:to>
      <xdr:col>16</xdr:col>
      <xdr:colOff>144238</xdr:colOff>
      <xdr:row>123</xdr:row>
      <xdr:rowOff>67129</xdr:rowOff>
    </xdr:to>
    <xdr:cxnSp macro="">
      <xdr:nvCxnSpPr>
        <xdr:cNvPr id="705" name="Connecteur droit avec flèche 704"/>
        <xdr:cNvCxnSpPr/>
      </xdr:nvCxnSpPr>
      <xdr:spPr>
        <a:xfrm>
          <a:off x="13735354" y="250014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127</xdr:row>
      <xdr:rowOff>54429</xdr:rowOff>
    </xdr:from>
    <xdr:to>
      <xdr:col>16</xdr:col>
      <xdr:colOff>133654</xdr:colOff>
      <xdr:row>127</xdr:row>
      <xdr:rowOff>56546</xdr:rowOff>
    </xdr:to>
    <xdr:cxnSp macro="">
      <xdr:nvCxnSpPr>
        <xdr:cNvPr id="706" name="Connecteur droit avec flèche 705"/>
        <xdr:cNvCxnSpPr/>
      </xdr:nvCxnSpPr>
      <xdr:spPr>
        <a:xfrm>
          <a:off x="13724770" y="257528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129</xdr:row>
      <xdr:rowOff>54429</xdr:rowOff>
    </xdr:from>
    <xdr:to>
      <xdr:col>16</xdr:col>
      <xdr:colOff>80737</xdr:colOff>
      <xdr:row>129</xdr:row>
      <xdr:rowOff>56546</xdr:rowOff>
    </xdr:to>
    <xdr:cxnSp macro="">
      <xdr:nvCxnSpPr>
        <xdr:cNvPr id="707" name="Connecteur droit avec flèche 706"/>
        <xdr:cNvCxnSpPr/>
      </xdr:nvCxnSpPr>
      <xdr:spPr>
        <a:xfrm>
          <a:off x="13671853" y="261338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130</xdr:row>
      <xdr:rowOff>65012</xdr:rowOff>
    </xdr:from>
    <xdr:to>
      <xdr:col>16</xdr:col>
      <xdr:colOff>70155</xdr:colOff>
      <xdr:row>130</xdr:row>
      <xdr:rowOff>67129</xdr:rowOff>
    </xdr:to>
    <xdr:cxnSp macro="">
      <xdr:nvCxnSpPr>
        <xdr:cNvPr id="708" name="Connecteur droit avec flèche 707"/>
        <xdr:cNvCxnSpPr/>
      </xdr:nvCxnSpPr>
      <xdr:spPr>
        <a:xfrm>
          <a:off x="13661271" y="263349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128</xdr:row>
      <xdr:rowOff>65013</xdr:rowOff>
    </xdr:from>
    <xdr:to>
      <xdr:col>16</xdr:col>
      <xdr:colOff>38404</xdr:colOff>
      <xdr:row>128</xdr:row>
      <xdr:rowOff>67130</xdr:rowOff>
    </xdr:to>
    <xdr:cxnSp macro="">
      <xdr:nvCxnSpPr>
        <xdr:cNvPr id="709" name="Connecteur droit avec flèche 708"/>
        <xdr:cNvCxnSpPr/>
      </xdr:nvCxnSpPr>
      <xdr:spPr>
        <a:xfrm>
          <a:off x="13629520" y="259539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120</xdr:row>
      <xdr:rowOff>54429</xdr:rowOff>
    </xdr:from>
    <xdr:to>
      <xdr:col>16</xdr:col>
      <xdr:colOff>101904</xdr:colOff>
      <xdr:row>121</xdr:row>
      <xdr:rowOff>22680</xdr:rowOff>
    </xdr:to>
    <xdr:cxnSp macro="">
      <xdr:nvCxnSpPr>
        <xdr:cNvPr id="710" name="Connecteur droit avec flèche 709"/>
        <xdr:cNvCxnSpPr/>
      </xdr:nvCxnSpPr>
      <xdr:spPr>
        <a:xfrm flipV="1">
          <a:off x="13682436" y="244193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122</xdr:row>
      <xdr:rowOff>75596</xdr:rowOff>
    </xdr:from>
    <xdr:to>
      <xdr:col>16</xdr:col>
      <xdr:colOff>144237</xdr:colOff>
      <xdr:row>123</xdr:row>
      <xdr:rowOff>43847</xdr:rowOff>
    </xdr:to>
    <xdr:cxnSp macro="">
      <xdr:nvCxnSpPr>
        <xdr:cNvPr id="711" name="Connecteur droit avec flèche 710"/>
        <xdr:cNvCxnSpPr/>
      </xdr:nvCxnSpPr>
      <xdr:spPr>
        <a:xfrm flipV="1">
          <a:off x="13735354" y="248215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124</xdr:row>
      <xdr:rowOff>75596</xdr:rowOff>
    </xdr:from>
    <xdr:to>
      <xdr:col>16</xdr:col>
      <xdr:colOff>91320</xdr:colOff>
      <xdr:row>125</xdr:row>
      <xdr:rowOff>43847</xdr:rowOff>
    </xdr:to>
    <xdr:cxnSp macro="">
      <xdr:nvCxnSpPr>
        <xdr:cNvPr id="712" name="Connecteur droit avec flèche 711"/>
        <xdr:cNvCxnSpPr/>
      </xdr:nvCxnSpPr>
      <xdr:spPr>
        <a:xfrm flipV="1">
          <a:off x="13650687" y="252025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126</xdr:row>
      <xdr:rowOff>75596</xdr:rowOff>
    </xdr:from>
    <xdr:to>
      <xdr:col>16</xdr:col>
      <xdr:colOff>165404</xdr:colOff>
      <xdr:row>127</xdr:row>
      <xdr:rowOff>33264</xdr:rowOff>
    </xdr:to>
    <xdr:cxnSp macro="">
      <xdr:nvCxnSpPr>
        <xdr:cNvPr id="713" name="Connecteur droit avec flèche 712"/>
        <xdr:cNvCxnSpPr/>
      </xdr:nvCxnSpPr>
      <xdr:spPr>
        <a:xfrm flipV="1">
          <a:off x="13703603" y="255835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120</xdr:row>
      <xdr:rowOff>47625</xdr:rowOff>
    </xdr:from>
    <xdr:to>
      <xdr:col>10</xdr:col>
      <xdr:colOff>1031875</xdr:colOff>
      <xdr:row>130</xdr:row>
      <xdr:rowOff>142875</xdr:rowOff>
    </xdr:to>
    <xdr:sp macro="" textlink="">
      <xdr:nvSpPr>
        <xdr:cNvPr id="714" name="Accolade fermante 713"/>
        <xdr:cNvSpPr/>
      </xdr:nvSpPr>
      <xdr:spPr>
        <a:xfrm>
          <a:off x="10233025" y="244125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97</xdr:row>
      <xdr:rowOff>33264</xdr:rowOff>
    </xdr:from>
    <xdr:to>
      <xdr:col>14</xdr:col>
      <xdr:colOff>104019</xdr:colOff>
      <xdr:row>99</xdr:row>
      <xdr:rowOff>75596</xdr:rowOff>
    </xdr:to>
    <xdr:cxnSp macro="">
      <xdr:nvCxnSpPr>
        <xdr:cNvPr id="734" name="Connecteur droit avec flèche 733"/>
        <xdr:cNvCxnSpPr/>
      </xdr:nvCxnSpPr>
      <xdr:spPr>
        <a:xfrm flipV="1">
          <a:off x="12133036" y="216359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99</xdr:row>
      <xdr:rowOff>73481</xdr:rowOff>
    </xdr:from>
    <xdr:to>
      <xdr:col>14</xdr:col>
      <xdr:colOff>17236</xdr:colOff>
      <xdr:row>99</xdr:row>
      <xdr:rowOff>86180</xdr:rowOff>
    </xdr:to>
    <xdr:cxnSp macro="">
      <xdr:nvCxnSpPr>
        <xdr:cNvPr id="735" name="Connecteur droit avec flèche 734"/>
        <xdr:cNvCxnSpPr/>
      </xdr:nvCxnSpPr>
      <xdr:spPr>
        <a:xfrm>
          <a:off x="12090702" y="220571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101</xdr:row>
      <xdr:rowOff>75596</xdr:rowOff>
    </xdr:from>
    <xdr:to>
      <xdr:col>14</xdr:col>
      <xdr:colOff>17237</xdr:colOff>
      <xdr:row>103</xdr:row>
      <xdr:rowOff>75594</xdr:rowOff>
    </xdr:to>
    <xdr:cxnSp macro="">
      <xdr:nvCxnSpPr>
        <xdr:cNvPr id="736" name="Connecteur droit avec flèche 735"/>
        <xdr:cNvCxnSpPr/>
      </xdr:nvCxnSpPr>
      <xdr:spPr>
        <a:xfrm flipV="1">
          <a:off x="11974287" y="224402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106</xdr:row>
      <xdr:rowOff>65012</xdr:rowOff>
    </xdr:from>
    <xdr:to>
      <xdr:col>14</xdr:col>
      <xdr:colOff>6654</xdr:colOff>
      <xdr:row>106</xdr:row>
      <xdr:rowOff>75597</xdr:rowOff>
    </xdr:to>
    <xdr:cxnSp macro="">
      <xdr:nvCxnSpPr>
        <xdr:cNvPr id="737" name="Connecteur droit avec flèche 736"/>
        <xdr:cNvCxnSpPr/>
      </xdr:nvCxnSpPr>
      <xdr:spPr>
        <a:xfrm>
          <a:off x="12101287" y="233822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104</xdr:row>
      <xdr:rowOff>54429</xdr:rowOff>
    </xdr:from>
    <xdr:to>
      <xdr:col>14</xdr:col>
      <xdr:colOff>27821</xdr:colOff>
      <xdr:row>104</xdr:row>
      <xdr:rowOff>65014</xdr:rowOff>
    </xdr:to>
    <xdr:cxnSp macro="">
      <xdr:nvCxnSpPr>
        <xdr:cNvPr id="738" name="Connecteur droit avec flèche 737"/>
        <xdr:cNvCxnSpPr/>
      </xdr:nvCxnSpPr>
      <xdr:spPr>
        <a:xfrm>
          <a:off x="12175371" y="229906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103</xdr:row>
      <xdr:rowOff>43846</xdr:rowOff>
    </xdr:from>
    <xdr:to>
      <xdr:col>13</xdr:col>
      <xdr:colOff>747487</xdr:colOff>
      <xdr:row>103</xdr:row>
      <xdr:rowOff>65014</xdr:rowOff>
    </xdr:to>
    <xdr:cxnSp macro="">
      <xdr:nvCxnSpPr>
        <xdr:cNvPr id="739" name="Connecteur droit avec flèche 738"/>
        <xdr:cNvCxnSpPr/>
      </xdr:nvCxnSpPr>
      <xdr:spPr>
        <a:xfrm>
          <a:off x="12027204" y="227895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105</xdr:row>
      <xdr:rowOff>107345</xdr:rowOff>
    </xdr:from>
    <xdr:to>
      <xdr:col>14</xdr:col>
      <xdr:colOff>38404</xdr:colOff>
      <xdr:row>106</xdr:row>
      <xdr:rowOff>65012</xdr:rowOff>
    </xdr:to>
    <xdr:cxnSp macro="">
      <xdr:nvCxnSpPr>
        <xdr:cNvPr id="740" name="Connecteur droit avec flèche 739"/>
        <xdr:cNvCxnSpPr/>
      </xdr:nvCxnSpPr>
      <xdr:spPr>
        <a:xfrm flipV="1">
          <a:off x="12101287" y="232340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97</xdr:row>
      <xdr:rowOff>33262</xdr:rowOff>
    </xdr:from>
    <xdr:to>
      <xdr:col>16</xdr:col>
      <xdr:colOff>123071</xdr:colOff>
      <xdr:row>97</xdr:row>
      <xdr:rowOff>45962</xdr:rowOff>
    </xdr:to>
    <xdr:cxnSp macro="">
      <xdr:nvCxnSpPr>
        <xdr:cNvPr id="741" name="Connecteur droit avec flèche 740"/>
        <xdr:cNvCxnSpPr/>
      </xdr:nvCxnSpPr>
      <xdr:spPr>
        <a:xfrm>
          <a:off x="13731120" y="216359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101</xdr:row>
      <xdr:rowOff>65012</xdr:rowOff>
    </xdr:from>
    <xdr:to>
      <xdr:col>16</xdr:col>
      <xdr:colOff>70154</xdr:colOff>
      <xdr:row>101</xdr:row>
      <xdr:rowOff>67129</xdr:rowOff>
    </xdr:to>
    <xdr:cxnSp macro="">
      <xdr:nvCxnSpPr>
        <xdr:cNvPr id="742" name="Connecteur droit avec flèche 741"/>
        <xdr:cNvCxnSpPr/>
      </xdr:nvCxnSpPr>
      <xdr:spPr>
        <a:xfrm>
          <a:off x="13699370" y="22429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99</xdr:row>
      <xdr:rowOff>65012</xdr:rowOff>
    </xdr:from>
    <xdr:to>
      <xdr:col>16</xdr:col>
      <xdr:colOff>144238</xdr:colOff>
      <xdr:row>99</xdr:row>
      <xdr:rowOff>67129</xdr:rowOff>
    </xdr:to>
    <xdr:cxnSp macro="">
      <xdr:nvCxnSpPr>
        <xdr:cNvPr id="743" name="Connecteur droit avec flèche 742"/>
        <xdr:cNvCxnSpPr/>
      </xdr:nvCxnSpPr>
      <xdr:spPr>
        <a:xfrm>
          <a:off x="13773454" y="22048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103</xdr:row>
      <xdr:rowOff>54429</xdr:rowOff>
    </xdr:from>
    <xdr:to>
      <xdr:col>16</xdr:col>
      <xdr:colOff>133654</xdr:colOff>
      <xdr:row>103</xdr:row>
      <xdr:rowOff>56546</xdr:rowOff>
    </xdr:to>
    <xdr:cxnSp macro="">
      <xdr:nvCxnSpPr>
        <xdr:cNvPr id="744" name="Connecteur droit avec flèche 743"/>
        <xdr:cNvCxnSpPr/>
      </xdr:nvCxnSpPr>
      <xdr:spPr>
        <a:xfrm>
          <a:off x="13762870" y="22800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105</xdr:row>
      <xdr:rowOff>54429</xdr:rowOff>
    </xdr:from>
    <xdr:to>
      <xdr:col>16</xdr:col>
      <xdr:colOff>80737</xdr:colOff>
      <xdr:row>105</xdr:row>
      <xdr:rowOff>56546</xdr:rowOff>
    </xdr:to>
    <xdr:cxnSp macro="">
      <xdr:nvCxnSpPr>
        <xdr:cNvPr id="745" name="Connecteur droit avec flèche 744"/>
        <xdr:cNvCxnSpPr/>
      </xdr:nvCxnSpPr>
      <xdr:spPr>
        <a:xfrm>
          <a:off x="13709953" y="23181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106</xdr:row>
      <xdr:rowOff>65012</xdr:rowOff>
    </xdr:from>
    <xdr:to>
      <xdr:col>16</xdr:col>
      <xdr:colOff>70155</xdr:colOff>
      <xdr:row>106</xdr:row>
      <xdr:rowOff>67129</xdr:rowOff>
    </xdr:to>
    <xdr:cxnSp macro="">
      <xdr:nvCxnSpPr>
        <xdr:cNvPr id="746" name="Connecteur droit avec flèche 745"/>
        <xdr:cNvCxnSpPr/>
      </xdr:nvCxnSpPr>
      <xdr:spPr>
        <a:xfrm>
          <a:off x="13699371" y="23382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104</xdr:row>
      <xdr:rowOff>65013</xdr:rowOff>
    </xdr:from>
    <xdr:to>
      <xdr:col>16</xdr:col>
      <xdr:colOff>38404</xdr:colOff>
      <xdr:row>104</xdr:row>
      <xdr:rowOff>67130</xdr:rowOff>
    </xdr:to>
    <xdr:cxnSp macro="">
      <xdr:nvCxnSpPr>
        <xdr:cNvPr id="747" name="Connecteur droit avec flèche 746"/>
        <xdr:cNvCxnSpPr/>
      </xdr:nvCxnSpPr>
      <xdr:spPr>
        <a:xfrm>
          <a:off x="13667620" y="230012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96</xdr:row>
      <xdr:rowOff>54429</xdr:rowOff>
    </xdr:from>
    <xdr:to>
      <xdr:col>16</xdr:col>
      <xdr:colOff>101904</xdr:colOff>
      <xdr:row>97</xdr:row>
      <xdr:rowOff>22680</xdr:rowOff>
    </xdr:to>
    <xdr:cxnSp macro="">
      <xdr:nvCxnSpPr>
        <xdr:cNvPr id="748" name="Connecteur droit avec flèche 747"/>
        <xdr:cNvCxnSpPr/>
      </xdr:nvCxnSpPr>
      <xdr:spPr>
        <a:xfrm flipV="1">
          <a:off x="13720536" y="214666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98</xdr:row>
      <xdr:rowOff>75596</xdr:rowOff>
    </xdr:from>
    <xdr:to>
      <xdr:col>16</xdr:col>
      <xdr:colOff>144237</xdr:colOff>
      <xdr:row>99</xdr:row>
      <xdr:rowOff>43847</xdr:rowOff>
    </xdr:to>
    <xdr:cxnSp macro="">
      <xdr:nvCxnSpPr>
        <xdr:cNvPr id="749" name="Connecteur droit avec flèche 748"/>
        <xdr:cNvCxnSpPr/>
      </xdr:nvCxnSpPr>
      <xdr:spPr>
        <a:xfrm flipV="1">
          <a:off x="13773454" y="218687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100</xdr:row>
      <xdr:rowOff>75596</xdr:rowOff>
    </xdr:from>
    <xdr:to>
      <xdr:col>16</xdr:col>
      <xdr:colOff>91320</xdr:colOff>
      <xdr:row>101</xdr:row>
      <xdr:rowOff>43847</xdr:rowOff>
    </xdr:to>
    <xdr:cxnSp macro="">
      <xdr:nvCxnSpPr>
        <xdr:cNvPr id="750" name="Connecteur droit avec flèche 749"/>
        <xdr:cNvCxnSpPr/>
      </xdr:nvCxnSpPr>
      <xdr:spPr>
        <a:xfrm flipV="1">
          <a:off x="13688787" y="222497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102</xdr:row>
      <xdr:rowOff>75596</xdr:rowOff>
    </xdr:from>
    <xdr:to>
      <xdr:col>16</xdr:col>
      <xdr:colOff>165404</xdr:colOff>
      <xdr:row>103</xdr:row>
      <xdr:rowOff>33264</xdr:rowOff>
    </xdr:to>
    <xdr:cxnSp macro="">
      <xdr:nvCxnSpPr>
        <xdr:cNvPr id="751" name="Connecteur droit avec flèche 750"/>
        <xdr:cNvCxnSpPr/>
      </xdr:nvCxnSpPr>
      <xdr:spPr>
        <a:xfrm flipV="1">
          <a:off x="13741703" y="226307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96</xdr:row>
      <xdr:rowOff>47625</xdr:rowOff>
    </xdr:from>
    <xdr:to>
      <xdr:col>10</xdr:col>
      <xdr:colOff>1031875</xdr:colOff>
      <xdr:row>106</xdr:row>
      <xdr:rowOff>142875</xdr:rowOff>
    </xdr:to>
    <xdr:sp macro="" textlink="">
      <xdr:nvSpPr>
        <xdr:cNvPr id="752" name="Accolade fermante 751"/>
        <xdr:cNvSpPr/>
      </xdr:nvSpPr>
      <xdr:spPr>
        <a:xfrm>
          <a:off x="10261600" y="214598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73</xdr:row>
      <xdr:rowOff>33264</xdr:rowOff>
    </xdr:from>
    <xdr:to>
      <xdr:col>14</xdr:col>
      <xdr:colOff>104019</xdr:colOff>
      <xdr:row>75</xdr:row>
      <xdr:rowOff>75596</xdr:rowOff>
    </xdr:to>
    <xdr:cxnSp macro="">
      <xdr:nvCxnSpPr>
        <xdr:cNvPr id="791" name="Connecteur droit avec flèche 790"/>
        <xdr:cNvCxnSpPr/>
      </xdr:nvCxnSpPr>
      <xdr:spPr>
        <a:xfrm flipV="1">
          <a:off x="12133036" y="239219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75</xdr:row>
      <xdr:rowOff>73481</xdr:rowOff>
    </xdr:from>
    <xdr:to>
      <xdr:col>14</xdr:col>
      <xdr:colOff>17236</xdr:colOff>
      <xdr:row>75</xdr:row>
      <xdr:rowOff>86180</xdr:rowOff>
    </xdr:to>
    <xdr:cxnSp macro="">
      <xdr:nvCxnSpPr>
        <xdr:cNvPr id="792" name="Connecteur droit avec flèche 791"/>
        <xdr:cNvCxnSpPr/>
      </xdr:nvCxnSpPr>
      <xdr:spPr>
        <a:xfrm>
          <a:off x="12090702" y="243431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77</xdr:row>
      <xdr:rowOff>75596</xdr:rowOff>
    </xdr:from>
    <xdr:to>
      <xdr:col>14</xdr:col>
      <xdr:colOff>17237</xdr:colOff>
      <xdr:row>79</xdr:row>
      <xdr:rowOff>75594</xdr:rowOff>
    </xdr:to>
    <xdr:cxnSp macro="">
      <xdr:nvCxnSpPr>
        <xdr:cNvPr id="793" name="Connecteur droit avec flèche 792"/>
        <xdr:cNvCxnSpPr/>
      </xdr:nvCxnSpPr>
      <xdr:spPr>
        <a:xfrm flipV="1">
          <a:off x="11974287" y="247262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82</xdr:row>
      <xdr:rowOff>65012</xdr:rowOff>
    </xdr:from>
    <xdr:to>
      <xdr:col>14</xdr:col>
      <xdr:colOff>6654</xdr:colOff>
      <xdr:row>82</xdr:row>
      <xdr:rowOff>75597</xdr:rowOff>
    </xdr:to>
    <xdr:cxnSp macro="">
      <xdr:nvCxnSpPr>
        <xdr:cNvPr id="794" name="Connecteur droit avec flèche 793"/>
        <xdr:cNvCxnSpPr/>
      </xdr:nvCxnSpPr>
      <xdr:spPr>
        <a:xfrm>
          <a:off x="12101287" y="256682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80</xdr:row>
      <xdr:rowOff>54429</xdr:rowOff>
    </xdr:from>
    <xdr:to>
      <xdr:col>14</xdr:col>
      <xdr:colOff>27821</xdr:colOff>
      <xdr:row>80</xdr:row>
      <xdr:rowOff>65014</xdr:rowOff>
    </xdr:to>
    <xdr:cxnSp macro="">
      <xdr:nvCxnSpPr>
        <xdr:cNvPr id="795" name="Connecteur droit avec flèche 794"/>
        <xdr:cNvCxnSpPr/>
      </xdr:nvCxnSpPr>
      <xdr:spPr>
        <a:xfrm>
          <a:off x="12175371" y="252766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79</xdr:row>
      <xdr:rowOff>43846</xdr:rowOff>
    </xdr:from>
    <xdr:to>
      <xdr:col>13</xdr:col>
      <xdr:colOff>747487</xdr:colOff>
      <xdr:row>79</xdr:row>
      <xdr:rowOff>65014</xdr:rowOff>
    </xdr:to>
    <xdr:cxnSp macro="">
      <xdr:nvCxnSpPr>
        <xdr:cNvPr id="796" name="Connecteur droit avec flèche 795"/>
        <xdr:cNvCxnSpPr/>
      </xdr:nvCxnSpPr>
      <xdr:spPr>
        <a:xfrm>
          <a:off x="12027204" y="250755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81</xdr:row>
      <xdr:rowOff>107345</xdr:rowOff>
    </xdr:from>
    <xdr:to>
      <xdr:col>14</xdr:col>
      <xdr:colOff>38404</xdr:colOff>
      <xdr:row>82</xdr:row>
      <xdr:rowOff>65012</xdr:rowOff>
    </xdr:to>
    <xdr:cxnSp macro="">
      <xdr:nvCxnSpPr>
        <xdr:cNvPr id="797" name="Connecteur droit avec flèche 796"/>
        <xdr:cNvCxnSpPr/>
      </xdr:nvCxnSpPr>
      <xdr:spPr>
        <a:xfrm flipV="1">
          <a:off x="12101287" y="255200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73</xdr:row>
      <xdr:rowOff>33262</xdr:rowOff>
    </xdr:from>
    <xdr:to>
      <xdr:col>16</xdr:col>
      <xdr:colOff>123071</xdr:colOff>
      <xdr:row>73</xdr:row>
      <xdr:rowOff>45962</xdr:rowOff>
    </xdr:to>
    <xdr:cxnSp macro="">
      <xdr:nvCxnSpPr>
        <xdr:cNvPr id="798" name="Connecteur droit avec flèche 797"/>
        <xdr:cNvCxnSpPr/>
      </xdr:nvCxnSpPr>
      <xdr:spPr>
        <a:xfrm>
          <a:off x="13731120" y="239219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77</xdr:row>
      <xdr:rowOff>65012</xdr:rowOff>
    </xdr:from>
    <xdr:to>
      <xdr:col>16</xdr:col>
      <xdr:colOff>70154</xdr:colOff>
      <xdr:row>77</xdr:row>
      <xdr:rowOff>67129</xdr:rowOff>
    </xdr:to>
    <xdr:cxnSp macro="">
      <xdr:nvCxnSpPr>
        <xdr:cNvPr id="799" name="Connecteur droit avec flèche 798"/>
        <xdr:cNvCxnSpPr/>
      </xdr:nvCxnSpPr>
      <xdr:spPr>
        <a:xfrm>
          <a:off x="13699370" y="24715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75</xdr:row>
      <xdr:rowOff>65012</xdr:rowOff>
    </xdr:from>
    <xdr:to>
      <xdr:col>16</xdr:col>
      <xdr:colOff>144238</xdr:colOff>
      <xdr:row>75</xdr:row>
      <xdr:rowOff>67129</xdr:rowOff>
    </xdr:to>
    <xdr:cxnSp macro="">
      <xdr:nvCxnSpPr>
        <xdr:cNvPr id="800" name="Connecteur droit avec flèche 799"/>
        <xdr:cNvCxnSpPr/>
      </xdr:nvCxnSpPr>
      <xdr:spPr>
        <a:xfrm>
          <a:off x="13773454" y="24334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79</xdr:row>
      <xdr:rowOff>54429</xdr:rowOff>
    </xdr:from>
    <xdr:to>
      <xdr:col>16</xdr:col>
      <xdr:colOff>133654</xdr:colOff>
      <xdr:row>79</xdr:row>
      <xdr:rowOff>56546</xdr:rowOff>
    </xdr:to>
    <xdr:cxnSp macro="">
      <xdr:nvCxnSpPr>
        <xdr:cNvPr id="801" name="Connecteur droit avec flèche 800"/>
        <xdr:cNvCxnSpPr/>
      </xdr:nvCxnSpPr>
      <xdr:spPr>
        <a:xfrm>
          <a:off x="13762870" y="25086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81</xdr:row>
      <xdr:rowOff>54429</xdr:rowOff>
    </xdr:from>
    <xdr:to>
      <xdr:col>16</xdr:col>
      <xdr:colOff>80737</xdr:colOff>
      <xdr:row>81</xdr:row>
      <xdr:rowOff>56546</xdr:rowOff>
    </xdr:to>
    <xdr:cxnSp macro="">
      <xdr:nvCxnSpPr>
        <xdr:cNvPr id="802" name="Connecteur droit avec flèche 801"/>
        <xdr:cNvCxnSpPr/>
      </xdr:nvCxnSpPr>
      <xdr:spPr>
        <a:xfrm>
          <a:off x="13709953" y="25467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82</xdr:row>
      <xdr:rowOff>65012</xdr:rowOff>
    </xdr:from>
    <xdr:to>
      <xdr:col>16</xdr:col>
      <xdr:colOff>70155</xdr:colOff>
      <xdr:row>82</xdr:row>
      <xdr:rowOff>67129</xdr:rowOff>
    </xdr:to>
    <xdr:cxnSp macro="">
      <xdr:nvCxnSpPr>
        <xdr:cNvPr id="803" name="Connecteur droit avec flèche 802"/>
        <xdr:cNvCxnSpPr/>
      </xdr:nvCxnSpPr>
      <xdr:spPr>
        <a:xfrm>
          <a:off x="13699371" y="25668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80</xdr:row>
      <xdr:rowOff>65013</xdr:rowOff>
    </xdr:from>
    <xdr:to>
      <xdr:col>16</xdr:col>
      <xdr:colOff>38404</xdr:colOff>
      <xdr:row>80</xdr:row>
      <xdr:rowOff>67130</xdr:rowOff>
    </xdr:to>
    <xdr:cxnSp macro="">
      <xdr:nvCxnSpPr>
        <xdr:cNvPr id="804" name="Connecteur droit avec flèche 803"/>
        <xdr:cNvCxnSpPr/>
      </xdr:nvCxnSpPr>
      <xdr:spPr>
        <a:xfrm>
          <a:off x="13667620" y="252872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72</xdr:row>
      <xdr:rowOff>54429</xdr:rowOff>
    </xdr:from>
    <xdr:to>
      <xdr:col>16</xdr:col>
      <xdr:colOff>101904</xdr:colOff>
      <xdr:row>73</xdr:row>
      <xdr:rowOff>22680</xdr:rowOff>
    </xdr:to>
    <xdr:cxnSp macro="">
      <xdr:nvCxnSpPr>
        <xdr:cNvPr id="805" name="Connecteur droit avec flèche 804"/>
        <xdr:cNvCxnSpPr/>
      </xdr:nvCxnSpPr>
      <xdr:spPr>
        <a:xfrm flipV="1">
          <a:off x="13720536" y="237526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74</xdr:row>
      <xdr:rowOff>75596</xdr:rowOff>
    </xdr:from>
    <xdr:to>
      <xdr:col>16</xdr:col>
      <xdr:colOff>144237</xdr:colOff>
      <xdr:row>75</xdr:row>
      <xdr:rowOff>43847</xdr:rowOff>
    </xdr:to>
    <xdr:cxnSp macro="">
      <xdr:nvCxnSpPr>
        <xdr:cNvPr id="806" name="Connecteur droit avec flèche 805"/>
        <xdr:cNvCxnSpPr/>
      </xdr:nvCxnSpPr>
      <xdr:spPr>
        <a:xfrm flipV="1">
          <a:off x="13773454" y="241547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76</xdr:row>
      <xdr:rowOff>75596</xdr:rowOff>
    </xdr:from>
    <xdr:to>
      <xdr:col>16</xdr:col>
      <xdr:colOff>91320</xdr:colOff>
      <xdr:row>77</xdr:row>
      <xdr:rowOff>43847</xdr:rowOff>
    </xdr:to>
    <xdr:cxnSp macro="">
      <xdr:nvCxnSpPr>
        <xdr:cNvPr id="807" name="Connecteur droit avec flèche 806"/>
        <xdr:cNvCxnSpPr/>
      </xdr:nvCxnSpPr>
      <xdr:spPr>
        <a:xfrm flipV="1">
          <a:off x="13688787" y="245357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78</xdr:row>
      <xdr:rowOff>75596</xdr:rowOff>
    </xdr:from>
    <xdr:to>
      <xdr:col>16</xdr:col>
      <xdr:colOff>165404</xdr:colOff>
      <xdr:row>79</xdr:row>
      <xdr:rowOff>33264</xdr:rowOff>
    </xdr:to>
    <xdr:cxnSp macro="">
      <xdr:nvCxnSpPr>
        <xdr:cNvPr id="808" name="Connecteur droit avec flèche 807"/>
        <xdr:cNvCxnSpPr/>
      </xdr:nvCxnSpPr>
      <xdr:spPr>
        <a:xfrm flipV="1">
          <a:off x="13741703" y="249167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72</xdr:row>
      <xdr:rowOff>47625</xdr:rowOff>
    </xdr:from>
    <xdr:to>
      <xdr:col>10</xdr:col>
      <xdr:colOff>1031875</xdr:colOff>
      <xdr:row>82</xdr:row>
      <xdr:rowOff>142875</xdr:rowOff>
    </xdr:to>
    <xdr:sp macro="" textlink="">
      <xdr:nvSpPr>
        <xdr:cNvPr id="809" name="Accolade fermante 808"/>
        <xdr:cNvSpPr/>
      </xdr:nvSpPr>
      <xdr:spPr>
        <a:xfrm>
          <a:off x="10261600" y="237458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253</xdr:row>
      <xdr:rowOff>33264</xdr:rowOff>
    </xdr:from>
    <xdr:to>
      <xdr:col>14</xdr:col>
      <xdr:colOff>104019</xdr:colOff>
      <xdr:row>255</xdr:row>
      <xdr:rowOff>75596</xdr:rowOff>
    </xdr:to>
    <xdr:cxnSp macro="">
      <xdr:nvCxnSpPr>
        <xdr:cNvPr id="810" name="Connecteur droit avec flèche 809"/>
        <xdr:cNvCxnSpPr/>
      </xdr:nvCxnSpPr>
      <xdr:spPr>
        <a:xfrm flipV="1">
          <a:off x="12133036" y="239219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255</xdr:row>
      <xdr:rowOff>73481</xdr:rowOff>
    </xdr:from>
    <xdr:to>
      <xdr:col>14</xdr:col>
      <xdr:colOff>17236</xdr:colOff>
      <xdr:row>255</xdr:row>
      <xdr:rowOff>86180</xdr:rowOff>
    </xdr:to>
    <xdr:cxnSp macro="">
      <xdr:nvCxnSpPr>
        <xdr:cNvPr id="811" name="Connecteur droit avec flèche 810"/>
        <xdr:cNvCxnSpPr/>
      </xdr:nvCxnSpPr>
      <xdr:spPr>
        <a:xfrm>
          <a:off x="12090702" y="243431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257</xdr:row>
      <xdr:rowOff>75596</xdr:rowOff>
    </xdr:from>
    <xdr:to>
      <xdr:col>14</xdr:col>
      <xdr:colOff>17237</xdr:colOff>
      <xdr:row>259</xdr:row>
      <xdr:rowOff>75594</xdr:rowOff>
    </xdr:to>
    <xdr:cxnSp macro="">
      <xdr:nvCxnSpPr>
        <xdr:cNvPr id="812" name="Connecteur droit avec flèche 811"/>
        <xdr:cNvCxnSpPr/>
      </xdr:nvCxnSpPr>
      <xdr:spPr>
        <a:xfrm flipV="1">
          <a:off x="11974287" y="247262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262</xdr:row>
      <xdr:rowOff>65012</xdr:rowOff>
    </xdr:from>
    <xdr:to>
      <xdr:col>14</xdr:col>
      <xdr:colOff>6654</xdr:colOff>
      <xdr:row>262</xdr:row>
      <xdr:rowOff>75597</xdr:rowOff>
    </xdr:to>
    <xdr:cxnSp macro="">
      <xdr:nvCxnSpPr>
        <xdr:cNvPr id="813" name="Connecteur droit avec flèche 812"/>
        <xdr:cNvCxnSpPr/>
      </xdr:nvCxnSpPr>
      <xdr:spPr>
        <a:xfrm>
          <a:off x="12101287" y="256682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260</xdr:row>
      <xdr:rowOff>54429</xdr:rowOff>
    </xdr:from>
    <xdr:to>
      <xdr:col>14</xdr:col>
      <xdr:colOff>27821</xdr:colOff>
      <xdr:row>260</xdr:row>
      <xdr:rowOff>65014</xdr:rowOff>
    </xdr:to>
    <xdr:cxnSp macro="">
      <xdr:nvCxnSpPr>
        <xdr:cNvPr id="814" name="Connecteur droit avec flèche 813"/>
        <xdr:cNvCxnSpPr/>
      </xdr:nvCxnSpPr>
      <xdr:spPr>
        <a:xfrm>
          <a:off x="12175371" y="252766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259</xdr:row>
      <xdr:rowOff>43846</xdr:rowOff>
    </xdr:from>
    <xdr:to>
      <xdr:col>13</xdr:col>
      <xdr:colOff>747487</xdr:colOff>
      <xdr:row>259</xdr:row>
      <xdr:rowOff>65014</xdr:rowOff>
    </xdr:to>
    <xdr:cxnSp macro="">
      <xdr:nvCxnSpPr>
        <xdr:cNvPr id="815" name="Connecteur droit avec flèche 814"/>
        <xdr:cNvCxnSpPr/>
      </xdr:nvCxnSpPr>
      <xdr:spPr>
        <a:xfrm>
          <a:off x="12027204" y="250755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261</xdr:row>
      <xdr:rowOff>107345</xdr:rowOff>
    </xdr:from>
    <xdr:to>
      <xdr:col>14</xdr:col>
      <xdr:colOff>38404</xdr:colOff>
      <xdr:row>262</xdr:row>
      <xdr:rowOff>65012</xdr:rowOff>
    </xdr:to>
    <xdr:cxnSp macro="">
      <xdr:nvCxnSpPr>
        <xdr:cNvPr id="816" name="Connecteur droit avec flèche 815"/>
        <xdr:cNvCxnSpPr/>
      </xdr:nvCxnSpPr>
      <xdr:spPr>
        <a:xfrm flipV="1">
          <a:off x="12101287" y="255200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253</xdr:row>
      <xdr:rowOff>33262</xdr:rowOff>
    </xdr:from>
    <xdr:to>
      <xdr:col>16</xdr:col>
      <xdr:colOff>123071</xdr:colOff>
      <xdr:row>253</xdr:row>
      <xdr:rowOff>45962</xdr:rowOff>
    </xdr:to>
    <xdr:cxnSp macro="">
      <xdr:nvCxnSpPr>
        <xdr:cNvPr id="817" name="Connecteur droit avec flèche 816"/>
        <xdr:cNvCxnSpPr/>
      </xdr:nvCxnSpPr>
      <xdr:spPr>
        <a:xfrm>
          <a:off x="13731120" y="239219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257</xdr:row>
      <xdr:rowOff>65012</xdr:rowOff>
    </xdr:from>
    <xdr:to>
      <xdr:col>16</xdr:col>
      <xdr:colOff>70154</xdr:colOff>
      <xdr:row>257</xdr:row>
      <xdr:rowOff>67129</xdr:rowOff>
    </xdr:to>
    <xdr:cxnSp macro="">
      <xdr:nvCxnSpPr>
        <xdr:cNvPr id="818" name="Connecteur droit avec flèche 817"/>
        <xdr:cNvCxnSpPr/>
      </xdr:nvCxnSpPr>
      <xdr:spPr>
        <a:xfrm>
          <a:off x="13699370" y="24715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255</xdr:row>
      <xdr:rowOff>65012</xdr:rowOff>
    </xdr:from>
    <xdr:to>
      <xdr:col>16</xdr:col>
      <xdr:colOff>144238</xdr:colOff>
      <xdr:row>255</xdr:row>
      <xdr:rowOff>67129</xdr:rowOff>
    </xdr:to>
    <xdr:cxnSp macro="">
      <xdr:nvCxnSpPr>
        <xdr:cNvPr id="819" name="Connecteur droit avec flèche 818"/>
        <xdr:cNvCxnSpPr/>
      </xdr:nvCxnSpPr>
      <xdr:spPr>
        <a:xfrm>
          <a:off x="13773454" y="24334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259</xdr:row>
      <xdr:rowOff>54429</xdr:rowOff>
    </xdr:from>
    <xdr:to>
      <xdr:col>16</xdr:col>
      <xdr:colOff>133654</xdr:colOff>
      <xdr:row>259</xdr:row>
      <xdr:rowOff>56546</xdr:rowOff>
    </xdr:to>
    <xdr:cxnSp macro="">
      <xdr:nvCxnSpPr>
        <xdr:cNvPr id="820" name="Connecteur droit avec flèche 819"/>
        <xdr:cNvCxnSpPr/>
      </xdr:nvCxnSpPr>
      <xdr:spPr>
        <a:xfrm>
          <a:off x="13762870" y="25086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261</xdr:row>
      <xdr:rowOff>54429</xdr:rowOff>
    </xdr:from>
    <xdr:to>
      <xdr:col>16</xdr:col>
      <xdr:colOff>80737</xdr:colOff>
      <xdr:row>261</xdr:row>
      <xdr:rowOff>56546</xdr:rowOff>
    </xdr:to>
    <xdr:cxnSp macro="">
      <xdr:nvCxnSpPr>
        <xdr:cNvPr id="821" name="Connecteur droit avec flèche 820"/>
        <xdr:cNvCxnSpPr/>
      </xdr:nvCxnSpPr>
      <xdr:spPr>
        <a:xfrm>
          <a:off x="13709953" y="25467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262</xdr:row>
      <xdr:rowOff>65012</xdr:rowOff>
    </xdr:from>
    <xdr:to>
      <xdr:col>16</xdr:col>
      <xdr:colOff>70155</xdr:colOff>
      <xdr:row>262</xdr:row>
      <xdr:rowOff>67129</xdr:rowOff>
    </xdr:to>
    <xdr:cxnSp macro="">
      <xdr:nvCxnSpPr>
        <xdr:cNvPr id="822" name="Connecteur droit avec flèche 821"/>
        <xdr:cNvCxnSpPr/>
      </xdr:nvCxnSpPr>
      <xdr:spPr>
        <a:xfrm>
          <a:off x="13699371" y="25668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260</xdr:row>
      <xdr:rowOff>65013</xdr:rowOff>
    </xdr:from>
    <xdr:to>
      <xdr:col>16</xdr:col>
      <xdr:colOff>38404</xdr:colOff>
      <xdr:row>260</xdr:row>
      <xdr:rowOff>67130</xdr:rowOff>
    </xdr:to>
    <xdr:cxnSp macro="">
      <xdr:nvCxnSpPr>
        <xdr:cNvPr id="823" name="Connecteur droit avec flèche 822"/>
        <xdr:cNvCxnSpPr/>
      </xdr:nvCxnSpPr>
      <xdr:spPr>
        <a:xfrm>
          <a:off x="13667620" y="252872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252</xdr:row>
      <xdr:rowOff>54429</xdr:rowOff>
    </xdr:from>
    <xdr:to>
      <xdr:col>16</xdr:col>
      <xdr:colOff>101904</xdr:colOff>
      <xdr:row>253</xdr:row>
      <xdr:rowOff>22680</xdr:rowOff>
    </xdr:to>
    <xdr:cxnSp macro="">
      <xdr:nvCxnSpPr>
        <xdr:cNvPr id="824" name="Connecteur droit avec flèche 823"/>
        <xdr:cNvCxnSpPr/>
      </xdr:nvCxnSpPr>
      <xdr:spPr>
        <a:xfrm flipV="1">
          <a:off x="13720536" y="237526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254</xdr:row>
      <xdr:rowOff>75596</xdr:rowOff>
    </xdr:from>
    <xdr:to>
      <xdr:col>16</xdr:col>
      <xdr:colOff>144237</xdr:colOff>
      <xdr:row>255</xdr:row>
      <xdr:rowOff>43847</xdr:rowOff>
    </xdr:to>
    <xdr:cxnSp macro="">
      <xdr:nvCxnSpPr>
        <xdr:cNvPr id="825" name="Connecteur droit avec flèche 824"/>
        <xdr:cNvCxnSpPr/>
      </xdr:nvCxnSpPr>
      <xdr:spPr>
        <a:xfrm flipV="1">
          <a:off x="13773454" y="241547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256</xdr:row>
      <xdr:rowOff>75596</xdr:rowOff>
    </xdr:from>
    <xdr:to>
      <xdr:col>16</xdr:col>
      <xdr:colOff>91320</xdr:colOff>
      <xdr:row>257</xdr:row>
      <xdr:rowOff>43847</xdr:rowOff>
    </xdr:to>
    <xdr:cxnSp macro="">
      <xdr:nvCxnSpPr>
        <xdr:cNvPr id="826" name="Connecteur droit avec flèche 825"/>
        <xdr:cNvCxnSpPr/>
      </xdr:nvCxnSpPr>
      <xdr:spPr>
        <a:xfrm flipV="1">
          <a:off x="13688787" y="245357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258</xdr:row>
      <xdr:rowOff>75596</xdr:rowOff>
    </xdr:from>
    <xdr:to>
      <xdr:col>16</xdr:col>
      <xdr:colOff>165404</xdr:colOff>
      <xdr:row>259</xdr:row>
      <xdr:rowOff>33264</xdr:rowOff>
    </xdr:to>
    <xdr:cxnSp macro="">
      <xdr:nvCxnSpPr>
        <xdr:cNvPr id="827" name="Connecteur droit avec flèche 826"/>
        <xdr:cNvCxnSpPr/>
      </xdr:nvCxnSpPr>
      <xdr:spPr>
        <a:xfrm flipV="1">
          <a:off x="13741703" y="249167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252</xdr:row>
      <xdr:rowOff>47625</xdr:rowOff>
    </xdr:from>
    <xdr:to>
      <xdr:col>10</xdr:col>
      <xdr:colOff>1031875</xdr:colOff>
      <xdr:row>262</xdr:row>
      <xdr:rowOff>142875</xdr:rowOff>
    </xdr:to>
    <xdr:sp macro="" textlink="">
      <xdr:nvSpPr>
        <xdr:cNvPr id="828" name="Accolade fermante 827"/>
        <xdr:cNvSpPr/>
      </xdr:nvSpPr>
      <xdr:spPr>
        <a:xfrm>
          <a:off x="10261600" y="237458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229</xdr:row>
      <xdr:rowOff>33264</xdr:rowOff>
    </xdr:from>
    <xdr:to>
      <xdr:col>14</xdr:col>
      <xdr:colOff>104019</xdr:colOff>
      <xdr:row>231</xdr:row>
      <xdr:rowOff>75596</xdr:rowOff>
    </xdr:to>
    <xdr:cxnSp macro="">
      <xdr:nvCxnSpPr>
        <xdr:cNvPr id="848" name="Connecteur droit avec flèche 847"/>
        <xdr:cNvCxnSpPr/>
      </xdr:nvCxnSpPr>
      <xdr:spPr>
        <a:xfrm flipV="1">
          <a:off x="12133036" y="444959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231</xdr:row>
      <xdr:rowOff>73481</xdr:rowOff>
    </xdr:from>
    <xdr:to>
      <xdr:col>14</xdr:col>
      <xdr:colOff>17236</xdr:colOff>
      <xdr:row>231</xdr:row>
      <xdr:rowOff>86180</xdr:rowOff>
    </xdr:to>
    <xdr:cxnSp macro="">
      <xdr:nvCxnSpPr>
        <xdr:cNvPr id="849" name="Connecteur droit avec flèche 848"/>
        <xdr:cNvCxnSpPr/>
      </xdr:nvCxnSpPr>
      <xdr:spPr>
        <a:xfrm>
          <a:off x="12090702" y="449171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233</xdr:row>
      <xdr:rowOff>75596</xdr:rowOff>
    </xdr:from>
    <xdr:to>
      <xdr:col>14</xdr:col>
      <xdr:colOff>17237</xdr:colOff>
      <xdr:row>235</xdr:row>
      <xdr:rowOff>75594</xdr:rowOff>
    </xdr:to>
    <xdr:cxnSp macro="">
      <xdr:nvCxnSpPr>
        <xdr:cNvPr id="850" name="Connecteur droit avec flèche 849"/>
        <xdr:cNvCxnSpPr/>
      </xdr:nvCxnSpPr>
      <xdr:spPr>
        <a:xfrm flipV="1">
          <a:off x="11974287" y="453002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238</xdr:row>
      <xdr:rowOff>65012</xdr:rowOff>
    </xdr:from>
    <xdr:to>
      <xdr:col>14</xdr:col>
      <xdr:colOff>6654</xdr:colOff>
      <xdr:row>238</xdr:row>
      <xdr:rowOff>75597</xdr:rowOff>
    </xdr:to>
    <xdr:cxnSp macro="">
      <xdr:nvCxnSpPr>
        <xdr:cNvPr id="851" name="Connecteur droit avec flèche 850"/>
        <xdr:cNvCxnSpPr/>
      </xdr:nvCxnSpPr>
      <xdr:spPr>
        <a:xfrm>
          <a:off x="12101287" y="462422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236</xdr:row>
      <xdr:rowOff>54429</xdr:rowOff>
    </xdr:from>
    <xdr:to>
      <xdr:col>14</xdr:col>
      <xdr:colOff>27821</xdr:colOff>
      <xdr:row>236</xdr:row>
      <xdr:rowOff>65014</xdr:rowOff>
    </xdr:to>
    <xdr:cxnSp macro="">
      <xdr:nvCxnSpPr>
        <xdr:cNvPr id="852" name="Connecteur droit avec flèche 851"/>
        <xdr:cNvCxnSpPr/>
      </xdr:nvCxnSpPr>
      <xdr:spPr>
        <a:xfrm>
          <a:off x="12175371" y="458506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235</xdr:row>
      <xdr:rowOff>43846</xdr:rowOff>
    </xdr:from>
    <xdr:to>
      <xdr:col>13</xdr:col>
      <xdr:colOff>747487</xdr:colOff>
      <xdr:row>235</xdr:row>
      <xdr:rowOff>65014</xdr:rowOff>
    </xdr:to>
    <xdr:cxnSp macro="">
      <xdr:nvCxnSpPr>
        <xdr:cNvPr id="853" name="Connecteur droit avec flèche 852"/>
        <xdr:cNvCxnSpPr/>
      </xdr:nvCxnSpPr>
      <xdr:spPr>
        <a:xfrm>
          <a:off x="12027204" y="456495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237</xdr:row>
      <xdr:rowOff>107345</xdr:rowOff>
    </xdr:from>
    <xdr:to>
      <xdr:col>14</xdr:col>
      <xdr:colOff>38404</xdr:colOff>
      <xdr:row>238</xdr:row>
      <xdr:rowOff>65012</xdr:rowOff>
    </xdr:to>
    <xdr:cxnSp macro="">
      <xdr:nvCxnSpPr>
        <xdr:cNvPr id="854" name="Connecteur droit avec flèche 853"/>
        <xdr:cNvCxnSpPr/>
      </xdr:nvCxnSpPr>
      <xdr:spPr>
        <a:xfrm flipV="1">
          <a:off x="12101287" y="460940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229</xdr:row>
      <xdr:rowOff>33262</xdr:rowOff>
    </xdr:from>
    <xdr:to>
      <xdr:col>16</xdr:col>
      <xdr:colOff>123071</xdr:colOff>
      <xdr:row>229</xdr:row>
      <xdr:rowOff>45962</xdr:rowOff>
    </xdr:to>
    <xdr:cxnSp macro="">
      <xdr:nvCxnSpPr>
        <xdr:cNvPr id="855" name="Connecteur droit avec flèche 854"/>
        <xdr:cNvCxnSpPr/>
      </xdr:nvCxnSpPr>
      <xdr:spPr>
        <a:xfrm>
          <a:off x="13731120" y="444959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233</xdr:row>
      <xdr:rowOff>65012</xdr:rowOff>
    </xdr:from>
    <xdr:to>
      <xdr:col>16</xdr:col>
      <xdr:colOff>70154</xdr:colOff>
      <xdr:row>233</xdr:row>
      <xdr:rowOff>67129</xdr:rowOff>
    </xdr:to>
    <xdr:cxnSp macro="">
      <xdr:nvCxnSpPr>
        <xdr:cNvPr id="856" name="Connecteur droit avec flèche 855"/>
        <xdr:cNvCxnSpPr/>
      </xdr:nvCxnSpPr>
      <xdr:spPr>
        <a:xfrm>
          <a:off x="13699370" y="45289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231</xdr:row>
      <xdr:rowOff>65012</xdr:rowOff>
    </xdr:from>
    <xdr:to>
      <xdr:col>16</xdr:col>
      <xdr:colOff>144238</xdr:colOff>
      <xdr:row>231</xdr:row>
      <xdr:rowOff>67129</xdr:rowOff>
    </xdr:to>
    <xdr:cxnSp macro="">
      <xdr:nvCxnSpPr>
        <xdr:cNvPr id="857" name="Connecteur droit avec flèche 856"/>
        <xdr:cNvCxnSpPr/>
      </xdr:nvCxnSpPr>
      <xdr:spPr>
        <a:xfrm>
          <a:off x="13773454" y="44908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235</xdr:row>
      <xdr:rowOff>54429</xdr:rowOff>
    </xdr:from>
    <xdr:to>
      <xdr:col>16</xdr:col>
      <xdr:colOff>133654</xdr:colOff>
      <xdr:row>235</xdr:row>
      <xdr:rowOff>56546</xdr:rowOff>
    </xdr:to>
    <xdr:cxnSp macro="">
      <xdr:nvCxnSpPr>
        <xdr:cNvPr id="858" name="Connecteur droit avec flèche 857"/>
        <xdr:cNvCxnSpPr/>
      </xdr:nvCxnSpPr>
      <xdr:spPr>
        <a:xfrm>
          <a:off x="13762870" y="45660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237</xdr:row>
      <xdr:rowOff>54429</xdr:rowOff>
    </xdr:from>
    <xdr:to>
      <xdr:col>16</xdr:col>
      <xdr:colOff>80737</xdr:colOff>
      <xdr:row>237</xdr:row>
      <xdr:rowOff>56546</xdr:rowOff>
    </xdr:to>
    <xdr:cxnSp macro="">
      <xdr:nvCxnSpPr>
        <xdr:cNvPr id="859" name="Connecteur droit avec flèche 858"/>
        <xdr:cNvCxnSpPr/>
      </xdr:nvCxnSpPr>
      <xdr:spPr>
        <a:xfrm>
          <a:off x="13709953" y="46041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238</xdr:row>
      <xdr:rowOff>65012</xdr:rowOff>
    </xdr:from>
    <xdr:to>
      <xdr:col>16</xdr:col>
      <xdr:colOff>70155</xdr:colOff>
      <xdr:row>238</xdr:row>
      <xdr:rowOff>67129</xdr:rowOff>
    </xdr:to>
    <xdr:cxnSp macro="">
      <xdr:nvCxnSpPr>
        <xdr:cNvPr id="860" name="Connecteur droit avec flèche 859"/>
        <xdr:cNvCxnSpPr/>
      </xdr:nvCxnSpPr>
      <xdr:spPr>
        <a:xfrm>
          <a:off x="13699371" y="46242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236</xdr:row>
      <xdr:rowOff>65013</xdr:rowOff>
    </xdr:from>
    <xdr:to>
      <xdr:col>16</xdr:col>
      <xdr:colOff>38404</xdr:colOff>
      <xdr:row>236</xdr:row>
      <xdr:rowOff>67130</xdr:rowOff>
    </xdr:to>
    <xdr:cxnSp macro="">
      <xdr:nvCxnSpPr>
        <xdr:cNvPr id="861" name="Connecteur droit avec flèche 860"/>
        <xdr:cNvCxnSpPr/>
      </xdr:nvCxnSpPr>
      <xdr:spPr>
        <a:xfrm>
          <a:off x="13667620" y="458612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228</xdr:row>
      <xdr:rowOff>54429</xdr:rowOff>
    </xdr:from>
    <xdr:to>
      <xdr:col>16</xdr:col>
      <xdr:colOff>101904</xdr:colOff>
      <xdr:row>229</xdr:row>
      <xdr:rowOff>22680</xdr:rowOff>
    </xdr:to>
    <xdr:cxnSp macro="">
      <xdr:nvCxnSpPr>
        <xdr:cNvPr id="862" name="Connecteur droit avec flèche 861"/>
        <xdr:cNvCxnSpPr/>
      </xdr:nvCxnSpPr>
      <xdr:spPr>
        <a:xfrm flipV="1">
          <a:off x="13720536" y="443266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230</xdr:row>
      <xdr:rowOff>75596</xdr:rowOff>
    </xdr:from>
    <xdr:to>
      <xdr:col>16</xdr:col>
      <xdr:colOff>144237</xdr:colOff>
      <xdr:row>231</xdr:row>
      <xdr:rowOff>43847</xdr:rowOff>
    </xdr:to>
    <xdr:cxnSp macro="">
      <xdr:nvCxnSpPr>
        <xdr:cNvPr id="863" name="Connecteur droit avec flèche 862"/>
        <xdr:cNvCxnSpPr/>
      </xdr:nvCxnSpPr>
      <xdr:spPr>
        <a:xfrm flipV="1">
          <a:off x="13773454" y="447287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232</xdr:row>
      <xdr:rowOff>75596</xdr:rowOff>
    </xdr:from>
    <xdr:to>
      <xdr:col>16</xdr:col>
      <xdr:colOff>91320</xdr:colOff>
      <xdr:row>233</xdr:row>
      <xdr:rowOff>43847</xdr:rowOff>
    </xdr:to>
    <xdr:cxnSp macro="">
      <xdr:nvCxnSpPr>
        <xdr:cNvPr id="864" name="Connecteur droit avec flèche 863"/>
        <xdr:cNvCxnSpPr/>
      </xdr:nvCxnSpPr>
      <xdr:spPr>
        <a:xfrm flipV="1">
          <a:off x="13688787" y="451097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234</xdr:row>
      <xdr:rowOff>75596</xdr:rowOff>
    </xdr:from>
    <xdr:to>
      <xdr:col>16</xdr:col>
      <xdr:colOff>165404</xdr:colOff>
      <xdr:row>235</xdr:row>
      <xdr:rowOff>33264</xdr:rowOff>
    </xdr:to>
    <xdr:cxnSp macro="">
      <xdr:nvCxnSpPr>
        <xdr:cNvPr id="865" name="Connecteur droit avec flèche 864"/>
        <xdr:cNvCxnSpPr/>
      </xdr:nvCxnSpPr>
      <xdr:spPr>
        <a:xfrm flipV="1">
          <a:off x="13741703" y="454907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228</xdr:row>
      <xdr:rowOff>47625</xdr:rowOff>
    </xdr:from>
    <xdr:to>
      <xdr:col>10</xdr:col>
      <xdr:colOff>1031875</xdr:colOff>
      <xdr:row>238</xdr:row>
      <xdr:rowOff>142875</xdr:rowOff>
    </xdr:to>
    <xdr:sp macro="" textlink="">
      <xdr:nvSpPr>
        <xdr:cNvPr id="866" name="Accolade fermante 865"/>
        <xdr:cNvSpPr/>
      </xdr:nvSpPr>
      <xdr:spPr>
        <a:xfrm>
          <a:off x="10261600" y="443198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205</xdr:row>
      <xdr:rowOff>33264</xdr:rowOff>
    </xdr:from>
    <xdr:to>
      <xdr:col>14</xdr:col>
      <xdr:colOff>104019</xdr:colOff>
      <xdr:row>207</xdr:row>
      <xdr:rowOff>75596</xdr:rowOff>
    </xdr:to>
    <xdr:cxnSp macro="">
      <xdr:nvCxnSpPr>
        <xdr:cNvPr id="867" name="Connecteur droit avec flèche 866"/>
        <xdr:cNvCxnSpPr/>
      </xdr:nvCxnSpPr>
      <xdr:spPr>
        <a:xfrm flipV="1">
          <a:off x="12133036" y="467819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207</xdr:row>
      <xdr:rowOff>73481</xdr:rowOff>
    </xdr:from>
    <xdr:to>
      <xdr:col>14</xdr:col>
      <xdr:colOff>17236</xdr:colOff>
      <xdr:row>207</xdr:row>
      <xdr:rowOff>86180</xdr:rowOff>
    </xdr:to>
    <xdr:cxnSp macro="">
      <xdr:nvCxnSpPr>
        <xdr:cNvPr id="868" name="Connecteur droit avec flèche 867"/>
        <xdr:cNvCxnSpPr/>
      </xdr:nvCxnSpPr>
      <xdr:spPr>
        <a:xfrm>
          <a:off x="12090702" y="472031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209</xdr:row>
      <xdr:rowOff>75596</xdr:rowOff>
    </xdr:from>
    <xdr:to>
      <xdr:col>14</xdr:col>
      <xdr:colOff>17237</xdr:colOff>
      <xdr:row>211</xdr:row>
      <xdr:rowOff>75594</xdr:rowOff>
    </xdr:to>
    <xdr:cxnSp macro="">
      <xdr:nvCxnSpPr>
        <xdr:cNvPr id="869" name="Connecteur droit avec flèche 868"/>
        <xdr:cNvCxnSpPr/>
      </xdr:nvCxnSpPr>
      <xdr:spPr>
        <a:xfrm flipV="1">
          <a:off x="11974287" y="475862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214</xdr:row>
      <xdr:rowOff>65012</xdr:rowOff>
    </xdr:from>
    <xdr:to>
      <xdr:col>14</xdr:col>
      <xdr:colOff>6654</xdr:colOff>
      <xdr:row>214</xdr:row>
      <xdr:rowOff>75597</xdr:rowOff>
    </xdr:to>
    <xdr:cxnSp macro="">
      <xdr:nvCxnSpPr>
        <xdr:cNvPr id="870" name="Connecteur droit avec flèche 869"/>
        <xdr:cNvCxnSpPr/>
      </xdr:nvCxnSpPr>
      <xdr:spPr>
        <a:xfrm>
          <a:off x="12101287" y="485282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212</xdr:row>
      <xdr:rowOff>54429</xdr:rowOff>
    </xdr:from>
    <xdr:to>
      <xdr:col>14</xdr:col>
      <xdr:colOff>27821</xdr:colOff>
      <xdr:row>212</xdr:row>
      <xdr:rowOff>65014</xdr:rowOff>
    </xdr:to>
    <xdr:cxnSp macro="">
      <xdr:nvCxnSpPr>
        <xdr:cNvPr id="871" name="Connecteur droit avec flèche 870"/>
        <xdr:cNvCxnSpPr/>
      </xdr:nvCxnSpPr>
      <xdr:spPr>
        <a:xfrm>
          <a:off x="12175371" y="481366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211</xdr:row>
      <xdr:rowOff>43846</xdr:rowOff>
    </xdr:from>
    <xdr:to>
      <xdr:col>13</xdr:col>
      <xdr:colOff>747487</xdr:colOff>
      <xdr:row>211</xdr:row>
      <xdr:rowOff>65014</xdr:rowOff>
    </xdr:to>
    <xdr:cxnSp macro="">
      <xdr:nvCxnSpPr>
        <xdr:cNvPr id="872" name="Connecteur droit avec flèche 871"/>
        <xdr:cNvCxnSpPr/>
      </xdr:nvCxnSpPr>
      <xdr:spPr>
        <a:xfrm>
          <a:off x="12027204" y="479355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213</xdr:row>
      <xdr:rowOff>107345</xdr:rowOff>
    </xdr:from>
    <xdr:to>
      <xdr:col>14</xdr:col>
      <xdr:colOff>38404</xdr:colOff>
      <xdr:row>214</xdr:row>
      <xdr:rowOff>65012</xdr:rowOff>
    </xdr:to>
    <xdr:cxnSp macro="">
      <xdr:nvCxnSpPr>
        <xdr:cNvPr id="873" name="Connecteur droit avec flèche 872"/>
        <xdr:cNvCxnSpPr/>
      </xdr:nvCxnSpPr>
      <xdr:spPr>
        <a:xfrm flipV="1">
          <a:off x="12101287" y="483800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205</xdr:row>
      <xdr:rowOff>33262</xdr:rowOff>
    </xdr:from>
    <xdr:to>
      <xdr:col>16</xdr:col>
      <xdr:colOff>123071</xdr:colOff>
      <xdr:row>205</xdr:row>
      <xdr:rowOff>45962</xdr:rowOff>
    </xdr:to>
    <xdr:cxnSp macro="">
      <xdr:nvCxnSpPr>
        <xdr:cNvPr id="874" name="Connecteur droit avec flèche 873"/>
        <xdr:cNvCxnSpPr/>
      </xdr:nvCxnSpPr>
      <xdr:spPr>
        <a:xfrm>
          <a:off x="13731120" y="467819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209</xdr:row>
      <xdr:rowOff>65012</xdr:rowOff>
    </xdr:from>
    <xdr:to>
      <xdr:col>16</xdr:col>
      <xdr:colOff>70154</xdr:colOff>
      <xdr:row>209</xdr:row>
      <xdr:rowOff>67129</xdr:rowOff>
    </xdr:to>
    <xdr:cxnSp macro="">
      <xdr:nvCxnSpPr>
        <xdr:cNvPr id="875" name="Connecteur droit avec flèche 874"/>
        <xdr:cNvCxnSpPr/>
      </xdr:nvCxnSpPr>
      <xdr:spPr>
        <a:xfrm>
          <a:off x="13699370" y="47575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207</xdr:row>
      <xdr:rowOff>65012</xdr:rowOff>
    </xdr:from>
    <xdr:to>
      <xdr:col>16</xdr:col>
      <xdr:colOff>144238</xdr:colOff>
      <xdr:row>207</xdr:row>
      <xdr:rowOff>67129</xdr:rowOff>
    </xdr:to>
    <xdr:cxnSp macro="">
      <xdr:nvCxnSpPr>
        <xdr:cNvPr id="876" name="Connecteur droit avec flèche 875"/>
        <xdr:cNvCxnSpPr/>
      </xdr:nvCxnSpPr>
      <xdr:spPr>
        <a:xfrm>
          <a:off x="13773454" y="471947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211</xdr:row>
      <xdr:rowOff>54429</xdr:rowOff>
    </xdr:from>
    <xdr:to>
      <xdr:col>16</xdr:col>
      <xdr:colOff>133654</xdr:colOff>
      <xdr:row>211</xdr:row>
      <xdr:rowOff>56546</xdr:rowOff>
    </xdr:to>
    <xdr:cxnSp macro="">
      <xdr:nvCxnSpPr>
        <xdr:cNvPr id="877" name="Connecteur droit avec flèche 876"/>
        <xdr:cNvCxnSpPr/>
      </xdr:nvCxnSpPr>
      <xdr:spPr>
        <a:xfrm>
          <a:off x="13762870" y="47946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213</xdr:row>
      <xdr:rowOff>54429</xdr:rowOff>
    </xdr:from>
    <xdr:to>
      <xdr:col>16</xdr:col>
      <xdr:colOff>80737</xdr:colOff>
      <xdr:row>213</xdr:row>
      <xdr:rowOff>56546</xdr:rowOff>
    </xdr:to>
    <xdr:cxnSp macro="">
      <xdr:nvCxnSpPr>
        <xdr:cNvPr id="878" name="Connecteur droit avec flèche 877"/>
        <xdr:cNvCxnSpPr/>
      </xdr:nvCxnSpPr>
      <xdr:spPr>
        <a:xfrm>
          <a:off x="13709953" y="483271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214</xdr:row>
      <xdr:rowOff>65012</xdr:rowOff>
    </xdr:from>
    <xdr:to>
      <xdr:col>16</xdr:col>
      <xdr:colOff>70155</xdr:colOff>
      <xdr:row>214</xdr:row>
      <xdr:rowOff>67129</xdr:rowOff>
    </xdr:to>
    <xdr:cxnSp macro="">
      <xdr:nvCxnSpPr>
        <xdr:cNvPr id="879" name="Connecteur droit avec flèche 878"/>
        <xdr:cNvCxnSpPr/>
      </xdr:nvCxnSpPr>
      <xdr:spPr>
        <a:xfrm>
          <a:off x="13699371" y="48528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212</xdr:row>
      <xdr:rowOff>65013</xdr:rowOff>
    </xdr:from>
    <xdr:to>
      <xdr:col>16</xdr:col>
      <xdr:colOff>38404</xdr:colOff>
      <xdr:row>212</xdr:row>
      <xdr:rowOff>67130</xdr:rowOff>
    </xdr:to>
    <xdr:cxnSp macro="">
      <xdr:nvCxnSpPr>
        <xdr:cNvPr id="880" name="Connecteur droit avec flèche 879"/>
        <xdr:cNvCxnSpPr/>
      </xdr:nvCxnSpPr>
      <xdr:spPr>
        <a:xfrm>
          <a:off x="13667620" y="481472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204</xdr:row>
      <xdr:rowOff>54429</xdr:rowOff>
    </xdr:from>
    <xdr:to>
      <xdr:col>16</xdr:col>
      <xdr:colOff>101904</xdr:colOff>
      <xdr:row>205</xdr:row>
      <xdr:rowOff>22680</xdr:rowOff>
    </xdr:to>
    <xdr:cxnSp macro="">
      <xdr:nvCxnSpPr>
        <xdr:cNvPr id="881" name="Connecteur droit avec flèche 880"/>
        <xdr:cNvCxnSpPr/>
      </xdr:nvCxnSpPr>
      <xdr:spPr>
        <a:xfrm flipV="1">
          <a:off x="13720536" y="466126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206</xdr:row>
      <xdr:rowOff>75596</xdr:rowOff>
    </xdr:from>
    <xdr:to>
      <xdr:col>16</xdr:col>
      <xdr:colOff>144237</xdr:colOff>
      <xdr:row>207</xdr:row>
      <xdr:rowOff>43847</xdr:rowOff>
    </xdr:to>
    <xdr:cxnSp macro="">
      <xdr:nvCxnSpPr>
        <xdr:cNvPr id="882" name="Connecteur droit avec flèche 881"/>
        <xdr:cNvCxnSpPr/>
      </xdr:nvCxnSpPr>
      <xdr:spPr>
        <a:xfrm flipV="1">
          <a:off x="13773454" y="470147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208</xdr:row>
      <xdr:rowOff>75596</xdr:rowOff>
    </xdr:from>
    <xdr:to>
      <xdr:col>16</xdr:col>
      <xdr:colOff>91320</xdr:colOff>
      <xdr:row>209</xdr:row>
      <xdr:rowOff>43847</xdr:rowOff>
    </xdr:to>
    <xdr:cxnSp macro="">
      <xdr:nvCxnSpPr>
        <xdr:cNvPr id="883" name="Connecteur droit avec flèche 882"/>
        <xdr:cNvCxnSpPr/>
      </xdr:nvCxnSpPr>
      <xdr:spPr>
        <a:xfrm flipV="1">
          <a:off x="13688787" y="473957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210</xdr:row>
      <xdr:rowOff>75596</xdr:rowOff>
    </xdr:from>
    <xdr:to>
      <xdr:col>16</xdr:col>
      <xdr:colOff>165404</xdr:colOff>
      <xdr:row>211</xdr:row>
      <xdr:rowOff>33264</xdr:rowOff>
    </xdr:to>
    <xdr:cxnSp macro="">
      <xdr:nvCxnSpPr>
        <xdr:cNvPr id="884" name="Connecteur droit avec flèche 883"/>
        <xdr:cNvCxnSpPr/>
      </xdr:nvCxnSpPr>
      <xdr:spPr>
        <a:xfrm flipV="1">
          <a:off x="13741703" y="477767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204</xdr:row>
      <xdr:rowOff>47625</xdr:rowOff>
    </xdr:from>
    <xdr:to>
      <xdr:col>10</xdr:col>
      <xdr:colOff>1031875</xdr:colOff>
      <xdr:row>214</xdr:row>
      <xdr:rowOff>142875</xdr:rowOff>
    </xdr:to>
    <xdr:sp macro="" textlink="">
      <xdr:nvSpPr>
        <xdr:cNvPr id="885" name="Accolade fermante 884"/>
        <xdr:cNvSpPr/>
      </xdr:nvSpPr>
      <xdr:spPr>
        <a:xfrm>
          <a:off x="10261600" y="4660582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354</xdr:row>
      <xdr:rowOff>103911</xdr:rowOff>
    </xdr:from>
    <xdr:to>
      <xdr:col>11</xdr:col>
      <xdr:colOff>714375</xdr:colOff>
      <xdr:row>354</xdr:row>
      <xdr:rowOff>114300</xdr:rowOff>
    </xdr:to>
    <xdr:cxnSp macro="">
      <xdr:nvCxnSpPr>
        <xdr:cNvPr id="886" name="Connecteur droit avec flèche 885"/>
        <xdr:cNvCxnSpPr/>
      </xdr:nvCxnSpPr>
      <xdr:spPr>
        <a:xfrm>
          <a:off x="10463645" y="660931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354</xdr:row>
      <xdr:rowOff>114300</xdr:rowOff>
    </xdr:from>
    <xdr:to>
      <xdr:col>12</xdr:col>
      <xdr:colOff>348344</xdr:colOff>
      <xdr:row>354</xdr:row>
      <xdr:rowOff>122464</xdr:rowOff>
    </xdr:to>
    <xdr:cxnSp macro="">
      <xdr:nvCxnSpPr>
        <xdr:cNvPr id="887" name="Connecteur droit avec flèche 886"/>
        <xdr:cNvCxnSpPr/>
      </xdr:nvCxnSpPr>
      <xdr:spPr>
        <a:xfrm>
          <a:off x="10556422" y="661035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349</xdr:row>
      <xdr:rowOff>72573</xdr:rowOff>
    </xdr:from>
    <xdr:to>
      <xdr:col>12</xdr:col>
      <xdr:colOff>429079</xdr:colOff>
      <xdr:row>354</xdr:row>
      <xdr:rowOff>108857</xdr:rowOff>
    </xdr:to>
    <xdr:cxnSp macro="">
      <xdr:nvCxnSpPr>
        <xdr:cNvPr id="888" name="Connecteur droit avec flèche 887"/>
        <xdr:cNvCxnSpPr/>
      </xdr:nvCxnSpPr>
      <xdr:spPr>
        <a:xfrm flipV="1">
          <a:off x="10605408" y="651092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353</xdr:row>
      <xdr:rowOff>27215</xdr:rowOff>
    </xdr:from>
    <xdr:to>
      <xdr:col>12</xdr:col>
      <xdr:colOff>286960</xdr:colOff>
      <xdr:row>354</xdr:row>
      <xdr:rowOff>108857</xdr:rowOff>
    </xdr:to>
    <xdr:cxnSp macro="">
      <xdr:nvCxnSpPr>
        <xdr:cNvPr id="889" name="Connecteur droit avec flèche 888"/>
        <xdr:cNvCxnSpPr/>
      </xdr:nvCxnSpPr>
      <xdr:spPr>
        <a:xfrm flipV="1">
          <a:off x="10591801" y="658259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347</xdr:row>
      <xdr:rowOff>19657</xdr:rowOff>
    </xdr:from>
    <xdr:to>
      <xdr:col>14</xdr:col>
      <xdr:colOff>261862</xdr:colOff>
      <xdr:row>349</xdr:row>
      <xdr:rowOff>61989</xdr:rowOff>
    </xdr:to>
    <xdr:cxnSp macro="">
      <xdr:nvCxnSpPr>
        <xdr:cNvPr id="890" name="Connecteur droit avec flèche 889"/>
        <xdr:cNvCxnSpPr/>
      </xdr:nvCxnSpPr>
      <xdr:spPr>
        <a:xfrm flipV="1">
          <a:off x="12290879" y="646753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349</xdr:row>
      <xdr:rowOff>59874</xdr:rowOff>
    </xdr:from>
    <xdr:to>
      <xdr:col>14</xdr:col>
      <xdr:colOff>175079</xdr:colOff>
      <xdr:row>349</xdr:row>
      <xdr:rowOff>72573</xdr:rowOff>
    </xdr:to>
    <xdr:cxnSp macro="">
      <xdr:nvCxnSpPr>
        <xdr:cNvPr id="891" name="Connecteur droit avec flèche 890"/>
        <xdr:cNvCxnSpPr/>
      </xdr:nvCxnSpPr>
      <xdr:spPr>
        <a:xfrm>
          <a:off x="12248545" y="650965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351</xdr:row>
      <xdr:rowOff>61989</xdr:rowOff>
    </xdr:from>
    <xdr:to>
      <xdr:col>14</xdr:col>
      <xdr:colOff>175080</xdr:colOff>
      <xdr:row>353</xdr:row>
      <xdr:rowOff>61987</xdr:rowOff>
    </xdr:to>
    <xdr:cxnSp macro="">
      <xdr:nvCxnSpPr>
        <xdr:cNvPr id="892" name="Connecteur droit avec flèche 891"/>
        <xdr:cNvCxnSpPr/>
      </xdr:nvCxnSpPr>
      <xdr:spPr>
        <a:xfrm flipV="1">
          <a:off x="12132130" y="654796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354</xdr:row>
      <xdr:rowOff>93738</xdr:rowOff>
    </xdr:from>
    <xdr:to>
      <xdr:col>14</xdr:col>
      <xdr:colOff>26914</xdr:colOff>
      <xdr:row>354</xdr:row>
      <xdr:rowOff>104323</xdr:rowOff>
    </xdr:to>
    <xdr:cxnSp macro="">
      <xdr:nvCxnSpPr>
        <xdr:cNvPr id="893" name="Connecteur droit avec flèche 892"/>
        <xdr:cNvCxnSpPr/>
      </xdr:nvCxnSpPr>
      <xdr:spPr>
        <a:xfrm>
          <a:off x="12174464" y="660829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353</xdr:row>
      <xdr:rowOff>30239</xdr:rowOff>
    </xdr:from>
    <xdr:to>
      <xdr:col>14</xdr:col>
      <xdr:colOff>143330</xdr:colOff>
      <xdr:row>353</xdr:row>
      <xdr:rowOff>51407</xdr:rowOff>
    </xdr:to>
    <xdr:cxnSp macro="">
      <xdr:nvCxnSpPr>
        <xdr:cNvPr id="894" name="Connecteur droit avec flèche 893"/>
        <xdr:cNvCxnSpPr/>
      </xdr:nvCxnSpPr>
      <xdr:spPr>
        <a:xfrm>
          <a:off x="12185047" y="658289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347</xdr:row>
      <xdr:rowOff>101298</xdr:rowOff>
    </xdr:from>
    <xdr:to>
      <xdr:col>16</xdr:col>
      <xdr:colOff>267307</xdr:colOff>
      <xdr:row>347</xdr:row>
      <xdr:rowOff>113998</xdr:rowOff>
    </xdr:to>
    <xdr:cxnSp macro="">
      <xdr:nvCxnSpPr>
        <xdr:cNvPr id="895" name="Connecteur droit avec flèche 894"/>
        <xdr:cNvCxnSpPr/>
      </xdr:nvCxnSpPr>
      <xdr:spPr>
        <a:xfrm>
          <a:off x="13875356" y="647569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351</xdr:row>
      <xdr:rowOff>133048</xdr:rowOff>
    </xdr:from>
    <xdr:to>
      <xdr:col>16</xdr:col>
      <xdr:colOff>214390</xdr:colOff>
      <xdr:row>351</xdr:row>
      <xdr:rowOff>135165</xdr:rowOff>
    </xdr:to>
    <xdr:cxnSp macro="">
      <xdr:nvCxnSpPr>
        <xdr:cNvPr id="896" name="Connecteur droit avec flèche 895"/>
        <xdr:cNvCxnSpPr/>
      </xdr:nvCxnSpPr>
      <xdr:spPr>
        <a:xfrm>
          <a:off x="13843606" y="65550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349</xdr:row>
      <xdr:rowOff>133048</xdr:rowOff>
    </xdr:from>
    <xdr:to>
      <xdr:col>16</xdr:col>
      <xdr:colOff>288474</xdr:colOff>
      <xdr:row>349</xdr:row>
      <xdr:rowOff>135165</xdr:rowOff>
    </xdr:to>
    <xdr:cxnSp macro="">
      <xdr:nvCxnSpPr>
        <xdr:cNvPr id="897" name="Connecteur droit avec flèche 896"/>
        <xdr:cNvCxnSpPr/>
      </xdr:nvCxnSpPr>
      <xdr:spPr>
        <a:xfrm>
          <a:off x="13917690" y="65169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353</xdr:row>
      <xdr:rowOff>122465</xdr:rowOff>
    </xdr:from>
    <xdr:to>
      <xdr:col>16</xdr:col>
      <xdr:colOff>277890</xdr:colOff>
      <xdr:row>353</xdr:row>
      <xdr:rowOff>124582</xdr:rowOff>
    </xdr:to>
    <xdr:cxnSp macro="">
      <xdr:nvCxnSpPr>
        <xdr:cNvPr id="898" name="Connecteur droit avec flèche 897"/>
        <xdr:cNvCxnSpPr/>
      </xdr:nvCxnSpPr>
      <xdr:spPr>
        <a:xfrm>
          <a:off x="13907106" y="659211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354</xdr:row>
      <xdr:rowOff>133049</xdr:rowOff>
    </xdr:from>
    <xdr:to>
      <xdr:col>16</xdr:col>
      <xdr:colOff>182640</xdr:colOff>
      <xdr:row>354</xdr:row>
      <xdr:rowOff>135166</xdr:rowOff>
    </xdr:to>
    <xdr:cxnSp macro="">
      <xdr:nvCxnSpPr>
        <xdr:cNvPr id="899" name="Connecteur droit avec flèche 898"/>
        <xdr:cNvCxnSpPr/>
      </xdr:nvCxnSpPr>
      <xdr:spPr>
        <a:xfrm>
          <a:off x="13811856" y="66122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346</xdr:row>
      <xdr:rowOff>122465</xdr:rowOff>
    </xdr:from>
    <xdr:to>
      <xdr:col>16</xdr:col>
      <xdr:colOff>246140</xdr:colOff>
      <xdr:row>347</xdr:row>
      <xdr:rowOff>90716</xdr:rowOff>
    </xdr:to>
    <xdr:cxnSp macro="">
      <xdr:nvCxnSpPr>
        <xdr:cNvPr id="900" name="Connecteur droit avec flèche 899"/>
        <xdr:cNvCxnSpPr/>
      </xdr:nvCxnSpPr>
      <xdr:spPr>
        <a:xfrm flipV="1">
          <a:off x="13864772" y="645876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348</xdr:row>
      <xdr:rowOff>143632</xdr:rowOff>
    </xdr:from>
    <xdr:to>
      <xdr:col>16</xdr:col>
      <xdr:colOff>288473</xdr:colOff>
      <xdr:row>349</xdr:row>
      <xdr:rowOff>111883</xdr:rowOff>
    </xdr:to>
    <xdr:cxnSp macro="">
      <xdr:nvCxnSpPr>
        <xdr:cNvPr id="901" name="Connecteur droit avec flèche 900"/>
        <xdr:cNvCxnSpPr/>
      </xdr:nvCxnSpPr>
      <xdr:spPr>
        <a:xfrm flipV="1">
          <a:off x="13917690" y="649898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350</xdr:row>
      <xdr:rowOff>143632</xdr:rowOff>
    </xdr:from>
    <xdr:to>
      <xdr:col>16</xdr:col>
      <xdr:colOff>235556</xdr:colOff>
      <xdr:row>351</xdr:row>
      <xdr:rowOff>111883</xdr:rowOff>
    </xdr:to>
    <xdr:cxnSp macro="">
      <xdr:nvCxnSpPr>
        <xdr:cNvPr id="902" name="Connecteur droit avec flèche 901"/>
        <xdr:cNvCxnSpPr/>
      </xdr:nvCxnSpPr>
      <xdr:spPr>
        <a:xfrm flipV="1">
          <a:off x="13833023" y="653708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352</xdr:row>
      <xdr:rowOff>122464</xdr:rowOff>
    </xdr:from>
    <xdr:to>
      <xdr:col>16</xdr:col>
      <xdr:colOff>176893</xdr:colOff>
      <xdr:row>353</xdr:row>
      <xdr:rowOff>101300</xdr:rowOff>
    </xdr:to>
    <xdr:cxnSp macro="">
      <xdr:nvCxnSpPr>
        <xdr:cNvPr id="903" name="Connecteur droit avec flèche 902"/>
        <xdr:cNvCxnSpPr/>
      </xdr:nvCxnSpPr>
      <xdr:spPr>
        <a:xfrm flipV="1">
          <a:off x="13885939" y="657306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346</xdr:row>
      <xdr:rowOff>5292</xdr:rowOff>
    </xdr:from>
    <xdr:to>
      <xdr:col>10</xdr:col>
      <xdr:colOff>963084</xdr:colOff>
      <xdr:row>354</xdr:row>
      <xdr:rowOff>158751</xdr:rowOff>
    </xdr:to>
    <xdr:sp macro="" textlink="">
      <xdr:nvSpPr>
        <xdr:cNvPr id="904" name="Accolade fermante 903"/>
        <xdr:cNvSpPr/>
      </xdr:nvSpPr>
      <xdr:spPr>
        <a:xfrm>
          <a:off x="10219268" y="644704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334</xdr:row>
      <xdr:rowOff>103911</xdr:rowOff>
    </xdr:from>
    <xdr:to>
      <xdr:col>11</xdr:col>
      <xdr:colOff>714375</xdr:colOff>
      <xdr:row>334</xdr:row>
      <xdr:rowOff>114300</xdr:rowOff>
    </xdr:to>
    <xdr:cxnSp macro="">
      <xdr:nvCxnSpPr>
        <xdr:cNvPr id="905" name="Connecteur droit avec flèche 904"/>
        <xdr:cNvCxnSpPr/>
      </xdr:nvCxnSpPr>
      <xdr:spPr>
        <a:xfrm>
          <a:off x="10463645" y="679981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334</xdr:row>
      <xdr:rowOff>114300</xdr:rowOff>
    </xdr:from>
    <xdr:to>
      <xdr:col>12</xdr:col>
      <xdr:colOff>348344</xdr:colOff>
      <xdr:row>334</xdr:row>
      <xdr:rowOff>122464</xdr:rowOff>
    </xdr:to>
    <xdr:cxnSp macro="">
      <xdr:nvCxnSpPr>
        <xdr:cNvPr id="906" name="Connecteur droit avec flèche 905"/>
        <xdr:cNvCxnSpPr/>
      </xdr:nvCxnSpPr>
      <xdr:spPr>
        <a:xfrm>
          <a:off x="10556422" y="680085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329</xdr:row>
      <xdr:rowOff>72573</xdr:rowOff>
    </xdr:from>
    <xdr:to>
      <xdr:col>12</xdr:col>
      <xdr:colOff>429079</xdr:colOff>
      <xdr:row>334</xdr:row>
      <xdr:rowOff>108857</xdr:rowOff>
    </xdr:to>
    <xdr:cxnSp macro="">
      <xdr:nvCxnSpPr>
        <xdr:cNvPr id="907" name="Connecteur droit avec flèche 906"/>
        <xdr:cNvCxnSpPr/>
      </xdr:nvCxnSpPr>
      <xdr:spPr>
        <a:xfrm flipV="1">
          <a:off x="10605408" y="670142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333</xdr:row>
      <xdr:rowOff>27215</xdr:rowOff>
    </xdr:from>
    <xdr:to>
      <xdr:col>12</xdr:col>
      <xdr:colOff>286960</xdr:colOff>
      <xdr:row>334</xdr:row>
      <xdr:rowOff>108857</xdr:rowOff>
    </xdr:to>
    <xdr:cxnSp macro="">
      <xdr:nvCxnSpPr>
        <xdr:cNvPr id="908" name="Connecteur droit avec flèche 907"/>
        <xdr:cNvCxnSpPr/>
      </xdr:nvCxnSpPr>
      <xdr:spPr>
        <a:xfrm flipV="1">
          <a:off x="10591801" y="677309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327</xdr:row>
      <xdr:rowOff>19657</xdr:rowOff>
    </xdr:from>
    <xdr:to>
      <xdr:col>14</xdr:col>
      <xdr:colOff>261862</xdr:colOff>
      <xdr:row>329</xdr:row>
      <xdr:rowOff>61989</xdr:rowOff>
    </xdr:to>
    <xdr:cxnSp macro="">
      <xdr:nvCxnSpPr>
        <xdr:cNvPr id="909" name="Connecteur droit avec flèche 908"/>
        <xdr:cNvCxnSpPr/>
      </xdr:nvCxnSpPr>
      <xdr:spPr>
        <a:xfrm flipV="1">
          <a:off x="12290879" y="665803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329</xdr:row>
      <xdr:rowOff>59874</xdr:rowOff>
    </xdr:from>
    <xdr:to>
      <xdr:col>14</xdr:col>
      <xdr:colOff>175079</xdr:colOff>
      <xdr:row>329</xdr:row>
      <xdr:rowOff>72573</xdr:rowOff>
    </xdr:to>
    <xdr:cxnSp macro="">
      <xdr:nvCxnSpPr>
        <xdr:cNvPr id="910" name="Connecteur droit avec flèche 909"/>
        <xdr:cNvCxnSpPr/>
      </xdr:nvCxnSpPr>
      <xdr:spPr>
        <a:xfrm>
          <a:off x="12248545" y="670015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331</xdr:row>
      <xdr:rowOff>61989</xdr:rowOff>
    </xdr:from>
    <xdr:to>
      <xdr:col>14</xdr:col>
      <xdr:colOff>175080</xdr:colOff>
      <xdr:row>333</xdr:row>
      <xdr:rowOff>61987</xdr:rowOff>
    </xdr:to>
    <xdr:cxnSp macro="">
      <xdr:nvCxnSpPr>
        <xdr:cNvPr id="911" name="Connecteur droit avec flèche 910"/>
        <xdr:cNvCxnSpPr/>
      </xdr:nvCxnSpPr>
      <xdr:spPr>
        <a:xfrm flipV="1">
          <a:off x="12132130" y="673846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334</xdr:row>
      <xdr:rowOff>93738</xdr:rowOff>
    </xdr:from>
    <xdr:to>
      <xdr:col>14</xdr:col>
      <xdr:colOff>26914</xdr:colOff>
      <xdr:row>334</xdr:row>
      <xdr:rowOff>104323</xdr:rowOff>
    </xdr:to>
    <xdr:cxnSp macro="">
      <xdr:nvCxnSpPr>
        <xdr:cNvPr id="912" name="Connecteur droit avec flèche 911"/>
        <xdr:cNvCxnSpPr/>
      </xdr:nvCxnSpPr>
      <xdr:spPr>
        <a:xfrm>
          <a:off x="12174464" y="679879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333</xdr:row>
      <xdr:rowOff>30239</xdr:rowOff>
    </xdr:from>
    <xdr:to>
      <xdr:col>14</xdr:col>
      <xdr:colOff>143330</xdr:colOff>
      <xdr:row>333</xdr:row>
      <xdr:rowOff>51407</xdr:rowOff>
    </xdr:to>
    <xdr:cxnSp macro="">
      <xdr:nvCxnSpPr>
        <xdr:cNvPr id="913" name="Connecteur droit avec flèche 912"/>
        <xdr:cNvCxnSpPr/>
      </xdr:nvCxnSpPr>
      <xdr:spPr>
        <a:xfrm>
          <a:off x="12185047" y="677339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327</xdr:row>
      <xdr:rowOff>101298</xdr:rowOff>
    </xdr:from>
    <xdr:to>
      <xdr:col>16</xdr:col>
      <xdr:colOff>267307</xdr:colOff>
      <xdr:row>327</xdr:row>
      <xdr:rowOff>113998</xdr:rowOff>
    </xdr:to>
    <xdr:cxnSp macro="">
      <xdr:nvCxnSpPr>
        <xdr:cNvPr id="914" name="Connecteur droit avec flèche 913"/>
        <xdr:cNvCxnSpPr/>
      </xdr:nvCxnSpPr>
      <xdr:spPr>
        <a:xfrm>
          <a:off x="13875356" y="666619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331</xdr:row>
      <xdr:rowOff>133048</xdr:rowOff>
    </xdr:from>
    <xdr:to>
      <xdr:col>16</xdr:col>
      <xdr:colOff>214390</xdr:colOff>
      <xdr:row>331</xdr:row>
      <xdr:rowOff>135165</xdr:rowOff>
    </xdr:to>
    <xdr:cxnSp macro="">
      <xdr:nvCxnSpPr>
        <xdr:cNvPr id="915" name="Connecteur droit avec flèche 914"/>
        <xdr:cNvCxnSpPr/>
      </xdr:nvCxnSpPr>
      <xdr:spPr>
        <a:xfrm>
          <a:off x="13843606" y="67455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329</xdr:row>
      <xdr:rowOff>133048</xdr:rowOff>
    </xdr:from>
    <xdr:to>
      <xdr:col>16</xdr:col>
      <xdr:colOff>288474</xdr:colOff>
      <xdr:row>329</xdr:row>
      <xdr:rowOff>135165</xdr:rowOff>
    </xdr:to>
    <xdr:cxnSp macro="">
      <xdr:nvCxnSpPr>
        <xdr:cNvPr id="916" name="Connecteur droit avec flèche 915"/>
        <xdr:cNvCxnSpPr/>
      </xdr:nvCxnSpPr>
      <xdr:spPr>
        <a:xfrm>
          <a:off x="13917690" y="67074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333</xdr:row>
      <xdr:rowOff>122465</xdr:rowOff>
    </xdr:from>
    <xdr:to>
      <xdr:col>16</xdr:col>
      <xdr:colOff>277890</xdr:colOff>
      <xdr:row>333</xdr:row>
      <xdr:rowOff>124582</xdr:rowOff>
    </xdr:to>
    <xdr:cxnSp macro="">
      <xdr:nvCxnSpPr>
        <xdr:cNvPr id="917" name="Connecteur droit avec flèche 916"/>
        <xdr:cNvCxnSpPr/>
      </xdr:nvCxnSpPr>
      <xdr:spPr>
        <a:xfrm>
          <a:off x="13907106" y="678261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334</xdr:row>
      <xdr:rowOff>133049</xdr:rowOff>
    </xdr:from>
    <xdr:to>
      <xdr:col>16</xdr:col>
      <xdr:colOff>182640</xdr:colOff>
      <xdr:row>334</xdr:row>
      <xdr:rowOff>135166</xdr:rowOff>
    </xdr:to>
    <xdr:cxnSp macro="">
      <xdr:nvCxnSpPr>
        <xdr:cNvPr id="918" name="Connecteur droit avec flèche 917"/>
        <xdr:cNvCxnSpPr/>
      </xdr:nvCxnSpPr>
      <xdr:spPr>
        <a:xfrm>
          <a:off x="13811856" y="68027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326</xdr:row>
      <xdr:rowOff>122465</xdr:rowOff>
    </xdr:from>
    <xdr:to>
      <xdr:col>16</xdr:col>
      <xdr:colOff>246140</xdr:colOff>
      <xdr:row>327</xdr:row>
      <xdr:rowOff>90716</xdr:rowOff>
    </xdr:to>
    <xdr:cxnSp macro="">
      <xdr:nvCxnSpPr>
        <xdr:cNvPr id="919" name="Connecteur droit avec flèche 918"/>
        <xdr:cNvCxnSpPr/>
      </xdr:nvCxnSpPr>
      <xdr:spPr>
        <a:xfrm flipV="1">
          <a:off x="13864772" y="664926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328</xdr:row>
      <xdr:rowOff>143632</xdr:rowOff>
    </xdr:from>
    <xdr:to>
      <xdr:col>16</xdr:col>
      <xdr:colOff>288473</xdr:colOff>
      <xdr:row>329</xdr:row>
      <xdr:rowOff>111883</xdr:rowOff>
    </xdr:to>
    <xdr:cxnSp macro="">
      <xdr:nvCxnSpPr>
        <xdr:cNvPr id="920" name="Connecteur droit avec flèche 919"/>
        <xdr:cNvCxnSpPr/>
      </xdr:nvCxnSpPr>
      <xdr:spPr>
        <a:xfrm flipV="1">
          <a:off x="13917690" y="668948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330</xdr:row>
      <xdr:rowOff>143632</xdr:rowOff>
    </xdr:from>
    <xdr:to>
      <xdr:col>16</xdr:col>
      <xdr:colOff>235556</xdr:colOff>
      <xdr:row>331</xdr:row>
      <xdr:rowOff>111883</xdr:rowOff>
    </xdr:to>
    <xdr:cxnSp macro="">
      <xdr:nvCxnSpPr>
        <xdr:cNvPr id="921" name="Connecteur droit avec flèche 920"/>
        <xdr:cNvCxnSpPr/>
      </xdr:nvCxnSpPr>
      <xdr:spPr>
        <a:xfrm flipV="1">
          <a:off x="13833023" y="672758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332</xdr:row>
      <xdr:rowOff>122464</xdr:rowOff>
    </xdr:from>
    <xdr:to>
      <xdr:col>16</xdr:col>
      <xdr:colOff>176893</xdr:colOff>
      <xdr:row>333</xdr:row>
      <xdr:rowOff>101300</xdr:rowOff>
    </xdr:to>
    <xdr:cxnSp macro="">
      <xdr:nvCxnSpPr>
        <xdr:cNvPr id="922" name="Connecteur droit avec flèche 921"/>
        <xdr:cNvCxnSpPr/>
      </xdr:nvCxnSpPr>
      <xdr:spPr>
        <a:xfrm flipV="1">
          <a:off x="13885939" y="676356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865718</xdr:colOff>
      <xdr:row>326</xdr:row>
      <xdr:rowOff>24342</xdr:rowOff>
    </xdr:from>
    <xdr:to>
      <xdr:col>10</xdr:col>
      <xdr:colOff>982134</xdr:colOff>
      <xdr:row>334</xdr:row>
      <xdr:rowOff>177801</xdr:rowOff>
    </xdr:to>
    <xdr:sp macro="" textlink="">
      <xdr:nvSpPr>
        <xdr:cNvPr id="923" name="Accolade fermante 922"/>
        <xdr:cNvSpPr/>
      </xdr:nvSpPr>
      <xdr:spPr>
        <a:xfrm>
          <a:off x="10238318" y="587745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384</xdr:row>
      <xdr:rowOff>103911</xdr:rowOff>
    </xdr:from>
    <xdr:to>
      <xdr:col>11</xdr:col>
      <xdr:colOff>714375</xdr:colOff>
      <xdr:row>384</xdr:row>
      <xdr:rowOff>114300</xdr:rowOff>
    </xdr:to>
    <xdr:cxnSp macro="">
      <xdr:nvCxnSpPr>
        <xdr:cNvPr id="924" name="Connecteur droit avec flèche 923"/>
        <xdr:cNvCxnSpPr/>
      </xdr:nvCxnSpPr>
      <xdr:spPr>
        <a:xfrm>
          <a:off x="10463645" y="679981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384</xdr:row>
      <xdr:rowOff>114300</xdr:rowOff>
    </xdr:from>
    <xdr:to>
      <xdr:col>12</xdr:col>
      <xdr:colOff>348344</xdr:colOff>
      <xdr:row>384</xdr:row>
      <xdr:rowOff>122464</xdr:rowOff>
    </xdr:to>
    <xdr:cxnSp macro="">
      <xdr:nvCxnSpPr>
        <xdr:cNvPr id="925" name="Connecteur droit avec flèche 924"/>
        <xdr:cNvCxnSpPr/>
      </xdr:nvCxnSpPr>
      <xdr:spPr>
        <a:xfrm>
          <a:off x="10556422" y="680085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379</xdr:row>
      <xdr:rowOff>72573</xdr:rowOff>
    </xdr:from>
    <xdr:to>
      <xdr:col>12</xdr:col>
      <xdr:colOff>429079</xdr:colOff>
      <xdr:row>384</xdr:row>
      <xdr:rowOff>108857</xdr:rowOff>
    </xdr:to>
    <xdr:cxnSp macro="">
      <xdr:nvCxnSpPr>
        <xdr:cNvPr id="926" name="Connecteur droit avec flèche 925"/>
        <xdr:cNvCxnSpPr/>
      </xdr:nvCxnSpPr>
      <xdr:spPr>
        <a:xfrm flipV="1">
          <a:off x="10605408" y="670142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383</xdr:row>
      <xdr:rowOff>27215</xdr:rowOff>
    </xdr:from>
    <xdr:to>
      <xdr:col>12</xdr:col>
      <xdr:colOff>286960</xdr:colOff>
      <xdr:row>384</xdr:row>
      <xdr:rowOff>108857</xdr:rowOff>
    </xdr:to>
    <xdr:cxnSp macro="">
      <xdr:nvCxnSpPr>
        <xdr:cNvPr id="927" name="Connecteur droit avec flèche 926"/>
        <xdr:cNvCxnSpPr/>
      </xdr:nvCxnSpPr>
      <xdr:spPr>
        <a:xfrm flipV="1">
          <a:off x="10591801" y="677309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377</xdr:row>
      <xdr:rowOff>19657</xdr:rowOff>
    </xdr:from>
    <xdr:to>
      <xdr:col>14</xdr:col>
      <xdr:colOff>261862</xdr:colOff>
      <xdr:row>379</xdr:row>
      <xdr:rowOff>61989</xdr:rowOff>
    </xdr:to>
    <xdr:cxnSp macro="">
      <xdr:nvCxnSpPr>
        <xdr:cNvPr id="928" name="Connecteur droit avec flèche 927"/>
        <xdr:cNvCxnSpPr/>
      </xdr:nvCxnSpPr>
      <xdr:spPr>
        <a:xfrm flipV="1">
          <a:off x="12290879" y="665803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379</xdr:row>
      <xdr:rowOff>59874</xdr:rowOff>
    </xdr:from>
    <xdr:to>
      <xdr:col>14</xdr:col>
      <xdr:colOff>175079</xdr:colOff>
      <xdr:row>379</xdr:row>
      <xdr:rowOff>72573</xdr:rowOff>
    </xdr:to>
    <xdr:cxnSp macro="">
      <xdr:nvCxnSpPr>
        <xdr:cNvPr id="929" name="Connecteur droit avec flèche 928"/>
        <xdr:cNvCxnSpPr/>
      </xdr:nvCxnSpPr>
      <xdr:spPr>
        <a:xfrm>
          <a:off x="12248545" y="670015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381</xdr:row>
      <xdr:rowOff>61989</xdr:rowOff>
    </xdr:from>
    <xdr:to>
      <xdr:col>14</xdr:col>
      <xdr:colOff>175080</xdr:colOff>
      <xdr:row>383</xdr:row>
      <xdr:rowOff>61987</xdr:rowOff>
    </xdr:to>
    <xdr:cxnSp macro="">
      <xdr:nvCxnSpPr>
        <xdr:cNvPr id="930" name="Connecteur droit avec flèche 929"/>
        <xdr:cNvCxnSpPr/>
      </xdr:nvCxnSpPr>
      <xdr:spPr>
        <a:xfrm flipV="1">
          <a:off x="12132130" y="673846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384</xdr:row>
      <xdr:rowOff>93738</xdr:rowOff>
    </xdr:from>
    <xdr:to>
      <xdr:col>14</xdr:col>
      <xdr:colOff>26914</xdr:colOff>
      <xdr:row>384</xdr:row>
      <xdr:rowOff>104323</xdr:rowOff>
    </xdr:to>
    <xdr:cxnSp macro="">
      <xdr:nvCxnSpPr>
        <xdr:cNvPr id="931" name="Connecteur droit avec flèche 930"/>
        <xdr:cNvCxnSpPr/>
      </xdr:nvCxnSpPr>
      <xdr:spPr>
        <a:xfrm>
          <a:off x="12174464" y="679879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383</xdr:row>
      <xdr:rowOff>30239</xdr:rowOff>
    </xdr:from>
    <xdr:to>
      <xdr:col>14</xdr:col>
      <xdr:colOff>143330</xdr:colOff>
      <xdr:row>383</xdr:row>
      <xdr:rowOff>51407</xdr:rowOff>
    </xdr:to>
    <xdr:cxnSp macro="">
      <xdr:nvCxnSpPr>
        <xdr:cNvPr id="932" name="Connecteur droit avec flèche 931"/>
        <xdr:cNvCxnSpPr/>
      </xdr:nvCxnSpPr>
      <xdr:spPr>
        <a:xfrm>
          <a:off x="12185047" y="677339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377</xdr:row>
      <xdr:rowOff>101298</xdr:rowOff>
    </xdr:from>
    <xdr:to>
      <xdr:col>16</xdr:col>
      <xdr:colOff>267307</xdr:colOff>
      <xdr:row>377</xdr:row>
      <xdr:rowOff>113998</xdr:rowOff>
    </xdr:to>
    <xdr:cxnSp macro="">
      <xdr:nvCxnSpPr>
        <xdr:cNvPr id="933" name="Connecteur droit avec flèche 932"/>
        <xdr:cNvCxnSpPr/>
      </xdr:nvCxnSpPr>
      <xdr:spPr>
        <a:xfrm>
          <a:off x="13875356" y="666619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381</xdr:row>
      <xdr:rowOff>133048</xdr:rowOff>
    </xdr:from>
    <xdr:to>
      <xdr:col>16</xdr:col>
      <xdr:colOff>214390</xdr:colOff>
      <xdr:row>381</xdr:row>
      <xdr:rowOff>135165</xdr:rowOff>
    </xdr:to>
    <xdr:cxnSp macro="">
      <xdr:nvCxnSpPr>
        <xdr:cNvPr id="934" name="Connecteur droit avec flèche 933"/>
        <xdr:cNvCxnSpPr/>
      </xdr:nvCxnSpPr>
      <xdr:spPr>
        <a:xfrm>
          <a:off x="13843606" y="67455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379</xdr:row>
      <xdr:rowOff>133048</xdr:rowOff>
    </xdr:from>
    <xdr:to>
      <xdr:col>16</xdr:col>
      <xdr:colOff>288474</xdr:colOff>
      <xdr:row>379</xdr:row>
      <xdr:rowOff>135165</xdr:rowOff>
    </xdr:to>
    <xdr:cxnSp macro="">
      <xdr:nvCxnSpPr>
        <xdr:cNvPr id="935" name="Connecteur droit avec flèche 934"/>
        <xdr:cNvCxnSpPr/>
      </xdr:nvCxnSpPr>
      <xdr:spPr>
        <a:xfrm>
          <a:off x="13917690" y="67074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383</xdr:row>
      <xdr:rowOff>122465</xdr:rowOff>
    </xdr:from>
    <xdr:to>
      <xdr:col>16</xdr:col>
      <xdr:colOff>277890</xdr:colOff>
      <xdr:row>383</xdr:row>
      <xdr:rowOff>124582</xdr:rowOff>
    </xdr:to>
    <xdr:cxnSp macro="">
      <xdr:nvCxnSpPr>
        <xdr:cNvPr id="936" name="Connecteur droit avec flèche 935"/>
        <xdr:cNvCxnSpPr/>
      </xdr:nvCxnSpPr>
      <xdr:spPr>
        <a:xfrm>
          <a:off x="13907106" y="678261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384</xdr:row>
      <xdr:rowOff>133049</xdr:rowOff>
    </xdr:from>
    <xdr:to>
      <xdr:col>16</xdr:col>
      <xdr:colOff>182640</xdr:colOff>
      <xdr:row>384</xdr:row>
      <xdr:rowOff>135166</xdr:rowOff>
    </xdr:to>
    <xdr:cxnSp macro="">
      <xdr:nvCxnSpPr>
        <xdr:cNvPr id="937" name="Connecteur droit avec flèche 936"/>
        <xdr:cNvCxnSpPr/>
      </xdr:nvCxnSpPr>
      <xdr:spPr>
        <a:xfrm>
          <a:off x="13811856" y="68027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376</xdr:row>
      <xdr:rowOff>122465</xdr:rowOff>
    </xdr:from>
    <xdr:to>
      <xdr:col>16</xdr:col>
      <xdr:colOff>246140</xdr:colOff>
      <xdr:row>377</xdr:row>
      <xdr:rowOff>90716</xdr:rowOff>
    </xdr:to>
    <xdr:cxnSp macro="">
      <xdr:nvCxnSpPr>
        <xdr:cNvPr id="938" name="Connecteur droit avec flèche 937"/>
        <xdr:cNvCxnSpPr/>
      </xdr:nvCxnSpPr>
      <xdr:spPr>
        <a:xfrm flipV="1">
          <a:off x="13864772" y="664926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378</xdr:row>
      <xdr:rowOff>143632</xdr:rowOff>
    </xdr:from>
    <xdr:to>
      <xdr:col>16</xdr:col>
      <xdr:colOff>288473</xdr:colOff>
      <xdr:row>379</xdr:row>
      <xdr:rowOff>111883</xdr:rowOff>
    </xdr:to>
    <xdr:cxnSp macro="">
      <xdr:nvCxnSpPr>
        <xdr:cNvPr id="939" name="Connecteur droit avec flèche 938"/>
        <xdr:cNvCxnSpPr/>
      </xdr:nvCxnSpPr>
      <xdr:spPr>
        <a:xfrm flipV="1">
          <a:off x="13917690" y="668948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380</xdr:row>
      <xdr:rowOff>143632</xdr:rowOff>
    </xdr:from>
    <xdr:to>
      <xdr:col>16</xdr:col>
      <xdr:colOff>235556</xdr:colOff>
      <xdr:row>381</xdr:row>
      <xdr:rowOff>111883</xdr:rowOff>
    </xdr:to>
    <xdr:cxnSp macro="">
      <xdr:nvCxnSpPr>
        <xdr:cNvPr id="940" name="Connecteur droit avec flèche 939"/>
        <xdr:cNvCxnSpPr/>
      </xdr:nvCxnSpPr>
      <xdr:spPr>
        <a:xfrm flipV="1">
          <a:off x="13833023" y="672758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382</xdr:row>
      <xdr:rowOff>122464</xdr:rowOff>
    </xdr:from>
    <xdr:to>
      <xdr:col>16</xdr:col>
      <xdr:colOff>176893</xdr:colOff>
      <xdr:row>383</xdr:row>
      <xdr:rowOff>101300</xdr:rowOff>
    </xdr:to>
    <xdr:cxnSp macro="">
      <xdr:nvCxnSpPr>
        <xdr:cNvPr id="941" name="Connecteur droit avec flèche 940"/>
        <xdr:cNvCxnSpPr/>
      </xdr:nvCxnSpPr>
      <xdr:spPr>
        <a:xfrm flipV="1">
          <a:off x="13885939" y="676356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376</xdr:row>
      <xdr:rowOff>5292</xdr:rowOff>
    </xdr:from>
    <xdr:to>
      <xdr:col>10</xdr:col>
      <xdr:colOff>963084</xdr:colOff>
      <xdr:row>384</xdr:row>
      <xdr:rowOff>158751</xdr:rowOff>
    </xdr:to>
    <xdr:sp macro="" textlink="">
      <xdr:nvSpPr>
        <xdr:cNvPr id="942" name="Accolade fermante 941"/>
        <xdr:cNvSpPr/>
      </xdr:nvSpPr>
      <xdr:spPr>
        <a:xfrm>
          <a:off x="10219268" y="663754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374</xdr:row>
      <xdr:rowOff>103911</xdr:rowOff>
    </xdr:from>
    <xdr:to>
      <xdr:col>11</xdr:col>
      <xdr:colOff>714375</xdr:colOff>
      <xdr:row>374</xdr:row>
      <xdr:rowOff>114300</xdr:rowOff>
    </xdr:to>
    <xdr:cxnSp macro="">
      <xdr:nvCxnSpPr>
        <xdr:cNvPr id="943" name="Connecteur droit avec flèche 942"/>
        <xdr:cNvCxnSpPr/>
      </xdr:nvCxnSpPr>
      <xdr:spPr>
        <a:xfrm>
          <a:off x="10463645" y="699031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374</xdr:row>
      <xdr:rowOff>114300</xdr:rowOff>
    </xdr:from>
    <xdr:to>
      <xdr:col>12</xdr:col>
      <xdr:colOff>348344</xdr:colOff>
      <xdr:row>374</xdr:row>
      <xdr:rowOff>122464</xdr:rowOff>
    </xdr:to>
    <xdr:cxnSp macro="">
      <xdr:nvCxnSpPr>
        <xdr:cNvPr id="944" name="Connecteur droit avec flèche 943"/>
        <xdr:cNvCxnSpPr/>
      </xdr:nvCxnSpPr>
      <xdr:spPr>
        <a:xfrm>
          <a:off x="10556422" y="699135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369</xdr:row>
      <xdr:rowOff>72573</xdr:rowOff>
    </xdr:from>
    <xdr:to>
      <xdr:col>12</xdr:col>
      <xdr:colOff>429079</xdr:colOff>
      <xdr:row>374</xdr:row>
      <xdr:rowOff>108857</xdr:rowOff>
    </xdr:to>
    <xdr:cxnSp macro="">
      <xdr:nvCxnSpPr>
        <xdr:cNvPr id="945" name="Connecteur droit avec flèche 944"/>
        <xdr:cNvCxnSpPr/>
      </xdr:nvCxnSpPr>
      <xdr:spPr>
        <a:xfrm flipV="1">
          <a:off x="10605408" y="689192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373</xdr:row>
      <xdr:rowOff>27215</xdr:rowOff>
    </xdr:from>
    <xdr:to>
      <xdr:col>12</xdr:col>
      <xdr:colOff>286960</xdr:colOff>
      <xdr:row>374</xdr:row>
      <xdr:rowOff>108857</xdr:rowOff>
    </xdr:to>
    <xdr:cxnSp macro="">
      <xdr:nvCxnSpPr>
        <xdr:cNvPr id="946" name="Connecteur droit avec flèche 945"/>
        <xdr:cNvCxnSpPr/>
      </xdr:nvCxnSpPr>
      <xdr:spPr>
        <a:xfrm flipV="1">
          <a:off x="10591801" y="696359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367</xdr:row>
      <xdr:rowOff>19657</xdr:rowOff>
    </xdr:from>
    <xdr:to>
      <xdr:col>14</xdr:col>
      <xdr:colOff>261862</xdr:colOff>
      <xdr:row>369</xdr:row>
      <xdr:rowOff>61989</xdr:rowOff>
    </xdr:to>
    <xdr:cxnSp macro="">
      <xdr:nvCxnSpPr>
        <xdr:cNvPr id="947" name="Connecteur droit avec flèche 946"/>
        <xdr:cNvCxnSpPr/>
      </xdr:nvCxnSpPr>
      <xdr:spPr>
        <a:xfrm flipV="1">
          <a:off x="12290879" y="684853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369</xdr:row>
      <xdr:rowOff>59874</xdr:rowOff>
    </xdr:from>
    <xdr:to>
      <xdr:col>14</xdr:col>
      <xdr:colOff>175079</xdr:colOff>
      <xdr:row>369</xdr:row>
      <xdr:rowOff>72573</xdr:rowOff>
    </xdr:to>
    <xdr:cxnSp macro="">
      <xdr:nvCxnSpPr>
        <xdr:cNvPr id="948" name="Connecteur droit avec flèche 947"/>
        <xdr:cNvCxnSpPr/>
      </xdr:nvCxnSpPr>
      <xdr:spPr>
        <a:xfrm>
          <a:off x="12248545" y="689065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371</xdr:row>
      <xdr:rowOff>61989</xdr:rowOff>
    </xdr:from>
    <xdr:to>
      <xdr:col>14</xdr:col>
      <xdr:colOff>175080</xdr:colOff>
      <xdr:row>373</xdr:row>
      <xdr:rowOff>61987</xdr:rowOff>
    </xdr:to>
    <xdr:cxnSp macro="">
      <xdr:nvCxnSpPr>
        <xdr:cNvPr id="949" name="Connecteur droit avec flèche 948"/>
        <xdr:cNvCxnSpPr/>
      </xdr:nvCxnSpPr>
      <xdr:spPr>
        <a:xfrm flipV="1">
          <a:off x="12132130" y="692896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374</xdr:row>
      <xdr:rowOff>93738</xdr:rowOff>
    </xdr:from>
    <xdr:to>
      <xdr:col>14</xdr:col>
      <xdr:colOff>26914</xdr:colOff>
      <xdr:row>374</xdr:row>
      <xdr:rowOff>104323</xdr:rowOff>
    </xdr:to>
    <xdr:cxnSp macro="">
      <xdr:nvCxnSpPr>
        <xdr:cNvPr id="950" name="Connecteur droit avec flèche 949"/>
        <xdr:cNvCxnSpPr/>
      </xdr:nvCxnSpPr>
      <xdr:spPr>
        <a:xfrm>
          <a:off x="12174464" y="698929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373</xdr:row>
      <xdr:rowOff>30239</xdr:rowOff>
    </xdr:from>
    <xdr:to>
      <xdr:col>14</xdr:col>
      <xdr:colOff>143330</xdr:colOff>
      <xdr:row>373</xdr:row>
      <xdr:rowOff>51407</xdr:rowOff>
    </xdr:to>
    <xdr:cxnSp macro="">
      <xdr:nvCxnSpPr>
        <xdr:cNvPr id="951" name="Connecteur droit avec flèche 950"/>
        <xdr:cNvCxnSpPr/>
      </xdr:nvCxnSpPr>
      <xdr:spPr>
        <a:xfrm>
          <a:off x="12185047" y="696389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367</xdr:row>
      <xdr:rowOff>101298</xdr:rowOff>
    </xdr:from>
    <xdr:to>
      <xdr:col>16</xdr:col>
      <xdr:colOff>267307</xdr:colOff>
      <xdr:row>367</xdr:row>
      <xdr:rowOff>113998</xdr:rowOff>
    </xdr:to>
    <xdr:cxnSp macro="">
      <xdr:nvCxnSpPr>
        <xdr:cNvPr id="952" name="Connecteur droit avec flèche 951"/>
        <xdr:cNvCxnSpPr/>
      </xdr:nvCxnSpPr>
      <xdr:spPr>
        <a:xfrm>
          <a:off x="13875356" y="685669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371</xdr:row>
      <xdr:rowOff>133048</xdr:rowOff>
    </xdr:from>
    <xdr:to>
      <xdr:col>16</xdr:col>
      <xdr:colOff>214390</xdr:colOff>
      <xdr:row>371</xdr:row>
      <xdr:rowOff>135165</xdr:rowOff>
    </xdr:to>
    <xdr:cxnSp macro="">
      <xdr:nvCxnSpPr>
        <xdr:cNvPr id="953" name="Connecteur droit avec flèche 952"/>
        <xdr:cNvCxnSpPr/>
      </xdr:nvCxnSpPr>
      <xdr:spPr>
        <a:xfrm>
          <a:off x="13843606" y="69360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369</xdr:row>
      <xdr:rowOff>133048</xdr:rowOff>
    </xdr:from>
    <xdr:to>
      <xdr:col>16</xdr:col>
      <xdr:colOff>288474</xdr:colOff>
      <xdr:row>369</xdr:row>
      <xdr:rowOff>135165</xdr:rowOff>
    </xdr:to>
    <xdr:cxnSp macro="">
      <xdr:nvCxnSpPr>
        <xdr:cNvPr id="954" name="Connecteur droit avec flèche 953"/>
        <xdr:cNvCxnSpPr/>
      </xdr:nvCxnSpPr>
      <xdr:spPr>
        <a:xfrm>
          <a:off x="13917690" y="68979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373</xdr:row>
      <xdr:rowOff>122465</xdr:rowOff>
    </xdr:from>
    <xdr:to>
      <xdr:col>16</xdr:col>
      <xdr:colOff>277890</xdr:colOff>
      <xdr:row>373</xdr:row>
      <xdr:rowOff>124582</xdr:rowOff>
    </xdr:to>
    <xdr:cxnSp macro="">
      <xdr:nvCxnSpPr>
        <xdr:cNvPr id="955" name="Connecteur droit avec flèche 954"/>
        <xdr:cNvCxnSpPr/>
      </xdr:nvCxnSpPr>
      <xdr:spPr>
        <a:xfrm>
          <a:off x="13907106" y="697311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374</xdr:row>
      <xdr:rowOff>133049</xdr:rowOff>
    </xdr:from>
    <xdr:to>
      <xdr:col>16</xdr:col>
      <xdr:colOff>182640</xdr:colOff>
      <xdr:row>374</xdr:row>
      <xdr:rowOff>135166</xdr:rowOff>
    </xdr:to>
    <xdr:cxnSp macro="">
      <xdr:nvCxnSpPr>
        <xdr:cNvPr id="956" name="Connecteur droit avec flèche 955"/>
        <xdr:cNvCxnSpPr/>
      </xdr:nvCxnSpPr>
      <xdr:spPr>
        <a:xfrm>
          <a:off x="13811856" y="69932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366</xdr:row>
      <xdr:rowOff>122465</xdr:rowOff>
    </xdr:from>
    <xdr:to>
      <xdr:col>16</xdr:col>
      <xdr:colOff>246140</xdr:colOff>
      <xdr:row>367</xdr:row>
      <xdr:rowOff>90716</xdr:rowOff>
    </xdr:to>
    <xdr:cxnSp macro="">
      <xdr:nvCxnSpPr>
        <xdr:cNvPr id="957" name="Connecteur droit avec flèche 956"/>
        <xdr:cNvCxnSpPr/>
      </xdr:nvCxnSpPr>
      <xdr:spPr>
        <a:xfrm flipV="1">
          <a:off x="13864772" y="683976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368</xdr:row>
      <xdr:rowOff>143632</xdr:rowOff>
    </xdr:from>
    <xdr:to>
      <xdr:col>16</xdr:col>
      <xdr:colOff>288473</xdr:colOff>
      <xdr:row>369</xdr:row>
      <xdr:rowOff>111883</xdr:rowOff>
    </xdr:to>
    <xdr:cxnSp macro="">
      <xdr:nvCxnSpPr>
        <xdr:cNvPr id="958" name="Connecteur droit avec flèche 957"/>
        <xdr:cNvCxnSpPr/>
      </xdr:nvCxnSpPr>
      <xdr:spPr>
        <a:xfrm flipV="1">
          <a:off x="13917690" y="687998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370</xdr:row>
      <xdr:rowOff>143632</xdr:rowOff>
    </xdr:from>
    <xdr:to>
      <xdr:col>16</xdr:col>
      <xdr:colOff>235556</xdr:colOff>
      <xdr:row>371</xdr:row>
      <xdr:rowOff>111883</xdr:rowOff>
    </xdr:to>
    <xdr:cxnSp macro="">
      <xdr:nvCxnSpPr>
        <xdr:cNvPr id="959" name="Connecteur droit avec flèche 958"/>
        <xdr:cNvCxnSpPr/>
      </xdr:nvCxnSpPr>
      <xdr:spPr>
        <a:xfrm flipV="1">
          <a:off x="13833023" y="691808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372</xdr:row>
      <xdr:rowOff>122464</xdr:rowOff>
    </xdr:from>
    <xdr:to>
      <xdr:col>16</xdr:col>
      <xdr:colOff>176893</xdr:colOff>
      <xdr:row>373</xdr:row>
      <xdr:rowOff>101300</xdr:rowOff>
    </xdr:to>
    <xdr:cxnSp macro="">
      <xdr:nvCxnSpPr>
        <xdr:cNvPr id="960" name="Connecteur droit avec flèche 959"/>
        <xdr:cNvCxnSpPr/>
      </xdr:nvCxnSpPr>
      <xdr:spPr>
        <a:xfrm flipV="1">
          <a:off x="13885939" y="695406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366</xdr:row>
      <xdr:rowOff>5292</xdr:rowOff>
    </xdr:from>
    <xdr:to>
      <xdr:col>10</xdr:col>
      <xdr:colOff>963084</xdr:colOff>
      <xdr:row>374</xdr:row>
      <xdr:rowOff>158751</xdr:rowOff>
    </xdr:to>
    <xdr:sp macro="" textlink="">
      <xdr:nvSpPr>
        <xdr:cNvPr id="961" name="Accolade fermante 960"/>
        <xdr:cNvSpPr/>
      </xdr:nvSpPr>
      <xdr:spPr>
        <a:xfrm>
          <a:off x="10219268" y="682804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374</xdr:row>
      <xdr:rowOff>103911</xdr:rowOff>
    </xdr:from>
    <xdr:to>
      <xdr:col>11</xdr:col>
      <xdr:colOff>714375</xdr:colOff>
      <xdr:row>374</xdr:row>
      <xdr:rowOff>114300</xdr:rowOff>
    </xdr:to>
    <xdr:cxnSp macro="">
      <xdr:nvCxnSpPr>
        <xdr:cNvPr id="962" name="Connecteur droit avec flèche 961"/>
        <xdr:cNvCxnSpPr/>
      </xdr:nvCxnSpPr>
      <xdr:spPr>
        <a:xfrm>
          <a:off x="10463645" y="6990311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374</xdr:row>
      <xdr:rowOff>114300</xdr:rowOff>
    </xdr:from>
    <xdr:to>
      <xdr:col>12</xdr:col>
      <xdr:colOff>348344</xdr:colOff>
      <xdr:row>374</xdr:row>
      <xdr:rowOff>122464</xdr:rowOff>
    </xdr:to>
    <xdr:cxnSp macro="">
      <xdr:nvCxnSpPr>
        <xdr:cNvPr id="963" name="Connecteur droit avec flèche 962"/>
        <xdr:cNvCxnSpPr/>
      </xdr:nvCxnSpPr>
      <xdr:spPr>
        <a:xfrm>
          <a:off x="10556422" y="6991350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369</xdr:row>
      <xdr:rowOff>72573</xdr:rowOff>
    </xdr:from>
    <xdr:to>
      <xdr:col>12</xdr:col>
      <xdr:colOff>429079</xdr:colOff>
      <xdr:row>374</xdr:row>
      <xdr:rowOff>108857</xdr:rowOff>
    </xdr:to>
    <xdr:cxnSp macro="">
      <xdr:nvCxnSpPr>
        <xdr:cNvPr id="964" name="Connecteur droit avec flèche 963"/>
        <xdr:cNvCxnSpPr/>
      </xdr:nvCxnSpPr>
      <xdr:spPr>
        <a:xfrm flipV="1">
          <a:off x="10605408" y="6891927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373</xdr:row>
      <xdr:rowOff>27215</xdr:rowOff>
    </xdr:from>
    <xdr:to>
      <xdr:col>12</xdr:col>
      <xdr:colOff>286960</xdr:colOff>
      <xdr:row>374</xdr:row>
      <xdr:rowOff>108857</xdr:rowOff>
    </xdr:to>
    <xdr:cxnSp macro="">
      <xdr:nvCxnSpPr>
        <xdr:cNvPr id="965" name="Connecteur droit avec flèche 964"/>
        <xdr:cNvCxnSpPr/>
      </xdr:nvCxnSpPr>
      <xdr:spPr>
        <a:xfrm flipV="1">
          <a:off x="10591801" y="6963591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367</xdr:row>
      <xdr:rowOff>19657</xdr:rowOff>
    </xdr:from>
    <xdr:to>
      <xdr:col>14</xdr:col>
      <xdr:colOff>261862</xdr:colOff>
      <xdr:row>369</xdr:row>
      <xdr:rowOff>61989</xdr:rowOff>
    </xdr:to>
    <xdr:cxnSp macro="">
      <xdr:nvCxnSpPr>
        <xdr:cNvPr id="966" name="Connecteur droit avec flèche 965"/>
        <xdr:cNvCxnSpPr/>
      </xdr:nvCxnSpPr>
      <xdr:spPr>
        <a:xfrm flipV="1">
          <a:off x="12290879" y="684853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369</xdr:row>
      <xdr:rowOff>59874</xdr:rowOff>
    </xdr:from>
    <xdr:to>
      <xdr:col>14</xdr:col>
      <xdr:colOff>175079</xdr:colOff>
      <xdr:row>369</xdr:row>
      <xdr:rowOff>72573</xdr:rowOff>
    </xdr:to>
    <xdr:cxnSp macro="">
      <xdr:nvCxnSpPr>
        <xdr:cNvPr id="967" name="Connecteur droit avec flèche 966"/>
        <xdr:cNvCxnSpPr/>
      </xdr:nvCxnSpPr>
      <xdr:spPr>
        <a:xfrm>
          <a:off x="12248545" y="689065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371</xdr:row>
      <xdr:rowOff>61989</xdr:rowOff>
    </xdr:from>
    <xdr:to>
      <xdr:col>14</xdr:col>
      <xdr:colOff>175080</xdr:colOff>
      <xdr:row>373</xdr:row>
      <xdr:rowOff>61987</xdr:rowOff>
    </xdr:to>
    <xdr:cxnSp macro="">
      <xdr:nvCxnSpPr>
        <xdr:cNvPr id="968" name="Connecteur droit avec flèche 967"/>
        <xdr:cNvCxnSpPr/>
      </xdr:nvCxnSpPr>
      <xdr:spPr>
        <a:xfrm flipV="1">
          <a:off x="12132130" y="692896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374</xdr:row>
      <xdr:rowOff>93738</xdr:rowOff>
    </xdr:from>
    <xdr:to>
      <xdr:col>14</xdr:col>
      <xdr:colOff>26914</xdr:colOff>
      <xdr:row>374</xdr:row>
      <xdr:rowOff>104323</xdr:rowOff>
    </xdr:to>
    <xdr:cxnSp macro="">
      <xdr:nvCxnSpPr>
        <xdr:cNvPr id="969" name="Connecteur droit avec flèche 968"/>
        <xdr:cNvCxnSpPr/>
      </xdr:nvCxnSpPr>
      <xdr:spPr>
        <a:xfrm>
          <a:off x="12174464" y="698929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373</xdr:row>
      <xdr:rowOff>30239</xdr:rowOff>
    </xdr:from>
    <xdr:to>
      <xdr:col>14</xdr:col>
      <xdr:colOff>143330</xdr:colOff>
      <xdr:row>373</xdr:row>
      <xdr:rowOff>51407</xdr:rowOff>
    </xdr:to>
    <xdr:cxnSp macro="">
      <xdr:nvCxnSpPr>
        <xdr:cNvPr id="970" name="Connecteur droit avec flèche 969"/>
        <xdr:cNvCxnSpPr/>
      </xdr:nvCxnSpPr>
      <xdr:spPr>
        <a:xfrm>
          <a:off x="12185047" y="696389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367</xdr:row>
      <xdr:rowOff>101298</xdr:rowOff>
    </xdr:from>
    <xdr:to>
      <xdr:col>16</xdr:col>
      <xdr:colOff>267307</xdr:colOff>
      <xdr:row>367</xdr:row>
      <xdr:rowOff>113998</xdr:rowOff>
    </xdr:to>
    <xdr:cxnSp macro="">
      <xdr:nvCxnSpPr>
        <xdr:cNvPr id="971" name="Connecteur droit avec flèche 970"/>
        <xdr:cNvCxnSpPr/>
      </xdr:nvCxnSpPr>
      <xdr:spPr>
        <a:xfrm>
          <a:off x="13875356" y="685669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371</xdr:row>
      <xdr:rowOff>133048</xdr:rowOff>
    </xdr:from>
    <xdr:to>
      <xdr:col>16</xdr:col>
      <xdr:colOff>214390</xdr:colOff>
      <xdr:row>371</xdr:row>
      <xdr:rowOff>135165</xdr:rowOff>
    </xdr:to>
    <xdr:cxnSp macro="">
      <xdr:nvCxnSpPr>
        <xdr:cNvPr id="972" name="Connecteur droit avec flèche 971"/>
        <xdr:cNvCxnSpPr/>
      </xdr:nvCxnSpPr>
      <xdr:spPr>
        <a:xfrm>
          <a:off x="13843606" y="69360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369</xdr:row>
      <xdr:rowOff>133048</xdr:rowOff>
    </xdr:from>
    <xdr:to>
      <xdr:col>16</xdr:col>
      <xdr:colOff>288474</xdr:colOff>
      <xdr:row>369</xdr:row>
      <xdr:rowOff>135165</xdr:rowOff>
    </xdr:to>
    <xdr:cxnSp macro="">
      <xdr:nvCxnSpPr>
        <xdr:cNvPr id="973" name="Connecteur droit avec flèche 972"/>
        <xdr:cNvCxnSpPr/>
      </xdr:nvCxnSpPr>
      <xdr:spPr>
        <a:xfrm>
          <a:off x="13917690" y="689797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373</xdr:row>
      <xdr:rowOff>122465</xdr:rowOff>
    </xdr:from>
    <xdr:to>
      <xdr:col>16</xdr:col>
      <xdr:colOff>277890</xdr:colOff>
      <xdr:row>373</xdr:row>
      <xdr:rowOff>124582</xdr:rowOff>
    </xdr:to>
    <xdr:cxnSp macro="">
      <xdr:nvCxnSpPr>
        <xdr:cNvPr id="974" name="Connecteur droit avec flèche 973"/>
        <xdr:cNvCxnSpPr/>
      </xdr:nvCxnSpPr>
      <xdr:spPr>
        <a:xfrm>
          <a:off x="13907106" y="697311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374</xdr:row>
      <xdr:rowOff>133049</xdr:rowOff>
    </xdr:from>
    <xdr:to>
      <xdr:col>16</xdr:col>
      <xdr:colOff>182640</xdr:colOff>
      <xdr:row>374</xdr:row>
      <xdr:rowOff>135166</xdr:rowOff>
    </xdr:to>
    <xdr:cxnSp macro="">
      <xdr:nvCxnSpPr>
        <xdr:cNvPr id="975" name="Connecteur droit avec flèche 974"/>
        <xdr:cNvCxnSpPr/>
      </xdr:nvCxnSpPr>
      <xdr:spPr>
        <a:xfrm>
          <a:off x="13811856" y="69932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366</xdr:row>
      <xdr:rowOff>122465</xdr:rowOff>
    </xdr:from>
    <xdr:to>
      <xdr:col>16</xdr:col>
      <xdr:colOff>246140</xdr:colOff>
      <xdr:row>367</xdr:row>
      <xdr:rowOff>90716</xdr:rowOff>
    </xdr:to>
    <xdr:cxnSp macro="">
      <xdr:nvCxnSpPr>
        <xdr:cNvPr id="976" name="Connecteur droit avec flèche 975"/>
        <xdr:cNvCxnSpPr/>
      </xdr:nvCxnSpPr>
      <xdr:spPr>
        <a:xfrm flipV="1">
          <a:off x="13864772" y="683976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368</xdr:row>
      <xdr:rowOff>143632</xdr:rowOff>
    </xdr:from>
    <xdr:to>
      <xdr:col>16</xdr:col>
      <xdr:colOff>288473</xdr:colOff>
      <xdr:row>369</xdr:row>
      <xdr:rowOff>111883</xdr:rowOff>
    </xdr:to>
    <xdr:cxnSp macro="">
      <xdr:nvCxnSpPr>
        <xdr:cNvPr id="977" name="Connecteur droit avec flèche 976"/>
        <xdr:cNvCxnSpPr/>
      </xdr:nvCxnSpPr>
      <xdr:spPr>
        <a:xfrm flipV="1">
          <a:off x="13917690" y="687998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370</xdr:row>
      <xdr:rowOff>143632</xdr:rowOff>
    </xdr:from>
    <xdr:to>
      <xdr:col>16</xdr:col>
      <xdr:colOff>235556</xdr:colOff>
      <xdr:row>371</xdr:row>
      <xdr:rowOff>111883</xdr:rowOff>
    </xdr:to>
    <xdr:cxnSp macro="">
      <xdr:nvCxnSpPr>
        <xdr:cNvPr id="978" name="Connecteur droit avec flèche 977"/>
        <xdr:cNvCxnSpPr/>
      </xdr:nvCxnSpPr>
      <xdr:spPr>
        <a:xfrm flipV="1">
          <a:off x="13833023" y="691808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372</xdr:row>
      <xdr:rowOff>122464</xdr:rowOff>
    </xdr:from>
    <xdr:to>
      <xdr:col>16</xdr:col>
      <xdr:colOff>176893</xdr:colOff>
      <xdr:row>373</xdr:row>
      <xdr:rowOff>101300</xdr:rowOff>
    </xdr:to>
    <xdr:cxnSp macro="">
      <xdr:nvCxnSpPr>
        <xdr:cNvPr id="979" name="Connecteur droit avec flèche 978"/>
        <xdr:cNvCxnSpPr/>
      </xdr:nvCxnSpPr>
      <xdr:spPr>
        <a:xfrm flipV="1">
          <a:off x="13885939" y="695406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366</xdr:row>
      <xdr:rowOff>5292</xdr:rowOff>
    </xdr:from>
    <xdr:to>
      <xdr:col>10</xdr:col>
      <xdr:colOff>963084</xdr:colOff>
      <xdr:row>374</xdr:row>
      <xdr:rowOff>158751</xdr:rowOff>
    </xdr:to>
    <xdr:sp macro="" textlink="">
      <xdr:nvSpPr>
        <xdr:cNvPr id="980" name="Accolade fermante 979"/>
        <xdr:cNvSpPr/>
      </xdr:nvSpPr>
      <xdr:spPr>
        <a:xfrm>
          <a:off x="10219268" y="6828049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651328</xdr:colOff>
      <xdr:row>477</xdr:row>
      <xdr:rowOff>6049</xdr:rowOff>
    </xdr:from>
    <xdr:to>
      <xdr:col>14</xdr:col>
      <xdr:colOff>71361</xdr:colOff>
      <xdr:row>479</xdr:row>
      <xdr:rowOff>48381</xdr:rowOff>
    </xdr:to>
    <xdr:cxnSp macro="">
      <xdr:nvCxnSpPr>
        <xdr:cNvPr id="1011" name="Connecteur droit avec flèche 1010"/>
        <xdr:cNvCxnSpPr/>
      </xdr:nvCxnSpPr>
      <xdr:spPr>
        <a:xfrm flipV="1">
          <a:off x="12100378" y="837117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479</xdr:row>
      <xdr:rowOff>46266</xdr:rowOff>
    </xdr:from>
    <xdr:to>
      <xdr:col>13</xdr:col>
      <xdr:colOff>746578</xdr:colOff>
      <xdr:row>479</xdr:row>
      <xdr:rowOff>58965</xdr:rowOff>
    </xdr:to>
    <xdr:cxnSp macro="">
      <xdr:nvCxnSpPr>
        <xdr:cNvPr id="1012" name="Connecteur droit avec flèche 1011"/>
        <xdr:cNvCxnSpPr/>
      </xdr:nvCxnSpPr>
      <xdr:spPr>
        <a:xfrm>
          <a:off x="12058044" y="841329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481</xdr:row>
      <xdr:rowOff>48381</xdr:rowOff>
    </xdr:from>
    <xdr:to>
      <xdr:col>13</xdr:col>
      <xdr:colOff>746579</xdr:colOff>
      <xdr:row>483</xdr:row>
      <xdr:rowOff>48379</xdr:rowOff>
    </xdr:to>
    <xdr:cxnSp macro="">
      <xdr:nvCxnSpPr>
        <xdr:cNvPr id="1013" name="Connecteur droit avec flèche 1012"/>
        <xdr:cNvCxnSpPr/>
      </xdr:nvCxnSpPr>
      <xdr:spPr>
        <a:xfrm flipV="1">
          <a:off x="11941629" y="845160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484</xdr:row>
      <xdr:rowOff>81642</xdr:rowOff>
    </xdr:from>
    <xdr:to>
      <xdr:col>13</xdr:col>
      <xdr:colOff>757163</xdr:colOff>
      <xdr:row>484</xdr:row>
      <xdr:rowOff>92227</xdr:rowOff>
    </xdr:to>
    <xdr:cxnSp macro="">
      <xdr:nvCxnSpPr>
        <xdr:cNvPr id="1014" name="Connecteur droit avec flèche 1013"/>
        <xdr:cNvCxnSpPr/>
      </xdr:nvCxnSpPr>
      <xdr:spPr>
        <a:xfrm>
          <a:off x="12142713" y="851208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483</xdr:row>
      <xdr:rowOff>16631</xdr:rowOff>
    </xdr:from>
    <xdr:to>
      <xdr:col>13</xdr:col>
      <xdr:colOff>714829</xdr:colOff>
      <xdr:row>483</xdr:row>
      <xdr:rowOff>37799</xdr:rowOff>
    </xdr:to>
    <xdr:cxnSp macro="">
      <xdr:nvCxnSpPr>
        <xdr:cNvPr id="1015" name="Connecteur droit avec flèche 1014"/>
        <xdr:cNvCxnSpPr/>
      </xdr:nvCxnSpPr>
      <xdr:spPr>
        <a:xfrm>
          <a:off x="11994546" y="848653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477</xdr:row>
      <xdr:rowOff>87690</xdr:rowOff>
    </xdr:from>
    <xdr:to>
      <xdr:col>16</xdr:col>
      <xdr:colOff>76806</xdr:colOff>
      <xdr:row>477</xdr:row>
      <xdr:rowOff>100390</xdr:rowOff>
    </xdr:to>
    <xdr:cxnSp macro="">
      <xdr:nvCxnSpPr>
        <xdr:cNvPr id="1016" name="Connecteur droit avec flèche 1015"/>
        <xdr:cNvCxnSpPr/>
      </xdr:nvCxnSpPr>
      <xdr:spPr>
        <a:xfrm>
          <a:off x="13684855" y="837933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481</xdr:row>
      <xdr:rowOff>119440</xdr:rowOff>
    </xdr:from>
    <xdr:to>
      <xdr:col>16</xdr:col>
      <xdr:colOff>23889</xdr:colOff>
      <xdr:row>481</xdr:row>
      <xdr:rowOff>121557</xdr:rowOff>
    </xdr:to>
    <xdr:cxnSp macro="">
      <xdr:nvCxnSpPr>
        <xdr:cNvPr id="1017" name="Connecteur droit avec flèche 1016"/>
        <xdr:cNvCxnSpPr/>
      </xdr:nvCxnSpPr>
      <xdr:spPr>
        <a:xfrm>
          <a:off x="13653105" y="84587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479</xdr:row>
      <xdr:rowOff>119440</xdr:rowOff>
    </xdr:from>
    <xdr:to>
      <xdr:col>16</xdr:col>
      <xdr:colOff>97973</xdr:colOff>
      <xdr:row>479</xdr:row>
      <xdr:rowOff>121557</xdr:rowOff>
    </xdr:to>
    <xdr:cxnSp macro="">
      <xdr:nvCxnSpPr>
        <xdr:cNvPr id="1018" name="Connecteur droit avec flèche 1017"/>
        <xdr:cNvCxnSpPr/>
      </xdr:nvCxnSpPr>
      <xdr:spPr>
        <a:xfrm>
          <a:off x="13727189" y="84206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483</xdr:row>
      <xdr:rowOff>108857</xdr:rowOff>
    </xdr:from>
    <xdr:to>
      <xdr:col>16</xdr:col>
      <xdr:colOff>87389</xdr:colOff>
      <xdr:row>483</xdr:row>
      <xdr:rowOff>110974</xdr:rowOff>
    </xdr:to>
    <xdr:cxnSp macro="">
      <xdr:nvCxnSpPr>
        <xdr:cNvPr id="1019" name="Connecteur droit avec flèche 1018"/>
        <xdr:cNvCxnSpPr/>
      </xdr:nvCxnSpPr>
      <xdr:spPr>
        <a:xfrm>
          <a:off x="13716605" y="849575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484</xdr:row>
      <xdr:rowOff>119441</xdr:rowOff>
    </xdr:from>
    <xdr:to>
      <xdr:col>15</xdr:col>
      <xdr:colOff>754139</xdr:colOff>
      <xdr:row>484</xdr:row>
      <xdr:rowOff>121558</xdr:rowOff>
    </xdr:to>
    <xdr:cxnSp macro="">
      <xdr:nvCxnSpPr>
        <xdr:cNvPr id="1020" name="Connecteur droit avec flèche 1019"/>
        <xdr:cNvCxnSpPr/>
      </xdr:nvCxnSpPr>
      <xdr:spPr>
        <a:xfrm>
          <a:off x="13621355" y="851586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476</xdr:row>
      <xdr:rowOff>108857</xdr:rowOff>
    </xdr:from>
    <xdr:to>
      <xdr:col>16</xdr:col>
      <xdr:colOff>55639</xdr:colOff>
      <xdr:row>477</xdr:row>
      <xdr:rowOff>77108</xdr:rowOff>
    </xdr:to>
    <xdr:cxnSp macro="">
      <xdr:nvCxnSpPr>
        <xdr:cNvPr id="1021" name="Connecteur droit avec flèche 1020"/>
        <xdr:cNvCxnSpPr/>
      </xdr:nvCxnSpPr>
      <xdr:spPr>
        <a:xfrm flipV="1">
          <a:off x="13674271" y="836240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478</xdr:row>
      <xdr:rowOff>130024</xdr:rowOff>
    </xdr:from>
    <xdr:to>
      <xdr:col>16</xdr:col>
      <xdr:colOff>97972</xdr:colOff>
      <xdr:row>479</xdr:row>
      <xdr:rowOff>98275</xdr:rowOff>
    </xdr:to>
    <xdr:cxnSp macro="">
      <xdr:nvCxnSpPr>
        <xdr:cNvPr id="1022" name="Connecteur droit avec flèche 1021"/>
        <xdr:cNvCxnSpPr/>
      </xdr:nvCxnSpPr>
      <xdr:spPr>
        <a:xfrm flipV="1">
          <a:off x="13727189" y="840262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480</xdr:row>
      <xdr:rowOff>130024</xdr:rowOff>
    </xdr:from>
    <xdr:to>
      <xdr:col>16</xdr:col>
      <xdr:colOff>45055</xdr:colOff>
      <xdr:row>481</xdr:row>
      <xdr:rowOff>98275</xdr:rowOff>
    </xdr:to>
    <xdr:cxnSp macro="">
      <xdr:nvCxnSpPr>
        <xdr:cNvPr id="1023" name="Connecteur droit avec flèche 1022"/>
        <xdr:cNvCxnSpPr/>
      </xdr:nvCxnSpPr>
      <xdr:spPr>
        <a:xfrm flipV="1">
          <a:off x="13642522" y="844072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482</xdr:row>
      <xdr:rowOff>130024</xdr:rowOff>
    </xdr:from>
    <xdr:to>
      <xdr:col>16</xdr:col>
      <xdr:colOff>119139</xdr:colOff>
      <xdr:row>483</xdr:row>
      <xdr:rowOff>87692</xdr:rowOff>
    </xdr:to>
    <xdr:cxnSp macro="">
      <xdr:nvCxnSpPr>
        <xdr:cNvPr id="1024" name="Connecteur droit avec flèche 1023"/>
        <xdr:cNvCxnSpPr/>
      </xdr:nvCxnSpPr>
      <xdr:spPr>
        <a:xfrm flipV="1">
          <a:off x="13695438" y="847882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476</xdr:row>
      <xdr:rowOff>47625</xdr:rowOff>
    </xdr:from>
    <xdr:to>
      <xdr:col>10</xdr:col>
      <xdr:colOff>931334</xdr:colOff>
      <xdr:row>485</xdr:row>
      <xdr:rowOff>10584</xdr:rowOff>
    </xdr:to>
    <xdr:sp macro="" textlink="">
      <xdr:nvSpPr>
        <xdr:cNvPr id="1025" name="Accolade fermante 1024"/>
        <xdr:cNvSpPr/>
      </xdr:nvSpPr>
      <xdr:spPr>
        <a:xfrm>
          <a:off x="10187518" y="835628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651328</xdr:colOff>
      <xdr:row>457</xdr:row>
      <xdr:rowOff>6049</xdr:rowOff>
    </xdr:from>
    <xdr:to>
      <xdr:col>14</xdr:col>
      <xdr:colOff>71361</xdr:colOff>
      <xdr:row>459</xdr:row>
      <xdr:rowOff>48381</xdr:rowOff>
    </xdr:to>
    <xdr:cxnSp macro="">
      <xdr:nvCxnSpPr>
        <xdr:cNvPr id="1026" name="Connecteur droit avec flèche 1025"/>
        <xdr:cNvCxnSpPr/>
      </xdr:nvCxnSpPr>
      <xdr:spPr>
        <a:xfrm flipV="1">
          <a:off x="12100378" y="837117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459</xdr:row>
      <xdr:rowOff>46266</xdr:rowOff>
    </xdr:from>
    <xdr:to>
      <xdr:col>13</xdr:col>
      <xdr:colOff>746578</xdr:colOff>
      <xdr:row>459</xdr:row>
      <xdr:rowOff>58965</xdr:rowOff>
    </xdr:to>
    <xdr:cxnSp macro="">
      <xdr:nvCxnSpPr>
        <xdr:cNvPr id="1027" name="Connecteur droit avec flèche 1026"/>
        <xdr:cNvCxnSpPr/>
      </xdr:nvCxnSpPr>
      <xdr:spPr>
        <a:xfrm>
          <a:off x="12058044" y="841329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461</xdr:row>
      <xdr:rowOff>48381</xdr:rowOff>
    </xdr:from>
    <xdr:to>
      <xdr:col>13</xdr:col>
      <xdr:colOff>746579</xdr:colOff>
      <xdr:row>463</xdr:row>
      <xdr:rowOff>48379</xdr:rowOff>
    </xdr:to>
    <xdr:cxnSp macro="">
      <xdr:nvCxnSpPr>
        <xdr:cNvPr id="1028" name="Connecteur droit avec flèche 1027"/>
        <xdr:cNvCxnSpPr/>
      </xdr:nvCxnSpPr>
      <xdr:spPr>
        <a:xfrm flipV="1">
          <a:off x="11941629" y="845160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464</xdr:row>
      <xdr:rowOff>81642</xdr:rowOff>
    </xdr:from>
    <xdr:to>
      <xdr:col>13</xdr:col>
      <xdr:colOff>757163</xdr:colOff>
      <xdr:row>464</xdr:row>
      <xdr:rowOff>92227</xdr:rowOff>
    </xdr:to>
    <xdr:cxnSp macro="">
      <xdr:nvCxnSpPr>
        <xdr:cNvPr id="1029" name="Connecteur droit avec flèche 1028"/>
        <xdr:cNvCxnSpPr/>
      </xdr:nvCxnSpPr>
      <xdr:spPr>
        <a:xfrm>
          <a:off x="12142713" y="851208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463</xdr:row>
      <xdr:rowOff>16631</xdr:rowOff>
    </xdr:from>
    <xdr:to>
      <xdr:col>13</xdr:col>
      <xdr:colOff>714829</xdr:colOff>
      <xdr:row>463</xdr:row>
      <xdr:rowOff>37799</xdr:rowOff>
    </xdr:to>
    <xdr:cxnSp macro="">
      <xdr:nvCxnSpPr>
        <xdr:cNvPr id="1030" name="Connecteur droit avec flèche 1029"/>
        <xdr:cNvCxnSpPr/>
      </xdr:nvCxnSpPr>
      <xdr:spPr>
        <a:xfrm>
          <a:off x="11994546" y="848653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457</xdr:row>
      <xdr:rowOff>87690</xdr:rowOff>
    </xdr:from>
    <xdr:to>
      <xdr:col>16</xdr:col>
      <xdr:colOff>76806</xdr:colOff>
      <xdr:row>457</xdr:row>
      <xdr:rowOff>100390</xdr:rowOff>
    </xdr:to>
    <xdr:cxnSp macro="">
      <xdr:nvCxnSpPr>
        <xdr:cNvPr id="1031" name="Connecteur droit avec flèche 1030"/>
        <xdr:cNvCxnSpPr/>
      </xdr:nvCxnSpPr>
      <xdr:spPr>
        <a:xfrm>
          <a:off x="13684855" y="837933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461</xdr:row>
      <xdr:rowOff>119440</xdr:rowOff>
    </xdr:from>
    <xdr:to>
      <xdr:col>16</xdr:col>
      <xdr:colOff>23889</xdr:colOff>
      <xdr:row>461</xdr:row>
      <xdr:rowOff>121557</xdr:rowOff>
    </xdr:to>
    <xdr:cxnSp macro="">
      <xdr:nvCxnSpPr>
        <xdr:cNvPr id="1032" name="Connecteur droit avec flèche 1031"/>
        <xdr:cNvCxnSpPr/>
      </xdr:nvCxnSpPr>
      <xdr:spPr>
        <a:xfrm>
          <a:off x="13653105" y="84587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459</xdr:row>
      <xdr:rowOff>119440</xdr:rowOff>
    </xdr:from>
    <xdr:to>
      <xdr:col>16</xdr:col>
      <xdr:colOff>97973</xdr:colOff>
      <xdr:row>459</xdr:row>
      <xdr:rowOff>121557</xdr:rowOff>
    </xdr:to>
    <xdr:cxnSp macro="">
      <xdr:nvCxnSpPr>
        <xdr:cNvPr id="1033" name="Connecteur droit avec flèche 1032"/>
        <xdr:cNvCxnSpPr/>
      </xdr:nvCxnSpPr>
      <xdr:spPr>
        <a:xfrm>
          <a:off x="13727189" y="84206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463</xdr:row>
      <xdr:rowOff>108857</xdr:rowOff>
    </xdr:from>
    <xdr:to>
      <xdr:col>16</xdr:col>
      <xdr:colOff>87389</xdr:colOff>
      <xdr:row>463</xdr:row>
      <xdr:rowOff>110974</xdr:rowOff>
    </xdr:to>
    <xdr:cxnSp macro="">
      <xdr:nvCxnSpPr>
        <xdr:cNvPr id="1034" name="Connecteur droit avec flèche 1033"/>
        <xdr:cNvCxnSpPr/>
      </xdr:nvCxnSpPr>
      <xdr:spPr>
        <a:xfrm>
          <a:off x="13716605" y="849575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464</xdr:row>
      <xdr:rowOff>119441</xdr:rowOff>
    </xdr:from>
    <xdr:to>
      <xdr:col>15</xdr:col>
      <xdr:colOff>754139</xdr:colOff>
      <xdr:row>464</xdr:row>
      <xdr:rowOff>121558</xdr:rowOff>
    </xdr:to>
    <xdr:cxnSp macro="">
      <xdr:nvCxnSpPr>
        <xdr:cNvPr id="1035" name="Connecteur droit avec flèche 1034"/>
        <xdr:cNvCxnSpPr/>
      </xdr:nvCxnSpPr>
      <xdr:spPr>
        <a:xfrm>
          <a:off x="13621355" y="851586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456</xdr:row>
      <xdr:rowOff>108857</xdr:rowOff>
    </xdr:from>
    <xdr:to>
      <xdr:col>16</xdr:col>
      <xdr:colOff>55639</xdr:colOff>
      <xdr:row>457</xdr:row>
      <xdr:rowOff>77108</xdr:rowOff>
    </xdr:to>
    <xdr:cxnSp macro="">
      <xdr:nvCxnSpPr>
        <xdr:cNvPr id="1036" name="Connecteur droit avec flèche 1035"/>
        <xdr:cNvCxnSpPr/>
      </xdr:nvCxnSpPr>
      <xdr:spPr>
        <a:xfrm flipV="1">
          <a:off x="13674271" y="836240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458</xdr:row>
      <xdr:rowOff>130024</xdr:rowOff>
    </xdr:from>
    <xdr:to>
      <xdr:col>16</xdr:col>
      <xdr:colOff>97972</xdr:colOff>
      <xdr:row>459</xdr:row>
      <xdr:rowOff>98275</xdr:rowOff>
    </xdr:to>
    <xdr:cxnSp macro="">
      <xdr:nvCxnSpPr>
        <xdr:cNvPr id="1037" name="Connecteur droit avec flèche 1036"/>
        <xdr:cNvCxnSpPr/>
      </xdr:nvCxnSpPr>
      <xdr:spPr>
        <a:xfrm flipV="1">
          <a:off x="13727189" y="840262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460</xdr:row>
      <xdr:rowOff>130024</xdr:rowOff>
    </xdr:from>
    <xdr:to>
      <xdr:col>16</xdr:col>
      <xdr:colOff>45055</xdr:colOff>
      <xdr:row>461</xdr:row>
      <xdr:rowOff>98275</xdr:rowOff>
    </xdr:to>
    <xdr:cxnSp macro="">
      <xdr:nvCxnSpPr>
        <xdr:cNvPr id="1038" name="Connecteur droit avec flèche 1037"/>
        <xdr:cNvCxnSpPr/>
      </xdr:nvCxnSpPr>
      <xdr:spPr>
        <a:xfrm flipV="1">
          <a:off x="13642522" y="844072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462</xdr:row>
      <xdr:rowOff>130024</xdr:rowOff>
    </xdr:from>
    <xdr:to>
      <xdr:col>16</xdr:col>
      <xdr:colOff>119139</xdr:colOff>
      <xdr:row>463</xdr:row>
      <xdr:rowOff>87692</xdr:rowOff>
    </xdr:to>
    <xdr:cxnSp macro="">
      <xdr:nvCxnSpPr>
        <xdr:cNvPr id="1039" name="Connecteur droit avec flèche 1038"/>
        <xdr:cNvCxnSpPr/>
      </xdr:nvCxnSpPr>
      <xdr:spPr>
        <a:xfrm flipV="1">
          <a:off x="13695438" y="847882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456</xdr:row>
      <xdr:rowOff>47625</xdr:rowOff>
    </xdr:from>
    <xdr:to>
      <xdr:col>10</xdr:col>
      <xdr:colOff>931334</xdr:colOff>
      <xdr:row>465</xdr:row>
      <xdr:rowOff>10584</xdr:rowOff>
    </xdr:to>
    <xdr:sp macro="" textlink="">
      <xdr:nvSpPr>
        <xdr:cNvPr id="1040" name="Accolade fermante 1039"/>
        <xdr:cNvSpPr/>
      </xdr:nvSpPr>
      <xdr:spPr>
        <a:xfrm>
          <a:off x="10187518" y="8356282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651328</xdr:colOff>
      <xdr:row>437</xdr:row>
      <xdr:rowOff>6049</xdr:rowOff>
    </xdr:from>
    <xdr:to>
      <xdr:col>14</xdr:col>
      <xdr:colOff>71361</xdr:colOff>
      <xdr:row>439</xdr:row>
      <xdr:rowOff>48381</xdr:rowOff>
    </xdr:to>
    <xdr:cxnSp macro="">
      <xdr:nvCxnSpPr>
        <xdr:cNvPr id="1056" name="Connecteur droit avec flèche 1055"/>
        <xdr:cNvCxnSpPr/>
      </xdr:nvCxnSpPr>
      <xdr:spPr>
        <a:xfrm flipV="1">
          <a:off x="12100378" y="818067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439</xdr:row>
      <xdr:rowOff>46266</xdr:rowOff>
    </xdr:from>
    <xdr:to>
      <xdr:col>13</xdr:col>
      <xdr:colOff>746578</xdr:colOff>
      <xdr:row>439</xdr:row>
      <xdr:rowOff>58965</xdr:rowOff>
    </xdr:to>
    <xdr:cxnSp macro="">
      <xdr:nvCxnSpPr>
        <xdr:cNvPr id="1057" name="Connecteur droit avec flèche 1056"/>
        <xdr:cNvCxnSpPr/>
      </xdr:nvCxnSpPr>
      <xdr:spPr>
        <a:xfrm>
          <a:off x="12058044" y="822279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441</xdr:row>
      <xdr:rowOff>48381</xdr:rowOff>
    </xdr:from>
    <xdr:to>
      <xdr:col>13</xdr:col>
      <xdr:colOff>746579</xdr:colOff>
      <xdr:row>443</xdr:row>
      <xdr:rowOff>48379</xdr:rowOff>
    </xdr:to>
    <xdr:cxnSp macro="">
      <xdr:nvCxnSpPr>
        <xdr:cNvPr id="1058" name="Connecteur droit avec flèche 1057"/>
        <xdr:cNvCxnSpPr/>
      </xdr:nvCxnSpPr>
      <xdr:spPr>
        <a:xfrm flipV="1">
          <a:off x="11941629" y="826110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444</xdr:row>
      <xdr:rowOff>81642</xdr:rowOff>
    </xdr:from>
    <xdr:to>
      <xdr:col>13</xdr:col>
      <xdr:colOff>757163</xdr:colOff>
      <xdr:row>444</xdr:row>
      <xdr:rowOff>92227</xdr:rowOff>
    </xdr:to>
    <xdr:cxnSp macro="">
      <xdr:nvCxnSpPr>
        <xdr:cNvPr id="1059" name="Connecteur droit avec flèche 1058"/>
        <xdr:cNvCxnSpPr/>
      </xdr:nvCxnSpPr>
      <xdr:spPr>
        <a:xfrm>
          <a:off x="12142713" y="832158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443</xdr:row>
      <xdr:rowOff>16631</xdr:rowOff>
    </xdr:from>
    <xdr:to>
      <xdr:col>13</xdr:col>
      <xdr:colOff>714829</xdr:colOff>
      <xdr:row>443</xdr:row>
      <xdr:rowOff>37799</xdr:rowOff>
    </xdr:to>
    <xdr:cxnSp macro="">
      <xdr:nvCxnSpPr>
        <xdr:cNvPr id="1060" name="Connecteur droit avec flèche 1059"/>
        <xdr:cNvCxnSpPr/>
      </xdr:nvCxnSpPr>
      <xdr:spPr>
        <a:xfrm>
          <a:off x="11994546" y="829603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437</xdr:row>
      <xdr:rowOff>87690</xdr:rowOff>
    </xdr:from>
    <xdr:to>
      <xdr:col>16</xdr:col>
      <xdr:colOff>76806</xdr:colOff>
      <xdr:row>437</xdr:row>
      <xdr:rowOff>100390</xdr:rowOff>
    </xdr:to>
    <xdr:cxnSp macro="">
      <xdr:nvCxnSpPr>
        <xdr:cNvPr id="1061" name="Connecteur droit avec flèche 1060"/>
        <xdr:cNvCxnSpPr/>
      </xdr:nvCxnSpPr>
      <xdr:spPr>
        <a:xfrm>
          <a:off x="13684855" y="818883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441</xdr:row>
      <xdr:rowOff>119440</xdr:rowOff>
    </xdr:from>
    <xdr:to>
      <xdr:col>16</xdr:col>
      <xdr:colOff>23889</xdr:colOff>
      <xdr:row>441</xdr:row>
      <xdr:rowOff>121557</xdr:rowOff>
    </xdr:to>
    <xdr:cxnSp macro="">
      <xdr:nvCxnSpPr>
        <xdr:cNvPr id="1062" name="Connecteur droit avec flèche 1061"/>
        <xdr:cNvCxnSpPr/>
      </xdr:nvCxnSpPr>
      <xdr:spPr>
        <a:xfrm>
          <a:off x="13653105" y="82682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439</xdr:row>
      <xdr:rowOff>119440</xdr:rowOff>
    </xdr:from>
    <xdr:to>
      <xdr:col>16</xdr:col>
      <xdr:colOff>97973</xdr:colOff>
      <xdr:row>439</xdr:row>
      <xdr:rowOff>121557</xdr:rowOff>
    </xdr:to>
    <xdr:cxnSp macro="">
      <xdr:nvCxnSpPr>
        <xdr:cNvPr id="1063" name="Connecteur droit avec flèche 1062"/>
        <xdr:cNvCxnSpPr/>
      </xdr:nvCxnSpPr>
      <xdr:spPr>
        <a:xfrm>
          <a:off x="13727189" y="823011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443</xdr:row>
      <xdr:rowOff>108857</xdr:rowOff>
    </xdr:from>
    <xdr:to>
      <xdr:col>16</xdr:col>
      <xdr:colOff>87389</xdr:colOff>
      <xdr:row>443</xdr:row>
      <xdr:rowOff>110974</xdr:rowOff>
    </xdr:to>
    <xdr:cxnSp macro="">
      <xdr:nvCxnSpPr>
        <xdr:cNvPr id="1064" name="Connecteur droit avec flèche 1063"/>
        <xdr:cNvCxnSpPr/>
      </xdr:nvCxnSpPr>
      <xdr:spPr>
        <a:xfrm>
          <a:off x="13716605" y="830525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444</xdr:row>
      <xdr:rowOff>119441</xdr:rowOff>
    </xdr:from>
    <xdr:to>
      <xdr:col>15</xdr:col>
      <xdr:colOff>754139</xdr:colOff>
      <xdr:row>444</xdr:row>
      <xdr:rowOff>121558</xdr:rowOff>
    </xdr:to>
    <xdr:cxnSp macro="">
      <xdr:nvCxnSpPr>
        <xdr:cNvPr id="1065" name="Connecteur droit avec flèche 1064"/>
        <xdr:cNvCxnSpPr/>
      </xdr:nvCxnSpPr>
      <xdr:spPr>
        <a:xfrm>
          <a:off x="13621355" y="832536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436</xdr:row>
      <xdr:rowOff>108857</xdr:rowOff>
    </xdr:from>
    <xdr:to>
      <xdr:col>16</xdr:col>
      <xdr:colOff>55639</xdr:colOff>
      <xdr:row>437</xdr:row>
      <xdr:rowOff>77108</xdr:rowOff>
    </xdr:to>
    <xdr:cxnSp macro="">
      <xdr:nvCxnSpPr>
        <xdr:cNvPr id="1066" name="Connecteur droit avec flèche 1065"/>
        <xdr:cNvCxnSpPr/>
      </xdr:nvCxnSpPr>
      <xdr:spPr>
        <a:xfrm flipV="1">
          <a:off x="13674271" y="817190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438</xdr:row>
      <xdr:rowOff>130024</xdr:rowOff>
    </xdr:from>
    <xdr:to>
      <xdr:col>16</xdr:col>
      <xdr:colOff>97972</xdr:colOff>
      <xdr:row>439</xdr:row>
      <xdr:rowOff>98275</xdr:rowOff>
    </xdr:to>
    <xdr:cxnSp macro="">
      <xdr:nvCxnSpPr>
        <xdr:cNvPr id="1067" name="Connecteur droit avec flèche 1066"/>
        <xdr:cNvCxnSpPr/>
      </xdr:nvCxnSpPr>
      <xdr:spPr>
        <a:xfrm flipV="1">
          <a:off x="13727189" y="821212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440</xdr:row>
      <xdr:rowOff>130024</xdr:rowOff>
    </xdr:from>
    <xdr:to>
      <xdr:col>16</xdr:col>
      <xdr:colOff>45055</xdr:colOff>
      <xdr:row>441</xdr:row>
      <xdr:rowOff>98275</xdr:rowOff>
    </xdr:to>
    <xdr:cxnSp macro="">
      <xdr:nvCxnSpPr>
        <xdr:cNvPr id="1068" name="Connecteur droit avec flèche 1067"/>
        <xdr:cNvCxnSpPr/>
      </xdr:nvCxnSpPr>
      <xdr:spPr>
        <a:xfrm flipV="1">
          <a:off x="13642522" y="825022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442</xdr:row>
      <xdr:rowOff>130024</xdr:rowOff>
    </xdr:from>
    <xdr:to>
      <xdr:col>16</xdr:col>
      <xdr:colOff>119139</xdr:colOff>
      <xdr:row>443</xdr:row>
      <xdr:rowOff>87692</xdr:rowOff>
    </xdr:to>
    <xdr:cxnSp macro="">
      <xdr:nvCxnSpPr>
        <xdr:cNvPr id="1069" name="Connecteur droit avec flèche 1068"/>
        <xdr:cNvCxnSpPr/>
      </xdr:nvCxnSpPr>
      <xdr:spPr>
        <a:xfrm flipV="1">
          <a:off x="13695438" y="828832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435</xdr:row>
      <xdr:rowOff>180975</xdr:rowOff>
    </xdr:from>
    <xdr:to>
      <xdr:col>10</xdr:col>
      <xdr:colOff>931334</xdr:colOff>
      <xdr:row>444</xdr:row>
      <xdr:rowOff>143934</xdr:rowOff>
    </xdr:to>
    <xdr:sp macro="" textlink="">
      <xdr:nvSpPr>
        <xdr:cNvPr id="1070" name="Accolade fermante 1069"/>
        <xdr:cNvSpPr/>
      </xdr:nvSpPr>
      <xdr:spPr>
        <a:xfrm>
          <a:off x="10187518" y="7779067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971550</xdr:colOff>
      <xdr:row>34</xdr:row>
      <xdr:rowOff>114300</xdr:rowOff>
    </xdr:from>
    <xdr:to>
      <xdr:col>11</xdr:col>
      <xdr:colOff>696790</xdr:colOff>
      <xdr:row>34</xdr:row>
      <xdr:rowOff>114715</xdr:rowOff>
    </xdr:to>
    <xdr:cxnSp macro="">
      <xdr:nvCxnSpPr>
        <xdr:cNvPr id="981" name="Connecteur droit avec flèche 980"/>
        <xdr:cNvCxnSpPr/>
      </xdr:nvCxnSpPr>
      <xdr:spPr>
        <a:xfrm>
          <a:off x="10344150" y="120015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27</xdr:row>
      <xdr:rowOff>99786</xdr:rowOff>
    </xdr:from>
    <xdr:to>
      <xdr:col>12</xdr:col>
      <xdr:colOff>339272</xdr:colOff>
      <xdr:row>34</xdr:row>
      <xdr:rowOff>97670</xdr:rowOff>
    </xdr:to>
    <xdr:cxnSp macro="">
      <xdr:nvCxnSpPr>
        <xdr:cNvPr id="982" name="Connecteur droit avec flèche 981"/>
        <xdr:cNvCxnSpPr/>
      </xdr:nvCxnSpPr>
      <xdr:spPr>
        <a:xfrm flipV="1">
          <a:off x="10461172" y="10653486"/>
          <a:ext cx="13271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31</xdr:row>
      <xdr:rowOff>68036</xdr:rowOff>
    </xdr:from>
    <xdr:to>
      <xdr:col>12</xdr:col>
      <xdr:colOff>169939</xdr:colOff>
      <xdr:row>34</xdr:row>
      <xdr:rowOff>97670</xdr:rowOff>
    </xdr:to>
    <xdr:cxnSp macro="">
      <xdr:nvCxnSpPr>
        <xdr:cNvPr id="983" name="Connecteur droit avec flèche 982"/>
        <xdr:cNvCxnSpPr/>
      </xdr:nvCxnSpPr>
      <xdr:spPr>
        <a:xfrm flipV="1">
          <a:off x="10463289" y="11383736"/>
          <a:ext cx="11557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32</xdr:row>
      <xdr:rowOff>78619</xdr:rowOff>
    </xdr:from>
    <xdr:to>
      <xdr:col>12</xdr:col>
      <xdr:colOff>307522</xdr:colOff>
      <xdr:row>34</xdr:row>
      <xdr:rowOff>131536</xdr:rowOff>
    </xdr:to>
    <xdr:cxnSp macro="">
      <xdr:nvCxnSpPr>
        <xdr:cNvPr id="984" name="Connecteur droit avec flèche 983"/>
        <xdr:cNvCxnSpPr/>
      </xdr:nvCxnSpPr>
      <xdr:spPr>
        <a:xfrm flipV="1">
          <a:off x="10495039" y="11584819"/>
          <a:ext cx="12615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34</xdr:row>
      <xdr:rowOff>89202</xdr:rowOff>
    </xdr:from>
    <xdr:to>
      <xdr:col>12</xdr:col>
      <xdr:colOff>201689</xdr:colOff>
      <xdr:row>34</xdr:row>
      <xdr:rowOff>120952</xdr:rowOff>
    </xdr:to>
    <xdr:cxnSp macro="">
      <xdr:nvCxnSpPr>
        <xdr:cNvPr id="985" name="Connecteur droit avec flèche 984"/>
        <xdr:cNvCxnSpPr/>
      </xdr:nvCxnSpPr>
      <xdr:spPr>
        <a:xfrm flipV="1">
          <a:off x="10505622" y="11976402"/>
          <a:ext cx="11451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25</xdr:row>
      <xdr:rowOff>46870</xdr:rowOff>
    </xdr:from>
    <xdr:to>
      <xdr:col>14</xdr:col>
      <xdr:colOff>172055</xdr:colOff>
      <xdr:row>27</xdr:row>
      <xdr:rowOff>89202</xdr:rowOff>
    </xdr:to>
    <xdr:cxnSp macro="">
      <xdr:nvCxnSpPr>
        <xdr:cNvPr id="986" name="Connecteur droit avec flèche 985"/>
        <xdr:cNvCxnSpPr/>
      </xdr:nvCxnSpPr>
      <xdr:spPr>
        <a:xfrm flipV="1">
          <a:off x="12201072" y="102195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27</xdr:row>
      <xdr:rowOff>87087</xdr:rowOff>
    </xdr:from>
    <xdr:to>
      <xdr:col>14</xdr:col>
      <xdr:colOff>85272</xdr:colOff>
      <xdr:row>27</xdr:row>
      <xdr:rowOff>99786</xdr:rowOff>
    </xdr:to>
    <xdr:cxnSp macro="">
      <xdr:nvCxnSpPr>
        <xdr:cNvPr id="987" name="Connecteur droit avec flèche 986"/>
        <xdr:cNvCxnSpPr/>
      </xdr:nvCxnSpPr>
      <xdr:spPr>
        <a:xfrm>
          <a:off x="12158738" y="106407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29</xdr:row>
      <xdr:rowOff>89202</xdr:rowOff>
    </xdr:from>
    <xdr:to>
      <xdr:col>14</xdr:col>
      <xdr:colOff>85273</xdr:colOff>
      <xdr:row>31</xdr:row>
      <xdr:rowOff>89200</xdr:rowOff>
    </xdr:to>
    <xdr:cxnSp macro="">
      <xdr:nvCxnSpPr>
        <xdr:cNvPr id="988" name="Connecteur droit avec flèche 987"/>
        <xdr:cNvCxnSpPr/>
      </xdr:nvCxnSpPr>
      <xdr:spPr>
        <a:xfrm flipV="1">
          <a:off x="12042323" y="110239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34</xdr:row>
      <xdr:rowOff>78618</xdr:rowOff>
    </xdr:from>
    <xdr:to>
      <xdr:col>14</xdr:col>
      <xdr:colOff>74690</xdr:colOff>
      <xdr:row>34</xdr:row>
      <xdr:rowOff>89203</xdr:rowOff>
    </xdr:to>
    <xdr:cxnSp macro="">
      <xdr:nvCxnSpPr>
        <xdr:cNvPr id="989" name="Connecteur droit avec flèche 988"/>
        <xdr:cNvCxnSpPr/>
      </xdr:nvCxnSpPr>
      <xdr:spPr>
        <a:xfrm>
          <a:off x="12169323" y="11965818"/>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32</xdr:row>
      <xdr:rowOff>68035</xdr:rowOff>
    </xdr:from>
    <xdr:to>
      <xdr:col>14</xdr:col>
      <xdr:colOff>95857</xdr:colOff>
      <xdr:row>32</xdr:row>
      <xdr:rowOff>78620</xdr:rowOff>
    </xdr:to>
    <xdr:cxnSp macro="">
      <xdr:nvCxnSpPr>
        <xdr:cNvPr id="990" name="Connecteur droit avec flèche 989"/>
        <xdr:cNvCxnSpPr/>
      </xdr:nvCxnSpPr>
      <xdr:spPr>
        <a:xfrm>
          <a:off x="12243407" y="115742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31</xdr:row>
      <xdr:rowOff>57452</xdr:rowOff>
    </xdr:from>
    <xdr:to>
      <xdr:col>14</xdr:col>
      <xdr:colOff>53523</xdr:colOff>
      <xdr:row>31</xdr:row>
      <xdr:rowOff>78620</xdr:rowOff>
    </xdr:to>
    <xdr:cxnSp macro="">
      <xdr:nvCxnSpPr>
        <xdr:cNvPr id="991" name="Connecteur droit avec flèche 990"/>
        <xdr:cNvCxnSpPr/>
      </xdr:nvCxnSpPr>
      <xdr:spPr>
        <a:xfrm>
          <a:off x="12095240" y="113731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33</xdr:row>
      <xdr:rowOff>120951</xdr:rowOff>
    </xdr:from>
    <xdr:to>
      <xdr:col>14</xdr:col>
      <xdr:colOff>106440</xdr:colOff>
      <xdr:row>34</xdr:row>
      <xdr:rowOff>78618</xdr:rowOff>
    </xdr:to>
    <xdr:cxnSp macro="">
      <xdr:nvCxnSpPr>
        <xdr:cNvPr id="992" name="Connecteur droit avec flèche 991"/>
        <xdr:cNvCxnSpPr/>
      </xdr:nvCxnSpPr>
      <xdr:spPr>
        <a:xfrm flipV="1">
          <a:off x="12169323" y="11817651"/>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25</xdr:row>
      <xdr:rowOff>46868</xdr:rowOff>
    </xdr:from>
    <xdr:to>
      <xdr:col>16</xdr:col>
      <xdr:colOff>191107</xdr:colOff>
      <xdr:row>25</xdr:row>
      <xdr:rowOff>59568</xdr:rowOff>
    </xdr:to>
    <xdr:cxnSp macro="">
      <xdr:nvCxnSpPr>
        <xdr:cNvPr id="993" name="Connecteur droit avec flèche 992"/>
        <xdr:cNvCxnSpPr/>
      </xdr:nvCxnSpPr>
      <xdr:spPr>
        <a:xfrm>
          <a:off x="13799156" y="1021956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29</xdr:row>
      <xdr:rowOff>78618</xdr:rowOff>
    </xdr:from>
    <xdr:to>
      <xdr:col>16</xdr:col>
      <xdr:colOff>138190</xdr:colOff>
      <xdr:row>29</xdr:row>
      <xdr:rowOff>80735</xdr:rowOff>
    </xdr:to>
    <xdr:cxnSp macro="">
      <xdr:nvCxnSpPr>
        <xdr:cNvPr id="994" name="Connecteur droit avec flèche 993"/>
        <xdr:cNvCxnSpPr/>
      </xdr:nvCxnSpPr>
      <xdr:spPr>
        <a:xfrm>
          <a:off x="13767406" y="110133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27</xdr:row>
      <xdr:rowOff>78618</xdr:rowOff>
    </xdr:from>
    <xdr:to>
      <xdr:col>16</xdr:col>
      <xdr:colOff>212274</xdr:colOff>
      <xdr:row>27</xdr:row>
      <xdr:rowOff>80735</xdr:rowOff>
    </xdr:to>
    <xdr:cxnSp macro="">
      <xdr:nvCxnSpPr>
        <xdr:cNvPr id="995" name="Connecteur droit avec flèche 994"/>
        <xdr:cNvCxnSpPr/>
      </xdr:nvCxnSpPr>
      <xdr:spPr>
        <a:xfrm>
          <a:off x="13841490" y="106323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31</xdr:row>
      <xdr:rowOff>68035</xdr:rowOff>
    </xdr:from>
    <xdr:to>
      <xdr:col>16</xdr:col>
      <xdr:colOff>201690</xdr:colOff>
      <xdr:row>31</xdr:row>
      <xdr:rowOff>70152</xdr:rowOff>
    </xdr:to>
    <xdr:cxnSp macro="">
      <xdr:nvCxnSpPr>
        <xdr:cNvPr id="996" name="Connecteur droit avec flèche 995"/>
        <xdr:cNvCxnSpPr/>
      </xdr:nvCxnSpPr>
      <xdr:spPr>
        <a:xfrm>
          <a:off x="13830906" y="113837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33</xdr:row>
      <xdr:rowOff>68035</xdr:rowOff>
    </xdr:from>
    <xdr:to>
      <xdr:col>16</xdr:col>
      <xdr:colOff>148773</xdr:colOff>
      <xdr:row>33</xdr:row>
      <xdr:rowOff>70152</xdr:rowOff>
    </xdr:to>
    <xdr:cxnSp macro="">
      <xdr:nvCxnSpPr>
        <xdr:cNvPr id="997" name="Connecteur droit avec flèche 996"/>
        <xdr:cNvCxnSpPr/>
      </xdr:nvCxnSpPr>
      <xdr:spPr>
        <a:xfrm>
          <a:off x="13777989" y="117647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34</xdr:row>
      <xdr:rowOff>78618</xdr:rowOff>
    </xdr:from>
    <xdr:to>
      <xdr:col>16</xdr:col>
      <xdr:colOff>138191</xdr:colOff>
      <xdr:row>34</xdr:row>
      <xdr:rowOff>80735</xdr:rowOff>
    </xdr:to>
    <xdr:cxnSp macro="">
      <xdr:nvCxnSpPr>
        <xdr:cNvPr id="998" name="Connecteur droit avec flèche 997"/>
        <xdr:cNvCxnSpPr/>
      </xdr:nvCxnSpPr>
      <xdr:spPr>
        <a:xfrm>
          <a:off x="13767407" y="119658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32</xdr:row>
      <xdr:rowOff>78619</xdr:rowOff>
    </xdr:from>
    <xdr:to>
      <xdr:col>16</xdr:col>
      <xdr:colOff>106440</xdr:colOff>
      <xdr:row>32</xdr:row>
      <xdr:rowOff>80736</xdr:rowOff>
    </xdr:to>
    <xdr:cxnSp macro="">
      <xdr:nvCxnSpPr>
        <xdr:cNvPr id="999" name="Connecteur droit avec flèche 998"/>
        <xdr:cNvCxnSpPr/>
      </xdr:nvCxnSpPr>
      <xdr:spPr>
        <a:xfrm>
          <a:off x="13735656" y="115848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24</xdr:row>
      <xdr:rowOff>68035</xdr:rowOff>
    </xdr:from>
    <xdr:to>
      <xdr:col>16</xdr:col>
      <xdr:colOff>169940</xdr:colOff>
      <xdr:row>25</xdr:row>
      <xdr:rowOff>36286</xdr:rowOff>
    </xdr:to>
    <xdr:cxnSp macro="">
      <xdr:nvCxnSpPr>
        <xdr:cNvPr id="1000" name="Connecteur droit avec flèche 999"/>
        <xdr:cNvCxnSpPr/>
      </xdr:nvCxnSpPr>
      <xdr:spPr>
        <a:xfrm flipV="1">
          <a:off x="13788572" y="1005023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26</xdr:row>
      <xdr:rowOff>89202</xdr:rowOff>
    </xdr:from>
    <xdr:to>
      <xdr:col>16</xdr:col>
      <xdr:colOff>212273</xdr:colOff>
      <xdr:row>27</xdr:row>
      <xdr:rowOff>57453</xdr:rowOff>
    </xdr:to>
    <xdr:cxnSp macro="">
      <xdr:nvCxnSpPr>
        <xdr:cNvPr id="1001" name="Connecteur droit avec flèche 1000"/>
        <xdr:cNvCxnSpPr/>
      </xdr:nvCxnSpPr>
      <xdr:spPr>
        <a:xfrm flipV="1">
          <a:off x="13841490" y="1045240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28</xdr:row>
      <xdr:rowOff>89202</xdr:rowOff>
    </xdr:from>
    <xdr:to>
      <xdr:col>16</xdr:col>
      <xdr:colOff>159356</xdr:colOff>
      <xdr:row>29</xdr:row>
      <xdr:rowOff>57453</xdr:rowOff>
    </xdr:to>
    <xdr:cxnSp macro="">
      <xdr:nvCxnSpPr>
        <xdr:cNvPr id="1002" name="Connecteur droit avec flèche 1001"/>
        <xdr:cNvCxnSpPr/>
      </xdr:nvCxnSpPr>
      <xdr:spPr>
        <a:xfrm flipV="1">
          <a:off x="13756823" y="1083340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30</xdr:row>
      <xdr:rowOff>89202</xdr:rowOff>
    </xdr:from>
    <xdr:to>
      <xdr:col>16</xdr:col>
      <xdr:colOff>233440</xdr:colOff>
      <xdr:row>31</xdr:row>
      <xdr:rowOff>46870</xdr:rowOff>
    </xdr:to>
    <xdr:cxnSp macro="">
      <xdr:nvCxnSpPr>
        <xdr:cNvPr id="1003" name="Connecteur droit avec flèche 1002"/>
        <xdr:cNvCxnSpPr/>
      </xdr:nvCxnSpPr>
      <xdr:spPr>
        <a:xfrm flipV="1">
          <a:off x="13809739" y="1121440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990600</xdr:colOff>
      <xdr:row>23</xdr:row>
      <xdr:rowOff>38100</xdr:rowOff>
    </xdr:from>
    <xdr:to>
      <xdr:col>9</xdr:col>
      <xdr:colOff>876300</xdr:colOff>
      <xdr:row>34</xdr:row>
      <xdr:rowOff>38100</xdr:rowOff>
    </xdr:to>
    <xdr:cxnSp macro="">
      <xdr:nvCxnSpPr>
        <xdr:cNvPr id="1004" name="Connecteur droit avec flèche 1003"/>
        <xdr:cNvCxnSpPr/>
      </xdr:nvCxnSpPr>
      <xdr:spPr>
        <a:xfrm>
          <a:off x="8343900" y="7543800"/>
          <a:ext cx="971550" cy="2095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166</xdr:row>
      <xdr:rowOff>114300</xdr:rowOff>
    </xdr:from>
    <xdr:to>
      <xdr:col>11</xdr:col>
      <xdr:colOff>696790</xdr:colOff>
      <xdr:row>166</xdr:row>
      <xdr:rowOff>114715</xdr:rowOff>
    </xdr:to>
    <xdr:cxnSp macro="">
      <xdr:nvCxnSpPr>
        <xdr:cNvPr id="1007" name="Connecteur droit avec flèche 1006"/>
        <xdr:cNvCxnSpPr/>
      </xdr:nvCxnSpPr>
      <xdr:spPr>
        <a:xfrm>
          <a:off x="10344150" y="373380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159</xdr:row>
      <xdr:rowOff>113394</xdr:rowOff>
    </xdr:from>
    <xdr:to>
      <xdr:col>12</xdr:col>
      <xdr:colOff>230414</xdr:colOff>
      <xdr:row>166</xdr:row>
      <xdr:rowOff>111278</xdr:rowOff>
    </xdr:to>
    <xdr:cxnSp macro="">
      <xdr:nvCxnSpPr>
        <xdr:cNvPr id="1008" name="Connecteur droit avec flèche 1007"/>
        <xdr:cNvCxnSpPr/>
      </xdr:nvCxnSpPr>
      <xdr:spPr>
        <a:xfrm flipV="1">
          <a:off x="10352314" y="36003594"/>
          <a:ext cx="13271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163</xdr:row>
      <xdr:rowOff>81644</xdr:rowOff>
    </xdr:from>
    <xdr:to>
      <xdr:col>12</xdr:col>
      <xdr:colOff>61081</xdr:colOff>
      <xdr:row>166</xdr:row>
      <xdr:rowOff>111278</xdr:rowOff>
    </xdr:to>
    <xdr:cxnSp macro="">
      <xdr:nvCxnSpPr>
        <xdr:cNvPr id="1009" name="Connecteur droit avec flèche 1008"/>
        <xdr:cNvCxnSpPr/>
      </xdr:nvCxnSpPr>
      <xdr:spPr>
        <a:xfrm flipV="1">
          <a:off x="10354431" y="36733844"/>
          <a:ext cx="11557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164</xdr:row>
      <xdr:rowOff>92227</xdr:rowOff>
    </xdr:from>
    <xdr:to>
      <xdr:col>12</xdr:col>
      <xdr:colOff>198664</xdr:colOff>
      <xdr:row>166</xdr:row>
      <xdr:rowOff>145144</xdr:rowOff>
    </xdr:to>
    <xdr:cxnSp macro="">
      <xdr:nvCxnSpPr>
        <xdr:cNvPr id="1010" name="Connecteur droit avec flèche 1009"/>
        <xdr:cNvCxnSpPr/>
      </xdr:nvCxnSpPr>
      <xdr:spPr>
        <a:xfrm flipV="1">
          <a:off x="10386181" y="36934927"/>
          <a:ext cx="12615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166</xdr:row>
      <xdr:rowOff>102810</xdr:rowOff>
    </xdr:from>
    <xdr:to>
      <xdr:col>12</xdr:col>
      <xdr:colOff>92831</xdr:colOff>
      <xdr:row>166</xdr:row>
      <xdr:rowOff>134560</xdr:rowOff>
    </xdr:to>
    <xdr:cxnSp macro="">
      <xdr:nvCxnSpPr>
        <xdr:cNvPr id="1041" name="Connecteur droit avec flèche 1040"/>
        <xdr:cNvCxnSpPr/>
      </xdr:nvCxnSpPr>
      <xdr:spPr>
        <a:xfrm flipV="1">
          <a:off x="10396764" y="37326510"/>
          <a:ext cx="11451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157</xdr:row>
      <xdr:rowOff>60478</xdr:rowOff>
    </xdr:from>
    <xdr:to>
      <xdr:col>14</xdr:col>
      <xdr:colOff>63197</xdr:colOff>
      <xdr:row>159</xdr:row>
      <xdr:rowOff>102810</xdr:rowOff>
    </xdr:to>
    <xdr:cxnSp macro="">
      <xdr:nvCxnSpPr>
        <xdr:cNvPr id="1042" name="Connecteur droit avec flèche 1041"/>
        <xdr:cNvCxnSpPr/>
      </xdr:nvCxnSpPr>
      <xdr:spPr>
        <a:xfrm flipV="1">
          <a:off x="12092214" y="355696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159</xdr:row>
      <xdr:rowOff>100695</xdr:rowOff>
    </xdr:from>
    <xdr:to>
      <xdr:col>13</xdr:col>
      <xdr:colOff>738414</xdr:colOff>
      <xdr:row>159</xdr:row>
      <xdr:rowOff>113394</xdr:rowOff>
    </xdr:to>
    <xdr:cxnSp macro="">
      <xdr:nvCxnSpPr>
        <xdr:cNvPr id="1043" name="Connecteur droit avec flèche 1042"/>
        <xdr:cNvCxnSpPr/>
      </xdr:nvCxnSpPr>
      <xdr:spPr>
        <a:xfrm>
          <a:off x="12049880" y="359908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161</xdr:row>
      <xdr:rowOff>102810</xdr:rowOff>
    </xdr:from>
    <xdr:to>
      <xdr:col>13</xdr:col>
      <xdr:colOff>738415</xdr:colOff>
      <xdr:row>163</xdr:row>
      <xdr:rowOff>102808</xdr:rowOff>
    </xdr:to>
    <xdr:cxnSp macro="">
      <xdr:nvCxnSpPr>
        <xdr:cNvPr id="1044" name="Connecteur droit avec flèche 1043"/>
        <xdr:cNvCxnSpPr/>
      </xdr:nvCxnSpPr>
      <xdr:spPr>
        <a:xfrm flipV="1">
          <a:off x="11933465" y="363740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166</xdr:row>
      <xdr:rowOff>92226</xdr:rowOff>
    </xdr:from>
    <xdr:to>
      <xdr:col>13</xdr:col>
      <xdr:colOff>727832</xdr:colOff>
      <xdr:row>166</xdr:row>
      <xdr:rowOff>102811</xdr:rowOff>
    </xdr:to>
    <xdr:cxnSp macro="">
      <xdr:nvCxnSpPr>
        <xdr:cNvPr id="1045" name="Connecteur droit avec flèche 1044"/>
        <xdr:cNvCxnSpPr/>
      </xdr:nvCxnSpPr>
      <xdr:spPr>
        <a:xfrm>
          <a:off x="12060465" y="373159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164</xdr:row>
      <xdr:rowOff>81643</xdr:rowOff>
    </xdr:from>
    <xdr:to>
      <xdr:col>13</xdr:col>
      <xdr:colOff>748999</xdr:colOff>
      <xdr:row>164</xdr:row>
      <xdr:rowOff>92228</xdr:rowOff>
    </xdr:to>
    <xdr:cxnSp macro="">
      <xdr:nvCxnSpPr>
        <xdr:cNvPr id="1046" name="Connecteur droit avec flèche 1045"/>
        <xdr:cNvCxnSpPr/>
      </xdr:nvCxnSpPr>
      <xdr:spPr>
        <a:xfrm>
          <a:off x="12134549" y="369243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163</xdr:row>
      <xdr:rowOff>71060</xdr:rowOff>
    </xdr:from>
    <xdr:to>
      <xdr:col>13</xdr:col>
      <xdr:colOff>706665</xdr:colOff>
      <xdr:row>163</xdr:row>
      <xdr:rowOff>92228</xdr:rowOff>
    </xdr:to>
    <xdr:cxnSp macro="">
      <xdr:nvCxnSpPr>
        <xdr:cNvPr id="1047" name="Connecteur droit avec flèche 1046"/>
        <xdr:cNvCxnSpPr/>
      </xdr:nvCxnSpPr>
      <xdr:spPr>
        <a:xfrm>
          <a:off x="11986382" y="367232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165</xdr:row>
      <xdr:rowOff>134559</xdr:rowOff>
    </xdr:from>
    <xdr:to>
      <xdr:col>13</xdr:col>
      <xdr:colOff>759582</xdr:colOff>
      <xdr:row>166</xdr:row>
      <xdr:rowOff>92226</xdr:rowOff>
    </xdr:to>
    <xdr:cxnSp macro="">
      <xdr:nvCxnSpPr>
        <xdr:cNvPr id="1048" name="Connecteur droit avec flèche 1047"/>
        <xdr:cNvCxnSpPr/>
      </xdr:nvCxnSpPr>
      <xdr:spPr>
        <a:xfrm flipV="1">
          <a:off x="12060465" y="371677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157</xdr:row>
      <xdr:rowOff>60476</xdr:rowOff>
    </xdr:from>
    <xdr:to>
      <xdr:col>16</xdr:col>
      <xdr:colOff>82249</xdr:colOff>
      <xdr:row>157</xdr:row>
      <xdr:rowOff>73176</xdr:rowOff>
    </xdr:to>
    <xdr:cxnSp macro="">
      <xdr:nvCxnSpPr>
        <xdr:cNvPr id="1049" name="Connecteur droit avec flèche 1048"/>
        <xdr:cNvCxnSpPr/>
      </xdr:nvCxnSpPr>
      <xdr:spPr>
        <a:xfrm>
          <a:off x="13690298" y="355696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161</xdr:row>
      <xdr:rowOff>92226</xdr:rowOff>
    </xdr:from>
    <xdr:to>
      <xdr:col>16</xdr:col>
      <xdr:colOff>29332</xdr:colOff>
      <xdr:row>161</xdr:row>
      <xdr:rowOff>94343</xdr:rowOff>
    </xdr:to>
    <xdr:cxnSp macro="">
      <xdr:nvCxnSpPr>
        <xdr:cNvPr id="1050" name="Connecteur droit avec flèche 1049"/>
        <xdr:cNvCxnSpPr/>
      </xdr:nvCxnSpPr>
      <xdr:spPr>
        <a:xfrm>
          <a:off x="13658548" y="363634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159</xdr:row>
      <xdr:rowOff>92226</xdr:rowOff>
    </xdr:from>
    <xdr:to>
      <xdr:col>16</xdr:col>
      <xdr:colOff>103416</xdr:colOff>
      <xdr:row>159</xdr:row>
      <xdr:rowOff>94343</xdr:rowOff>
    </xdr:to>
    <xdr:cxnSp macro="">
      <xdr:nvCxnSpPr>
        <xdr:cNvPr id="1051" name="Connecteur droit avec flèche 1050"/>
        <xdr:cNvCxnSpPr/>
      </xdr:nvCxnSpPr>
      <xdr:spPr>
        <a:xfrm>
          <a:off x="13732632" y="359824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163</xdr:row>
      <xdr:rowOff>81643</xdr:rowOff>
    </xdr:from>
    <xdr:to>
      <xdr:col>16</xdr:col>
      <xdr:colOff>92832</xdr:colOff>
      <xdr:row>163</xdr:row>
      <xdr:rowOff>83760</xdr:rowOff>
    </xdr:to>
    <xdr:cxnSp macro="">
      <xdr:nvCxnSpPr>
        <xdr:cNvPr id="1052" name="Connecteur droit avec flèche 1051"/>
        <xdr:cNvCxnSpPr/>
      </xdr:nvCxnSpPr>
      <xdr:spPr>
        <a:xfrm>
          <a:off x="13722048" y="367338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165</xdr:row>
      <xdr:rowOff>81643</xdr:rowOff>
    </xdr:from>
    <xdr:to>
      <xdr:col>16</xdr:col>
      <xdr:colOff>39915</xdr:colOff>
      <xdr:row>165</xdr:row>
      <xdr:rowOff>83760</xdr:rowOff>
    </xdr:to>
    <xdr:cxnSp macro="">
      <xdr:nvCxnSpPr>
        <xdr:cNvPr id="1053" name="Connecteur droit avec flèche 1052"/>
        <xdr:cNvCxnSpPr/>
      </xdr:nvCxnSpPr>
      <xdr:spPr>
        <a:xfrm>
          <a:off x="13669131" y="371148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166</xdr:row>
      <xdr:rowOff>92226</xdr:rowOff>
    </xdr:from>
    <xdr:to>
      <xdr:col>16</xdr:col>
      <xdr:colOff>29333</xdr:colOff>
      <xdr:row>166</xdr:row>
      <xdr:rowOff>94343</xdr:rowOff>
    </xdr:to>
    <xdr:cxnSp macro="">
      <xdr:nvCxnSpPr>
        <xdr:cNvPr id="1054" name="Connecteur droit avec flèche 1053"/>
        <xdr:cNvCxnSpPr/>
      </xdr:nvCxnSpPr>
      <xdr:spPr>
        <a:xfrm>
          <a:off x="13658549" y="373159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164</xdr:row>
      <xdr:rowOff>92227</xdr:rowOff>
    </xdr:from>
    <xdr:to>
      <xdr:col>15</xdr:col>
      <xdr:colOff>759582</xdr:colOff>
      <xdr:row>164</xdr:row>
      <xdr:rowOff>94344</xdr:rowOff>
    </xdr:to>
    <xdr:cxnSp macro="">
      <xdr:nvCxnSpPr>
        <xdr:cNvPr id="1055" name="Connecteur droit avec flèche 1054"/>
        <xdr:cNvCxnSpPr/>
      </xdr:nvCxnSpPr>
      <xdr:spPr>
        <a:xfrm>
          <a:off x="13626798" y="369349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156</xdr:row>
      <xdr:rowOff>81643</xdr:rowOff>
    </xdr:from>
    <xdr:to>
      <xdr:col>16</xdr:col>
      <xdr:colOff>61082</xdr:colOff>
      <xdr:row>157</xdr:row>
      <xdr:rowOff>49894</xdr:rowOff>
    </xdr:to>
    <xdr:cxnSp macro="">
      <xdr:nvCxnSpPr>
        <xdr:cNvPr id="1071" name="Connecteur droit avec flèche 1070"/>
        <xdr:cNvCxnSpPr/>
      </xdr:nvCxnSpPr>
      <xdr:spPr>
        <a:xfrm flipV="1">
          <a:off x="13679714" y="354003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158</xdr:row>
      <xdr:rowOff>102810</xdr:rowOff>
    </xdr:from>
    <xdr:to>
      <xdr:col>16</xdr:col>
      <xdr:colOff>103415</xdr:colOff>
      <xdr:row>159</xdr:row>
      <xdr:rowOff>71061</xdr:rowOff>
    </xdr:to>
    <xdr:cxnSp macro="">
      <xdr:nvCxnSpPr>
        <xdr:cNvPr id="1072" name="Connecteur droit avec flèche 1071"/>
        <xdr:cNvCxnSpPr/>
      </xdr:nvCxnSpPr>
      <xdr:spPr>
        <a:xfrm flipV="1">
          <a:off x="13732632" y="358025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160</xdr:row>
      <xdr:rowOff>102810</xdr:rowOff>
    </xdr:from>
    <xdr:to>
      <xdr:col>16</xdr:col>
      <xdr:colOff>50498</xdr:colOff>
      <xdr:row>161</xdr:row>
      <xdr:rowOff>71061</xdr:rowOff>
    </xdr:to>
    <xdr:cxnSp macro="">
      <xdr:nvCxnSpPr>
        <xdr:cNvPr id="1073" name="Connecteur droit avec flèche 1072"/>
        <xdr:cNvCxnSpPr/>
      </xdr:nvCxnSpPr>
      <xdr:spPr>
        <a:xfrm flipV="1">
          <a:off x="13647965" y="361835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162</xdr:row>
      <xdr:rowOff>102810</xdr:rowOff>
    </xdr:from>
    <xdr:to>
      <xdr:col>16</xdr:col>
      <xdr:colOff>124582</xdr:colOff>
      <xdr:row>163</xdr:row>
      <xdr:rowOff>60478</xdr:rowOff>
    </xdr:to>
    <xdr:cxnSp macro="">
      <xdr:nvCxnSpPr>
        <xdr:cNvPr id="1074" name="Connecteur droit avec flèche 1073"/>
        <xdr:cNvCxnSpPr/>
      </xdr:nvCxnSpPr>
      <xdr:spPr>
        <a:xfrm flipV="1">
          <a:off x="13700881" y="365645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952500</xdr:colOff>
      <xdr:row>154</xdr:row>
      <xdr:rowOff>171450</xdr:rowOff>
    </xdr:from>
    <xdr:to>
      <xdr:col>10</xdr:col>
      <xdr:colOff>0</xdr:colOff>
      <xdr:row>166</xdr:row>
      <xdr:rowOff>57150</xdr:rowOff>
    </xdr:to>
    <xdr:cxnSp macro="">
      <xdr:nvCxnSpPr>
        <xdr:cNvPr id="1075" name="Connecteur droit avec flèche 1074"/>
        <xdr:cNvCxnSpPr/>
      </xdr:nvCxnSpPr>
      <xdr:spPr>
        <a:xfrm>
          <a:off x="8305800" y="32632650"/>
          <a:ext cx="1066800" cy="2171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294</xdr:row>
      <xdr:rowOff>60287</xdr:rowOff>
    </xdr:from>
    <xdr:to>
      <xdr:col>12</xdr:col>
      <xdr:colOff>152505</xdr:colOff>
      <xdr:row>294</xdr:row>
      <xdr:rowOff>81643</xdr:rowOff>
    </xdr:to>
    <xdr:cxnSp macro="">
      <xdr:nvCxnSpPr>
        <xdr:cNvPr id="1078" name="Connecteur droit avec flèche 1077"/>
        <xdr:cNvCxnSpPr/>
      </xdr:nvCxnSpPr>
      <xdr:spPr>
        <a:xfrm flipV="1">
          <a:off x="10433958" y="61286987"/>
          <a:ext cx="1167597"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289</xdr:row>
      <xdr:rowOff>4537</xdr:rowOff>
    </xdr:from>
    <xdr:to>
      <xdr:col>12</xdr:col>
      <xdr:colOff>224971</xdr:colOff>
      <xdr:row>294</xdr:row>
      <xdr:rowOff>81643</xdr:rowOff>
    </xdr:to>
    <xdr:cxnSp macro="">
      <xdr:nvCxnSpPr>
        <xdr:cNvPr id="1079" name="Connecteur droit avec flèche 1078"/>
        <xdr:cNvCxnSpPr/>
      </xdr:nvCxnSpPr>
      <xdr:spPr>
        <a:xfrm flipV="1">
          <a:off x="10461172" y="60278737"/>
          <a:ext cx="1212849"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293</xdr:row>
      <xdr:rowOff>54430</xdr:rowOff>
    </xdr:from>
    <xdr:to>
      <xdr:col>12</xdr:col>
      <xdr:colOff>68036</xdr:colOff>
      <xdr:row>294</xdr:row>
      <xdr:rowOff>81643</xdr:rowOff>
    </xdr:to>
    <xdr:cxnSp macro="">
      <xdr:nvCxnSpPr>
        <xdr:cNvPr id="1080" name="Connecteur droit avec flèche 1079"/>
        <xdr:cNvCxnSpPr/>
      </xdr:nvCxnSpPr>
      <xdr:spPr>
        <a:xfrm flipV="1">
          <a:off x="10433958" y="61090630"/>
          <a:ext cx="1083128"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286</xdr:row>
      <xdr:rowOff>142121</xdr:rowOff>
    </xdr:from>
    <xdr:to>
      <xdr:col>14</xdr:col>
      <xdr:colOff>57754</xdr:colOff>
      <xdr:row>288</xdr:row>
      <xdr:rowOff>184453</xdr:rowOff>
    </xdr:to>
    <xdr:cxnSp macro="">
      <xdr:nvCxnSpPr>
        <xdr:cNvPr id="1081" name="Connecteur droit avec flèche 1080"/>
        <xdr:cNvCxnSpPr/>
      </xdr:nvCxnSpPr>
      <xdr:spPr>
        <a:xfrm flipV="1">
          <a:off x="12086771" y="5984482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290</xdr:row>
      <xdr:rowOff>184453</xdr:rowOff>
    </xdr:from>
    <xdr:to>
      <xdr:col>13</xdr:col>
      <xdr:colOff>732972</xdr:colOff>
      <xdr:row>292</xdr:row>
      <xdr:rowOff>184451</xdr:rowOff>
    </xdr:to>
    <xdr:cxnSp macro="">
      <xdr:nvCxnSpPr>
        <xdr:cNvPr id="1082" name="Connecteur droit avec flèche 1081"/>
        <xdr:cNvCxnSpPr/>
      </xdr:nvCxnSpPr>
      <xdr:spPr>
        <a:xfrm flipV="1">
          <a:off x="11928022" y="6064915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292</xdr:row>
      <xdr:rowOff>152703</xdr:rowOff>
    </xdr:from>
    <xdr:to>
      <xdr:col>13</xdr:col>
      <xdr:colOff>701222</xdr:colOff>
      <xdr:row>292</xdr:row>
      <xdr:rowOff>173871</xdr:rowOff>
    </xdr:to>
    <xdr:cxnSp macro="">
      <xdr:nvCxnSpPr>
        <xdr:cNvPr id="1083" name="Connecteur droit avec flèche 1082"/>
        <xdr:cNvCxnSpPr/>
      </xdr:nvCxnSpPr>
      <xdr:spPr>
        <a:xfrm>
          <a:off x="11980939" y="6099840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287</xdr:row>
      <xdr:rowOff>33262</xdr:rowOff>
    </xdr:from>
    <xdr:to>
      <xdr:col>16</xdr:col>
      <xdr:colOff>63199</xdr:colOff>
      <xdr:row>287</xdr:row>
      <xdr:rowOff>45962</xdr:rowOff>
    </xdr:to>
    <xdr:cxnSp macro="">
      <xdr:nvCxnSpPr>
        <xdr:cNvPr id="1084" name="Connecteur droit avec flèche 1083"/>
        <xdr:cNvCxnSpPr/>
      </xdr:nvCxnSpPr>
      <xdr:spPr>
        <a:xfrm>
          <a:off x="13671248" y="599264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291</xdr:row>
      <xdr:rowOff>65012</xdr:rowOff>
    </xdr:from>
    <xdr:to>
      <xdr:col>16</xdr:col>
      <xdr:colOff>10282</xdr:colOff>
      <xdr:row>291</xdr:row>
      <xdr:rowOff>67129</xdr:rowOff>
    </xdr:to>
    <xdr:cxnSp macro="">
      <xdr:nvCxnSpPr>
        <xdr:cNvPr id="1085" name="Connecteur droit avec flèche 1084"/>
        <xdr:cNvCxnSpPr/>
      </xdr:nvCxnSpPr>
      <xdr:spPr>
        <a:xfrm>
          <a:off x="13639498" y="60720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289</xdr:row>
      <xdr:rowOff>65012</xdr:rowOff>
    </xdr:from>
    <xdr:to>
      <xdr:col>16</xdr:col>
      <xdr:colOff>84366</xdr:colOff>
      <xdr:row>289</xdr:row>
      <xdr:rowOff>67129</xdr:rowOff>
    </xdr:to>
    <xdr:cxnSp macro="">
      <xdr:nvCxnSpPr>
        <xdr:cNvPr id="1086" name="Connecteur droit avec flèche 1085"/>
        <xdr:cNvCxnSpPr/>
      </xdr:nvCxnSpPr>
      <xdr:spPr>
        <a:xfrm>
          <a:off x="13713582" y="603392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293</xdr:row>
      <xdr:rowOff>54429</xdr:rowOff>
    </xdr:from>
    <xdr:to>
      <xdr:col>16</xdr:col>
      <xdr:colOff>73782</xdr:colOff>
      <xdr:row>293</xdr:row>
      <xdr:rowOff>56546</xdr:rowOff>
    </xdr:to>
    <xdr:cxnSp macro="">
      <xdr:nvCxnSpPr>
        <xdr:cNvPr id="1087" name="Connecteur droit avec flèche 1086"/>
        <xdr:cNvCxnSpPr/>
      </xdr:nvCxnSpPr>
      <xdr:spPr>
        <a:xfrm>
          <a:off x="13702998" y="610906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294</xdr:row>
      <xdr:rowOff>65013</xdr:rowOff>
    </xdr:from>
    <xdr:to>
      <xdr:col>15</xdr:col>
      <xdr:colOff>740532</xdr:colOff>
      <xdr:row>294</xdr:row>
      <xdr:rowOff>67130</xdr:rowOff>
    </xdr:to>
    <xdr:cxnSp macro="">
      <xdr:nvCxnSpPr>
        <xdr:cNvPr id="1088" name="Connecteur droit avec flèche 1087"/>
        <xdr:cNvCxnSpPr/>
      </xdr:nvCxnSpPr>
      <xdr:spPr>
        <a:xfrm>
          <a:off x="13607748" y="612917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286</xdr:row>
      <xdr:rowOff>54429</xdr:rowOff>
    </xdr:from>
    <xdr:to>
      <xdr:col>16</xdr:col>
      <xdr:colOff>42032</xdr:colOff>
      <xdr:row>287</xdr:row>
      <xdr:rowOff>22680</xdr:rowOff>
    </xdr:to>
    <xdr:cxnSp macro="">
      <xdr:nvCxnSpPr>
        <xdr:cNvPr id="1089" name="Connecteur droit avec flèche 1088"/>
        <xdr:cNvCxnSpPr/>
      </xdr:nvCxnSpPr>
      <xdr:spPr>
        <a:xfrm flipV="1">
          <a:off x="13660664" y="597571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288</xdr:row>
      <xdr:rowOff>75596</xdr:rowOff>
    </xdr:from>
    <xdr:to>
      <xdr:col>16</xdr:col>
      <xdr:colOff>84365</xdr:colOff>
      <xdr:row>289</xdr:row>
      <xdr:rowOff>43847</xdr:rowOff>
    </xdr:to>
    <xdr:cxnSp macro="">
      <xdr:nvCxnSpPr>
        <xdr:cNvPr id="1090" name="Connecteur droit avec flèche 1089"/>
        <xdr:cNvCxnSpPr/>
      </xdr:nvCxnSpPr>
      <xdr:spPr>
        <a:xfrm flipV="1">
          <a:off x="13713582" y="601592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290</xdr:row>
      <xdr:rowOff>75596</xdr:rowOff>
    </xdr:from>
    <xdr:to>
      <xdr:col>16</xdr:col>
      <xdr:colOff>31448</xdr:colOff>
      <xdr:row>291</xdr:row>
      <xdr:rowOff>43847</xdr:rowOff>
    </xdr:to>
    <xdr:cxnSp macro="">
      <xdr:nvCxnSpPr>
        <xdr:cNvPr id="1091" name="Connecteur droit avec flèche 1090"/>
        <xdr:cNvCxnSpPr/>
      </xdr:nvCxnSpPr>
      <xdr:spPr>
        <a:xfrm flipV="1">
          <a:off x="13628915" y="605402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292</xdr:row>
      <xdr:rowOff>75596</xdr:rowOff>
    </xdr:from>
    <xdr:to>
      <xdr:col>16</xdr:col>
      <xdr:colOff>105532</xdr:colOff>
      <xdr:row>293</xdr:row>
      <xdr:rowOff>33264</xdr:rowOff>
    </xdr:to>
    <xdr:cxnSp macro="">
      <xdr:nvCxnSpPr>
        <xdr:cNvPr id="1092" name="Connecteur droit avec flèche 1091"/>
        <xdr:cNvCxnSpPr/>
      </xdr:nvCxnSpPr>
      <xdr:spPr>
        <a:xfrm flipV="1">
          <a:off x="13681831" y="609212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289</xdr:row>
      <xdr:rowOff>59874</xdr:rowOff>
    </xdr:from>
    <xdr:to>
      <xdr:col>13</xdr:col>
      <xdr:colOff>724807</xdr:colOff>
      <xdr:row>289</xdr:row>
      <xdr:rowOff>72573</xdr:rowOff>
    </xdr:to>
    <xdr:cxnSp macro="">
      <xdr:nvCxnSpPr>
        <xdr:cNvPr id="1093" name="Connecteur droit avec flèche 1092"/>
        <xdr:cNvCxnSpPr/>
      </xdr:nvCxnSpPr>
      <xdr:spPr>
        <a:xfrm>
          <a:off x="12036273" y="603340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294</xdr:row>
      <xdr:rowOff>40822</xdr:rowOff>
    </xdr:from>
    <xdr:to>
      <xdr:col>13</xdr:col>
      <xdr:colOff>735392</xdr:colOff>
      <xdr:row>294</xdr:row>
      <xdr:rowOff>51407</xdr:rowOff>
    </xdr:to>
    <xdr:cxnSp macro="">
      <xdr:nvCxnSpPr>
        <xdr:cNvPr id="1094" name="Connecteur droit avec flèche 1093"/>
        <xdr:cNvCxnSpPr/>
      </xdr:nvCxnSpPr>
      <xdr:spPr>
        <a:xfrm>
          <a:off x="12120942" y="612675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1009650</xdr:colOff>
      <xdr:row>285</xdr:row>
      <xdr:rowOff>0</xdr:rowOff>
    </xdr:from>
    <xdr:to>
      <xdr:col>9</xdr:col>
      <xdr:colOff>914400</xdr:colOff>
      <xdr:row>294</xdr:row>
      <xdr:rowOff>57150</xdr:rowOff>
    </xdr:to>
    <xdr:cxnSp macro="">
      <xdr:nvCxnSpPr>
        <xdr:cNvPr id="1095" name="Connecteur droit avec flèche 1094"/>
        <xdr:cNvCxnSpPr/>
      </xdr:nvCxnSpPr>
      <xdr:spPr>
        <a:xfrm>
          <a:off x="8362950" y="57416700"/>
          <a:ext cx="990600" cy="17716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404</xdr:row>
      <xdr:rowOff>114300</xdr:rowOff>
    </xdr:from>
    <xdr:to>
      <xdr:col>11</xdr:col>
      <xdr:colOff>696790</xdr:colOff>
      <xdr:row>404</xdr:row>
      <xdr:rowOff>114715</xdr:rowOff>
    </xdr:to>
    <xdr:cxnSp macro="">
      <xdr:nvCxnSpPr>
        <xdr:cNvPr id="1098" name="Connecteur droit avec flèche 1097"/>
        <xdr:cNvCxnSpPr/>
      </xdr:nvCxnSpPr>
      <xdr:spPr>
        <a:xfrm>
          <a:off x="10344150" y="82105500"/>
          <a:ext cx="10396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404</xdr:row>
      <xdr:rowOff>141513</xdr:rowOff>
    </xdr:from>
    <xdr:to>
      <xdr:col>12</xdr:col>
      <xdr:colOff>117022</xdr:colOff>
      <xdr:row>404</xdr:row>
      <xdr:rowOff>149677</xdr:rowOff>
    </xdr:to>
    <xdr:cxnSp macro="">
      <xdr:nvCxnSpPr>
        <xdr:cNvPr id="1099" name="Connecteur droit avec flèche 1098"/>
        <xdr:cNvCxnSpPr/>
      </xdr:nvCxnSpPr>
      <xdr:spPr>
        <a:xfrm>
          <a:off x="10325100" y="82132713"/>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399</xdr:row>
      <xdr:rowOff>99786</xdr:rowOff>
    </xdr:from>
    <xdr:to>
      <xdr:col>12</xdr:col>
      <xdr:colOff>197757</xdr:colOff>
      <xdr:row>404</xdr:row>
      <xdr:rowOff>136070</xdr:rowOff>
    </xdr:to>
    <xdr:cxnSp macro="">
      <xdr:nvCxnSpPr>
        <xdr:cNvPr id="1100" name="Connecteur droit avec flèche 1099"/>
        <xdr:cNvCxnSpPr/>
      </xdr:nvCxnSpPr>
      <xdr:spPr>
        <a:xfrm flipV="1">
          <a:off x="10374086" y="81138486"/>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403</xdr:row>
      <xdr:rowOff>54428</xdr:rowOff>
    </xdr:from>
    <xdr:to>
      <xdr:col>12</xdr:col>
      <xdr:colOff>55638</xdr:colOff>
      <xdr:row>404</xdr:row>
      <xdr:rowOff>136070</xdr:rowOff>
    </xdr:to>
    <xdr:cxnSp macro="">
      <xdr:nvCxnSpPr>
        <xdr:cNvPr id="1101" name="Connecteur droit avec flèche 1100"/>
        <xdr:cNvCxnSpPr/>
      </xdr:nvCxnSpPr>
      <xdr:spPr>
        <a:xfrm flipV="1">
          <a:off x="10360479" y="81855128"/>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397</xdr:row>
      <xdr:rowOff>46870</xdr:rowOff>
    </xdr:from>
    <xdr:to>
      <xdr:col>14</xdr:col>
      <xdr:colOff>30540</xdr:colOff>
      <xdr:row>399</xdr:row>
      <xdr:rowOff>89202</xdr:rowOff>
    </xdr:to>
    <xdr:cxnSp macro="">
      <xdr:nvCxnSpPr>
        <xdr:cNvPr id="1102" name="Connecteur droit avec flèche 1101"/>
        <xdr:cNvCxnSpPr/>
      </xdr:nvCxnSpPr>
      <xdr:spPr>
        <a:xfrm flipV="1">
          <a:off x="12059557" y="807045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399</xdr:row>
      <xdr:rowOff>87087</xdr:rowOff>
    </xdr:from>
    <xdr:to>
      <xdr:col>13</xdr:col>
      <xdr:colOff>705757</xdr:colOff>
      <xdr:row>399</xdr:row>
      <xdr:rowOff>99786</xdr:rowOff>
    </xdr:to>
    <xdr:cxnSp macro="">
      <xdr:nvCxnSpPr>
        <xdr:cNvPr id="1103" name="Connecteur droit avec flèche 1102"/>
        <xdr:cNvCxnSpPr/>
      </xdr:nvCxnSpPr>
      <xdr:spPr>
        <a:xfrm>
          <a:off x="12017223" y="811257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401</xdr:row>
      <xdr:rowOff>89202</xdr:rowOff>
    </xdr:from>
    <xdr:to>
      <xdr:col>13</xdr:col>
      <xdr:colOff>705758</xdr:colOff>
      <xdr:row>403</xdr:row>
      <xdr:rowOff>89200</xdr:rowOff>
    </xdr:to>
    <xdr:cxnSp macro="">
      <xdr:nvCxnSpPr>
        <xdr:cNvPr id="1104" name="Connecteur droit avec flèche 1103"/>
        <xdr:cNvCxnSpPr/>
      </xdr:nvCxnSpPr>
      <xdr:spPr>
        <a:xfrm flipV="1">
          <a:off x="11900808" y="815089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404</xdr:row>
      <xdr:rowOff>68035</xdr:rowOff>
    </xdr:from>
    <xdr:to>
      <xdr:col>13</xdr:col>
      <xdr:colOff>716342</xdr:colOff>
      <xdr:row>404</xdr:row>
      <xdr:rowOff>78620</xdr:rowOff>
    </xdr:to>
    <xdr:cxnSp macro="">
      <xdr:nvCxnSpPr>
        <xdr:cNvPr id="1105" name="Connecteur droit avec flèche 1104"/>
        <xdr:cNvCxnSpPr/>
      </xdr:nvCxnSpPr>
      <xdr:spPr>
        <a:xfrm>
          <a:off x="12101892" y="820592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403</xdr:row>
      <xdr:rowOff>57452</xdr:rowOff>
    </xdr:from>
    <xdr:to>
      <xdr:col>13</xdr:col>
      <xdr:colOff>674008</xdr:colOff>
      <xdr:row>403</xdr:row>
      <xdr:rowOff>78620</xdr:rowOff>
    </xdr:to>
    <xdr:cxnSp macro="">
      <xdr:nvCxnSpPr>
        <xdr:cNvPr id="1106" name="Connecteur droit avec flèche 1105"/>
        <xdr:cNvCxnSpPr/>
      </xdr:nvCxnSpPr>
      <xdr:spPr>
        <a:xfrm>
          <a:off x="11953725" y="818581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397</xdr:row>
      <xdr:rowOff>128511</xdr:rowOff>
    </xdr:from>
    <xdr:to>
      <xdr:col>16</xdr:col>
      <xdr:colOff>35985</xdr:colOff>
      <xdr:row>397</xdr:row>
      <xdr:rowOff>141211</xdr:rowOff>
    </xdr:to>
    <xdr:cxnSp macro="">
      <xdr:nvCxnSpPr>
        <xdr:cNvPr id="1107" name="Connecteur droit avec flèche 1106"/>
        <xdr:cNvCxnSpPr/>
      </xdr:nvCxnSpPr>
      <xdr:spPr>
        <a:xfrm>
          <a:off x="13644034" y="8078621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401</xdr:row>
      <xdr:rowOff>160261</xdr:rowOff>
    </xdr:from>
    <xdr:to>
      <xdr:col>15</xdr:col>
      <xdr:colOff>745068</xdr:colOff>
      <xdr:row>401</xdr:row>
      <xdr:rowOff>162378</xdr:rowOff>
    </xdr:to>
    <xdr:cxnSp macro="">
      <xdr:nvCxnSpPr>
        <xdr:cNvPr id="1108" name="Connecteur droit avec flèche 1107"/>
        <xdr:cNvCxnSpPr/>
      </xdr:nvCxnSpPr>
      <xdr:spPr>
        <a:xfrm>
          <a:off x="13612284" y="815799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399</xdr:row>
      <xdr:rowOff>160261</xdr:rowOff>
    </xdr:from>
    <xdr:to>
      <xdr:col>16</xdr:col>
      <xdr:colOff>57152</xdr:colOff>
      <xdr:row>399</xdr:row>
      <xdr:rowOff>162378</xdr:rowOff>
    </xdr:to>
    <xdr:cxnSp macro="">
      <xdr:nvCxnSpPr>
        <xdr:cNvPr id="1109" name="Connecteur droit avec flèche 1108"/>
        <xdr:cNvCxnSpPr/>
      </xdr:nvCxnSpPr>
      <xdr:spPr>
        <a:xfrm>
          <a:off x="13686368" y="811989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403</xdr:row>
      <xdr:rowOff>149678</xdr:rowOff>
    </xdr:from>
    <xdr:to>
      <xdr:col>16</xdr:col>
      <xdr:colOff>46568</xdr:colOff>
      <xdr:row>403</xdr:row>
      <xdr:rowOff>151795</xdr:rowOff>
    </xdr:to>
    <xdr:cxnSp macro="">
      <xdr:nvCxnSpPr>
        <xdr:cNvPr id="1110" name="Connecteur droit avec flèche 1109"/>
        <xdr:cNvCxnSpPr/>
      </xdr:nvCxnSpPr>
      <xdr:spPr>
        <a:xfrm>
          <a:off x="13675784" y="8195037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404</xdr:row>
      <xdr:rowOff>92226</xdr:rowOff>
    </xdr:from>
    <xdr:to>
      <xdr:col>15</xdr:col>
      <xdr:colOff>726925</xdr:colOff>
      <xdr:row>404</xdr:row>
      <xdr:rowOff>94343</xdr:rowOff>
    </xdr:to>
    <xdr:cxnSp macro="">
      <xdr:nvCxnSpPr>
        <xdr:cNvPr id="1111" name="Connecteur droit avec flèche 1110"/>
        <xdr:cNvCxnSpPr/>
      </xdr:nvCxnSpPr>
      <xdr:spPr>
        <a:xfrm>
          <a:off x="13594141" y="820834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396</xdr:row>
      <xdr:rowOff>68036</xdr:rowOff>
    </xdr:from>
    <xdr:to>
      <xdr:col>16</xdr:col>
      <xdr:colOff>54429</xdr:colOff>
      <xdr:row>397</xdr:row>
      <xdr:rowOff>117930</xdr:rowOff>
    </xdr:to>
    <xdr:cxnSp macro="">
      <xdr:nvCxnSpPr>
        <xdr:cNvPr id="1112" name="Connecteur droit avec flèche 1111"/>
        <xdr:cNvCxnSpPr/>
      </xdr:nvCxnSpPr>
      <xdr:spPr>
        <a:xfrm flipV="1">
          <a:off x="13633450" y="80535236"/>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398</xdr:row>
      <xdr:rowOff>108857</xdr:rowOff>
    </xdr:from>
    <xdr:to>
      <xdr:col>16</xdr:col>
      <xdr:colOff>27214</xdr:colOff>
      <xdr:row>399</xdr:row>
      <xdr:rowOff>139097</xdr:rowOff>
    </xdr:to>
    <xdr:cxnSp macro="">
      <xdr:nvCxnSpPr>
        <xdr:cNvPr id="1113" name="Connecteur droit avec flèche 1112"/>
        <xdr:cNvCxnSpPr/>
      </xdr:nvCxnSpPr>
      <xdr:spPr>
        <a:xfrm flipV="1">
          <a:off x="13686368" y="80957057"/>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400</xdr:row>
      <xdr:rowOff>136071</xdr:rowOff>
    </xdr:from>
    <xdr:to>
      <xdr:col>15</xdr:col>
      <xdr:colOff>748393</xdr:colOff>
      <xdr:row>401</xdr:row>
      <xdr:rowOff>139097</xdr:rowOff>
    </xdr:to>
    <xdr:cxnSp macro="">
      <xdr:nvCxnSpPr>
        <xdr:cNvPr id="1114" name="Connecteur droit avec flèche 1113"/>
        <xdr:cNvCxnSpPr/>
      </xdr:nvCxnSpPr>
      <xdr:spPr>
        <a:xfrm flipV="1">
          <a:off x="13601701" y="81365271"/>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402</xdr:row>
      <xdr:rowOff>108857</xdr:rowOff>
    </xdr:from>
    <xdr:to>
      <xdr:col>15</xdr:col>
      <xdr:colOff>748393</xdr:colOff>
      <xdr:row>403</xdr:row>
      <xdr:rowOff>128513</xdr:rowOff>
    </xdr:to>
    <xdr:cxnSp macro="">
      <xdr:nvCxnSpPr>
        <xdr:cNvPr id="1115" name="Connecteur droit avec flèche 1114"/>
        <xdr:cNvCxnSpPr/>
      </xdr:nvCxnSpPr>
      <xdr:spPr>
        <a:xfrm flipV="1">
          <a:off x="13654617" y="81719057"/>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971550</xdr:colOff>
      <xdr:row>395</xdr:row>
      <xdr:rowOff>19050</xdr:rowOff>
    </xdr:from>
    <xdr:to>
      <xdr:col>9</xdr:col>
      <xdr:colOff>857250</xdr:colOff>
      <xdr:row>404</xdr:row>
      <xdr:rowOff>76200</xdr:rowOff>
    </xdr:to>
    <xdr:cxnSp macro="">
      <xdr:nvCxnSpPr>
        <xdr:cNvPr id="1116" name="Connecteur droit avec flèche 1115"/>
        <xdr:cNvCxnSpPr/>
      </xdr:nvCxnSpPr>
      <xdr:spPr>
        <a:xfrm>
          <a:off x="8324850" y="78390750"/>
          <a:ext cx="971550" cy="17716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531496</xdr:colOff>
      <xdr:row>22</xdr:row>
      <xdr:rowOff>106680</xdr:rowOff>
    </xdr:from>
    <xdr:to>
      <xdr:col>3</xdr:col>
      <xdr:colOff>710566</xdr:colOff>
      <xdr:row>69</xdr:row>
      <xdr:rowOff>106680</xdr:rowOff>
    </xdr:to>
    <xdr:cxnSp macro="">
      <xdr:nvCxnSpPr>
        <xdr:cNvPr id="2" name="Connecteur droit avec flèche 1"/>
        <xdr:cNvCxnSpPr/>
      </xdr:nvCxnSpPr>
      <xdr:spPr>
        <a:xfrm rot="5400000" flipH="1" flipV="1">
          <a:off x="-807719" y="7160895"/>
          <a:ext cx="6667500" cy="94107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547688</xdr:colOff>
      <xdr:row>69</xdr:row>
      <xdr:rowOff>119063</xdr:rowOff>
    </xdr:from>
    <xdr:to>
      <xdr:col>4</xdr:col>
      <xdr:colOff>0</xdr:colOff>
      <xdr:row>92</xdr:row>
      <xdr:rowOff>129540</xdr:rowOff>
    </xdr:to>
    <xdr:cxnSp macro="">
      <xdr:nvCxnSpPr>
        <xdr:cNvPr id="3" name="Connecteur droit avec flèche 2"/>
        <xdr:cNvCxnSpPr/>
      </xdr:nvCxnSpPr>
      <xdr:spPr>
        <a:xfrm>
          <a:off x="2071688" y="10977563"/>
          <a:ext cx="976312" cy="210597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902546</xdr:colOff>
      <xdr:row>22</xdr:row>
      <xdr:rowOff>83820</xdr:rowOff>
    </xdr:from>
    <xdr:to>
      <xdr:col>5</xdr:col>
      <xdr:colOff>696806</xdr:colOff>
      <xdr:row>22</xdr:row>
      <xdr:rowOff>85408</xdr:rowOff>
    </xdr:to>
    <xdr:cxnSp macro="">
      <xdr:nvCxnSpPr>
        <xdr:cNvPr id="4" name="Connecteur droit avec flèche 3"/>
        <xdr:cNvCxnSpPr/>
      </xdr:nvCxnSpPr>
      <xdr:spPr>
        <a:xfrm>
          <a:off x="3950546" y="4274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118</xdr:row>
      <xdr:rowOff>114300</xdr:rowOff>
    </xdr:from>
    <xdr:to>
      <xdr:col>8</xdr:col>
      <xdr:colOff>22860</xdr:colOff>
      <xdr:row>118</xdr:row>
      <xdr:rowOff>115888</xdr:rowOff>
    </xdr:to>
    <xdr:cxnSp macro="">
      <xdr:nvCxnSpPr>
        <xdr:cNvPr id="5" name="Connecteur droit avec flèche 4"/>
        <xdr:cNvCxnSpPr/>
      </xdr:nvCxnSpPr>
      <xdr:spPr>
        <a:xfrm>
          <a:off x="6572250" y="15735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70</xdr:row>
      <xdr:rowOff>100648</xdr:rowOff>
    </xdr:from>
    <xdr:to>
      <xdr:col>6</xdr:col>
      <xdr:colOff>30480</xdr:colOff>
      <xdr:row>92</xdr:row>
      <xdr:rowOff>68580</xdr:rowOff>
    </xdr:to>
    <xdr:cxnSp macro="">
      <xdr:nvCxnSpPr>
        <xdr:cNvPr id="6" name="Connecteur droit avec flèche 5"/>
        <xdr:cNvCxnSpPr/>
      </xdr:nvCxnSpPr>
      <xdr:spPr>
        <a:xfrm flipV="1">
          <a:off x="4145280" y="11149648"/>
          <a:ext cx="1076325" cy="1872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92</xdr:row>
      <xdr:rowOff>91440</xdr:rowOff>
    </xdr:from>
    <xdr:to>
      <xdr:col>6</xdr:col>
      <xdr:colOff>0</xdr:colOff>
      <xdr:row>118</xdr:row>
      <xdr:rowOff>30480</xdr:rowOff>
    </xdr:to>
    <xdr:cxnSp macro="">
      <xdr:nvCxnSpPr>
        <xdr:cNvPr id="7" name="Connecteur droit avec flèche 6"/>
        <xdr:cNvCxnSpPr/>
      </xdr:nvCxnSpPr>
      <xdr:spPr>
        <a:xfrm rot="16200000" flipH="1">
          <a:off x="3357563" y="13817917"/>
          <a:ext cx="2606040" cy="10610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48</xdr:row>
      <xdr:rowOff>99060</xdr:rowOff>
    </xdr:from>
    <xdr:to>
      <xdr:col>7</xdr:col>
      <xdr:colOff>952500</xdr:colOff>
      <xdr:row>70</xdr:row>
      <xdr:rowOff>51752</xdr:rowOff>
    </xdr:to>
    <xdr:cxnSp macro="">
      <xdr:nvCxnSpPr>
        <xdr:cNvPr id="8" name="Connecteur droit avec flèche 7"/>
        <xdr:cNvCxnSpPr/>
      </xdr:nvCxnSpPr>
      <xdr:spPr>
        <a:xfrm flipV="1">
          <a:off x="6356985" y="6957060"/>
          <a:ext cx="977265" cy="4143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70</xdr:row>
      <xdr:rowOff>51752</xdr:rowOff>
    </xdr:from>
    <xdr:to>
      <xdr:col>7</xdr:col>
      <xdr:colOff>929640</xdr:colOff>
      <xdr:row>92</xdr:row>
      <xdr:rowOff>114300</xdr:rowOff>
    </xdr:to>
    <xdr:cxnSp macro="">
      <xdr:nvCxnSpPr>
        <xdr:cNvPr id="9" name="Connecteur droit avec flèche 8"/>
        <xdr:cNvCxnSpPr/>
      </xdr:nvCxnSpPr>
      <xdr:spPr>
        <a:xfrm>
          <a:off x="6364605" y="11100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22</xdr:row>
      <xdr:rowOff>99647</xdr:rowOff>
    </xdr:from>
    <xdr:to>
      <xdr:col>8</xdr:col>
      <xdr:colOff>7620</xdr:colOff>
      <xdr:row>22</xdr:row>
      <xdr:rowOff>108268</xdr:rowOff>
    </xdr:to>
    <xdr:cxnSp macro="">
      <xdr:nvCxnSpPr>
        <xdr:cNvPr id="10" name="Connecteur droit avec flèche 9"/>
        <xdr:cNvCxnSpPr/>
      </xdr:nvCxnSpPr>
      <xdr:spPr>
        <a:xfrm>
          <a:off x="6375156" y="4290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22</xdr:row>
      <xdr:rowOff>123093</xdr:rowOff>
    </xdr:from>
    <xdr:to>
      <xdr:col>10</xdr:col>
      <xdr:colOff>0</xdr:colOff>
      <xdr:row>22</xdr:row>
      <xdr:rowOff>123508</xdr:rowOff>
    </xdr:to>
    <xdr:cxnSp macro="">
      <xdr:nvCxnSpPr>
        <xdr:cNvPr id="11" name="Connecteur droit avec flèche 10"/>
        <xdr:cNvCxnSpPr/>
      </xdr:nvCxnSpPr>
      <xdr:spPr>
        <a:xfrm>
          <a:off x="8266235" y="4314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926123</xdr:colOff>
      <xdr:row>46</xdr:row>
      <xdr:rowOff>123825</xdr:rowOff>
    </xdr:from>
    <xdr:to>
      <xdr:col>9</xdr:col>
      <xdr:colOff>742950</xdr:colOff>
      <xdr:row>48</xdr:row>
      <xdr:rowOff>99646</xdr:rowOff>
    </xdr:to>
    <xdr:cxnSp macro="">
      <xdr:nvCxnSpPr>
        <xdr:cNvPr id="12" name="Connecteur droit avec flèche 11"/>
        <xdr:cNvCxnSpPr/>
      </xdr:nvCxnSpPr>
      <xdr:spPr>
        <a:xfrm flipV="1">
          <a:off x="8260373" y="6600825"/>
          <a:ext cx="893152" cy="3568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1027</xdr:colOff>
      <xdr:row>92</xdr:row>
      <xdr:rowOff>99648</xdr:rowOff>
    </xdr:from>
    <xdr:to>
      <xdr:col>9</xdr:col>
      <xdr:colOff>733425</xdr:colOff>
      <xdr:row>94</xdr:row>
      <xdr:rowOff>133350</xdr:rowOff>
    </xdr:to>
    <xdr:cxnSp macro="">
      <xdr:nvCxnSpPr>
        <xdr:cNvPr id="13" name="Connecteur droit avec flèche 12"/>
        <xdr:cNvCxnSpPr/>
      </xdr:nvCxnSpPr>
      <xdr:spPr>
        <a:xfrm>
          <a:off x="8411602" y="13053648"/>
          <a:ext cx="732398" cy="41470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118</xdr:row>
      <xdr:rowOff>87922</xdr:rowOff>
    </xdr:from>
    <xdr:to>
      <xdr:col>9</xdr:col>
      <xdr:colOff>791307</xdr:colOff>
      <xdr:row>118</xdr:row>
      <xdr:rowOff>87924</xdr:rowOff>
    </xdr:to>
    <xdr:cxnSp macro="">
      <xdr:nvCxnSpPr>
        <xdr:cNvPr id="14" name="Connecteur droit avec flèche 13"/>
        <xdr:cNvCxnSpPr/>
      </xdr:nvCxnSpPr>
      <xdr:spPr>
        <a:xfrm flipV="1">
          <a:off x="8413799" y="157089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728135</xdr:colOff>
      <xdr:row>154</xdr:row>
      <xdr:rowOff>106682</xdr:rowOff>
    </xdr:from>
    <xdr:to>
      <xdr:col>3</xdr:col>
      <xdr:colOff>777238</xdr:colOff>
      <xdr:row>201</xdr:row>
      <xdr:rowOff>110068</xdr:rowOff>
    </xdr:to>
    <xdr:cxnSp macro="">
      <xdr:nvCxnSpPr>
        <xdr:cNvPr id="15" name="Connecteur droit avec flèche 14"/>
        <xdr:cNvCxnSpPr/>
      </xdr:nvCxnSpPr>
      <xdr:spPr>
        <a:xfrm rot="5400000" flipH="1" flipV="1">
          <a:off x="-687281" y="20953098"/>
          <a:ext cx="6670886" cy="79205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201</xdr:row>
      <xdr:rowOff>118534</xdr:rowOff>
    </xdr:from>
    <xdr:to>
      <xdr:col>3</xdr:col>
      <xdr:colOff>762000</xdr:colOff>
      <xdr:row>224</xdr:row>
      <xdr:rowOff>129540</xdr:rowOff>
    </xdr:to>
    <xdr:cxnSp macro="">
      <xdr:nvCxnSpPr>
        <xdr:cNvPr id="16" name="Connecteur droit avec flèche 15"/>
        <xdr:cNvCxnSpPr/>
      </xdr:nvCxnSpPr>
      <xdr:spPr>
        <a:xfrm>
          <a:off x="2243666" y="24693034"/>
          <a:ext cx="804334" cy="21065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154</xdr:row>
      <xdr:rowOff>83820</xdr:rowOff>
    </xdr:from>
    <xdr:to>
      <xdr:col>5</xdr:col>
      <xdr:colOff>739140</xdr:colOff>
      <xdr:row>154</xdr:row>
      <xdr:rowOff>85408</xdr:rowOff>
    </xdr:to>
    <xdr:cxnSp macro="">
      <xdr:nvCxnSpPr>
        <xdr:cNvPr id="17" name="Connecteur droit avec flèche 16"/>
        <xdr:cNvCxnSpPr/>
      </xdr:nvCxnSpPr>
      <xdr:spPr>
        <a:xfrm>
          <a:off x="3992880" y="17990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18" name="Connecteur droit avec flèche 17"/>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202</xdr:row>
      <xdr:rowOff>100648</xdr:rowOff>
    </xdr:from>
    <xdr:to>
      <xdr:col>6</xdr:col>
      <xdr:colOff>30480</xdr:colOff>
      <xdr:row>224</xdr:row>
      <xdr:rowOff>68580</xdr:rowOff>
    </xdr:to>
    <xdr:cxnSp macro="">
      <xdr:nvCxnSpPr>
        <xdr:cNvPr id="19" name="Connecteur droit avec flèche 18"/>
        <xdr:cNvCxnSpPr/>
      </xdr:nvCxnSpPr>
      <xdr:spPr>
        <a:xfrm flipV="1">
          <a:off x="4145280" y="24865648"/>
          <a:ext cx="1076325" cy="1872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224</xdr:row>
      <xdr:rowOff>91440</xdr:rowOff>
    </xdr:from>
    <xdr:to>
      <xdr:col>6</xdr:col>
      <xdr:colOff>0</xdr:colOff>
      <xdr:row>250</xdr:row>
      <xdr:rowOff>30480</xdr:rowOff>
    </xdr:to>
    <xdr:cxnSp macro="">
      <xdr:nvCxnSpPr>
        <xdr:cNvPr id="20" name="Connecteur droit avec flèche 19"/>
        <xdr:cNvCxnSpPr/>
      </xdr:nvCxnSpPr>
      <xdr:spPr>
        <a:xfrm rot="16200000" flipH="1">
          <a:off x="3357563" y="27533917"/>
          <a:ext cx="2606040" cy="10610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21" name="Connecteur droit avec flèche 20"/>
        <xdr:cNvCxnSpPr/>
      </xdr:nvCxnSpPr>
      <xdr:spPr>
        <a:xfrm flipV="1">
          <a:off x="6356985" y="22197060"/>
          <a:ext cx="977265" cy="2619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22" name="Connecteur droit avec flèche 21"/>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23" name="Connecteur droit avec flèche 22"/>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154</xdr:row>
      <xdr:rowOff>123093</xdr:rowOff>
    </xdr:from>
    <xdr:to>
      <xdr:col>10</xdr:col>
      <xdr:colOff>0</xdr:colOff>
      <xdr:row>154</xdr:row>
      <xdr:rowOff>123508</xdr:rowOff>
    </xdr:to>
    <xdr:cxnSp macro="">
      <xdr:nvCxnSpPr>
        <xdr:cNvPr id="24" name="Connecteur droit avec flèche 23"/>
        <xdr:cNvCxnSpPr/>
      </xdr:nvCxnSpPr>
      <xdr:spPr>
        <a:xfrm>
          <a:off x="8266235" y="18030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25" name="Connecteur droit avec flèche 24"/>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26" name="Connecteur droit avec flèche 25"/>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27" name="Connecteur droit avec flèche 26"/>
        <xdr:cNvCxnSpPr/>
      </xdr:nvCxnSpPr>
      <xdr:spPr>
        <a:xfrm>
          <a:off x="8414972" y="26768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1127174</xdr:colOff>
      <xdr:row>250</xdr:row>
      <xdr:rowOff>87922</xdr:rowOff>
    </xdr:from>
    <xdr:to>
      <xdr:col>9</xdr:col>
      <xdr:colOff>791307</xdr:colOff>
      <xdr:row>250</xdr:row>
      <xdr:rowOff>87924</xdr:rowOff>
    </xdr:to>
    <xdr:cxnSp macro="">
      <xdr:nvCxnSpPr>
        <xdr:cNvPr id="28" name="Connecteur droit avec flèche 27"/>
        <xdr:cNvCxnSpPr/>
      </xdr:nvCxnSpPr>
      <xdr:spPr>
        <a:xfrm flipV="1">
          <a:off x="8413799" y="29424922"/>
          <a:ext cx="788083" cy="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711202</xdr:colOff>
      <xdr:row>284</xdr:row>
      <xdr:rowOff>106682</xdr:rowOff>
    </xdr:from>
    <xdr:to>
      <xdr:col>3</xdr:col>
      <xdr:colOff>777239</xdr:colOff>
      <xdr:row>323</xdr:row>
      <xdr:rowOff>101601</xdr:rowOff>
    </xdr:to>
    <xdr:cxnSp macro="">
      <xdr:nvCxnSpPr>
        <xdr:cNvPr id="29" name="Connecteur droit avec flèche 28"/>
        <xdr:cNvCxnSpPr/>
      </xdr:nvCxnSpPr>
      <xdr:spPr>
        <a:xfrm rot="5400000" flipH="1" flipV="1">
          <a:off x="-120014" y="33703898"/>
          <a:ext cx="5519419" cy="8089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323</xdr:row>
      <xdr:rowOff>127000</xdr:rowOff>
    </xdr:from>
    <xdr:to>
      <xdr:col>3</xdr:col>
      <xdr:colOff>762000</xdr:colOff>
      <xdr:row>342</xdr:row>
      <xdr:rowOff>129540</xdr:rowOff>
    </xdr:to>
    <xdr:cxnSp macro="">
      <xdr:nvCxnSpPr>
        <xdr:cNvPr id="30" name="Connecteur droit avec flèche 29"/>
        <xdr:cNvCxnSpPr/>
      </xdr:nvCxnSpPr>
      <xdr:spPr>
        <a:xfrm>
          <a:off x="2243666" y="36893500"/>
          <a:ext cx="804334" cy="17170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284</xdr:row>
      <xdr:rowOff>83820</xdr:rowOff>
    </xdr:from>
    <xdr:to>
      <xdr:col>5</xdr:col>
      <xdr:colOff>739140</xdr:colOff>
      <xdr:row>284</xdr:row>
      <xdr:rowOff>85408</xdr:rowOff>
    </xdr:to>
    <xdr:cxnSp macro="">
      <xdr:nvCxnSpPr>
        <xdr:cNvPr id="31" name="Connecteur droit avec flèche 30"/>
        <xdr:cNvCxnSpPr/>
      </xdr:nvCxnSpPr>
      <xdr:spPr>
        <a:xfrm>
          <a:off x="3992880" y="3132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32" name="Connecteur droit avec flèche 31"/>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324</xdr:row>
      <xdr:rowOff>100648</xdr:rowOff>
    </xdr:from>
    <xdr:to>
      <xdr:col>6</xdr:col>
      <xdr:colOff>30480</xdr:colOff>
      <xdr:row>342</xdr:row>
      <xdr:rowOff>68580</xdr:rowOff>
    </xdr:to>
    <xdr:cxnSp macro="">
      <xdr:nvCxnSpPr>
        <xdr:cNvPr id="33" name="Connecteur droit avec flèche 32"/>
        <xdr:cNvCxnSpPr/>
      </xdr:nvCxnSpPr>
      <xdr:spPr>
        <a:xfrm flipV="1">
          <a:off x="4145280" y="37057648"/>
          <a:ext cx="1076325" cy="14919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1082040</xdr:colOff>
      <xdr:row>342</xdr:row>
      <xdr:rowOff>91440</xdr:rowOff>
    </xdr:from>
    <xdr:to>
      <xdr:col>5</xdr:col>
      <xdr:colOff>714378</xdr:colOff>
      <xdr:row>364</xdr:row>
      <xdr:rowOff>63503</xdr:rowOff>
    </xdr:to>
    <xdr:cxnSp macro="">
      <xdr:nvCxnSpPr>
        <xdr:cNvPr id="34" name="Connecteur droit avec flèche 33"/>
        <xdr:cNvCxnSpPr/>
      </xdr:nvCxnSpPr>
      <xdr:spPr>
        <a:xfrm>
          <a:off x="4130040" y="46430565"/>
          <a:ext cx="1013463" cy="225806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306</xdr:row>
      <xdr:rowOff>148167</xdr:rowOff>
    </xdr:from>
    <xdr:to>
      <xdr:col>8</xdr:col>
      <xdr:colOff>0</xdr:colOff>
      <xdr:row>324</xdr:row>
      <xdr:rowOff>51752</xdr:rowOff>
    </xdr:to>
    <xdr:cxnSp macro="">
      <xdr:nvCxnSpPr>
        <xdr:cNvPr id="35" name="Connecteur droit avec flèche 34"/>
        <xdr:cNvCxnSpPr/>
      </xdr:nvCxnSpPr>
      <xdr:spPr>
        <a:xfrm flipV="1">
          <a:off x="6356985" y="33676167"/>
          <a:ext cx="977265" cy="3332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36" name="Connecteur droit avec flèche 35"/>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37" name="Connecteur droit avec flèche 36"/>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284</xdr:row>
      <xdr:rowOff>123093</xdr:rowOff>
    </xdr:from>
    <xdr:to>
      <xdr:col>10</xdr:col>
      <xdr:colOff>0</xdr:colOff>
      <xdr:row>284</xdr:row>
      <xdr:rowOff>123508</xdr:rowOff>
    </xdr:to>
    <xdr:cxnSp macro="">
      <xdr:nvCxnSpPr>
        <xdr:cNvPr id="38" name="Connecteur droit avec flèche 37"/>
        <xdr:cNvCxnSpPr/>
      </xdr:nvCxnSpPr>
      <xdr:spPr>
        <a:xfrm>
          <a:off x="8266235" y="31365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39" name="Connecteur droit avec flèche 38"/>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342</xdr:row>
      <xdr:rowOff>98474</xdr:rowOff>
    </xdr:from>
    <xdr:to>
      <xdr:col>10</xdr:col>
      <xdr:colOff>0</xdr:colOff>
      <xdr:row>344</xdr:row>
      <xdr:rowOff>87923</xdr:rowOff>
    </xdr:to>
    <xdr:cxnSp macro="">
      <xdr:nvCxnSpPr>
        <xdr:cNvPr id="40" name="Connecteur droit avec flèche 39"/>
        <xdr:cNvCxnSpPr/>
      </xdr:nvCxnSpPr>
      <xdr:spPr>
        <a:xfrm>
          <a:off x="8414972" y="38579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474</xdr:row>
      <xdr:rowOff>114300</xdr:rowOff>
    </xdr:from>
    <xdr:to>
      <xdr:col>9</xdr:col>
      <xdr:colOff>733425</xdr:colOff>
      <xdr:row>474</xdr:row>
      <xdr:rowOff>123825</xdr:rowOff>
    </xdr:to>
    <xdr:cxnSp macro="">
      <xdr:nvCxnSpPr>
        <xdr:cNvPr id="41" name="Connecteur droit avec flèche 40"/>
        <xdr:cNvCxnSpPr/>
      </xdr:nvCxnSpPr>
      <xdr:spPr>
        <a:xfrm>
          <a:off x="8515350" y="523113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685800</xdr:colOff>
      <xdr:row>394</xdr:row>
      <xdr:rowOff>152400</xdr:rowOff>
    </xdr:from>
    <xdr:to>
      <xdr:col>3</xdr:col>
      <xdr:colOff>723900</xdr:colOff>
      <xdr:row>424</xdr:row>
      <xdr:rowOff>0</xdr:rowOff>
    </xdr:to>
    <xdr:cxnSp macro="">
      <xdr:nvCxnSpPr>
        <xdr:cNvPr id="42" name="Connecteur droit avec flèche 41"/>
        <xdr:cNvCxnSpPr/>
      </xdr:nvCxnSpPr>
      <xdr:spPr>
        <a:xfrm flipV="1">
          <a:off x="2209800" y="42824400"/>
          <a:ext cx="800100" cy="36576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579120</xdr:colOff>
      <xdr:row>424</xdr:row>
      <xdr:rowOff>114300</xdr:rowOff>
    </xdr:from>
    <xdr:to>
      <xdr:col>3</xdr:col>
      <xdr:colOff>762000</xdr:colOff>
      <xdr:row>434</xdr:row>
      <xdr:rowOff>129540</xdr:rowOff>
    </xdr:to>
    <xdr:cxnSp macro="">
      <xdr:nvCxnSpPr>
        <xdr:cNvPr id="43" name="Connecteur droit avec flèche 42"/>
        <xdr:cNvCxnSpPr/>
      </xdr:nvCxnSpPr>
      <xdr:spPr>
        <a:xfrm>
          <a:off x="2103120" y="46596300"/>
          <a:ext cx="944880" cy="19202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394</xdr:row>
      <xdr:rowOff>83820</xdr:rowOff>
    </xdr:from>
    <xdr:to>
      <xdr:col>5</xdr:col>
      <xdr:colOff>739140</xdr:colOff>
      <xdr:row>394</xdr:row>
      <xdr:rowOff>85408</xdr:rowOff>
    </xdr:to>
    <xdr:cxnSp macro="">
      <xdr:nvCxnSpPr>
        <xdr:cNvPr id="44" name="Connecteur droit avec flèche 43"/>
        <xdr:cNvCxnSpPr/>
      </xdr:nvCxnSpPr>
      <xdr:spPr>
        <a:xfrm>
          <a:off x="3992880" y="4275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1097280</xdr:colOff>
      <xdr:row>432</xdr:row>
      <xdr:rowOff>121227</xdr:rowOff>
    </xdr:from>
    <xdr:to>
      <xdr:col>5</xdr:col>
      <xdr:colOff>727363</xdr:colOff>
      <xdr:row>434</xdr:row>
      <xdr:rowOff>125731</xdr:rowOff>
    </xdr:to>
    <xdr:cxnSp macro="">
      <xdr:nvCxnSpPr>
        <xdr:cNvPr id="45" name="Connecteur droit avec flèche 44"/>
        <xdr:cNvCxnSpPr/>
      </xdr:nvCxnSpPr>
      <xdr:spPr>
        <a:xfrm flipV="1">
          <a:off x="4145280" y="48127227"/>
          <a:ext cx="1011208" cy="38550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46" name="Connecteur droit avec flèche 45"/>
        <xdr:cNvCxnSpPr/>
      </xdr:nvCxnSpPr>
      <xdr:spPr>
        <a:xfrm>
          <a:off x="6375156" y="427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394</xdr:row>
      <xdr:rowOff>123093</xdr:rowOff>
    </xdr:from>
    <xdr:to>
      <xdr:col>10</xdr:col>
      <xdr:colOff>0</xdr:colOff>
      <xdr:row>394</xdr:row>
      <xdr:rowOff>123508</xdr:rowOff>
    </xdr:to>
    <xdr:cxnSp macro="">
      <xdr:nvCxnSpPr>
        <xdr:cNvPr id="47" name="Connecteur droit avec flèche 46"/>
        <xdr:cNvCxnSpPr/>
      </xdr:nvCxnSpPr>
      <xdr:spPr>
        <a:xfrm>
          <a:off x="8266235" y="427950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1153890</xdr:colOff>
      <xdr:row>70</xdr:row>
      <xdr:rowOff>32659</xdr:rowOff>
    </xdr:from>
    <xdr:to>
      <xdr:col>1</xdr:col>
      <xdr:colOff>772890</xdr:colOff>
      <xdr:row>275</xdr:row>
      <xdr:rowOff>10888</xdr:rowOff>
    </xdr:to>
    <xdr:cxnSp macro="">
      <xdr:nvCxnSpPr>
        <xdr:cNvPr id="48" name="Connecteur droit avec flèche 47"/>
        <xdr:cNvCxnSpPr/>
      </xdr:nvCxnSpPr>
      <xdr:spPr>
        <a:xfrm rot="5400000" flipH="1" flipV="1">
          <a:off x="-8084000" y="19929024"/>
          <a:ext cx="18456729" cy="7620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1186547</xdr:colOff>
      <xdr:row>201</xdr:row>
      <xdr:rowOff>119747</xdr:rowOff>
    </xdr:from>
    <xdr:to>
      <xdr:col>2</xdr:col>
      <xdr:colOff>10888</xdr:colOff>
      <xdr:row>275</xdr:row>
      <xdr:rowOff>54428</xdr:rowOff>
    </xdr:to>
    <xdr:cxnSp macro="">
      <xdr:nvCxnSpPr>
        <xdr:cNvPr id="49" name="Connecteur droit avec flèche 48"/>
        <xdr:cNvCxnSpPr/>
      </xdr:nvCxnSpPr>
      <xdr:spPr>
        <a:xfrm rot="5400000" flipH="1" flipV="1">
          <a:off x="-1297436" y="26749605"/>
          <a:ext cx="4887681" cy="77696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760642</xdr:colOff>
      <xdr:row>275</xdr:row>
      <xdr:rowOff>152400</xdr:rowOff>
    </xdr:from>
    <xdr:to>
      <xdr:col>2</xdr:col>
      <xdr:colOff>68039</xdr:colOff>
      <xdr:row>323</xdr:row>
      <xdr:rowOff>13610</xdr:rowOff>
    </xdr:to>
    <xdr:cxnSp macro="">
      <xdr:nvCxnSpPr>
        <xdr:cNvPr id="50" name="Connecteur droit avec flèche 49"/>
        <xdr:cNvCxnSpPr/>
      </xdr:nvCxnSpPr>
      <xdr:spPr>
        <a:xfrm>
          <a:off x="760642" y="29679900"/>
          <a:ext cx="831397" cy="710021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276</xdr:row>
      <xdr:rowOff>0</xdr:rowOff>
    </xdr:from>
    <xdr:to>
      <xdr:col>2</xdr:col>
      <xdr:colOff>40823</xdr:colOff>
      <xdr:row>424</xdr:row>
      <xdr:rowOff>12244</xdr:rowOff>
    </xdr:to>
    <xdr:cxnSp macro="">
      <xdr:nvCxnSpPr>
        <xdr:cNvPr id="51" name="Connecteur droit avec flèche 50"/>
        <xdr:cNvCxnSpPr/>
      </xdr:nvCxnSpPr>
      <xdr:spPr>
        <a:xfrm>
          <a:off x="802821" y="29718000"/>
          <a:ext cx="762002" cy="167762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52" name="Connecteur droit avec flèche 51"/>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1165860</xdr:colOff>
      <xdr:row>188</xdr:row>
      <xdr:rowOff>99060</xdr:rowOff>
    </xdr:from>
    <xdr:to>
      <xdr:col>7</xdr:col>
      <xdr:colOff>952500</xdr:colOff>
      <xdr:row>202</xdr:row>
      <xdr:rowOff>51752</xdr:rowOff>
    </xdr:to>
    <xdr:cxnSp macro="">
      <xdr:nvCxnSpPr>
        <xdr:cNvPr id="53" name="Connecteur droit avec flèche 52"/>
        <xdr:cNvCxnSpPr/>
      </xdr:nvCxnSpPr>
      <xdr:spPr>
        <a:xfrm flipV="1">
          <a:off x="6356985" y="22197060"/>
          <a:ext cx="977265" cy="261969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54" name="Connecteur droit avec flèche 53"/>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154</xdr:row>
      <xdr:rowOff>99647</xdr:rowOff>
    </xdr:from>
    <xdr:to>
      <xdr:col>8</xdr:col>
      <xdr:colOff>7620</xdr:colOff>
      <xdr:row>154</xdr:row>
      <xdr:rowOff>108268</xdr:rowOff>
    </xdr:to>
    <xdr:cxnSp macro="">
      <xdr:nvCxnSpPr>
        <xdr:cNvPr id="55" name="Connecteur droit avec flèche 54"/>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56" name="Connecteur droit avec flèche 55"/>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57" name="Connecteur droit avec flèche 56"/>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284</xdr:row>
      <xdr:rowOff>99647</xdr:rowOff>
    </xdr:from>
    <xdr:to>
      <xdr:col>8</xdr:col>
      <xdr:colOff>7620</xdr:colOff>
      <xdr:row>284</xdr:row>
      <xdr:rowOff>108268</xdr:rowOff>
    </xdr:to>
    <xdr:cxnSp macro="">
      <xdr:nvCxnSpPr>
        <xdr:cNvPr id="58" name="Connecteur droit avec flèche 57"/>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394</xdr:row>
      <xdr:rowOff>99647</xdr:rowOff>
    </xdr:from>
    <xdr:to>
      <xdr:col>8</xdr:col>
      <xdr:colOff>7620</xdr:colOff>
      <xdr:row>394</xdr:row>
      <xdr:rowOff>108268</xdr:rowOff>
    </xdr:to>
    <xdr:cxnSp macro="">
      <xdr:nvCxnSpPr>
        <xdr:cNvPr id="59" name="Connecteur droit avec flèche 58"/>
        <xdr:cNvCxnSpPr/>
      </xdr:nvCxnSpPr>
      <xdr:spPr>
        <a:xfrm>
          <a:off x="6375156" y="4277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250</xdr:row>
      <xdr:rowOff>114300</xdr:rowOff>
    </xdr:from>
    <xdr:to>
      <xdr:col>8</xdr:col>
      <xdr:colOff>22860</xdr:colOff>
      <xdr:row>250</xdr:row>
      <xdr:rowOff>115888</xdr:rowOff>
    </xdr:to>
    <xdr:cxnSp macro="">
      <xdr:nvCxnSpPr>
        <xdr:cNvPr id="60" name="Connecteur droit avec flèche 59"/>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202</xdr:row>
      <xdr:rowOff>51752</xdr:rowOff>
    </xdr:from>
    <xdr:to>
      <xdr:col>7</xdr:col>
      <xdr:colOff>929640</xdr:colOff>
      <xdr:row>224</xdr:row>
      <xdr:rowOff>114300</xdr:rowOff>
    </xdr:to>
    <xdr:cxnSp macro="">
      <xdr:nvCxnSpPr>
        <xdr:cNvPr id="61" name="Connecteur droit avec flèche 60"/>
        <xdr:cNvCxnSpPr/>
      </xdr:nvCxnSpPr>
      <xdr:spPr>
        <a:xfrm>
          <a:off x="6364605" y="24816752"/>
          <a:ext cx="965835" cy="1967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474</xdr:row>
      <xdr:rowOff>114300</xdr:rowOff>
    </xdr:from>
    <xdr:to>
      <xdr:col>8</xdr:col>
      <xdr:colOff>22860</xdr:colOff>
      <xdr:row>474</xdr:row>
      <xdr:rowOff>115888</xdr:rowOff>
    </xdr:to>
    <xdr:cxnSp macro="">
      <xdr:nvCxnSpPr>
        <xdr:cNvPr id="62" name="Connecteur droit avec flèche 61"/>
        <xdr:cNvCxnSpPr/>
      </xdr:nvCxnSpPr>
      <xdr:spPr>
        <a:xfrm>
          <a:off x="6572250" y="5231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1173480</xdr:colOff>
      <xdr:row>324</xdr:row>
      <xdr:rowOff>51752</xdr:rowOff>
    </xdr:from>
    <xdr:to>
      <xdr:col>7</xdr:col>
      <xdr:colOff>929640</xdr:colOff>
      <xdr:row>342</xdr:row>
      <xdr:rowOff>114300</xdr:rowOff>
    </xdr:to>
    <xdr:cxnSp macro="">
      <xdr:nvCxnSpPr>
        <xdr:cNvPr id="63" name="Connecteur droit avec flèche 62"/>
        <xdr:cNvCxnSpPr/>
      </xdr:nvCxnSpPr>
      <xdr:spPr>
        <a:xfrm>
          <a:off x="6364605" y="37008752"/>
          <a:ext cx="965835" cy="158654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64" name="Connecteur droit avec flèche 63"/>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65" name="Connecteur droit avec flèche 64"/>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66" name="Connecteur droit avec flèche 65"/>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973667</xdr:colOff>
      <xdr:row>304</xdr:row>
      <xdr:rowOff>53340</xdr:rowOff>
    </xdr:from>
    <xdr:to>
      <xdr:col>9</xdr:col>
      <xdr:colOff>716280</xdr:colOff>
      <xdr:row>306</xdr:row>
      <xdr:rowOff>127000</xdr:rowOff>
    </xdr:to>
    <xdr:cxnSp macro="">
      <xdr:nvCxnSpPr>
        <xdr:cNvPr id="67" name="Connecteur droit avec flèche 66"/>
        <xdr:cNvCxnSpPr/>
      </xdr:nvCxnSpPr>
      <xdr:spPr>
        <a:xfrm flipV="1">
          <a:off x="8307917" y="33200340"/>
          <a:ext cx="818938" cy="45466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994834</xdr:colOff>
      <xdr:row>306</xdr:row>
      <xdr:rowOff>137583</xdr:rowOff>
    </xdr:from>
    <xdr:to>
      <xdr:col>9</xdr:col>
      <xdr:colOff>723900</xdr:colOff>
      <xdr:row>314</xdr:row>
      <xdr:rowOff>123825</xdr:rowOff>
    </xdr:to>
    <xdr:cxnSp macro="">
      <xdr:nvCxnSpPr>
        <xdr:cNvPr id="68" name="Connecteur droit avec flèche 67"/>
        <xdr:cNvCxnSpPr/>
      </xdr:nvCxnSpPr>
      <xdr:spPr>
        <a:xfrm>
          <a:off x="8329084" y="33665583"/>
          <a:ext cx="805391" cy="15102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324</xdr:row>
      <xdr:rowOff>117231</xdr:rowOff>
    </xdr:from>
    <xdr:to>
      <xdr:col>9</xdr:col>
      <xdr:colOff>779585</xdr:colOff>
      <xdr:row>342</xdr:row>
      <xdr:rowOff>106096</xdr:rowOff>
    </xdr:to>
    <xdr:cxnSp macro="">
      <xdr:nvCxnSpPr>
        <xdr:cNvPr id="69" name="Connecteur droit avec flèche 68"/>
        <xdr:cNvCxnSpPr/>
      </xdr:nvCxnSpPr>
      <xdr:spPr>
        <a:xfrm flipV="1">
          <a:off x="8409257" y="37074231"/>
          <a:ext cx="780903" cy="1512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422</xdr:row>
      <xdr:rowOff>145257</xdr:rowOff>
    </xdr:from>
    <xdr:to>
      <xdr:col>8</xdr:col>
      <xdr:colOff>50006</xdr:colOff>
      <xdr:row>432</xdr:row>
      <xdr:rowOff>133350</xdr:rowOff>
    </xdr:to>
    <xdr:cxnSp macro="">
      <xdr:nvCxnSpPr>
        <xdr:cNvPr id="70" name="Connecteur droit avec flèche 69"/>
        <xdr:cNvCxnSpPr/>
      </xdr:nvCxnSpPr>
      <xdr:spPr>
        <a:xfrm flipV="1">
          <a:off x="6524625" y="46246257"/>
          <a:ext cx="859631" cy="189309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1" name="Connecteur droit avec flèche 70"/>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2" name="Connecteur droit avec flèche 71"/>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224</xdr:row>
      <xdr:rowOff>98474</xdr:rowOff>
    </xdr:from>
    <xdr:to>
      <xdr:col>10</xdr:col>
      <xdr:colOff>0</xdr:colOff>
      <xdr:row>226</xdr:row>
      <xdr:rowOff>87923</xdr:rowOff>
    </xdr:to>
    <xdr:cxnSp macro="">
      <xdr:nvCxnSpPr>
        <xdr:cNvPr id="73" name="Connecteur droit avec flèche 72"/>
        <xdr:cNvCxnSpPr/>
      </xdr:nvCxnSpPr>
      <xdr:spPr>
        <a:xfrm>
          <a:off x="8414972" y="26768474"/>
          <a:ext cx="929053" cy="370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4" name="Connecteur droit avec flèche 73"/>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5" name="Connecteur droit avec flèche 74"/>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178</xdr:row>
      <xdr:rowOff>53340</xdr:rowOff>
    </xdr:from>
    <xdr:to>
      <xdr:col>9</xdr:col>
      <xdr:colOff>716280</xdr:colOff>
      <xdr:row>188</xdr:row>
      <xdr:rowOff>106680</xdr:rowOff>
    </xdr:to>
    <xdr:cxnSp macro="">
      <xdr:nvCxnSpPr>
        <xdr:cNvPr id="76" name="Connecteur droit avec flèche 75"/>
        <xdr:cNvCxnSpPr/>
      </xdr:nvCxnSpPr>
      <xdr:spPr>
        <a:xfrm flipV="1">
          <a:off x="8233410" y="20246340"/>
          <a:ext cx="893445" cy="1958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923925</xdr:colOff>
      <xdr:row>188</xdr:row>
      <xdr:rowOff>123825</xdr:rowOff>
    </xdr:from>
    <xdr:to>
      <xdr:col>9</xdr:col>
      <xdr:colOff>733425</xdr:colOff>
      <xdr:row>190</xdr:row>
      <xdr:rowOff>114300</xdr:rowOff>
    </xdr:to>
    <xdr:cxnSp macro="">
      <xdr:nvCxnSpPr>
        <xdr:cNvPr id="77" name="Connecteur droit avec flèche 76"/>
        <xdr:cNvCxnSpPr/>
      </xdr:nvCxnSpPr>
      <xdr:spPr>
        <a:xfrm>
          <a:off x="8258175" y="22221825"/>
          <a:ext cx="885825" cy="3714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1113107</xdr:colOff>
      <xdr:row>202</xdr:row>
      <xdr:rowOff>117231</xdr:rowOff>
    </xdr:from>
    <xdr:to>
      <xdr:col>9</xdr:col>
      <xdr:colOff>779585</xdr:colOff>
      <xdr:row>224</xdr:row>
      <xdr:rowOff>106096</xdr:rowOff>
    </xdr:to>
    <xdr:cxnSp macro="">
      <xdr:nvCxnSpPr>
        <xdr:cNvPr id="78" name="Connecteur droit avec flèche 77"/>
        <xdr:cNvCxnSpPr/>
      </xdr:nvCxnSpPr>
      <xdr:spPr>
        <a:xfrm flipV="1">
          <a:off x="8409257" y="24882231"/>
          <a:ext cx="780903" cy="1893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xdr:row>
      <xdr:rowOff>116417</xdr:rowOff>
    </xdr:from>
    <xdr:to>
      <xdr:col>12</xdr:col>
      <xdr:colOff>222250</xdr:colOff>
      <xdr:row>22</xdr:row>
      <xdr:rowOff>114301</xdr:rowOff>
    </xdr:to>
    <xdr:cxnSp macro="">
      <xdr:nvCxnSpPr>
        <xdr:cNvPr id="79" name="Connecteur droit avec flèche 78"/>
        <xdr:cNvCxnSpPr/>
      </xdr:nvCxnSpPr>
      <xdr:spPr>
        <a:xfrm flipV="1">
          <a:off x="10315575" y="297391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118</xdr:row>
      <xdr:rowOff>104775</xdr:rowOff>
    </xdr:from>
    <xdr:to>
      <xdr:col>12</xdr:col>
      <xdr:colOff>0</xdr:colOff>
      <xdr:row>118</xdr:row>
      <xdr:rowOff>114300</xdr:rowOff>
    </xdr:to>
    <xdr:cxnSp macro="">
      <xdr:nvCxnSpPr>
        <xdr:cNvPr id="80" name="Connecteur droit avec flèche 79"/>
        <xdr:cNvCxnSpPr/>
      </xdr:nvCxnSpPr>
      <xdr:spPr>
        <a:xfrm>
          <a:off x="10677525" y="15725775"/>
          <a:ext cx="73342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46</xdr:row>
      <xdr:rowOff>114300</xdr:rowOff>
    </xdr:from>
    <xdr:to>
      <xdr:col>11</xdr:col>
      <xdr:colOff>696790</xdr:colOff>
      <xdr:row>46</xdr:row>
      <xdr:rowOff>114715</xdr:rowOff>
    </xdr:to>
    <xdr:cxnSp macro="">
      <xdr:nvCxnSpPr>
        <xdr:cNvPr id="81" name="Connecteur droit avec flèche 80"/>
        <xdr:cNvCxnSpPr/>
      </xdr:nvCxnSpPr>
      <xdr:spPr>
        <a:xfrm>
          <a:off x="10315575" y="659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58</xdr:row>
      <xdr:rowOff>114300</xdr:rowOff>
    </xdr:from>
    <xdr:to>
      <xdr:col>11</xdr:col>
      <xdr:colOff>696790</xdr:colOff>
      <xdr:row>58</xdr:row>
      <xdr:rowOff>114715</xdr:rowOff>
    </xdr:to>
    <xdr:cxnSp macro="">
      <xdr:nvCxnSpPr>
        <xdr:cNvPr id="82" name="Connecteur droit avec flèche 81"/>
        <xdr:cNvCxnSpPr/>
      </xdr:nvCxnSpPr>
      <xdr:spPr>
        <a:xfrm>
          <a:off x="10315575" y="8877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942975</xdr:colOff>
      <xdr:row>48</xdr:row>
      <xdr:rowOff>104775</xdr:rowOff>
    </xdr:from>
    <xdr:to>
      <xdr:col>9</xdr:col>
      <xdr:colOff>685800</xdr:colOff>
      <xdr:row>58</xdr:row>
      <xdr:rowOff>114300</xdr:rowOff>
    </xdr:to>
    <xdr:cxnSp macro="">
      <xdr:nvCxnSpPr>
        <xdr:cNvPr id="83" name="Connecteur droit avec flèche 82"/>
        <xdr:cNvCxnSpPr/>
      </xdr:nvCxnSpPr>
      <xdr:spPr>
        <a:xfrm>
          <a:off x="8277225" y="6962775"/>
          <a:ext cx="819150" cy="1914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70</xdr:row>
      <xdr:rowOff>114300</xdr:rowOff>
    </xdr:from>
    <xdr:to>
      <xdr:col>11</xdr:col>
      <xdr:colOff>696790</xdr:colOff>
      <xdr:row>70</xdr:row>
      <xdr:rowOff>114715</xdr:rowOff>
    </xdr:to>
    <xdr:cxnSp macro="">
      <xdr:nvCxnSpPr>
        <xdr:cNvPr id="84" name="Connecteur droit avec flèche 83"/>
        <xdr:cNvCxnSpPr/>
      </xdr:nvCxnSpPr>
      <xdr:spPr>
        <a:xfrm>
          <a:off x="10315575" y="11163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94</xdr:row>
      <xdr:rowOff>114300</xdr:rowOff>
    </xdr:from>
    <xdr:to>
      <xdr:col>11</xdr:col>
      <xdr:colOff>696790</xdr:colOff>
      <xdr:row>94</xdr:row>
      <xdr:rowOff>114715</xdr:rowOff>
    </xdr:to>
    <xdr:cxnSp macro="">
      <xdr:nvCxnSpPr>
        <xdr:cNvPr id="85" name="Connecteur droit avec flèche 84"/>
        <xdr:cNvCxnSpPr/>
      </xdr:nvCxnSpPr>
      <xdr:spPr>
        <a:xfrm>
          <a:off x="10315575" y="13449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1019175</xdr:colOff>
      <xdr:row>70</xdr:row>
      <xdr:rowOff>105833</xdr:rowOff>
    </xdr:from>
    <xdr:to>
      <xdr:col>9</xdr:col>
      <xdr:colOff>751417</xdr:colOff>
      <xdr:row>92</xdr:row>
      <xdr:rowOff>118698</xdr:rowOff>
    </xdr:to>
    <xdr:cxnSp macro="">
      <xdr:nvCxnSpPr>
        <xdr:cNvPr id="86" name="Connecteur droit avec flèche 85"/>
        <xdr:cNvCxnSpPr/>
      </xdr:nvCxnSpPr>
      <xdr:spPr>
        <a:xfrm flipV="1">
          <a:off x="8353425" y="11154833"/>
          <a:ext cx="808567" cy="191786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276</xdr:row>
      <xdr:rowOff>0</xdr:rowOff>
    </xdr:from>
    <xdr:to>
      <xdr:col>1</xdr:col>
      <xdr:colOff>723900</xdr:colOff>
      <xdr:row>497</xdr:row>
      <xdr:rowOff>104775</xdr:rowOff>
    </xdr:to>
    <xdr:cxnSp macro="">
      <xdr:nvCxnSpPr>
        <xdr:cNvPr id="87" name="Connecteur droit avec flèche 86"/>
        <xdr:cNvCxnSpPr/>
      </xdr:nvCxnSpPr>
      <xdr:spPr>
        <a:xfrm>
          <a:off x="762000" y="29718000"/>
          <a:ext cx="723900" cy="231552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497</xdr:row>
      <xdr:rowOff>83820</xdr:rowOff>
    </xdr:from>
    <xdr:to>
      <xdr:col>5</xdr:col>
      <xdr:colOff>739140</xdr:colOff>
      <xdr:row>497</xdr:row>
      <xdr:rowOff>85408</xdr:rowOff>
    </xdr:to>
    <xdr:cxnSp macro="">
      <xdr:nvCxnSpPr>
        <xdr:cNvPr id="88" name="Connecteur droit avec flèche 87"/>
        <xdr:cNvCxnSpPr/>
      </xdr:nvCxnSpPr>
      <xdr:spPr>
        <a:xfrm>
          <a:off x="3992880" y="528523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89" name="Connecteur droit avec flèche 88"/>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497</xdr:row>
      <xdr:rowOff>123093</xdr:rowOff>
    </xdr:from>
    <xdr:to>
      <xdr:col>10</xdr:col>
      <xdr:colOff>0</xdr:colOff>
      <xdr:row>497</xdr:row>
      <xdr:rowOff>123508</xdr:rowOff>
    </xdr:to>
    <xdr:cxnSp macro="">
      <xdr:nvCxnSpPr>
        <xdr:cNvPr id="90" name="Connecteur droit avec flèche 89"/>
        <xdr:cNvCxnSpPr/>
      </xdr:nvCxnSpPr>
      <xdr:spPr>
        <a:xfrm>
          <a:off x="8266235" y="52891593"/>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497</xdr:row>
      <xdr:rowOff>99647</xdr:rowOff>
    </xdr:from>
    <xdr:to>
      <xdr:col>8</xdr:col>
      <xdr:colOff>7620</xdr:colOff>
      <xdr:row>497</xdr:row>
      <xdr:rowOff>108268</xdr:rowOff>
    </xdr:to>
    <xdr:cxnSp macro="">
      <xdr:nvCxnSpPr>
        <xdr:cNvPr id="91" name="Connecteur droit avec flèche 90"/>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497</xdr:row>
      <xdr:rowOff>95251</xdr:rowOff>
    </xdr:from>
    <xdr:to>
      <xdr:col>4</xdr:col>
      <xdr:colOff>0</xdr:colOff>
      <xdr:row>497</xdr:row>
      <xdr:rowOff>114300</xdr:rowOff>
    </xdr:to>
    <xdr:cxnSp macro="">
      <xdr:nvCxnSpPr>
        <xdr:cNvPr id="92" name="Connecteur droit avec flèche 91"/>
        <xdr:cNvCxnSpPr/>
      </xdr:nvCxnSpPr>
      <xdr:spPr>
        <a:xfrm>
          <a:off x="2171700" y="52863751"/>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28575</xdr:colOff>
      <xdr:row>250</xdr:row>
      <xdr:rowOff>104775</xdr:rowOff>
    </xdr:from>
    <xdr:to>
      <xdr:col>12</xdr:col>
      <xdr:colOff>0</xdr:colOff>
      <xdr:row>250</xdr:row>
      <xdr:rowOff>114300</xdr:rowOff>
    </xdr:to>
    <xdr:cxnSp macro="">
      <xdr:nvCxnSpPr>
        <xdr:cNvPr id="93" name="Connecteur droit avec flèche 92"/>
        <xdr:cNvCxnSpPr/>
      </xdr:nvCxnSpPr>
      <xdr:spPr>
        <a:xfrm>
          <a:off x="10677525" y="29441775"/>
          <a:ext cx="733425"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154</xdr:row>
      <xdr:rowOff>114300</xdr:rowOff>
    </xdr:from>
    <xdr:to>
      <xdr:col>11</xdr:col>
      <xdr:colOff>696790</xdr:colOff>
      <xdr:row>154</xdr:row>
      <xdr:rowOff>114715</xdr:rowOff>
    </xdr:to>
    <xdr:cxnSp macro="">
      <xdr:nvCxnSpPr>
        <xdr:cNvPr id="94" name="Connecteur droit avec flèche 93"/>
        <xdr:cNvCxnSpPr/>
      </xdr:nvCxnSpPr>
      <xdr:spPr>
        <a:xfrm>
          <a:off x="10315575" y="1802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178</xdr:row>
      <xdr:rowOff>114300</xdr:rowOff>
    </xdr:from>
    <xdr:to>
      <xdr:col>11</xdr:col>
      <xdr:colOff>696790</xdr:colOff>
      <xdr:row>178</xdr:row>
      <xdr:rowOff>114715</xdr:rowOff>
    </xdr:to>
    <xdr:cxnSp macro="">
      <xdr:nvCxnSpPr>
        <xdr:cNvPr id="95" name="Connecteur droit avec flèche 94"/>
        <xdr:cNvCxnSpPr/>
      </xdr:nvCxnSpPr>
      <xdr:spPr>
        <a:xfrm>
          <a:off x="10315575" y="20307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190</xdr:row>
      <xdr:rowOff>114300</xdr:rowOff>
    </xdr:from>
    <xdr:to>
      <xdr:col>11</xdr:col>
      <xdr:colOff>696790</xdr:colOff>
      <xdr:row>190</xdr:row>
      <xdr:rowOff>114715</xdr:rowOff>
    </xdr:to>
    <xdr:cxnSp macro="">
      <xdr:nvCxnSpPr>
        <xdr:cNvPr id="96" name="Connecteur droit avec flèche 95"/>
        <xdr:cNvCxnSpPr/>
      </xdr:nvCxnSpPr>
      <xdr:spPr>
        <a:xfrm>
          <a:off x="10315575" y="22593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202</xdr:row>
      <xdr:rowOff>114300</xdr:rowOff>
    </xdr:from>
    <xdr:to>
      <xdr:col>11</xdr:col>
      <xdr:colOff>696790</xdr:colOff>
      <xdr:row>202</xdr:row>
      <xdr:rowOff>114715</xdr:rowOff>
    </xdr:to>
    <xdr:cxnSp macro="">
      <xdr:nvCxnSpPr>
        <xdr:cNvPr id="97" name="Connecteur droit avec flèche 96"/>
        <xdr:cNvCxnSpPr/>
      </xdr:nvCxnSpPr>
      <xdr:spPr>
        <a:xfrm>
          <a:off x="10315575" y="24879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1200150</xdr:colOff>
      <xdr:row>226</xdr:row>
      <xdr:rowOff>95250</xdr:rowOff>
    </xdr:from>
    <xdr:to>
      <xdr:col>12</xdr:col>
      <xdr:colOff>0</xdr:colOff>
      <xdr:row>226</xdr:row>
      <xdr:rowOff>107156</xdr:rowOff>
    </xdr:to>
    <xdr:cxnSp macro="">
      <xdr:nvCxnSpPr>
        <xdr:cNvPr id="98" name="Connecteur droit avec flèche 97"/>
        <xdr:cNvCxnSpPr/>
      </xdr:nvCxnSpPr>
      <xdr:spPr>
        <a:xfrm>
          <a:off x="10544175" y="27146250"/>
          <a:ext cx="866775" cy="119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497</xdr:row>
      <xdr:rowOff>104775</xdr:rowOff>
    </xdr:from>
    <xdr:to>
      <xdr:col>11</xdr:col>
      <xdr:colOff>715840</xdr:colOff>
      <xdr:row>497</xdr:row>
      <xdr:rowOff>105190</xdr:rowOff>
    </xdr:to>
    <xdr:cxnSp macro="">
      <xdr:nvCxnSpPr>
        <xdr:cNvPr id="99" name="Connecteur droit avec flèche 98"/>
        <xdr:cNvCxnSpPr/>
      </xdr:nvCxnSpPr>
      <xdr:spPr>
        <a:xfrm>
          <a:off x="10334625" y="52873275"/>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1209675</xdr:colOff>
      <xdr:row>474</xdr:row>
      <xdr:rowOff>114300</xdr:rowOff>
    </xdr:from>
    <xdr:to>
      <xdr:col>12</xdr:col>
      <xdr:colOff>0</xdr:colOff>
      <xdr:row>474</xdr:row>
      <xdr:rowOff>114300</xdr:rowOff>
    </xdr:to>
    <xdr:cxnSp macro="">
      <xdr:nvCxnSpPr>
        <xdr:cNvPr id="100" name="Connecteur droit avec flèche 99"/>
        <xdr:cNvCxnSpPr/>
      </xdr:nvCxnSpPr>
      <xdr:spPr>
        <a:xfrm>
          <a:off x="10553700" y="52311300"/>
          <a:ext cx="857250"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284</xdr:row>
      <xdr:rowOff>114300</xdr:rowOff>
    </xdr:from>
    <xdr:to>
      <xdr:col>12</xdr:col>
      <xdr:colOff>136072</xdr:colOff>
      <xdr:row>284</xdr:row>
      <xdr:rowOff>122464</xdr:rowOff>
    </xdr:to>
    <xdr:cxnSp macro="">
      <xdr:nvCxnSpPr>
        <xdr:cNvPr id="101" name="Connecteur droit avec flèche 100"/>
        <xdr:cNvCxnSpPr/>
      </xdr:nvCxnSpPr>
      <xdr:spPr>
        <a:xfrm>
          <a:off x="10315575" y="3135630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304</xdr:row>
      <xdr:rowOff>60287</xdr:rowOff>
    </xdr:from>
    <xdr:to>
      <xdr:col>12</xdr:col>
      <xdr:colOff>152505</xdr:colOff>
      <xdr:row>304</xdr:row>
      <xdr:rowOff>81643</xdr:rowOff>
    </xdr:to>
    <xdr:cxnSp macro="">
      <xdr:nvCxnSpPr>
        <xdr:cNvPr id="102" name="Connecteur droit avec flèche 101"/>
        <xdr:cNvCxnSpPr/>
      </xdr:nvCxnSpPr>
      <xdr:spPr>
        <a:xfrm flipV="1">
          <a:off x="10405383" y="33207287"/>
          <a:ext cx="1158072"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314</xdr:row>
      <xdr:rowOff>114300</xdr:rowOff>
    </xdr:from>
    <xdr:to>
      <xdr:col>11</xdr:col>
      <xdr:colOff>696790</xdr:colOff>
      <xdr:row>314</xdr:row>
      <xdr:rowOff>114715</xdr:rowOff>
    </xdr:to>
    <xdr:cxnSp macro="">
      <xdr:nvCxnSpPr>
        <xdr:cNvPr id="103" name="Connecteur droit avec flèche 102"/>
        <xdr:cNvCxnSpPr/>
      </xdr:nvCxnSpPr>
      <xdr:spPr>
        <a:xfrm>
          <a:off x="10315575" y="3516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324</xdr:row>
      <xdr:rowOff>114300</xdr:rowOff>
    </xdr:from>
    <xdr:to>
      <xdr:col>11</xdr:col>
      <xdr:colOff>696790</xdr:colOff>
      <xdr:row>324</xdr:row>
      <xdr:rowOff>114715</xdr:rowOff>
    </xdr:to>
    <xdr:cxnSp macro="">
      <xdr:nvCxnSpPr>
        <xdr:cNvPr id="104" name="Connecteur droit avec flèche 103"/>
        <xdr:cNvCxnSpPr/>
      </xdr:nvCxnSpPr>
      <xdr:spPr>
        <a:xfrm>
          <a:off x="10315575" y="3707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344</xdr:row>
      <xdr:rowOff>114300</xdr:rowOff>
    </xdr:from>
    <xdr:to>
      <xdr:col>11</xdr:col>
      <xdr:colOff>696790</xdr:colOff>
      <xdr:row>344</xdr:row>
      <xdr:rowOff>114715</xdr:rowOff>
    </xdr:to>
    <xdr:cxnSp macro="">
      <xdr:nvCxnSpPr>
        <xdr:cNvPr id="105" name="Connecteur droit avec flèche 104"/>
        <xdr:cNvCxnSpPr/>
      </xdr:nvCxnSpPr>
      <xdr:spPr>
        <a:xfrm>
          <a:off x="10315575" y="3897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394</xdr:row>
      <xdr:rowOff>114300</xdr:rowOff>
    </xdr:from>
    <xdr:to>
      <xdr:col>11</xdr:col>
      <xdr:colOff>696790</xdr:colOff>
      <xdr:row>394</xdr:row>
      <xdr:rowOff>114715</xdr:rowOff>
    </xdr:to>
    <xdr:cxnSp macro="">
      <xdr:nvCxnSpPr>
        <xdr:cNvPr id="106" name="Connecteur droit avec flèche 105"/>
        <xdr:cNvCxnSpPr/>
      </xdr:nvCxnSpPr>
      <xdr:spPr>
        <a:xfrm>
          <a:off x="10315575" y="4278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1352550</xdr:colOff>
      <xdr:row>432</xdr:row>
      <xdr:rowOff>142875</xdr:rowOff>
    </xdr:from>
    <xdr:to>
      <xdr:col>7</xdr:col>
      <xdr:colOff>733425</xdr:colOff>
      <xdr:row>446</xdr:row>
      <xdr:rowOff>66675</xdr:rowOff>
    </xdr:to>
    <xdr:cxnSp macro="">
      <xdr:nvCxnSpPr>
        <xdr:cNvPr id="107" name="Connecteur droit avec flèche 106"/>
        <xdr:cNvCxnSpPr/>
      </xdr:nvCxnSpPr>
      <xdr:spPr>
        <a:xfrm>
          <a:off x="6543675" y="48148875"/>
          <a:ext cx="762000" cy="6858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1160318</xdr:colOff>
      <xdr:row>434</xdr:row>
      <xdr:rowOff>121227</xdr:rowOff>
    </xdr:from>
    <xdr:to>
      <xdr:col>5</xdr:col>
      <xdr:colOff>736022</xdr:colOff>
      <xdr:row>474</xdr:row>
      <xdr:rowOff>77932</xdr:rowOff>
    </xdr:to>
    <xdr:cxnSp macro="">
      <xdr:nvCxnSpPr>
        <xdr:cNvPr id="108" name="Connecteur droit avec flèche 107"/>
        <xdr:cNvCxnSpPr/>
      </xdr:nvCxnSpPr>
      <xdr:spPr>
        <a:xfrm>
          <a:off x="4208318" y="48508227"/>
          <a:ext cx="956829" cy="376670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09" name="Connecteur droit avec flèche 108"/>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104775</xdr:colOff>
      <xdr:row>364</xdr:row>
      <xdr:rowOff>114300</xdr:rowOff>
    </xdr:from>
    <xdr:to>
      <xdr:col>9</xdr:col>
      <xdr:colOff>733425</xdr:colOff>
      <xdr:row>364</xdr:row>
      <xdr:rowOff>123825</xdr:rowOff>
    </xdr:to>
    <xdr:cxnSp macro="">
      <xdr:nvCxnSpPr>
        <xdr:cNvPr id="110" name="Connecteur droit avec flèche 109"/>
        <xdr:cNvCxnSpPr/>
      </xdr:nvCxnSpPr>
      <xdr:spPr>
        <a:xfrm>
          <a:off x="8515350" y="40881300"/>
          <a:ext cx="628650" cy="952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11" name="Connecteur droit avec flèche 110"/>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364</xdr:row>
      <xdr:rowOff>114300</xdr:rowOff>
    </xdr:from>
    <xdr:to>
      <xdr:col>8</xdr:col>
      <xdr:colOff>22860</xdr:colOff>
      <xdr:row>364</xdr:row>
      <xdr:rowOff>115888</xdr:rowOff>
    </xdr:to>
    <xdr:cxnSp macro="">
      <xdr:nvCxnSpPr>
        <xdr:cNvPr id="112" name="Connecteur droit avec flèche 111"/>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364</xdr:row>
      <xdr:rowOff>103911</xdr:rowOff>
    </xdr:from>
    <xdr:to>
      <xdr:col>11</xdr:col>
      <xdr:colOff>714375</xdr:colOff>
      <xdr:row>364</xdr:row>
      <xdr:rowOff>114300</xdr:rowOff>
    </xdr:to>
    <xdr:cxnSp macro="">
      <xdr:nvCxnSpPr>
        <xdr:cNvPr id="113" name="Connecteur droit avec flèche 112"/>
        <xdr:cNvCxnSpPr/>
      </xdr:nvCxnSpPr>
      <xdr:spPr>
        <a:xfrm>
          <a:off x="10435070" y="40870911"/>
          <a:ext cx="928255"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4" name="Connecteur droit avec flèche 113"/>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1090247</xdr:colOff>
      <xdr:row>446</xdr:row>
      <xdr:rowOff>98474</xdr:rowOff>
    </xdr:from>
    <xdr:to>
      <xdr:col>10</xdr:col>
      <xdr:colOff>0</xdr:colOff>
      <xdr:row>454</xdr:row>
      <xdr:rowOff>87923</xdr:rowOff>
    </xdr:to>
    <xdr:cxnSp macro="">
      <xdr:nvCxnSpPr>
        <xdr:cNvPr id="115" name="Connecteur droit avec flèche 114"/>
        <xdr:cNvCxnSpPr/>
      </xdr:nvCxnSpPr>
      <xdr:spPr>
        <a:xfrm>
          <a:off x="8414972" y="48866474"/>
          <a:ext cx="929053" cy="15134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6" name="Connecteur droit avec flèche 115"/>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899160</xdr:colOff>
      <xdr:row>414</xdr:row>
      <xdr:rowOff>53340</xdr:rowOff>
    </xdr:from>
    <xdr:to>
      <xdr:col>9</xdr:col>
      <xdr:colOff>716280</xdr:colOff>
      <xdr:row>422</xdr:row>
      <xdr:rowOff>106680</xdr:rowOff>
    </xdr:to>
    <xdr:cxnSp macro="">
      <xdr:nvCxnSpPr>
        <xdr:cNvPr id="117" name="Connecteur droit avec flèche 116"/>
        <xdr:cNvCxnSpPr/>
      </xdr:nvCxnSpPr>
      <xdr:spPr>
        <a:xfrm flipV="1">
          <a:off x="8233410" y="44630340"/>
          <a:ext cx="893445" cy="15773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920262</xdr:colOff>
      <xdr:row>422</xdr:row>
      <xdr:rowOff>105508</xdr:rowOff>
    </xdr:from>
    <xdr:to>
      <xdr:col>9</xdr:col>
      <xdr:colOff>723900</xdr:colOff>
      <xdr:row>424</xdr:row>
      <xdr:rowOff>123825</xdr:rowOff>
    </xdr:to>
    <xdr:cxnSp macro="">
      <xdr:nvCxnSpPr>
        <xdr:cNvPr id="118" name="Connecteur droit avec flèche 117"/>
        <xdr:cNvCxnSpPr/>
      </xdr:nvCxnSpPr>
      <xdr:spPr>
        <a:xfrm>
          <a:off x="8254512" y="46206508"/>
          <a:ext cx="879963" cy="3993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43</xdr:colOff>
      <xdr:row>434</xdr:row>
      <xdr:rowOff>95250</xdr:rowOff>
    </xdr:from>
    <xdr:to>
      <xdr:col>9</xdr:col>
      <xdr:colOff>721179</xdr:colOff>
      <xdr:row>446</xdr:row>
      <xdr:rowOff>106097</xdr:rowOff>
    </xdr:to>
    <xdr:cxnSp macro="">
      <xdr:nvCxnSpPr>
        <xdr:cNvPr id="119" name="Connecteur droit avec flèche 118"/>
        <xdr:cNvCxnSpPr/>
      </xdr:nvCxnSpPr>
      <xdr:spPr>
        <a:xfrm flipV="1">
          <a:off x="8410618" y="48482250"/>
          <a:ext cx="721136" cy="39184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414</xdr:row>
      <xdr:rowOff>114300</xdr:rowOff>
    </xdr:from>
    <xdr:to>
      <xdr:col>11</xdr:col>
      <xdr:colOff>696790</xdr:colOff>
      <xdr:row>414</xdr:row>
      <xdr:rowOff>114715</xdr:rowOff>
    </xdr:to>
    <xdr:cxnSp macro="">
      <xdr:nvCxnSpPr>
        <xdr:cNvPr id="120" name="Connecteur droit avec flèche 119"/>
        <xdr:cNvCxnSpPr/>
      </xdr:nvCxnSpPr>
      <xdr:spPr>
        <a:xfrm>
          <a:off x="10315575" y="44691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424</xdr:row>
      <xdr:rowOff>114300</xdr:rowOff>
    </xdr:from>
    <xdr:to>
      <xdr:col>11</xdr:col>
      <xdr:colOff>696790</xdr:colOff>
      <xdr:row>424</xdr:row>
      <xdr:rowOff>114715</xdr:rowOff>
    </xdr:to>
    <xdr:cxnSp macro="">
      <xdr:nvCxnSpPr>
        <xdr:cNvPr id="121" name="Connecteur droit avec flèche 120"/>
        <xdr:cNvCxnSpPr/>
      </xdr:nvCxnSpPr>
      <xdr:spPr>
        <a:xfrm>
          <a:off x="10315575" y="465963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1219200</xdr:colOff>
      <xdr:row>454</xdr:row>
      <xdr:rowOff>114300</xdr:rowOff>
    </xdr:from>
    <xdr:to>
      <xdr:col>11</xdr:col>
      <xdr:colOff>696790</xdr:colOff>
      <xdr:row>454</xdr:row>
      <xdr:rowOff>114715</xdr:rowOff>
    </xdr:to>
    <xdr:cxnSp macro="">
      <xdr:nvCxnSpPr>
        <xdr:cNvPr id="122" name="Connecteur droit avec flèche 121"/>
        <xdr:cNvCxnSpPr/>
      </xdr:nvCxnSpPr>
      <xdr:spPr>
        <a:xfrm>
          <a:off x="10563225" y="50406300"/>
          <a:ext cx="78251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973667</xdr:colOff>
      <xdr:row>19</xdr:row>
      <xdr:rowOff>84667</xdr:rowOff>
    </xdr:from>
    <xdr:to>
      <xdr:col>12</xdr:col>
      <xdr:colOff>52917</xdr:colOff>
      <xdr:row>22</xdr:row>
      <xdr:rowOff>114301</xdr:rowOff>
    </xdr:to>
    <xdr:cxnSp macro="">
      <xdr:nvCxnSpPr>
        <xdr:cNvPr id="123" name="Connecteur droit avec flèche 122"/>
        <xdr:cNvCxnSpPr/>
      </xdr:nvCxnSpPr>
      <xdr:spPr>
        <a:xfrm flipV="1">
          <a:off x="10317692" y="370416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1005417</xdr:colOff>
      <xdr:row>20</xdr:row>
      <xdr:rowOff>95250</xdr:rowOff>
    </xdr:from>
    <xdr:to>
      <xdr:col>12</xdr:col>
      <xdr:colOff>190500</xdr:colOff>
      <xdr:row>22</xdr:row>
      <xdr:rowOff>148167</xdr:rowOff>
    </xdr:to>
    <xdr:cxnSp macro="">
      <xdr:nvCxnSpPr>
        <xdr:cNvPr id="124" name="Connecteur droit avec flèche 123"/>
        <xdr:cNvCxnSpPr/>
      </xdr:nvCxnSpPr>
      <xdr:spPr>
        <a:xfrm flipV="1">
          <a:off x="10349442" y="390525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1016000</xdr:colOff>
      <xdr:row>22</xdr:row>
      <xdr:rowOff>105833</xdr:rowOff>
    </xdr:from>
    <xdr:to>
      <xdr:col>12</xdr:col>
      <xdr:colOff>84667</xdr:colOff>
      <xdr:row>22</xdr:row>
      <xdr:rowOff>137583</xdr:rowOff>
    </xdr:to>
    <xdr:cxnSp macro="">
      <xdr:nvCxnSpPr>
        <xdr:cNvPr id="125" name="Connecteur droit avec flèche 124"/>
        <xdr:cNvCxnSpPr/>
      </xdr:nvCxnSpPr>
      <xdr:spPr>
        <a:xfrm flipV="1">
          <a:off x="10360025" y="429683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635000</xdr:colOff>
      <xdr:row>13</xdr:row>
      <xdr:rowOff>63501</xdr:rowOff>
    </xdr:from>
    <xdr:to>
      <xdr:col>14</xdr:col>
      <xdr:colOff>55033</xdr:colOff>
      <xdr:row>15</xdr:row>
      <xdr:rowOff>105833</xdr:rowOff>
    </xdr:to>
    <xdr:cxnSp macro="">
      <xdr:nvCxnSpPr>
        <xdr:cNvPr id="126" name="Connecteur droit avec flèche 125"/>
        <xdr:cNvCxnSpPr/>
      </xdr:nvCxnSpPr>
      <xdr:spPr>
        <a:xfrm flipV="1">
          <a:off x="12045950" y="254000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592666</xdr:colOff>
      <xdr:row>15</xdr:row>
      <xdr:rowOff>103718</xdr:rowOff>
    </xdr:from>
    <xdr:to>
      <xdr:col>13</xdr:col>
      <xdr:colOff>730250</xdr:colOff>
      <xdr:row>15</xdr:row>
      <xdr:rowOff>116417</xdr:rowOff>
    </xdr:to>
    <xdr:cxnSp macro="">
      <xdr:nvCxnSpPr>
        <xdr:cNvPr id="127" name="Connecteur droit avec flèche 126"/>
        <xdr:cNvCxnSpPr/>
      </xdr:nvCxnSpPr>
      <xdr:spPr>
        <a:xfrm>
          <a:off x="12003616" y="296121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476251</xdr:colOff>
      <xdr:row>17</xdr:row>
      <xdr:rowOff>105833</xdr:rowOff>
    </xdr:from>
    <xdr:to>
      <xdr:col>13</xdr:col>
      <xdr:colOff>730251</xdr:colOff>
      <xdr:row>19</xdr:row>
      <xdr:rowOff>105831</xdr:rowOff>
    </xdr:to>
    <xdr:cxnSp macro="">
      <xdr:nvCxnSpPr>
        <xdr:cNvPr id="128" name="Connecteur droit avec flèche 127"/>
        <xdr:cNvCxnSpPr/>
      </xdr:nvCxnSpPr>
      <xdr:spPr>
        <a:xfrm flipV="1">
          <a:off x="11887201" y="334433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22</xdr:row>
      <xdr:rowOff>95249</xdr:rowOff>
    </xdr:from>
    <xdr:to>
      <xdr:col>13</xdr:col>
      <xdr:colOff>719668</xdr:colOff>
      <xdr:row>22</xdr:row>
      <xdr:rowOff>105834</xdr:rowOff>
    </xdr:to>
    <xdr:cxnSp macro="">
      <xdr:nvCxnSpPr>
        <xdr:cNvPr id="129" name="Connecteur droit avec flèche 128"/>
        <xdr:cNvCxnSpPr/>
      </xdr:nvCxnSpPr>
      <xdr:spPr>
        <a:xfrm>
          <a:off x="12014201" y="428624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677335</xdr:colOff>
      <xdr:row>20</xdr:row>
      <xdr:rowOff>84666</xdr:rowOff>
    </xdr:from>
    <xdr:to>
      <xdr:col>13</xdr:col>
      <xdr:colOff>740835</xdr:colOff>
      <xdr:row>20</xdr:row>
      <xdr:rowOff>95251</xdr:rowOff>
    </xdr:to>
    <xdr:cxnSp macro="">
      <xdr:nvCxnSpPr>
        <xdr:cNvPr id="130" name="Connecteur droit avec flèche 129"/>
        <xdr:cNvCxnSpPr/>
      </xdr:nvCxnSpPr>
      <xdr:spPr>
        <a:xfrm>
          <a:off x="12088285" y="389466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529168</xdr:colOff>
      <xdr:row>19</xdr:row>
      <xdr:rowOff>74083</xdr:rowOff>
    </xdr:from>
    <xdr:to>
      <xdr:col>13</xdr:col>
      <xdr:colOff>698501</xdr:colOff>
      <xdr:row>19</xdr:row>
      <xdr:rowOff>95251</xdr:rowOff>
    </xdr:to>
    <xdr:cxnSp macro="">
      <xdr:nvCxnSpPr>
        <xdr:cNvPr id="131" name="Connecteur droit avec flèche 130"/>
        <xdr:cNvCxnSpPr/>
      </xdr:nvCxnSpPr>
      <xdr:spPr>
        <a:xfrm>
          <a:off x="11940118" y="369358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603251</xdr:colOff>
      <xdr:row>21</xdr:row>
      <xdr:rowOff>137582</xdr:rowOff>
    </xdr:from>
    <xdr:to>
      <xdr:col>13</xdr:col>
      <xdr:colOff>751418</xdr:colOff>
      <xdr:row>22</xdr:row>
      <xdr:rowOff>95249</xdr:rowOff>
    </xdr:to>
    <xdr:cxnSp macro="">
      <xdr:nvCxnSpPr>
        <xdr:cNvPr id="132" name="Connecteur droit avec flèche 131"/>
        <xdr:cNvCxnSpPr/>
      </xdr:nvCxnSpPr>
      <xdr:spPr>
        <a:xfrm flipV="1">
          <a:off x="12014201" y="413808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709084</xdr:colOff>
      <xdr:row>13</xdr:row>
      <xdr:rowOff>63499</xdr:rowOff>
    </xdr:from>
    <xdr:to>
      <xdr:col>16</xdr:col>
      <xdr:colOff>74085</xdr:colOff>
      <xdr:row>13</xdr:row>
      <xdr:rowOff>76199</xdr:rowOff>
    </xdr:to>
    <xdr:cxnSp macro="">
      <xdr:nvCxnSpPr>
        <xdr:cNvPr id="133" name="Connecteur droit avec flèche 132"/>
        <xdr:cNvCxnSpPr/>
      </xdr:nvCxnSpPr>
      <xdr:spPr>
        <a:xfrm>
          <a:off x="13644034" y="253999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677334</xdr:colOff>
      <xdr:row>17</xdr:row>
      <xdr:rowOff>95249</xdr:rowOff>
    </xdr:from>
    <xdr:to>
      <xdr:col>16</xdr:col>
      <xdr:colOff>21168</xdr:colOff>
      <xdr:row>17</xdr:row>
      <xdr:rowOff>97366</xdr:rowOff>
    </xdr:to>
    <xdr:cxnSp macro="">
      <xdr:nvCxnSpPr>
        <xdr:cNvPr id="134" name="Connecteur droit avec flèche 133"/>
        <xdr:cNvCxnSpPr/>
      </xdr:nvCxnSpPr>
      <xdr:spPr>
        <a:xfrm>
          <a:off x="13612284" y="3333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15</xdr:row>
      <xdr:rowOff>95249</xdr:rowOff>
    </xdr:from>
    <xdr:to>
      <xdr:col>16</xdr:col>
      <xdr:colOff>95252</xdr:colOff>
      <xdr:row>15</xdr:row>
      <xdr:rowOff>97366</xdr:rowOff>
    </xdr:to>
    <xdr:cxnSp macro="">
      <xdr:nvCxnSpPr>
        <xdr:cNvPr id="135" name="Connecteur droit avec flèche 134"/>
        <xdr:cNvCxnSpPr/>
      </xdr:nvCxnSpPr>
      <xdr:spPr>
        <a:xfrm>
          <a:off x="13686368" y="29527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740834</xdr:colOff>
      <xdr:row>19</xdr:row>
      <xdr:rowOff>84666</xdr:rowOff>
    </xdr:from>
    <xdr:to>
      <xdr:col>16</xdr:col>
      <xdr:colOff>84668</xdr:colOff>
      <xdr:row>19</xdr:row>
      <xdr:rowOff>86783</xdr:rowOff>
    </xdr:to>
    <xdr:cxnSp macro="">
      <xdr:nvCxnSpPr>
        <xdr:cNvPr id="136" name="Connecteur droit avec flèche 135"/>
        <xdr:cNvCxnSpPr/>
      </xdr:nvCxnSpPr>
      <xdr:spPr>
        <a:xfrm>
          <a:off x="13675784" y="3704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687917</xdr:colOff>
      <xdr:row>21</xdr:row>
      <xdr:rowOff>84666</xdr:rowOff>
    </xdr:from>
    <xdr:to>
      <xdr:col>16</xdr:col>
      <xdr:colOff>31751</xdr:colOff>
      <xdr:row>21</xdr:row>
      <xdr:rowOff>86783</xdr:rowOff>
    </xdr:to>
    <xdr:cxnSp macro="">
      <xdr:nvCxnSpPr>
        <xdr:cNvPr id="137" name="Connecteur droit avec flèche 136"/>
        <xdr:cNvCxnSpPr/>
      </xdr:nvCxnSpPr>
      <xdr:spPr>
        <a:xfrm>
          <a:off x="13622867" y="40851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677335</xdr:colOff>
      <xdr:row>22</xdr:row>
      <xdr:rowOff>95249</xdr:rowOff>
    </xdr:from>
    <xdr:to>
      <xdr:col>16</xdr:col>
      <xdr:colOff>21169</xdr:colOff>
      <xdr:row>22</xdr:row>
      <xdr:rowOff>97366</xdr:rowOff>
    </xdr:to>
    <xdr:cxnSp macro="">
      <xdr:nvCxnSpPr>
        <xdr:cNvPr id="138" name="Connecteur droit avec flèche 137"/>
        <xdr:cNvCxnSpPr/>
      </xdr:nvCxnSpPr>
      <xdr:spPr>
        <a:xfrm>
          <a:off x="13612285" y="42862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645584</xdr:colOff>
      <xdr:row>20</xdr:row>
      <xdr:rowOff>95250</xdr:rowOff>
    </xdr:from>
    <xdr:to>
      <xdr:col>15</xdr:col>
      <xdr:colOff>751418</xdr:colOff>
      <xdr:row>20</xdr:row>
      <xdr:rowOff>97367</xdr:rowOff>
    </xdr:to>
    <xdr:cxnSp macro="">
      <xdr:nvCxnSpPr>
        <xdr:cNvPr id="139" name="Connecteur droit avec flèche 138"/>
        <xdr:cNvCxnSpPr/>
      </xdr:nvCxnSpPr>
      <xdr:spPr>
        <a:xfrm>
          <a:off x="13580534" y="39052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698500</xdr:colOff>
      <xdr:row>12</xdr:row>
      <xdr:rowOff>84666</xdr:rowOff>
    </xdr:from>
    <xdr:to>
      <xdr:col>16</xdr:col>
      <xdr:colOff>52918</xdr:colOff>
      <xdr:row>13</xdr:row>
      <xdr:rowOff>52917</xdr:rowOff>
    </xdr:to>
    <xdr:cxnSp macro="">
      <xdr:nvCxnSpPr>
        <xdr:cNvPr id="140" name="Connecteur droit avec flèche 139"/>
        <xdr:cNvCxnSpPr/>
      </xdr:nvCxnSpPr>
      <xdr:spPr>
        <a:xfrm flipV="1">
          <a:off x="13633450" y="237066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751418</xdr:colOff>
      <xdr:row>14</xdr:row>
      <xdr:rowOff>105833</xdr:rowOff>
    </xdr:from>
    <xdr:to>
      <xdr:col>16</xdr:col>
      <xdr:colOff>95251</xdr:colOff>
      <xdr:row>15</xdr:row>
      <xdr:rowOff>74084</xdr:rowOff>
    </xdr:to>
    <xdr:cxnSp macro="">
      <xdr:nvCxnSpPr>
        <xdr:cNvPr id="141" name="Connecteur droit avec flèche 140"/>
        <xdr:cNvCxnSpPr/>
      </xdr:nvCxnSpPr>
      <xdr:spPr>
        <a:xfrm flipV="1">
          <a:off x="13686368" y="277283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666751</xdr:colOff>
      <xdr:row>16</xdr:row>
      <xdr:rowOff>105833</xdr:rowOff>
    </xdr:from>
    <xdr:to>
      <xdr:col>16</xdr:col>
      <xdr:colOff>42334</xdr:colOff>
      <xdr:row>17</xdr:row>
      <xdr:rowOff>74084</xdr:rowOff>
    </xdr:to>
    <xdr:cxnSp macro="">
      <xdr:nvCxnSpPr>
        <xdr:cNvPr id="142" name="Connecteur droit avec flèche 141"/>
        <xdr:cNvCxnSpPr/>
      </xdr:nvCxnSpPr>
      <xdr:spPr>
        <a:xfrm flipV="1">
          <a:off x="13601701" y="315383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719667</xdr:colOff>
      <xdr:row>18</xdr:row>
      <xdr:rowOff>105833</xdr:rowOff>
    </xdr:from>
    <xdr:to>
      <xdr:col>16</xdr:col>
      <xdr:colOff>116418</xdr:colOff>
      <xdr:row>19</xdr:row>
      <xdr:rowOff>63501</xdr:rowOff>
    </xdr:to>
    <xdr:cxnSp macro="">
      <xdr:nvCxnSpPr>
        <xdr:cNvPr id="143" name="Connecteur droit avec flèche 142"/>
        <xdr:cNvCxnSpPr/>
      </xdr:nvCxnSpPr>
      <xdr:spPr>
        <a:xfrm flipV="1">
          <a:off x="13654617" y="353483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39</xdr:row>
      <xdr:rowOff>99786</xdr:rowOff>
    </xdr:from>
    <xdr:to>
      <xdr:col>12</xdr:col>
      <xdr:colOff>339272</xdr:colOff>
      <xdr:row>46</xdr:row>
      <xdr:rowOff>97670</xdr:rowOff>
    </xdr:to>
    <xdr:cxnSp macro="">
      <xdr:nvCxnSpPr>
        <xdr:cNvPr id="144" name="Connecteur droit avec flèche 143"/>
        <xdr:cNvCxnSpPr/>
      </xdr:nvCxnSpPr>
      <xdr:spPr>
        <a:xfrm flipV="1">
          <a:off x="10432597" y="5243286"/>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43</xdr:row>
      <xdr:rowOff>68036</xdr:rowOff>
    </xdr:from>
    <xdr:to>
      <xdr:col>12</xdr:col>
      <xdr:colOff>169939</xdr:colOff>
      <xdr:row>46</xdr:row>
      <xdr:rowOff>97670</xdr:rowOff>
    </xdr:to>
    <xdr:cxnSp macro="">
      <xdr:nvCxnSpPr>
        <xdr:cNvPr id="145" name="Connecteur droit avec flèche 144"/>
        <xdr:cNvCxnSpPr/>
      </xdr:nvCxnSpPr>
      <xdr:spPr>
        <a:xfrm flipV="1">
          <a:off x="10434714" y="5973536"/>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44</xdr:row>
      <xdr:rowOff>78619</xdr:rowOff>
    </xdr:from>
    <xdr:to>
      <xdr:col>12</xdr:col>
      <xdr:colOff>307522</xdr:colOff>
      <xdr:row>46</xdr:row>
      <xdr:rowOff>131536</xdr:rowOff>
    </xdr:to>
    <xdr:cxnSp macro="">
      <xdr:nvCxnSpPr>
        <xdr:cNvPr id="146" name="Connecteur droit avec flèche 145"/>
        <xdr:cNvCxnSpPr/>
      </xdr:nvCxnSpPr>
      <xdr:spPr>
        <a:xfrm flipV="1">
          <a:off x="10466464" y="6174619"/>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46</xdr:row>
      <xdr:rowOff>89202</xdr:rowOff>
    </xdr:from>
    <xdr:to>
      <xdr:col>12</xdr:col>
      <xdr:colOff>201689</xdr:colOff>
      <xdr:row>46</xdr:row>
      <xdr:rowOff>120952</xdr:rowOff>
    </xdr:to>
    <xdr:cxnSp macro="">
      <xdr:nvCxnSpPr>
        <xdr:cNvPr id="147" name="Connecteur droit avec flèche 146"/>
        <xdr:cNvCxnSpPr/>
      </xdr:nvCxnSpPr>
      <xdr:spPr>
        <a:xfrm flipV="1">
          <a:off x="10477047" y="6566202"/>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37</xdr:row>
      <xdr:rowOff>46870</xdr:rowOff>
    </xdr:from>
    <xdr:to>
      <xdr:col>14</xdr:col>
      <xdr:colOff>172055</xdr:colOff>
      <xdr:row>39</xdr:row>
      <xdr:rowOff>89202</xdr:rowOff>
    </xdr:to>
    <xdr:cxnSp macro="">
      <xdr:nvCxnSpPr>
        <xdr:cNvPr id="148" name="Connecteur droit avec flèche 147"/>
        <xdr:cNvCxnSpPr/>
      </xdr:nvCxnSpPr>
      <xdr:spPr>
        <a:xfrm flipV="1">
          <a:off x="12162972" y="4809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39</xdr:row>
      <xdr:rowOff>87087</xdr:rowOff>
    </xdr:from>
    <xdr:to>
      <xdr:col>14</xdr:col>
      <xdr:colOff>85272</xdr:colOff>
      <xdr:row>39</xdr:row>
      <xdr:rowOff>99786</xdr:rowOff>
    </xdr:to>
    <xdr:cxnSp macro="">
      <xdr:nvCxnSpPr>
        <xdr:cNvPr id="149" name="Connecteur droit avec flèche 148"/>
        <xdr:cNvCxnSpPr/>
      </xdr:nvCxnSpPr>
      <xdr:spPr>
        <a:xfrm>
          <a:off x="12120638" y="5230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41</xdr:row>
      <xdr:rowOff>89202</xdr:rowOff>
    </xdr:from>
    <xdr:to>
      <xdr:col>14</xdr:col>
      <xdr:colOff>85273</xdr:colOff>
      <xdr:row>43</xdr:row>
      <xdr:rowOff>89200</xdr:rowOff>
    </xdr:to>
    <xdr:cxnSp macro="">
      <xdr:nvCxnSpPr>
        <xdr:cNvPr id="150" name="Connecteur droit avec flèche 149"/>
        <xdr:cNvCxnSpPr/>
      </xdr:nvCxnSpPr>
      <xdr:spPr>
        <a:xfrm flipV="1">
          <a:off x="12004223" y="5613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46</xdr:row>
      <xdr:rowOff>78618</xdr:rowOff>
    </xdr:from>
    <xdr:to>
      <xdr:col>14</xdr:col>
      <xdr:colOff>74690</xdr:colOff>
      <xdr:row>46</xdr:row>
      <xdr:rowOff>89203</xdr:rowOff>
    </xdr:to>
    <xdr:cxnSp macro="">
      <xdr:nvCxnSpPr>
        <xdr:cNvPr id="151" name="Connecteur droit avec flèche 150"/>
        <xdr:cNvCxnSpPr/>
      </xdr:nvCxnSpPr>
      <xdr:spPr>
        <a:xfrm>
          <a:off x="12131223" y="6555618"/>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44</xdr:row>
      <xdr:rowOff>68035</xdr:rowOff>
    </xdr:from>
    <xdr:to>
      <xdr:col>14</xdr:col>
      <xdr:colOff>95857</xdr:colOff>
      <xdr:row>44</xdr:row>
      <xdr:rowOff>78620</xdr:rowOff>
    </xdr:to>
    <xdr:cxnSp macro="">
      <xdr:nvCxnSpPr>
        <xdr:cNvPr id="152" name="Connecteur droit avec flèche 151"/>
        <xdr:cNvCxnSpPr/>
      </xdr:nvCxnSpPr>
      <xdr:spPr>
        <a:xfrm>
          <a:off x="12205307" y="6164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43</xdr:row>
      <xdr:rowOff>57452</xdr:rowOff>
    </xdr:from>
    <xdr:to>
      <xdr:col>14</xdr:col>
      <xdr:colOff>53523</xdr:colOff>
      <xdr:row>43</xdr:row>
      <xdr:rowOff>78620</xdr:rowOff>
    </xdr:to>
    <xdr:cxnSp macro="">
      <xdr:nvCxnSpPr>
        <xdr:cNvPr id="153" name="Connecteur droit avec flèche 152"/>
        <xdr:cNvCxnSpPr/>
      </xdr:nvCxnSpPr>
      <xdr:spPr>
        <a:xfrm>
          <a:off x="12057140" y="5962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45</xdr:row>
      <xdr:rowOff>120951</xdr:rowOff>
    </xdr:from>
    <xdr:to>
      <xdr:col>14</xdr:col>
      <xdr:colOff>106440</xdr:colOff>
      <xdr:row>46</xdr:row>
      <xdr:rowOff>78618</xdr:rowOff>
    </xdr:to>
    <xdr:cxnSp macro="">
      <xdr:nvCxnSpPr>
        <xdr:cNvPr id="154" name="Connecteur droit avec flèche 153"/>
        <xdr:cNvCxnSpPr/>
      </xdr:nvCxnSpPr>
      <xdr:spPr>
        <a:xfrm flipV="1">
          <a:off x="12131223" y="6407451"/>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37</xdr:row>
      <xdr:rowOff>46868</xdr:rowOff>
    </xdr:from>
    <xdr:to>
      <xdr:col>16</xdr:col>
      <xdr:colOff>191107</xdr:colOff>
      <xdr:row>37</xdr:row>
      <xdr:rowOff>59568</xdr:rowOff>
    </xdr:to>
    <xdr:cxnSp macro="">
      <xdr:nvCxnSpPr>
        <xdr:cNvPr id="155" name="Connecteur droit avec flèche 154"/>
        <xdr:cNvCxnSpPr/>
      </xdr:nvCxnSpPr>
      <xdr:spPr>
        <a:xfrm>
          <a:off x="13761056" y="480936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41</xdr:row>
      <xdr:rowOff>78618</xdr:rowOff>
    </xdr:from>
    <xdr:to>
      <xdr:col>16</xdr:col>
      <xdr:colOff>138190</xdr:colOff>
      <xdr:row>41</xdr:row>
      <xdr:rowOff>80735</xdr:rowOff>
    </xdr:to>
    <xdr:cxnSp macro="">
      <xdr:nvCxnSpPr>
        <xdr:cNvPr id="156" name="Connecteur droit avec flèche 155"/>
        <xdr:cNvCxnSpPr/>
      </xdr:nvCxnSpPr>
      <xdr:spPr>
        <a:xfrm>
          <a:off x="13729306" y="5603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39</xdr:row>
      <xdr:rowOff>78618</xdr:rowOff>
    </xdr:from>
    <xdr:to>
      <xdr:col>16</xdr:col>
      <xdr:colOff>212274</xdr:colOff>
      <xdr:row>39</xdr:row>
      <xdr:rowOff>80735</xdr:rowOff>
    </xdr:to>
    <xdr:cxnSp macro="">
      <xdr:nvCxnSpPr>
        <xdr:cNvPr id="157" name="Connecteur droit avec flèche 156"/>
        <xdr:cNvCxnSpPr/>
      </xdr:nvCxnSpPr>
      <xdr:spPr>
        <a:xfrm>
          <a:off x="13803390" y="52221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43</xdr:row>
      <xdr:rowOff>68035</xdr:rowOff>
    </xdr:from>
    <xdr:to>
      <xdr:col>16</xdr:col>
      <xdr:colOff>201690</xdr:colOff>
      <xdr:row>43</xdr:row>
      <xdr:rowOff>70152</xdr:rowOff>
    </xdr:to>
    <xdr:cxnSp macro="">
      <xdr:nvCxnSpPr>
        <xdr:cNvPr id="158" name="Connecteur droit avec flèche 157"/>
        <xdr:cNvCxnSpPr/>
      </xdr:nvCxnSpPr>
      <xdr:spPr>
        <a:xfrm>
          <a:off x="13792806" y="5973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45</xdr:row>
      <xdr:rowOff>68035</xdr:rowOff>
    </xdr:from>
    <xdr:to>
      <xdr:col>16</xdr:col>
      <xdr:colOff>148773</xdr:colOff>
      <xdr:row>45</xdr:row>
      <xdr:rowOff>70152</xdr:rowOff>
    </xdr:to>
    <xdr:cxnSp macro="">
      <xdr:nvCxnSpPr>
        <xdr:cNvPr id="159" name="Connecteur droit avec flèche 158"/>
        <xdr:cNvCxnSpPr/>
      </xdr:nvCxnSpPr>
      <xdr:spPr>
        <a:xfrm>
          <a:off x="13739889" y="635453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46</xdr:row>
      <xdr:rowOff>78618</xdr:rowOff>
    </xdr:from>
    <xdr:to>
      <xdr:col>16</xdr:col>
      <xdr:colOff>138191</xdr:colOff>
      <xdr:row>46</xdr:row>
      <xdr:rowOff>80735</xdr:rowOff>
    </xdr:to>
    <xdr:cxnSp macro="">
      <xdr:nvCxnSpPr>
        <xdr:cNvPr id="160" name="Connecteur droit avec flèche 159"/>
        <xdr:cNvCxnSpPr/>
      </xdr:nvCxnSpPr>
      <xdr:spPr>
        <a:xfrm>
          <a:off x="13729307" y="655561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44</xdr:row>
      <xdr:rowOff>78619</xdr:rowOff>
    </xdr:from>
    <xdr:to>
      <xdr:col>16</xdr:col>
      <xdr:colOff>106440</xdr:colOff>
      <xdr:row>44</xdr:row>
      <xdr:rowOff>80736</xdr:rowOff>
    </xdr:to>
    <xdr:cxnSp macro="">
      <xdr:nvCxnSpPr>
        <xdr:cNvPr id="161" name="Connecteur droit avec flèche 160"/>
        <xdr:cNvCxnSpPr/>
      </xdr:nvCxnSpPr>
      <xdr:spPr>
        <a:xfrm>
          <a:off x="13697556" y="6174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36</xdr:row>
      <xdr:rowOff>68035</xdr:rowOff>
    </xdr:from>
    <xdr:to>
      <xdr:col>16</xdr:col>
      <xdr:colOff>169940</xdr:colOff>
      <xdr:row>37</xdr:row>
      <xdr:rowOff>36286</xdr:rowOff>
    </xdr:to>
    <xdr:cxnSp macro="">
      <xdr:nvCxnSpPr>
        <xdr:cNvPr id="162" name="Connecteur droit avec flèche 161"/>
        <xdr:cNvCxnSpPr/>
      </xdr:nvCxnSpPr>
      <xdr:spPr>
        <a:xfrm flipV="1">
          <a:off x="13750472" y="464003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38</xdr:row>
      <xdr:rowOff>89202</xdr:rowOff>
    </xdr:from>
    <xdr:to>
      <xdr:col>16</xdr:col>
      <xdr:colOff>212273</xdr:colOff>
      <xdr:row>39</xdr:row>
      <xdr:rowOff>57453</xdr:rowOff>
    </xdr:to>
    <xdr:cxnSp macro="">
      <xdr:nvCxnSpPr>
        <xdr:cNvPr id="163" name="Connecteur droit avec flèche 162"/>
        <xdr:cNvCxnSpPr/>
      </xdr:nvCxnSpPr>
      <xdr:spPr>
        <a:xfrm flipV="1">
          <a:off x="13803390" y="504220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40</xdr:row>
      <xdr:rowOff>89202</xdr:rowOff>
    </xdr:from>
    <xdr:to>
      <xdr:col>16</xdr:col>
      <xdr:colOff>159356</xdr:colOff>
      <xdr:row>41</xdr:row>
      <xdr:rowOff>57453</xdr:rowOff>
    </xdr:to>
    <xdr:cxnSp macro="">
      <xdr:nvCxnSpPr>
        <xdr:cNvPr id="164" name="Connecteur droit avec flèche 163"/>
        <xdr:cNvCxnSpPr/>
      </xdr:nvCxnSpPr>
      <xdr:spPr>
        <a:xfrm flipV="1">
          <a:off x="13718723" y="542320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42</xdr:row>
      <xdr:rowOff>89202</xdr:rowOff>
    </xdr:from>
    <xdr:to>
      <xdr:col>16</xdr:col>
      <xdr:colOff>233440</xdr:colOff>
      <xdr:row>43</xdr:row>
      <xdr:rowOff>46870</xdr:rowOff>
    </xdr:to>
    <xdr:cxnSp macro="">
      <xdr:nvCxnSpPr>
        <xdr:cNvPr id="165" name="Connecteur droit avec flèche 164"/>
        <xdr:cNvCxnSpPr/>
      </xdr:nvCxnSpPr>
      <xdr:spPr>
        <a:xfrm flipV="1">
          <a:off x="13771639" y="580420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1224643</xdr:colOff>
      <xdr:row>51</xdr:row>
      <xdr:rowOff>113394</xdr:rowOff>
    </xdr:from>
    <xdr:to>
      <xdr:col>12</xdr:col>
      <xdr:colOff>475343</xdr:colOff>
      <xdr:row>58</xdr:row>
      <xdr:rowOff>111278</xdr:rowOff>
    </xdr:to>
    <xdr:cxnSp macro="">
      <xdr:nvCxnSpPr>
        <xdr:cNvPr id="166" name="Connecteur droit avec flèche 165"/>
        <xdr:cNvCxnSpPr/>
      </xdr:nvCxnSpPr>
      <xdr:spPr>
        <a:xfrm flipV="1">
          <a:off x="10568668" y="7542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1226760</xdr:colOff>
      <xdr:row>55</xdr:row>
      <xdr:rowOff>81644</xdr:rowOff>
    </xdr:from>
    <xdr:to>
      <xdr:col>12</xdr:col>
      <xdr:colOff>306010</xdr:colOff>
      <xdr:row>58</xdr:row>
      <xdr:rowOff>111278</xdr:rowOff>
    </xdr:to>
    <xdr:cxnSp macro="">
      <xdr:nvCxnSpPr>
        <xdr:cNvPr id="167" name="Connecteur droit avec flèche 166"/>
        <xdr:cNvCxnSpPr/>
      </xdr:nvCxnSpPr>
      <xdr:spPr>
        <a:xfrm flipV="1">
          <a:off x="10570785" y="8273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1258510</xdr:colOff>
      <xdr:row>56</xdr:row>
      <xdr:rowOff>92227</xdr:rowOff>
    </xdr:from>
    <xdr:to>
      <xdr:col>12</xdr:col>
      <xdr:colOff>443593</xdr:colOff>
      <xdr:row>58</xdr:row>
      <xdr:rowOff>145144</xdr:rowOff>
    </xdr:to>
    <xdr:cxnSp macro="">
      <xdr:nvCxnSpPr>
        <xdr:cNvPr id="168" name="Connecteur droit avec flèche 167"/>
        <xdr:cNvCxnSpPr/>
      </xdr:nvCxnSpPr>
      <xdr:spPr>
        <a:xfrm flipV="1">
          <a:off x="10602535" y="8474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1269093</xdr:colOff>
      <xdr:row>58</xdr:row>
      <xdr:rowOff>102810</xdr:rowOff>
    </xdr:from>
    <xdr:to>
      <xdr:col>12</xdr:col>
      <xdr:colOff>337760</xdr:colOff>
      <xdr:row>58</xdr:row>
      <xdr:rowOff>134560</xdr:rowOff>
    </xdr:to>
    <xdr:cxnSp macro="">
      <xdr:nvCxnSpPr>
        <xdr:cNvPr id="169" name="Connecteur droit avec flèche 168"/>
        <xdr:cNvCxnSpPr/>
      </xdr:nvCxnSpPr>
      <xdr:spPr>
        <a:xfrm flipV="1">
          <a:off x="10613118" y="8865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126093</xdr:colOff>
      <xdr:row>49</xdr:row>
      <xdr:rowOff>60478</xdr:rowOff>
    </xdr:from>
    <xdr:to>
      <xdr:col>14</xdr:col>
      <xdr:colOff>308126</xdr:colOff>
      <xdr:row>51</xdr:row>
      <xdr:rowOff>102810</xdr:rowOff>
    </xdr:to>
    <xdr:cxnSp macro="">
      <xdr:nvCxnSpPr>
        <xdr:cNvPr id="170" name="Connecteur droit avec flèche 169"/>
        <xdr:cNvCxnSpPr/>
      </xdr:nvCxnSpPr>
      <xdr:spPr>
        <a:xfrm flipV="1">
          <a:off x="12299043" y="7108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83759</xdr:colOff>
      <xdr:row>51</xdr:row>
      <xdr:rowOff>100695</xdr:rowOff>
    </xdr:from>
    <xdr:to>
      <xdr:col>14</xdr:col>
      <xdr:colOff>221343</xdr:colOff>
      <xdr:row>51</xdr:row>
      <xdr:rowOff>113394</xdr:rowOff>
    </xdr:to>
    <xdr:cxnSp macro="">
      <xdr:nvCxnSpPr>
        <xdr:cNvPr id="171" name="Connecteur droit avec flèche 170"/>
        <xdr:cNvCxnSpPr/>
      </xdr:nvCxnSpPr>
      <xdr:spPr>
        <a:xfrm>
          <a:off x="12256709" y="7530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729344</xdr:colOff>
      <xdr:row>53</xdr:row>
      <xdr:rowOff>102810</xdr:rowOff>
    </xdr:from>
    <xdr:to>
      <xdr:col>14</xdr:col>
      <xdr:colOff>221344</xdr:colOff>
      <xdr:row>55</xdr:row>
      <xdr:rowOff>102808</xdr:rowOff>
    </xdr:to>
    <xdr:cxnSp macro="">
      <xdr:nvCxnSpPr>
        <xdr:cNvPr id="172" name="Connecteur droit avec flèche 171"/>
        <xdr:cNvCxnSpPr/>
      </xdr:nvCxnSpPr>
      <xdr:spPr>
        <a:xfrm flipV="1">
          <a:off x="12140294" y="7913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58</xdr:row>
      <xdr:rowOff>92226</xdr:rowOff>
    </xdr:from>
    <xdr:to>
      <xdr:col>14</xdr:col>
      <xdr:colOff>210761</xdr:colOff>
      <xdr:row>58</xdr:row>
      <xdr:rowOff>102811</xdr:rowOff>
    </xdr:to>
    <xdr:cxnSp macro="">
      <xdr:nvCxnSpPr>
        <xdr:cNvPr id="173" name="Connecteur droit avec flèche 172"/>
        <xdr:cNvCxnSpPr/>
      </xdr:nvCxnSpPr>
      <xdr:spPr>
        <a:xfrm>
          <a:off x="12267294" y="8855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168428</xdr:colOff>
      <xdr:row>56</xdr:row>
      <xdr:rowOff>81643</xdr:rowOff>
    </xdr:from>
    <xdr:to>
      <xdr:col>14</xdr:col>
      <xdr:colOff>231928</xdr:colOff>
      <xdr:row>56</xdr:row>
      <xdr:rowOff>92228</xdr:rowOff>
    </xdr:to>
    <xdr:cxnSp macro="">
      <xdr:nvCxnSpPr>
        <xdr:cNvPr id="174" name="Connecteur droit avec flèche 173"/>
        <xdr:cNvCxnSpPr/>
      </xdr:nvCxnSpPr>
      <xdr:spPr>
        <a:xfrm>
          <a:off x="12341378" y="846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20261</xdr:colOff>
      <xdr:row>55</xdr:row>
      <xdr:rowOff>71060</xdr:rowOff>
    </xdr:from>
    <xdr:to>
      <xdr:col>14</xdr:col>
      <xdr:colOff>189594</xdr:colOff>
      <xdr:row>55</xdr:row>
      <xdr:rowOff>92228</xdr:rowOff>
    </xdr:to>
    <xdr:cxnSp macro="">
      <xdr:nvCxnSpPr>
        <xdr:cNvPr id="175" name="Connecteur droit avec flèche 174"/>
        <xdr:cNvCxnSpPr/>
      </xdr:nvCxnSpPr>
      <xdr:spPr>
        <a:xfrm>
          <a:off x="12193211" y="8262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94344</xdr:colOff>
      <xdr:row>57</xdr:row>
      <xdr:rowOff>134559</xdr:rowOff>
    </xdr:from>
    <xdr:to>
      <xdr:col>14</xdr:col>
      <xdr:colOff>242511</xdr:colOff>
      <xdr:row>58</xdr:row>
      <xdr:rowOff>92226</xdr:rowOff>
    </xdr:to>
    <xdr:cxnSp macro="">
      <xdr:nvCxnSpPr>
        <xdr:cNvPr id="176" name="Connecteur droit avec flèche 175"/>
        <xdr:cNvCxnSpPr/>
      </xdr:nvCxnSpPr>
      <xdr:spPr>
        <a:xfrm flipV="1">
          <a:off x="12267294" y="8707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200177</xdr:colOff>
      <xdr:row>49</xdr:row>
      <xdr:rowOff>60476</xdr:rowOff>
    </xdr:from>
    <xdr:to>
      <xdr:col>16</xdr:col>
      <xdr:colOff>327178</xdr:colOff>
      <xdr:row>49</xdr:row>
      <xdr:rowOff>73176</xdr:rowOff>
    </xdr:to>
    <xdr:cxnSp macro="">
      <xdr:nvCxnSpPr>
        <xdr:cNvPr id="177" name="Connecteur droit avec flèche 176"/>
        <xdr:cNvCxnSpPr/>
      </xdr:nvCxnSpPr>
      <xdr:spPr>
        <a:xfrm>
          <a:off x="13897127" y="7108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168427</xdr:colOff>
      <xdr:row>53</xdr:row>
      <xdr:rowOff>92226</xdr:rowOff>
    </xdr:from>
    <xdr:to>
      <xdr:col>16</xdr:col>
      <xdr:colOff>274261</xdr:colOff>
      <xdr:row>53</xdr:row>
      <xdr:rowOff>94343</xdr:rowOff>
    </xdr:to>
    <xdr:cxnSp macro="">
      <xdr:nvCxnSpPr>
        <xdr:cNvPr id="178" name="Connecteur droit avec flèche 177"/>
        <xdr:cNvCxnSpPr/>
      </xdr:nvCxnSpPr>
      <xdr:spPr>
        <a:xfrm>
          <a:off x="13865377" y="7902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51</xdr:row>
      <xdr:rowOff>92226</xdr:rowOff>
    </xdr:from>
    <xdr:to>
      <xdr:col>16</xdr:col>
      <xdr:colOff>348345</xdr:colOff>
      <xdr:row>51</xdr:row>
      <xdr:rowOff>94343</xdr:rowOff>
    </xdr:to>
    <xdr:cxnSp macro="">
      <xdr:nvCxnSpPr>
        <xdr:cNvPr id="179" name="Connecteur droit avec flèche 178"/>
        <xdr:cNvCxnSpPr/>
      </xdr:nvCxnSpPr>
      <xdr:spPr>
        <a:xfrm>
          <a:off x="13939461" y="7521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231927</xdr:colOff>
      <xdr:row>55</xdr:row>
      <xdr:rowOff>81643</xdr:rowOff>
    </xdr:from>
    <xdr:to>
      <xdr:col>16</xdr:col>
      <xdr:colOff>337761</xdr:colOff>
      <xdr:row>55</xdr:row>
      <xdr:rowOff>83760</xdr:rowOff>
    </xdr:to>
    <xdr:cxnSp macro="">
      <xdr:nvCxnSpPr>
        <xdr:cNvPr id="180" name="Connecteur droit avec flèche 179"/>
        <xdr:cNvCxnSpPr/>
      </xdr:nvCxnSpPr>
      <xdr:spPr>
        <a:xfrm>
          <a:off x="13928877" y="8273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179010</xdr:colOff>
      <xdr:row>57</xdr:row>
      <xdr:rowOff>81643</xdr:rowOff>
    </xdr:from>
    <xdr:to>
      <xdr:col>16</xdr:col>
      <xdr:colOff>284844</xdr:colOff>
      <xdr:row>57</xdr:row>
      <xdr:rowOff>83760</xdr:rowOff>
    </xdr:to>
    <xdr:cxnSp macro="">
      <xdr:nvCxnSpPr>
        <xdr:cNvPr id="181" name="Connecteur droit avec flèche 180"/>
        <xdr:cNvCxnSpPr/>
      </xdr:nvCxnSpPr>
      <xdr:spPr>
        <a:xfrm>
          <a:off x="13875960" y="8654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168428</xdr:colOff>
      <xdr:row>58</xdr:row>
      <xdr:rowOff>92226</xdr:rowOff>
    </xdr:from>
    <xdr:to>
      <xdr:col>16</xdr:col>
      <xdr:colOff>274262</xdr:colOff>
      <xdr:row>58</xdr:row>
      <xdr:rowOff>94343</xdr:rowOff>
    </xdr:to>
    <xdr:cxnSp macro="">
      <xdr:nvCxnSpPr>
        <xdr:cNvPr id="182" name="Connecteur droit avec flèche 181"/>
        <xdr:cNvCxnSpPr/>
      </xdr:nvCxnSpPr>
      <xdr:spPr>
        <a:xfrm>
          <a:off x="13865378" y="885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56</xdr:row>
      <xdr:rowOff>92227</xdr:rowOff>
    </xdr:from>
    <xdr:to>
      <xdr:col>16</xdr:col>
      <xdr:colOff>242511</xdr:colOff>
      <xdr:row>56</xdr:row>
      <xdr:rowOff>94344</xdr:rowOff>
    </xdr:to>
    <xdr:cxnSp macro="">
      <xdr:nvCxnSpPr>
        <xdr:cNvPr id="183" name="Connecteur droit avec flèche 182"/>
        <xdr:cNvCxnSpPr/>
      </xdr:nvCxnSpPr>
      <xdr:spPr>
        <a:xfrm>
          <a:off x="13833627" y="847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189593</xdr:colOff>
      <xdr:row>48</xdr:row>
      <xdr:rowOff>81643</xdr:rowOff>
    </xdr:from>
    <xdr:to>
      <xdr:col>16</xdr:col>
      <xdr:colOff>306011</xdr:colOff>
      <xdr:row>49</xdr:row>
      <xdr:rowOff>49894</xdr:rowOff>
    </xdr:to>
    <xdr:cxnSp macro="">
      <xdr:nvCxnSpPr>
        <xdr:cNvPr id="184" name="Connecteur droit avec flèche 183"/>
        <xdr:cNvCxnSpPr/>
      </xdr:nvCxnSpPr>
      <xdr:spPr>
        <a:xfrm flipV="1">
          <a:off x="13886543" y="6939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242511</xdr:colOff>
      <xdr:row>50</xdr:row>
      <xdr:rowOff>102810</xdr:rowOff>
    </xdr:from>
    <xdr:to>
      <xdr:col>16</xdr:col>
      <xdr:colOff>348344</xdr:colOff>
      <xdr:row>51</xdr:row>
      <xdr:rowOff>71061</xdr:rowOff>
    </xdr:to>
    <xdr:cxnSp macro="">
      <xdr:nvCxnSpPr>
        <xdr:cNvPr id="185" name="Connecteur droit avec flèche 184"/>
        <xdr:cNvCxnSpPr/>
      </xdr:nvCxnSpPr>
      <xdr:spPr>
        <a:xfrm flipV="1">
          <a:off x="13939461" y="7341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157844</xdr:colOff>
      <xdr:row>52</xdr:row>
      <xdr:rowOff>102810</xdr:rowOff>
    </xdr:from>
    <xdr:to>
      <xdr:col>16</xdr:col>
      <xdr:colOff>295427</xdr:colOff>
      <xdr:row>53</xdr:row>
      <xdr:rowOff>71061</xdr:rowOff>
    </xdr:to>
    <xdr:cxnSp macro="">
      <xdr:nvCxnSpPr>
        <xdr:cNvPr id="186" name="Connecteur droit avec flèche 185"/>
        <xdr:cNvCxnSpPr/>
      </xdr:nvCxnSpPr>
      <xdr:spPr>
        <a:xfrm flipV="1">
          <a:off x="13854794" y="7722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210760</xdr:colOff>
      <xdr:row>54</xdr:row>
      <xdr:rowOff>102810</xdr:rowOff>
    </xdr:from>
    <xdr:to>
      <xdr:col>16</xdr:col>
      <xdr:colOff>369511</xdr:colOff>
      <xdr:row>55</xdr:row>
      <xdr:rowOff>60478</xdr:rowOff>
    </xdr:to>
    <xdr:cxnSp macro="">
      <xdr:nvCxnSpPr>
        <xdr:cNvPr id="187" name="Connecteur droit avec flèche 186"/>
        <xdr:cNvCxnSpPr/>
      </xdr:nvCxnSpPr>
      <xdr:spPr>
        <a:xfrm flipV="1">
          <a:off x="13907710" y="8103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63</xdr:row>
      <xdr:rowOff>127001</xdr:rowOff>
    </xdr:from>
    <xdr:to>
      <xdr:col>12</xdr:col>
      <xdr:colOff>352879</xdr:colOff>
      <xdr:row>70</xdr:row>
      <xdr:rowOff>124885</xdr:rowOff>
    </xdr:to>
    <xdr:cxnSp macro="">
      <xdr:nvCxnSpPr>
        <xdr:cNvPr id="188" name="Connecteur droit avec flèche 187"/>
        <xdr:cNvCxnSpPr/>
      </xdr:nvCxnSpPr>
      <xdr:spPr>
        <a:xfrm flipV="1">
          <a:off x="10446204" y="9842501"/>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1104296</xdr:colOff>
      <xdr:row>67</xdr:row>
      <xdr:rowOff>95251</xdr:rowOff>
    </xdr:from>
    <xdr:to>
      <xdr:col>12</xdr:col>
      <xdr:colOff>183546</xdr:colOff>
      <xdr:row>70</xdr:row>
      <xdr:rowOff>124885</xdr:rowOff>
    </xdr:to>
    <xdr:cxnSp macro="">
      <xdr:nvCxnSpPr>
        <xdr:cNvPr id="189" name="Connecteur droit avec flèche 188"/>
        <xdr:cNvCxnSpPr/>
      </xdr:nvCxnSpPr>
      <xdr:spPr>
        <a:xfrm flipV="1">
          <a:off x="10448321" y="10572751"/>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1136046</xdr:colOff>
      <xdr:row>68</xdr:row>
      <xdr:rowOff>105834</xdr:rowOff>
    </xdr:from>
    <xdr:to>
      <xdr:col>12</xdr:col>
      <xdr:colOff>321129</xdr:colOff>
      <xdr:row>70</xdr:row>
      <xdr:rowOff>158751</xdr:rowOff>
    </xdr:to>
    <xdr:cxnSp macro="">
      <xdr:nvCxnSpPr>
        <xdr:cNvPr id="190" name="Connecteur droit avec flèche 189"/>
        <xdr:cNvCxnSpPr/>
      </xdr:nvCxnSpPr>
      <xdr:spPr>
        <a:xfrm flipV="1">
          <a:off x="10480071" y="10773834"/>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1146629</xdr:colOff>
      <xdr:row>70</xdr:row>
      <xdr:rowOff>116417</xdr:rowOff>
    </xdr:from>
    <xdr:to>
      <xdr:col>12</xdr:col>
      <xdr:colOff>215296</xdr:colOff>
      <xdr:row>70</xdr:row>
      <xdr:rowOff>148167</xdr:rowOff>
    </xdr:to>
    <xdr:cxnSp macro="">
      <xdr:nvCxnSpPr>
        <xdr:cNvPr id="191" name="Connecteur droit avec flèche 190"/>
        <xdr:cNvCxnSpPr/>
      </xdr:nvCxnSpPr>
      <xdr:spPr>
        <a:xfrm flipV="1">
          <a:off x="10490654" y="11165417"/>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3629</xdr:colOff>
      <xdr:row>61</xdr:row>
      <xdr:rowOff>74085</xdr:rowOff>
    </xdr:from>
    <xdr:to>
      <xdr:col>14</xdr:col>
      <xdr:colOff>185662</xdr:colOff>
      <xdr:row>63</xdr:row>
      <xdr:rowOff>116417</xdr:rowOff>
    </xdr:to>
    <xdr:cxnSp macro="">
      <xdr:nvCxnSpPr>
        <xdr:cNvPr id="192" name="Connecteur droit avec flèche 191"/>
        <xdr:cNvCxnSpPr/>
      </xdr:nvCxnSpPr>
      <xdr:spPr>
        <a:xfrm flipV="1">
          <a:off x="12176579" y="9408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723295</xdr:colOff>
      <xdr:row>63</xdr:row>
      <xdr:rowOff>114302</xdr:rowOff>
    </xdr:from>
    <xdr:to>
      <xdr:col>14</xdr:col>
      <xdr:colOff>98879</xdr:colOff>
      <xdr:row>63</xdr:row>
      <xdr:rowOff>127001</xdr:rowOff>
    </xdr:to>
    <xdr:cxnSp macro="">
      <xdr:nvCxnSpPr>
        <xdr:cNvPr id="193" name="Connecteur droit avec flèche 192"/>
        <xdr:cNvCxnSpPr/>
      </xdr:nvCxnSpPr>
      <xdr:spPr>
        <a:xfrm>
          <a:off x="12134245" y="9829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606880</xdr:colOff>
      <xdr:row>65</xdr:row>
      <xdr:rowOff>116417</xdr:rowOff>
    </xdr:from>
    <xdr:to>
      <xdr:col>14</xdr:col>
      <xdr:colOff>98880</xdr:colOff>
      <xdr:row>67</xdr:row>
      <xdr:rowOff>116415</xdr:rowOff>
    </xdr:to>
    <xdr:cxnSp macro="">
      <xdr:nvCxnSpPr>
        <xdr:cNvPr id="194" name="Connecteur droit avec flèche 193"/>
        <xdr:cNvCxnSpPr/>
      </xdr:nvCxnSpPr>
      <xdr:spPr>
        <a:xfrm flipV="1">
          <a:off x="12017830" y="10212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70</xdr:row>
      <xdr:rowOff>105833</xdr:rowOff>
    </xdr:from>
    <xdr:to>
      <xdr:col>14</xdr:col>
      <xdr:colOff>88297</xdr:colOff>
      <xdr:row>70</xdr:row>
      <xdr:rowOff>116418</xdr:rowOff>
    </xdr:to>
    <xdr:cxnSp macro="">
      <xdr:nvCxnSpPr>
        <xdr:cNvPr id="195" name="Connecteur droit avec flèche 194"/>
        <xdr:cNvCxnSpPr/>
      </xdr:nvCxnSpPr>
      <xdr:spPr>
        <a:xfrm>
          <a:off x="12144830" y="11154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45964</xdr:colOff>
      <xdr:row>68</xdr:row>
      <xdr:rowOff>95250</xdr:rowOff>
    </xdr:from>
    <xdr:to>
      <xdr:col>14</xdr:col>
      <xdr:colOff>109464</xdr:colOff>
      <xdr:row>68</xdr:row>
      <xdr:rowOff>105835</xdr:rowOff>
    </xdr:to>
    <xdr:cxnSp macro="">
      <xdr:nvCxnSpPr>
        <xdr:cNvPr id="196" name="Connecteur droit avec flèche 195"/>
        <xdr:cNvCxnSpPr/>
      </xdr:nvCxnSpPr>
      <xdr:spPr>
        <a:xfrm>
          <a:off x="12218914" y="10763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659797</xdr:colOff>
      <xdr:row>67</xdr:row>
      <xdr:rowOff>84667</xdr:rowOff>
    </xdr:from>
    <xdr:to>
      <xdr:col>14</xdr:col>
      <xdr:colOff>67130</xdr:colOff>
      <xdr:row>67</xdr:row>
      <xdr:rowOff>105835</xdr:rowOff>
    </xdr:to>
    <xdr:cxnSp macro="">
      <xdr:nvCxnSpPr>
        <xdr:cNvPr id="197" name="Connecteur droit avec flèche 196"/>
        <xdr:cNvCxnSpPr/>
      </xdr:nvCxnSpPr>
      <xdr:spPr>
        <a:xfrm>
          <a:off x="12070747" y="10562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733880</xdr:colOff>
      <xdr:row>69</xdr:row>
      <xdr:rowOff>148166</xdr:rowOff>
    </xdr:from>
    <xdr:to>
      <xdr:col>14</xdr:col>
      <xdr:colOff>120047</xdr:colOff>
      <xdr:row>70</xdr:row>
      <xdr:rowOff>105833</xdr:rowOff>
    </xdr:to>
    <xdr:cxnSp macro="">
      <xdr:nvCxnSpPr>
        <xdr:cNvPr id="198" name="Connecteur droit avec flèche 197"/>
        <xdr:cNvCxnSpPr/>
      </xdr:nvCxnSpPr>
      <xdr:spPr>
        <a:xfrm flipV="1">
          <a:off x="12144830" y="11006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77713</xdr:colOff>
      <xdr:row>61</xdr:row>
      <xdr:rowOff>74083</xdr:rowOff>
    </xdr:from>
    <xdr:to>
      <xdr:col>16</xdr:col>
      <xdr:colOff>204714</xdr:colOff>
      <xdr:row>61</xdr:row>
      <xdr:rowOff>86783</xdr:rowOff>
    </xdr:to>
    <xdr:cxnSp macro="">
      <xdr:nvCxnSpPr>
        <xdr:cNvPr id="199" name="Connecteur droit avec flèche 198"/>
        <xdr:cNvCxnSpPr/>
      </xdr:nvCxnSpPr>
      <xdr:spPr>
        <a:xfrm>
          <a:off x="13774663" y="9408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45963</xdr:colOff>
      <xdr:row>65</xdr:row>
      <xdr:rowOff>105833</xdr:rowOff>
    </xdr:from>
    <xdr:to>
      <xdr:col>16</xdr:col>
      <xdr:colOff>151797</xdr:colOff>
      <xdr:row>65</xdr:row>
      <xdr:rowOff>107950</xdr:rowOff>
    </xdr:to>
    <xdr:cxnSp macro="">
      <xdr:nvCxnSpPr>
        <xdr:cNvPr id="200" name="Connecteur droit avec flèche 199"/>
        <xdr:cNvCxnSpPr/>
      </xdr:nvCxnSpPr>
      <xdr:spPr>
        <a:xfrm>
          <a:off x="13742913" y="10202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63</xdr:row>
      <xdr:rowOff>105833</xdr:rowOff>
    </xdr:from>
    <xdr:to>
      <xdr:col>16</xdr:col>
      <xdr:colOff>225881</xdr:colOff>
      <xdr:row>63</xdr:row>
      <xdr:rowOff>107950</xdr:rowOff>
    </xdr:to>
    <xdr:cxnSp macro="">
      <xdr:nvCxnSpPr>
        <xdr:cNvPr id="201" name="Connecteur droit avec flèche 200"/>
        <xdr:cNvCxnSpPr/>
      </xdr:nvCxnSpPr>
      <xdr:spPr>
        <a:xfrm>
          <a:off x="13816997" y="9821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109463</xdr:colOff>
      <xdr:row>67</xdr:row>
      <xdr:rowOff>95250</xdr:rowOff>
    </xdr:from>
    <xdr:to>
      <xdr:col>16</xdr:col>
      <xdr:colOff>215297</xdr:colOff>
      <xdr:row>67</xdr:row>
      <xdr:rowOff>97367</xdr:rowOff>
    </xdr:to>
    <xdr:cxnSp macro="">
      <xdr:nvCxnSpPr>
        <xdr:cNvPr id="202" name="Connecteur droit avec flèche 201"/>
        <xdr:cNvCxnSpPr/>
      </xdr:nvCxnSpPr>
      <xdr:spPr>
        <a:xfrm>
          <a:off x="13806413" y="10572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56546</xdr:colOff>
      <xdr:row>69</xdr:row>
      <xdr:rowOff>95250</xdr:rowOff>
    </xdr:from>
    <xdr:to>
      <xdr:col>16</xdr:col>
      <xdr:colOff>162380</xdr:colOff>
      <xdr:row>69</xdr:row>
      <xdr:rowOff>97367</xdr:rowOff>
    </xdr:to>
    <xdr:cxnSp macro="">
      <xdr:nvCxnSpPr>
        <xdr:cNvPr id="203" name="Connecteur droit avec flèche 202"/>
        <xdr:cNvCxnSpPr/>
      </xdr:nvCxnSpPr>
      <xdr:spPr>
        <a:xfrm>
          <a:off x="13753496" y="10953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45964</xdr:colOff>
      <xdr:row>70</xdr:row>
      <xdr:rowOff>105833</xdr:rowOff>
    </xdr:from>
    <xdr:to>
      <xdr:col>16</xdr:col>
      <xdr:colOff>151798</xdr:colOff>
      <xdr:row>70</xdr:row>
      <xdr:rowOff>107950</xdr:rowOff>
    </xdr:to>
    <xdr:cxnSp macro="">
      <xdr:nvCxnSpPr>
        <xdr:cNvPr id="204" name="Connecteur droit avec flèche 203"/>
        <xdr:cNvCxnSpPr/>
      </xdr:nvCxnSpPr>
      <xdr:spPr>
        <a:xfrm>
          <a:off x="13742914" y="11154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14213</xdr:colOff>
      <xdr:row>68</xdr:row>
      <xdr:rowOff>105834</xdr:rowOff>
    </xdr:from>
    <xdr:to>
      <xdr:col>16</xdr:col>
      <xdr:colOff>120047</xdr:colOff>
      <xdr:row>68</xdr:row>
      <xdr:rowOff>107951</xdr:rowOff>
    </xdr:to>
    <xdr:cxnSp macro="">
      <xdr:nvCxnSpPr>
        <xdr:cNvPr id="205" name="Connecteur droit avec flèche 204"/>
        <xdr:cNvCxnSpPr/>
      </xdr:nvCxnSpPr>
      <xdr:spPr>
        <a:xfrm>
          <a:off x="13711163" y="10773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67129</xdr:colOff>
      <xdr:row>60</xdr:row>
      <xdr:rowOff>95250</xdr:rowOff>
    </xdr:from>
    <xdr:to>
      <xdr:col>16</xdr:col>
      <xdr:colOff>183547</xdr:colOff>
      <xdr:row>61</xdr:row>
      <xdr:rowOff>63501</xdr:rowOff>
    </xdr:to>
    <xdr:cxnSp macro="">
      <xdr:nvCxnSpPr>
        <xdr:cNvPr id="206" name="Connecteur droit avec flèche 205"/>
        <xdr:cNvCxnSpPr/>
      </xdr:nvCxnSpPr>
      <xdr:spPr>
        <a:xfrm flipV="1">
          <a:off x="13764079" y="9239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120047</xdr:colOff>
      <xdr:row>62</xdr:row>
      <xdr:rowOff>116417</xdr:rowOff>
    </xdr:from>
    <xdr:to>
      <xdr:col>16</xdr:col>
      <xdr:colOff>225880</xdr:colOff>
      <xdr:row>63</xdr:row>
      <xdr:rowOff>84668</xdr:rowOff>
    </xdr:to>
    <xdr:cxnSp macro="">
      <xdr:nvCxnSpPr>
        <xdr:cNvPr id="207" name="Connecteur droit avec flèche 206"/>
        <xdr:cNvCxnSpPr/>
      </xdr:nvCxnSpPr>
      <xdr:spPr>
        <a:xfrm flipV="1">
          <a:off x="13816997" y="9641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35380</xdr:colOff>
      <xdr:row>64</xdr:row>
      <xdr:rowOff>116417</xdr:rowOff>
    </xdr:from>
    <xdr:to>
      <xdr:col>16</xdr:col>
      <xdr:colOff>172963</xdr:colOff>
      <xdr:row>65</xdr:row>
      <xdr:rowOff>84668</xdr:rowOff>
    </xdr:to>
    <xdr:cxnSp macro="">
      <xdr:nvCxnSpPr>
        <xdr:cNvPr id="208" name="Connecteur droit avec flèche 207"/>
        <xdr:cNvCxnSpPr/>
      </xdr:nvCxnSpPr>
      <xdr:spPr>
        <a:xfrm flipV="1">
          <a:off x="13732330" y="10022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88296</xdr:colOff>
      <xdr:row>66</xdr:row>
      <xdr:rowOff>116417</xdr:rowOff>
    </xdr:from>
    <xdr:to>
      <xdr:col>16</xdr:col>
      <xdr:colOff>247047</xdr:colOff>
      <xdr:row>67</xdr:row>
      <xdr:rowOff>74085</xdr:rowOff>
    </xdr:to>
    <xdr:cxnSp macro="">
      <xdr:nvCxnSpPr>
        <xdr:cNvPr id="209" name="Connecteur droit avec flèche 208"/>
        <xdr:cNvCxnSpPr/>
      </xdr:nvCxnSpPr>
      <xdr:spPr>
        <a:xfrm flipV="1">
          <a:off x="13785246" y="10403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87</xdr:row>
      <xdr:rowOff>140608</xdr:rowOff>
    </xdr:from>
    <xdr:to>
      <xdr:col>12</xdr:col>
      <xdr:colOff>298450</xdr:colOff>
      <xdr:row>94</xdr:row>
      <xdr:rowOff>138492</xdr:rowOff>
    </xdr:to>
    <xdr:cxnSp macro="">
      <xdr:nvCxnSpPr>
        <xdr:cNvPr id="210" name="Connecteur droit avec flèche 209"/>
        <xdr:cNvCxnSpPr/>
      </xdr:nvCxnSpPr>
      <xdr:spPr>
        <a:xfrm flipV="1">
          <a:off x="10391775" y="12142108"/>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1049867</xdr:colOff>
      <xdr:row>91</xdr:row>
      <xdr:rowOff>108858</xdr:rowOff>
    </xdr:from>
    <xdr:to>
      <xdr:col>12</xdr:col>
      <xdr:colOff>129117</xdr:colOff>
      <xdr:row>94</xdr:row>
      <xdr:rowOff>138492</xdr:rowOff>
    </xdr:to>
    <xdr:cxnSp macro="">
      <xdr:nvCxnSpPr>
        <xdr:cNvPr id="211" name="Connecteur droit avec flèche 210"/>
        <xdr:cNvCxnSpPr/>
      </xdr:nvCxnSpPr>
      <xdr:spPr>
        <a:xfrm flipV="1">
          <a:off x="10393892" y="12872358"/>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1081617</xdr:colOff>
      <xdr:row>92</xdr:row>
      <xdr:rowOff>119441</xdr:rowOff>
    </xdr:from>
    <xdr:to>
      <xdr:col>12</xdr:col>
      <xdr:colOff>266700</xdr:colOff>
      <xdr:row>94</xdr:row>
      <xdr:rowOff>172358</xdr:rowOff>
    </xdr:to>
    <xdr:cxnSp macro="">
      <xdr:nvCxnSpPr>
        <xdr:cNvPr id="212" name="Connecteur droit avec flèche 211"/>
        <xdr:cNvCxnSpPr/>
      </xdr:nvCxnSpPr>
      <xdr:spPr>
        <a:xfrm flipV="1">
          <a:off x="10425642" y="13073441"/>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1092200</xdr:colOff>
      <xdr:row>94</xdr:row>
      <xdr:rowOff>130024</xdr:rowOff>
    </xdr:from>
    <xdr:to>
      <xdr:col>12</xdr:col>
      <xdr:colOff>160867</xdr:colOff>
      <xdr:row>94</xdr:row>
      <xdr:rowOff>161774</xdr:rowOff>
    </xdr:to>
    <xdr:cxnSp macro="">
      <xdr:nvCxnSpPr>
        <xdr:cNvPr id="213" name="Connecteur droit avec flèche 212"/>
        <xdr:cNvCxnSpPr/>
      </xdr:nvCxnSpPr>
      <xdr:spPr>
        <a:xfrm flipV="1">
          <a:off x="10436225" y="13465024"/>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711200</xdr:colOff>
      <xdr:row>85</xdr:row>
      <xdr:rowOff>87692</xdr:rowOff>
    </xdr:from>
    <xdr:to>
      <xdr:col>14</xdr:col>
      <xdr:colOff>131233</xdr:colOff>
      <xdr:row>87</xdr:row>
      <xdr:rowOff>130024</xdr:rowOff>
    </xdr:to>
    <xdr:cxnSp macro="">
      <xdr:nvCxnSpPr>
        <xdr:cNvPr id="214" name="Connecteur droit avec flèche 213"/>
        <xdr:cNvCxnSpPr/>
      </xdr:nvCxnSpPr>
      <xdr:spPr>
        <a:xfrm flipV="1">
          <a:off x="12122150" y="11708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668866</xdr:colOff>
      <xdr:row>87</xdr:row>
      <xdr:rowOff>127909</xdr:rowOff>
    </xdr:from>
    <xdr:to>
      <xdr:col>14</xdr:col>
      <xdr:colOff>44450</xdr:colOff>
      <xdr:row>87</xdr:row>
      <xdr:rowOff>140608</xdr:rowOff>
    </xdr:to>
    <xdr:cxnSp macro="">
      <xdr:nvCxnSpPr>
        <xdr:cNvPr id="215" name="Connecteur droit avec flèche 214"/>
        <xdr:cNvCxnSpPr/>
      </xdr:nvCxnSpPr>
      <xdr:spPr>
        <a:xfrm>
          <a:off x="12079816" y="12129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552451</xdr:colOff>
      <xdr:row>89</xdr:row>
      <xdr:rowOff>130024</xdr:rowOff>
    </xdr:from>
    <xdr:to>
      <xdr:col>14</xdr:col>
      <xdr:colOff>44451</xdr:colOff>
      <xdr:row>91</xdr:row>
      <xdr:rowOff>130022</xdr:rowOff>
    </xdr:to>
    <xdr:cxnSp macro="">
      <xdr:nvCxnSpPr>
        <xdr:cNvPr id="216" name="Connecteur droit avec flèche 215"/>
        <xdr:cNvCxnSpPr/>
      </xdr:nvCxnSpPr>
      <xdr:spPr>
        <a:xfrm flipV="1">
          <a:off x="11963401" y="12512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94</xdr:row>
      <xdr:rowOff>119440</xdr:rowOff>
    </xdr:from>
    <xdr:to>
      <xdr:col>14</xdr:col>
      <xdr:colOff>33868</xdr:colOff>
      <xdr:row>94</xdr:row>
      <xdr:rowOff>130025</xdr:rowOff>
    </xdr:to>
    <xdr:cxnSp macro="">
      <xdr:nvCxnSpPr>
        <xdr:cNvPr id="217" name="Connecteur droit avec flèche 216"/>
        <xdr:cNvCxnSpPr/>
      </xdr:nvCxnSpPr>
      <xdr:spPr>
        <a:xfrm>
          <a:off x="12090401" y="13454440"/>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753535</xdr:colOff>
      <xdr:row>92</xdr:row>
      <xdr:rowOff>108857</xdr:rowOff>
    </xdr:from>
    <xdr:to>
      <xdr:col>14</xdr:col>
      <xdr:colOff>55035</xdr:colOff>
      <xdr:row>92</xdr:row>
      <xdr:rowOff>119442</xdr:rowOff>
    </xdr:to>
    <xdr:cxnSp macro="">
      <xdr:nvCxnSpPr>
        <xdr:cNvPr id="218" name="Connecteur droit avec flèche 217"/>
        <xdr:cNvCxnSpPr/>
      </xdr:nvCxnSpPr>
      <xdr:spPr>
        <a:xfrm>
          <a:off x="12164485" y="13062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605368</xdr:colOff>
      <xdr:row>91</xdr:row>
      <xdr:rowOff>98274</xdr:rowOff>
    </xdr:from>
    <xdr:to>
      <xdr:col>14</xdr:col>
      <xdr:colOff>12701</xdr:colOff>
      <xdr:row>91</xdr:row>
      <xdr:rowOff>119442</xdr:rowOff>
    </xdr:to>
    <xdr:cxnSp macro="">
      <xdr:nvCxnSpPr>
        <xdr:cNvPr id="219" name="Connecteur droit avec flèche 218"/>
        <xdr:cNvCxnSpPr/>
      </xdr:nvCxnSpPr>
      <xdr:spPr>
        <a:xfrm>
          <a:off x="12016318" y="12861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679451</xdr:colOff>
      <xdr:row>93</xdr:row>
      <xdr:rowOff>161773</xdr:rowOff>
    </xdr:from>
    <xdr:to>
      <xdr:col>14</xdr:col>
      <xdr:colOff>65618</xdr:colOff>
      <xdr:row>94</xdr:row>
      <xdr:rowOff>119440</xdr:rowOff>
    </xdr:to>
    <xdr:cxnSp macro="">
      <xdr:nvCxnSpPr>
        <xdr:cNvPr id="220" name="Connecteur droit avec flèche 219"/>
        <xdr:cNvCxnSpPr/>
      </xdr:nvCxnSpPr>
      <xdr:spPr>
        <a:xfrm flipV="1">
          <a:off x="12090401" y="13306273"/>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23284</xdr:colOff>
      <xdr:row>85</xdr:row>
      <xdr:rowOff>87690</xdr:rowOff>
    </xdr:from>
    <xdr:to>
      <xdr:col>16</xdr:col>
      <xdr:colOff>150285</xdr:colOff>
      <xdr:row>85</xdr:row>
      <xdr:rowOff>100390</xdr:rowOff>
    </xdr:to>
    <xdr:cxnSp macro="">
      <xdr:nvCxnSpPr>
        <xdr:cNvPr id="221" name="Connecteur droit avec flèche 220"/>
        <xdr:cNvCxnSpPr/>
      </xdr:nvCxnSpPr>
      <xdr:spPr>
        <a:xfrm>
          <a:off x="13720234" y="11708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753534</xdr:colOff>
      <xdr:row>89</xdr:row>
      <xdr:rowOff>119440</xdr:rowOff>
    </xdr:from>
    <xdr:to>
      <xdr:col>16</xdr:col>
      <xdr:colOff>97368</xdr:colOff>
      <xdr:row>89</xdr:row>
      <xdr:rowOff>121557</xdr:rowOff>
    </xdr:to>
    <xdr:cxnSp macro="">
      <xdr:nvCxnSpPr>
        <xdr:cNvPr id="222" name="Connecteur droit avec flèche 221"/>
        <xdr:cNvCxnSpPr/>
      </xdr:nvCxnSpPr>
      <xdr:spPr>
        <a:xfrm>
          <a:off x="13688484" y="12501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87</xdr:row>
      <xdr:rowOff>119440</xdr:rowOff>
    </xdr:from>
    <xdr:to>
      <xdr:col>16</xdr:col>
      <xdr:colOff>171452</xdr:colOff>
      <xdr:row>87</xdr:row>
      <xdr:rowOff>121557</xdr:rowOff>
    </xdr:to>
    <xdr:cxnSp macro="">
      <xdr:nvCxnSpPr>
        <xdr:cNvPr id="223" name="Connecteur droit avec flèche 222"/>
        <xdr:cNvCxnSpPr/>
      </xdr:nvCxnSpPr>
      <xdr:spPr>
        <a:xfrm>
          <a:off x="13762568" y="12120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55034</xdr:colOff>
      <xdr:row>91</xdr:row>
      <xdr:rowOff>108857</xdr:rowOff>
    </xdr:from>
    <xdr:to>
      <xdr:col>16</xdr:col>
      <xdr:colOff>160868</xdr:colOff>
      <xdr:row>91</xdr:row>
      <xdr:rowOff>110974</xdr:rowOff>
    </xdr:to>
    <xdr:cxnSp macro="">
      <xdr:nvCxnSpPr>
        <xdr:cNvPr id="224" name="Connecteur droit avec flèche 223"/>
        <xdr:cNvCxnSpPr/>
      </xdr:nvCxnSpPr>
      <xdr:spPr>
        <a:xfrm>
          <a:off x="13751984" y="12872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2117</xdr:colOff>
      <xdr:row>93</xdr:row>
      <xdr:rowOff>108857</xdr:rowOff>
    </xdr:from>
    <xdr:to>
      <xdr:col>16</xdr:col>
      <xdr:colOff>107951</xdr:colOff>
      <xdr:row>93</xdr:row>
      <xdr:rowOff>110974</xdr:rowOff>
    </xdr:to>
    <xdr:cxnSp macro="">
      <xdr:nvCxnSpPr>
        <xdr:cNvPr id="225" name="Connecteur droit avec flèche 224"/>
        <xdr:cNvCxnSpPr/>
      </xdr:nvCxnSpPr>
      <xdr:spPr>
        <a:xfrm>
          <a:off x="13699067" y="13253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753535</xdr:colOff>
      <xdr:row>94</xdr:row>
      <xdr:rowOff>119440</xdr:rowOff>
    </xdr:from>
    <xdr:to>
      <xdr:col>16</xdr:col>
      <xdr:colOff>97369</xdr:colOff>
      <xdr:row>94</xdr:row>
      <xdr:rowOff>121557</xdr:rowOff>
    </xdr:to>
    <xdr:cxnSp macro="">
      <xdr:nvCxnSpPr>
        <xdr:cNvPr id="226" name="Connecteur droit avec flèche 225"/>
        <xdr:cNvCxnSpPr/>
      </xdr:nvCxnSpPr>
      <xdr:spPr>
        <a:xfrm>
          <a:off x="13688485" y="134544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92</xdr:row>
      <xdr:rowOff>119441</xdr:rowOff>
    </xdr:from>
    <xdr:to>
      <xdr:col>16</xdr:col>
      <xdr:colOff>65618</xdr:colOff>
      <xdr:row>92</xdr:row>
      <xdr:rowOff>121558</xdr:rowOff>
    </xdr:to>
    <xdr:cxnSp macro="">
      <xdr:nvCxnSpPr>
        <xdr:cNvPr id="227" name="Connecteur droit avec flèche 226"/>
        <xdr:cNvCxnSpPr/>
      </xdr:nvCxnSpPr>
      <xdr:spPr>
        <a:xfrm>
          <a:off x="13656734" y="13073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12700</xdr:colOff>
      <xdr:row>84</xdr:row>
      <xdr:rowOff>108857</xdr:rowOff>
    </xdr:from>
    <xdr:to>
      <xdr:col>16</xdr:col>
      <xdr:colOff>129118</xdr:colOff>
      <xdr:row>85</xdr:row>
      <xdr:rowOff>77108</xdr:rowOff>
    </xdr:to>
    <xdr:cxnSp macro="">
      <xdr:nvCxnSpPr>
        <xdr:cNvPr id="228" name="Connecteur droit avec flèche 227"/>
        <xdr:cNvCxnSpPr/>
      </xdr:nvCxnSpPr>
      <xdr:spPr>
        <a:xfrm flipV="1">
          <a:off x="13709650" y="11538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65618</xdr:colOff>
      <xdr:row>86</xdr:row>
      <xdr:rowOff>130024</xdr:rowOff>
    </xdr:from>
    <xdr:to>
      <xdr:col>16</xdr:col>
      <xdr:colOff>171451</xdr:colOff>
      <xdr:row>87</xdr:row>
      <xdr:rowOff>98275</xdr:rowOff>
    </xdr:to>
    <xdr:cxnSp macro="">
      <xdr:nvCxnSpPr>
        <xdr:cNvPr id="229" name="Connecteur droit avec flèche 228"/>
        <xdr:cNvCxnSpPr/>
      </xdr:nvCxnSpPr>
      <xdr:spPr>
        <a:xfrm flipV="1">
          <a:off x="13762568" y="11941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742951</xdr:colOff>
      <xdr:row>88</xdr:row>
      <xdr:rowOff>130024</xdr:rowOff>
    </xdr:from>
    <xdr:to>
      <xdr:col>16</xdr:col>
      <xdr:colOff>118534</xdr:colOff>
      <xdr:row>89</xdr:row>
      <xdr:rowOff>98275</xdr:rowOff>
    </xdr:to>
    <xdr:cxnSp macro="">
      <xdr:nvCxnSpPr>
        <xdr:cNvPr id="230" name="Connecteur droit avec flèche 229"/>
        <xdr:cNvCxnSpPr/>
      </xdr:nvCxnSpPr>
      <xdr:spPr>
        <a:xfrm flipV="1">
          <a:off x="13677901" y="12322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33867</xdr:colOff>
      <xdr:row>90</xdr:row>
      <xdr:rowOff>130024</xdr:rowOff>
    </xdr:from>
    <xdr:to>
      <xdr:col>16</xdr:col>
      <xdr:colOff>192618</xdr:colOff>
      <xdr:row>91</xdr:row>
      <xdr:rowOff>87692</xdr:rowOff>
    </xdr:to>
    <xdr:cxnSp macro="">
      <xdr:nvCxnSpPr>
        <xdr:cNvPr id="231" name="Connecteur droit avec flèche 230"/>
        <xdr:cNvCxnSpPr/>
      </xdr:nvCxnSpPr>
      <xdr:spPr>
        <a:xfrm flipV="1">
          <a:off x="13730817" y="12703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111</xdr:row>
      <xdr:rowOff>86180</xdr:rowOff>
    </xdr:from>
    <xdr:to>
      <xdr:col>12</xdr:col>
      <xdr:colOff>271236</xdr:colOff>
      <xdr:row>118</xdr:row>
      <xdr:rowOff>84064</xdr:rowOff>
    </xdr:to>
    <xdr:cxnSp macro="">
      <xdr:nvCxnSpPr>
        <xdr:cNvPr id="232" name="Connecteur droit avec flèche 231"/>
        <xdr:cNvCxnSpPr/>
      </xdr:nvCxnSpPr>
      <xdr:spPr>
        <a:xfrm flipV="1">
          <a:off x="10364561" y="14373680"/>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1022653</xdr:colOff>
      <xdr:row>115</xdr:row>
      <xdr:rowOff>54430</xdr:rowOff>
    </xdr:from>
    <xdr:to>
      <xdr:col>12</xdr:col>
      <xdr:colOff>101903</xdr:colOff>
      <xdr:row>118</xdr:row>
      <xdr:rowOff>84064</xdr:rowOff>
    </xdr:to>
    <xdr:cxnSp macro="">
      <xdr:nvCxnSpPr>
        <xdr:cNvPr id="233" name="Connecteur droit avec flèche 232"/>
        <xdr:cNvCxnSpPr/>
      </xdr:nvCxnSpPr>
      <xdr:spPr>
        <a:xfrm flipV="1">
          <a:off x="10366678" y="15103930"/>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1054403</xdr:colOff>
      <xdr:row>116</xdr:row>
      <xdr:rowOff>65013</xdr:rowOff>
    </xdr:from>
    <xdr:to>
      <xdr:col>12</xdr:col>
      <xdr:colOff>239486</xdr:colOff>
      <xdr:row>118</xdr:row>
      <xdr:rowOff>117930</xdr:rowOff>
    </xdr:to>
    <xdr:cxnSp macro="">
      <xdr:nvCxnSpPr>
        <xdr:cNvPr id="234" name="Connecteur droit avec flèche 233"/>
        <xdr:cNvCxnSpPr/>
      </xdr:nvCxnSpPr>
      <xdr:spPr>
        <a:xfrm flipV="1">
          <a:off x="10398428" y="15305013"/>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1064986</xdr:colOff>
      <xdr:row>118</xdr:row>
      <xdr:rowOff>75596</xdr:rowOff>
    </xdr:from>
    <xdr:to>
      <xdr:col>12</xdr:col>
      <xdr:colOff>133653</xdr:colOff>
      <xdr:row>118</xdr:row>
      <xdr:rowOff>107346</xdr:rowOff>
    </xdr:to>
    <xdr:cxnSp macro="">
      <xdr:nvCxnSpPr>
        <xdr:cNvPr id="235" name="Connecteur droit avec flèche 234"/>
        <xdr:cNvCxnSpPr/>
      </xdr:nvCxnSpPr>
      <xdr:spPr>
        <a:xfrm flipV="1">
          <a:off x="10409011" y="15696596"/>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109</xdr:row>
      <xdr:rowOff>33264</xdr:rowOff>
    </xdr:from>
    <xdr:to>
      <xdr:col>14</xdr:col>
      <xdr:colOff>104019</xdr:colOff>
      <xdr:row>111</xdr:row>
      <xdr:rowOff>75596</xdr:rowOff>
    </xdr:to>
    <xdr:cxnSp macro="">
      <xdr:nvCxnSpPr>
        <xdr:cNvPr id="236" name="Connecteur droit avec flèche 235"/>
        <xdr:cNvCxnSpPr/>
      </xdr:nvCxnSpPr>
      <xdr:spPr>
        <a:xfrm flipV="1">
          <a:off x="12094936" y="1393976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111</xdr:row>
      <xdr:rowOff>73481</xdr:rowOff>
    </xdr:from>
    <xdr:to>
      <xdr:col>14</xdr:col>
      <xdr:colOff>17236</xdr:colOff>
      <xdr:row>111</xdr:row>
      <xdr:rowOff>86180</xdr:rowOff>
    </xdr:to>
    <xdr:cxnSp macro="">
      <xdr:nvCxnSpPr>
        <xdr:cNvPr id="237" name="Connecteur droit avec flèche 236"/>
        <xdr:cNvCxnSpPr/>
      </xdr:nvCxnSpPr>
      <xdr:spPr>
        <a:xfrm>
          <a:off x="12052602" y="1436098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113</xdr:row>
      <xdr:rowOff>75596</xdr:rowOff>
    </xdr:from>
    <xdr:to>
      <xdr:col>14</xdr:col>
      <xdr:colOff>17237</xdr:colOff>
      <xdr:row>115</xdr:row>
      <xdr:rowOff>75594</xdr:rowOff>
    </xdr:to>
    <xdr:cxnSp macro="">
      <xdr:nvCxnSpPr>
        <xdr:cNvPr id="238" name="Connecteur droit avec flèche 237"/>
        <xdr:cNvCxnSpPr/>
      </xdr:nvCxnSpPr>
      <xdr:spPr>
        <a:xfrm flipV="1">
          <a:off x="11936187" y="1474409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118</xdr:row>
      <xdr:rowOff>65012</xdr:rowOff>
    </xdr:from>
    <xdr:to>
      <xdr:col>14</xdr:col>
      <xdr:colOff>6654</xdr:colOff>
      <xdr:row>118</xdr:row>
      <xdr:rowOff>75597</xdr:rowOff>
    </xdr:to>
    <xdr:cxnSp macro="">
      <xdr:nvCxnSpPr>
        <xdr:cNvPr id="239" name="Connecteur droit avec flèche 238"/>
        <xdr:cNvCxnSpPr/>
      </xdr:nvCxnSpPr>
      <xdr:spPr>
        <a:xfrm>
          <a:off x="12063187" y="1568601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116</xdr:row>
      <xdr:rowOff>54429</xdr:rowOff>
    </xdr:from>
    <xdr:to>
      <xdr:col>14</xdr:col>
      <xdr:colOff>27821</xdr:colOff>
      <xdr:row>116</xdr:row>
      <xdr:rowOff>65014</xdr:rowOff>
    </xdr:to>
    <xdr:cxnSp macro="">
      <xdr:nvCxnSpPr>
        <xdr:cNvPr id="240" name="Connecteur droit avec flèche 239"/>
        <xdr:cNvCxnSpPr/>
      </xdr:nvCxnSpPr>
      <xdr:spPr>
        <a:xfrm>
          <a:off x="12137271" y="1529442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115</xdr:row>
      <xdr:rowOff>43846</xdr:rowOff>
    </xdr:from>
    <xdr:to>
      <xdr:col>13</xdr:col>
      <xdr:colOff>747487</xdr:colOff>
      <xdr:row>115</xdr:row>
      <xdr:rowOff>65014</xdr:rowOff>
    </xdr:to>
    <xdr:cxnSp macro="">
      <xdr:nvCxnSpPr>
        <xdr:cNvPr id="241" name="Connecteur droit avec flèche 240"/>
        <xdr:cNvCxnSpPr/>
      </xdr:nvCxnSpPr>
      <xdr:spPr>
        <a:xfrm>
          <a:off x="11989104" y="1509334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117</xdr:row>
      <xdr:rowOff>107345</xdr:rowOff>
    </xdr:from>
    <xdr:to>
      <xdr:col>14</xdr:col>
      <xdr:colOff>38404</xdr:colOff>
      <xdr:row>118</xdr:row>
      <xdr:rowOff>65012</xdr:rowOff>
    </xdr:to>
    <xdr:cxnSp macro="">
      <xdr:nvCxnSpPr>
        <xdr:cNvPr id="242" name="Connecteur droit avec flèche 241"/>
        <xdr:cNvCxnSpPr/>
      </xdr:nvCxnSpPr>
      <xdr:spPr>
        <a:xfrm flipV="1">
          <a:off x="12063187" y="1553784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109</xdr:row>
      <xdr:rowOff>33262</xdr:rowOff>
    </xdr:from>
    <xdr:to>
      <xdr:col>16</xdr:col>
      <xdr:colOff>123071</xdr:colOff>
      <xdr:row>109</xdr:row>
      <xdr:rowOff>45962</xdr:rowOff>
    </xdr:to>
    <xdr:cxnSp macro="">
      <xdr:nvCxnSpPr>
        <xdr:cNvPr id="243" name="Connecteur droit avec flèche 242"/>
        <xdr:cNvCxnSpPr/>
      </xdr:nvCxnSpPr>
      <xdr:spPr>
        <a:xfrm>
          <a:off x="13693020" y="13939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113</xdr:row>
      <xdr:rowOff>65012</xdr:rowOff>
    </xdr:from>
    <xdr:to>
      <xdr:col>16</xdr:col>
      <xdr:colOff>70154</xdr:colOff>
      <xdr:row>113</xdr:row>
      <xdr:rowOff>67129</xdr:rowOff>
    </xdr:to>
    <xdr:cxnSp macro="">
      <xdr:nvCxnSpPr>
        <xdr:cNvPr id="244" name="Connecteur droit avec flèche 243"/>
        <xdr:cNvCxnSpPr/>
      </xdr:nvCxnSpPr>
      <xdr:spPr>
        <a:xfrm>
          <a:off x="13661270" y="14733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111</xdr:row>
      <xdr:rowOff>65012</xdr:rowOff>
    </xdr:from>
    <xdr:to>
      <xdr:col>16</xdr:col>
      <xdr:colOff>144238</xdr:colOff>
      <xdr:row>111</xdr:row>
      <xdr:rowOff>67129</xdr:rowOff>
    </xdr:to>
    <xdr:cxnSp macro="">
      <xdr:nvCxnSpPr>
        <xdr:cNvPr id="245" name="Connecteur droit avec flèche 244"/>
        <xdr:cNvCxnSpPr/>
      </xdr:nvCxnSpPr>
      <xdr:spPr>
        <a:xfrm>
          <a:off x="13735354" y="14352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115</xdr:row>
      <xdr:rowOff>54429</xdr:rowOff>
    </xdr:from>
    <xdr:to>
      <xdr:col>16</xdr:col>
      <xdr:colOff>133654</xdr:colOff>
      <xdr:row>115</xdr:row>
      <xdr:rowOff>56546</xdr:rowOff>
    </xdr:to>
    <xdr:cxnSp macro="">
      <xdr:nvCxnSpPr>
        <xdr:cNvPr id="246" name="Connecteur droit avec flèche 245"/>
        <xdr:cNvCxnSpPr/>
      </xdr:nvCxnSpPr>
      <xdr:spPr>
        <a:xfrm>
          <a:off x="13724770" y="15103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117</xdr:row>
      <xdr:rowOff>54429</xdr:rowOff>
    </xdr:from>
    <xdr:to>
      <xdr:col>16</xdr:col>
      <xdr:colOff>80737</xdr:colOff>
      <xdr:row>117</xdr:row>
      <xdr:rowOff>56546</xdr:rowOff>
    </xdr:to>
    <xdr:cxnSp macro="">
      <xdr:nvCxnSpPr>
        <xdr:cNvPr id="247" name="Connecteur droit avec flèche 246"/>
        <xdr:cNvCxnSpPr/>
      </xdr:nvCxnSpPr>
      <xdr:spPr>
        <a:xfrm>
          <a:off x="13671853" y="15484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118</xdr:row>
      <xdr:rowOff>65012</xdr:rowOff>
    </xdr:from>
    <xdr:to>
      <xdr:col>16</xdr:col>
      <xdr:colOff>70155</xdr:colOff>
      <xdr:row>118</xdr:row>
      <xdr:rowOff>67129</xdr:rowOff>
    </xdr:to>
    <xdr:cxnSp macro="">
      <xdr:nvCxnSpPr>
        <xdr:cNvPr id="248" name="Connecteur droit avec flèche 247"/>
        <xdr:cNvCxnSpPr/>
      </xdr:nvCxnSpPr>
      <xdr:spPr>
        <a:xfrm>
          <a:off x="13661271" y="156860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116</xdr:row>
      <xdr:rowOff>65013</xdr:rowOff>
    </xdr:from>
    <xdr:to>
      <xdr:col>16</xdr:col>
      <xdr:colOff>38404</xdr:colOff>
      <xdr:row>116</xdr:row>
      <xdr:rowOff>67130</xdr:rowOff>
    </xdr:to>
    <xdr:cxnSp macro="">
      <xdr:nvCxnSpPr>
        <xdr:cNvPr id="249" name="Connecteur droit avec flèche 248"/>
        <xdr:cNvCxnSpPr/>
      </xdr:nvCxnSpPr>
      <xdr:spPr>
        <a:xfrm>
          <a:off x="13629520" y="15305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108</xdr:row>
      <xdr:rowOff>54429</xdr:rowOff>
    </xdr:from>
    <xdr:to>
      <xdr:col>16</xdr:col>
      <xdr:colOff>101904</xdr:colOff>
      <xdr:row>109</xdr:row>
      <xdr:rowOff>22680</xdr:rowOff>
    </xdr:to>
    <xdr:cxnSp macro="">
      <xdr:nvCxnSpPr>
        <xdr:cNvPr id="250" name="Connecteur droit avec flèche 249"/>
        <xdr:cNvCxnSpPr/>
      </xdr:nvCxnSpPr>
      <xdr:spPr>
        <a:xfrm flipV="1">
          <a:off x="13682436" y="13770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110</xdr:row>
      <xdr:rowOff>75596</xdr:rowOff>
    </xdr:from>
    <xdr:to>
      <xdr:col>16</xdr:col>
      <xdr:colOff>144237</xdr:colOff>
      <xdr:row>111</xdr:row>
      <xdr:rowOff>43847</xdr:rowOff>
    </xdr:to>
    <xdr:cxnSp macro="">
      <xdr:nvCxnSpPr>
        <xdr:cNvPr id="251" name="Connecteur droit avec flèche 250"/>
        <xdr:cNvCxnSpPr/>
      </xdr:nvCxnSpPr>
      <xdr:spPr>
        <a:xfrm flipV="1">
          <a:off x="13735354" y="14172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112</xdr:row>
      <xdr:rowOff>75596</xdr:rowOff>
    </xdr:from>
    <xdr:to>
      <xdr:col>16</xdr:col>
      <xdr:colOff>91320</xdr:colOff>
      <xdr:row>113</xdr:row>
      <xdr:rowOff>43847</xdr:rowOff>
    </xdr:to>
    <xdr:cxnSp macro="">
      <xdr:nvCxnSpPr>
        <xdr:cNvPr id="252" name="Connecteur droit avec flèche 251"/>
        <xdr:cNvCxnSpPr/>
      </xdr:nvCxnSpPr>
      <xdr:spPr>
        <a:xfrm flipV="1">
          <a:off x="13650687" y="14553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114</xdr:row>
      <xdr:rowOff>75596</xdr:rowOff>
    </xdr:from>
    <xdr:to>
      <xdr:col>16</xdr:col>
      <xdr:colOff>165404</xdr:colOff>
      <xdr:row>115</xdr:row>
      <xdr:rowOff>33264</xdr:rowOff>
    </xdr:to>
    <xdr:cxnSp macro="">
      <xdr:nvCxnSpPr>
        <xdr:cNvPr id="253" name="Connecteur droit avec flèche 252"/>
        <xdr:cNvCxnSpPr/>
      </xdr:nvCxnSpPr>
      <xdr:spPr>
        <a:xfrm flipV="1">
          <a:off x="13703603" y="14934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147</xdr:row>
      <xdr:rowOff>99787</xdr:rowOff>
    </xdr:from>
    <xdr:to>
      <xdr:col>12</xdr:col>
      <xdr:colOff>244021</xdr:colOff>
      <xdr:row>154</xdr:row>
      <xdr:rowOff>97671</xdr:rowOff>
    </xdr:to>
    <xdr:cxnSp macro="">
      <xdr:nvCxnSpPr>
        <xdr:cNvPr id="254" name="Connecteur droit avec flèche 253"/>
        <xdr:cNvCxnSpPr/>
      </xdr:nvCxnSpPr>
      <xdr:spPr>
        <a:xfrm flipV="1">
          <a:off x="10337346" y="16673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151</xdr:row>
      <xdr:rowOff>68037</xdr:rowOff>
    </xdr:from>
    <xdr:to>
      <xdr:col>12</xdr:col>
      <xdr:colOff>74688</xdr:colOff>
      <xdr:row>154</xdr:row>
      <xdr:rowOff>97671</xdr:rowOff>
    </xdr:to>
    <xdr:cxnSp macro="">
      <xdr:nvCxnSpPr>
        <xdr:cNvPr id="255" name="Connecteur droit avec flèche 254"/>
        <xdr:cNvCxnSpPr/>
      </xdr:nvCxnSpPr>
      <xdr:spPr>
        <a:xfrm flipV="1">
          <a:off x="10339463" y="17403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152</xdr:row>
      <xdr:rowOff>78620</xdr:rowOff>
    </xdr:from>
    <xdr:to>
      <xdr:col>12</xdr:col>
      <xdr:colOff>212271</xdr:colOff>
      <xdr:row>154</xdr:row>
      <xdr:rowOff>131537</xdr:rowOff>
    </xdr:to>
    <xdr:cxnSp macro="">
      <xdr:nvCxnSpPr>
        <xdr:cNvPr id="256" name="Connecteur droit avec flèche 255"/>
        <xdr:cNvCxnSpPr/>
      </xdr:nvCxnSpPr>
      <xdr:spPr>
        <a:xfrm flipV="1">
          <a:off x="10371213" y="17604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154</xdr:row>
      <xdr:rowOff>89203</xdr:rowOff>
    </xdr:from>
    <xdr:to>
      <xdr:col>12</xdr:col>
      <xdr:colOff>106438</xdr:colOff>
      <xdr:row>154</xdr:row>
      <xdr:rowOff>120953</xdr:rowOff>
    </xdr:to>
    <xdr:cxnSp macro="">
      <xdr:nvCxnSpPr>
        <xdr:cNvPr id="257" name="Connecteur droit avec flèche 256"/>
        <xdr:cNvCxnSpPr/>
      </xdr:nvCxnSpPr>
      <xdr:spPr>
        <a:xfrm flipV="1">
          <a:off x="10381796" y="17996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145</xdr:row>
      <xdr:rowOff>46871</xdr:rowOff>
    </xdr:from>
    <xdr:to>
      <xdr:col>14</xdr:col>
      <xdr:colOff>76804</xdr:colOff>
      <xdr:row>147</xdr:row>
      <xdr:rowOff>89203</xdr:rowOff>
    </xdr:to>
    <xdr:cxnSp macro="">
      <xdr:nvCxnSpPr>
        <xdr:cNvPr id="258" name="Connecteur droit avec flèche 257"/>
        <xdr:cNvCxnSpPr/>
      </xdr:nvCxnSpPr>
      <xdr:spPr>
        <a:xfrm flipV="1">
          <a:off x="12067721" y="16239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147</xdr:row>
      <xdr:rowOff>87088</xdr:rowOff>
    </xdr:from>
    <xdr:to>
      <xdr:col>13</xdr:col>
      <xdr:colOff>752021</xdr:colOff>
      <xdr:row>147</xdr:row>
      <xdr:rowOff>99787</xdr:rowOff>
    </xdr:to>
    <xdr:cxnSp macro="">
      <xdr:nvCxnSpPr>
        <xdr:cNvPr id="259" name="Connecteur droit avec flèche 258"/>
        <xdr:cNvCxnSpPr/>
      </xdr:nvCxnSpPr>
      <xdr:spPr>
        <a:xfrm>
          <a:off x="12025387" y="16660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149</xdr:row>
      <xdr:rowOff>89203</xdr:rowOff>
    </xdr:from>
    <xdr:to>
      <xdr:col>13</xdr:col>
      <xdr:colOff>752022</xdr:colOff>
      <xdr:row>151</xdr:row>
      <xdr:rowOff>89201</xdr:rowOff>
    </xdr:to>
    <xdr:cxnSp macro="">
      <xdr:nvCxnSpPr>
        <xdr:cNvPr id="260" name="Connecteur droit avec flèche 259"/>
        <xdr:cNvCxnSpPr/>
      </xdr:nvCxnSpPr>
      <xdr:spPr>
        <a:xfrm flipV="1">
          <a:off x="11908972" y="17043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154</xdr:row>
      <xdr:rowOff>78619</xdr:rowOff>
    </xdr:from>
    <xdr:to>
      <xdr:col>13</xdr:col>
      <xdr:colOff>741439</xdr:colOff>
      <xdr:row>154</xdr:row>
      <xdr:rowOff>89204</xdr:rowOff>
    </xdr:to>
    <xdr:cxnSp macro="">
      <xdr:nvCxnSpPr>
        <xdr:cNvPr id="261" name="Connecteur droit avec flèche 260"/>
        <xdr:cNvCxnSpPr/>
      </xdr:nvCxnSpPr>
      <xdr:spPr>
        <a:xfrm>
          <a:off x="12035972" y="17985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152</xdr:row>
      <xdr:rowOff>68036</xdr:rowOff>
    </xdr:from>
    <xdr:to>
      <xdr:col>14</xdr:col>
      <xdr:colOff>606</xdr:colOff>
      <xdr:row>152</xdr:row>
      <xdr:rowOff>78621</xdr:rowOff>
    </xdr:to>
    <xdr:cxnSp macro="">
      <xdr:nvCxnSpPr>
        <xdr:cNvPr id="262" name="Connecteur droit avec flèche 261"/>
        <xdr:cNvCxnSpPr/>
      </xdr:nvCxnSpPr>
      <xdr:spPr>
        <a:xfrm>
          <a:off x="12110056" y="17594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151</xdr:row>
      <xdr:rowOff>57453</xdr:rowOff>
    </xdr:from>
    <xdr:to>
      <xdr:col>13</xdr:col>
      <xdr:colOff>720272</xdr:colOff>
      <xdr:row>151</xdr:row>
      <xdr:rowOff>78621</xdr:rowOff>
    </xdr:to>
    <xdr:cxnSp macro="">
      <xdr:nvCxnSpPr>
        <xdr:cNvPr id="263" name="Connecteur droit avec flèche 262"/>
        <xdr:cNvCxnSpPr/>
      </xdr:nvCxnSpPr>
      <xdr:spPr>
        <a:xfrm>
          <a:off x="11961889" y="17392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153</xdr:row>
      <xdr:rowOff>120952</xdr:rowOff>
    </xdr:from>
    <xdr:to>
      <xdr:col>14</xdr:col>
      <xdr:colOff>11189</xdr:colOff>
      <xdr:row>154</xdr:row>
      <xdr:rowOff>78619</xdr:rowOff>
    </xdr:to>
    <xdr:cxnSp macro="">
      <xdr:nvCxnSpPr>
        <xdr:cNvPr id="264" name="Connecteur droit avec flèche 263"/>
        <xdr:cNvCxnSpPr/>
      </xdr:nvCxnSpPr>
      <xdr:spPr>
        <a:xfrm flipV="1">
          <a:off x="12035972" y="17837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145</xdr:row>
      <xdr:rowOff>46869</xdr:rowOff>
    </xdr:from>
    <xdr:to>
      <xdr:col>16</xdr:col>
      <xdr:colOff>95856</xdr:colOff>
      <xdr:row>145</xdr:row>
      <xdr:rowOff>59569</xdr:rowOff>
    </xdr:to>
    <xdr:cxnSp macro="">
      <xdr:nvCxnSpPr>
        <xdr:cNvPr id="265" name="Connecteur droit avec flèche 264"/>
        <xdr:cNvCxnSpPr/>
      </xdr:nvCxnSpPr>
      <xdr:spPr>
        <a:xfrm>
          <a:off x="13665805" y="16239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149</xdr:row>
      <xdr:rowOff>78619</xdr:rowOff>
    </xdr:from>
    <xdr:to>
      <xdr:col>16</xdr:col>
      <xdr:colOff>42939</xdr:colOff>
      <xdr:row>149</xdr:row>
      <xdr:rowOff>80736</xdr:rowOff>
    </xdr:to>
    <xdr:cxnSp macro="">
      <xdr:nvCxnSpPr>
        <xdr:cNvPr id="266" name="Connecteur droit avec flèche 265"/>
        <xdr:cNvCxnSpPr/>
      </xdr:nvCxnSpPr>
      <xdr:spPr>
        <a:xfrm>
          <a:off x="13634055" y="17033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147</xdr:row>
      <xdr:rowOff>78619</xdr:rowOff>
    </xdr:from>
    <xdr:to>
      <xdr:col>16</xdr:col>
      <xdr:colOff>117023</xdr:colOff>
      <xdr:row>147</xdr:row>
      <xdr:rowOff>80736</xdr:rowOff>
    </xdr:to>
    <xdr:cxnSp macro="">
      <xdr:nvCxnSpPr>
        <xdr:cNvPr id="267" name="Connecteur droit avec flèche 266"/>
        <xdr:cNvCxnSpPr/>
      </xdr:nvCxnSpPr>
      <xdr:spPr>
        <a:xfrm>
          <a:off x="13708139" y="16652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151</xdr:row>
      <xdr:rowOff>68036</xdr:rowOff>
    </xdr:from>
    <xdr:to>
      <xdr:col>16</xdr:col>
      <xdr:colOff>106439</xdr:colOff>
      <xdr:row>151</xdr:row>
      <xdr:rowOff>70153</xdr:rowOff>
    </xdr:to>
    <xdr:cxnSp macro="">
      <xdr:nvCxnSpPr>
        <xdr:cNvPr id="268" name="Connecteur droit avec flèche 267"/>
        <xdr:cNvCxnSpPr/>
      </xdr:nvCxnSpPr>
      <xdr:spPr>
        <a:xfrm>
          <a:off x="13697555" y="17403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153</xdr:row>
      <xdr:rowOff>68036</xdr:rowOff>
    </xdr:from>
    <xdr:to>
      <xdr:col>16</xdr:col>
      <xdr:colOff>53522</xdr:colOff>
      <xdr:row>153</xdr:row>
      <xdr:rowOff>70153</xdr:rowOff>
    </xdr:to>
    <xdr:cxnSp macro="">
      <xdr:nvCxnSpPr>
        <xdr:cNvPr id="269" name="Connecteur droit avec flèche 268"/>
        <xdr:cNvCxnSpPr/>
      </xdr:nvCxnSpPr>
      <xdr:spPr>
        <a:xfrm>
          <a:off x="13644638" y="17784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154</xdr:row>
      <xdr:rowOff>78619</xdr:rowOff>
    </xdr:from>
    <xdr:to>
      <xdr:col>16</xdr:col>
      <xdr:colOff>42940</xdr:colOff>
      <xdr:row>154</xdr:row>
      <xdr:rowOff>80736</xdr:rowOff>
    </xdr:to>
    <xdr:cxnSp macro="">
      <xdr:nvCxnSpPr>
        <xdr:cNvPr id="270" name="Connecteur droit avec flèche 269"/>
        <xdr:cNvCxnSpPr/>
      </xdr:nvCxnSpPr>
      <xdr:spPr>
        <a:xfrm>
          <a:off x="13634056" y="17985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152</xdr:row>
      <xdr:rowOff>78620</xdr:rowOff>
    </xdr:from>
    <xdr:to>
      <xdr:col>16</xdr:col>
      <xdr:colOff>11189</xdr:colOff>
      <xdr:row>152</xdr:row>
      <xdr:rowOff>80737</xdr:rowOff>
    </xdr:to>
    <xdr:cxnSp macro="">
      <xdr:nvCxnSpPr>
        <xdr:cNvPr id="271" name="Connecteur droit avec flèche 270"/>
        <xdr:cNvCxnSpPr/>
      </xdr:nvCxnSpPr>
      <xdr:spPr>
        <a:xfrm>
          <a:off x="13602305" y="17604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144</xdr:row>
      <xdr:rowOff>68036</xdr:rowOff>
    </xdr:from>
    <xdr:to>
      <xdr:col>16</xdr:col>
      <xdr:colOff>74689</xdr:colOff>
      <xdr:row>145</xdr:row>
      <xdr:rowOff>36287</xdr:rowOff>
    </xdr:to>
    <xdr:cxnSp macro="">
      <xdr:nvCxnSpPr>
        <xdr:cNvPr id="272" name="Connecteur droit avec flèche 271"/>
        <xdr:cNvCxnSpPr/>
      </xdr:nvCxnSpPr>
      <xdr:spPr>
        <a:xfrm flipV="1">
          <a:off x="13655221" y="16070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146</xdr:row>
      <xdr:rowOff>89203</xdr:rowOff>
    </xdr:from>
    <xdr:to>
      <xdr:col>16</xdr:col>
      <xdr:colOff>117022</xdr:colOff>
      <xdr:row>147</xdr:row>
      <xdr:rowOff>57454</xdr:rowOff>
    </xdr:to>
    <xdr:cxnSp macro="">
      <xdr:nvCxnSpPr>
        <xdr:cNvPr id="273" name="Connecteur droit avec flèche 272"/>
        <xdr:cNvCxnSpPr/>
      </xdr:nvCxnSpPr>
      <xdr:spPr>
        <a:xfrm flipV="1">
          <a:off x="13708139" y="16472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148</xdr:row>
      <xdr:rowOff>89203</xdr:rowOff>
    </xdr:from>
    <xdr:to>
      <xdr:col>16</xdr:col>
      <xdr:colOff>64105</xdr:colOff>
      <xdr:row>149</xdr:row>
      <xdr:rowOff>57454</xdr:rowOff>
    </xdr:to>
    <xdr:cxnSp macro="">
      <xdr:nvCxnSpPr>
        <xdr:cNvPr id="274" name="Connecteur droit avec flèche 273"/>
        <xdr:cNvCxnSpPr/>
      </xdr:nvCxnSpPr>
      <xdr:spPr>
        <a:xfrm flipV="1">
          <a:off x="13623472" y="16853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150</xdr:row>
      <xdr:rowOff>89203</xdr:rowOff>
    </xdr:from>
    <xdr:to>
      <xdr:col>16</xdr:col>
      <xdr:colOff>138189</xdr:colOff>
      <xdr:row>151</xdr:row>
      <xdr:rowOff>46871</xdr:rowOff>
    </xdr:to>
    <xdr:cxnSp macro="">
      <xdr:nvCxnSpPr>
        <xdr:cNvPr id="275" name="Connecteur droit avec flèche 274"/>
        <xdr:cNvCxnSpPr/>
      </xdr:nvCxnSpPr>
      <xdr:spPr>
        <a:xfrm flipV="1">
          <a:off x="13676388" y="17234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171</xdr:row>
      <xdr:rowOff>113394</xdr:rowOff>
    </xdr:from>
    <xdr:to>
      <xdr:col>12</xdr:col>
      <xdr:colOff>230414</xdr:colOff>
      <xdr:row>178</xdr:row>
      <xdr:rowOff>111278</xdr:rowOff>
    </xdr:to>
    <xdr:cxnSp macro="">
      <xdr:nvCxnSpPr>
        <xdr:cNvPr id="276" name="Connecteur droit avec flèche 275"/>
        <xdr:cNvCxnSpPr/>
      </xdr:nvCxnSpPr>
      <xdr:spPr>
        <a:xfrm flipV="1">
          <a:off x="10323739" y="18972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175</xdr:row>
      <xdr:rowOff>81644</xdr:rowOff>
    </xdr:from>
    <xdr:to>
      <xdr:col>12</xdr:col>
      <xdr:colOff>61081</xdr:colOff>
      <xdr:row>178</xdr:row>
      <xdr:rowOff>111278</xdr:rowOff>
    </xdr:to>
    <xdr:cxnSp macro="">
      <xdr:nvCxnSpPr>
        <xdr:cNvPr id="277" name="Connecteur droit avec flèche 276"/>
        <xdr:cNvCxnSpPr/>
      </xdr:nvCxnSpPr>
      <xdr:spPr>
        <a:xfrm flipV="1">
          <a:off x="10325856" y="19703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176</xdr:row>
      <xdr:rowOff>92227</xdr:rowOff>
    </xdr:from>
    <xdr:to>
      <xdr:col>12</xdr:col>
      <xdr:colOff>198664</xdr:colOff>
      <xdr:row>178</xdr:row>
      <xdr:rowOff>145144</xdr:rowOff>
    </xdr:to>
    <xdr:cxnSp macro="">
      <xdr:nvCxnSpPr>
        <xdr:cNvPr id="278" name="Connecteur droit avec flèche 277"/>
        <xdr:cNvCxnSpPr/>
      </xdr:nvCxnSpPr>
      <xdr:spPr>
        <a:xfrm flipV="1">
          <a:off x="10357606" y="19904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178</xdr:row>
      <xdr:rowOff>102810</xdr:rowOff>
    </xdr:from>
    <xdr:to>
      <xdr:col>12</xdr:col>
      <xdr:colOff>92831</xdr:colOff>
      <xdr:row>178</xdr:row>
      <xdr:rowOff>134560</xdr:rowOff>
    </xdr:to>
    <xdr:cxnSp macro="">
      <xdr:nvCxnSpPr>
        <xdr:cNvPr id="279" name="Connecteur droit avec flèche 278"/>
        <xdr:cNvCxnSpPr/>
      </xdr:nvCxnSpPr>
      <xdr:spPr>
        <a:xfrm flipV="1">
          <a:off x="10368189" y="20295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169</xdr:row>
      <xdr:rowOff>60478</xdr:rowOff>
    </xdr:from>
    <xdr:to>
      <xdr:col>14</xdr:col>
      <xdr:colOff>63197</xdr:colOff>
      <xdr:row>171</xdr:row>
      <xdr:rowOff>102810</xdr:rowOff>
    </xdr:to>
    <xdr:cxnSp macro="">
      <xdr:nvCxnSpPr>
        <xdr:cNvPr id="280" name="Connecteur droit avec flèche 279"/>
        <xdr:cNvCxnSpPr/>
      </xdr:nvCxnSpPr>
      <xdr:spPr>
        <a:xfrm flipV="1">
          <a:off x="12054114" y="18538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171</xdr:row>
      <xdr:rowOff>100695</xdr:rowOff>
    </xdr:from>
    <xdr:to>
      <xdr:col>13</xdr:col>
      <xdr:colOff>738414</xdr:colOff>
      <xdr:row>171</xdr:row>
      <xdr:rowOff>113394</xdr:rowOff>
    </xdr:to>
    <xdr:cxnSp macro="">
      <xdr:nvCxnSpPr>
        <xdr:cNvPr id="281" name="Connecteur droit avec flèche 280"/>
        <xdr:cNvCxnSpPr/>
      </xdr:nvCxnSpPr>
      <xdr:spPr>
        <a:xfrm>
          <a:off x="12011780" y="18960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173</xdr:row>
      <xdr:rowOff>102810</xdr:rowOff>
    </xdr:from>
    <xdr:to>
      <xdr:col>13</xdr:col>
      <xdr:colOff>738415</xdr:colOff>
      <xdr:row>175</xdr:row>
      <xdr:rowOff>102808</xdr:rowOff>
    </xdr:to>
    <xdr:cxnSp macro="">
      <xdr:nvCxnSpPr>
        <xdr:cNvPr id="282" name="Connecteur droit avec flèche 281"/>
        <xdr:cNvCxnSpPr/>
      </xdr:nvCxnSpPr>
      <xdr:spPr>
        <a:xfrm flipV="1">
          <a:off x="11895365" y="19343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178</xdr:row>
      <xdr:rowOff>92226</xdr:rowOff>
    </xdr:from>
    <xdr:to>
      <xdr:col>13</xdr:col>
      <xdr:colOff>727832</xdr:colOff>
      <xdr:row>178</xdr:row>
      <xdr:rowOff>102811</xdr:rowOff>
    </xdr:to>
    <xdr:cxnSp macro="">
      <xdr:nvCxnSpPr>
        <xdr:cNvPr id="283" name="Connecteur droit avec flèche 282"/>
        <xdr:cNvCxnSpPr/>
      </xdr:nvCxnSpPr>
      <xdr:spPr>
        <a:xfrm>
          <a:off x="12022365" y="20285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176</xdr:row>
      <xdr:rowOff>81643</xdr:rowOff>
    </xdr:from>
    <xdr:to>
      <xdr:col>13</xdr:col>
      <xdr:colOff>748999</xdr:colOff>
      <xdr:row>176</xdr:row>
      <xdr:rowOff>92228</xdr:rowOff>
    </xdr:to>
    <xdr:cxnSp macro="">
      <xdr:nvCxnSpPr>
        <xdr:cNvPr id="284" name="Connecteur droit avec flèche 283"/>
        <xdr:cNvCxnSpPr/>
      </xdr:nvCxnSpPr>
      <xdr:spPr>
        <a:xfrm>
          <a:off x="12096449" y="1989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175</xdr:row>
      <xdr:rowOff>71060</xdr:rowOff>
    </xdr:from>
    <xdr:to>
      <xdr:col>13</xdr:col>
      <xdr:colOff>706665</xdr:colOff>
      <xdr:row>175</xdr:row>
      <xdr:rowOff>92228</xdr:rowOff>
    </xdr:to>
    <xdr:cxnSp macro="">
      <xdr:nvCxnSpPr>
        <xdr:cNvPr id="285" name="Connecteur droit avec flèche 284"/>
        <xdr:cNvCxnSpPr/>
      </xdr:nvCxnSpPr>
      <xdr:spPr>
        <a:xfrm>
          <a:off x="11948282" y="19692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177</xdr:row>
      <xdr:rowOff>134559</xdr:rowOff>
    </xdr:from>
    <xdr:to>
      <xdr:col>13</xdr:col>
      <xdr:colOff>759582</xdr:colOff>
      <xdr:row>178</xdr:row>
      <xdr:rowOff>92226</xdr:rowOff>
    </xdr:to>
    <xdr:cxnSp macro="">
      <xdr:nvCxnSpPr>
        <xdr:cNvPr id="286" name="Connecteur droit avec flèche 285"/>
        <xdr:cNvCxnSpPr/>
      </xdr:nvCxnSpPr>
      <xdr:spPr>
        <a:xfrm flipV="1">
          <a:off x="12022365" y="20137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169</xdr:row>
      <xdr:rowOff>60476</xdr:rowOff>
    </xdr:from>
    <xdr:to>
      <xdr:col>16</xdr:col>
      <xdr:colOff>82249</xdr:colOff>
      <xdr:row>169</xdr:row>
      <xdr:rowOff>73176</xdr:rowOff>
    </xdr:to>
    <xdr:cxnSp macro="">
      <xdr:nvCxnSpPr>
        <xdr:cNvPr id="287" name="Connecteur droit avec flèche 286"/>
        <xdr:cNvCxnSpPr/>
      </xdr:nvCxnSpPr>
      <xdr:spPr>
        <a:xfrm>
          <a:off x="13652198" y="18538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173</xdr:row>
      <xdr:rowOff>92226</xdr:rowOff>
    </xdr:from>
    <xdr:to>
      <xdr:col>16</xdr:col>
      <xdr:colOff>29332</xdr:colOff>
      <xdr:row>173</xdr:row>
      <xdr:rowOff>94343</xdr:rowOff>
    </xdr:to>
    <xdr:cxnSp macro="">
      <xdr:nvCxnSpPr>
        <xdr:cNvPr id="288" name="Connecteur droit avec flèche 287"/>
        <xdr:cNvCxnSpPr/>
      </xdr:nvCxnSpPr>
      <xdr:spPr>
        <a:xfrm>
          <a:off x="13620448" y="19332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171</xdr:row>
      <xdr:rowOff>92226</xdr:rowOff>
    </xdr:from>
    <xdr:to>
      <xdr:col>16</xdr:col>
      <xdr:colOff>103416</xdr:colOff>
      <xdr:row>171</xdr:row>
      <xdr:rowOff>94343</xdr:rowOff>
    </xdr:to>
    <xdr:cxnSp macro="">
      <xdr:nvCxnSpPr>
        <xdr:cNvPr id="289" name="Connecteur droit avec flèche 288"/>
        <xdr:cNvCxnSpPr/>
      </xdr:nvCxnSpPr>
      <xdr:spPr>
        <a:xfrm>
          <a:off x="13694532" y="18951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175</xdr:row>
      <xdr:rowOff>81643</xdr:rowOff>
    </xdr:from>
    <xdr:to>
      <xdr:col>16</xdr:col>
      <xdr:colOff>92832</xdr:colOff>
      <xdr:row>175</xdr:row>
      <xdr:rowOff>83760</xdr:rowOff>
    </xdr:to>
    <xdr:cxnSp macro="">
      <xdr:nvCxnSpPr>
        <xdr:cNvPr id="290" name="Connecteur droit avec flèche 289"/>
        <xdr:cNvCxnSpPr/>
      </xdr:nvCxnSpPr>
      <xdr:spPr>
        <a:xfrm>
          <a:off x="13683948" y="19703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177</xdr:row>
      <xdr:rowOff>81643</xdr:rowOff>
    </xdr:from>
    <xdr:to>
      <xdr:col>16</xdr:col>
      <xdr:colOff>39915</xdr:colOff>
      <xdr:row>177</xdr:row>
      <xdr:rowOff>83760</xdr:rowOff>
    </xdr:to>
    <xdr:cxnSp macro="">
      <xdr:nvCxnSpPr>
        <xdr:cNvPr id="291" name="Connecteur droit avec flèche 290"/>
        <xdr:cNvCxnSpPr/>
      </xdr:nvCxnSpPr>
      <xdr:spPr>
        <a:xfrm>
          <a:off x="13631031" y="20084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178</xdr:row>
      <xdr:rowOff>92226</xdr:rowOff>
    </xdr:from>
    <xdr:to>
      <xdr:col>16</xdr:col>
      <xdr:colOff>29333</xdr:colOff>
      <xdr:row>178</xdr:row>
      <xdr:rowOff>94343</xdr:rowOff>
    </xdr:to>
    <xdr:cxnSp macro="">
      <xdr:nvCxnSpPr>
        <xdr:cNvPr id="292" name="Connecteur droit avec flèche 291"/>
        <xdr:cNvCxnSpPr/>
      </xdr:nvCxnSpPr>
      <xdr:spPr>
        <a:xfrm>
          <a:off x="13620449" y="20285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176</xdr:row>
      <xdr:rowOff>92227</xdr:rowOff>
    </xdr:from>
    <xdr:to>
      <xdr:col>15</xdr:col>
      <xdr:colOff>759582</xdr:colOff>
      <xdr:row>176</xdr:row>
      <xdr:rowOff>94344</xdr:rowOff>
    </xdr:to>
    <xdr:cxnSp macro="">
      <xdr:nvCxnSpPr>
        <xdr:cNvPr id="293" name="Connecteur droit avec flèche 292"/>
        <xdr:cNvCxnSpPr/>
      </xdr:nvCxnSpPr>
      <xdr:spPr>
        <a:xfrm>
          <a:off x="13588698" y="1990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168</xdr:row>
      <xdr:rowOff>81643</xdr:rowOff>
    </xdr:from>
    <xdr:to>
      <xdr:col>16</xdr:col>
      <xdr:colOff>61082</xdr:colOff>
      <xdr:row>169</xdr:row>
      <xdr:rowOff>49894</xdr:rowOff>
    </xdr:to>
    <xdr:cxnSp macro="">
      <xdr:nvCxnSpPr>
        <xdr:cNvPr id="294" name="Connecteur droit avec flèche 293"/>
        <xdr:cNvCxnSpPr/>
      </xdr:nvCxnSpPr>
      <xdr:spPr>
        <a:xfrm flipV="1">
          <a:off x="13641614" y="18369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170</xdr:row>
      <xdr:rowOff>102810</xdr:rowOff>
    </xdr:from>
    <xdr:to>
      <xdr:col>16</xdr:col>
      <xdr:colOff>103415</xdr:colOff>
      <xdr:row>171</xdr:row>
      <xdr:rowOff>71061</xdr:rowOff>
    </xdr:to>
    <xdr:cxnSp macro="">
      <xdr:nvCxnSpPr>
        <xdr:cNvPr id="295" name="Connecteur droit avec flèche 294"/>
        <xdr:cNvCxnSpPr/>
      </xdr:nvCxnSpPr>
      <xdr:spPr>
        <a:xfrm flipV="1">
          <a:off x="13694532" y="18771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172</xdr:row>
      <xdr:rowOff>102810</xdr:rowOff>
    </xdr:from>
    <xdr:to>
      <xdr:col>16</xdr:col>
      <xdr:colOff>50498</xdr:colOff>
      <xdr:row>173</xdr:row>
      <xdr:rowOff>71061</xdr:rowOff>
    </xdr:to>
    <xdr:cxnSp macro="">
      <xdr:nvCxnSpPr>
        <xdr:cNvPr id="296" name="Connecteur droit avec flèche 295"/>
        <xdr:cNvCxnSpPr/>
      </xdr:nvCxnSpPr>
      <xdr:spPr>
        <a:xfrm flipV="1">
          <a:off x="13609865" y="19152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174</xdr:row>
      <xdr:rowOff>102810</xdr:rowOff>
    </xdr:from>
    <xdr:to>
      <xdr:col>16</xdr:col>
      <xdr:colOff>124582</xdr:colOff>
      <xdr:row>175</xdr:row>
      <xdr:rowOff>60478</xdr:rowOff>
    </xdr:to>
    <xdr:cxnSp macro="">
      <xdr:nvCxnSpPr>
        <xdr:cNvPr id="297" name="Connecteur droit avec flèche 296"/>
        <xdr:cNvCxnSpPr/>
      </xdr:nvCxnSpPr>
      <xdr:spPr>
        <a:xfrm flipV="1">
          <a:off x="13662781" y="19533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183</xdr:row>
      <xdr:rowOff>99787</xdr:rowOff>
    </xdr:from>
    <xdr:to>
      <xdr:col>12</xdr:col>
      <xdr:colOff>380093</xdr:colOff>
      <xdr:row>190</xdr:row>
      <xdr:rowOff>97671</xdr:rowOff>
    </xdr:to>
    <xdr:cxnSp macro="">
      <xdr:nvCxnSpPr>
        <xdr:cNvPr id="298" name="Connecteur droit avec flèche 297"/>
        <xdr:cNvCxnSpPr/>
      </xdr:nvCxnSpPr>
      <xdr:spPr>
        <a:xfrm flipV="1">
          <a:off x="10473418" y="21245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1131510</xdr:colOff>
      <xdr:row>187</xdr:row>
      <xdr:rowOff>68037</xdr:rowOff>
    </xdr:from>
    <xdr:to>
      <xdr:col>12</xdr:col>
      <xdr:colOff>210760</xdr:colOff>
      <xdr:row>190</xdr:row>
      <xdr:rowOff>97671</xdr:rowOff>
    </xdr:to>
    <xdr:cxnSp macro="">
      <xdr:nvCxnSpPr>
        <xdr:cNvPr id="299" name="Connecteur droit avec flèche 298"/>
        <xdr:cNvCxnSpPr/>
      </xdr:nvCxnSpPr>
      <xdr:spPr>
        <a:xfrm flipV="1">
          <a:off x="10475535" y="21975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1163260</xdr:colOff>
      <xdr:row>188</xdr:row>
      <xdr:rowOff>78620</xdr:rowOff>
    </xdr:from>
    <xdr:to>
      <xdr:col>12</xdr:col>
      <xdr:colOff>348343</xdr:colOff>
      <xdr:row>190</xdr:row>
      <xdr:rowOff>131537</xdr:rowOff>
    </xdr:to>
    <xdr:cxnSp macro="">
      <xdr:nvCxnSpPr>
        <xdr:cNvPr id="300" name="Connecteur droit avec flèche 299"/>
        <xdr:cNvCxnSpPr/>
      </xdr:nvCxnSpPr>
      <xdr:spPr>
        <a:xfrm flipV="1">
          <a:off x="10507285" y="22176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1173843</xdr:colOff>
      <xdr:row>190</xdr:row>
      <xdr:rowOff>89203</xdr:rowOff>
    </xdr:from>
    <xdr:to>
      <xdr:col>12</xdr:col>
      <xdr:colOff>242510</xdr:colOff>
      <xdr:row>190</xdr:row>
      <xdr:rowOff>120953</xdr:rowOff>
    </xdr:to>
    <xdr:cxnSp macro="">
      <xdr:nvCxnSpPr>
        <xdr:cNvPr id="301" name="Connecteur droit avec flèche 300"/>
        <xdr:cNvCxnSpPr/>
      </xdr:nvCxnSpPr>
      <xdr:spPr>
        <a:xfrm flipV="1">
          <a:off x="10517868" y="22568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30843</xdr:colOff>
      <xdr:row>181</xdr:row>
      <xdr:rowOff>46871</xdr:rowOff>
    </xdr:from>
    <xdr:to>
      <xdr:col>14</xdr:col>
      <xdr:colOff>212876</xdr:colOff>
      <xdr:row>183</xdr:row>
      <xdr:rowOff>89203</xdr:rowOff>
    </xdr:to>
    <xdr:cxnSp macro="">
      <xdr:nvCxnSpPr>
        <xdr:cNvPr id="302" name="Connecteur droit avec flèche 301"/>
        <xdr:cNvCxnSpPr/>
      </xdr:nvCxnSpPr>
      <xdr:spPr>
        <a:xfrm flipV="1">
          <a:off x="12203793" y="20811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750509</xdr:colOff>
      <xdr:row>183</xdr:row>
      <xdr:rowOff>87088</xdr:rowOff>
    </xdr:from>
    <xdr:to>
      <xdr:col>14</xdr:col>
      <xdr:colOff>126093</xdr:colOff>
      <xdr:row>183</xdr:row>
      <xdr:rowOff>99787</xdr:rowOff>
    </xdr:to>
    <xdr:cxnSp macro="">
      <xdr:nvCxnSpPr>
        <xdr:cNvPr id="303" name="Connecteur droit avec flèche 302"/>
        <xdr:cNvCxnSpPr/>
      </xdr:nvCxnSpPr>
      <xdr:spPr>
        <a:xfrm>
          <a:off x="12161459" y="21232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634094</xdr:colOff>
      <xdr:row>185</xdr:row>
      <xdr:rowOff>89203</xdr:rowOff>
    </xdr:from>
    <xdr:to>
      <xdr:col>14</xdr:col>
      <xdr:colOff>126094</xdr:colOff>
      <xdr:row>187</xdr:row>
      <xdr:rowOff>89201</xdr:rowOff>
    </xdr:to>
    <xdr:cxnSp macro="">
      <xdr:nvCxnSpPr>
        <xdr:cNvPr id="304" name="Connecteur droit avec flèche 303"/>
        <xdr:cNvCxnSpPr/>
      </xdr:nvCxnSpPr>
      <xdr:spPr>
        <a:xfrm flipV="1">
          <a:off x="12045044" y="21615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190</xdr:row>
      <xdr:rowOff>78619</xdr:rowOff>
    </xdr:from>
    <xdr:to>
      <xdr:col>14</xdr:col>
      <xdr:colOff>115511</xdr:colOff>
      <xdr:row>190</xdr:row>
      <xdr:rowOff>89204</xdr:rowOff>
    </xdr:to>
    <xdr:cxnSp macro="">
      <xdr:nvCxnSpPr>
        <xdr:cNvPr id="305" name="Connecteur droit avec flèche 304"/>
        <xdr:cNvCxnSpPr/>
      </xdr:nvCxnSpPr>
      <xdr:spPr>
        <a:xfrm>
          <a:off x="12172044" y="22557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73178</xdr:colOff>
      <xdr:row>188</xdr:row>
      <xdr:rowOff>68036</xdr:rowOff>
    </xdr:from>
    <xdr:to>
      <xdr:col>14</xdr:col>
      <xdr:colOff>136678</xdr:colOff>
      <xdr:row>188</xdr:row>
      <xdr:rowOff>78621</xdr:rowOff>
    </xdr:to>
    <xdr:cxnSp macro="">
      <xdr:nvCxnSpPr>
        <xdr:cNvPr id="306" name="Connecteur droit avec flèche 305"/>
        <xdr:cNvCxnSpPr/>
      </xdr:nvCxnSpPr>
      <xdr:spPr>
        <a:xfrm>
          <a:off x="12246128" y="22166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687011</xdr:colOff>
      <xdr:row>187</xdr:row>
      <xdr:rowOff>57453</xdr:rowOff>
    </xdr:from>
    <xdr:to>
      <xdr:col>14</xdr:col>
      <xdr:colOff>94344</xdr:colOff>
      <xdr:row>187</xdr:row>
      <xdr:rowOff>78621</xdr:rowOff>
    </xdr:to>
    <xdr:cxnSp macro="">
      <xdr:nvCxnSpPr>
        <xdr:cNvPr id="307" name="Connecteur droit avec flèche 306"/>
        <xdr:cNvCxnSpPr/>
      </xdr:nvCxnSpPr>
      <xdr:spPr>
        <a:xfrm>
          <a:off x="12097961" y="21964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761094</xdr:colOff>
      <xdr:row>189</xdr:row>
      <xdr:rowOff>120952</xdr:rowOff>
    </xdr:from>
    <xdr:to>
      <xdr:col>14</xdr:col>
      <xdr:colOff>147261</xdr:colOff>
      <xdr:row>190</xdr:row>
      <xdr:rowOff>78619</xdr:rowOff>
    </xdr:to>
    <xdr:cxnSp macro="">
      <xdr:nvCxnSpPr>
        <xdr:cNvPr id="308" name="Connecteur droit avec flèche 307"/>
        <xdr:cNvCxnSpPr/>
      </xdr:nvCxnSpPr>
      <xdr:spPr>
        <a:xfrm flipV="1">
          <a:off x="12172044" y="22409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104927</xdr:colOff>
      <xdr:row>181</xdr:row>
      <xdr:rowOff>46869</xdr:rowOff>
    </xdr:from>
    <xdr:to>
      <xdr:col>16</xdr:col>
      <xdr:colOff>231928</xdr:colOff>
      <xdr:row>181</xdr:row>
      <xdr:rowOff>59569</xdr:rowOff>
    </xdr:to>
    <xdr:cxnSp macro="">
      <xdr:nvCxnSpPr>
        <xdr:cNvPr id="309" name="Connecteur droit avec flèche 308"/>
        <xdr:cNvCxnSpPr/>
      </xdr:nvCxnSpPr>
      <xdr:spPr>
        <a:xfrm>
          <a:off x="13801877" y="20811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73177</xdr:colOff>
      <xdr:row>185</xdr:row>
      <xdr:rowOff>78619</xdr:rowOff>
    </xdr:from>
    <xdr:to>
      <xdr:col>16</xdr:col>
      <xdr:colOff>179011</xdr:colOff>
      <xdr:row>185</xdr:row>
      <xdr:rowOff>80736</xdr:rowOff>
    </xdr:to>
    <xdr:cxnSp macro="">
      <xdr:nvCxnSpPr>
        <xdr:cNvPr id="310" name="Connecteur droit avec flèche 309"/>
        <xdr:cNvCxnSpPr/>
      </xdr:nvCxnSpPr>
      <xdr:spPr>
        <a:xfrm>
          <a:off x="13770127" y="21605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183</xdr:row>
      <xdr:rowOff>78619</xdr:rowOff>
    </xdr:from>
    <xdr:to>
      <xdr:col>16</xdr:col>
      <xdr:colOff>253095</xdr:colOff>
      <xdr:row>183</xdr:row>
      <xdr:rowOff>80736</xdr:rowOff>
    </xdr:to>
    <xdr:cxnSp macro="">
      <xdr:nvCxnSpPr>
        <xdr:cNvPr id="311" name="Connecteur droit avec flèche 310"/>
        <xdr:cNvCxnSpPr/>
      </xdr:nvCxnSpPr>
      <xdr:spPr>
        <a:xfrm>
          <a:off x="13844211" y="21224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136677</xdr:colOff>
      <xdr:row>187</xdr:row>
      <xdr:rowOff>68036</xdr:rowOff>
    </xdr:from>
    <xdr:to>
      <xdr:col>16</xdr:col>
      <xdr:colOff>242511</xdr:colOff>
      <xdr:row>187</xdr:row>
      <xdr:rowOff>70153</xdr:rowOff>
    </xdr:to>
    <xdr:cxnSp macro="">
      <xdr:nvCxnSpPr>
        <xdr:cNvPr id="312" name="Connecteur droit avec flèche 311"/>
        <xdr:cNvCxnSpPr/>
      </xdr:nvCxnSpPr>
      <xdr:spPr>
        <a:xfrm>
          <a:off x="13833627" y="21975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83760</xdr:colOff>
      <xdr:row>189</xdr:row>
      <xdr:rowOff>68036</xdr:rowOff>
    </xdr:from>
    <xdr:to>
      <xdr:col>16</xdr:col>
      <xdr:colOff>189594</xdr:colOff>
      <xdr:row>189</xdr:row>
      <xdr:rowOff>70153</xdr:rowOff>
    </xdr:to>
    <xdr:cxnSp macro="">
      <xdr:nvCxnSpPr>
        <xdr:cNvPr id="313" name="Connecteur droit avec flèche 312"/>
        <xdr:cNvCxnSpPr/>
      </xdr:nvCxnSpPr>
      <xdr:spPr>
        <a:xfrm>
          <a:off x="13780710" y="22356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73178</xdr:colOff>
      <xdr:row>190</xdr:row>
      <xdr:rowOff>78619</xdr:rowOff>
    </xdr:from>
    <xdr:to>
      <xdr:col>16</xdr:col>
      <xdr:colOff>179012</xdr:colOff>
      <xdr:row>190</xdr:row>
      <xdr:rowOff>80736</xdr:rowOff>
    </xdr:to>
    <xdr:cxnSp macro="">
      <xdr:nvCxnSpPr>
        <xdr:cNvPr id="314" name="Connecteur droit avec flèche 313"/>
        <xdr:cNvCxnSpPr/>
      </xdr:nvCxnSpPr>
      <xdr:spPr>
        <a:xfrm>
          <a:off x="13770128" y="22557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41427</xdr:colOff>
      <xdr:row>188</xdr:row>
      <xdr:rowOff>78620</xdr:rowOff>
    </xdr:from>
    <xdr:to>
      <xdr:col>16</xdr:col>
      <xdr:colOff>147261</xdr:colOff>
      <xdr:row>188</xdr:row>
      <xdr:rowOff>80737</xdr:rowOff>
    </xdr:to>
    <xdr:cxnSp macro="">
      <xdr:nvCxnSpPr>
        <xdr:cNvPr id="315" name="Connecteur droit avec flèche 314"/>
        <xdr:cNvCxnSpPr/>
      </xdr:nvCxnSpPr>
      <xdr:spPr>
        <a:xfrm>
          <a:off x="13738377" y="22176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94343</xdr:colOff>
      <xdr:row>180</xdr:row>
      <xdr:rowOff>68036</xdr:rowOff>
    </xdr:from>
    <xdr:to>
      <xdr:col>16</xdr:col>
      <xdr:colOff>210761</xdr:colOff>
      <xdr:row>181</xdr:row>
      <xdr:rowOff>36287</xdr:rowOff>
    </xdr:to>
    <xdr:cxnSp macro="">
      <xdr:nvCxnSpPr>
        <xdr:cNvPr id="316" name="Connecteur droit avec flèche 315"/>
        <xdr:cNvCxnSpPr/>
      </xdr:nvCxnSpPr>
      <xdr:spPr>
        <a:xfrm flipV="1">
          <a:off x="13791293" y="20642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147261</xdr:colOff>
      <xdr:row>182</xdr:row>
      <xdr:rowOff>89203</xdr:rowOff>
    </xdr:from>
    <xdr:to>
      <xdr:col>16</xdr:col>
      <xdr:colOff>253094</xdr:colOff>
      <xdr:row>183</xdr:row>
      <xdr:rowOff>57454</xdr:rowOff>
    </xdr:to>
    <xdr:cxnSp macro="">
      <xdr:nvCxnSpPr>
        <xdr:cNvPr id="317" name="Connecteur droit avec flèche 316"/>
        <xdr:cNvCxnSpPr/>
      </xdr:nvCxnSpPr>
      <xdr:spPr>
        <a:xfrm flipV="1">
          <a:off x="13844211" y="21044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62594</xdr:colOff>
      <xdr:row>184</xdr:row>
      <xdr:rowOff>89203</xdr:rowOff>
    </xdr:from>
    <xdr:to>
      <xdr:col>16</xdr:col>
      <xdr:colOff>200177</xdr:colOff>
      <xdr:row>185</xdr:row>
      <xdr:rowOff>57454</xdr:rowOff>
    </xdr:to>
    <xdr:cxnSp macro="">
      <xdr:nvCxnSpPr>
        <xdr:cNvPr id="318" name="Connecteur droit avec flèche 317"/>
        <xdr:cNvCxnSpPr/>
      </xdr:nvCxnSpPr>
      <xdr:spPr>
        <a:xfrm flipV="1">
          <a:off x="13759544" y="21425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115510</xdr:colOff>
      <xdr:row>186</xdr:row>
      <xdr:rowOff>89203</xdr:rowOff>
    </xdr:from>
    <xdr:to>
      <xdr:col>16</xdr:col>
      <xdr:colOff>274261</xdr:colOff>
      <xdr:row>187</xdr:row>
      <xdr:rowOff>46871</xdr:rowOff>
    </xdr:to>
    <xdr:cxnSp macro="">
      <xdr:nvCxnSpPr>
        <xdr:cNvPr id="319" name="Connecteur droit avec flèche 318"/>
        <xdr:cNvCxnSpPr/>
      </xdr:nvCxnSpPr>
      <xdr:spPr>
        <a:xfrm flipV="1">
          <a:off x="13812460" y="21806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966107</xdr:colOff>
      <xdr:row>195</xdr:row>
      <xdr:rowOff>113394</xdr:rowOff>
    </xdr:from>
    <xdr:to>
      <xdr:col>12</xdr:col>
      <xdr:colOff>216807</xdr:colOff>
      <xdr:row>202</xdr:row>
      <xdr:rowOff>111278</xdr:rowOff>
    </xdr:to>
    <xdr:cxnSp macro="">
      <xdr:nvCxnSpPr>
        <xdr:cNvPr id="320" name="Connecteur droit avec flèche 319"/>
        <xdr:cNvCxnSpPr/>
      </xdr:nvCxnSpPr>
      <xdr:spPr>
        <a:xfrm flipV="1">
          <a:off x="10310132" y="23544894"/>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968224</xdr:colOff>
      <xdr:row>199</xdr:row>
      <xdr:rowOff>81644</xdr:rowOff>
    </xdr:from>
    <xdr:to>
      <xdr:col>12</xdr:col>
      <xdr:colOff>47474</xdr:colOff>
      <xdr:row>202</xdr:row>
      <xdr:rowOff>111278</xdr:rowOff>
    </xdr:to>
    <xdr:cxnSp macro="">
      <xdr:nvCxnSpPr>
        <xdr:cNvPr id="321" name="Connecteur droit avec flèche 320"/>
        <xdr:cNvCxnSpPr/>
      </xdr:nvCxnSpPr>
      <xdr:spPr>
        <a:xfrm flipV="1">
          <a:off x="10312249" y="24275144"/>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999974</xdr:colOff>
      <xdr:row>200</xdr:row>
      <xdr:rowOff>92227</xdr:rowOff>
    </xdr:from>
    <xdr:to>
      <xdr:col>12</xdr:col>
      <xdr:colOff>185057</xdr:colOff>
      <xdr:row>202</xdr:row>
      <xdr:rowOff>145144</xdr:rowOff>
    </xdr:to>
    <xdr:cxnSp macro="">
      <xdr:nvCxnSpPr>
        <xdr:cNvPr id="322" name="Connecteur droit avec flèche 321"/>
        <xdr:cNvCxnSpPr/>
      </xdr:nvCxnSpPr>
      <xdr:spPr>
        <a:xfrm flipV="1">
          <a:off x="10343999" y="24476227"/>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1010557</xdr:colOff>
      <xdr:row>202</xdr:row>
      <xdr:rowOff>102810</xdr:rowOff>
    </xdr:from>
    <xdr:to>
      <xdr:col>12</xdr:col>
      <xdr:colOff>79224</xdr:colOff>
      <xdr:row>202</xdr:row>
      <xdr:rowOff>134560</xdr:rowOff>
    </xdr:to>
    <xdr:cxnSp macro="">
      <xdr:nvCxnSpPr>
        <xdr:cNvPr id="323" name="Connecteur droit avec flèche 322"/>
        <xdr:cNvCxnSpPr/>
      </xdr:nvCxnSpPr>
      <xdr:spPr>
        <a:xfrm flipV="1">
          <a:off x="10354582" y="24867810"/>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193</xdr:row>
      <xdr:rowOff>60478</xdr:rowOff>
    </xdr:from>
    <xdr:to>
      <xdr:col>14</xdr:col>
      <xdr:colOff>49590</xdr:colOff>
      <xdr:row>195</xdr:row>
      <xdr:rowOff>102810</xdr:rowOff>
    </xdr:to>
    <xdr:cxnSp macro="">
      <xdr:nvCxnSpPr>
        <xdr:cNvPr id="324" name="Connecteur droit avec flèche 323"/>
        <xdr:cNvCxnSpPr/>
      </xdr:nvCxnSpPr>
      <xdr:spPr>
        <a:xfrm flipV="1">
          <a:off x="12040507" y="23110978"/>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195</xdr:row>
      <xdr:rowOff>100695</xdr:rowOff>
    </xdr:from>
    <xdr:to>
      <xdr:col>13</xdr:col>
      <xdr:colOff>724807</xdr:colOff>
      <xdr:row>195</xdr:row>
      <xdr:rowOff>113394</xdr:rowOff>
    </xdr:to>
    <xdr:cxnSp macro="">
      <xdr:nvCxnSpPr>
        <xdr:cNvPr id="325" name="Connecteur droit avec flèche 324"/>
        <xdr:cNvCxnSpPr/>
      </xdr:nvCxnSpPr>
      <xdr:spPr>
        <a:xfrm>
          <a:off x="11998173" y="23532195"/>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197</xdr:row>
      <xdr:rowOff>102810</xdr:rowOff>
    </xdr:from>
    <xdr:to>
      <xdr:col>13</xdr:col>
      <xdr:colOff>724808</xdr:colOff>
      <xdr:row>199</xdr:row>
      <xdr:rowOff>102808</xdr:rowOff>
    </xdr:to>
    <xdr:cxnSp macro="">
      <xdr:nvCxnSpPr>
        <xdr:cNvPr id="326" name="Connecteur droit avec flèche 325"/>
        <xdr:cNvCxnSpPr/>
      </xdr:nvCxnSpPr>
      <xdr:spPr>
        <a:xfrm flipV="1">
          <a:off x="11881758" y="23915310"/>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202</xdr:row>
      <xdr:rowOff>92226</xdr:rowOff>
    </xdr:from>
    <xdr:to>
      <xdr:col>13</xdr:col>
      <xdr:colOff>714225</xdr:colOff>
      <xdr:row>202</xdr:row>
      <xdr:rowOff>102811</xdr:rowOff>
    </xdr:to>
    <xdr:cxnSp macro="">
      <xdr:nvCxnSpPr>
        <xdr:cNvPr id="327" name="Connecteur droit avec flèche 326"/>
        <xdr:cNvCxnSpPr/>
      </xdr:nvCxnSpPr>
      <xdr:spPr>
        <a:xfrm>
          <a:off x="12008758" y="24857226"/>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200</xdr:row>
      <xdr:rowOff>81643</xdr:rowOff>
    </xdr:from>
    <xdr:to>
      <xdr:col>13</xdr:col>
      <xdr:colOff>735392</xdr:colOff>
      <xdr:row>200</xdr:row>
      <xdr:rowOff>92228</xdr:rowOff>
    </xdr:to>
    <xdr:cxnSp macro="">
      <xdr:nvCxnSpPr>
        <xdr:cNvPr id="328" name="Connecteur droit avec flèche 327"/>
        <xdr:cNvCxnSpPr/>
      </xdr:nvCxnSpPr>
      <xdr:spPr>
        <a:xfrm>
          <a:off x="12082842" y="24465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199</xdr:row>
      <xdr:rowOff>71060</xdr:rowOff>
    </xdr:from>
    <xdr:to>
      <xdr:col>13</xdr:col>
      <xdr:colOff>693058</xdr:colOff>
      <xdr:row>199</xdr:row>
      <xdr:rowOff>92228</xdr:rowOff>
    </xdr:to>
    <xdr:cxnSp macro="">
      <xdr:nvCxnSpPr>
        <xdr:cNvPr id="329" name="Connecteur droit avec flèche 328"/>
        <xdr:cNvCxnSpPr/>
      </xdr:nvCxnSpPr>
      <xdr:spPr>
        <a:xfrm>
          <a:off x="11934675" y="24264560"/>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597808</xdr:colOff>
      <xdr:row>201</xdr:row>
      <xdr:rowOff>134559</xdr:rowOff>
    </xdr:from>
    <xdr:to>
      <xdr:col>13</xdr:col>
      <xdr:colOff>745975</xdr:colOff>
      <xdr:row>202</xdr:row>
      <xdr:rowOff>92226</xdr:rowOff>
    </xdr:to>
    <xdr:cxnSp macro="">
      <xdr:nvCxnSpPr>
        <xdr:cNvPr id="330" name="Connecteur droit avec flèche 329"/>
        <xdr:cNvCxnSpPr/>
      </xdr:nvCxnSpPr>
      <xdr:spPr>
        <a:xfrm flipV="1">
          <a:off x="12008758" y="24709059"/>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703641</xdr:colOff>
      <xdr:row>193</xdr:row>
      <xdr:rowOff>60476</xdr:rowOff>
    </xdr:from>
    <xdr:to>
      <xdr:col>16</xdr:col>
      <xdr:colOff>68642</xdr:colOff>
      <xdr:row>193</xdr:row>
      <xdr:rowOff>73176</xdr:rowOff>
    </xdr:to>
    <xdr:cxnSp macro="">
      <xdr:nvCxnSpPr>
        <xdr:cNvPr id="331" name="Connecteur droit avec flèche 330"/>
        <xdr:cNvCxnSpPr/>
      </xdr:nvCxnSpPr>
      <xdr:spPr>
        <a:xfrm>
          <a:off x="13638591" y="2311097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671891</xdr:colOff>
      <xdr:row>197</xdr:row>
      <xdr:rowOff>92226</xdr:rowOff>
    </xdr:from>
    <xdr:to>
      <xdr:col>16</xdr:col>
      <xdr:colOff>15725</xdr:colOff>
      <xdr:row>197</xdr:row>
      <xdr:rowOff>94343</xdr:rowOff>
    </xdr:to>
    <xdr:cxnSp macro="">
      <xdr:nvCxnSpPr>
        <xdr:cNvPr id="332" name="Connecteur droit avec flèche 331"/>
        <xdr:cNvCxnSpPr/>
      </xdr:nvCxnSpPr>
      <xdr:spPr>
        <a:xfrm>
          <a:off x="13606841" y="23904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195</xdr:row>
      <xdr:rowOff>92226</xdr:rowOff>
    </xdr:from>
    <xdr:to>
      <xdr:col>16</xdr:col>
      <xdr:colOff>89809</xdr:colOff>
      <xdr:row>195</xdr:row>
      <xdr:rowOff>94343</xdr:rowOff>
    </xdr:to>
    <xdr:cxnSp macro="">
      <xdr:nvCxnSpPr>
        <xdr:cNvPr id="333" name="Connecteur droit avec flèche 332"/>
        <xdr:cNvCxnSpPr/>
      </xdr:nvCxnSpPr>
      <xdr:spPr>
        <a:xfrm>
          <a:off x="13680925" y="235237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735391</xdr:colOff>
      <xdr:row>199</xdr:row>
      <xdr:rowOff>81643</xdr:rowOff>
    </xdr:from>
    <xdr:to>
      <xdr:col>16</xdr:col>
      <xdr:colOff>79225</xdr:colOff>
      <xdr:row>199</xdr:row>
      <xdr:rowOff>83760</xdr:rowOff>
    </xdr:to>
    <xdr:cxnSp macro="">
      <xdr:nvCxnSpPr>
        <xdr:cNvPr id="334" name="Connecteur droit avec flèche 333"/>
        <xdr:cNvCxnSpPr/>
      </xdr:nvCxnSpPr>
      <xdr:spPr>
        <a:xfrm>
          <a:off x="13670341" y="24275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682474</xdr:colOff>
      <xdr:row>201</xdr:row>
      <xdr:rowOff>81643</xdr:rowOff>
    </xdr:from>
    <xdr:to>
      <xdr:col>16</xdr:col>
      <xdr:colOff>26308</xdr:colOff>
      <xdr:row>201</xdr:row>
      <xdr:rowOff>83760</xdr:rowOff>
    </xdr:to>
    <xdr:cxnSp macro="">
      <xdr:nvCxnSpPr>
        <xdr:cNvPr id="335" name="Connecteur droit avec flèche 334"/>
        <xdr:cNvCxnSpPr/>
      </xdr:nvCxnSpPr>
      <xdr:spPr>
        <a:xfrm>
          <a:off x="13617424" y="246561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671892</xdr:colOff>
      <xdr:row>202</xdr:row>
      <xdr:rowOff>92226</xdr:rowOff>
    </xdr:from>
    <xdr:to>
      <xdr:col>16</xdr:col>
      <xdr:colOff>15726</xdr:colOff>
      <xdr:row>202</xdr:row>
      <xdr:rowOff>94343</xdr:rowOff>
    </xdr:to>
    <xdr:cxnSp macro="">
      <xdr:nvCxnSpPr>
        <xdr:cNvPr id="336" name="Connecteur droit avec flèche 335"/>
        <xdr:cNvCxnSpPr/>
      </xdr:nvCxnSpPr>
      <xdr:spPr>
        <a:xfrm>
          <a:off x="13606842" y="24857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640141</xdr:colOff>
      <xdr:row>200</xdr:row>
      <xdr:rowOff>92227</xdr:rowOff>
    </xdr:from>
    <xdr:to>
      <xdr:col>15</xdr:col>
      <xdr:colOff>745975</xdr:colOff>
      <xdr:row>200</xdr:row>
      <xdr:rowOff>94344</xdr:rowOff>
    </xdr:to>
    <xdr:cxnSp macro="">
      <xdr:nvCxnSpPr>
        <xdr:cNvPr id="337" name="Connecteur droit avec flèche 336"/>
        <xdr:cNvCxnSpPr/>
      </xdr:nvCxnSpPr>
      <xdr:spPr>
        <a:xfrm>
          <a:off x="13575091" y="24476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693057</xdr:colOff>
      <xdr:row>192</xdr:row>
      <xdr:rowOff>81643</xdr:rowOff>
    </xdr:from>
    <xdr:to>
      <xdr:col>16</xdr:col>
      <xdr:colOff>47475</xdr:colOff>
      <xdr:row>193</xdr:row>
      <xdr:rowOff>49894</xdr:rowOff>
    </xdr:to>
    <xdr:cxnSp macro="">
      <xdr:nvCxnSpPr>
        <xdr:cNvPr id="338" name="Connecteur droit avec flèche 337"/>
        <xdr:cNvCxnSpPr/>
      </xdr:nvCxnSpPr>
      <xdr:spPr>
        <a:xfrm flipV="1">
          <a:off x="13628007" y="22941643"/>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745975</xdr:colOff>
      <xdr:row>194</xdr:row>
      <xdr:rowOff>102810</xdr:rowOff>
    </xdr:from>
    <xdr:to>
      <xdr:col>16</xdr:col>
      <xdr:colOff>89808</xdr:colOff>
      <xdr:row>195</xdr:row>
      <xdr:rowOff>71061</xdr:rowOff>
    </xdr:to>
    <xdr:cxnSp macro="">
      <xdr:nvCxnSpPr>
        <xdr:cNvPr id="339" name="Connecteur droit avec flèche 338"/>
        <xdr:cNvCxnSpPr/>
      </xdr:nvCxnSpPr>
      <xdr:spPr>
        <a:xfrm flipV="1">
          <a:off x="13680925" y="23343810"/>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661308</xdr:colOff>
      <xdr:row>196</xdr:row>
      <xdr:rowOff>102810</xdr:rowOff>
    </xdr:from>
    <xdr:to>
      <xdr:col>16</xdr:col>
      <xdr:colOff>36891</xdr:colOff>
      <xdr:row>197</xdr:row>
      <xdr:rowOff>71061</xdr:rowOff>
    </xdr:to>
    <xdr:cxnSp macro="">
      <xdr:nvCxnSpPr>
        <xdr:cNvPr id="340" name="Connecteur droit avec flèche 339"/>
        <xdr:cNvCxnSpPr/>
      </xdr:nvCxnSpPr>
      <xdr:spPr>
        <a:xfrm flipV="1">
          <a:off x="13596258" y="23724810"/>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714224</xdr:colOff>
      <xdr:row>198</xdr:row>
      <xdr:rowOff>102810</xdr:rowOff>
    </xdr:from>
    <xdr:to>
      <xdr:col>16</xdr:col>
      <xdr:colOff>110975</xdr:colOff>
      <xdr:row>199</xdr:row>
      <xdr:rowOff>60478</xdr:rowOff>
    </xdr:to>
    <xdr:cxnSp macro="">
      <xdr:nvCxnSpPr>
        <xdr:cNvPr id="341" name="Connecteur droit avec flèche 340"/>
        <xdr:cNvCxnSpPr/>
      </xdr:nvCxnSpPr>
      <xdr:spPr>
        <a:xfrm flipV="1">
          <a:off x="13649174" y="24105810"/>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219</xdr:row>
      <xdr:rowOff>127001</xdr:rowOff>
    </xdr:from>
    <xdr:to>
      <xdr:col>12</xdr:col>
      <xdr:colOff>244021</xdr:colOff>
      <xdr:row>226</xdr:row>
      <xdr:rowOff>124885</xdr:rowOff>
    </xdr:to>
    <xdr:cxnSp macro="">
      <xdr:nvCxnSpPr>
        <xdr:cNvPr id="342" name="Connecteur droit avec flèche 341"/>
        <xdr:cNvCxnSpPr/>
      </xdr:nvCxnSpPr>
      <xdr:spPr>
        <a:xfrm flipV="1">
          <a:off x="10337346" y="25844501"/>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995438</xdr:colOff>
      <xdr:row>223</xdr:row>
      <xdr:rowOff>95251</xdr:rowOff>
    </xdr:from>
    <xdr:to>
      <xdr:col>12</xdr:col>
      <xdr:colOff>74688</xdr:colOff>
      <xdr:row>226</xdr:row>
      <xdr:rowOff>124885</xdr:rowOff>
    </xdr:to>
    <xdr:cxnSp macro="">
      <xdr:nvCxnSpPr>
        <xdr:cNvPr id="343" name="Connecteur droit avec flèche 342"/>
        <xdr:cNvCxnSpPr/>
      </xdr:nvCxnSpPr>
      <xdr:spPr>
        <a:xfrm flipV="1">
          <a:off x="10339463" y="26574751"/>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1027188</xdr:colOff>
      <xdr:row>224</xdr:row>
      <xdr:rowOff>105834</xdr:rowOff>
    </xdr:from>
    <xdr:to>
      <xdr:col>12</xdr:col>
      <xdr:colOff>212271</xdr:colOff>
      <xdr:row>226</xdr:row>
      <xdr:rowOff>158751</xdr:rowOff>
    </xdr:to>
    <xdr:cxnSp macro="">
      <xdr:nvCxnSpPr>
        <xdr:cNvPr id="344" name="Connecteur droit avec flèche 343"/>
        <xdr:cNvCxnSpPr/>
      </xdr:nvCxnSpPr>
      <xdr:spPr>
        <a:xfrm flipV="1">
          <a:off x="10371213" y="26775834"/>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1037771</xdr:colOff>
      <xdr:row>226</xdr:row>
      <xdr:rowOff>116417</xdr:rowOff>
    </xdr:from>
    <xdr:to>
      <xdr:col>12</xdr:col>
      <xdr:colOff>106438</xdr:colOff>
      <xdr:row>226</xdr:row>
      <xdr:rowOff>148167</xdr:rowOff>
    </xdr:to>
    <xdr:cxnSp macro="">
      <xdr:nvCxnSpPr>
        <xdr:cNvPr id="345" name="Connecteur droit avec flèche 344"/>
        <xdr:cNvCxnSpPr/>
      </xdr:nvCxnSpPr>
      <xdr:spPr>
        <a:xfrm flipV="1">
          <a:off x="10381796" y="27167417"/>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656771</xdr:colOff>
      <xdr:row>217</xdr:row>
      <xdr:rowOff>74085</xdr:rowOff>
    </xdr:from>
    <xdr:to>
      <xdr:col>14</xdr:col>
      <xdr:colOff>76804</xdr:colOff>
      <xdr:row>219</xdr:row>
      <xdr:rowOff>116417</xdr:rowOff>
    </xdr:to>
    <xdr:cxnSp macro="">
      <xdr:nvCxnSpPr>
        <xdr:cNvPr id="346" name="Connecteur droit avec flèche 345"/>
        <xdr:cNvCxnSpPr/>
      </xdr:nvCxnSpPr>
      <xdr:spPr>
        <a:xfrm flipV="1">
          <a:off x="12067721" y="2541058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614437</xdr:colOff>
      <xdr:row>219</xdr:row>
      <xdr:rowOff>114302</xdr:rowOff>
    </xdr:from>
    <xdr:to>
      <xdr:col>13</xdr:col>
      <xdr:colOff>752021</xdr:colOff>
      <xdr:row>219</xdr:row>
      <xdr:rowOff>127001</xdr:rowOff>
    </xdr:to>
    <xdr:cxnSp macro="">
      <xdr:nvCxnSpPr>
        <xdr:cNvPr id="347" name="Connecteur droit avec flèche 346"/>
        <xdr:cNvCxnSpPr/>
      </xdr:nvCxnSpPr>
      <xdr:spPr>
        <a:xfrm>
          <a:off x="12025387" y="2583180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498022</xdr:colOff>
      <xdr:row>221</xdr:row>
      <xdr:rowOff>116417</xdr:rowOff>
    </xdr:from>
    <xdr:to>
      <xdr:col>13</xdr:col>
      <xdr:colOff>752022</xdr:colOff>
      <xdr:row>223</xdr:row>
      <xdr:rowOff>116415</xdr:rowOff>
    </xdr:to>
    <xdr:cxnSp macro="">
      <xdr:nvCxnSpPr>
        <xdr:cNvPr id="348" name="Connecteur droit avec flèche 347"/>
        <xdr:cNvCxnSpPr/>
      </xdr:nvCxnSpPr>
      <xdr:spPr>
        <a:xfrm flipV="1">
          <a:off x="11908972" y="2621491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226</xdr:row>
      <xdr:rowOff>105833</xdr:rowOff>
    </xdr:from>
    <xdr:to>
      <xdr:col>13</xdr:col>
      <xdr:colOff>741439</xdr:colOff>
      <xdr:row>226</xdr:row>
      <xdr:rowOff>116418</xdr:rowOff>
    </xdr:to>
    <xdr:cxnSp macro="">
      <xdr:nvCxnSpPr>
        <xdr:cNvPr id="349" name="Connecteur droit avec flèche 348"/>
        <xdr:cNvCxnSpPr/>
      </xdr:nvCxnSpPr>
      <xdr:spPr>
        <a:xfrm>
          <a:off x="12035972" y="2715683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699106</xdr:colOff>
      <xdr:row>224</xdr:row>
      <xdr:rowOff>95250</xdr:rowOff>
    </xdr:from>
    <xdr:to>
      <xdr:col>14</xdr:col>
      <xdr:colOff>606</xdr:colOff>
      <xdr:row>224</xdr:row>
      <xdr:rowOff>105835</xdr:rowOff>
    </xdr:to>
    <xdr:cxnSp macro="">
      <xdr:nvCxnSpPr>
        <xdr:cNvPr id="350" name="Connecteur droit avec flèche 349"/>
        <xdr:cNvCxnSpPr/>
      </xdr:nvCxnSpPr>
      <xdr:spPr>
        <a:xfrm>
          <a:off x="12110056" y="2676525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550939</xdr:colOff>
      <xdr:row>223</xdr:row>
      <xdr:rowOff>84667</xdr:rowOff>
    </xdr:from>
    <xdr:to>
      <xdr:col>13</xdr:col>
      <xdr:colOff>720272</xdr:colOff>
      <xdr:row>223</xdr:row>
      <xdr:rowOff>105835</xdr:rowOff>
    </xdr:to>
    <xdr:cxnSp macro="">
      <xdr:nvCxnSpPr>
        <xdr:cNvPr id="351" name="Connecteur droit avec flèche 350"/>
        <xdr:cNvCxnSpPr/>
      </xdr:nvCxnSpPr>
      <xdr:spPr>
        <a:xfrm>
          <a:off x="11961889" y="2656416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625022</xdr:colOff>
      <xdr:row>225</xdr:row>
      <xdr:rowOff>148166</xdr:rowOff>
    </xdr:from>
    <xdr:to>
      <xdr:col>14</xdr:col>
      <xdr:colOff>11189</xdr:colOff>
      <xdr:row>226</xdr:row>
      <xdr:rowOff>105833</xdr:rowOff>
    </xdr:to>
    <xdr:cxnSp macro="">
      <xdr:nvCxnSpPr>
        <xdr:cNvPr id="352" name="Connecteur droit avec flèche 351"/>
        <xdr:cNvCxnSpPr/>
      </xdr:nvCxnSpPr>
      <xdr:spPr>
        <a:xfrm flipV="1">
          <a:off x="12035972" y="2700866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730855</xdr:colOff>
      <xdr:row>217</xdr:row>
      <xdr:rowOff>74083</xdr:rowOff>
    </xdr:from>
    <xdr:to>
      <xdr:col>16</xdr:col>
      <xdr:colOff>95856</xdr:colOff>
      <xdr:row>217</xdr:row>
      <xdr:rowOff>86783</xdr:rowOff>
    </xdr:to>
    <xdr:cxnSp macro="">
      <xdr:nvCxnSpPr>
        <xdr:cNvPr id="353" name="Connecteur droit avec flèche 352"/>
        <xdr:cNvCxnSpPr/>
      </xdr:nvCxnSpPr>
      <xdr:spPr>
        <a:xfrm>
          <a:off x="13665805" y="25410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699105</xdr:colOff>
      <xdr:row>221</xdr:row>
      <xdr:rowOff>105833</xdr:rowOff>
    </xdr:from>
    <xdr:to>
      <xdr:col>16</xdr:col>
      <xdr:colOff>42939</xdr:colOff>
      <xdr:row>221</xdr:row>
      <xdr:rowOff>107950</xdr:rowOff>
    </xdr:to>
    <xdr:cxnSp macro="">
      <xdr:nvCxnSpPr>
        <xdr:cNvPr id="354" name="Connecteur droit avec flèche 353"/>
        <xdr:cNvCxnSpPr/>
      </xdr:nvCxnSpPr>
      <xdr:spPr>
        <a:xfrm>
          <a:off x="13634055" y="26204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219</xdr:row>
      <xdr:rowOff>105833</xdr:rowOff>
    </xdr:from>
    <xdr:to>
      <xdr:col>16</xdr:col>
      <xdr:colOff>117023</xdr:colOff>
      <xdr:row>219</xdr:row>
      <xdr:rowOff>107950</xdr:rowOff>
    </xdr:to>
    <xdr:cxnSp macro="">
      <xdr:nvCxnSpPr>
        <xdr:cNvPr id="355" name="Connecteur droit avec flèche 354"/>
        <xdr:cNvCxnSpPr/>
      </xdr:nvCxnSpPr>
      <xdr:spPr>
        <a:xfrm>
          <a:off x="13708139" y="258233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605</xdr:colOff>
      <xdr:row>223</xdr:row>
      <xdr:rowOff>95250</xdr:rowOff>
    </xdr:from>
    <xdr:to>
      <xdr:col>16</xdr:col>
      <xdr:colOff>106439</xdr:colOff>
      <xdr:row>223</xdr:row>
      <xdr:rowOff>97367</xdr:rowOff>
    </xdr:to>
    <xdr:cxnSp macro="">
      <xdr:nvCxnSpPr>
        <xdr:cNvPr id="356" name="Connecteur droit avec flèche 355"/>
        <xdr:cNvCxnSpPr/>
      </xdr:nvCxnSpPr>
      <xdr:spPr>
        <a:xfrm>
          <a:off x="13697555" y="26574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709688</xdr:colOff>
      <xdr:row>225</xdr:row>
      <xdr:rowOff>95250</xdr:rowOff>
    </xdr:from>
    <xdr:to>
      <xdr:col>16</xdr:col>
      <xdr:colOff>53522</xdr:colOff>
      <xdr:row>225</xdr:row>
      <xdr:rowOff>97367</xdr:rowOff>
    </xdr:to>
    <xdr:cxnSp macro="">
      <xdr:nvCxnSpPr>
        <xdr:cNvPr id="357" name="Connecteur droit avec flèche 356"/>
        <xdr:cNvCxnSpPr/>
      </xdr:nvCxnSpPr>
      <xdr:spPr>
        <a:xfrm>
          <a:off x="13644638" y="2695575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699106</xdr:colOff>
      <xdr:row>226</xdr:row>
      <xdr:rowOff>105833</xdr:rowOff>
    </xdr:from>
    <xdr:to>
      <xdr:col>16</xdr:col>
      <xdr:colOff>42940</xdr:colOff>
      <xdr:row>226</xdr:row>
      <xdr:rowOff>107950</xdr:rowOff>
    </xdr:to>
    <xdr:cxnSp macro="">
      <xdr:nvCxnSpPr>
        <xdr:cNvPr id="358" name="Connecteur droit avec flèche 357"/>
        <xdr:cNvCxnSpPr/>
      </xdr:nvCxnSpPr>
      <xdr:spPr>
        <a:xfrm>
          <a:off x="13634056" y="271568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667355</xdr:colOff>
      <xdr:row>224</xdr:row>
      <xdr:rowOff>105834</xdr:rowOff>
    </xdr:from>
    <xdr:to>
      <xdr:col>16</xdr:col>
      <xdr:colOff>11189</xdr:colOff>
      <xdr:row>224</xdr:row>
      <xdr:rowOff>107951</xdr:rowOff>
    </xdr:to>
    <xdr:cxnSp macro="">
      <xdr:nvCxnSpPr>
        <xdr:cNvPr id="359" name="Connecteur droit avec flèche 358"/>
        <xdr:cNvCxnSpPr/>
      </xdr:nvCxnSpPr>
      <xdr:spPr>
        <a:xfrm>
          <a:off x="13602305" y="26775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720271</xdr:colOff>
      <xdr:row>216</xdr:row>
      <xdr:rowOff>95250</xdr:rowOff>
    </xdr:from>
    <xdr:to>
      <xdr:col>16</xdr:col>
      <xdr:colOff>74689</xdr:colOff>
      <xdr:row>217</xdr:row>
      <xdr:rowOff>63501</xdr:rowOff>
    </xdr:to>
    <xdr:cxnSp macro="">
      <xdr:nvCxnSpPr>
        <xdr:cNvPr id="360" name="Connecteur droit avec flèche 359"/>
        <xdr:cNvCxnSpPr/>
      </xdr:nvCxnSpPr>
      <xdr:spPr>
        <a:xfrm flipV="1">
          <a:off x="13655221" y="2524125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11189</xdr:colOff>
      <xdr:row>218</xdr:row>
      <xdr:rowOff>116417</xdr:rowOff>
    </xdr:from>
    <xdr:to>
      <xdr:col>16</xdr:col>
      <xdr:colOff>117022</xdr:colOff>
      <xdr:row>219</xdr:row>
      <xdr:rowOff>84668</xdr:rowOff>
    </xdr:to>
    <xdr:cxnSp macro="">
      <xdr:nvCxnSpPr>
        <xdr:cNvPr id="361" name="Connecteur droit avec flèche 360"/>
        <xdr:cNvCxnSpPr/>
      </xdr:nvCxnSpPr>
      <xdr:spPr>
        <a:xfrm flipV="1">
          <a:off x="13708139" y="2564341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688522</xdr:colOff>
      <xdr:row>220</xdr:row>
      <xdr:rowOff>116417</xdr:rowOff>
    </xdr:from>
    <xdr:to>
      <xdr:col>16</xdr:col>
      <xdr:colOff>64105</xdr:colOff>
      <xdr:row>221</xdr:row>
      <xdr:rowOff>84668</xdr:rowOff>
    </xdr:to>
    <xdr:cxnSp macro="">
      <xdr:nvCxnSpPr>
        <xdr:cNvPr id="362" name="Connecteur droit avec flèche 361"/>
        <xdr:cNvCxnSpPr/>
      </xdr:nvCxnSpPr>
      <xdr:spPr>
        <a:xfrm flipV="1">
          <a:off x="13623472" y="2602441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741438</xdr:colOff>
      <xdr:row>222</xdr:row>
      <xdr:rowOff>116417</xdr:rowOff>
    </xdr:from>
    <xdr:to>
      <xdr:col>16</xdr:col>
      <xdr:colOff>138189</xdr:colOff>
      <xdr:row>223</xdr:row>
      <xdr:rowOff>74085</xdr:rowOff>
    </xdr:to>
    <xdr:cxnSp macro="">
      <xdr:nvCxnSpPr>
        <xdr:cNvPr id="363" name="Connecteur droit avec flèche 362"/>
        <xdr:cNvCxnSpPr/>
      </xdr:nvCxnSpPr>
      <xdr:spPr>
        <a:xfrm flipV="1">
          <a:off x="13676388" y="2640541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243</xdr:row>
      <xdr:rowOff>99787</xdr:rowOff>
    </xdr:from>
    <xdr:to>
      <xdr:col>12</xdr:col>
      <xdr:colOff>203200</xdr:colOff>
      <xdr:row>250</xdr:row>
      <xdr:rowOff>97671</xdr:rowOff>
    </xdr:to>
    <xdr:cxnSp macro="">
      <xdr:nvCxnSpPr>
        <xdr:cNvPr id="364" name="Connecteur droit avec flèche 363"/>
        <xdr:cNvCxnSpPr/>
      </xdr:nvCxnSpPr>
      <xdr:spPr>
        <a:xfrm flipV="1">
          <a:off x="10296525" y="28103287"/>
          <a:ext cx="1317625"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954617</xdr:colOff>
      <xdr:row>247</xdr:row>
      <xdr:rowOff>68037</xdr:rowOff>
    </xdr:from>
    <xdr:to>
      <xdr:col>12</xdr:col>
      <xdr:colOff>33867</xdr:colOff>
      <xdr:row>250</xdr:row>
      <xdr:rowOff>97671</xdr:rowOff>
    </xdr:to>
    <xdr:cxnSp macro="">
      <xdr:nvCxnSpPr>
        <xdr:cNvPr id="365" name="Connecteur droit avec flèche 364"/>
        <xdr:cNvCxnSpPr/>
      </xdr:nvCxnSpPr>
      <xdr:spPr>
        <a:xfrm flipV="1">
          <a:off x="10298642" y="28833537"/>
          <a:ext cx="1146175"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986367</xdr:colOff>
      <xdr:row>248</xdr:row>
      <xdr:rowOff>78620</xdr:rowOff>
    </xdr:from>
    <xdr:to>
      <xdr:col>12</xdr:col>
      <xdr:colOff>171450</xdr:colOff>
      <xdr:row>250</xdr:row>
      <xdr:rowOff>131537</xdr:rowOff>
    </xdr:to>
    <xdr:cxnSp macro="">
      <xdr:nvCxnSpPr>
        <xdr:cNvPr id="366" name="Connecteur droit avec flèche 365"/>
        <xdr:cNvCxnSpPr/>
      </xdr:nvCxnSpPr>
      <xdr:spPr>
        <a:xfrm flipV="1">
          <a:off x="10330392" y="29034620"/>
          <a:ext cx="1252008"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996950</xdr:colOff>
      <xdr:row>250</xdr:row>
      <xdr:rowOff>89203</xdr:rowOff>
    </xdr:from>
    <xdr:to>
      <xdr:col>12</xdr:col>
      <xdr:colOff>65617</xdr:colOff>
      <xdr:row>250</xdr:row>
      <xdr:rowOff>120953</xdr:rowOff>
    </xdr:to>
    <xdr:cxnSp macro="">
      <xdr:nvCxnSpPr>
        <xdr:cNvPr id="367" name="Connecteur droit avec flèche 366"/>
        <xdr:cNvCxnSpPr/>
      </xdr:nvCxnSpPr>
      <xdr:spPr>
        <a:xfrm flipV="1">
          <a:off x="10340975" y="29426203"/>
          <a:ext cx="1135592"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615950</xdr:colOff>
      <xdr:row>241</xdr:row>
      <xdr:rowOff>46871</xdr:rowOff>
    </xdr:from>
    <xdr:to>
      <xdr:col>14</xdr:col>
      <xdr:colOff>35983</xdr:colOff>
      <xdr:row>243</xdr:row>
      <xdr:rowOff>89203</xdr:rowOff>
    </xdr:to>
    <xdr:cxnSp macro="">
      <xdr:nvCxnSpPr>
        <xdr:cNvPr id="368" name="Connecteur droit avec flèche 367"/>
        <xdr:cNvCxnSpPr/>
      </xdr:nvCxnSpPr>
      <xdr:spPr>
        <a:xfrm flipV="1">
          <a:off x="12026900" y="27669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573616</xdr:colOff>
      <xdr:row>243</xdr:row>
      <xdr:rowOff>87088</xdr:rowOff>
    </xdr:from>
    <xdr:to>
      <xdr:col>13</xdr:col>
      <xdr:colOff>711200</xdr:colOff>
      <xdr:row>243</xdr:row>
      <xdr:rowOff>99787</xdr:rowOff>
    </xdr:to>
    <xdr:cxnSp macro="">
      <xdr:nvCxnSpPr>
        <xdr:cNvPr id="369" name="Connecteur droit avec flèche 368"/>
        <xdr:cNvCxnSpPr/>
      </xdr:nvCxnSpPr>
      <xdr:spPr>
        <a:xfrm>
          <a:off x="11984566" y="28090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457201</xdr:colOff>
      <xdr:row>245</xdr:row>
      <xdr:rowOff>89203</xdr:rowOff>
    </xdr:from>
    <xdr:to>
      <xdr:col>13</xdr:col>
      <xdr:colOff>711201</xdr:colOff>
      <xdr:row>247</xdr:row>
      <xdr:rowOff>89201</xdr:rowOff>
    </xdr:to>
    <xdr:cxnSp macro="">
      <xdr:nvCxnSpPr>
        <xdr:cNvPr id="370" name="Connecteur droit avec flèche 369"/>
        <xdr:cNvCxnSpPr/>
      </xdr:nvCxnSpPr>
      <xdr:spPr>
        <a:xfrm flipV="1">
          <a:off x="11868151" y="28473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250</xdr:row>
      <xdr:rowOff>78619</xdr:rowOff>
    </xdr:from>
    <xdr:to>
      <xdr:col>13</xdr:col>
      <xdr:colOff>700618</xdr:colOff>
      <xdr:row>250</xdr:row>
      <xdr:rowOff>89204</xdr:rowOff>
    </xdr:to>
    <xdr:cxnSp macro="">
      <xdr:nvCxnSpPr>
        <xdr:cNvPr id="371" name="Connecteur droit avec flèche 370"/>
        <xdr:cNvCxnSpPr/>
      </xdr:nvCxnSpPr>
      <xdr:spPr>
        <a:xfrm>
          <a:off x="11995151" y="29415619"/>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658285</xdr:colOff>
      <xdr:row>248</xdr:row>
      <xdr:rowOff>68036</xdr:rowOff>
    </xdr:from>
    <xdr:to>
      <xdr:col>13</xdr:col>
      <xdr:colOff>721785</xdr:colOff>
      <xdr:row>248</xdr:row>
      <xdr:rowOff>78621</xdr:rowOff>
    </xdr:to>
    <xdr:cxnSp macro="">
      <xdr:nvCxnSpPr>
        <xdr:cNvPr id="372" name="Connecteur droit avec flèche 371"/>
        <xdr:cNvCxnSpPr/>
      </xdr:nvCxnSpPr>
      <xdr:spPr>
        <a:xfrm>
          <a:off x="12069235" y="29024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510118</xdr:colOff>
      <xdr:row>247</xdr:row>
      <xdr:rowOff>57453</xdr:rowOff>
    </xdr:from>
    <xdr:to>
      <xdr:col>13</xdr:col>
      <xdr:colOff>679451</xdr:colOff>
      <xdr:row>247</xdr:row>
      <xdr:rowOff>78621</xdr:rowOff>
    </xdr:to>
    <xdr:cxnSp macro="">
      <xdr:nvCxnSpPr>
        <xdr:cNvPr id="373" name="Connecteur droit avec flèche 372"/>
        <xdr:cNvCxnSpPr/>
      </xdr:nvCxnSpPr>
      <xdr:spPr>
        <a:xfrm>
          <a:off x="11921068" y="28822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584201</xdr:colOff>
      <xdr:row>249</xdr:row>
      <xdr:rowOff>120952</xdr:rowOff>
    </xdr:from>
    <xdr:to>
      <xdr:col>13</xdr:col>
      <xdr:colOff>732368</xdr:colOff>
      <xdr:row>250</xdr:row>
      <xdr:rowOff>78619</xdr:rowOff>
    </xdr:to>
    <xdr:cxnSp macro="">
      <xdr:nvCxnSpPr>
        <xdr:cNvPr id="374" name="Connecteur droit avec flèche 373"/>
        <xdr:cNvCxnSpPr/>
      </xdr:nvCxnSpPr>
      <xdr:spPr>
        <a:xfrm flipV="1">
          <a:off x="11995151" y="29267452"/>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241</xdr:row>
      <xdr:rowOff>46869</xdr:rowOff>
    </xdr:from>
    <xdr:to>
      <xdr:col>16</xdr:col>
      <xdr:colOff>55035</xdr:colOff>
      <xdr:row>241</xdr:row>
      <xdr:rowOff>59569</xdr:rowOff>
    </xdr:to>
    <xdr:cxnSp macro="">
      <xdr:nvCxnSpPr>
        <xdr:cNvPr id="375" name="Connecteur droit avec flèche 374"/>
        <xdr:cNvCxnSpPr/>
      </xdr:nvCxnSpPr>
      <xdr:spPr>
        <a:xfrm>
          <a:off x="13624984" y="27669369"/>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245</xdr:row>
      <xdr:rowOff>78619</xdr:rowOff>
    </xdr:from>
    <xdr:to>
      <xdr:col>16</xdr:col>
      <xdr:colOff>2118</xdr:colOff>
      <xdr:row>245</xdr:row>
      <xdr:rowOff>80736</xdr:rowOff>
    </xdr:to>
    <xdr:cxnSp macro="">
      <xdr:nvCxnSpPr>
        <xdr:cNvPr id="376" name="Connecteur droit avec flèche 375"/>
        <xdr:cNvCxnSpPr/>
      </xdr:nvCxnSpPr>
      <xdr:spPr>
        <a:xfrm>
          <a:off x="13593234" y="28463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243</xdr:row>
      <xdr:rowOff>78619</xdr:rowOff>
    </xdr:from>
    <xdr:to>
      <xdr:col>16</xdr:col>
      <xdr:colOff>76202</xdr:colOff>
      <xdr:row>243</xdr:row>
      <xdr:rowOff>80736</xdr:rowOff>
    </xdr:to>
    <xdr:cxnSp macro="">
      <xdr:nvCxnSpPr>
        <xdr:cNvPr id="377" name="Connecteur droit avec flèche 376"/>
        <xdr:cNvCxnSpPr/>
      </xdr:nvCxnSpPr>
      <xdr:spPr>
        <a:xfrm>
          <a:off x="13667318" y="280821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247</xdr:row>
      <xdr:rowOff>68036</xdr:rowOff>
    </xdr:from>
    <xdr:to>
      <xdr:col>16</xdr:col>
      <xdr:colOff>65618</xdr:colOff>
      <xdr:row>247</xdr:row>
      <xdr:rowOff>70153</xdr:rowOff>
    </xdr:to>
    <xdr:cxnSp macro="">
      <xdr:nvCxnSpPr>
        <xdr:cNvPr id="378" name="Connecteur droit avec flèche 377"/>
        <xdr:cNvCxnSpPr/>
      </xdr:nvCxnSpPr>
      <xdr:spPr>
        <a:xfrm>
          <a:off x="13656734" y="28833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668867</xdr:colOff>
      <xdr:row>249</xdr:row>
      <xdr:rowOff>68036</xdr:rowOff>
    </xdr:from>
    <xdr:to>
      <xdr:col>16</xdr:col>
      <xdr:colOff>12701</xdr:colOff>
      <xdr:row>249</xdr:row>
      <xdr:rowOff>70153</xdr:rowOff>
    </xdr:to>
    <xdr:cxnSp macro="">
      <xdr:nvCxnSpPr>
        <xdr:cNvPr id="379" name="Connecteur droit avec flèche 378"/>
        <xdr:cNvCxnSpPr/>
      </xdr:nvCxnSpPr>
      <xdr:spPr>
        <a:xfrm>
          <a:off x="13603817" y="2921453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658285</xdr:colOff>
      <xdr:row>250</xdr:row>
      <xdr:rowOff>78619</xdr:rowOff>
    </xdr:from>
    <xdr:to>
      <xdr:col>16</xdr:col>
      <xdr:colOff>2119</xdr:colOff>
      <xdr:row>250</xdr:row>
      <xdr:rowOff>80736</xdr:rowOff>
    </xdr:to>
    <xdr:cxnSp macro="">
      <xdr:nvCxnSpPr>
        <xdr:cNvPr id="380" name="Connecteur droit avec flèche 379"/>
        <xdr:cNvCxnSpPr/>
      </xdr:nvCxnSpPr>
      <xdr:spPr>
        <a:xfrm>
          <a:off x="13593235" y="2941561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248</xdr:row>
      <xdr:rowOff>78620</xdr:rowOff>
    </xdr:from>
    <xdr:to>
      <xdr:col>15</xdr:col>
      <xdr:colOff>732368</xdr:colOff>
      <xdr:row>248</xdr:row>
      <xdr:rowOff>80737</xdr:rowOff>
    </xdr:to>
    <xdr:cxnSp macro="">
      <xdr:nvCxnSpPr>
        <xdr:cNvPr id="381" name="Connecteur droit avec flèche 380"/>
        <xdr:cNvCxnSpPr/>
      </xdr:nvCxnSpPr>
      <xdr:spPr>
        <a:xfrm>
          <a:off x="13561484" y="2903462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240</xdr:row>
      <xdr:rowOff>68036</xdr:rowOff>
    </xdr:from>
    <xdr:to>
      <xdr:col>16</xdr:col>
      <xdr:colOff>33868</xdr:colOff>
      <xdr:row>241</xdr:row>
      <xdr:rowOff>36287</xdr:rowOff>
    </xdr:to>
    <xdr:cxnSp macro="">
      <xdr:nvCxnSpPr>
        <xdr:cNvPr id="382" name="Connecteur droit avec flèche 381"/>
        <xdr:cNvCxnSpPr/>
      </xdr:nvCxnSpPr>
      <xdr:spPr>
        <a:xfrm flipV="1">
          <a:off x="13614400" y="27500036"/>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242</xdr:row>
      <xdr:rowOff>89203</xdr:rowOff>
    </xdr:from>
    <xdr:to>
      <xdr:col>16</xdr:col>
      <xdr:colOff>76201</xdr:colOff>
      <xdr:row>243</xdr:row>
      <xdr:rowOff>57454</xdr:rowOff>
    </xdr:to>
    <xdr:cxnSp macro="">
      <xdr:nvCxnSpPr>
        <xdr:cNvPr id="383" name="Connecteur droit avec flèche 382"/>
        <xdr:cNvCxnSpPr/>
      </xdr:nvCxnSpPr>
      <xdr:spPr>
        <a:xfrm flipV="1">
          <a:off x="13667318" y="27902203"/>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244</xdr:row>
      <xdr:rowOff>89203</xdr:rowOff>
    </xdr:from>
    <xdr:to>
      <xdr:col>16</xdr:col>
      <xdr:colOff>23284</xdr:colOff>
      <xdr:row>245</xdr:row>
      <xdr:rowOff>57454</xdr:rowOff>
    </xdr:to>
    <xdr:cxnSp macro="">
      <xdr:nvCxnSpPr>
        <xdr:cNvPr id="384" name="Connecteur droit avec flèche 383"/>
        <xdr:cNvCxnSpPr/>
      </xdr:nvCxnSpPr>
      <xdr:spPr>
        <a:xfrm flipV="1">
          <a:off x="13582651" y="28283203"/>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246</xdr:row>
      <xdr:rowOff>89203</xdr:rowOff>
    </xdr:from>
    <xdr:to>
      <xdr:col>16</xdr:col>
      <xdr:colOff>97368</xdr:colOff>
      <xdr:row>247</xdr:row>
      <xdr:rowOff>46871</xdr:rowOff>
    </xdr:to>
    <xdr:cxnSp macro="">
      <xdr:nvCxnSpPr>
        <xdr:cNvPr id="385" name="Connecteur droit avec flèche 384"/>
        <xdr:cNvCxnSpPr/>
      </xdr:nvCxnSpPr>
      <xdr:spPr>
        <a:xfrm flipV="1">
          <a:off x="13635567" y="28664203"/>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1020536</xdr:colOff>
      <xdr:row>279</xdr:row>
      <xdr:rowOff>72573</xdr:rowOff>
    </xdr:from>
    <xdr:to>
      <xdr:col>12</xdr:col>
      <xdr:colOff>216807</xdr:colOff>
      <xdr:row>284</xdr:row>
      <xdr:rowOff>108857</xdr:rowOff>
    </xdr:to>
    <xdr:cxnSp macro="">
      <xdr:nvCxnSpPr>
        <xdr:cNvPr id="386" name="Connecteur droit avec flèche 385"/>
        <xdr:cNvCxnSpPr/>
      </xdr:nvCxnSpPr>
      <xdr:spPr>
        <a:xfrm flipV="1">
          <a:off x="10364561" y="3036207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283</xdr:row>
      <xdr:rowOff>27215</xdr:rowOff>
    </xdr:from>
    <xdr:to>
      <xdr:col>12</xdr:col>
      <xdr:colOff>74688</xdr:colOff>
      <xdr:row>284</xdr:row>
      <xdr:rowOff>108857</xdr:rowOff>
    </xdr:to>
    <xdr:cxnSp macro="">
      <xdr:nvCxnSpPr>
        <xdr:cNvPr id="387" name="Connecteur droit avec flèche 386"/>
        <xdr:cNvCxnSpPr/>
      </xdr:nvCxnSpPr>
      <xdr:spPr>
        <a:xfrm flipV="1">
          <a:off x="10350954" y="3107871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629557</xdr:colOff>
      <xdr:row>277</xdr:row>
      <xdr:rowOff>19657</xdr:rowOff>
    </xdr:from>
    <xdr:to>
      <xdr:col>14</xdr:col>
      <xdr:colOff>49590</xdr:colOff>
      <xdr:row>279</xdr:row>
      <xdr:rowOff>61989</xdr:rowOff>
    </xdr:to>
    <xdr:cxnSp macro="">
      <xdr:nvCxnSpPr>
        <xdr:cNvPr id="388" name="Connecteur droit avec flèche 387"/>
        <xdr:cNvCxnSpPr/>
      </xdr:nvCxnSpPr>
      <xdr:spPr>
        <a:xfrm flipV="1">
          <a:off x="12040507" y="29928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279</xdr:row>
      <xdr:rowOff>59874</xdr:rowOff>
    </xdr:from>
    <xdr:to>
      <xdr:col>13</xdr:col>
      <xdr:colOff>724807</xdr:colOff>
      <xdr:row>279</xdr:row>
      <xdr:rowOff>72573</xdr:rowOff>
    </xdr:to>
    <xdr:cxnSp macro="">
      <xdr:nvCxnSpPr>
        <xdr:cNvPr id="389" name="Connecteur droit avec flèche 388"/>
        <xdr:cNvCxnSpPr/>
      </xdr:nvCxnSpPr>
      <xdr:spPr>
        <a:xfrm>
          <a:off x="11998173" y="30349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470808</xdr:colOff>
      <xdr:row>281</xdr:row>
      <xdr:rowOff>61989</xdr:rowOff>
    </xdr:from>
    <xdr:to>
      <xdr:col>13</xdr:col>
      <xdr:colOff>724808</xdr:colOff>
      <xdr:row>283</xdr:row>
      <xdr:rowOff>61987</xdr:rowOff>
    </xdr:to>
    <xdr:cxnSp macro="">
      <xdr:nvCxnSpPr>
        <xdr:cNvPr id="390" name="Connecteur droit avec flèche 389"/>
        <xdr:cNvCxnSpPr/>
      </xdr:nvCxnSpPr>
      <xdr:spPr>
        <a:xfrm flipV="1">
          <a:off x="11881758" y="30732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284</xdr:row>
      <xdr:rowOff>40822</xdr:rowOff>
    </xdr:from>
    <xdr:to>
      <xdr:col>13</xdr:col>
      <xdr:colOff>735392</xdr:colOff>
      <xdr:row>284</xdr:row>
      <xdr:rowOff>51407</xdr:rowOff>
    </xdr:to>
    <xdr:cxnSp macro="">
      <xdr:nvCxnSpPr>
        <xdr:cNvPr id="391" name="Connecteur droit avec flèche 390"/>
        <xdr:cNvCxnSpPr/>
      </xdr:nvCxnSpPr>
      <xdr:spPr>
        <a:xfrm>
          <a:off x="12082842" y="31282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283</xdr:row>
      <xdr:rowOff>30239</xdr:rowOff>
    </xdr:from>
    <xdr:to>
      <xdr:col>13</xdr:col>
      <xdr:colOff>693058</xdr:colOff>
      <xdr:row>283</xdr:row>
      <xdr:rowOff>51407</xdr:rowOff>
    </xdr:to>
    <xdr:cxnSp macro="">
      <xdr:nvCxnSpPr>
        <xdr:cNvPr id="392" name="Connecteur droit avec flèche 391"/>
        <xdr:cNvCxnSpPr/>
      </xdr:nvCxnSpPr>
      <xdr:spPr>
        <a:xfrm>
          <a:off x="11934675" y="3108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690034</xdr:colOff>
      <xdr:row>277</xdr:row>
      <xdr:rowOff>101298</xdr:rowOff>
    </xdr:from>
    <xdr:to>
      <xdr:col>16</xdr:col>
      <xdr:colOff>55035</xdr:colOff>
      <xdr:row>277</xdr:row>
      <xdr:rowOff>113998</xdr:rowOff>
    </xdr:to>
    <xdr:cxnSp macro="">
      <xdr:nvCxnSpPr>
        <xdr:cNvPr id="393" name="Connecteur droit avec flèche 392"/>
        <xdr:cNvCxnSpPr/>
      </xdr:nvCxnSpPr>
      <xdr:spPr>
        <a:xfrm>
          <a:off x="13624984" y="30009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658284</xdr:colOff>
      <xdr:row>281</xdr:row>
      <xdr:rowOff>133048</xdr:rowOff>
    </xdr:from>
    <xdr:to>
      <xdr:col>16</xdr:col>
      <xdr:colOff>2118</xdr:colOff>
      <xdr:row>281</xdr:row>
      <xdr:rowOff>135165</xdr:rowOff>
    </xdr:to>
    <xdr:cxnSp macro="">
      <xdr:nvCxnSpPr>
        <xdr:cNvPr id="394" name="Connecteur droit avec flèche 393"/>
        <xdr:cNvCxnSpPr/>
      </xdr:nvCxnSpPr>
      <xdr:spPr>
        <a:xfrm>
          <a:off x="13593234" y="30803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279</xdr:row>
      <xdr:rowOff>133048</xdr:rowOff>
    </xdr:from>
    <xdr:to>
      <xdr:col>16</xdr:col>
      <xdr:colOff>76202</xdr:colOff>
      <xdr:row>279</xdr:row>
      <xdr:rowOff>135165</xdr:rowOff>
    </xdr:to>
    <xdr:cxnSp macro="">
      <xdr:nvCxnSpPr>
        <xdr:cNvPr id="395" name="Connecteur droit avec flèche 394"/>
        <xdr:cNvCxnSpPr/>
      </xdr:nvCxnSpPr>
      <xdr:spPr>
        <a:xfrm>
          <a:off x="13667318" y="30422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721784</xdr:colOff>
      <xdr:row>283</xdr:row>
      <xdr:rowOff>122465</xdr:rowOff>
    </xdr:from>
    <xdr:to>
      <xdr:col>16</xdr:col>
      <xdr:colOff>65618</xdr:colOff>
      <xdr:row>283</xdr:row>
      <xdr:rowOff>124582</xdr:rowOff>
    </xdr:to>
    <xdr:cxnSp macro="">
      <xdr:nvCxnSpPr>
        <xdr:cNvPr id="396" name="Connecteur droit avec flèche 395"/>
        <xdr:cNvCxnSpPr/>
      </xdr:nvCxnSpPr>
      <xdr:spPr>
        <a:xfrm>
          <a:off x="13656734" y="31173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626534</xdr:colOff>
      <xdr:row>284</xdr:row>
      <xdr:rowOff>133049</xdr:rowOff>
    </xdr:from>
    <xdr:to>
      <xdr:col>15</xdr:col>
      <xdr:colOff>732368</xdr:colOff>
      <xdr:row>284</xdr:row>
      <xdr:rowOff>135166</xdr:rowOff>
    </xdr:to>
    <xdr:cxnSp macro="">
      <xdr:nvCxnSpPr>
        <xdr:cNvPr id="397" name="Connecteur droit avec flèche 396"/>
        <xdr:cNvCxnSpPr/>
      </xdr:nvCxnSpPr>
      <xdr:spPr>
        <a:xfrm>
          <a:off x="13561484" y="31375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679450</xdr:colOff>
      <xdr:row>276</xdr:row>
      <xdr:rowOff>122465</xdr:rowOff>
    </xdr:from>
    <xdr:to>
      <xdr:col>16</xdr:col>
      <xdr:colOff>33868</xdr:colOff>
      <xdr:row>277</xdr:row>
      <xdr:rowOff>90716</xdr:rowOff>
    </xdr:to>
    <xdr:cxnSp macro="">
      <xdr:nvCxnSpPr>
        <xdr:cNvPr id="398" name="Connecteur droit avec flèche 397"/>
        <xdr:cNvCxnSpPr/>
      </xdr:nvCxnSpPr>
      <xdr:spPr>
        <a:xfrm flipV="1">
          <a:off x="13614400" y="29840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732368</xdr:colOff>
      <xdr:row>278</xdr:row>
      <xdr:rowOff>143632</xdr:rowOff>
    </xdr:from>
    <xdr:to>
      <xdr:col>16</xdr:col>
      <xdr:colOff>76201</xdr:colOff>
      <xdr:row>279</xdr:row>
      <xdr:rowOff>111883</xdr:rowOff>
    </xdr:to>
    <xdr:cxnSp macro="">
      <xdr:nvCxnSpPr>
        <xdr:cNvPr id="399" name="Connecteur droit avec flèche 398"/>
        <xdr:cNvCxnSpPr/>
      </xdr:nvCxnSpPr>
      <xdr:spPr>
        <a:xfrm flipV="1">
          <a:off x="13667318" y="30242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647701</xdr:colOff>
      <xdr:row>280</xdr:row>
      <xdr:rowOff>143632</xdr:rowOff>
    </xdr:from>
    <xdr:to>
      <xdr:col>16</xdr:col>
      <xdr:colOff>23284</xdr:colOff>
      <xdr:row>281</xdr:row>
      <xdr:rowOff>111883</xdr:rowOff>
    </xdr:to>
    <xdr:cxnSp macro="">
      <xdr:nvCxnSpPr>
        <xdr:cNvPr id="400" name="Connecteur droit avec flèche 399"/>
        <xdr:cNvCxnSpPr/>
      </xdr:nvCxnSpPr>
      <xdr:spPr>
        <a:xfrm flipV="1">
          <a:off x="13582651" y="30623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700617</xdr:colOff>
      <xdr:row>282</xdr:row>
      <xdr:rowOff>143632</xdr:rowOff>
    </xdr:from>
    <xdr:to>
      <xdr:col>16</xdr:col>
      <xdr:colOff>97368</xdr:colOff>
      <xdr:row>283</xdr:row>
      <xdr:rowOff>101300</xdr:rowOff>
    </xdr:to>
    <xdr:cxnSp macro="">
      <xdr:nvCxnSpPr>
        <xdr:cNvPr id="401" name="Connecteur droit avec flèche 400"/>
        <xdr:cNvCxnSpPr/>
      </xdr:nvCxnSpPr>
      <xdr:spPr>
        <a:xfrm flipV="1">
          <a:off x="13635567" y="31004632"/>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299</xdr:row>
      <xdr:rowOff>4537</xdr:rowOff>
    </xdr:from>
    <xdr:to>
      <xdr:col>12</xdr:col>
      <xdr:colOff>224971</xdr:colOff>
      <xdr:row>304</xdr:row>
      <xdr:rowOff>81643</xdr:rowOff>
    </xdr:to>
    <xdr:cxnSp macro="">
      <xdr:nvCxnSpPr>
        <xdr:cNvPr id="402" name="Connecteur droit avec flèche 401"/>
        <xdr:cNvCxnSpPr/>
      </xdr:nvCxnSpPr>
      <xdr:spPr>
        <a:xfrm flipV="1">
          <a:off x="10432597" y="32199037"/>
          <a:ext cx="1203324"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303</xdr:row>
      <xdr:rowOff>54430</xdr:rowOff>
    </xdr:from>
    <xdr:to>
      <xdr:col>12</xdr:col>
      <xdr:colOff>68036</xdr:colOff>
      <xdr:row>304</xdr:row>
      <xdr:rowOff>81643</xdr:rowOff>
    </xdr:to>
    <xdr:cxnSp macro="">
      <xdr:nvCxnSpPr>
        <xdr:cNvPr id="403" name="Connecteur droit avec flèche 402"/>
        <xdr:cNvCxnSpPr/>
      </xdr:nvCxnSpPr>
      <xdr:spPr>
        <a:xfrm flipV="1">
          <a:off x="10405383" y="33010930"/>
          <a:ext cx="1073603"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296</xdr:row>
      <xdr:rowOff>142121</xdr:rowOff>
    </xdr:from>
    <xdr:to>
      <xdr:col>14</xdr:col>
      <xdr:colOff>57754</xdr:colOff>
      <xdr:row>298</xdr:row>
      <xdr:rowOff>184453</xdr:rowOff>
    </xdr:to>
    <xdr:cxnSp macro="">
      <xdr:nvCxnSpPr>
        <xdr:cNvPr id="404" name="Connecteur droit avec flèche 403"/>
        <xdr:cNvCxnSpPr/>
      </xdr:nvCxnSpPr>
      <xdr:spPr>
        <a:xfrm flipV="1">
          <a:off x="12048671" y="3176512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300</xdr:row>
      <xdr:rowOff>184453</xdr:rowOff>
    </xdr:from>
    <xdr:to>
      <xdr:col>13</xdr:col>
      <xdr:colOff>732972</xdr:colOff>
      <xdr:row>302</xdr:row>
      <xdr:rowOff>184451</xdr:rowOff>
    </xdr:to>
    <xdr:cxnSp macro="">
      <xdr:nvCxnSpPr>
        <xdr:cNvPr id="405" name="Connecteur droit avec flèche 404"/>
        <xdr:cNvCxnSpPr/>
      </xdr:nvCxnSpPr>
      <xdr:spPr>
        <a:xfrm flipV="1">
          <a:off x="11889922" y="3256945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302</xdr:row>
      <xdr:rowOff>152703</xdr:rowOff>
    </xdr:from>
    <xdr:to>
      <xdr:col>13</xdr:col>
      <xdr:colOff>701222</xdr:colOff>
      <xdr:row>302</xdr:row>
      <xdr:rowOff>173871</xdr:rowOff>
    </xdr:to>
    <xdr:cxnSp macro="">
      <xdr:nvCxnSpPr>
        <xdr:cNvPr id="406" name="Connecteur droit avec flèche 405"/>
        <xdr:cNvCxnSpPr/>
      </xdr:nvCxnSpPr>
      <xdr:spPr>
        <a:xfrm>
          <a:off x="11942839" y="3291870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297</xdr:row>
      <xdr:rowOff>33262</xdr:rowOff>
    </xdr:from>
    <xdr:to>
      <xdr:col>16</xdr:col>
      <xdr:colOff>63199</xdr:colOff>
      <xdr:row>297</xdr:row>
      <xdr:rowOff>45962</xdr:rowOff>
    </xdr:to>
    <xdr:cxnSp macro="">
      <xdr:nvCxnSpPr>
        <xdr:cNvPr id="407" name="Connecteur droit avec flèche 406"/>
        <xdr:cNvCxnSpPr/>
      </xdr:nvCxnSpPr>
      <xdr:spPr>
        <a:xfrm>
          <a:off x="13633148" y="3184676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301</xdr:row>
      <xdr:rowOff>65012</xdr:rowOff>
    </xdr:from>
    <xdr:to>
      <xdr:col>16</xdr:col>
      <xdr:colOff>10282</xdr:colOff>
      <xdr:row>301</xdr:row>
      <xdr:rowOff>67129</xdr:rowOff>
    </xdr:to>
    <xdr:cxnSp macro="">
      <xdr:nvCxnSpPr>
        <xdr:cNvPr id="408" name="Connecteur droit avec flèche 407"/>
        <xdr:cNvCxnSpPr/>
      </xdr:nvCxnSpPr>
      <xdr:spPr>
        <a:xfrm>
          <a:off x="13601398" y="32640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299</xdr:row>
      <xdr:rowOff>65012</xdr:rowOff>
    </xdr:from>
    <xdr:to>
      <xdr:col>16</xdr:col>
      <xdr:colOff>84366</xdr:colOff>
      <xdr:row>299</xdr:row>
      <xdr:rowOff>67129</xdr:rowOff>
    </xdr:to>
    <xdr:cxnSp macro="">
      <xdr:nvCxnSpPr>
        <xdr:cNvPr id="409" name="Connecteur droit avec flèche 408"/>
        <xdr:cNvCxnSpPr/>
      </xdr:nvCxnSpPr>
      <xdr:spPr>
        <a:xfrm>
          <a:off x="13675482" y="3225951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303</xdr:row>
      <xdr:rowOff>54429</xdr:rowOff>
    </xdr:from>
    <xdr:to>
      <xdr:col>16</xdr:col>
      <xdr:colOff>73782</xdr:colOff>
      <xdr:row>303</xdr:row>
      <xdr:rowOff>56546</xdr:rowOff>
    </xdr:to>
    <xdr:cxnSp macro="">
      <xdr:nvCxnSpPr>
        <xdr:cNvPr id="410" name="Connecteur droit avec flèche 409"/>
        <xdr:cNvCxnSpPr/>
      </xdr:nvCxnSpPr>
      <xdr:spPr>
        <a:xfrm>
          <a:off x="13664898" y="3301092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304</xdr:row>
      <xdr:rowOff>65013</xdr:rowOff>
    </xdr:from>
    <xdr:to>
      <xdr:col>15</xdr:col>
      <xdr:colOff>740532</xdr:colOff>
      <xdr:row>304</xdr:row>
      <xdr:rowOff>67130</xdr:rowOff>
    </xdr:to>
    <xdr:cxnSp macro="">
      <xdr:nvCxnSpPr>
        <xdr:cNvPr id="411" name="Connecteur droit avec flèche 410"/>
        <xdr:cNvCxnSpPr/>
      </xdr:nvCxnSpPr>
      <xdr:spPr>
        <a:xfrm>
          <a:off x="13569648" y="33212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296</xdr:row>
      <xdr:rowOff>54429</xdr:rowOff>
    </xdr:from>
    <xdr:to>
      <xdr:col>16</xdr:col>
      <xdr:colOff>42032</xdr:colOff>
      <xdr:row>297</xdr:row>
      <xdr:rowOff>22680</xdr:rowOff>
    </xdr:to>
    <xdr:cxnSp macro="">
      <xdr:nvCxnSpPr>
        <xdr:cNvPr id="412" name="Connecteur droit avec flèche 411"/>
        <xdr:cNvCxnSpPr/>
      </xdr:nvCxnSpPr>
      <xdr:spPr>
        <a:xfrm flipV="1">
          <a:off x="13622564" y="3167742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298</xdr:row>
      <xdr:rowOff>75596</xdr:rowOff>
    </xdr:from>
    <xdr:to>
      <xdr:col>16</xdr:col>
      <xdr:colOff>84365</xdr:colOff>
      <xdr:row>299</xdr:row>
      <xdr:rowOff>43847</xdr:rowOff>
    </xdr:to>
    <xdr:cxnSp macro="">
      <xdr:nvCxnSpPr>
        <xdr:cNvPr id="413" name="Connecteur droit avec flèche 412"/>
        <xdr:cNvCxnSpPr/>
      </xdr:nvCxnSpPr>
      <xdr:spPr>
        <a:xfrm flipV="1">
          <a:off x="13675482" y="3207959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300</xdr:row>
      <xdr:rowOff>75596</xdr:rowOff>
    </xdr:from>
    <xdr:to>
      <xdr:col>16</xdr:col>
      <xdr:colOff>31448</xdr:colOff>
      <xdr:row>301</xdr:row>
      <xdr:rowOff>43847</xdr:rowOff>
    </xdr:to>
    <xdr:cxnSp macro="">
      <xdr:nvCxnSpPr>
        <xdr:cNvPr id="414" name="Connecteur droit avec flèche 413"/>
        <xdr:cNvCxnSpPr/>
      </xdr:nvCxnSpPr>
      <xdr:spPr>
        <a:xfrm flipV="1">
          <a:off x="13590815" y="3246059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302</xdr:row>
      <xdr:rowOff>75596</xdr:rowOff>
    </xdr:from>
    <xdr:to>
      <xdr:col>16</xdr:col>
      <xdr:colOff>105532</xdr:colOff>
      <xdr:row>303</xdr:row>
      <xdr:rowOff>33264</xdr:rowOff>
    </xdr:to>
    <xdr:cxnSp macro="">
      <xdr:nvCxnSpPr>
        <xdr:cNvPr id="415" name="Connecteur droit avec flèche 414"/>
        <xdr:cNvCxnSpPr/>
      </xdr:nvCxnSpPr>
      <xdr:spPr>
        <a:xfrm flipV="1">
          <a:off x="13643731" y="3284159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1129393</xdr:colOff>
      <xdr:row>314</xdr:row>
      <xdr:rowOff>73477</xdr:rowOff>
    </xdr:from>
    <xdr:to>
      <xdr:col>12</xdr:col>
      <xdr:colOff>293915</xdr:colOff>
      <xdr:row>314</xdr:row>
      <xdr:rowOff>81641</xdr:rowOff>
    </xdr:to>
    <xdr:cxnSp macro="">
      <xdr:nvCxnSpPr>
        <xdr:cNvPr id="416" name="Connecteur droit avec flèche 415"/>
        <xdr:cNvCxnSpPr/>
      </xdr:nvCxnSpPr>
      <xdr:spPr>
        <a:xfrm>
          <a:off x="10473418" y="35125477"/>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1178379</xdr:colOff>
      <xdr:row>309</xdr:row>
      <xdr:rowOff>31750</xdr:rowOff>
    </xdr:from>
    <xdr:to>
      <xdr:col>12</xdr:col>
      <xdr:colOff>374650</xdr:colOff>
      <xdr:row>314</xdr:row>
      <xdr:rowOff>68034</xdr:rowOff>
    </xdr:to>
    <xdr:cxnSp macro="">
      <xdr:nvCxnSpPr>
        <xdr:cNvPr id="417" name="Connecteur droit avec flèche 416"/>
        <xdr:cNvCxnSpPr/>
      </xdr:nvCxnSpPr>
      <xdr:spPr>
        <a:xfrm flipV="1">
          <a:off x="10522404" y="34131250"/>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1164772</xdr:colOff>
      <xdr:row>312</xdr:row>
      <xdr:rowOff>176892</xdr:rowOff>
    </xdr:from>
    <xdr:to>
      <xdr:col>12</xdr:col>
      <xdr:colOff>232531</xdr:colOff>
      <xdr:row>314</xdr:row>
      <xdr:rowOff>68034</xdr:rowOff>
    </xdr:to>
    <xdr:cxnSp macro="">
      <xdr:nvCxnSpPr>
        <xdr:cNvPr id="418" name="Connecteur droit avec flèche 417"/>
        <xdr:cNvCxnSpPr/>
      </xdr:nvCxnSpPr>
      <xdr:spPr>
        <a:xfrm flipV="1">
          <a:off x="10508797" y="34847892"/>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25400</xdr:colOff>
      <xdr:row>306</xdr:row>
      <xdr:rowOff>169334</xdr:rowOff>
    </xdr:from>
    <xdr:to>
      <xdr:col>14</xdr:col>
      <xdr:colOff>207433</xdr:colOff>
      <xdr:row>309</xdr:row>
      <xdr:rowOff>21166</xdr:rowOff>
    </xdr:to>
    <xdr:cxnSp macro="">
      <xdr:nvCxnSpPr>
        <xdr:cNvPr id="419" name="Connecteur droit avec flèche 418"/>
        <xdr:cNvCxnSpPr/>
      </xdr:nvCxnSpPr>
      <xdr:spPr>
        <a:xfrm flipV="1">
          <a:off x="12198350" y="3369733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745066</xdr:colOff>
      <xdr:row>309</xdr:row>
      <xdr:rowOff>19051</xdr:rowOff>
    </xdr:from>
    <xdr:to>
      <xdr:col>14</xdr:col>
      <xdr:colOff>120650</xdr:colOff>
      <xdr:row>309</xdr:row>
      <xdr:rowOff>31750</xdr:rowOff>
    </xdr:to>
    <xdr:cxnSp macro="">
      <xdr:nvCxnSpPr>
        <xdr:cNvPr id="420" name="Connecteur droit avec flèche 419"/>
        <xdr:cNvCxnSpPr/>
      </xdr:nvCxnSpPr>
      <xdr:spPr>
        <a:xfrm>
          <a:off x="12156016" y="3411855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628651</xdr:colOff>
      <xdr:row>311</xdr:row>
      <xdr:rowOff>21166</xdr:rowOff>
    </xdr:from>
    <xdr:to>
      <xdr:col>14</xdr:col>
      <xdr:colOff>120651</xdr:colOff>
      <xdr:row>313</xdr:row>
      <xdr:rowOff>21164</xdr:rowOff>
    </xdr:to>
    <xdr:cxnSp macro="">
      <xdr:nvCxnSpPr>
        <xdr:cNvPr id="421" name="Connecteur droit avec flèche 420"/>
        <xdr:cNvCxnSpPr/>
      </xdr:nvCxnSpPr>
      <xdr:spPr>
        <a:xfrm flipV="1">
          <a:off x="12039601" y="3450166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67735</xdr:colOff>
      <xdr:row>314</xdr:row>
      <xdr:rowOff>54428</xdr:rowOff>
    </xdr:from>
    <xdr:to>
      <xdr:col>14</xdr:col>
      <xdr:colOff>131235</xdr:colOff>
      <xdr:row>314</xdr:row>
      <xdr:rowOff>65013</xdr:rowOff>
    </xdr:to>
    <xdr:cxnSp macro="">
      <xdr:nvCxnSpPr>
        <xdr:cNvPr id="422" name="Connecteur droit avec flèche 421"/>
        <xdr:cNvCxnSpPr/>
      </xdr:nvCxnSpPr>
      <xdr:spPr>
        <a:xfrm>
          <a:off x="12240685" y="3510642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85877</xdr:colOff>
      <xdr:row>307</xdr:row>
      <xdr:rowOff>60475</xdr:rowOff>
    </xdr:from>
    <xdr:to>
      <xdr:col>16</xdr:col>
      <xdr:colOff>212878</xdr:colOff>
      <xdr:row>307</xdr:row>
      <xdr:rowOff>73175</xdr:rowOff>
    </xdr:to>
    <xdr:cxnSp macro="">
      <xdr:nvCxnSpPr>
        <xdr:cNvPr id="423" name="Connecteur droit avec flèche 422"/>
        <xdr:cNvCxnSpPr/>
      </xdr:nvCxnSpPr>
      <xdr:spPr>
        <a:xfrm>
          <a:off x="13782827" y="33778975"/>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54127</xdr:colOff>
      <xdr:row>311</xdr:row>
      <xdr:rowOff>92225</xdr:rowOff>
    </xdr:from>
    <xdr:to>
      <xdr:col>16</xdr:col>
      <xdr:colOff>159961</xdr:colOff>
      <xdr:row>311</xdr:row>
      <xdr:rowOff>94342</xdr:rowOff>
    </xdr:to>
    <xdr:cxnSp macro="">
      <xdr:nvCxnSpPr>
        <xdr:cNvPr id="424" name="Connecteur droit avec flèche 423"/>
        <xdr:cNvCxnSpPr/>
      </xdr:nvCxnSpPr>
      <xdr:spPr>
        <a:xfrm>
          <a:off x="13751077" y="34572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309</xdr:row>
      <xdr:rowOff>92225</xdr:rowOff>
    </xdr:from>
    <xdr:to>
      <xdr:col>16</xdr:col>
      <xdr:colOff>234045</xdr:colOff>
      <xdr:row>309</xdr:row>
      <xdr:rowOff>94342</xdr:rowOff>
    </xdr:to>
    <xdr:cxnSp macro="">
      <xdr:nvCxnSpPr>
        <xdr:cNvPr id="425" name="Connecteur droit avec flèche 424"/>
        <xdr:cNvCxnSpPr/>
      </xdr:nvCxnSpPr>
      <xdr:spPr>
        <a:xfrm>
          <a:off x="13825161" y="3419172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117627</xdr:colOff>
      <xdr:row>313</xdr:row>
      <xdr:rowOff>81642</xdr:rowOff>
    </xdr:from>
    <xdr:to>
      <xdr:col>16</xdr:col>
      <xdr:colOff>223461</xdr:colOff>
      <xdr:row>313</xdr:row>
      <xdr:rowOff>83759</xdr:rowOff>
    </xdr:to>
    <xdr:cxnSp macro="">
      <xdr:nvCxnSpPr>
        <xdr:cNvPr id="426" name="Connecteur droit avec flèche 425"/>
        <xdr:cNvCxnSpPr/>
      </xdr:nvCxnSpPr>
      <xdr:spPr>
        <a:xfrm>
          <a:off x="13814577" y="3494314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22377</xdr:colOff>
      <xdr:row>314</xdr:row>
      <xdr:rowOff>92226</xdr:rowOff>
    </xdr:from>
    <xdr:to>
      <xdr:col>16</xdr:col>
      <xdr:colOff>128211</xdr:colOff>
      <xdr:row>314</xdr:row>
      <xdr:rowOff>94343</xdr:rowOff>
    </xdr:to>
    <xdr:cxnSp macro="">
      <xdr:nvCxnSpPr>
        <xdr:cNvPr id="427" name="Connecteur droit avec flèche 426"/>
        <xdr:cNvCxnSpPr/>
      </xdr:nvCxnSpPr>
      <xdr:spPr>
        <a:xfrm>
          <a:off x="13719327" y="35144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75293</xdr:colOff>
      <xdr:row>306</xdr:row>
      <xdr:rowOff>81642</xdr:rowOff>
    </xdr:from>
    <xdr:to>
      <xdr:col>16</xdr:col>
      <xdr:colOff>191711</xdr:colOff>
      <xdr:row>307</xdr:row>
      <xdr:rowOff>49893</xdr:rowOff>
    </xdr:to>
    <xdr:cxnSp macro="">
      <xdr:nvCxnSpPr>
        <xdr:cNvPr id="428" name="Connecteur droit avec flèche 427"/>
        <xdr:cNvCxnSpPr/>
      </xdr:nvCxnSpPr>
      <xdr:spPr>
        <a:xfrm flipV="1">
          <a:off x="13772243" y="33609642"/>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128211</xdr:colOff>
      <xdr:row>308</xdr:row>
      <xdr:rowOff>102809</xdr:rowOff>
    </xdr:from>
    <xdr:to>
      <xdr:col>16</xdr:col>
      <xdr:colOff>234044</xdr:colOff>
      <xdr:row>309</xdr:row>
      <xdr:rowOff>71060</xdr:rowOff>
    </xdr:to>
    <xdr:cxnSp macro="">
      <xdr:nvCxnSpPr>
        <xdr:cNvPr id="429" name="Connecteur droit avec flèche 428"/>
        <xdr:cNvCxnSpPr/>
      </xdr:nvCxnSpPr>
      <xdr:spPr>
        <a:xfrm flipV="1">
          <a:off x="13825161" y="34011809"/>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43544</xdr:colOff>
      <xdr:row>310</xdr:row>
      <xdr:rowOff>102809</xdr:rowOff>
    </xdr:from>
    <xdr:to>
      <xdr:col>16</xdr:col>
      <xdr:colOff>181127</xdr:colOff>
      <xdr:row>311</xdr:row>
      <xdr:rowOff>71060</xdr:rowOff>
    </xdr:to>
    <xdr:cxnSp macro="">
      <xdr:nvCxnSpPr>
        <xdr:cNvPr id="430" name="Connecteur droit avec flèche 429"/>
        <xdr:cNvCxnSpPr/>
      </xdr:nvCxnSpPr>
      <xdr:spPr>
        <a:xfrm flipV="1">
          <a:off x="13740494" y="34392809"/>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96460</xdr:colOff>
      <xdr:row>312</xdr:row>
      <xdr:rowOff>102809</xdr:rowOff>
    </xdr:from>
    <xdr:to>
      <xdr:col>16</xdr:col>
      <xdr:colOff>255211</xdr:colOff>
      <xdr:row>313</xdr:row>
      <xdr:rowOff>60477</xdr:rowOff>
    </xdr:to>
    <xdr:cxnSp macro="">
      <xdr:nvCxnSpPr>
        <xdr:cNvPr id="431" name="Connecteur droit avec flèche 430"/>
        <xdr:cNvCxnSpPr/>
      </xdr:nvCxnSpPr>
      <xdr:spPr>
        <a:xfrm flipV="1">
          <a:off x="13793410" y="34773809"/>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324</xdr:row>
      <xdr:rowOff>100692</xdr:rowOff>
    </xdr:from>
    <xdr:to>
      <xdr:col>12</xdr:col>
      <xdr:colOff>253094</xdr:colOff>
      <xdr:row>324</xdr:row>
      <xdr:rowOff>108856</xdr:rowOff>
    </xdr:to>
    <xdr:cxnSp macro="">
      <xdr:nvCxnSpPr>
        <xdr:cNvPr id="432" name="Connecteur droit avec flèche 431"/>
        <xdr:cNvCxnSpPr/>
      </xdr:nvCxnSpPr>
      <xdr:spPr>
        <a:xfrm>
          <a:off x="10432597" y="37057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319</xdr:row>
      <xdr:rowOff>58965</xdr:rowOff>
    </xdr:from>
    <xdr:to>
      <xdr:col>12</xdr:col>
      <xdr:colOff>333829</xdr:colOff>
      <xdr:row>324</xdr:row>
      <xdr:rowOff>95249</xdr:rowOff>
    </xdr:to>
    <xdr:cxnSp macro="">
      <xdr:nvCxnSpPr>
        <xdr:cNvPr id="433" name="Connecteur droit avec flèche 432"/>
        <xdr:cNvCxnSpPr/>
      </xdr:nvCxnSpPr>
      <xdr:spPr>
        <a:xfrm flipV="1">
          <a:off x="10481583" y="36063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323</xdr:row>
      <xdr:rowOff>13607</xdr:rowOff>
    </xdr:from>
    <xdr:to>
      <xdr:col>12</xdr:col>
      <xdr:colOff>191710</xdr:colOff>
      <xdr:row>324</xdr:row>
      <xdr:rowOff>95249</xdr:rowOff>
    </xdr:to>
    <xdr:cxnSp macro="">
      <xdr:nvCxnSpPr>
        <xdr:cNvPr id="434" name="Connecteur droit avec flèche 433"/>
        <xdr:cNvCxnSpPr/>
      </xdr:nvCxnSpPr>
      <xdr:spPr>
        <a:xfrm flipV="1">
          <a:off x="10467976" y="36780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317</xdr:row>
      <xdr:rowOff>108857</xdr:rowOff>
    </xdr:from>
    <xdr:to>
      <xdr:col>14</xdr:col>
      <xdr:colOff>68036</xdr:colOff>
      <xdr:row>319</xdr:row>
      <xdr:rowOff>48381</xdr:rowOff>
    </xdr:to>
    <xdr:cxnSp macro="">
      <xdr:nvCxnSpPr>
        <xdr:cNvPr id="435" name="Connecteur droit avec flèche 434"/>
        <xdr:cNvCxnSpPr/>
      </xdr:nvCxnSpPr>
      <xdr:spPr>
        <a:xfrm flipV="1">
          <a:off x="12157529" y="35732357"/>
          <a:ext cx="845457" cy="32052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319</xdr:row>
      <xdr:rowOff>46266</xdr:rowOff>
    </xdr:from>
    <xdr:to>
      <xdr:col>14</xdr:col>
      <xdr:colOff>79829</xdr:colOff>
      <xdr:row>319</xdr:row>
      <xdr:rowOff>58965</xdr:rowOff>
    </xdr:to>
    <xdr:cxnSp macro="">
      <xdr:nvCxnSpPr>
        <xdr:cNvPr id="436" name="Connecteur droit avec flèche 435"/>
        <xdr:cNvCxnSpPr/>
      </xdr:nvCxnSpPr>
      <xdr:spPr>
        <a:xfrm>
          <a:off x="12115195" y="36050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321</xdr:row>
      <xdr:rowOff>48381</xdr:rowOff>
    </xdr:from>
    <xdr:to>
      <xdr:col>14</xdr:col>
      <xdr:colOff>79830</xdr:colOff>
      <xdr:row>323</xdr:row>
      <xdr:rowOff>48379</xdr:rowOff>
    </xdr:to>
    <xdr:cxnSp macro="">
      <xdr:nvCxnSpPr>
        <xdr:cNvPr id="437" name="Connecteur droit avec flèche 436"/>
        <xdr:cNvCxnSpPr/>
      </xdr:nvCxnSpPr>
      <xdr:spPr>
        <a:xfrm flipV="1">
          <a:off x="11998780" y="36433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324</xdr:row>
      <xdr:rowOff>27214</xdr:rowOff>
    </xdr:from>
    <xdr:to>
      <xdr:col>14</xdr:col>
      <xdr:colOff>90414</xdr:colOff>
      <xdr:row>324</xdr:row>
      <xdr:rowOff>37799</xdr:rowOff>
    </xdr:to>
    <xdr:cxnSp macro="">
      <xdr:nvCxnSpPr>
        <xdr:cNvPr id="438" name="Connecteur droit avec flèche 437"/>
        <xdr:cNvCxnSpPr/>
      </xdr:nvCxnSpPr>
      <xdr:spPr>
        <a:xfrm>
          <a:off x="12199864" y="36984214"/>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323</xdr:row>
      <xdr:rowOff>16631</xdr:rowOff>
    </xdr:from>
    <xdr:to>
      <xdr:col>14</xdr:col>
      <xdr:colOff>48080</xdr:colOff>
      <xdr:row>323</xdr:row>
      <xdr:rowOff>37799</xdr:rowOff>
    </xdr:to>
    <xdr:cxnSp macro="">
      <xdr:nvCxnSpPr>
        <xdr:cNvPr id="439" name="Connecteur droit avec flèche 438"/>
        <xdr:cNvCxnSpPr/>
      </xdr:nvCxnSpPr>
      <xdr:spPr>
        <a:xfrm>
          <a:off x="12051697" y="36783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317</xdr:row>
      <xdr:rowOff>87690</xdr:rowOff>
    </xdr:from>
    <xdr:to>
      <xdr:col>16</xdr:col>
      <xdr:colOff>172057</xdr:colOff>
      <xdr:row>317</xdr:row>
      <xdr:rowOff>100390</xdr:rowOff>
    </xdr:to>
    <xdr:cxnSp macro="">
      <xdr:nvCxnSpPr>
        <xdr:cNvPr id="440" name="Connecteur droit avec flèche 439"/>
        <xdr:cNvCxnSpPr/>
      </xdr:nvCxnSpPr>
      <xdr:spPr>
        <a:xfrm>
          <a:off x="13742006" y="35711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321</xdr:row>
      <xdr:rowOff>119440</xdr:rowOff>
    </xdr:from>
    <xdr:to>
      <xdr:col>16</xdr:col>
      <xdr:colOff>119140</xdr:colOff>
      <xdr:row>321</xdr:row>
      <xdr:rowOff>121557</xdr:rowOff>
    </xdr:to>
    <xdr:cxnSp macro="">
      <xdr:nvCxnSpPr>
        <xdr:cNvPr id="441" name="Connecteur droit avec flèche 440"/>
        <xdr:cNvCxnSpPr/>
      </xdr:nvCxnSpPr>
      <xdr:spPr>
        <a:xfrm>
          <a:off x="13710256" y="36504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319</xdr:row>
      <xdr:rowOff>119440</xdr:rowOff>
    </xdr:from>
    <xdr:to>
      <xdr:col>16</xdr:col>
      <xdr:colOff>193224</xdr:colOff>
      <xdr:row>319</xdr:row>
      <xdr:rowOff>121557</xdr:rowOff>
    </xdr:to>
    <xdr:cxnSp macro="">
      <xdr:nvCxnSpPr>
        <xdr:cNvPr id="442" name="Connecteur droit avec flèche 441"/>
        <xdr:cNvCxnSpPr/>
      </xdr:nvCxnSpPr>
      <xdr:spPr>
        <a:xfrm>
          <a:off x="13784340" y="36123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323</xdr:row>
      <xdr:rowOff>108857</xdr:rowOff>
    </xdr:from>
    <xdr:to>
      <xdr:col>16</xdr:col>
      <xdr:colOff>182640</xdr:colOff>
      <xdr:row>323</xdr:row>
      <xdr:rowOff>110974</xdr:rowOff>
    </xdr:to>
    <xdr:cxnSp macro="">
      <xdr:nvCxnSpPr>
        <xdr:cNvPr id="443" name="Connecteur droit avec flèche 442"/>
        <xdr:cNvCxnSpPr/>
      </xdr:nvCxnSpPr>
      <xdr:spPr>
        <a:xfrm>
          <a:off x="13773756" y="36875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324</xdr:row>
      <xdr:rowOff>119441</xdr:rowOff>
    </xdr:from>
    <xdr:to>
      <xdr:col>16</xdr:col>
      <xdr:colOff>87390</xdr:colOff>
      <xdr:row>324</xdr:row>
      <xdr:rowOff>121558</xdr:rowOff>
    </xdr:to>
    <xdr:cxnSp macro="">
      <xdr:nvCxnSpPr>
        <xdr:cNvPr id="444" name="Connecteur droit avec flèche 443"/>
        <xdr:cNvCxnSpPr/>
      </xdr:nvCxnSpPr>
      <xdr:spPr>
        <a:xfrm>
          <a:off x="13678506" y="37076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316</xdr:row>
      <xdr:rowOff>108857</xdr:rowOff>
    </xdr:from>
    <xdr:to>
      <xdr:col>16</xdr:col>
      <xdr:colOff>150890</xdr:colOff>
      <xdr:row>317</xdr:row>
      <xdr:rowOff>77108</xdr:rowOff>
    </xdr:to>
    <xdr:cxnSp macro="">
      <xdr:nvCxnSpPr>
        <xdr:cNvPr id="445" name="Connecteur droit avec flèche 444"/>
        <xdr:cNvCxnSpPr/>
      </xdr:nvCxnSpPr>
      <xdr:spPr>
        <a:xfrm flipV="1">
          <a:off x="13731422" y="35541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318</xdr:row>
      <xdr:rowOff>130024</xdr:rowOff>
    </xdr:from>
    <xdr:to>
      <xdr:col>16</xdr:col>
      <xdr:colOff>193223</xdr:colOff>
      <xdr:row>319</xdr:row>
      <xdr:rowOff>98275</xdr:rowOff>
    </xdr:to>
    <xdr:cxnSp macro="">
      <xdr:nvCxnSpPr>
        <xdr:cNvPr id="446" name="Connecteur droit avec flèche 445"/>
        <xdr:cNvCxnSpPr/>
      </xdr:nvCxnSpPr>
      <xdr:spPr>
        <a:xfrm flipV="1">
          <a:off x="13784340" y="35944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320</xdr:row>
      <xdr:rowOff>130024</xdr:rowOff>
    </xdr:from>
    <xdr:to>
      <xdr:col>16</xdr:col>
      <xdr:colOff>140306</xdr:colOff>
      <xdr:row>321</xdr:row>
      <xdr:rowOff>98275</xdr:rowOff>
    </xdr:to>
    <xdr:cxnSp macro="">
      <xdr:nvCxnSpPr>
        <xdr:cNvPr id="447" name="Connecteur droit avec flèche 446"/>
        <xdr:cNvCxnSpPr/>
      </xdr:nvCxnSpPr>
      <xdr:spPr>
        <a:xfrm flipV="1">
          <a:off x="13699673" y="36325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322</xdr:row>
      <xdr:rowOff>130024</xdr:rowOff>
    </xdr:from>
    <xdr:to>
      <xdr:col>16</xdr:col>
      <xdr:colOff>214390</xdr:colOff>
      <xdr:row>323</xdr:row>
      <xdr:rowOff>87692</xdr:rowOff>
    </xdr:to>
    <xdr:cxnSp macro="">
      <xdr:nvCxnSpPr>
        <xdr:cNvPr id="448" name="Connecteur droit avec flèche 447"/>
        <xdr:cNvCxnSpPr/>
      </xdr:nvCxnSpPr>
      <xdr:spPr>
        <a:xfrm flipV="1">
          <a:off x="13752589" y="36706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344</xdr:row>
      <xdr:rowOff>141514</xdr:rowOff>
    </xdr:from>
    <xdr:to>
      <xdr:col>12</xdr:col>
      <xdr:colOff>253094</xdr:colOff>
      <xdr:row>344</xdr:row>
      <xdr:rowOff>149678</xdr:rowOff>
    </xdr:to>
    <xdr:cxnSp macro="">
      <xdr:nvCxnSpPr>
        <xdr:cNvPr id="449" name="Connecteur droit avec flèche 448"/>
        <xdr:cNvCxnSpPr/>
      </xdr:nvCxnSpPr>
      <xdr:spPr>
        <a:xfrm>
          <a:off x="10432597" y="39003514"/>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1137558</xdr:colOff>
      <xdr:row>339</xdr:row>
      <xdr:rowOff>99787</xdr:rowOff>
    </xdr:from>
    <xdr:to>
      <xdr:col>12</xdr:col>
      <xdr:colOff>333829</xdr:colOff>
      <xdr:row>344</xdr:row>
      <xdr:rowOff>136071</xdr:rowOff>
    </xdr:to>
    <xdr:cxnSp macro="">
      <xdr:nvCxnSpPr>
        <xdr:cNvPr id="450" name="Connecteur droit avec flèche 449"/>
        <xdr:cNvCxnSpPr/>
      </xdr:nvCxnSpPr>
      <xdr:spPr>
        <a:xfrm flipV="1">
          <a:off x="10481583" y="38009287"/>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343</xdr:row>
      <xdr:rowOff>54429</xdr:rowOff>
    </xdr:from>
    <xdr:to>
      <xdr:col>12</xdr:col>
      <xdr:colOff>191710</xdr:colOff>
      <xdr:row>344</xdr:row>
      <xdr:rowOff>136071</xdr:rowOff>
    </xdr:to>
    <xdr:cxnSp macro="">
      <xdr:nvCxnSpPr>
        <xdr:cNvPr id="451" name="Connecteur droit avec flèche 450"/>
        <xdr:cNvCxnSpPr/>
      </xdr:nvCxnSpPr>
      <xdr:spPr>
        <a:xfrm flipV="1">
          <a:off x="10467976" y="38725929"/>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746579</xdr:colOff>
      <xdr:row>337</xdr:row>
      <xdr:rowOff>46871</xdr:rowOff>
    </xdr:from>
    <xdr:to>
      <xdr:col>14</xdr:col>
      <xdr:colOff>166612</xdr:colOff>
      <xdr:row>339</xdr:row>
      <xdr:rowOff>89203</xdr:rowOff>
    </xdr:to>
    <xdr:cxnSp macro="">
      <xdr:nvCxnSpPr>
        <xdr:cNvPr id="452" name="Connecteur droit avec flèche 451"/>
        <xdr:cNvCxnSpPr/>
      </xdr:nvCxnSpPr>
      <xdr:spPr>
        <a:xfrm flipV="1">
          <a:off x="12157529" y="37575371"/>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704245</xdr:colOff>
      <xdr:row>339</xdr:row>
      <xdr:rowOff>87088</xdr:rowOff>
    </xdr:from>
    <xdr:to>
      <xdr:col>14</xdr:col>
      <xdr:colOff>79829</xdr:colOff>
      <xdr:row>339</xdr:row>
      <xdr:rowOff>99787</xdr:rowOff>
    </xdr:to>
    <xdr:cxnSp macro="">
      <xdr:nvCxnSpPr>
        <xdr:cNvPr id="453" name="Connecteur droit avec flèche 452"/>
        <xdr:cNvCxnSpPr/>
      </xdr:nvCxnSpPr>
      <xdr:spPr>
        <a:xfrm>
          <a:off x="12115195" y="37996588"/>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587830</xdr:colOff>
      <xdr:row>341</xdr:row>
      <xdr:rowOff>89203</xdr:rowOff>
    </xdr:from>
    <xdr:to>
      <xdr:col>14</xdr:col>
      <xdr:colOff>79830</xdr:colOff>
      <xdr:row>343</xdr:row>
      <xdr:rowOff>89201</xdr:rowOff>
    </xdr:to>
    <xdr:cxnSp macro="">
      <xdr:nvCxnSpPr>
        <xdr:cNvPr id="454" name="Connecteur droit avec flèche 453"/>
        <xdr:cNvCxnSpPr/>
      </xdr:nvCxnSpPr>
      <xdr:spPr>
        <a:xfrm flipV="1">
          <a:off x="11998780" y="38379703"/>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26914</xdr:colOff>
      <xdr:row>344</xdr:row>
      <xdr:rowOff>68036</xdr:rowOff>
    </xdr:from>
    <xdr:to>
      <xdr:col>14</xdr:col>
      <xdr:colOff>90414</xdr:colOff>
      <xdr:row>344</xdr:row>
      <xdr:rowOff>78621</xdr:rowOff>
    </xdr:to>
    <xdr:cxnSp macro="">
      <xdr:nvCxnSpPr>
        <xdr:cNvPr id="455" name="Connecteur droit avec flèche 454"/>
        <xdr:cNvCxnSpPr/>
      </xdr:nvCxnSpPr>
      <xdr:spPr>
        <a:xfrm>
          <a:off x="12199864" y="38930036"/>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640747</xdr:colOff>
      <xdr:row>343</xdr:row>
      <xdr:rowOff>57453</xdr:rowOff>
    </xdr:from>
    <xdr:to>
      <xdr:col>14</xdr:col>
      <xdr:colOff>48080</xdr:colOff>
      <xdr:row>343</xdr:row>
      <xdr:rowOff>78621</xdr:rowOff>
    </xdr:to>
    <xdr:cxnSp macro="">
      <xdr:nvCxnSpPr>
        <xdr:cNvPr id="456" name="Connecteur droit avec flèche 455"/>
        <xdr:cNvCxnSpPr/>
      </xdr:nvCxnSpPr>
      <xdr:spPr>
        <a:xfrm>
          <a:off x="12051697" y="38728953"/>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45056</xdr:colOff>
      <xdr:row>337</xdr:row>
      <xdr:rowOff>128512</xdr:rowOff>
    </xdr:from>
    <xdr:to>
      <xdr:col>16</xdr:col>
      <xdr:colOff>172057</xdr:colOff>
      <xdr:row>337</xdr:row>
      <xdr:rowOff>141212</xdr:rowOff>
    </xdr:to>
    <xdr:cxnSp macro="">
      <xdr:nvCxnSpPr>
        <xdr:cNvPr id="457" name="Connecteur droit avec flèche 456"/>
        <xdr:cNvCxnSpPr/>
      </xdr:nvCxnSpPr>
      <xdr:spPr>
        <a:xfrm>
          <a:off x="13742006" y="376570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13306</xdr:colOff>
      <xdr:row>341</xdr:row>
      <xdr:rowOff>160262</xdr:rowOff>
    </xdr:from>
    <xdr:to>
      <xdr:col>16</xdr:col>
      <xdr:colOff>119140</xdr:colOff>
      <xdr:row>341</xdr:row>
      <xdr:rowOff>162379</xdr:rowOff>
    </xdr:to>
    <xdr:cxnSp macro="">
      <xdr:nvCxnSpPr>
        <xdr:cNvPr id="458" name="Connecteur droit avec flèche 457"/>
        <xdr:cNvCxnSpPr/>
      </xdr:nvCxnSpPr>
      <xdr:spPr>
        <a:xfrm>
          <a:off x="13710256" y="38450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339</xdr:row>
      <xdr:rowOff>160262</xdr:rowOff>
    </xdr:from>
    <xdr:to>
      <xdr:col>16</xdr:col>
      <xdr:colOff>193224</xdr:colOff>
      <xdr:row>339</xdr:row>
      <xdr:rowOff>162379</xdr:rowOff>
    </xdr:to>
    <xdr:cxnSp macro="">
      <xdr:nvCxnSpPr>
        <xdr:cNvPr id="459" name="Connecteur droit avec flèche 458"/>
        <xdr:cNvCxnSpPr/>
      </xdr:nvCxnSpPr>
      <xdr:spPr>
        <a:xfrm>
          <a:off x="13784340" y="380697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343</xdr:row>
      <xdr:rowOff>149679</xdr:rowOff>
    </xdr:from>
    <xdr:to>
      <xdr:col>16</xdr:col>
      <xdr:colOff>182640</xdr:colOff>
      <xdr:row>343</xdr:row>
      <xdr:rowOff>151796</xdr:rowOff>
    </xdr:to>
    <xdr:cxnSp macro="">
      <xdr:nvCxnSpPr>
        <xdr:cNvPr id="460" name="Connecteur droit avec flèche 459"/>
        <xdr:cNvCxnSpPr/>
      </xdr:nvCxnSpPr>
      <xdr:spPr>
        <a:xfrm>
          <a:off x="13773756" y="388211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743556</xdr:colOff>
      <xdr:row>344</xdr:row>
      <xdr:rowOff>92227</xdr:rowOff>
    </xdr:from>
    <xdr:to>
      <xdr:col>16</xdr:col>
      <xdr:colOff>87390</xdr:colOff>
      <xdr:row>344</xdr:row>
      <xdr:rowOff>94344</xdr:rowOff>
    </xdr:to>
    <xdr:cxnSp macro="">
      <xdr:nvCxnSpPr>
        <xdr:cNvPr id="461" name="Connecteur droit avec flèche 460"/>
        <xdr:cNvCxnSpPr/>
      </xdr:nvCxnSpPr>
      <xdr:spPr>
        <a:xfrm>
          <a:off x="13678506" y="3895422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34472</xdr:colOff>
      <xdr:row>336</xdr:row>
      <xdr:rowOff>149679</xdr:rowOff>
    </xdr:from>
    <xdr:to>
      <xdr:col>16</xdr:col>
      <xdr:colOff>150890</xdr:colOff>
      <xdr:row>337</xdr:row>
      <xdr:rowOff>117930</xdr:rowOff>
    </xdr:to>
    <xdr:cxnSp macro="">
      <xdr:nvCxnSpPr>
        <xdr:cNvPr id="462" name="Connecteur droit avec flèche 461"/>
        <xdr:cNvCxnSpPr/>
      </xdr:nvCxnSpPr>
      <xdr:spPr>
        <a:xfrm flipV="1">
          <a:off x="13731422" y="374876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87390</xdr:colOff>
      <xdr:row>338</xdr:row>
      <xdr:rowOff>170846</xdr:rowOff>
    </xdr:from>
    <xdr:to>
      <xdr:col>16</xdr:col>
      <xdr:colOff>193223</xdr:colOff>
      <xdr:row>339</xdr:row>
      <xdr:rowOff>139097</xdr:rowOff>
    </xdr:to>
    <xdr:cxnSp macro="">
      <xdr:nvCxnSpPr>
        <xdr:cNvPr id="463" name="Connecteur droit avec flèche 462"/>
        <xdr:cNvCxnSpPr/>
      </xdr:nvCxnSpPr>
      <xdr:spPr>
        <a:xfrm flipV="1">
          <a:off x="13784340" y="378898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2723</xdr:colOff>
      <xdr:row>340</xdr:row>
      <xdr:rowOff>170846</xdr:rowOff>
    </xdr:from>
    <xdr:to>
      <xdr:col>16</xdr:col>
      <xdr:colOff>140306</xdr:colOff>
      <xdr:row>341</xdr:row>
      <xdr:rowOff>139097</xdr:rowOff>
    </xdr:to>
    <xdr:cxnSp macro="">
      <xdr:nvCxnSpPr>
        <xdr:cNvPr id="464" name="Connecteur droit avec flèche 463"/>
        <xdr:cNvCxnSpPr/>
      </xdr:nvCxnSpPr>
      <xdr:spPr>
        <a:xfrm flipV="1">
          <a:off x="13699673" y="382708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55639</xdr:colOff>
      <xdr:row>342</xdr:row>
      <xdr:rowOff>170846</xdr:rowOff>
    </xdr:from>
    <xdr:to>
      <xdr:col>16</xdr:col>
      <xdr:colOff>214390</xdr:colOff>
      <xdr:row>343</xdr:row>
      <xdr:rowOff>128514</xdr:rowOff>
    </xdr:to>
    <xdr:cxnSp macro="">
      <xdr:nvCxnSpPr>
        <xdr:cNvPr id="465" name="Connecteur droit avec flèche 464"/>
        <xdr:cNvCxnSpPr/>
      </xdr:nvCxnSpPr>
      <xdr:spPr>
        <a:xfrm flipV="1">
          <a:off x="13752589" y="386518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364</xdr:row>
      <xdr:rowOff>114300</xdr:rowOff>
    </xdr:from>
    <xdr:to>
      <xdr:col>12</xdr:col>
      <xdr:colOff>348344</xdr:colOff>
      <xdr:row>364</xdr:row>
      <xdr:rowOff>122464</xdr:rowOff>
    </xdr:to>
    <xdr:cxnSp macro="">
      <xdr:nvCxnSpPr>
        <xdr:cNvPr id="466" name="Connecteur droit avec flèche 465"/>
        <xdr:cNvCxnSpPr/>
      </xdr:nvCxnSpPr>
      <xdr:spPr>
        <a:xfrm>
          <a:off x="10527847" y="4088130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359</xdr:row>
      <xdr:rowOff>72573</xdr:rowOff>
    </xdr:from>
    <xdr:to>
      <xdr:col>12</xdr:col>
      <xdr:colOff>429079</xdr:colOff>
      <xdr:row>364</xdr:row>
      <xdr:rowOff>108857</xdr:rowOff>
    </xdr:to>
    <xdr:cxnSp macro="">
      <xdr:nvCxnSpPr>
        <xdr:cNvPr id="467" name="Connecteur droit avec flèche 466"/>
        <xdr:cNvCxnSpPr/>
      </xdr:nvCxnSpPr>
      <xdr:spPr>
        <a:xfrm flipV="1">
          <a:off x="10576833" y="3988707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363</xdr:row>
      <xdr:rowOff>27215</xdr:rowOff>
    </xdr:from>
    <xdr:to>
      <xdr:col>12</xdr:col>
      <xdr:colOff>286960</xdr:colOff>
      <xdr:row>364</xdr:row>
      <xdr:rowOff>108857</xdr:rowOff>
    </xdr:to>
    <xdr:cxnSp macro="">
      <xdr:nvCxnSpPr>
        <xdr:cNvPr id="468" name="Connecteur droit avec flèche 467"/>
        <xdr:cNvCxnSpPr/>
      </xdr:nvCxnSpPr>
      <xdr:spPr>
        <a:xfrm flipV="1">
          <a:off x="10563226" y="4060371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357</xdr:row>
      <xdr:rowOff>19657</xdr:rowOff>
    </xdr:from>
    <xdr:to>
      <xdr:col>14</xdr:col>
      <xdr:colOff>261862</xdr:colOff>
      <xdr:row>359</xdr:row>
      <xdr:rowOff>61989</xdr:rowOff>
    </xdr:to>
    <xdr:cxnSp macro="">
      <xdr:nvCxnSpPr>
        <xdr:cNvPr id="469" name="Connecteur droit avec flèche 468"/>
        <xdr:cNvCxnSpPr/>
      </xdr:nvCxnSpPr>
      <xdr:spPr>
        <a:xfrm flipV="1">
          <a:off x="12252779" y="3945315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359</xdr:row>
      <xdr:rowOff>59874</xdr:rowOff>
    </xdr:from>
    <xdr:to>
      <xdr:col>14</xdr:col>
      <xdr:colOff>175079</xdr:colOff>
      <xdr:row>359</xdr:row>
      <xdr:rowOff>72573</xdr:rowOff>
    </xdr:to>
    <xdr:cxnSp macro="">
      <xdr:nvCxnSpPr>
        <xdr:cNvPr id="470" name="Connecteur droit avec flèche 469"/>
        <xdr:cNvCxnSpPr/>
      </xdr:nvCxnSpPr>
      <xdr:spPr>
        <a:xfrm>
          <a:off x="12210445" y="39874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361</xdr:row>
      <xdr:rowOff>61989</xdr:rowOff>
    </xdr:from>
    <xdr:to>
      <xdr:col>14</xdr:col>
      <xdr:colOff>175080</xdr:colOff>
      <xdr:row>363</xdr:row>
      <xdr:rowOff>61987</xdr:rowOff>
    </xdr:to>
    <xdr:cxnSp macro="">
      <xdr:nvCxnSpPr>
        <xdr:cNvPr id="471" name="Connecteur droit avec flèche 470"/>
        <xdr:cNvCxnSpPr/>
      </xdr:nvCxnSpPr>
      <xdr:spPr>
        <a:xfrm flipV="1">
          <a:off x="12094030" y="4025748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364</xdr:row>
      <xdr:rowOff>93738</xdr:rowOff>
    </xdr:from>
    <xdr:to>
      <xdr:col>14</xdr:col>
      <xdr:colOff>26914</xdr:colOff>
      <xdr:row>364</xdr:row>
      <xdr:rowOff>104323</xdr:rowOff>
    </xdr:to>
    <xdr:cxnSp macro="">
      <xdr:nvCxnSpPr>
        <xdr:cNvPr id="472" name="Connecteur droit avec flèche 471"/>
        <xdr:cNvCxnSpPr/>
      </xdr:nvCxnSpPr>
      <xdr:spPr>
        <a:xfrm>
          <a:off x="12136364" y="4086073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363</xdr:row>
      <xdr:rowOff>30239</xdr:rowOff>
    </xdr:from>
    <xdr:to>
      <xdr:col>14</xdr:col>
      <xdr:colOff>143330</xdr:colOff>
      <xdr:row>363</xdr:row>
      <xdr:rowOff>51407</xdr:rowOff>
    </xdr:to>
    <xdr:cxnSp macro="">
      <xdr:nvCxnSpPr>
        <xdr:cNvPr id="473" name="Connecteur droit avec flèche 472"/>
        <xdr:cNvCxnSpPr/>
      </xdr:nvCxnSpPr>
      <xdr:spPr>
        <a:xfrm>
          <a:off x="12146947" y="40606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357</xdr:row>
      <xdr:rowOff>101298</xdr:rowOff>
    </xdr:from>
    <xdr:to>
      <xdr:col>16</xdr:col>
      <xdr:colOff>267307</xdr:colOff>
      <xdr:row>357</xdr:row>
      <xdr:rowOff>113998</xdr:rowOff>
    </xdr:to>
    <xdr:cxnSp macro="">
      <xdr:nvCxnSpPr>
        <xdr:cNvPr id="474" name="Connecteur droit avec flèche 473"/>
        <xdr:cNvCxnSpPr/>
      </xdr:nvCxnSpPr>
      <xdr:spPr>
        <a:xfrm>
          <a:off x="13837256" y="3953479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361</xdr:row>
      <xdr:rowOff>133048</xdr:rowOff>
    </xdr:from>
    <xdr:to>
      <xdr:col>16</xdr:col>
      <xdr:colOff>214390</xdr:colOff>
      <xdr:row>361</xdr:row>
      <xdr:rowOff>135165</xdr:rowOff>
    </xdr:to>
    <xdr:cxnSp macro="">
      <xdr:nvCxnSpPr>
        <xdr:cNvPr id="475" name="Connecteur droit avec flèche 474"/>
        <xdr:cNvCxnSpPr/>
      </xdr:nvCxnSpPr>
      <xdr:spPr>
        <a:xfrm>
          <a:off x="13805506" y="40328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359</xdr:row>
      <xdr:rowOff>133048</xdr:rowOff>
    </xdr:from>
    <xdr:to>
      <xdr:col>16</xdr:col>
      <xdr:colOff>288474</xdr:colOff>
      <xdr:row>359</xdr:row>
      <xdr:rowOff>135165</xdr:rowOff>
    </xdr:to>
    <xdr:cxnSp macro="">
      <xdr:nvCxnSpPr>
        <xdr:cNvPr id="476" name="Connecteur droit avec flèche 475"/>
        <xdr:cNvCxnSpPr/>
      </xdr:nvCxnSpPr>
      <xdr:spPr>
        <a:xfrm>
          <a:off x="13879590" y="399475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363</xdr:row>
      <xdr:rowOff>122465</xdr:rowOff>
    </xdr:from>
    <xdr:to>
      <xdr:col>16</xdr:col>
      <xdr:colOff>277890</xdr:colOff>
      <xdr:row>363</xdr:row>
      <xdr:rowOff>124582</xdr:rowOff>
    </xdr:to>
    <xdr:cxnSp macro="">
      <xdr:nvCxnSpPr>
        <xdr:cNvPr id="477" name="Connecteur droit avec flèche 476"/>
        <xdr:cNvCxnSpPr/>
      </xdr:nvCxnSpPr>
      <xdr:spPr>
        <a:xfrm>
          <a:off x="13869006" y="4069896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364</xdr:row>
      <xdr:rowOff>133049</xdr:rowOff>
    </xdr:from>
    <xdr:to>
      <xdr:col>16</xdr:col>
      <xdr:colOff>182640</xdr:colOff>
      <xdr:row>364</xdr:row>
      <xdr:rowOff>135166</xdr:rowOff>
    </xdr:to>
    <xdr:cxnSp macro="">
      <xdr:nvCxnSpPr>
        <xdr:cNvPr id="478" name="Connecteur droit avec flèche 477"/>
        <xdr:cNvCxnSpPr/>
      </xdr:nvCxnSpPr>
      <xdr:spPr>
        <a:xfrm>
          <a:off x="13773756" y="4090004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356</xdr:row>
      <xdr:rowOff>122465</xdr:rowOff>
    </xdr:from>
    <xdr:to>
      <xdr:col>16</xdr:col>
      <xdr:colOff>246140</xdr:colOff>
      <xdr:row>357</xdr:row>
      <xdr:rowOff>90716</xdr:rowOff>
    </xdr:to>
    <xdr:cxnSp macro="">
      <xdr:nvCxnSpPr>
        <xdr:cNvPr id="479" name="Connecteur droit avec flèche 478"/>
        <xdr:cNvCxnSpPr/>
      </xdr:nvCxnSpPr>
      <xdr:spPr>
        <a:xfrm flipV="1">
          <a:off x="13826672" y="3936546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358</xdr:row>
      <xdr:rowOff>143632</xdr:rowOff>
    </xdr:from>
    <xdr:to>
      <xdr:col>16</xdr:col>
      <xdr:colOff>288473</xdr:colOff>
      <xdr:row>359</xdr:row>
      <xdr:rowOff>111883</xdr:rowOff>
    </xdr:to>
    <xdr:cxnSp macro="">
      <xdr:nvCxnSpPr>
        <xdr:cNvPr id="480" name="Connecteur droit avec flèche 479"/>
        <xdr:cNvCxnSpPr/>
      </xdr:nvCxnSpPr>
      <xdr:spPr>
        <a:xfrm flipV="1">
          <a:off x="13879590" y="3976763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360</xdr:row>
      <xdr:rowOff>143632</xdr:rowOff>
    </xdr:from>
    <xdr:to>
      <xdr:col>16</xdr:col>
      <xdr:colOff>235556</xdr:colOff>
      <xdr:row>361</xdr:row>
      <xdr:rowOff>111883</xdr:rowOff>
    </xdr:to>
    <xdr:cxnSp macro="">
      <xdr:nvCxnSpPr>
        <xdr:cNvPr id="481" name="Connecteur droit avec flèche 480"/>
        <xdr:cNvCxnSpPr/>
      </xdr:nvCxnSpPr>
      <xdr:spPr>
        <a:xfrm flipV="1">
          <a:off x="13794923" y="4014863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362</xdr:row>
      <xdr:rowOff>122464</xdr:rowOff>
    </xdr:from>
    <xdr:to>
      <xdr:col>16</xdr:col>
      <xdr:colOff>176893</xdr:colOff>
      <xdr:row>363</xdr:row>
      <xdr:rowOff>101300</xdr:rowOff>
    </xdr:to>
    <xdr:cxnSp macro="">
      <xdr:nvCxnSpPr>
        <xdr:cNvPr id="482" name="Connecteur droit avec flèche 481"/>
        <xdr:cNvCxnSpPr/>
      </xdr:nvCxnSpPr>
      <xdr:spPr>
        <a:xfrm flipV="1">
          <a:off x="13847839" y="4050846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1006929</xdr:colOff>
      <xdr:row>394</xdr:row>
      <xdr:rowOff>100692</xdr:rowOff>
    </xdr:from>
    <xdr:to>
      <xdr:col>12</xdr:col>
      <xdr:colOff>171451</xdr:colOff>
      <xdr:row>394</xdr:row>
      <xdr:rowOff>108856</xdr:rowOff>
    </xdr:to>
    <xdr:cxnSp macro="">
      <xdr:nvCxnSpPr>
        <xdr:cNvPr id="483" name="Connecteur droit avec flèche 482"/>
        <xdr:cNvCxnSpPr/>
      </xdr:nvCxnSpPr>
      <xdr:spPr>
        <a:xfrm>
          <a:off x="10350954" y="42772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1055915</xdr:colOff>
      <xdr:row>389</xdr:row>
      <xdr:rowOff>58965</xdr:rowOff>
    </xdr:from>
    <xdr:to>
      <xdr:col>12</xdr:col>
      <xdr:colOff>252186</xdr:colOff>
      <xdr:row>394</xdr:row>
      <xdr:rowOff>95249</xdr:rowOff>
    </xdr:to>
    <xdr:cxnSp macro="">
      <xdr:nvCxnSpPr>
        <xdr:cNvPr id="484" name="Connecteur droit avec flèche 483"/>
        <xdr:cNvCxnSpPr/>
      </xdr:nvCxnSpPr>
      <xdr:spPr>
        <a:xfrm flipV="1">
          <a:off x="10399940" y="41778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1042308</xdr:colOff>
      <xdr:row>393</xdr:row>
      <xdr:rowOff>13607</xdr:rowOff>
    </xdr:from>
    <xdr:to>
      <xdr:col>12</xdr:col>
      <xdr:colOff>110067</xdr:colOff>
      <xdr:row>394</xdr:row>
      <xdr:rowOff>95249</xdr:rowOff>
    </xdr:to>
    <xdr:cxnSp macro="">
      <xdr:nvCxnSpPr>
        <xdr:cNvPr id="485" name="Connecteur droit avec flèche 484"/>
        <xdr:cNvCxnSpPr/>
      </xdr:nvCxnSpPr>
      <xdr:spPr>
        <a:xfrm flipV="1">
          <a:off x="10386333" y="42495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664936</xdr:colOff>
      <xdr:row>387</xdr:row>
      <xdr:rowOff>6049</xdr:rowOff>
    </xdr:from>
    <xdr:to>
      <xdr:col>14</xdr:col>
      <xdr:colOff>84969</xdr:colOff>
      <xdr:row>389</xdr:row>
      <xdr:rowOff>48381</xdr:rowOff>
    </xdr:to>
    <xdr:cxnSp macro="">
      <xdr:nvCxnSpPr>
        <xdr:cNvPr id="486" name="Connecteur droit avec flèche 485"/>
        <xdr:cNvCxnSpPr/>
      </xdr:nvCxnSpPr>
      <xdr:spPr>
        <a:xfrm flipV="1">
          <a:off x="12075886" y="41344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622602</xdr:colOff>
      <xdr:row>389</xdr:row>
      <xdr:rowOff>46266</xdr:rowOff>
    </xdr:from>
    <xdr:to>
      <xdr:col>13</xdr:col>
      <xdr:colOff>760186</xdr:colOff>
      <xdr:row>389</xdr:row>
      <xdr:rowOff>58965</xdr:rowOff>
    </xdr:to>
    <xdr:cxnSp macro="">
      <xdr:nvCxnSpPr>
        <xdr:cNvPr id="487" name="Connecteur droit avec flèche 486"/>
        <xdr:cNvCxnSpPr/>
      </xdr:nvCxnSpPr>
      <xdr:spPr>
        <a:xfrm>
          <a:off x="12033552" y="41765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506187</xdr:colOff>
      <xdr:row>391</xdr:row>
      <xdr:rowOff>48381</xdr:rowOff>
    </xdr:from>
    <xdr:to>
      <xdr:col>13</xdr:col>
      <xdr:colOff>760187</xdr:colOff>
      <xdr:row>393</xdr:row>
      <xdr:rowOff>48379</xdr:rowOff>
    </xdr:to>
    <xdr:cxnSp macro="">
      <xdr:nvCxnSpPr>
        <xdr:cNvPr id="488" name="Connecteur droit avec flèche 487"/>
        <xdr:cNvCxnSpPr/>
      </xdr:nvCxnSpPr>
      <xdr:spPr>
        <a:xfrm flipV="1">
          <a:off x="11917137" y="42148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707271</xdr:colOff>
      <xdr:row>394</xdr:row>
      <xdr:rowOff>81643</xdr:rowOff>
    </xdr:from>
    <xdr:to>
      <xdr:col>14</xdr:col>
      <xdr:colOff>8771</xdr:colOff>
      <xdr:row>394</xdr:row>
      <xdr:rowOff>92228</xdr:rowOff>
    </xdr:to>
    <xdr:cxnSp macro="">
      <xdr:nvCxnSpPr>
        <xdr:cNvPr id="489" name="Connecteur droit avec flèche 488"/>
        <xdr:cNvCxnSpPr/>
      </xdr:nvCxnSpPr>
      <xdr:spPr>
        <a:xfrm>
          <a:off x="12118221" y="4275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725413</xdr:colOff>
      <xdr:row>387</xdr:row>
      <xdr:rowOff>87690</xdr:rowOff>
    </xdr:from>
    <xdr:to>
      <xdr:col>16</xdr:col>
      <xdr:colOff>90414</xdr:colOff>
      <xdr:row>387</xdr:row>
      <xdr:rowOff>100390</xdr:rowOff>
    </xdr:to>
    <xdr:cxnSp macro="">
      <xdr:nvCxnSpPr>
        <xdr:cNvPr id="490" name="Connecteur droit avec flèche 489"/>
        <xdr:cNvCxnSpPr/>
      </xdr:nvCxnSpPr>
      <xdr:spPr>
        <a:xfrm>
          <a:off x="13660363" y="41426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693663</xdr:colOff>
      <xdr:row>391</xdr:row>
      <xdr:rowOff>119440</xdr:rowOff>
    </xdr:from>
    <xdr:to>
      <xdr:col>16</xdr:col>
      <xdr:colOff>37497</xdr:colOff>
      <xdr:row>391</xdr:row>
      <xdr:rowOff>121557</xdr:rowOff>
    </xdr:to>
    <xdr:cxnSp macro="">
      <xdr:nvCxnSpPr>
        <xdr:cNvPr id="491" name="Connecteur droit avec flèche 490"/>
        <xdr:cNvCxnSpPr/>
      </xdr:nvCxnSpPr>
      <xdr:spPr>
        <a:xfrm>
          <a:off x="13628613" y="42219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389</xdr:row>
      <xdr:rowOff>119440</xdr:rowOff>
    </xdr:from>
    <xdr:to>
      <xdr:col>16</xdr:col>
      <xdr:colOff>111581</xdr:colOff>
      <xdr:row>389</xdr:row>
      <xdr:rowOff>121557</xdr:rowOff>
    </xdr:to>
    <xdr:cxnSp macro="">
      <xdr:nvCxnSpPr>
        <xdr:cNvPr id="492" name="Connecteur droit avec flèche 491"/>
        <xdr:cNvCxnSpPr/>
      </xdr:nvCxnSpPr>
      <xdr:spPr>
        <a:xfrm>
          <a:off x="13702697" y="41838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757163</xdr:colOff>
      <xdr:row>393</xdr:row>
      <xdr:rowOff>108857</xdr:rowOff>
    </xdr:from>
    <xdr:to>
      <xdr:col>16</xdr:col>
      <xdr:colOff>100997</xdr:colOff>
      <xdr:row>393</xdr:row>
      <xdr:rowOff>110974</xdr:rowOff>
    </xdr:to>
    <xdr:cxnSp macro="">
      <xdr:nvCxnSpPr>
        <xdr:cNvPr id="493" name="Connecteur droit avec flèche 492"/>
        <xdr:cNvCxnSpPr/>
      </xdr:nvCxnSpPr>
      <xdr:spPr>
        <a:xfrm>
          <a:off x="13692113" y="42590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661913</xdr:colOff>
      <xdr:row>394</xdr:row>
      <xdr:rowOff>65013</xdr:rowOff>
    </xdr:from>
    <xdr:to>
      <xdr:col>16</xdr:col>
      <xdr:colOff>5747</xdr:colOff>
      <xdr:row>394</xdr:row>
      <xdr:rowOff>67130</xdr:rowOff>
    </xdr:to>
    <xdr:cxnSp macro="">
      <xdr:nvCxnSpPr>
        <xdr:cNvPr id="494" name="Connecteur droit avec flèche 493"/>
        <xdr:cNvCxnSpPr/>
      </xdr:nvCxnSpPr>
      <xdr:spPr>
        <a:xfrm>
          <a:off x="13596863" y="4273701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714829</xdr:colOff>
      <xdr:row>386</xdr:row>
      <xdr:rowOff>108857</xdr:rowOff>
    </xdr:from>
    <xdr:to>
      <xdr:col>16</xdr:col>
      <xdr:colOff>69247</xdr:colOff>
      <xdr:row>387</xdr:row>
      <xdr:rowOff>77108</xdr:rowOff>
    </xdr:to>
    <xdr:cxnSp macro="">
      <xdr:nvCxnSpPr>
        <xdr:cNvPr id="495" name="Connecteur droit avec flèche 494"/>
        <xdr:cNvCxnSpPr/>
      </xdr:nvCxnSpPr>
      <xdr:spPr>
        <a:xfrm flipV="1">
          <a:off x="13649779" y="41256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5747</xdr:colOff>
      <xdr:row>388</xdr:row>
      <xdr:rowOff>130024</xdr:rowOff>
    </xdr:from>
    <xdr:to>
      <xdr:col>16</xdr:col>
      <xdr:colOff>111580</xdr:colOff>
      <xdr:row>389</xdr:row>
      <xdr:rowOff>98275</xdr:rowOff>
    </xdr:to>
    <xdr:cxnSp macro="">
      <xdr:nvCxnSpPr>
        <xdr:cNvPr id="496" name="Connecteur droit avec flèche 495"/>
        <xdr:cNvCxnSpPr/>
      </xdr:nvCxnSpPr>
      <xdr:spPr>
        <a:xfrm flipV="1">
          <a:off x="13702697" y="41659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683080</xdr:colOff>
      <xdr:row>390</xdr:row>
      <xdr:rowOff>130024</xdr:rowOff>
    </xdr:from>
    <xdr:to>
      <xdr:col>16</xdr:col>
      <xdr:colOff>58663</xdr:colOff>
      <xdr:row>391</xdr:row>
      <xdr:rowOff>98275</xdr:rowOff>
    </xdr:to>
    <xdr:cxnSp macro="">
      <xdr:nvCxnSpPr>
        <xdr:cNvPr id="497" name="Connecteur droit avec flèche 496"/>
        <xdr:cNvCxnSpPr/>
      </xdr:nvCxnSpPr>
      <xdr:spPr>
        <a:xfrm flipV="1">
          <a:off x="13618030" y="42040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735996</xdr:colOff>
      <xdr:row>392</xdr:row>
      <xdr:rowOff>130024</xdr:rowOff>
    </xdr:from>
    <xdr:to>
      <xdr:col>16</xdr:col>
      <xdr:colOff>132747</xdr:colOff>
      <xdr:row>393</xdr:row>
      <xdr:rowOff>87692</xdr:rowOff>
    </xdr:to>
    <xdr:cxnSp macro="">
      <xdr:nvCxnSpPr>
        <xdr:cNvPr id="498" name="Connecteur droit avec flèche 497"/>
        <xdr:cNvCxnSpPr/>
      </xdr:nvCxnSpPr>
      <xdr:spPr>
        <a:xfrm flipV="1">
          <a:off x="13670946" y="42421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414</xdr:row>
      <xdr:rowOff>141513</xdr:rowOff>
    </xdr:from>
    <xdr:to>
      <xdr:col>12</xdr:col>
      <xdr:colOff>117022</xdr:colOff>
      <xdr:row>414</xdr:row>
      <xdr:rowOff>149677</xdr:rowOff>
    </xdr:to>
    <xdr:cxnSp macro="">
      <xdr:nvCxnSpPr>
        <xdr:cNvPr id="499" name="Connecteur droit avec flèche 498"/>
        <xdr:cNvCxnSpPr/>
      </xdr:nvCxnSpPr>
      <xdr:spPr>
        <a:xfrm>
          <a:off x="10296525" y="44718513"/>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409</xdr:row>
      <xdr:rowOff>99786</xdr:rowOff>
    </xdr:from>
    <xdr:to>
      <xdr:col>12</xdr:col>
      <xdr:colOff>197757</xdr:colOff>
      <xdr:row>414</xdr:row>
      <xdr:rowOff>136070</xdr:rowOff>
    </xdr:to>
    <xdr:cxnSp macro="">
      <xdr:nvCxnSpPr>
        <xdr:cNvPr id="500" name="Connecteur droit avec flèche 499"/>
        <xdr:cNvCxnSpPr/>
      </xdr:nvCxnSpPr>
      <xdr:spPr>
        <a:xfrm flipV="1">
          <a:off x="10345511" y="43724286"/>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413</xdr:row>
      <xdr:rowOff>54428</xdr:rowOff>
    </xdr:from>
    <xdr:to>
      <xdr:col>12</xdr:col>
      <xdr:colOff>55638</xdr:colOff>
      <xdr:row>414</xdr:row>
      <xdr:rowOff>136070</xdr:rowOff>
    </xdr:to>
    <xdr:cxnSp macro="">
      <xdr:nvCxnSpPr>
        <xdr:cNvPr id="501" name="Connecteur droit avec flèche 500"/>
        <xdr:cNvCxnSpPr/>
      </xdr:nvCxnSpPr>
      <xdr:spPr>
        <a:xfrm flipV="1">
          <a:off x="10331904" y="44440928"/>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407</xdr:row>
      <xdr:rowOff>46870</xdr:rowOff>
    </xdr:from>
    <xdr:to>
      <xdr:col>14</xdr:col>
      <xdr:colOff>30540</xdr:colOff>
      <xdr:row>409</xdr:row>
      <xdr:rowOff>89202</xdr:rowOff>
    </xdr:to>
    <xdr:cxnSp macro="">
      <xdr:nvCxnSpPr>
        <xdr:cNvPr id="502" name="Connecteur droit avec flèche 501"/>
        <xdr:cNvCxnSpPr/>
      </xdr:nvCxnSpPr>
      <xdr:spPr>
        <a:xfrm flipV="1">
          <a:off x="12021457" y="43290370"/>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409</xdr:row>
      <xdr:rowOff>87087</xdr:rowOff>
    </xdr:from>
    <xdr:to>
      <xdr:col>13</xdr:col>
      <xdr:colOff>705757</xdr:colOff>
      <xdr:row>409</xdr:row>
      <xdr:rowOff>99786</xdr:rowOff>
    </xdr:to>
    <xdr:cxnSp macro="">
      <xdr:nvCxnSpPr>
        <xdr:cNvPr id="503" name="Connecteur droit avec flèche 502"/>
        <xdr:cNvCxnSpPr/>
      </xdr:nvCxnSpPr>
      <xdr:spPr>
        <a:xfrm>
          <a:off x="11979123" y="43711587"/>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411</xdr:row>
      <xdr:rowOff>89202</xdr:rowOff>
    </xdr:from>
    <xdr:to>
      <xdr:col>13</xdr:col>
      <xdr:colOff>705758</xdr:colOff>
      <xdr:row>413</xdr:row>
      <xdr:rowOff>89200</xdr:rowOff>
    </xdr:to>
    <xdr:cxnSp macro="">
      <xdr:nvCxnSpPr>
        <xdr:cNvPr id="504" name="Connecteur droit avec flèche 503"/>
        <xdr:cNvCxnSpPr/>
      </xdr:nvCxnSpPr>
      <xdr:spPr>
        <a:xfrm flipV="1">
          <a:off x="11862708" y="44094702"/>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414</xdr:row>
      <xdr:rowOff>68035</xdr:rowOff>
    </xdr:from>
    <xdr:to>
      <xdr:col>13</xdr:col>
      <xdr:colOff>716342</xdr:colOff>
      <xdr:row>414</xdr:row>
      <xdr:rowOff>78620</xdr:rowOff>
    </xdr:to>
    <xdr:cxnSp macro="">
      <xdr:nvCxnSpPr>
        <xdr:cNvPr id="505" name="Connecteur droit avec flèche 504"/>
        <xdr:cNvCxnSpPr/>
      </xdr:nvCxnSpPr>
      <xdr:spPr>
        <a:xfrm>
          <a:off x="12063792" y="44645035"/>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413</xdr:row>
      <xdr:rowOff>57452</xdr:rowOff>
    </xdr:from>
    <xdr:to>
      <xdr:col>13</xdr:col>
      <xdr:colOff>674008</xdr:colOff>
      <xdr:row>413</xdr:row>
      <xdr:rowOff>78620</xdr:rowOff>
    </xdr:to>
    <xdr:cxnSp macro="">
      <xdr:nvCxnSpPr>
        <xdr:cNvPr id="506" name="Connecteur droit avec flèche 505"/>
        <xdr:cNvCxnSpPr/>
      </xdr:nvCxnSpPr>
      <xdr:spPr>
        <a:xfrm>
          <a:off x="11915625" y="44443952"/>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407</xdr:row>
      <xdr:rowOff>128511</xdr:rowOff>
    </xdr:from>
    <xdr:to>
      <xdr:col>16</xdr:col>
      <xdr:colOff>35985</xdr:colOff>
      <xdr:row>407</xdr:row>
      <xdr:rowOff>141211</xdr:rowOff>
    </xdr:to>
    <xdr:cxnSp macro="">
      <xdr:nvCxnSpPr>
        <xdr:cNvPr id="507" name="Connecteur droit avec flèche 506"/>
        <xdr:cNvCxnSpPr/>
      </xdr:nvCxnSpPr>
      <xdr:spPr>
        <a:xfrm>
          <a:off x="13605934" y="4337201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411</xdr:row>
      <xdr:rowOff>160261</xdr:rowOff>
    </xdr:from>
    <xdr:to>
      <xdr:col>15</xdr:col>
      <xdr:colOff>745068</xdr:colOff>
      <xdr:row>411</xdr:row>
      <xdr:rowOff>162378</xdr:rowOff>
    </xdr:to>
    <xdr:cxnSp macro="">
      <xdr:nvCxnSpPr>
        <xdr:cNvPr id="508" name="Connecteur droit avec flèche 507"/>
        <xdr:cNvCxnSpPr/>
      </xdr:nvCxnSpPr>
      <xdr:spPr>
        <a:xfrm>
          <a:off x="13574184" y="44165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409</xdr:row>
      <xdr:rowOff>160261</xdr:rowOff>
    </xdr:from>
    <xdr:to>
      <xdr:col>16</xdr:col>
      <xdr:colOff>57152</xdr:colOff>
      <xdr:row>409</xdr:row>
      <xdr:rowOff>162378</xdr:rowOff>
    </xdr:to>
    <xdr:cxnSp macro="">
      <xdr:nvCxnSpPr>
        <xdr:cNvPr id="509" name="Connecteur droit avec flèche 508"/>
        <xdr:cNvCxnSpPr/>
      </xdr:nvCxnSpPr>
      <xdr:spPr>
        <a:xfrm>
          <a:off x="13648268" y="4378476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413</xdr:row>
      <xdr:rowOff>149678</xdr:rowOff>
    </xdr:from>
    <xdr:to>
      <xdr:col>16</xdr:col>
      <xdr:colOff>46568</xdr:colOff>
      <xdr:row>413</xdr:row>
      <xdr:rowOff>151795</xdr:rowOff>
    </xdr:to>
    <xdr:cxnSp macro="">
      <xdr:nvCxnSpPr>
        <xdr:cNvPr id="510" name="Connecteur droit avec flèche 509"/>
        <xdr:cNvCxnSpPr/>
      </xdr:nvCxnSpPr>
      <xdr:spPr>
        <a:xfrm>
          <a:off x="13637684" y="4453617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414</xdr:row>
      <xdr:rowOff>92226</xdr:rowOff>
    </xdr:from>
    <xdr:to>
      <xdr:col>15</xdr:col>
      <xdr:colOff>726925</xdr:colOff>
      <xdr:row>414</xdr:row>
      <xdr:rowOff>94343</xdr:rowOff>
    </xdr:to>
    <xdr:cxnSp macro="">
      <xdr:nvCxnSpPr>
        <xdr:cNvPr id="511" name="Connecteur droit avec flèche 510"/>
        <xdr:cNvCxnSpPr/>
      </xdr:nvCxnSpPr>
      <xdr:spPr>
        <a:xfrm>
          <a:off x="13556041" y="4466922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406</xdr:row>
      <xdr:rowOff>68036</xdr:rowOff>
    </xdr:from>
    <xdr:to>
      <xdr:col>16</xdr:col>
      <xdr:colOff>54429</xdr:colOff>
      <xdr:row>407</xdr:row>
      <xdr:rowOff>117930</xdr:rowOff>
    </xdr:to>
    <xdr:cxnSp macro="">
      <xdr:nvCxnSpPr>
        <xdr:cNvPr id="512" name="Connecteur droit avec flèche 511"/>
        <xdr:cNvCxnSpPr/>
      </xdr:nvCxnSpPr>
      <xdr:spPr>
        <a:xfrm flipV="1">
          <a:off x="13595350" y="43121036"/>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408</xdr:row>
      <xdr:rowOff>108857</xdr:rowOff>
    </xdr:from>
    <xdr:to>
      <xdr:col>16</xdr:col>
      <xdr:colOff>27214</xdr:colOff>
      <xdr:row>409</xdr:row>
      <xdr:rowOff>139097</xdr:rowOff>
    </xdr:to>
    <xdr:cxnSp macro="">
      <xdr:nvCxnSpPr>
        <xdr:cNvPr id="513" name="Connecteur droit avec flèche 512"/>
        <xdr:cNvCxnSpPr/>
      </xdr:nvCxnSpPr>
      <xdr:spPr>
        <a:xfrm flipV="1">
          <a:off x="13648268" y="43542857"/>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410</xdr:row>
      <xdr:rowOff>136071</xdr:rowOff>
    </xdr:from>
    <xdr:to>
      <xdr:col>15</xdr:col>
      <xdr:colOff>748393</xdr:colOff>
      <xdr:row>411</xdr:row>
      <xdr:rowOff>139097</xdr:rowOff>
    </xdr:to>
    <xdr:cxnSp macro="">
      <xdr:nvCxnSpPr>
        <xdr:cNvPr id="514" name="Connecteur droit avec flèche 513"/>
        <xdr:cNvCxnSpPr/>
      </xdr:nvCxnSpPr>
      <xdr:spPr>
        <a:xfrm flipV="1">
          <a:off x="13563601" y="43951071"/>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412</xdr:row>
      <xdr:rowOff>108857</xdr:rowOff>
    </xdr:from>
    <xdr:to>
      <xdr:col>15</xdr:col>
      <xdr:colOff>748393</xdr:colOff>
      <xdr:row>413</xdr:row>
      <xdr:rowOff>128513</xdr:rowOff>
    </xdr:to>
    <xdr:cxnSp macro="">
      <xdr:nvCxnSpPr>
        <xdr:cNvPr id="515" name="Connecteur droit avec flèche 514"/>
        <xdr:cNvCxnSpPr/>
      </xdr:nvCxnSpPr>
      <xdr:spPr>
        <a:xfrm flipV="1">
          <a:off x="13616517" y="44304857"/>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1088571</xdr:colOff>
      <xdr:row>424</xdr:row>
      <xdr:rowOff>114299</xdr:rowOff>
    </xdr:from>
    <xdr:to>
      <xdr:col>12</xdr:col>
      <xdr:colOff>253093</xdr:colOff>
      <xdr:row>424</xdr:row>
      <xdr:rowOff>122463</xdr:rowOff>
    </xdr:to>
    <xdr:cxnSp macro="">
      <xdr:nvCxnSpPr>
        <xdr:cNvPr id="516" name="Connecteur droit avec flèche 515"/>
        <xdr:cNvCxnSpPr/>
      </xdr:nvCxnSpPr>
      <xdr:spPr>
        <a:xfrm>
          <a:off x="10432596" y="46596299"/>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1137557</xdr:colOff>
      <xdr:row>419</xdr:row>
      <xdr:rowOff>72572</xdr:rowOff>
    </xdr:from>
    <xdr:to>
      <xdr:col>12</xdr:col>
      <xdr:colOff>333828</xdr:colOff>
      <xdr:row>424</xdr:row>
      <xdr:rowOff>108856</xdr:rowOff>
    </xdr:to>
    <xdr:cxnSp macro="">
      <xdr:nvCxnSpPr>
        <xdr:cNvPr id="517" name="Connecteur droit avec flèche 516"/>
        <xdr:cNvCxnSpPr/>
      </xdr:nvCxnSpPr>
      <xdr:spPr>
        <a:xfrm flipV="1">
          <a:off x="10481582" y="45602072"/>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1123950</xdr:colOff>
      <xdr:row>423</xdr:row>
      <xdr:rowOff>27214</xdr:rowOff>
    </xdr:from>
    <xdr:to>
      <xdr:col>12</xdr:col>
      <xdr:colOff>191709</xdr:colOff>
      <xdr:row>424</xdr:row>
      <xdr:rowOff>108856</xdr:rowOff>
    </xdr:to>
    <xdr:cxnSp macro="">
      <xdr:nvCxnSpPr>
        <xdr:cNvPr id="518" name="Connecteur droit avec flèche 517"/>
        <xdr:cNvCxnSpPr/>
      </xdr:nvCxnSpPr>
      <xdr:spPr>
        <a:xfrm flipV="1">
          <a:off x="10467975" y="46318714"/>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746578</xdr:colOff>
      <xdr:row>417</xdr:row>
      <xdr:rowOff>19656</xdr:rowOff>
    </xdr:from>
    <xdr:to>
      <xdr:col>14</xdr:col>
      <xdr:colOff>166611</xdr:colOff>
      <xdr:row>419</xdr:row>
      <xdr:rowOff>61988</xdr:rowOff>
    </xdr:to>
    <xdr:cxnSp macro="">
      <xdr:nvCxnSpPr>
        <xdr:cNvPr id="519" name="Connecteur droit avec flèche 518"/>
        <xdr:cNvCxnSpPr/>
      </xdr:nvCxnSpPr>
      <xdr:spPr>
        <a:xfrm flipV="1">
          <a:off x="12157528" y="45168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704244</xdr:colOff>
      <xdr:row>419</xdr:row>
      <xdr:rowOff>59873</xdr:rowOff>
    </xdr:from>
    <xdr:to>
      <xdr:col>14</xdr:col>
      <xdr:colOff>79828</xdr:colOff>
      <xdr:row>419</xdr:row>
      <xdr:rowOff>72572</xdr:rowOff>
    </xdr:to>
    <xdr:cxnSp macro="">
      <xdr:nvCxnSpPr>
        <xdr:cNvPr id="520" name="Connecteur droit avec flèche 519"/>
        <xdr:cNvCxnSpPr/>
      </xdr:nvCxnSpPr>
      <xdr:spPr>
        <a:xfrm>
          <a:off x="12115194" y="45589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587829</xdr:colOff>
      <xdr:row>421</xdr:row>
      <xdr:rowOff>61988</xdr:rowOff>
    </xdr:from>
    <xdr:to>
      <xdr:col>14</xdr:col>
      <xdr:colOff>79829</xdr:colOff>
      <xdr:row>423</xdr:row>
      <xdr:rowOff>61986</xdr:rowOff>
    </xdr:to>
    <xdr:cxnSp macro="">
      <xdr:nvCxnSpPr>
        <xdr:cNvPr id="521" name="Connecteur droit avec flèche 520"/>
        <xdr:cNvCxnSpPr/>
      </xdr:nvCxnSpPr>
      <xdr:spPr>
        <a:xfrm flipV="1">
          <a:off x="11998779" y="45972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26913</xdr:colOff>
      <xdr:row>424</xdr:row>
      <xdr:rowOff>40821</xdr:rowOff>
    </xdr:from>
    <xdr:to>
      <xdr:col>14</xdr:col>
      <xdr:colOff>90413</xdr:colOff>
      <xdr:row>424</xdr:row>
      <xdr:rowOff>51406</xdr:rowOff>
    </xdr:to>
    <xdr:cxnSp macro="">
      <xdr:nvCxnSpPr>
        <xdr:cNvPr id="522" name="Connecteur droit avec flèche 521"/>
        <xdr:cNvCxnSpPr/>
      </xdr:nvCxnSpPr>
      <xdr:spPr>
        <a:xfrm>
          <a:off x="12199863" y="46522821"/>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640746</xdr:colOff>
      <xdr:row>423</xdr:row>
      <xdr:rowOff>30238</xdr:rowOff>
    </xdr:from>
    <xdr:to>
      <xdr:col>14</xdr:col>
      <xdr:colOff>48079</xdr:colOff>
      <xdr:row>423</xdr:row>
      <xdr:rowOff>51406</xdr:rowOff>
    </xdr:to>
    <xdr:cxnSp macro="">
      <xdr:nvCxnSpPr>
        <xdr:cNvPr id="523" name="Connecteur droit avec flèche 522"/>
        <xdr:cNvCxnSpPr/>
      </xdr:nvCxnSpPr>
      <xdr:spPr>
        <a:xfrm>
          <a:off x="12051696" y="46321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45055</xdr:colOff>
      <xdr:row>417</xdr:row>
      <xdr:rowOff>101297</xdr:rowOff>
    </xdr:from>
    <xdr:to>
      <xdr:col>16</xdr:col>
      <xdr:colOff>172056</xdr:colOff>
      <xdr:row>417</xdr:row>
      <xdr:rowOff>113997</xdr:rowOff>
    </xdr:to>
    <xdr:cxnSp macro="">
      <xdr:nvCxnSpPr>
        <xdr:cNvPr id="524" name="Connecteur droit avec flèche 523"/>
        <xdr:cNvCxnSpPr/>
      </xdr:nvCxnSpPr>
      <xdr:spPr>
        <a:xfrm>
          <a:off x="13742005" y="45249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13305</xdr:colOff>
      <xdr:row>421</xdr:row>
      <xdr:rowOff>133047</xdr:rowOff>
    </xdr:from>
    <xdr:to>
      <xdr:col>16</xdr:col>
      <xdr:colOff>119139</xdr:colOff>
      <xdr:row>421</xdr:row>
      <xdr:rowOff>135164</xdr:rowOff>
    </xdr:to>
    <xdr:cxnSp macro="">
      <xdr:nvCxnSpPr>
        <xdr:cNvPr id="525" name="Connecteur droit avec flèche 524"/>
        <xdr:cNvCxnSpPr/>
      </xdr:nvCxnSpPr>
      <xdr:spPr>
        <a:xfrm>
          <a:off x="13710255" y="46043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419</xdr:row>
      <xdr:rowOff>133047</xdr:rowOff>
    </xdr:from>
    <xdr:to>
      <xdr:col>16</xdr:col>
      <xdr:colOff>193223</xdr:colOff>
      <xdr:row>419</xdr:row>
      <xdr:rowOff>135164</xdr:rowOff>
    </xdr:to>
    <xdr:cxnSp macro="">
      <xdr:nvCxnSpPr>
        <xdr:cNvPr id="526" name="Connecteur droit avec flèche 525"/>
        <xdr:cNvCxnSpPr/>
      </xdr:nvCxnSpPr>
      <xdr:spPr>
        <a:xfrm>
          <a:off x="13784339" y="45662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76805</xdr:colOff>
      <xdr:row>423</xdr:row>
      <xdr:rowOff>122464</xdr:rowOff>
    </xdr:from>
    <xdr:to>
      <xdr:col>16</xdr:col>
      <xdr:colOff>182639</xdr:colOff>
      <xdr:row>423</xdr:row>
      <xdr:rowOff>124581</xdr:rowOff>
    </xdr:to>
    <xdr:cxnSp macro="">
      <xdr:nvCxnSpPr>
        <xdr:cNvPr id="527" name="Connecteur droit avec flèche 526"/>
        <xdr:cNvCxnSpPr/>
      </xdr:nvCxnSpPr>
      <xdr:spPr>
        <a:xfrm>
          <a:off x="13773755" y="46413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424</xdr:row>
      <xdr:rowOff>133048</xdr:rowOff>
    </xdr:from>
    <xdr:to>
      <xdr:col>16</xdr:col>
      <xdr:colOff>87389</xdr:colOff>
      <xdr:row>424</xdr:row>
      <xdr:rowOff>135165</xdr:rowOff>
    </xdr:to>
    <xdr:cxnSp macro="">
      <xdr:nvCxnSpPr>
        <xdr:cNvPr id="528" name="Connecteur droit avec flèche 527"/>
        <xdr:cNvCxnSpPr/>
      </xdr:nvCxnSpPr>
      <xdr:spPr>
        <a:xfrm>
          <a:off x="13678505" y="46615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34471</xdr:colOff>
      <xdr:row>416</xdr:row>
      <xdr:rowOff>122464</xdr:rowOff>
    </xdr:from>
    <xdr:to>
      <xdr:col>16</xdr:col>
      <xdr:colOff>150889</xdr:colOff>
      <xdr:row>417</xdr:row>
      <xdr:rowOff>90715</xdr:rowOff>
    </xdr:to>
    <xdr:cxnSp macro="">
      <xdr:nvCxnSpPr>
        <xdr:cNvPr id="529" name="Connecteur droit avec flèche 528"/>
        <xdr:cNvCxnSpPr/>
      </xdr:nvCxnSpPr>
      <xdr:spPr>
        <a:xfrm flipV="1">
          <a:off x="13731421" y="45080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87389</xdr:colOff>
      <xdr:row>418</xdr:row>
      <xdr:rowOff>143631</xdr:rowOff>
    </xdr:from>
    <xdr:to>
      <xdr:col>16</xdr:col>
      <xdr:colOff>193222</xdr:colOff>
      <xdr:row>419</xdr:row>
      <xdr:rowOff>111882</xdr:rowOff>
    </xdr:to>
    <xdr:cxnSp macro="">
      <xdr:nvCxnSpPr>
        <xdr:cNvPr id="530" name="Connecteur droit avec flèche 529"/>
        <xdr:cNvCxnSpPr/>
      </xdr:nvCxnSpPr>
      <xdr:spPr>
        <a:xfrm flipV="1">
          <a:off x="13784339" y="45482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2722</xdr:colOff>
      <xdr:row>420</xdr:row>
      <xdr:rowOff>143631</xdr:rowOff>
    </xdr:from>
    <xdr:to>
      <xdr:col>16</xdr:col>
      <xdr:colOff>140305</xdr:colOff>
      <xdr:row>421</xdr:row>
      <xdr:rowOff>111882</xdr:rowOff>
    </xdr:to>
    <xdr:cxnSp macro="">
      <xdr:nvCxnSpPr>
        <xdr:cNvPr id="531" name="Connecteur droit avec flèche 530"/>
        <xdr:cNvCxnSpPr/>
      </xdr:nvCxnSpPr>
      <xdr:spPr>
        <a:xfrm flipV="1">
          <a:off x="13699672" y="45863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55638</xdr:colOff>
      <xdr:row>422</xdr:row>
      <xdr:rowOff>143631</xdr:rowOff>
    </xdr:from>
    <xdr:to>
      <xdr:col>16</xdr:col>
      <xdr:colOff>214389</xdr:colOff>
      <xdr:row>423</xdr:row>
      <xdr:rowOff>101299</xdr:rowOff>
    </xdr:to>
    <xdr:cxnSp macro="">
      <xdr:nvCxnSpPr>
        <xdr:cNvPr id="532" name="Connecteur droit avec flèche 531"/>
        <xdr:cNvCxnSpPr/>
      </xdr:nvCxnSpPr>
      <xdr:spPr>
        <a:xfrm flipV="1">
          <a:off x="13752588" y="46244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1047750</xdr:colOff>
      <xdr:row>434</xdr:row>
      <xdr:rowOff>84665</xdr:rowOff>
    </xdr:from>
    <xdr:to>
      <xdr:col>12</xdr:col>
      <xdr:colOff>156332</xdr:colOff>
      <xdr:row>434</xdr:row>
      <xdr:rowOff>95250</xdr:rowOff>
    </xdr:to>
    <xdr:cxnSp macro="">
      <xdr:nvCxnSpPr>
        <xdr:cNvPr id="533" name="Connecteur droit avec flèche 532"/>
        <xdr:cNvCxnSpPr/>
      </xdr:nvCxnSpPr>
      <xdr:spPr>
        <a:xfrm flipV="1">
          <a:off x="10391775" y="48471665"/>
          <a:ext cx="117550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1121833</xdr:colOff>
      <xdr:row>429</xdr:row>
      <xdr:rowOff>140608</xdr:rowOff>
    </xdr:from>
    <xdr:to>
      <xdr:col>12</xdr:col>
      <xdr:colOff>184150</xdr:colOff>
      <xdr:row>434</xdr:row>
      <xdr:rowOff>95250</xdr:rowOff>
    </xdr:to>
    <xdr:cxnSp macro="">
      <xdr:nvCxnSpPr>
        <xdr:cNvPr id="534" name="Connecteur droit avec flèche 533"/>
        <xdr:cNvCxnSpPr/>
      </xdr:nvCxnSpPr>
      <xdr:spPr>
        <a:xfrm flipV="1">
          <a:off x="10465858" y="47575108"/>
          <a:ext cx="1129242" cy="907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1100666</xdr:colOff>
      <xdr:row>433</xdr:row>
      <xdr:rowOff>95250</xdr:rowOff>
    </xdr:from>
    <xdr:to>
      <xdr:col>12</xdr:col>
      <xdr:colOff>42031</xdr:colOff>
      <xdr:row>434</xdr:row>
      <xdr:rowOff>95250</xdr:rowOff>
    </xdr:to>
    <xdr:cxnSp macro="">
      <xdr:nvCxnSpPr>
        <xdr:cNvPr id="535" name="Connecteur droit avec flèche 534"/>
        <xdr:cNvCxnSpPr/>
      </xdr:nvCxnSpPr>
      <xdr:spPr>
        <a:xfrm flipV="1">
          <a:off x="10444691" y="48291750"/>
          <a:ext cx="1008290"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596900</xdr:colOff>
      <xdr:row>427</xdr:row>
      <xdr:rowOff>87692</xdr:rowOff>
    </xdr:from>
    <xdr:to>
      <xdr:col>14</xdr:col>
      <xdr:colOff>16933</xdr:colOff>
      <xdr:row>429</xdr:row>
      <xdr:rowOff>130024</xdr:rowOff>
    </xdr:to>
    <xdr:cxnSp macro="">
      <xdr:nvCxnSpPr>
        <xdr:cNvPr id="536" name="Connecteur droit avec flèche 535"/>
        <xdr:cNvCxnSpPr/>
      </xdr:nvCxnSpPr>
      <xdr:spPr>
        <a:xfrm flipV="1">
          <a:off x="12007850" y="47141192"/>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554566</xdr:colOff>
      <xdr:row>429</xdr:row>
      <xdr:rowOff>127909</xdr:rowOff>
    </xdr:from>
    <xdr:to>
      <xdr:col>13</xdr:col>
      <xdr:colOff>692150</xdr:colOff>
      <xdr:row>429</xdr:row>
      <xdr:rowOff>140608</xdr:rowOff>
    </xdr:to>
    <xdr:cxnSp macro="">
      <xdr:nvCxnSpPr>
        <xdr:cNvPr id="537" name="Connecteur droit avec flèche 536"/>
        <xdr:cNvCxnSpPr/>
      </xdr:nvCxnSpPr>
      <xdr:spPr>
        <a:xfrm>
          <a:off x="11965516" y="4756240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438151</xdr:colOff>
      <xdr:row>431</xdr:row>
      <xdr:rowOff>130024</xdr:rowOff>
    </xdr:from>
    <xdr:to>
      <xdr:col>13</xdr:col>
      <xdr:colOff>692151</xdr:colOff>
      <xdr:row>433</xdr:row>
      <xdr:rowOff>130022</xdr:rowOff>
    </xdr:to>
    <xdr:cxnSp macro="">
      <xdr:nvCxnSpPr>
        <xdr:cNvPr id="538" name="Connecteur droit avec flèche 537"/>
        <xdr:cNvCxnSpPr/>
      </xdr:nvCxnSpPr>
      <xdr:spPr>
        <a:xfrm flipV="1">
          <a:off x="11849101" y="47945524"/>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639235</xdr:colOff>
      <xdr:row>434</xdr:row>
      <xdr:rowOff>108857</xdr:rowOff>
    </xdr:from>
    <xdr:to>
      <xdr:col>13</xdr:col>
      <xdr:colOff>702735</xdr:colOff>
      <xdr:row>434</xdr:row>
      <xdr:rowOff>119442</xdr:rowOff>
    </xdr:to>
    <xdr:cxnSp macro="">
      <xdr:nvCxnSpPr>
        <xdr:cNvPr id="539" name="Connecteur droit avec flèche 538"/>
        <xdr:cNvCxnSpPr/>
      </xdr:nvCxnSpPr>
      <xdr:spPr>
        <a:xfrm>
          <a:off x="12050185" y="4849585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491068</xdr:colOff>
      <xdr:row>433</xdr:row>
      <xdr:rowOff>98274</xdr:rowOff>
    </xdr:from>
    <xdr:to>
      <xdr:col>13</xdr:col>
      <xdr:colOff>660401</xdr:colOff>
      <xdr:row>433</xdr:row>
      <xdr:rowOff>119442</xdr:rowOff>
    </xdr:to>
    <xdr:cxnSp macro="">
      <xdr:nvCxnSpPr>
        <xdr:cNvPr id="540" name="Connecteur droit avec flèche 539"/>
        <xdr:cNvCxnSpPr/>
      </xdr:nvCxnSpPr>
      <xdr:spPr>
        <a:xfrm>
          <a:off x="11902018" y="48294774"/>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758977</xdr:colOff>
      <xdr:row>427</xdr:row>
      <xdr:rowOff>74083</xdr:rowOff>
    </xdr:from>
    <xdr:to>
      <xdr:col>16</xdr:col>
      <xdr:colOff>123978</xdr:colOff>
      <xdr:row>427</xdr:row>
      <xdr:rowOff>86783</xdr:rowOff>
    </xdr:to>
    <xdr:cxnSp macro="">
      <xdr:nvCxnSpPr>
        <xdr:cNvPr id="541" name="Connecteur droit avec flèche 540"/>
        <xdr:cNvCxnSpPr/>
      </xdr:nvCxnSpPr>
      <xdr:spPr>
        <a:xfrm>
          <a:off x="13693927" y="4712758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701827</xdr:colOff>
      <xdr:row>431</xdr:row>
      <xdr:rowOff>67733</xdr:rowOff>
    </xdr:from>
    <xdr:to>
      <xdr:col>16</xdr:col>
      <xdr:colOff>45661</xdr:colOff>
      <xdr:row>431</xdr:row>
      <xdr:rowOff>69850</xdr:rowOff>
    </xdr:to>
    <xdr:cxnSp macro="">
      <xdr:nvCxnSpPr>
        <xdr:cNvPr id="542" name="Connecteur droit avec flèche 541"/>
        <xdr:cNvCxnSpPr/>
      </xdr:nvCxnSpPr>
      <xdr:spPr>
        <a:xfrm>
          <a:off x="13636777" y="4788323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1211</xdr:colOff>
      <xdr:row>429</xdr:row>
      <xdr:rowOff>86783</xdr:rowOff>
    </xdr:from>
    <xdr:to>
      <xdr:col>16</xdr:col>
      <xdr:colOff>107045</xdr:colOff>
      <xdr:row>429</xdr:row>
      <xdr:rowOff>88900</xdr:rowOff>
    </xdr:to>
    <xdr:cxnSp macro="">
      <xdr:nvCxnSpPr>
        <xdr:cNvPr id="543" name="Connecteur droit avec flèche 542"/>
        <xdr:cNvCxnSpPr/>
      </xdr:nvCxnSpPr>
      <xdr:spPr>
        <a:xfrm>
          <a:off x="13698161" y="4752128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28727</xdr:colOff>
      <xdr:row>433</xdr:row>
      <xdr:rowOff>76200</xdr:rowOff>
    </xdr:from>
    <xdr:to>
      <xdr:col>16</xdr:col>
      <xdr:colOff>134561</xdr:colOff>
      <xdr:row>433</xdr:row>
      <xdr:rowOff>78317</xdr:rowOff>
    </xdr:to>
    <xdr:cxnSp macro="">
      <xdr:nvCxnSpPr>
        <xdr:cNvPr id="544" name="Connecteur droit avec flèche 543"/>
        <xdr:cNvCxnSpPr/>
      </xdr:nvCxnSpPr>
      <xdr:spPr>
        <a:xfrm>
          <a:off x="13725677" y="4827270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434</xdr:row>
      <xdr:rowOff>105834</xdr:rowOff>
    </xdr:from>
    <xdr:to>
      <xdr:col>16</xdr:col>
      <xdr:colOff>73782</xdr:colOff>
      <xdr:row>434</xdr:row>
      <xdr:rowOff>107951</xdr:rowOff>
    </xdr:to>
    <xdr:cxnSp macro="">
      <xdr:nvCxnSpPr>
        <xdr:cNvPr id="545" name="Connecteur droit avec flèche 544"/>
        <xdr:cNvCxnSpPr/>
      </xdr:nvCxnSpPr>
      <xdr:spPr>
        <a:xfrm>
          <a:off x="13664898" y="4849283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754743</xdr:colOff>
      <xdr:row>426</xdr:row>
      <xdr:rowOff>88900</xdr:rowOff>
    </xdr:from>
    <xdr:to>
      <xdr:col>16</xdr:col>
      <xdr:colOff>109161</xdr:colOff>
      <xdr:row>427</xdr:row>
      <xdr:rowOff>57151</xdr:rowOff>
    </xdr:to>
    <xdr:cxnSp macro="">
      <xdr:nvCxnSpPr>
        <xdr:cNvPr id="546" name="Connecteur droit avec flèche 545"/>
        <xdr:cNvCxnSpPr/>
      </xdr:nvCxnSpPr>
      <xdr:spPr>
        <a:xfrm flipV="1">
          <a:off x="13689693" y="4695190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750511</xdr:colOff>
      <xdr:row>428</xdr:row>
      <xdr:rowOff>110067</xdr:rowOff>
    </xdr:from>
    <xdr:to>
      <xdr:col>16</xdr:col>
      <xdr:colOff>94344</xdr:colOff>
      <xdr:row>429</xdr:row>
      <xdr:rowOff>78318</xdr:rowOff>
    </xdr:to>
    <xdr:cxnSp macro="">
      <xdr:nvCxnSpPr>
        <xdr:cNvPr id="547" name="Connecteur droit avec flèche 546"/>
        <xdr:cNvCxnSpPr/>
      </xdr:nvCxnSpPr>
      <xdr:spPr>
        <a:xfrm flipV="1">
          <a:off x="13685461" y="4735406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697594</xdr:colOff>
      <xdr:row>430</xdr:row>
      <xdr:rowOff>84667</xdr:rowOff>
    </xdr:from>
    <xdr:to>
      <xdr:col>16</xdr:col>
      <xdr:colOff>73177</xdr:colOff>
      <xdr:row>431</xdr:row>
      <xdr:rowOff>52918</xdr:rowOff>
    </xdr:to>
    <xdr:cxnSp macro="">
      <xdr:nvCxnSpPr>
        <xdr:cNvPr id="548" name="Connecteur droit avec flèche 547"/>
        <xdr:cNvCxnSpPr/>
      </xdr:nvCxnSpPr>
      <xdr:spPr>
        <a:xfrm flipV="1">
          <a:off x="13632544" y="4770966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20260</xdr:colOff>
      <xdr:row>432</xdr:row>
      <xdr:rowOff>97367</xdr:rowOff>
    </xdr:from>
    <xdr:to>
      <xdr:col>16</xdr:col>
      <xdr:colOff>179011</xdr:colOff>
      <xdr:row>433</xdr:row>
      <xdr:rowOff>55035</xdr:rowOff>
    </xdr:to>
    <xdr:cxnSp macro="">
      <xdr:nvCxnSpPr>
        <xdr:cNvPr id="549" name="Connecteur droit avec flèche 548"/>
        <xdr:cNvCxnSpPr/>
      </xdr:nvCxnSpPr>
      <xdr:spPr>
        <a:xfrm flipV="1">
          <a:off x="13717210" y="4810336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1074965</xdr:colOff>
      <xdr:row>454</xdr:row>
      <xdr:rowOff>114299</xdr:rowOff>
    </xdr:from>
    <xdr:to>
      <xdr:col>12</xdr:col>
      <xdr:colOff>239487</xdr:colOff>
      <xdr:row>454</xdr:row>
      <xdr:rowOff>122463</xdr:rowOff>
    </xdr:to>
    <xdr:cxnSp macro="">
      <xdr:nvCxnSpPr>
        <xdr:cNvPr id="550" name="Connecteur droit avec flèche 549"/>
        <xdr:cNvCxnSpPr/>
      </xdr:nvCxnSpPr>
      <xdr:spPr>
        <a:xfrm>
          <a:off x="10418990" y="50406299"/>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1123951</xdr:colOff>
      <xdr:row>449</xdr:row>
      <xdr:rowOff>72572</xdr:rowOff>
    </xdr:from>
    <xdr:to>
      <xdr:col>12</xdr:col>
      <xdr:colOff>320222</xdr:colOff>
      <xdr:row>454</xdr:row>
      <xdr:rowOff>108856</xdr:rowOff>
    </xdr:to>
    <xdr:cxnSp macro="">
      <xdr:nvCxnSpPr>
        <xdr:cNvPr id="551" name="Connecteur droit avec flèche 550"/>
        <xdr:cNvCxnSpPr/>
      </xdr:nvCxnSpPr>
      <xdr:spPr>
        <a:xfrm flipV="1">
          <a:off x="10467976" y="49412072"/>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1110344</xdr:colOff>
      <xdr:row>453</xdr:row>
      <xdr:rowOff>27214</xdr:rowOff>
    </xdr:from>
    <xdr:to>
      <xdr:col>12</xdr:col>
      <xdr:colOff>178103</xdr:colOff>
      <xdr:row>454</xdr:row>
      <xdr:rowOff>108856</xdr:rowOff>
    </xdr:to>
    <xdr:cxnSp macro="">
      <xdr:nvCxnSpPr>
        <xdr:cNvPr id="552" name="Connecteur droit avec flèche 551"/>
        <xdr:cNvCxnSpPr/>
      </xdr:nvCxnSpPr>
      <xdr:spPr>
        <a:xfrm flipV="1">
          <a:off x="10454369" y="50128714"/>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732972</xdr:colOff>
      <xdr:row>447</xdr:row>
      <xdr:rowOff>19656</xdr:rowOff>
    </xdr:from>
    <xdr:to>
      <xdr:col>14</xdr:col>
      <xdr:colOff>153005</xdr:colOff>
      <xdr:row>449</xdr:row>
      <xdr:rowOff>61988</xdr:rowOff>
    </xdr:to>
    <xdr:cxnSp macro="">
      <xdr:nvCxnSpPr>
        <xdr:cNvPr id="553" name="Connecteur droit avec flèche 552"/>
        <xdr:cNvCxnSpPr/>
      </xdr:nvCxnSpPr>
      <xdr:spPr>
        <a:xfrm flipV="1">
          <a:off x="12143922" y="4897815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690638</xdr:colOff>
      <xdr:row>449</xdr:row>
      <xdr:rowOff>59873</xdr:rowOff>
    </xdr:from>
    <xdr:to>
      <xdr:col>14</xdr:col>
      <xdr:colOff>66222</xdr:colOff>
      <xdr:row>449</xdr:row>
      <xdr:rowOff>72572</xdr:rowOff>
    </xdr:to>
    <xdr:cxnSp macro="">
      <xdr:nvCxnSpPr>
        <xdr:cNvPr id="554" name="Connecteur droit avec flèche 553"/>
        <xdr:cNvCxnSpPr/>
      </xdr:nvCxnSpPr>
      <xdr:spPr>
        <a:xfrm>
          <a:off x="12101588" y="49399373"/>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574223</xdr:colOff>
      <xdr:row>451</xdr:row>
      <xdr:rowOff>61988</xdr:rowOff>
    </xdr:from>
    <xdr:to>
      <xdr:col>14</xdr:col>
      <xdr:colOff>66223</xdr:colOff>
      <xdr:row>453</xdr:row>
      <xdr:rowOff>61986</xdr:rowOff>
    </xdr:to>
    <xdr:cxnSp macro="">
      <xdr:nvCxnSpPr>
        <xdr:cNvPr id="555" name="Connecteur droit avec flèche 554"/>
        <xdr:cNvCxnSpPr/>
      </xdr:nvCxnSpPr>
      <xdr:spPr>
        <a:xfrm flipV="1">
          <a:off x="11985173" y="4978248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761700</xdr:colOff>
      <xdr:row>454</xdr:row>
      <xdr:rowOff>81643</xdr:rowOff>
    </xdr:from>
    <xdr:to>
      <xdr:col>14</xdr:col>
      <xdr:colOff>63200</xdr:colOff>
      <xdr:row>454</xdr:row>
      <xdr:rowOff>92228</xdr:rowOff>
    </xdr:to>
    <xdr:cxnSp macro="">
      <xdr:nvCxnSpPr>
        <xdr:cNvPr id="556" name="Connecteur droit avec flèche 555"/>
        <xdr:cNvCxnSpPr/>
      </xdr:nvCxnSpPr>
      <xdr:spPr>
        <a:xfrm>
          <a:off x="12172650" y="50373643"/>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627140</xdr:colOff>
      <xdr:row>453</xdr:row>
      <xdr:rowOff>30238</xdr:rowOff>
    </xdr:from>
    <xdr:to>
      <xdr:col>14</xdr:col>
      <xdr:colOff>34473</xdr:colOff>
      <xdr:row>453</xdr:row>
      <xdr:rowOff>51406</xdr:rowOff>
    </xdr:to>
    <xdr:cxnSp macro="">
      <xdr:nvCxnSpPr>
        <xdr:cNvPr id="557" name="Connecteur droit avec flèche 556"/>
        <xdr:cNvCxnSpPr/>
      </xdr:nvCxnSpPr>
      <xdr:spPr>
        <a:xfrm>
          <a:off x="12038090" y="5013173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31449</xdr:colOff>
      <xdr:row>447</xdr:row>
      <xdr:rowOff>101297</xdr:rowOff>
    </xdr:from>
    <xdr:to>
      <xdr:col>16</xdr:col>
      <xdr:colOff>158450</xdr:colOff>
      <xdr:row>447</xdr:row>
      <xdr:rowOff>113997</xdr:rowOff>
    </xdr:to>
    <xdr:cxnSp macro="">
      <xdr:nvCxnSpPr>
        <xdr:cNvPr id="558" name="Connecteur droit avec flèche 557"/>
        <xdr:cNvCxnSpPr/>
      </xdr:nvCxnSpPr>
      <xdr:spPr>
        <a:xfrm>
          <a:off x="13728399" y="4905979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761699</xdr:colOff>
      <xdr:row>451</xdr:row>
      <xdr:rowOff>133047</xdr:rowOff>
    </xdr:from>
    <xdr:to>
      <xdr:col>16</xdr:col>
      <xdr:colOff>105533</xdr:colOff>
      <xdr:row>451</xdr:row>
      <xdr:rowOff>135164</xdr:rowOff>
    </xdr:to>
    <xdr:cxnSp macro="">
      <xdr:nvCxnSpPr>
        <xdr:cNvPr id="559" name="Connecteur droit avec flèche 558"/>
        <xdr:cNvCxnSpPr/>
      </xdr:nvCxnSpPr>
      <xdr:spPr>
        <a:xfrm>
          <a:off x="13696649" y="49853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449</xdr:row>
      <xdr:rowOff>133047</xdr:rowOff>
    </xdr:from>
    <xdr:to>
      <xdr:col>16</xdr:col>
      <xdr:colOff>179617</xdr:colOff>
      <xdr:row>449</xdr:row>
      <xdr:rowOff>135164</xdr:rowOff>
    </xdr:to>
    <xdr:cxnSp macro="">
      <xdr:nvCxnSpPr>
        <xdr:cNvPr id="560" name="Connecteur droit avec flèche 559"/>
        <xdr:cNvCxnSpPr/>
      </xdr:nvCxnSpPr>
      <xdr:spPr>
        <a:xfrm>
          <a:off x="13770733" y="4947254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63199</xdr:colOff>
      <xdr:row>453</xdr:row>
      <xdr:rowOff>122464</xdr:rowOff>
    </xdr:from>
    <xdr:to>
      <xdr:col>16</xdr:col>
      <xdr:colOff>169033</xdr:colOff>
      <xdr:row>453</xdr:row>
      <xdr:rowOff>124581</xdr:rowOff>
    </xdr:to>
    <xdr:cxnSp macro="">
      <xdr:nvCxnSpPr>
        <xdr:cNvPr id="561" name="Connecteur droit avec flèche 560"/>
        <xdr:cNvCxnSpPr/>
      </xdr:nvCxnSpPr>
      <xdr:spPr>
        <a:xfrm>
          <a:off x="13760149" y="5022396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729949</xdr:colOff>
      <xdr:row>454</xdr:row>
      <xdr:rowOff>133048</xdr:rowOff>
    </xdr:from>
    <xdr:to>
      <xdr:col>16</xdr:col>
      <xdr:colOff>73783</xdr:colOff>
      <xdr:row>454</xdr:row>
      <xdr:rowOff>135165</xdr:rowOff>
    </xdr:to>
    <xdr:cxnSp macro="">
      <xdr:nvCxnSpPr>
        <xdr:cNvPr id="562" name="Connecteur droit avec flèche 561"/>
        <xdr:cNvCxnSpPr/>
      </xdr:nvCxnSpPr>
      <xdr:spPr>
        <a:xfrm>
          <a:off x="13664899" y="5042504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20865</xdr:colOff>
      <xdr:row>446</xdr:row>
      <xdr:rowOff>122464</xdr:rowOff>
    </xdr:from>
    <xdr:to>
      <xdr:col>16</xdr:col>
      <xdr:colOff>137283</xdr:colOff>
      <xdr:row>447</xdr:row>
      <xdr:rowOff>90715</xdr:rowOff>
    </xdr:to>
    <xdr:cxnSp macro="">
      <xdr:nvCxnSpPr>
        <xdr:cNvPr id="563" name="Connecteur droit avec flèche 562"/>
        <xdr:cNvCxnSpPr/>
      </xdr:nvCxnSpPr>
      <xdr:spPr>
        <a:xfrm flipV="1">
          <a:off x="13717815" y="4889046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73783</xdr:colOff>
      <xdr:row>448</xdr:row>
      <xdr:rowOff>143631</xdr:rowOff>
    </xdr:from>
    <xdr:to>
      <xdr:col>16</xdr:col>
      <xdr:colOff>179616</xdr:colOff>
      <xdr:row>449</xdr:row>
      <xdr:rowOff>111882</xdr:rowOff>
    </xdr:to>
    <xdr:cxnSp macro="">
      <xdr:nvCxnSpPr>
        <xdr:cNvPr id="564" name="Connecteur droit avec flèche 563"/>
        <xdr:cNvCxnSpPr/>
      </xdr:nvCxnSpPr>
      <xdr:spPr>
        <a:xfrm flipV="1">
          <a:off x="13770733" y="4929263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751116</xdr:colOff>
      <xdr:row>450</xdr:row>
      <xdr:rowOff>143631</xdr:rowOff>
    </xdr:from>
    <xdr:to>
      <xdr:col>16</xdr:col>
      <xdr:colOff>126699</xdr:colOff>
      <xdr:row>451</xdr:row>
      <xdr:rowOff>111882</xdr:rowOff>
    </xdr:to>
    <xdr:cxnSp macro="">
      <xdr:nvCxnSpPr>
        <xdr:cNvPr id="565" name="Connecteur droit avec flèche 564"/>
        <xdr:cNvCxnSpPr/>
      </xdr:nvCxnSpPr>
      <xdr:spPr>
        <a:xfrm flipV="1">
          <a:off x="13686066" y="4967363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42032</xdr:colOff>
      <xdr:row>452</xdr:row>
      <xdr:rowOff>143631</xdr:rowOff>
    </xdr:from>
    <xdr:to>
      <xdr:col>16</xdr:col>
      <xdr:colOff>200783</xdr:colOff>
      <xdr:row>453</xdr:row>
      <xdr:rowOff>101299</xdr:rowOff>
    </xdr:to>
    <xdr:cxnSp macro="">
      <xdr:nvCxnSpPr>
        <xdr:cNvPr id="566" name="Connecteur droit avec flèche 565"/>
        <xdr:cNvCxnSpPr/>
      </xdr:nvCxnSpPr>
      <xdr:spPr>
        <a:xfrm flipV="1">
          <a:off x="13738982" y="5005463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993321</xdr:colOff>
      <xdr:row>474</xdr:row>
      <xdr:rowOff>100692</xdr:rowOff>
    </xdr:from>
    <xdr:to>
      <xdr:col>12</xdr:col>
      <xdr:colOff>157843</xdr:colOff>
      <xdr:row>474</xdr:row>
      <xdr:rowOff>108856</xdr:rowOff>
    </xdr:to>
    <xdr:cxnSp macro="">
      <xdr:nvCxnSpPr>
        <xdr:cNvPr id="567" name="Connecteur droit avec flèche 566"/>
        <xdr:cNvCxnSpPr/>
      </xdr:nvCxnSpPr>
      <xdr:spPr>
        <a:xfrm>
          <a:off x="10337346" y="52297692"/>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469</xdr:row>
      <xdr:rowOff>58965</xdr:rowOff>
    </xdr:from>
    <xdr:to>
      <xdr:col>12</xdr:col>
      <xdr:colOff>238578</xdr:colOff>
      <xdr:row>474</xdr:row>
      <xdr:rowOff>95249</xdr:rowOff>
    </xdr:to>
    <xdr:cxnSp macro="">
      <xdr:nvCxnSpPr>
        <xdr:cNvPr id="568" name="Connecteur droit avec flèche 567"/>
        <xdr:cNvCxnSpPr/>
      </xdr:nvCxnSpPr>
      <xdr:spPr>
        <a:xfrm flipV="1">
          <a:off x="10386332" y="5130346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473</xdr:row>
      <xdr:rowOff>13607</xdr:rowOff>
    </xdr:from>
    <xdr:to>
      <xdr:col>12</xdr:col>
      <xdr:colOff>96459</xdr:colOff>
      <xdr:row>474</xdr:row>
      <xdr:rowOff>95249</xdr:rowOff>
    </xdr:to>
    <xdr:cxnSp macro="">
      <xdr:nvCxnSpPr>
        <xdr:cNvPr id="569" name="Connecteur droit avec flèche 568"/>
        <xdr:cNvCxnSpPr/>
      </xdr:nvCxnSpPr>
      <xdr:spPr>
        <a:xfrm flipV="1">
          <a:off x="10372725" y="5202010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467</xdr:row>
      <xdr:rowOff>6049</xdr:rowOff>
    </xdr:from>
    <xdr:to>
      <xdr:col>14</xdr:col>
      <xdr:colOff>71361</xdr:colOff>
      <xdr:row>469</xdr:row>
      <xdr:rowOff>48381</xdr:rowOff>
    </xdr:to>
    <xdr:cxnSp macro="">
      <xdr:nvCxnSpPr>
        <xdr:cNvPr id="570" name="Connecteur droit avec flèche 569"/>
        <xdr:cNvCxnSpPr/>
      </xdr:nvCxnSpPr>
      <xdr:spPr>
        <a:xfrm flipV="1">
          <a:off x="12062278" y="5086954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469</xdr:row>
      <xdr:rowOff>46266</xdr:rowOff>
    </xdr:from>
    <xdr:to>
      <xdr:col>13</xdr:col>
      <xdr:colOff>746578</xdr:colOff>
      <xdr:row>469</xdr:row>
      <xdr:rowOff>58965</xdr:rowOff>
    </xdr:to>
    <xdr:cxnSp macro="">
      <xdr:nvCxnSpPr>
        <xdr:cNvPr id="571" name="Connecteur droit avec flèche 570"/>
        <xdr:cNvCxnSpPr/>
      </xdr:nvCxnSpPr>
      <xdr:spPr>
        <a:xfrm>
          <a:off x="12019944" y="5129076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471</xdr:row>
      <xdr:rowOff>48381</xdr:rowOff>
    </xdr:from>
    <xdr:to>
      <xdr:col>13</xdr:col>
      <xdr:colOff>746579</xdr:colOff>
      <xdr:row>473</xdr:row>
      <xdr:rowOff>48379</xdr:rowOff>
    </xdr:to>
    <xdr:cxnSp macro="">
      <xdr:nvCxnSpPr>
        <xdr:cNvPr id="572" name="Connecteur droit avec flèche 571"/>
        <xdr:cNvCxnSpPr/>
      </xdr:nvCxnSpPr>
      <xdr:spPr>
        <a:xfrm flipV="1">
          <a:off x="11903529" y="5167388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474</xdr:row>
      <xdr:rowOff>81642</xdr:rowOff>
    </xdr:from>
    <xdr:to>
      <xdr:col>13</xdr:col>
      <xdr:colOff>757163</xdr:colOff>
      <xdr:row>474</xdr:row>
      <xdr:rowOff>92227</xdr:rowOff>
    </xdr:to>
    <xdr:cxnSp macro="">
      <xdr:nvCxnSpPr>
        <xdr:cNvPr id="573" name="Connecteur droit avec flèche 572"/>
        <xdr:cNvCxnSpPr/>
      </xdr:nvCxnSpPr>
      <xdr:spPr>
        <a:xfrm>
          <a:off x="12104613" y="5227864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473</xdr:row>
      <xdr:rowOff>16631</xdr:rowOff>
    </xdr:from>
    <xdr:to>
      <xdr:col>13</xdr:col>
      <xdr:colOff>714829</xdr:colOff>
      <xdr:row>473</xdr:row>
      <xdr:rowOff>37799</xdr:rowOff>
    </xdr:to>
    <xdr:cxnSp macro="">
      <xdr:nvCxnSpPr>
        <xdr:cNvPr id="574" name="Connecteur droit avec flèche 573"/>
        <xdr:cNvCxnSpPr/>
      </xdr:nvCxnSpPr>
      <xdr:spPr>
        <a:xfrm>
          <a:off x="11956446" y="5202313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467</xdr:row>
      <xdr:rowOff>87690</xdr:rowOff>
    </xdr:from>
    <xdr:to>
      <xdr:col>16</xdr:col>
      <xdr:colOff>76806</xdr:colOff>
      <xdr:row>467</xdr:row>
      <xdr:rowOff>100390</xdr:rowOff>
    </xdr:to>
    <xdr:cxnSp macro="">
      <xdr:nvCxnSpPr>
        <xdr:cNvPr id="575" name="Connecteur droit avec flèche 574"/>
        <xdr:cNvCxnSpPr/>
      </xdr:nvCxnSpPr>
      <xdr:spPr>
        <a:xfrm>
          <a:off x="13646755" y="5095119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471</xdr:row>
      <xdr:rowOff>119440</xdr:rowOff>
    </xdr:from>
    <xdr:to>
      <xdr:col>16</xdr:col>
      <xdr:colOff>23889</xdr:colOff>
      <xdr:row>471</xdr:row>
      <xdr:rowOff>121557</xdr:rowOff>
    </xdr:to>
    <xdr:cxnSp macro="">
      <xdr:nvCxnSpPr>
        <xdr:cNvPr id="576" name="Connecteur droit avec flèche 575"/>
        <xdr:cNvCxnSpPr/>
      </xdr:nvCxnSpPr>
      <xdr:spPr>
        <a:xfrm>
          <a:off x="13615005" y="51744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469</xdr:row>
      <xdr:rowOff>119440</xdr:rowOff>
    </xdr:from>
    <xdr:to>
      <xdr:col>16</xdr:col>
      <xdr:colOff>97973</xdr:colOff>
      <xdr:row>469</xdr:row>
      <xdr:rowOff>121557</xdr:rowOff>
    </xdr:to>
    <xdr:cxnSp macro="">
      <xdr:nvCxnSpPr>
        <xdr:cNvPr id="577" name="Connecteur droit avec flèche 576"/>
        <xdr:cNvCxnSpPr/>
      </xdr:nvCxnSpPr>
      <xdr:spPr>
        <a:xfrm>
          <a:off x="13689089" y="5136394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473</xdr:row>
      <xdr:rowOff>108857</xdr:rowOff>
    </xdr:from>
    <xdr:to>
      <xdr:col>16</xdr:col>
      <xdr:colOff>87389</xdr:colOff>
      <xdr:row>473</xdr:row>
      <xdr:rowOff>110974</xdr:rowOff>
    </xdr:to>
    <xdr:cxnSp macro="">
      <xdr:nvCxnSpPr>
        <xdr:cNvPr id="578" name="Connecteur droit avec flèche 577"/>
        <xdr:cNvCxnSpPr/>
      </xdr:nvCxnSpPr>
      <xdr:spPr>
        <a:xfrm>
          <a:off x="13678505" y="5211535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474</xdr:row>
      <xdr:rowOff>119441</xdr:rowOff>
    </xdr:from>
    <xdr:to>
      <xdr:col>15</xdr:col>
      <xdr:colOff>754139</xdr:colOff>
      <xdr:row>474</xdr:row>
      <xdr:rowOff>121558</xdr:rowOff>
    </xdr:to>
    <xdr:cxnSp macro="">
      <xdr:nvCxnSpPr>
        <xdr:cNvPr id="579" name="Connecteur droit avec flèche 578"/>
        <xdr:cNvCxnSpPr/>
      </xdr:nvCxnSpPr>
      <xdr:spPr>
        <a:xfrm>
          <a:off x="13583255" y="5231644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466</xdr:row>
      <xdr:rowOff>108857</xdr:rowOff>
    </xdr:from>
    <xdr:to>
      <xdr:col>16</xdr:col>
      <xdr:colOff>55639</xdr:colOff>
      <xdr:row>467</xdr:row>
      <xdr:rowOff>77108</xdr:rowOff>
    </xdr:to>
    <xdr:cxnSp macro="">
      <xdr:nvCxnSpPr>
        <xdr:cNvPr id="580" name="Connecteur droit avec flèche 579"/>
        <xdr:cNvCxnSpPr/>
      </xdr:nvCxnSpPr>
      <xdr:spPr>
        <a:xfrm flipV="1">
          <a:off x="13636171" y="5078185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468</xdr:row>
      <xdr:rowOff>130024</xdr:rowOff>
    </xdr:from>
    <xdr:to>
      <xdr:col>16</xdr:col>
      <xdr:colOff>97972</xdr:colOff>
      <xdr:row>469</xdr:row>
      <xdr:rowOff>98275</xdr:rowOff>
    </xdr:to>
    <xdr:cxnSp macro="">
      <xdr:nvCxnSpPr>
        <xdr:cNvPr id="581" name="Connecteur droit avec flèche 580"/>
        <xdr:cNvCxnSpPr/>
      </xdr:nvCxnSpPr>
      <xdr:spPr>
        <a:xfrm flipV="1">
          <a:off x="13689089" y="5118402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470</xdr:row>
      <xdr:rowOff>130024</xdr:rowOff>
    </xdr:from>
    <xdr:to>
      <xdr:col>16</xdr:col>
      <xdr:colOff>45055</xdr:colOff>
      <xdr:row>471</xdr:row>
      <xdr:rowOff>98275</xdr:rowOff>
    </xdr:to>
    <xdr:cxnSp macro="">
      <xdr:nvCxnSpPr>
        <xdr:cNvPr id="582" name="Connecteur droit avec flèche 581"/>
        <xdr:cNvCxnSpPr/>
      </xdr:nvCxnSpPr>
      <xdr:spPr>
        <a:xfrm flipV="1">
          <a:off x="13604422" y="5156502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472</xdr:row>
      <xdr:rowOff>130024</xdr:rowOff>
    </xdr:from>
    <xdr:to>
      <xdr:col>16</xdr:col>
      <xdr:colOff>119139</xdr:colOff>
      <xdr:row>473</xdr:row>
      <xdr:rowOff>87692</xdr:rowOff>
    </xdr:to>
    <xdr:cxnSp macro="">
      <xdr:nvCxnSpPr>
        <xdr:cNvPr id="583" name="Connecteur droit avec flèche 582"/>
        <xdr:cNvCxnSpPr/>
      </xdr:nvCxnSpPr>
      <xdr:spPr>
        <a:xfrm flipV="1">
          <a:off x="13657338" y="5194602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496</xdr:row>
      <xdr:rowOff>68036</xdr:rowOff>
    </xdr:from>
    <xdr:to>
      <xdr:col>12</xdr:col>
      <xdr:colOff>127605</xdr:colOff>
      <xdr:row>497</xdr:row>
      <xdr:rowOff>95250</xdr:rowOff>
    </xdr:to>
    <xdr:cxnSp macro="">
      <xdr:nvCxnSpPr>
        <xdr:cNvPr id="584" name="Connecteur droit avec flèche 583"/>
        <xdr:cNvCxnSpPr/>
      </xdr:nvCxnSpPr>
      <xdr:spPr>
        <a:xfrm flipV="1">
          <a:off x="10378168" y="52646036"/>
          <a:ext cx="1160387" cy="2177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598714</xdr:colOff>
      <xdr:row>497</xdr:row>
      <xdr:rowOff>81643</xdr:rowOff>
    </xdr:from>
    <xdr:to>
      <xdr:col>14</xdr:col>
      <xdr:colOff>106240</xdr:colOff>
      <xdr:row>497</xdr:row>
      <xdr:rowOff>82058</xdr:rowOff>
    </xdr:to>
    <xdr:cxnSp macro="">
      <xdr:nvCxnSpPr>
        <xdr:cNvPr id="585" name="Connecteur droit avec flèche 584"/>
        <xdr:cNvCxnSpPr/>
      </xdr:nvCxnSpPr>
      <xdr:spPr>
        <a:xfrm>
          <a:off x="12009664" y="52850143"/>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497</xdr:row>
      <xdr:rowOff>81642</xdr:rowOff>
    </xdr:from>
    <xdr:to>
      <xdr:col>16</xdr:col>
      <xdr:colOff>201490</xdr:colOff>
      <xdr:row>497</xdr:row>
      <xdr:rowOff>82057</xdr:rowOff>
    </xdr:to>
    <xdr:cxnSp macro="">
      <xdr:nvCxnSpPr>
        <xdr:cNvPr id="586" name="Connecteur droit avec flèche 585"/>
        <xdr:cNvCxnSpPr/>
      </xdr:nvCxnSpPr>
      <xdr:spPr>
        <a:xfrm>
          <a:off x="13628914" y="5285014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496</xdr:row>
      <xdr:rowOff>95250</xdr:rowOff>
    </xdr:from>
    <xdr:to>
      <xdr:col>16</xdr:col>
      <xdr:colOff>242312</xdr:colOff>
      <xdr:row>496</xdr:row>
      <xdr:rowOff>95665</xdr:rowOff>
    </xdr:to>
    <xdr:cxnSp macro="">
      <xdr:nvCxnSpPr>
        <xdr:cNvPr id="587" name="Connecteur droit avec flèche 586"/>
        <xdr:cNvCxnSpPr/>
      </xdr:nvCxnSpPr>
      <xdr:spPr>
        <a:xfrm>
          <a:off x="13669736" y="52673250"/>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496</xdr:row>
      <xdr:rowOff>108857</xdr:rowOff>
    </xdr:from>
    <xdr:to>
      <xdr:col>14</xdr:col>
      <xdr:colOff>10990</xdr:colOff>
      <xdr:row>496</xdr:row>
      <xdr:rowOff>109272</xdr:rowOff>
    </xdr:to>
    <xdr:cxnSp macro="">
      <xdr:nvCxnSpPr>
        <xdr:cNvPr id="588" name="Connecteur droit avec flèche 587"/>
        <xdr:cNvCxnSpPr/>
      </xdr:nvCxnSpPr>
      <xdr:spPr>
        <a:xfrm>
          <a:off x="11914414" y="5268685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299</xdr:row>
      <xdr:rowOff>59874</xdr:rowOff>
    </xdr:from>
    <xdr:to>
      <xdr:col>13</xdr:col>
      <xdr:colOff>724807</xdr:colOff>
      <xdr:row>299</xdr:row>
      <xdr:rowOff>72573</xdr:rowOff>
    </xdr:to>
    <xdr:cxnSp macro="">
      <xdr:nvCxnSpPr>
        <xdr:cNvPr id="598" name="Connecteur droit avec flèche 597"/>
        <xdr:cNvCxnSpPr/>
      </xdr:nvCxnSpPr>
      <xdr:spPr>
        <a:xfrm>
          <a:off x="11998173" y="3225437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304</xdr:row>
      <xdr:rowOff>40822</xdr:rowOff>
    </xdr:from>
    <xdr:to>
      <xdr:col>13</xdr:col>
      <xdr:colOff>735392</xdr:colOff>
      <xdr:row>304</xdr:row>
      <xdr:rowOff>51407</xdr:rowOff>
    </xdr:to>
    <xdr:cxnSp macro="">
      <xdr:nvCxnSpPr>
        <xdr:cNvPr id="599" name="Connecteur droit avec flèche 598"/>
        <xdr:cNvCxnSpPr/>
      </xdr:nvCxnSpPr>
      <xdr:spPr>
        <a:xfrm>
          <a:off x="12082842" y="3318782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523725</xdr:colOff>
      <xdr:row>313</xdr:row>
      <xdr:rowOff>30239</xdr:rowOff>
    </xdr:from>
    <xdr:to>
      <xdr:col>13</xdr:col>
      <xdr:colOff>693058</xdr:colOff>
      <xdr:row>313</xdr:row>
      <xdr:rowOff>51407</xdr:rowOff>
    </xdr:to>
    <xdr:cxnSp macro="">
      <xdr:nvCxnSpPr>
        <xdr:cNvPr id="600" name="Connecteur droit avec flèche 599"/>
        <xdr:cNvCxnSpPr/>
      </xdr:nvCxnSpPr>
      <xdr:spPr>
        <a:xfrm>
          <a:off x="11934675" y="3489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393</xdr:row>
      <xdr:rowOff>30239</xdr:rowOff>
    </xdr:from>
    <xdr:to>
      <xdr:col>14</xdr:col>
      <xdr:colOff>143330</xdr:colOff>
      <xdr:row>393</xdr:row>
      <xdr:rowOff>51407</xdr:rowOff>
    </xdr:to>
    <xdr:cxnSp macro="">
      <xdr:nvCxnSpPr>
        <xdr:cNvPr id="601" name="Connecteur droit avec flèche 600"/>
        <xdr:cNvCxnSpPr/>
      </xdr:nvCxnSpPr>
      <xdr:spPr>
        <a:xfrm>
          <a:off x="12146947" y="4251173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594" name="Connecteur droit avec flèche 593"/>
        <xdr:cNvCxnSpPr/>
      </xdr:nvCxnSpPr>
      <xdr:spPr>
        <a:xfrm>
          <a:off x="6375156" y="5631619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501</xdr:row>
      <xdr:rowOff>83820</xdr:rowOff>
    </xdr:from>
    <xdr:to>
      <xdr:col>5</xdr:col>
      <xdr:colOff>739140</xdr:colOff>
      <xdr:row>501</xdr:row>
      <xdr:rowOff>85408</xdr:rowOff>
    </xdr:to>
    <xdr:cxnSp macro="">
      <xdr:nvCxnSpPr>
        <xdr:cNvPr id="610" name="Connecteur droit avec flèche 609"/>
        <xdr:cNvCxnSpPr/>
      </xdr:nvCxnSpPr>
      <xdr:spPr>
        <a:xfrm>
          <a:off x="3992880" y="56786145"/>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611" name="Connecteur droit avec flèche 610"/>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501</xdr:row>
      <xdr:rowOff>123093</xdr:rowOff>
    </xdr:from>
    <xdr:to>
      <xdr:col>10</xdr:col>
      <xdr:colOff>0</xdr:colOff>
      <xdr:row>501</xdr:row>
      <xdr:rowOff>123508</xdr:rowOff>
    </xdr:to>
    <xdr:cxnSp macro="">
      <xdr:nvCxnSpPr>
        <xdr:cNvPr id="612" name="Connecteur droit avec flèche 611"/>
        <xdr:cNvCxnSpPr/>
      </xdr:nvCxnSpPr>
      <xdr:spPr>
        <a:xfrm>
          <a:off x="8266235" y="56825418"/>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501</xdr:row>
      <xdr:rowOff>99647</xdr:rowOff>
    </xdr:from>
    <xdr:to>
      <xdr:col>8</xdr:col>
      <xdr:colOff>7620</xdr:colOff>
      <xdr:row>501</xdr:row>
      <xdr:rowOff>108268</xdr:rowOff>
    </xdr:to>
    <xdr:cxnSp macro="">
      <xdr:nvCxnSpPr>
        <xdr:cNvPr id="613" name="Connecteur droit avec flèche 612"/>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501</xdr:row>
      <xdr:rowOff>95251</xdr:rowOff>
    </xdr:from>
    <xdr:to>
      <xdr:col>4</xdr:col>
      <xdr:colOff>0</xdr:colOff>
      <xdr:row>501</xdr:row>
      <xdr:rowOff>114300</xdr:rowOff>
    </xdr:to>
    <xdr:cxnSp macro="">
      <xdr:nvCxnSpPr>
        <xdr:cNvPr id="614" name="Connecteur droit avec flèche 613"/>
        <xdr:cNvCxnSpPr/>
      </xdr:nvCxnSpPr>
      <xdr:spPr>
        <a:xfrm>
          <a:off x="2171700" y="56797576"/>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501</xdr:row>
      <xdr:rowOff>104775</xdr:rowOff>
    </xdr:from>
    <xdr:to>
      <xdr:col>11</xdr:col>
      <xdr:colOff>715840</xdr:colOff>
      <xdr:row>501</xdr:row>
      <xdr:rowOff>105190</xdr:rowOff>
    </xdr:to>
    <xdr:cxnSp macro="">
      <xdr:nvCxnSpPr>
        <xdr:cNvPr id="615" name="Connecteur droit avec flèche 614"/>
        <xdr:cNvCxnSpPr/>
      </xdr:nvCxnSpPr>
      <xdr:spPr>
        <a:xfrm>
          <a:off x="10334625" y="56807100"/>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1034143</xdr:colOff>
      <xdr:row>499</xdr:row>
      <xdr:rowOff>68036</xdr:rowOff>
    </xdr:from>
    <xdr:to>
      <xdr:col>12</xdr:col>
      <xdr:colOff>127605</xdr:colOff>
      <xdr:row>501</xdr:row>
      <xdr:rowOff>95250</xdr:rowOff>
    </xdr:to>
    <xdr:cxnSp macro="">
      <xdr:nvCxnSpPr>
        <xdr:cNvPr id="616" name="Connecteur droit avec flèche 615"/>
        <xdr:cNvCxnSpPr/>
      </xdr:nvCxnSpPr>
      <xdr:spPr>
        <a:xfrm flipV="1">
          <a:off x="10378168" y="56389361"/>
          <a:ext cx="1160387" cy="40821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617764</xdr:colOff>
      <xdr:row>500</xdr:row>
      <xdr:rowOff>100693</xdr:rowOff>
    </xdr:from>
    <xdr:to>
      <xdr:col>14</xdr:col>
      <xdr:colOff>125290</xdr:colOff>
      <xdr:row>500</xdr:row>
      <xdr:rowOff>101108</xdr:rowOff>
    </xdr:to>
    <xdr:cxnSp macro="">
      <xdr:nvCxnSpPr>
        <xdr:cNvPr id="617" name="Connecteur droit avec flèche 616"/>
        <xdr:cNvCxnSpPr/>
      </xdr:nvCxnSpPr>
      <xdr:spPr>
        <a:xfrm>
          <a:off x="12028714" y="56612518"/>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693964</xdr:colOff>
      <xdr:row>500</xdr:row>
      <xdr:rowOff>81642</xdr:rowOff>
    </xdr:from>
    <xdr:to>
      <xdr:col>16</xdr:col>
      <xdr:colOff>201490</xdr:colOff>
      <xdr:row>500</xdr:row>
      <xdr:rowOff>82057</xdr:rowOff>
    </xdr:to>
    <xdr:cxnSp macro="">
      <xdr:nvCxnSpPr>
        <xdr:cNvPr id="618" name="Connecteur droit avec flèche 617"/>
        <xdr:cNvCxnSpPr/>
      </xdr:nvCxnSpPr>
      <xdr:spPr>
        <a:xfrm>
          <a:off x="13628914" y="5659346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734786</xdr:colOff>
      <xdr:row>499</xdr:row>
      <xdr:rowOff>95250</xdr:rowOff>
    </xdr:from>
    <xdr:to>
      <xdr:col>16</xdr:col>
      <xdr:colOff>242312</xdr:colOff>
      <xdr:row>499</xdr:row>
      <xdr:rowOff>95665</xdr:rowOff>
    </xdr:to>
    <xdr:cxnSp macro="">
      <xdr:nvCxnSpPr>
        <xdr:cNvPr id="619" name="Connecteur droit avec flèche 618"/>
        <xdr:cNvCxnSpPr/>
      </xdr:nvCxnSpPr>
      <xdr:spPr>
        <a:xfrm>
          <a:off x="13669736" y="56416575"/>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499</xdr:row>
      <xdr:rowOff>108857</xdr:rowOff>
    </xdr:from>
    <xdr:to>
      <xdr:col>14</xdr:col>
      <xdr:colOff>10990</xdr:colOff>
      <xdr:row>499</xdr:row>
      <xdr:rowOff>109272</xdr:rowOff>
    </xdr:to>
    <xdr:cxnSp macro="">
      <xdr:nvCxnSpPr>
        <xdr:cNvPr id="620" name="Connecteur droit avec flèche 619"/>
        <xdr:cNvCxnSpPr/>
      </xdr:nvCxnSpPr>
      <xdr:spPr>
        <a:xfrm>
          <a:off x="11914414" y="56430182"/>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501</xdr:row>
      <xdr:rowOff>81642</xdr:rowOff>
    </xdr:from>
    <xdr:to>
      <xdr:col>13</xdr:col>
      <xdr:colOff>757163</xdr:colOff>
      <xdr:row>501</xdr:row>
      <xdr:rowOff>92227</xdr:rowOff>
    </xdr:to>
    <xdr:cxnSp macro="">
      <xdr:nvCxnSpPr>
        <xdr:cNvPr id="621" name="Connecteur droit avec flèche 620"/>
        <xdr:cNvCxnSpPr/>
      </xdr:nvCxnSpPr>
      <xdr:spPr>
        <a:xfrm>
          <a:off x="12104613" y="5678396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501</xdr:row>
      <xdr:rowOff>119441</xdr:rowOff>
    </xdr:from>
    <xdr:to>
      <xdr:col>15</xdr:col>
      <xdr:colOff>754139</xdr:colOff>
      <xdr:row>501</xdr:row>
      <xdr:rowOff>121558</xdr:rowOff>
    </xdr:to>
    <xdr:cxnSp macro="">
      <xdr:nvCxnSpPr>
        <xdr:cNvPr id="622" name="Connecteur droit avec flèche 621"/>
        <xdr:cNvCxnSpPr/>
      </xdr:nvCxnSpPr>
      <xdr:spPr>
        <a:xfrm>
          <a:off x="13583255" y="5682176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1133475</xdr:colOff>
      <xdr:row>500</xdr:row>
      <xdr:rowOff>114300</xdr:rowOff>
    </xdr:from>
    <xdr:to>
      <xdr:col>12</xdr:col>
      <xdr:colOff>76200</xdr:colOff>
      <xdr:row>501</xdr:row>
      <xdr:rowOff>95250</xdr:rowOff>
    </xdr:to>
    <xdr:cxnSp macro="">
      <xdr:nvCxnSpPr>
        <xdr:cNvPr id="623" name="Connecteur droit avec flèche 622"/>
        <xdr:cNvCxnSpPr/>
      </xdr:nvCxnSpPr>
      <xdr:spPr>
        <a:xfrm flipV="1">
          <a:off x="10477500" y="56626125"/>
          <a:ext cx="1009650" cy="1714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683986</xdr:colOff>
      <xdr:row>133</xdr:row>
      <xdr:rowOff>33264</xdr:rowOff>
    </xdr:from>
    <xdr:to>
      <xdr:col>14</xdr:col>
      <xdr:colOff>104019</xdr:colOff>
      <xdr:row>135</xdr:row>
      <xdr:rowOff>75596</xdr:rowOff>
    </xdr:to>
    <xdr:cxnSp macro="">
      <xdr:nvCxnSpPr>
        <xdr:cNvPr id="608" name="Connecteur droit avec flèche 607"/>
        <xdr:cNvCxnSpPr/>
      </xdr:nvCxnSpPr>
      <xdr:spPr>
        <a:xfrm flipV="1">
          <a:off x="12094936" y="193309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135</xdr:row>
      <xdr:rowOff>73481</xdr:rowOff>
    </xdr:from>
    <xdr:to>
      <xdr:col>14</xdr:col>
      <xdr:colOff>17236</xdr:colOff>
      <xdr:row>135</xdr:row>
      <xdr:rowOff>86180</xdr:rowOff>
    </xdr:to>
    <xdr:cxnSp macro="">
      <xdr:nvCxnSpPr>
        <xdr:cNvPr id="609" name="Connecteur droit avec flèche 608"/>
        <xdr:cNvCxnSpPr/>
      </xdr:nvCxnSpPr>
      <xdr:spPr>
        <a:xfrm>
          <a:off x="12052602" y="197521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137</xdr:row>
      <xdr:rowOff>75596</xdr:rowOff>
    </xdr:from>
    <xdr:to>
      <xdr:col>14</xdr:col>
      <xdr:colOff>17237</xdr:colOff>
      <xdr:row>139</xdr:row>
      <xdr:rowOff>75594</xdr:rowOff>
    </xdr:to>
    <xdr:cxnSp macro="">
      <xdr:nvCxnSpPr>
        <xdr:cNvPr id="624" name="Connecteur droit avec flèche 623"/>
        <xdr:cNvCxnSpPr/>
      </xdr:nvCxnSpPr>
      <xdr:spPr>
        <a:xfrm flipV="1">
          <a:off x="11936187" y="201352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142</xdr:row>
      <xdr:rowOff>65012</xdr:rowOff>
    </xdr:from>
    <xdr:to>
      <xdr:col>14</xdr:col>
      <xdr:colOff>6654</xdr:colOff>
      <xdr:row>142</xdr:row>
      <xdr:rowOff>75597</xdr:rowOff>
    </xdr:to>
    <xdr:cxnSp macro="">
      <xdr:nvCxnSpPr>
        <xdr:cNvPr id="625" name="Connecteur droit avec flèche 624"/>
        <xdr:cNvCxnSpPr/>
      </xdr:nvCxnSpPr>
      <xdr:spPr>
        <a:xfrm>
          <a:off x="12063187" y="210771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140</xdr:row>
      <xdr:rowOff>54429</xdr:rowOff>
    </xdr:from>
    <xdr:to>
      <xdr:col>14</xdr:col>
      <xdr:colOff>27821</xdr:colOff>
      <xdr:row>140</xdr:row>
      <xdr:rowOff>65014</xdr:rowOff>
    </xdr:to>
    <xdr:cxnSp macro="">
      <xdr:nvCxnSpPr>
        <xdr:cNvPr id="626" name="Connecteur droit avec flèche 625"/>
        <xdr:cNvCxnSpPr/>
      </xdr:nvCxnSpPr>
      <xdr:spPr>
        <a:xfrm>
          <a:off x="12137271" y="206855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139</xdr:row>
      <xdr:rowOff>43846</xdr:rowOff>
    </xdr:from>
    <xdr:to>
      <xdr:col>13</xdr:col>
      <xdr:colOff>747487</xdr:colOff>
      <xdr:row>139</xdr:row>
      <xdr:rowOff>65014</xdr:rowOff>
    </xdr:to>
    <xdr:cxnSp macro="">
      <xdr:nvCxnSpPr>
        <xdr:cNvPr id="627" name="Connecteur droit avec flèche 626"/>
        <xdr:cNvCxnSpPr/>
      </xdr:nvCxnSpPr>
      <xdr:spPr>
        <a:xfrm>
          <a:off x="11989104" y="204844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141</xdr:row>
      <xdr:rowOff>107345</xdr:rowOff>
    </xdr:from>
    <xdr:to>
      <xdr:col>14</xdr:col>
      <xdr:colOff>38404</xdr:colOff>
      <xdr:row>142</xdr:row>
      <xdr:rowOff>65012</xdr:rowOff>
    </xdr:to>
    <xdr:cxnSp macro="">
      <xdr:nvCxnSpPr>
        <xdr:cNvPr id="628" name="Connecteur droit avec flèche 627"/>
        <xdr:cNvCxnSpPr/>
      </xdr:nvCxnSpPr>
      <xdr:spPr>
        <a:xfrm flipV="1">
          <a:off x="12063187" y="209289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133</xdr:row>
      <xdr:rowOff>33262</xdr:rowOff>
    </xdr:from>
    <xdr:to>
      <xdr:col>16</xdr:col>
      <xdr:colOff>123071</xdr:colOff>
      <xdr:row>133</xdr:row>
      <xdr:rowOff>45962</xdr:rowOff>
    </xdr:to>
    <xdr:cxnSp macro="">
      <xdr:nvCxnSpPr>
        <xdr:cNvPr id="629" name="Connecteur droit avec flèche 628"/>
        <xdr:cNvCxnSpPr/>
      </xdr:nvCxnSpPr>
      <xdr:spPr>
        <a:xfrm>
          <a:off x="13693020" y="193309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137</xdr:row>
      <xdr:rowOff>65012</xdr:rowOff>
    </xdr:from>
    <xdr:to>
      <xdr:col>16</xdr:col>
      <xdr:colOff>70154</xdr:colOff>
      <xdr:row>137</xdr:row>
      <xdr:rowOff>67129</xdr:rowOff>
    </xdr:to>
    <xdr:cxnSp macro="">
      <xdr:nvCxnSpPr>
        <xdr:cNvPr id="630" name="Connecteur droit avec flèche 629"/>
        <xdr:cNvCxnSpPr/>
      </xdr:nvCxnSpPr>
      <xdr:spPr>
        <a:xfrm>
          <a:off x="13661270" y="20124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135</xdr:row>
      <xdr:rowOff>65012</xdr:rowOff>
    </xdr:from>
    <xdr:to>
      <xdr:col>16</xdr:col>
      <xdr:colOff>144238</xdr:colOff>
      <xdr:row>135</xdr:row>
      <xdr:rowOff>67129</xdr:rowOff>
    </xdr:to>
    <xdr:cxnSp macro="">
      <xdr:nvCxnSpPr>
        <xdr:cNvPr id="631" name="Connecteur droit avec flèche 630"/>
        <xdr:cNvCxnSpPr/>
      </xdr:nvCxnSpPr>
      <xdr:spPr>
        <a:xfrm>
          <a:off x="13735354" y="19743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139</xdr:row>
      <xdr:rowOff>54429</xdr:rowOff>
    </xdr:from>
    <xdr:to>
      <xdr:col>16</xdr:col>
      <xdr:colOff>133654</xdr:colOff>
      <xdr:row>139</xdr:row>
      <xdr:rowOff>56546</xdr:rowOff>
    </xdr:to>
    <xdr:cxnSp macro="">
      <xdr:nvCxnSpPr>
        <xdr:cNvPr id="632" name="Connecteur droit avec flèche 631"/>
        <xdr:cNvCxnSpPr/>
      </xdr:nvCxnSpPr>
      <xdr:spPr>
        <a:xfrm>
          <a:off x="13724770" y="204950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141</xdr:row>
      <xdr:rowOff>54429</xdr:rowOff>
    </xdr:from>
    <xdr:to>
      <xdr:col>16</xdr:col>
      <xdr:colOff>80737</xdr:colOff>
      <xdr:row>141</xdr:row>
      <xdr:rowOff>56546</xdr:rowOff>
    </xdr:to>
    <xdr:cxnSp macro="">
      <xdr:nvCxnSpPr>
        <xdr:cNvPr id="633" name="Connecteur droit avec flèche 632"/>
        <xdr:cNvCxnSpPr/>
      </xdr:nvCxnSpPr>
      <xdr:spPr>
        <a:xfrm>
          <a:off x="13671853" y="208760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142</xdr:row>
      <xdr:rowOff>65012</xdr:rowOff>
    </xdr:from>
    <xdr:to>
      <xdr:col>16</xdr:col>
      <xdr:colOff>70155</xdr:colOff>
      <xdr:row>142</xdr:row>
      <xdr:rowOff>67129</xdr:rowOff>
    </xdr:to>
    <xdr:cxnSp macro="">
      <xdr:nvCxnSpPr>
        <xdr:cNvPr id="634" name="Connecteur droit avec flèche 633"/>
        <xdr:cNvCxnSpPr/>
      </xdr:nvCxnSpPr>
      <xdr:spPr>
        <a:xfrm>
          <a:off x="13661271" y="21077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140</xdr:row>
      <xdr:rowOff>65013</xdr:rowOff>
    </xdr:from>
    <xdr:to>
      <xdr:col>16</xdr:col>
      <xdr:colOff>38404</xdr:colOff>
      <xdr:row>140</xdr:row>
      <xdr:rowOff>67130</xdr:rowOff>
    </xdr:to>
    <xdr:cxnSp macro="">
      <xdr:nvCxnSpPr>
        <xdr:cNvPr id="635" name="Connecteur droit avec flèche 634"/>
        <xdr:cNvCxnSpPr/>
      </xdr:nvCxnSpPr>
      <xdr:spPr>
        <a:xfrm>
          <a:off x="13629520" y="206961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132</xdr:row>
      <xdr:rowOff>54429</xdr:rowOff>
    </xdr:from>
    <xdr:to>
      <xdr:col>16</xdr:col>
      <xdr:colOff>101904</xdr:colOff>
      <xdr:row>133</xdr:row>
      <xdr:rowOff>22680</xdr:rowOff>
    </xdr:to>
    <xdr:cxnSp macro="">
      <xdr:nvCxnSpPr>
        <xdr:cNvPr id="636" name="Connecteur droit avec flèche 635"/>
        <xdr:cNvCxnSpPr/>
      </xdr:nvCxnSpPr>
      <xdr:spPr>
        <a:xfrm flipV="1">
          <a:off x="13682436" y="191615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134</xdr:row>
      <xdr:rowOff>75596</xdr:rowOff>
    </xdr:from>
    <xdr:to>
      <xdr:col>16</xdr:col>
      <xdr:colOff>144237</xdr:colOff>
      <xdr:row>135</xdr:row>
      <xdr:rowOff>43847</xdr:rowOff>
    </xdr:to>
    <xdr:cxnSp macro="">
      <xdr:nvCxnSpPr>
        <xdr:cNvPr id="637" name="Connecteur droit avec flèche 636"/>
        <xdr:cNvCxnSpPr/>
      </xdr:nvCxnSpPr>
      <xdr:spPr>
        <a:xfrm flipV="1">
          <a:off x="13735354" y="195637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136</xdr:row>
      <xdr:rowOff>75596</xdr:rowOff>
    </xdr:from>
    <xdr:to>
      <xdr:col>16</xdr:col>
      <xdr:colOff>91320</xdr:colOff>
      <xdr:row>137</xdr:row>
      <xdr:rowOff>43847</xdr:rowOff>
    </xdr:to>
    <xdr:cxnSp macro="">
      <xdr:nvCxnSpPr>
        <xdr:cNvPr id="638" name="Connecteur droit avec flèche 637"/>
        <xdr:cNvCxnSpPr/>
      </xdr:nvCxnSpPr>
      <xdr:spPr>
        <a:xfrm flipV="1">
          <a:off x="13650687" y="199447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138</xdr:row>
      <xdr:rowOff>75596</xdr:rowOff>
    </xdr:from>
    <xdr:to>
      <xdr:col>16</xdr:col>
      <xdr:colOff>165404</xdr:colOff>
      <xdr:row>139</xdr:row>
      <xdr:rowOff>33264</xdr:rowOff>
    </xdr:to>
    <xdr:cxnSp macro="">
      <xdr:nvCxnSpPr>
        <xdr:cNvPr id="639" name="Connecteur droit avec flèche 638"/>
        <xdr:cNvCxnSpPr/>
      </xdr:nvCxnSpPr>
      <xdr:spPr>
        <a:xfrm flipV="1">
          <a:off x="13703603" y="203257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132</xdr:row>
      <xdr:rowOff>47625</xdr:rowOff>
    </xdr:from>
    <xdr:to>
      <xdr:col>10</xdr:col>
      <xdr:colOff>1031875</xdr:colOff>
      <xdr:row>142</xdr:row>
      <xdr:rowOff>142875</xdr:rowOff>
    </xdr:to>
    <xdr:sp macro="" textlink="">
      <xdr:nvSpPr>
        <xdr:cNvPr id="640" name="Accolade fermante 639"/>
        <xdr:cNvSpPr/>
      </xdr:nvSpPr>
      <xdr:spPr>
        <a:xfrm>
          <a:off x="10233025" y="191547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265</xdr:row>
      <xdr:rowOff>33264</xdr:rowOff>
    </xdr:from>
    <xdr:to>
      <xdr:col>14</xdr:col>
      <xdr:colOff>104019</xdr:colOff>
      <xdr:row>267</xdr:row>
      <xdr:rowOff>75596</xdr:rowOff>
    </xdr:to>
    <xdr:cxnSp macro="">
      <xdr:nvCxnSpPr>
        <xdr:cNvPr id="641" name="Connecteur droit avec flèche 640"/>
        <xdr:cNvCxnSpPr/>
      </xdr:nvCxnSpPr>
      <xdr:spPr>
        <a:xfrm flipV="1">
          <a:off x="12098111" y="1951188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267</xdr:row>
      <xdr:rowOff>73481</xdr:rowOff>
    </xdr:from>
    <xdr:to>
      <xdr:col>14</xdr:col>
      <xdr:colOff>17236</xdr:colOff>
      <xdr:row>267</xdr:row>
      <xdr:rowOff>86180</xdr:rowOff>
    </xdr:to>
    <xdr:cxnSp macro="">
      <xdr:nvCxnSpPr>
        <xdr:cNvPr id="642" name="Connecteur droit avec flèche 641"/>
        <xdr:cNvCxnSpPr/>
      </xdr:nvCxnSpPr>
      <xdr:spPr>
        <a:xfrm>
          <a:off x="12055777" y="1993310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269</xdr:row>
      <xdr:rowOff>75596</xdr:rowOff>
    </xdr:from>
    <xdr:to>
      <xdr:col>14</xdr:col>
      <xdr:colOff>17237</xdr:colOff>
      <xdr:row>271</xdr:row>
      <xdr:rowOff>75594</xdr:rowOff>
    </xdr:to>
    <xdr:cxnSp macro="">
      <xdr:nvCxnSpPr>
        <xdr:cNvPr id="643" name="Connecteur droit avec flèche 642"/>
        <xdr:cNvCxnSpPr/>
      </xdr:nvCxnSpPr>
      <xdr:spPr>
        <a:xfrm flipV="1">
          <a:off x="11939362" y="2031622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274</xdr:row>
      <xdr:rowOff>65012</xdr:rowOff>
    </xdr:from>
    <xdr:to>
      <xdr:col>14</xdr:col>
      <xdr:colOff>6654</xdr:colOff>
      <xdr:row>274</xdr:row>
      <xdr:rowOff>75597</xdr:rowOff>
    </xdr:to>
    <xdr:cxnSp macro="">
      <xdr:nvCxnSpPr>
        <xdr:cNvPr id="644" name="Connecteur droit avec flèche 643"/>
        <xdr:cNvCxnSpPr/>
      </xdr:nvCxnSpPr>
      <xdr:spPr>
        <a:xfrm>
          <a:off x="12066362" y="21258137"/>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272</xdr:row>
      <xdr:rowOff>54429</xdr:rowOff>
    </xdr:from>
    <xdr:to>
      <xdr:col>14</xdr:col>
      <xdr:colOff>27821</xdr:colOff>
      <xdr:row>272</xdr:row>
      <xdr:rowOff>65014</xdr:rowOff>
    </xdr:to>
    <xdr:cxnSp macro="">
      <xdr:nvCxnSpPr>
        <xdr:cNvPr id="645" name="Connecteur droit avec flèche 644"/>
        <xdr:cNvCxnSpPr/>
      </xdr:nvCxnSpPr>
      <xdr:spPr>
        <a:xfrm>
          <a:off x="12140446" y="20866554"/>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271</xdr:row>
      <xdr:rowOff>43846</xdr:rowOff>
    </xdr:from>
    <xdr:to>
      <xdr:col>13</xdr:col>
      <xdr:colOff>747487</xdr:colOff>
      <xdr:row>271</xdr:row>
      <xdr:rowOff>65014</xdr:rowOff>
    </xdr:to>
    <xdr:cxnSp macro="">
      <xdr:nvCxnSpPr>
        <xdr:cNvPr id="646" name="Connecteur droit avec flèche 645"/>
        <xdr:cNvCxnSpPr/>
      </xdr:nvCxnSpPr>
      <xdr:spPr>
        <a:xfrm>
          <a:off x="11992279" y="2066547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273</xdr:row>
      <xdr:rowOff>107345</xdr:rowOff>
    </xdr:from>
    <xdr:to>
      <xdr:col>14</xdr:col>
      <xdr:colOff>38404</xdr:colOff>
      <xdr:row>274</xdr:row>
      <xdr:rowOff>65012</xdr:rowOff>
    </xdr:to>
    <xdr:cxnSp macro="">
      <xdr:nvCxnSpPr>
        <xdr:cNvPr id="647" name="Connecteur droit avec flèche 646"/>
        <xdr:cNvCxnSpPr/>
      </xdr:nvCxnSpPr>
      <xdr:spPr>
        <a:xfrm flipV="1">
          <a:off x="12066362" y="21109970"/>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265</xdr:row>
      <xdr:rowOff>33262</xdr:rowOff>
    </xdr:from>
    <xdr:to>
      <xdr:col>16</xdr:col>
      <xdr:colOff>123071</xdr:colOff>
      <xdr:row>265</xdr:row>
      <xdr:rowOff>45962</xdr:rowOff>
    </xdr:to>
    <xdr:cxnSp macro="">
      <xdr:nvCxnSpPr>
        <xdr:cNvPr id="648" name="Connecteur droit avec flèche 647"/>
        <xdr:cNvCxnSpPr/>
      </xdr:nvCxnSpPr>
      <xdr:spPr>
        <a:xfrm>
          <a:off x="13696195" y="1951188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269</xdr:row>
      <xdr:rowOff>65012</xdr:rowOff>
    </xdr:from>
    <xdr:to>
      <xdr:col>16</xdr:col>
      <xdr:colOff>70154</xdr:colOff>
      <xdr:row>269</xdr:row>
      <xdr:rowOff>67129</xdr:rowOff>
    </xdr:to>
    <xdr:cxnSp macro="">
      <xdr:nvCxnSpPr>
        <xdr:cNvPr id="649" name="Connecteur droit avec flèche 648"/>
        <xdr:cNvCxnSpPr/>
      </xdr:nvCxnSpPr>
      <xdr:spPr>
        <a:xfrm>
          <a:off x="13664445" y="203056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267</xdr:row>
      <xdr:rowOff>65012</xdr:rowOff>
    </xdr:from>
    <xdr:to>
      <xdr:col>16</xdr:col>
      <xdr:colOff>144238</xdr:colOff>
      <xdr:row>267</xdr:row>
      <xdr:rowOff>67129</xdr:rowOff>
    </xdr:to>
    <xdr:cxnSp macro="">
      <xdr:nvCxnSpPr>
        <xdr:cNvPr id="650" name="Connecteur droit avec flèche 649"/>
        <xdr:cNvCxnSpPr/>
      </xdr:nvCxnSpPr>
      <xdr:spPr>
        <a:xfrm>
          <a:off x="13738529" y="199246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271</xdr:row>
      <xdr:rowOff>54429</xdr:rowOff>
    </xdr:from>
    <xdr:to>
      <xdr:col>16</xdr:col>
      <xdr:colOff>133654</xdr:colOff>
      <xdr:row>271</xdr:row>
      <xdr:rowOff>56546</xdr:rowOff>
    </xdr:to>
    <xdr:cxnSp macro="">
      <xdr:nvCxnSpPr>
        <xdr:cNvPr id="651" name="Connecteur droit avec flèche 650"/>
        <xdr:cNvCxnSpPr/>
      </xdr:nvCxnSpPr>
      <xdr:spPr>
        <a:xfrm>
          <a:off x="13727945" y="2067605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273</xdr:row>
      <xdr:rowOff>54429</xdr:rowOff>
    </xdr:from>
    <xdr:to>
      <xdr:col>16</xdr:col>
      <xdr:colOff>80737</xdr:colOff>
      <xdr:row>273</xdr:row>
      <xdr:rowOff>56546</xdr:rowOff>
    </xdr:to>
    <xdr:cxnSp macro="">
      <xdr:nvCxnSpPr>
        <xdr:cNvPr id="652" name="Connecteur droit avec flèche 651"/>
        <xdr:cNvCxnSpPr/>
      </xdr:nvCxnSpPr>
      <xdr:spPr>
        <a:xfrm>
          <a:off x="13675028" y="2105705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274</xdr:row>
      <xdr:rowOff>65012</xdr:rowOff>
    </xdr:from>
    <xdr:to>
      <xdr:col>16</xdr:col>
      <xdr:colOff>70155</xdr:colOff>
      <xdr:row>274</xdr:row>
      <xdr:rowOff>67129</xdr:rowOff>
    </xdr:to>
    <xdr:cxnSp macro="">
      <xdr:nvCxnSpPr>
        <xdr:cNvPr id="653" name="Connecteur droit avec flèche 652"/>
        <xdr:cNvCxnSpPr/>
      </xdr:nvCxnSpPr>
      <xdr:spPr>
        <a:xfrm>
          <a:off x="13664446" y="212581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272</xdr:row>
      <xdr:rowOff>65013</xdr:rowOff>
    </xdr:from>
    <xdr:to>
      <xdr:col>16</xdr:col>
      <xdr:colOff>38404</xdr:colOff>
      <xdr:row>272</xdr:row>
      <xdr:rowOff>67130</xdr:rowOff>
    </xdr:to>
    <xdr:cxnSp macro="">
      <xdr:nvCxnSpPr>
        <xdr:cNvPr id="654" name="Connecteur droit avec flèche 653"/>
        <xdr:cNvCxnSpPr/>
      </xdr:nvCxnSpPr>
      <xdr:spPr>
        <a:xfrm>
          <a:off x="13632695" y="2087713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264</xdr:row>
      <xdr:rowOff>54429</xdr:rowOff>
    </xdr:from>
    <xdr:to>
      <xdr:col>16</xdr:col>
      <xdr:colOff>101904</xdr:colOff>
      <xdr:row>265</xdr:row>
      <xdr:rowOff>22680</xdr:rowOff>
    </xdr:to>
    <xdr:cxnSp macro="">
      <xdr:nvCxnSpPr>
        <xdr:cNvPr id="655" name="Connecteur droit avec flèche 654"/>
        <xdr:cNvCxnSpPr/>
      </xdr:nvCxnSpPr>
      <xdr:spPr>
        <a:xfrm flipV="1">
          <a:off x="13685611" y="1934255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266</xdr:row>
      <xdr:rowOff>75596</xdr:rowOff>
    </xdr:from>
    <xdr:to>
      <xdr:col>16</xdr:col>
      <xdr:colOff>144237</xdr:colOff>
      <xdr:row>267</xdr:row>
      <xdr:rowOff>43847</xdr:rowOff>
    </xdr:to>
    <xdr:cxnSp macro="">
      <xdr:nvCxnSpPr>
        <xdr:cNvPr id="656" name="Connecteur droit avec flèche 655"/>
        <xdr:cNvCxnSpPr/>
      </xdr:nvCxnSpPr>
      <xdr:spPr>
        <a:xfrm flipV="1">
          <a:off x="13738529" y="1974472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268</xdr:row>
      <xdr:rowOff>75596</xdr:rowOff>
    </xdr:from>
    <xdr:to>
      <xdr:col>16</xdr:col>
      <xdr:colOff>91320</xdr:colOff>
      <xdr:row>269</xdr:row>
      <xdr:rowOff>43847</xdr:rowOff>
    </xdr:to>
    <xdr:cxnSp macro="">
      <xdr:nvCxnSpPr>
        <xdr:cNvPr id="657" name="Connecteur droit avec flèche 656"/>
        <xdr:cNvCxnSpPr/>
      </xdr:nvCxnSpPr>
      <xdr:spPr>
        <a:xfrm flipV="1">
          <a:off x="13653862" y="2012572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270</xdr:row>
      <xdr:rowOff>75596</xdr:rowOff>
    </xdr:from>
    <xdr:to>
      <xdr:col>16</xdr:col>
      <xdr:colOff>165404</xdr:colOff>
      <xdr:row>271</xdr:row>
      <xdr:rowOff>33264</xdr:rowOff>
    </xdr:to>
    <xdr:cxnSp macro="">
      <xdr:nvCxnSpPr>
        <xdr:cNvPr id="658" name="Connecteur droit avec flèche 657"/>
        <xdr:cNvCxnSpPr/>
      </xdr:nvCxnSpPr>
      <xdr:spPr>
        <a:xfrm flipV="1">
          <a:off x="13706778" y="2050672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264</xdr:row>
      <xdr:rowOff>47625</xdr:rowOff>
    </xdr:from>
    <xdr:to>
      <xdr:col>10</xdr:col>
      <xdr:colOff>1031875</xdr:colOff>
      <xdr:row>274</xdr:row>
      <xdr:rowOff>142875</xdr:rowOff>
    </xdr:to>
    <xdr:sp macro="" textlink="">
      <xdr:nvSpPr>
        <xdr:cNvPr id="659" name="Accolade fermante 658"/>
        <xdr:cNvSpPr/>
      </xdr:nvSpPr>
      <xdr:spPr>
        <a:xfrm>
          <a:off x="10239375" y="19335750"/>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384</xdr:row>
      <xdr:rowOff>103911</xdr:rowOff>
    </xdr:from>
    <xdr:to>
      <xdr:col>11</xdr:col>
      <xdr:colOff>714375</xdr:colOff>
      <xdr:row>384</xdr:row>
      <xdr:rowOff>114300</xdr:rowOff>
    </xdr:to>
    <xdr:cxnSp macro="">
      <xdr:nvCxnSpPr>
        <xdr:cNvPr id="661" name="Connecteur droit avec flèche 660"/>
        <xdr:cNvCxnSpPr/>
      </xdr:nvCxnSpPr>
      <xdr:spPr>
        <a:xfrm>
          <a:off x="10435070" y="50453061"/>
          <a:ext cx="928255"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384</xdr:row>
      <xdr:rowOff>114300</xdr:rowOff>
    </xdr:from>
    <xdr:to>
      <xdr:col>12</xdr:col>
      <xdr:colOff>348344</xdr:colOff>
      <xdr:row>384</xdr:row>
      <xdr:rowOff>122464</xdr:rowOff>
    </xdr:to>
    <xdr:cxnSp macro="">
      <xdr:nvCxnSpPr>
        <xdr:cNvPr id="662" name="Connecteur droit avec flèche 661"/>
        <xdr:cNvCxnSpPr/>
      </xdr:nvCxnSpPr>
      <xdr:spPr>
        <a:xfrm>
          <a:off x="10527847" y="50463450"/>
          <a:ext cx="1231447"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379</xdr:row>
      <xdr:rowOff>72573</xdr:rowOff>
    </xdr:from>
    <xdr:to>
      <xdr:col>12</xdr:col>
      <xdr:colOff>429079</xdr:colOff>
      <xdr:row>384</xdr:row>
      <xdr:rowOff>108857</xdr:rowOff>
    </xdr:to>
    <xdr:cxnSp macro="">
      <xdr:nvCxnSpPr>
        <xdr:cNvPr id="663" name="Connecteur droit avec flèche 662"/>
        <xdr:cNvCxnSpPr/>
      </xdr:nvCxnSpPr>
      <xdr:spPr>
        <a:xfrm flipV="1">
          <a:off x="10576833" y="49469223"/>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383</xdr:row>
      <xdr:rowOff>27215</xdr:rowOff>
    </xdr:from>
    <xdr:to>
      <xdr:col>12</xdr:col>
      <xdr:colOff>286960</xdr:colOff>
      <xdr:row>384</xdr:row>
      <xdr:rowOff>108857</xdr:rowOff>
    </xdr:to>
    <xdr:cxnSp macro="">
      <xdr:nvCxnSpPr>
        <xdr:cNvPr id="664" name="Connecteur droit avec flèche 663"/>
        <xdr:cNvCxnSpPr/>
      </xdr:nvCxnSpPr>
      <xdr:spPr>
        <a:xfrm flipV="1">
          <a:off x="10563226" y="50185865"/>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377</xdr:row>
      <xdr:rowOff>19657</xdr:rowOff>
    </xdr:from>
    <xdr:to>
      <xdr:col>14</xdr:col>
      <xdr:colOff>261862</xdr:colOff>
      <xdr:row>379</xdr:row>
      <xdr:rowOff>61989</xdr:rowOff>
    </xdr:to>
    <xdr:cxnSp macro="">
      <xdr:nvCxnSpPr>
        <xdr:cNvPr id="665" name="Connecteur droit avec flèche 664"/>
        <xdr:cNvCxnSpPr/>
      </xdr:nvCxnSpPr>
      <xdr:spPr>
        <a:xfrm flipV="1">
          <a:off x="12252779" y="490353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379</xdr:row>
      <xdr:rowOff>59874</xdr:rowOff>
    </xdr:from>
    <xdr:to>
      <xdr:col>14</xdr:col>
      <xdr:colOff>175079</xdr:colOff>
      <xdr:row>379</xdr:row>
      <xdr:rowOff>72573</xdr:rowOff>
    </xdr:to>
    <xdr:cxnSp macro="">
      <xdr:nvCxnSpPr>
        <xdr:cNvPr id="666" name="Connecteur droit avec flèche 665"/>
        <xdr:cNvCxnSpPr/>
      </xdr:nvCxnSpPr>
      <xdr:spPr>
        <a:xfrm>
          <a:off x="12210445" y="494565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381</xdr:row>
      <xdr:rowOff>61989</xdr:rowOff>
    </xdr:from>
    <xdr:to>
      <xdr:col>14</xdr:col>
      <xdr:colOff>175080</xdr:colOff>
      <xdr:row>383</xdr:row>
      <xdr:rowOff>61987</xdr:rowOff>
    </xdr:to>
    <xdr:cxnSp macro="">
      <xdr:nvCxnSpPr>
        <xdr:cNvPr id="667" name="Connecteur droit avec flèche 666"/>
        <xdr:cNvCxnSpPr/>
      </xdr:nvCxnSpPr>
      <xdr:spPr>
        <a:xfrm flipV="1">
          <a:off x="12094030" y="498396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384</xdr:row>
      <xdr:rowOff>93738</xdr:rowOff>
    </xdr:from>
    <xdr:to>
      <xdr:col>14</xdr:col>
      <xdr:colOff>26914</xdr:colOff>
      <xdr:row>384</xdr:row>
      <xdr:rowOff>104323</xdr:rowOff>
    </xdr:to>
    <xdr:cxnSp macro="">
      <xdr:nvCxnSpPr>
        <xdr:cNvPr id="668" name="Connecteur droit avec flèche 667"/>
        <xdr:cNvCxnSpPr/>
      </xdr:nvCxnSpPr>
      <xdr:spPr>
        <a:xfrm>
          <a:off x="12136364" y="504428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383</xdr:row>
      <xdr:rowOff>30239</xdr:rowOff>
    </xdr:from>
    <xdr:to>
      <xdr:col>14</xdr:col>
      <xdr:colOff>143330</xdr:colOff>
      <xdr:row>383</xdr:row>
      <xdr:rowOff>51407</xdr:rowOff>
    </xdr:to>
    <xdr:cxnSp macro="">
      <xdr:nvCxnSpPr>
        <xdr:cNvPr id="669" name="Connecteur droit avec flèche 668"/>
        <xdr:cNvCxnSpPr/>
      </xdr:nvCxnSpPr>
      <xdr:spPr>
        <a:xfrm>
          <a:off x="12146947" y="501888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377</xdr:row>
      <xdr:rowOff>101298</xdr:rowOff>
    </xdr:from>
    <xdr:to>
      <xdr:col>16</xdr:col>
      <xdr:colOff>267307</xdr:colOff>
      <xdr:row>377</xdr:row>
      <xdr:rowOff>113998</xdr:rowOff>
    </xdr:to>
    <xdr:cxnSp macro="">
      <xdr:nvCxnSpPr>
        <xdr:cNvPr id="670" name="Connecteur droit avec flèche 669"/>
        <xdr:cNvCxnSpPr/>
      </xdr:nvCxnSpPr>
      <xdr:spPr>
        <a:xfrm>
          <a:off x="13837256" y="491169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381</xdr:row>
      <xdr:rowOff>133048</xdr:rowOff>
    </xdr:from>
    <xdr:to>
      <xdr:col>16</xdr:col>
      <xdr:colOff>214390</xdr:colOff>
      <xdr:row>381</xdr:row>
      <xdr:rowOff>135165</xdr:rowOff>
    </xdr:to>
    <xdr:cxnSp macro="">
      <xdr:nvCxnSpPr>
        <xdr:cNvPr id="671" name="Connecteur droit avec flèche 670"/>
        <xdr:cNvCxnSpPr/>
      </xdr:nvCxnSpPr>
      <xdr:spPr>
        <a:xfrm>
          <a:off x="13805506" y="499106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379</xdr:row>
      <xdr:rowOff>133048</xdr:rowOff>
    </xdr:from>
    <xdr:to>
      <xdr:col>16</xdr:col>
      <xdr:colOff>288474</xdr:colOff>
      <xdr:row>379</xdr:row>
      <xdr:rowOff>135165</xdr:rowOff>
    </xdr:to>
    <xdr:cxnSp macro="">
      <xdr:nvCxnSpPr>
        <xdr:cNvPr id="672" name="Connecteur droit avec flèche 671"/>
        <xdr:cNvCxnSpPr/>
      </xdr:nvCxnSpPr>
      <xdr:spPr>
        <a:xfrm>
          <a:off x="13879590" y="495296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383</xdr:row>
      <xdr:rowOff>122465</xdr:rowOff>
    </xdr:from>
    <xdr:to>
      <xdr:col>16</xdr:col>
      <xdr:colOff>277890</xdr:colOff>
      <xdr:row>383</xdr:row>
      <xdr:rowOff>124582</xdr:rowOff>
    </xdr:to>
    <xdr:cxnSp macro="">
      <xdr:nvCxnSpPr>
        <xdr:cNvPr id="673" name="Connecteur droit avec flèche 672"/>
        <xdr:cNvCxnSpPr/>
      </xdr:nvCxnSpPr>
      <xdr:spPr>
        <a:xfrm>
          <a:off x="13869006" y="502811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384</xdr:row>
      <xdr:rowOff>133049</xdr:rowOff>
    </xdr:from>
    <xdr:to>
      <xdr:col>16</xdr:col>
      <xdr:colOff>182640</xdr:colOff>
      <xdr:row>384</xdr:row>
      <xdr:rowOff>135166</xdr:rowOff>
    </xdr:to>
    <xdr:cxnSp macro="">
      <xdr:nvCxnSpPr>
        <xdr:cNvPr id="674" name="Connecteur droit avec flèche 673"/>
        <xdr:cNvCxnSpPr/>
      </xdr:nvCxnSpPr>
      <xdr:spPr>
        <a:xfrm>
          <a:off x="13773756" y="504821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376</xdr:row>
      <xdr:rowOff>122465</xdr:rowOff>
    </xdr:from>
    <xdr:to>
      <xdr:col>16</xdr:col>
      <xdr:colOff>246140</xdr:colOff>
      <xdr:row>377</xdr:row>
      <xdr:rowOff>90716</xdr:rowOff>
    </xdr:to>
    <xdr:cxnSp macro="">
      <xdr:nvCxnSpPr>
        <xdr:cNvPr id="675" name="Connecteur droit avec flèche 674"/>
        <xdr:cNvCxnSpPr/>
      </xdr:nvCxnSpPr>
      <xdr:spPr>
        <a:xfrm flipV="1">
          <a:off x="13826672" y="489476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378</xdr:row>
      <xdr:rowOff>143632</xdr:rowOff>
    </xdr:from>
    <xdr:to>
      <xdr:col>16</xdr:col>
      <xdr:colOff>288473</xdr:colOff>
      <xdr:row>379</xdr:row>
      <xdr:rowOff>111883</xdr:rowOff>
    </xdr:to>
    <xdr:cxnSp macro="">
      <xdr:nvCxnSpPr>
        <xdr:cNvPr id="676" name="Connecteur droit avec flèche 675"/>
        <xdr:cNvCxnSpPr/>
      </xdr:nvCxnSpPr>
      <xdr:spPr>
        <a:xfrm flipV="1">
          <a:off x="13879590" y="493497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380</xdr:row>
      <xdr:rowOff>143632</xdr:rowOff>
    </xdr:from>
    <xdr:to>
      <xdr:col>16</xdr:col>
      <xdr:colOff>235556</xdr:colOff>
      <xdr:row>381</xdr:row>
      <xdr:rowOff>111883</xdr:rowOff>
    </xdr:to>
    <xdr:cxnSp macro="">
      <xdr:nvCxnSpPr>
        <xdr:cNvPr id="677" name="Connecteur droit avec flèche 676"/>
        <xdr:cNvCxnSpPr/>
      </xdr:nvCxnSpPr>
      <xdr:spPr>
        <a:xfrm flipV="1">
          <a:off x="13794923" y="497307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382</xdr:row>
      <xdr:rowOff>122464</xdr:rowOff>
    </xdr:from>
    <xdr:to>
      <xdr:col>16</xdr:col>
      <xdr:colOff>176893</xdr:colOff>
      <xdr:row>383</xdr:row>
      <xdr:rowOff>101300</xdr:rowOff>
    </xdr:to>
    <xdr:cxnSp macro="">
      <xdr:nvCxnSpPr>
        <xdr:cNvPr id="678" name="Connecteur droit avec flèche 677"/>
        <xdr:cNvCxnSpPr/>
      </xdr:nvCxnSpPr>
      <xdr:spPr>
        <a:xfrm flipV="1">
          <a:off x="13847839" y="500906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376</xdr:row>
      <xdr:rowOff>5292</xdr:rowOff>
    </xdr:from>
    <xdr:to>
      <xdr:col>10</xdr:col>
      <xdr:colOff>963084</xdr:colOff>
      <xdr:row>384</xdr:row>
      <xdr:rowOff>158751</xdr:rowOff>
    </xdr:to>
    <xdr:sp macro="" textlink="">
      <xdr:nvSpPr>
        <xdr:cNvPr id="679" name="Accolade fermante 678"/>
        <xdr:cNvSpPr/>
      </xdr:nvSpPr>
      <xdr:spPr>
        <a:xfrm>
          <a:off x="10190693" y="488304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1209675</xdr:colOff>
      <xdr:row>494</xdr:row>
      <xdr:rowOff>114300</xdr:rowOff>
    </xdr:from>
    <xdr:to>
      <xdr:col>12</xdr:col>
      <xdr:colOff>0</xdr:colOff>
      <xdr:row>494</xdr:row>
      <xdr:rowOff>114300</xdr:rowOff>
    </xdr:to>
    <xdr:cxnSp macro="">
      <xdr:nvCxnSpPr>
        <xdr:cNvPr id="680" name="Connecteur droit avec flèche 679"/>
        <xdr:cNvCxnSpPr/>
      </xdr:nvCxnSpPr>
      <xdr:spPr>
        <a:xfrm>
          <a:off x="10553700" y="63798450"/>
          <a:ext cx="857250"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1042307</xdr:colOff>
      <xdr:row>489</xdr:row>
      <xdr:rowOff>58965</xdr:rowOff>
    </xdr:from>
    <xdr:to>
      <xdr:col>12</xdr:col>
      <xdr:colOff>238578</xdr:colOff>
      <xdr:row>494</xdr:row>
      <xdr:rowOff>95249</xdr:rowOff>
    </xdr:to>
    <xdr:cxnSp macro="">
      <xdr:nvCxnSpPr>
        <xdr:cNvPr id="681" name="Connecteur droit avec flèche 680"/>
        <xdr:cNvCxnSpPr/>
      </xdr:nvCxnSpPr>
      <xdr:spPr>
        <a:xfrm flipV="1">
          <a:off x="10386332" y="62790615"/>
          <a:ext cx="1263196"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1028700</xdr:colOff>
      <xdr:row>493</xdr:row>
      <xdr:rowOff>13607</xdr:rowOff>
    </xdr:from>
    <xdr:to>
      <xdr:col>12</xdr:col>
      <xdr:colOff>96459</xdr:colOff>
      <xdr:row>494</xdr:row>
      <xdr:rowOff>95249</xdr:rowOff>
    </xdr:to>
    <xdr:cxnSp macro="">
      <xdr:nvCxnSpPr>
        <xdr:cNvPr id="682" name="Connecteur droit avec flèche 681"/>
        <xdr:cNvCxnSpPr/>
      </xdr:nvCxnSpPr>
      <xdr:spPr>
        <a:xfrm flipV="1">
          <a:off x="10372725" y="63507257"/>
          <a:ext cx="1134684"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651328</xdr:colOff>
      <xdr:row>487</xdr:row>
      <xdr:rowOff>6049</xdr:rowOff>
    </xdr:from>
    <xdr:to>
      <xdr:col>14</xdr:col>
      <xdr:colOff>71361</xdr:colOff>
      <xdr:row>489</xdr:row>
      <xdr:rowOff>48381</xdr:rowOff>
    </xdr:to>
    <xdr:cxnSp macro="">
      <xdr:nvCxnSpPr>
        <xdr:cNvPr id="683" name="Connecteur droit avec flèche 682"/>
        <xdr:cNvCxnSpPr/>
      </xdr:nvCxnSpPr>
      <xdr:spPr>
        <a:xfrm flipV="1">
          <a:off x="12062278" y="62356699"/>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608994</xdr:colOff>
      <xdr:row>489</xdr:row>
      <xdr:rowOff>46266</xdr:rowOff>
    </xdr:from>
    <xdr:to>
      <xdr:col>13</xdr:col>
      <xdr:colOff>746578</xdr:colOff>
      <xdr:row>489</xdr:row>
      <xdr:rowOff>58965</xdr:rowOff>
    </xdr:to>
    <xdr:cxnSp macro="">
      <xdr:nvCxnSpPr>
        <xdr:cNvPr id="684" name="Connecteur droit avec flèche 683"/>
        <xdr:cNvCxnSpPr/>
      </xdr:nvCxnSpPr>
      <xdr:spPr>
        <a:xfrm>
          <a:off x="12019944" y="62777916"/>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492579</xdr:colOff>
      <xdr:row>491</xdr:row>
      <xdr:rowOff>48381</xdr:rowOff>
    </xdr:from>
    <xdr:to>
      <xdr:col>13</xdr:col>
      <xdr:colOff>746579</xdr:colOff>
      <xdr:row>493</xdr:row>
      <xdr:rowOff>48379</xdr:rowOff>
    </xdr:to>
    <xdr:cxnSp macro="">
      <xdr:nvCxnSpPr>
        <xdr:cNvPr id="685" name="Connecteur droit avec flèche 684"/>
        <xdr:cNvCxnSpPr/>
      </xdr:nvCxnSpPr>
      <xdr:spPr>
        <a:xfrm flipV="1">
          <a:off x="11903529" y="63161031"/>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693663</xdr:colOff>
      <xdr:row>494</xdr:row>
      <xdr:rowOff>81642</xdr:rowOff>
    </xdr:from>
    <xdr:to>
      <xdr:col>13</xdr:col>
      <xdr:colOff>757163</xdr:colOff>
      <xdr:row>494</xdr:row>
      <xdr:rowOff>92227</xdr:rowOff>
    </xdr:to>
    <xdr:cxnSp macro="">
      <xdr:nvCxnSpPr>
        <xdr:cNvPr id="686" name="Connecteur droit avec flèche 685"/>
        <xdr:cNvCxnSpPr/>
      </xdr:nvCxnSpPr>
      <xdr:spPr>
        <a:xfrm>
          <a:off x="12104613" y="63765792"/>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545496</xdr:colOff>
      <xdr:row>493</xdr:row>
      <xdr:rowOff>16631</xdr:rowOff>
    </xdr:from>
    <xdr:to>
      <xdr:col>13</xdr:col>
      <xdr:colOff>714829</xdr:colOff>
      <xdr:row>493</xdr:row>
      <xdr:rowOff>37799</xdr:rowOff>
    </xdr:to>
    <xdr:cxnSp macro="">
      <xdr:nvCxnSpPr>
        <xdr:cNvPr id="687" name="Connecteur droit avec flèche 686"/>
        <xdr:cNvCxnSpPr/>
      </xdr:nvCxnSpPr>
      <xdr:spPr>
        <a:xfrm>
          <a:off x="11956446" y="63510281"/>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711805</xdr:colOff>
      <xdr:row>487</xdr:row>
      <xdr:rowOff>87690</xdr:rowOff>
    </xdr:from>
    <xdr:to>
      <xdr:col>16</xdr:col>
      <xdr:colOff>76806</xdr:colOff>
      <xdr:row>487</xdr:row>
      <xdr:rowOff>100390</xdr:rowOff>
    </xdr:to>
    <xdr:cxnSp macro="">
      <xdr:nvCxnSpPr>
        <xdr:cNvPr id="688" name="Connecteur droit avec flèche 687"/>
        <xdr:cNvCxnSpPr/>
      </xdr:nvCxnSpPr>
      <xdr:spPr>
        <a:xfrm>
          <a:off x="13646755" y="62438340"/>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680055</xdr:colOff>
      <xdr:row>491</xdr:row>
      <xdr:rowOff>119440</xdr:rowOff>
    </xdr:from>
    <xdr:to>
      <xdr:col>16</xdr:col>
      <xdr:colOff>23889</xdr:colOff>
      <xdr:row>491</xdr:row>
      <xdr:rowOff>121557</xdr:rowOff>
    </xdr:to>
    <xdr:cxnSp macro="">
      <xdr:nvCxnSpPr>
        <xdr:cNvPr id="689" name="Connecteur droit avec flèche 688"/>
        <xdr:cNvCxnSpPr/>
      </xdr:nvCxnSpPr>
      <xdr:spPr>
        <a:xfrm>
          <a:off x="13615005" y="6323209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489</xdr:row>
      <xdr:rowOff>119440</xdr:rowOff>
    </xdr:from>
    <xdr:to>
      <xdr:col>16</xdr:col>
      <xdr:colOff>97973</xdr:colOff>
      <xdr:row>489</xdr:row>
      <xdr:rowOff>121557</xdr:rowOff>
    </xdr:to>
    <xdr:cxnSp macro="">
      <xdr:nvCxnSpPr>
        <xdr:cNvPr id="690" name="Connecteur droit avec flèche 689"/>
        <xdr:cNvCxnSpPr/>
      </xdr:nvCxnSpPr>
      <xdr:spPr>
        <a:xfrm>
          <a:off x="13689089" y="6285109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743555</xdr:colOff>
      <xdr:row>493</xdr:row>
      <xdr:rowOff>108857</xdr:rowOff>
    </xdr:from>
    <xdr:to>
      <xdr:col>16</xdr:col>
      <xdr:colOff>87389</xdr:colOff>
      <xdr:row>493</xdr:row>
      <xdr:rowOff>110974</xdr:rowOff>
    </xdr:to>
    <xdr:cxnSp macro="">
      <xdr:nvCxnSpPr>
        <xdr:cNvPr id="691" name="Connecteur droit avec flèche 690"/>
        <xdr:cNvCxnSpPr/>
      </xdr:nvCxnSpPr>
      <xdr:spPr>
        <a:xfrm>
          <a:off x="13678505" y="6360250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648305</xdr:colOff>
      <xdr:row>494</xdr:row>
      <xdr:rowOff>119441</xdr:rowOff>
    </xdr:from>
    <xdr:to>
      <xdr:col>15</xdr:col>
      <xdr:colOff>754139</xdr:colOff>
      <xdr:row>494</xdr:row>
      <xdr:rowOff>121558</xdr:rowOff>
    </xdr:to>
    <xdr:cxnSp macro="">
      <xdr:nvCxnSpPr>
        <xdr:cNvPr id="692" name="Connecteur droit avec flèche 691"/>
        <xdr:cNvCxnSpPr/>
      </xdr:nvCxnSpPr>
      <xdr:spPr>
        <a:xfrm>
          <a:off x="13583255" y="6380359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701221</xdr:colOff>
      <xdr:row>486</xdr:row>
      <xdr:rowOff>108857</xdr:rowOff>
    </xdr:from>
    <xdr:to>
      <xdr:col>16</xdr:col>
      <xdr:colOff>55639</xdr:colOff>
      <xdr:row>487</xdr:row>
      <xdr:rowOff>77108</xdr:rowOff>
    </xdr:to>
    <xdr:cxnSp macro="">
      <xdr:nvCxnSpPr>
        <xdr:cNvPr id="693" name="Connecteur droit avec flèche 692"/>
        <xdr:cNvCxnSpPr/>
      </xdr:nvCxnSpPr>
      <xdr:spPr>
        <a:xfrm flipV="1">
          <a:off x="13636171" y="62269007"/>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754139</xdr:colOff>
      <xdr:row>488</xdr:row>
      <xdr:rowOff>130024</xdr:rowOff>
    </xdr:from>
    <xdr:to>
      <xdr:col>16</xdr:col>
      <xdr:colOff>97972</xdr:colOff>
      <xdr:row>489</xdr:row>
      <xdr:rowOff>98275</xdr:rowOff>
    </xdr:to>
    <xdr:cxnSp macro="">
      <xdr:nvCxnSpPr>
        <xdr:cNvPr id="694" name="Connecteur droit avec flèche 693"/>
        <xdr:cNvCxnSpPr/>
      </xdr:nvCxnSpPr>
      <xdr:spPr>
        <a:xfrm flipV="1">
          <a:off x="13689089" y="62671174"/>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669472</xdr:colOff>
      <xdr:row>490</xdr:row>
      <xdr:rowOff>130024</xdr:rowOff>
    </xdr:from>
    <xdr:to>
      <xdr:col>16</xdr:col>
      <xdr:colOff>45055</xdr:colOff>
      <xdr:row>491</xdr:row>
      <xdr:rowOff>98275</xdr:rowOff>
    </xdr:to>
    <xdr:cxnSp macro="">
      <xdr:nvCxnSpPr>
        <xdr:cNvPr id="695" name="Connecteur droit avec flèche 694"/>
        <xdr:cNvCxnSpPr/>
      </xdr:nvCxnSpPr>
      <xdr:spPr>
        <a:xfrm flipV="1">
          <a:off x="13604422" y="63052174"/>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722388</xdr:colOff>
      <xdr:row>492</xdr:row>
      <xdr:rowOff>130024</xdr:rowOff>
    </xdr:from>
    <xdr:to>
      <xdr:col>16</xdr:col>
      <xdr:colOff>119139</xdr:colOff>
      <xdr:row>493</xdr:row>
      <xdr:rowOff>87692</xdr:rowOff>
    </xdr:to>
    <xdr:cxnSp macro="">
      <xdr:nvCxnSpPr>
        <xdr:cNvPr id="696" name="Connecteur droit avec flèche 695"/>
        <xdr:cNvCxnSpPr/>
      </xdr:nvCxnSpPr>
      <xdr:spPr>
        <a:xfrm flipV="1">
          <a:off x="13657338" y="63433174"/>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1091045</xdr:colOff>
      <xdr:row>494</xdr:row>
      <xdr:rowOff>103911</xdr:rowOff>
    </xdr:from>
    <xdr:to>
      <xdr:col>12</xdr:col>
      <xdr:colOff>158750</xdr:colOff>
      <xdr:row>494</xdr:row>
      <xdr:rowOff>105834</xdr:rowOff>
    </xdr:to>
    <xdr:cxnSp macro="">
      <xdr:nvCxnSpPr>
        <xdr:cNvPr id="697" name="Connecteur droit avec flèche 696"/>
        <xdr:cNvCxnSpPr/>
      </xdr:nvCxnSpPr>
      <xdr:spPr>
        <a:xfrm>
          <a:off x="10435070" y="63788061"/>
          <a:ext cx="1134630" cy="192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814918</xdr:colOff>
      <xdr:row>486</xdr:row>
      <xdr:rowOff>47625</xdr:rowOff>
    </xdr:from>
    <xdr:to>
      <xdr:col>10</xdr:col>
      <xdr:colOff>931334</xdr:colOff>
      <xdr:row>495</xdr:row>
      <xdr:rowOff>10584</xdr:rowOff>
    </xdr:to>
    <xdr:sp macro="" textlink="">
      <xdr:nvSpPr>
        <xdr:cNvPr id="698" name="Accolade fermante 697"/>
        <xdr:cNvSpPr/>
      </xdr:nvSpPr>
      <xdr:spPr>
        <a:xfrm>
          <a:off x="10158943" y="62207775"/>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121</xdr:row>
      <xdr:rowOff>33264</xdr:rowOff>
    </xdr:from>
    <xdr:to>
      <xdr:col>14</xdr:col>
      <xdr:colOff>104019</xdr:colOff>
      <xdr:row>123</xdr:row>
      <xdr:rowOff>75596</xdr:rowOff>
    </xdr:to>
    <xdr:cxnSp macro="">
      <xdr:nvCxnSpPr>
        <xdr:cNvPr id="718" name="Connecteur droit avec flèche 717"/>
        <xdr:cNvCxnSpPr/>
      </xdr:nvCxnSpPr>
      <xdr:spPr>
        <a:xfrm flipV="1">
          <a:off x="12133036" y="21807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123</xdr:row>
      <xdr:rowOff>73481</xdr:rowOff>
    </xdr:from>
    <xdr:to>
      <xdr:col>14</xdr:col>
      <xdr:colOff>17236</xdr:colOff>
      <xdr:row>123</xdr:row>
      <xdr:rowOff>86180</xdr:rowOff>
    </xdr:to>
    <xdr:cxnSp macro="">
      <xdr:nvCxnSpPr>
        <xdr:cNvPr id="719" name="Connecteur droit avec flèche 718"/>
        <xdr:cNvCxnSpPr/>
      </xdr:nvCxnSpPr>
      <xdr:spPr>
        <a:xfrm>
          <a:off x="12090702" y="22228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125</xdr:row>
      <xdr:rowOff>75596</xdr:rowOff>
    </xdr:from>
    <xdr:to>
      <xdr:col>14</xdr:col>
      <xdr:colOff>17237</xdr:colOff>
      <xdr:row>127</xdr:row>
      <xdr:rowOff>75594</xdr:rowOff>
    </xdr:to>
    <xdr:cxnSp macro="">
      <xdr:nvCxnSpPr>
        <xdr:cNvPr id="720" name="Connecteur droit avec flèche 719"/>
        <xdr:cNvCxnSpPr/>
      </xdr:nvCxnSpPr>
      <xdr:spPr>
        <a:xfrm flipV="1">
          <a:off x="11974287" y="22611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130</xdr:row>
      <xdr:rowOff>65012</xdr:rowOff>
    </xdr:from>
    <xdr:to>
      <xdr:col>14</xdr:col>
      <xdr:colOff>6654</xdr:colOff>
      <xdr:row>130</xdr:row>
      <xdr:rowOff>75597</xdr:rowOff>
    </xdr:to>
    <xdr:cxnSp macro="">
      <xdr:nvCxnSpPr>
        <xdr:cNvPr id="721" name="Connecteur droit avec flèche 720"/>
        <xdr:cNvCxnSpPr/>
      </xdr:nvCxnSpPr>
      <xdr:spPr>
        <a:xfrm>
          <a:off x="12101287" y="23553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128</xdr:row>
      <xdr:rowOff>54429</xdr:rowOff>
    </xdr:from>
    <xdr:to>
      <xdr:col>14</xdr:col>
      <xdr:colOff>27821</xdr:colOff>
      <xdr:row>128</xdr:row>
      <xdr:rowOff>65014</xdr:rowOff>
    </xdr:to>
    <xdr:cxnSp macro="">
      <xdr:nvCxnSpPr>
        <xdr:cNvPr id="722" name="Connecteur droit avec flèche 721"/>
        <xdr:cNvCxnSpPr/>
      </xdr:nvCxnSpPr>
      <xdr:spPr>
        <a:xfrm>
          <a:off x="12175371" y="23162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127</xdr:row>
      <xdr:rowOff>43846</xdr:rowOff>
    </xdr:from>
    <xdr:to>
      <xdr:col>13</xdr:col>
      <xdr:colOff>747487</xdr:colOff>
      <xdr:row>127</xdr:row>
      <xdr:rowOff>65014</xdr:rowOff>
    </xdr:to>
    <xdr:cxnSp macro="">
      <xdr:nvCxnSpPr>
        <xdr:cNvPr id="723" name="Connecteur droit avec flèche 722"/>
        <xdr:cNvCxnSpPr/>
      </xdr:nvCxnSpPr>
      <xdr:spPr>
        <a:xfrm>
          <a:off x="12027204" y="22960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129</xdr:row>
      <xdr:rowOff>107345</xdr:rowOff>
    </xdr:from>
    <xdr:to>
      <xdr:col>14</xdr:col>
      <xdr:colOff>38404</xdr:colOff>
      <xdr:row>130</xdr:row>
      <xdr:rowOff>65012</xdr:rowOff>
    </xdr:to>
    <xdr:cxnSp macro="">
      <xdr:nvCxnSpPr>
        <xdr:cNvPr id="724" name="Connecteur droit avec flèche 723"/>
        <xdr:cNvCxnSpPr/>
      </xdr:nvCxnSpPr>
      <xdr:spPr>
        <a:xfrm flipV="1">
          <a:off x="12101287" y="23405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121</xdr:row>
      <xdr:rowOff>33262</xdr:rowOff>
    </xdr:from>
    <xdr:to>
      <xdr:col>16</xdr:col>
      <xdr:colOff>123071</xdr:colOff>
      <xdr:row>121</xdr:row>
      <xdr:rowOff>45962</xdr:rowOff>
    </xdr:to>
    <xdr:cxnSp macro="">
      <xdr:nvCxnSpPr>
        <xdr:cNvPr id="725" name="Connecteur droit avec flèche 724"/>
        <xdr:cNvCxnSpPr/>
      </xdr:nvCxnSpPr>
      <xdr:spPr>
        <a:xfrm>
          <a:off x="13731120" y="21807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125</xdr:row>
      <xdr:rowOff>65012</xdr:rowOff>
    </xdr:from>
    <xdr:to>
      <xdr:col>16</xdr:col>
      <xdr:colOff>70154</xdr:colOff>
      <xdr:row>125</xdr:row>
      <xdr:rowOff>67129</xdr:rowOff>
    </xdr:to>
    <xdr:cxnSp macro="">
      <xdr:nvCxnSpPr>
        <xdr:cNvPr id="726" name="Connecteur droit avec flèche 725"/>
        <xdr:cNvCxnSpPr/>
      </xdr:nvCxnSpPr>
      <xdr:spPr>
        <a:xfrm>
          <a:off x="13699370" y="22601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123</xdr:row>
      <xdr:rowOff>65012</xdr:rowOff>
    </xdr:from>
    <xdr:to>
      <xdr:col>16</xdr:col>
      <xdr:colOff>144238</xdr:colOff>
      <xdr:row>123</xdr:row>
      <xdr:rowOff>67129</xdr:rowOff>
    </xdr:to>
    <xdr:cxnSp macro="">
      <xdr:nvCxnSpPr>
        <xdr:cNvPr id="727" name="Connecteur droit avec flèche 726"/>
        <xdr:cNvCxnSpPr/>
      </xdr:nvCxnSpPr>
      <xdr:spPr>
        <a:xfrm>
          <a:off x="13773454" y="22220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127</xdr:row>
      <xdr:rowOff>54429</xdr:rowOff>
    </xdr:from>
    <xdr:to>
      <xdr:col>16</xdr:col>
      <xdr:colOff>133654</xdr:colOff>
      <xdr:row>127</xdr:row>
      <xdr:rowOff>56546</xdr:rowOff>
    </xdr:to>
    <xdr:cxnSp macro="">
      <xdr:nvCxnSpPr>
        <xdr:cNvPr id="728" name="Connecteur droit avec flèche 727"/>
        <xdr:cNvCxnSpPr/>
      </xdr:nvCxnSpPr>
      <xdr:spPr>
        <a:xfrm>
          <a:off x="13762870" y="22971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129</xdr:row>
      <xdr:rowOff>54429</xdr:rowOff>
    </xdr:from>
    <xdr:to>
      <xdr:col>16</xdr:col>
      <xdr:colOff>80737</xdr:colOff>
      <xdr:row>129</xdr:row>
      <xdr:rowOff>56546</xdr:rowOff>
    </xdr:to>
    <xdr:cxnSp macro="">
      <xdr:nvCxnSpPr>
        <xdr:cNvPr id="729" name="Connecteur droit avec flèche 728"/>
        <xdr:cNvCxnSpPr/>
      </xdr:nvCxnSpPr>
      <xdr:spPr>
        <a:xfrm>
          <a:off x="13709953" y="23352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130</xdr:row>
      <xdr:rowOff>65012</xdr:rowOff>
    </xdr:from>
    <xdr:to>
      <xdr:col>16</xdr:col>
      <xdr:colOff>70155</xdr:colOff>
      <xdr:row>130</xdr:row>
      <xdr:rowOff>67129</xdr:rowOff>
    </xdr:to>
    <xdr:cxnSp macro="">
      <xdr:nvCxnSpPr>
        <xdr:cNvPr id="730" name="Connecteur droit avec flèche 729"/>
        <xdr:cNvCxnSpPr/>
      </xdr:nvCxnSpPr>
      <xdr:spPr>
        <a:xfrm>
          <a:off x="13699371" y="23553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128</xdr:row>
      <xdr:rowOff>65013</xdr:rowOff>
    </xdr:from>
    <xdr:to>
      <xdr:col>16</xdr:col>
      <xdr:colOff>38404</xdr:colOff>
      <xdr:row>128</xdr:row>
      <xdr:rowOff>67130</xdr:rowOff>
    </xdr:to>
    <xdr:cxnSp macro="">
      <xdr:nvCxnSpPr>
        <xdr:cNvPr id="731" name="Connecteur droit avec flèche 730"/>
        <xdr:cNvCxnSpPr/>
      </xdr:nvCxnSpPr>
      <xdr:spPr>
        <a:xfrm>
          <a:off x="13667620" y="23172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120</xdr:row>
      <xdr:rowOff>54429</xdr:rowOff>
    </xdr:from>
    <xdr:to>
      <xdr:col>16</xdr:col>
      <xdr:colOff>101904</xdr:colOff>
      <xdr:row>121</xdr:row>
      <xdr:rowOff>22680</xdr:rowOff>
    </xdr:to>
    <xdr:cxnSp macro="">
      <xdr:nvCxnSpPr>
        <xdr:cNvPr id="732" name="Connecteur droit avec flèche 731"/>
        <xdr:cNvCxnSpPr/>
      </xdr:nvCxnSpPr>
      <xdr:spPr>
        <a:xfrm flipV="1">
          <a:off x="13720536" y="21638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122</xdr:row>
      <xdr:rowOff>75596</xdr:rowOff>
    </xdr:from>
    <xdr:to>
      <xdr:col>16</xdr:col>
      <xdr:colOff>144237</xdr:colOff>
      <xdr:row>123</xdr:row>
      <xdr:rowOff>43847</xdr:rowOff>
    </xdr:to>
    <xdr:cxnSp macro="">
      <xdr:nvCxnSpPr>
        <xdr:cNvPr id="733" name="Connecteur droit avec flèche 732"/>
        <xdr:cNvCxnSpPr/>
      </xdr:nvCxnSpPr>
      <xdr:spPr>
        <a:xfrm flipV="1">
          <a:off x="13773454" y="22040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124</xdr:row>
      <xdr:rowOff>75596</xdr:rowOff>
    </xdr:from>
    <xdr:to>
      <xdr:col>16</xdr:col>
      <xdr:colOff>91320</xdr:colOff>
      <xdr:row>125</xdr:row>
      <xdr:rowOff>43847</xdr:rowOff>
    </xdr:to>
    <xdr:cxnSp macro="">
      <xdr:nvCxnSpPr>
        <xdr:cNvPr id="734" name="Connecteur droit avec flèche 733"/>
        <xdr:cNvCxnSpPr/>
      </xdr:nvCxnSpPr>
      <xdr:spPr>
        <a:xfrm flipV="1">
          <a:off x="13688787" y="22421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126</xdr:row>
      <xdr:rowOff>75596</xdr:rowOff>
    </xdr:from>
    <xdr:to>
      <xdr:col>16</xdr:col>
      <xdr:colOff>165404</xdr:colOff>
      <xdr:row>127</xdr:row>
      <xdr:rowOff>33264</xdr:rowOff>
    </xdr:to>
    <xdr:cxnSp macro="">
      <xdr:nvCxnSpPr>
        <xdr:cNvPr id="735" name="Connecteur droit avec flèche 734"/>
        <xdr:cNvCxnSpPr/>
      </xdr:nvCxnSpPr>
      <xdr:spPr>
        <a:xfrm flipV="1">
          <a:off x="13741703" y="22802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120</xdr:row>
      <xdr:rowOff>47625</xdr:rowOff>
    </xdr:from>
    <xdr:to>
      <xdr:col>10</xdr:col>
      <xdr:colOff>1031875</xdr:colOff>
      <xdr:row>130</xdr:row>
      <xdr:rowOff>142875</xdr:rowOff>
    </xdr:to>
    <xdr:sp macro="" textlink="">
      <xdr:nvSpPr>
        <xdr:cNvPr id="736" name="Accolade fermante 735"/>
        <xdr:cNvSpPr/>
      </xdr:nvSpPr>
      <xdr:spPr>
        <a:xfrm>
          <a:off x="10261600" y="21631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97</xdr:row>
      <xdr:rowOff>33264</xdr:rowOff>
    </xdr:from>
    <xdr:to>
      <xdr:col>14</xdr:col>
      <xdr:colOff>104019</xdr:colOff>
      <xdr:row>99</xdr:row>
      <xdr:rowOff>75596</xdr:rowOff>
    </xdr:to>
    <xdr:cxnSp macro="">
      <xdr:nvCxnSpPr>
        <xdr:cNvPr id="756" name="Connecteur droit avec flèche 755"/>
        <xdr:cNvCxnSpPr/>
      </xdr:nvCxnSpPr>
      <xdr:spPr>
        <a:xfrm flipV="1">
          <a:off x="12133036" y="21807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99</xdr:row>
      <xdr:rowOff>73481</xdr:rowOff>
    </xdr:from>
    <xdr:to>
      <xdr:col>14</xdr:col>
      <xdr:colOff>17236</xdr:colOff>
      <xdr:row>99</xdr:row>
      <xdr:rowOff>86180</xdr:rowOff>
    </xdr:to>
    <xdr:cxnSp macro="">
      <xdr:nvCxnSpPr>
        <xdr:cNvPr id="757" name="Connecteur droit avec flèche 756"/>
        <xdr:cNvCxnSpPr/>
      </xdr:nvCxnSpPr>
      <xdr:spPr>
        <a:xfrm>
          <a:off x="12090702" y="22228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101</xdr:row>
      <xdr:rowOff>75596</xdr:rowOff>
    </xdr:from>
    <xdr:to>
      <xdr:col>14</xdr:col>
      <xdr:colOff>17237</xdr:colOff>
      <xdr:row>103</xdr:row>
      <xdr:rowOff>75594</xdr:rowOff>
    </xdr:to>
    <xdr:cxnSp macro="">
      <xdr:nvCxnSpPr>
        <xdr:cNvPr id="758" name="Connecteur droit avec flèche 757"/>
        <xdr:cNvCxnSpPr/>
      </xdr:nvCxnSpPr>
      <xdr:spPr>
        <a:xfrm flipV="1">
          <a:off x="11974287" y="22611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106</xdr:row>
      <xdr:rowOff>65012</xdr:rowOff>
    </xdr:from>
    <xdr:to>
      <xdr:col>14</xdr:col>
      <xdr:colOff>6654</xdr:colOff>
      <xdr:row>106</xdr:row>
      <xdr:rowOff>75597</xdr:rowOff>
    </xdr:to>
    <xdr:cxnSp macro="">
      <xdr:nvCxnSpPr>
        <xdr:cNvPr id="759" name="Connecteur droit avec flèche 758"/>
        <xdr:cNvCxnSpPr/>
      </xdr:nvCxnSpPr>
      <xdr:spPr>
        <a:xfrm>
          <a:off x="12101287" y="23553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104</xdr:row>
      <xdr:rowOff>54429</xdr:rowOff>
    </xdr:from>
    <xdr:to>
      <xdr:col>14</xdr:col>
      <xdr:colOff>27821</xdr:colOff>
      <xdr:row>104</xdr:row>
      <xdr:rowOff>65014</xdr:rowOff>
    </xdr:to>
    <xdr:cxnSp macro="">
      <xdr:nvCxnSpPr>
        <xdr:cNvPr id="760" name="Connecteur droit avec flèche 759"/>
        <xdr:cNvCxnSpPr/>
      </xdr:nvCxnSpPr>
      <xdr:spPr>
        <a:xfrm>
          <a:off x="12175371" y="23162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103</xdr:row>
      <xdr:rowOff>43846</xdr:rowOff>
    </xdr:from>
    <xdr:to>
      <xdr:col>13</xdr:col>
      <xdr:colOff>747487</xdr:colOff>
      <xdr:row>103</xdr:row>
      <xdr:rowOff>65014</xdr:rowOff>
    </xdr:to>
    <xdr:cxnSp macro="">
      <xdr:nvCxnSpPr>
        <xdr:cNvPr id="761" name="Connecteur droit avec flèche 760"/>
        <xdr:cNvCxnSpPr/>
      </xdr:nvCxnSpPr>
      <xdr:spPr>
        <a:xfrm>
          <a:off x="12027204" y="22960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105</xdr:row>
      <xdr:rowOff>107345</xdr:rowOff>
    </xdr:from>
    <xdr:to>
      <xdr:col>14</xdr:col>
      <xdr:colOff>38404</xdr:colOff>
      <xdr:row>106</xdr:row>
      <xdr:rowOff>65012</xdr:rowOff>
    </xdr:to>
    <xdr:cxnSp macro="">
      <xdr:nvCxnSpPr>
        <xdr:cNvPr id="762" name="Connecteur droit avec flèche 761"/>
        <xdr:cNvCxnSpPr/>
      </xdr:nvCxnSpPr>
      <xdr:spPr>
        <a:xfrm flipV="1">
          <a:off x="12101287" y="23405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97</xdr:row>
      <xdr:rowOff>33262</xdr:rowOff>
    </xdr:from>
    <xdr:to>
      <xdr:col>16</xdr:col>
      <xdr:colOff>123071</xdr:colOff>
      <xdr:row>97</xdr:row>
      <xdr:rowOff>45962</xdr:rowOff>
    </xdr:to>
    <xdr:cxnSp macro="">
      <xdr:nvCxnSpPr>
        <xdr:cNvPr id="763" name="Connecteur droit avec flèche 762"/>
        <xdr:cNvCxnSpPr/>
      </xdr:nvCxnSpPr>
      <xdr:spPr>
        <a:xfrm>
          <a:off x="13731120" y="21807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101</xdr:row>
      <xdr:rowOff>65012</xdr:rowOff>
    </xdr:from>
    <xdr:to>
      <xdr:col>16</xdr:col>
      <xdr:colOff>70154</xdr:colOff>
      <xdr:row>101</xdr:row>
      <xdr:rowOff>67129</xdr:rowOff>
    </xdr:to>
    <xdr:cxnSp macro="">
      <xdr:nvCxnSpPr>
        <xdr:cNvPr id="764" name="Connecteur droit avec flèche 763"/>
        <xdr:cNvCxnSpPr/>
      </xdr:nvCxnSpPr>
      <xdr:spPr>
        <a:xfrm>
          <a:off x="13699370" y="22601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99</xdr:row>
      <xdr:rowOff>65012</xdr:rowOff>
    </xdr:from>
    <xdr:to>
      <xdr:col>16</xdr:col>
      <xdr:colOff>144238</xdr:colOff>
      <xdr:row>99</xdr:row>
      <xdr:rowOff>67129</xdr:rowOff>
    </xdr:to>
    <xdr:cxnSp macro="">
      <xdr:nvCxnSpPr>
        <xdr:cNvPr id="765" name="Connecteur droit avec flèche 764"/>
        <xdr:cNvCxnSpPr/>
      </xdr:nvCxnSpPr>
      <xdr:spPr>
        <a:xfrm>
          <a:off x="13773454" y="22220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103</xdr:row>
      <xdr:rowOff>54429</xdr:rowOff>
    </xdr:from>
    <xdr:to>
      <xdr:col>16</xdr:col>
      <xdr:colOff>133654</xdr:colOff>
      <xdr:row>103</xdr:row>
      <xdr:rowOff>56546</xdr:rowOff>
    </xdr:to>
    <xdr:cxnSp macro="">
      <xdr:nvCxnSpPr>
        <xdr:cNvPr id="766" name="Connecteur droit avec flèche 765"/>
        <xdr:cNvCxnSpPr/>
      </xdr:nvCxnSpPr>
      <xdr:spPr>
        <a:xfrm>
          <a:off x="13762870" y="22971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105</xdr:row>
      <xdr:rowOff>54429</xdr:rowOff>
    </xdr:from>
    <xdr:to>
      <xdr:col>16</xdr:col>
      <xdr:colOff>80737</xdr:colOff>
      <xdr:row>105</xdr:row>
      <xdr:rowOff>56546</xdr:rowOff>
    </xdr:to>
    <xdr:cxnSp macro="">
      <xdr:nvCxnSpPr>
        <xdr:cNvPr id="767" name="Connecteur droit avec flèche 766"/>
        <xdr:cNvCxnSpPr/>
      </xdr:nvCxnSpPr>
      <xdr:spPr>
        <a:xfrm>
          <a:off x="13709953" y="23352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106</xdr:row>
      <xdr:rowOff>65012</xdr:rowOff>
    </xdr:from>
    <xdr:to>
      <xdr:col>16</xdr:col>
      <xdr:colOff>70155</xdr:colOff>
      <xdr:row>106</xdr:row>
      <xdr:rowOff>67129</xdr:rowOff>
    </xdr:to>
    <xdr:cxnSp macro="">
      <xdr:nvCxnSpPr>
        <xdr:cNvPr id="768" name="Connecteur droit avec flèche 767"/>
        <xdr:cNvCxnSpPr/>
      </xdr:nvCxnSpPr>
      <xdr:spPr>
        <a:xfrm>
          <a:off x="13699371" y="23553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104</xdr:row>
      <xdr:rowOff>65013</xdr:rowOff>
    </xdr:from>
    <xdr:to>
      <xdr:col>16</xdr:col>
      <xdr:colOff>38404</xdr:colOff>
      <xdr:row>104</xdr:row>
      <xdr:rowOff>67130</xdr:rowOff>
    </xdr:to>
    <xdr:cxnSp macro="">
      <xdr:nvCxnSpPr>
        <xdr:cNvPr id="769" name="Connecteur droit avec flèche 768"/>
        <xdr:cNvCxnSpPr/>
      </xdr:nvCxnSpPr>
      <xdr:spPr>
        <a:xfrm>
          <a:off x="13667620" y="23172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96</xdr:row>
      <xdr:rowOff>54429</xdr:rowOff>
    </xdr:from>
    <xdr:to>
      <xdr:col>16</xdr:col>
      <xdr:colOff>101904</xdr:colOff>
      <xdr:row>97</xdr:row>
      <xdr:rowOff>22680</xdr:rowOff>
    </xdr:to>
    <xdr:cxnSp macro="">
      <xdr:nvCxnSpPr>
        <xdr:cNvPr id="770" name="Connecteur droit avec flèche 769"/>
        <xdr:cNvCxnSpPr/>
      </xdr:nvCxnSpPr>
      <xdr:spPr>
        <a:xfrm flipV="1">
          <a:off x="13720536" y="21638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98</xdr:row>
      <xdr:rowOff>75596</xdr:rowOff>
    </xdr:from>
    <xdr:to>
      <xdr:col>16</xdr:col>
      <xdr:colOff>144237</xdr:colOff>
      <xdr:row>99</xdr:row>
      <xdr:rowOff>43847</xdr:rowOff>
    </xdr:to>
    <xdr:cxnSp macro="">
      <xdr:nvCxnSpPr>
        <xdr:cNvPr id="771" name="Connecteur droit avec flèche 770"/>
        <xdr:cNvCxnSpPr/>
      </xdr:nvCxnSpPr>
      <xdr:spPr>
        <a:xfrm flipV="1">
          <a:off x="13773454" y="22040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100</xdr:row>
      <xdr:rowOff>75596</xdr:rowOff>
    </xdr:from>
    <xdr:to>
      <xdr:col>16</xdr:col>
      <xdr:colOff>91320</xdr:colOff>
      <xdr:row>101</xdr:row>
      <xdr:rowOff>43847</xdr:rowOff>
    </xdr:to>
    <xdr:cxnSp macro="">
      <xdr:nvCxnSpPr>
        <xdr:cNvPr id="772" name="Connecteur droit avec flèche 771"/>
        <xdr:cNvCxnSpPr/>
      </xdr:nvCxnSpPr>
      <xdr:spPr>
        <a:xfrm flipV="1">
          <a:off x="13688787" y="22421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102</xdr:row>
      <xdr:rowOff>75596</xdr:rowOff>
    </xdr:from>
    <xdr:to>
      <xdr:col>16</xdr:col>
      <xdr:colOff>165404</xdr:colOff>
      <xdr:row>103</xdr:row>
      <xdr:rowOff>33264</xdr:rowOff>
    </xdr:to>
    <xdr:cxnSp macro="">
      <xdr:nvCxnSpPr>
        <xdr:cNvPr id="773" name="Connecteur droit avec flèche 772"/>
        <xdr:cNvCxnSpPr/>
      </xdr:nvCxnSpPr>
      <xdr:spPr>
        <a:xfrm flipV="1">
          <a:off x="13741703" y="22802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96</xdr:row>
      <xdr:rowOff>47625</xdr:rowOff>
    </xdr:from>
    <xdr:to>
      <xdr:col>10</xdr:col>
      <xdr:colOff>1031875</xdr:colOff>
      <xdr:row>106</xdr:row>
      <xdr:rowOff>142875</xdr:rowOff>
    </xdr:to>
    <xdr:sp macro="" textlink="">
      <xdr:nvSpPr>
        <xdr:cNvPr id="774" name="Accolade fermante 773"/>
        <xdr:cNvSpPr/>
      </xdr:nvSpPr>
      <xdr:spPr>
        <a:xfrm>
          <a:off x="10261600" y="21631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73</xdr:row>
      <xdr:rowOff>33264</xdr:rowOff>
    </xdr:from>
    <xdr:to>
      <xdr:col>14</xdr:col>
      <xdr:colOff>104019</xdr:colOff>
      <xdr:row>75</xdr:row>
      <xdr:rowOff>75596</xdr:rowOff>
    </xdr:to>
    <xdr:cxnSp macro="">
      <xdr:nvCxnSpPr>
        <xdr:cNvPr id="775" name="Connecteur droit avec flèche 774"/>
        <xdr:cNvCxnSpPr/>
      </xdr:nvCxnSpPr>
      <xdr:spPr>
        <a:xfrm flipV="1">
          <a:off x="12133036" y="19521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75</xdr:row>
      <xdr:rowOff>73481</xdr:rowOff>
    </xdr:from>
    <xdr:to>
      <xdr:col>14</xdr:col>
      <xdr:colOff>17236</xdr:colOff>
      <xdr:row>75</xdr:row>
      <xdr:rowOff>86180</xdr:rowOff>
    </xdr:to>
    <xdr:cxnSp macro="">
      <xdr:nvCxnSpPr>
        <xdr:cNvPr id="776" name="Connecteur droit avec flèche 775"/>
        <xdr:cNvCxnSpPr/>
      </xdr:nvCxnSpPr>
      <xdr:spPr>
        <a:xfrm>
          <a:off x="12090702" y="19942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77</xdr:row>
      <xdr:rowOff>75596</xdr:rowOff>
    </xdr:from>
    <xdr:to>
      <xdr:col>14</xdr:col>
      <xdr:colOff>17237</xdr:colOff>
      <xdr:row>79</xdr:row>
      <xdr:rowOff>75594</xdr:rowOff>
    </xdr:to>
    <xdr:cxnSp macro="">
      <xdr:nvCxnSpPr>
        <xdr:cNvPr id="777" name="Connecteur droit avec flèche 776"/>
        <xdr:cNvCxnSpPr/>
      </xdr:nvCxnSpPr>
      <xdr:spPr>
        <a:xfrm flipV="1">
          <a:off x="11974287" y="20325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82</xdr:row>
      <xdr:rowOff>65012</xdr:rowOff>
    </xdr:from>
    <xdr:to>
      <xdr:col>14</xdr:col>
      <xdr:colOff>6654</xdr:colOff>
      <xdr:row>82</xdr:row>
      <xdr:rowOff>75597</xdr:rowOff>
    </xdr:to>
    <xdr:cxnSp macro="">
      <xdr:nvCxnSpPr>
        <xdr:cNvPr id="778" name="Connecteur droit avec flèche 777"/>
        <xdr:cNvCxnSpPr/>
      </xdr:nvCxnSpPr>
      <xdr:spPr>
        <a:xfrm>
          <a:off x="12101287" y="21267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80</xdr:row>
      <xdr:rowOff>54429</xdr:rowOff>
    </xdr:from>
    <xdr:to>
      <xdr:col>14</xdr:col>
      <xdr:colOff>27821</xdr:colOff>
      <xdr:row>80</xdr:row>
      <xdr:rowOff>65014</xdr:rowOff>
    </xdr:to>
    <xdr:cxnSp macro="">
      <xdr:nvCxnSpPr>
        <xdr:cNvPr id="779" name="Connecteur droit avec flèche 778"/>
        <xdr:cNvCxnSpPr/>
      </xdr:nvCxnSpPr>
      <xdr:spPr>
        <a:xfrm>
          <a:off x="12175371" y="20876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79</xdr:row>
      <xdr:rowOff>43846</xdr:rowOff>
    </xdr:from>
    <xdr:to>
      <xdr:col>13</xdr:col>
      <xdr:colOff>747487</xdr:colOff>
      <xdr:row>79</xdr:row>
      <xdr:rowOff>65014</xdr:rowOff>
    </xdr:to>
    <xdr:cxnSp macro="">
      <xdr:nvCxnSpPr>
        <xdr:cNvPr id="780" name="Connecteur droit avec flèche 779"/>
        <xdr:cNvCxnSpPr/>
      </xdr:nvCxnSpPr>
      <xdr:spPr>
        <a:xfrm>
          <a:off x="12027204" y="20674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81</xdr:row>
      <xdr:rowOff>107345</xdr:rowOff>
    </xdr:from>
    <xdr:to>
      <xdr:col>14</xdr:col>
      <xdr:colOff>38404</xdr:colOff>
      <xdr:row>82</xdr:row>
      <xdr:rowOff>65012</xdr:rowOff>
    </xdr:to>
    <xdr:cxnSp macro="">
      <xdr:nvCxnSpPr>
        <xdr:cNvPr id="781" name="Connecteur droit avec flèche 780"/>
        <xdr:cNvCxnSpPr/>
      </xdr:nvCxnSpPr>
      <xdr:spPr>
        <a:xfrm flipV="1">
          <a:off x="12101287" y="21119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73</xdr:row>
      <xdr:rowOff>33262</xdr:rowOff>
    </xdr:from>
    <xdr:to>
      <xdr:col>16</xdr:col>
      <xdr:colOff>123071</xdr:colOff>
      <xdr:row>73</xdr:row>
      <xdr:rowOff>45962</xdr:rowOff>
    </xdr:to>
    <xdr:cxnSp macro="">
      <xdr:nvCxnSpPr>
        <xdr:cNvPr id="782" name="Connecteur droit avec flèche 781"/>
        <xdr:cNvCxnSpPr/>
      </xdr:nvCxnSpPr>
      <xdr:spPr>
        <a:xfrm>
          <a:off x="13731120" y="19521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77</xdr:row>
      <xdr:rowOff>65012</xdr:rowOff>
    </xdr:from>
    <xdr:to>
      <xdr:col>16</xdr:col>
      <xdr:colOff>70154</xdr:colOff>
      <xdr:row>77</xdr:row>
      <xdr:rowOff>67129</xdr:rowOff>
    </xdr:to>
    <xdr:cxnSp macro="">
      <xdr:nvCxnSpPr>
        <xdr:cNvPr id="783" name="Connecteur droit avec flèche 782"/>
        <xdr:cNvCxnSpPr/>
      </xdr:nvCxnSpPr>
      <xdr:spPr>
        <a:xfrm>
          <a:off x="13699370" y="20315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75</xdr:row>
      <xdr:rowOff>65012</xdr:rowOff>
    </xdr:from>
    <xdr:to>
      <xdr:col>16</xdr:col>
      <xdr:colOff>144238</xdr:colOff>
      <xdr:row>75</xdr:row>
      <xdr:rowOff>67129</xdr:rowOff>
    </xdr:to>
    <xdr:cxnSp macro="">
      <xdr:nvCxnSpPr>
        <xdr:cNvPr id="784" name="Connecteur droit avec flèche 783"/>
        <xdr:cNvCxnSpPr/>
      </xdr:nvCxnSpPr>
      <xdr:spPr>
        <a:xfrm>
          <a:off x="13773454" y="19934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79</xdr:row>
      <xdr:rowOff>54429</xdr:rowOff>
    </xdr:from>
    <xdr:to>
      <xdr:col>16</xdr:col>
      <xdr:colOff>133654</xdr:colOff>
      <xdr:row>79</xdr:row>
      <xdr:rowOff>56546</xdr:rowOff>
    </xdr:to>
    <xdr:cxnSp macro="">
      <xdr:nvCxnSpPr>
        <xdr:cNvPr id="785" name="Connecteur droit avec flèche 784"/>
        <xdr:cNvCxnSpPr/>
      </xdr:nvCxnSpPr>
      <xdr:spPr>
        <a:xfrm>
          <a:off x="13762870" y="20685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81</xdr:row>
      <xdr:rowOff>54429</xdr:rowOff>
    </xdr:from>
    <xdr:to>
      <xdr:col>16</xdr:col>
      <xdr:colOff>80737</xdr:colOff>
      <xdr:row>81</xdr:row>
      <xdr:rowOff>56546</xdr:rowOff>
    </xdr:to>
    <xdr:cxnSp macro="">
      <xdr:nvCxnSpPr>
        <xdr:cNvPr id="786" name="Connecteur droit avec flèche 785"/>
        <xdr:cNvCxnSpPr/>
      </xdr:nvCxnSpPr>
      <xdr:spPr>
        <a:xfrm>
          <a:off x="13709953" y="21066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82</xdr:row>
      <xdr:rowOff>65012</xdr:rowOff>
    </xdr:from>
    <xdr:to>
      <xdr:col>16</xdr:col>
      <xdr:colOff>70155</xdr:colOff>
      <xdr:row>82</xdr:row>
      <xdr:rowOff>67129</xdr:rowOff>
    </xdr:to>
    <xdr:cxnSp macro="">
      <xdr:nvCxnSpPr>
        <xdr:cNvPr id="787" name="Connecteur droit avec flèche 786"/>
        <xdr:cNvCxnSpPr/>
      </xdr:nvCxnSpPr>
      <xdr:spPr>
        <a:xfrm>
          <a:off x="13699371" y="21267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80</xdr:row>
      <xdr:rowOff>65013</xdr:rowOff>
    </xdr:from>
    <xdr:to>
      <xdr:col>16</xdr:col>
      <xdr:colOff>38404</xdr:colOff>
      <xdr:row>80</xdr:row>
      <xdr:rowOff>67130</xdr:rowOff>
    </xdr:to>
    <xdr:cxnSp macro="">
      <xdr:nvCxnSpPr>
        <xdr:cNvPr id="788" name="Connecteur droit avec flèche 787"/>
        <xdr:cNvCxnSpPr/>
      </xdr:nvCxnSpPr>
      <xdr:spPr>
        <a:xfrm>
          <a:off x="13667620" y="20886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72</xdr:row>
      <xdr:rowOff>54429</xdr:rowOff>
    </xdr:from>
    <xdr:to>
      <xdr:col>16</xdr:col>
      <xdr:colOff>101904</xdr:colOff>
      <xdr:row>73</xdr:row>
      <xdr:rowOff>22680</xdr:rowOff>
    </xdr:to>
    <xdr:cxnSp macro="">
      <xdr:nvCxnSpPr>
        <xdr:cNvPr id="789" name="Connecteur droit avec flèche 788"/>
        <xdr:cNvCxnSpPr/>
      </xdr:nvCxnSpPr>
      <xdr:spPr>
        <a:xfrm flipV="1">
          <a:off x="13720536" y="19352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74</xdr:row>
      <xdr:rowOff>75596</xdr:rowOff>
    </xdr:from>
    <xdr:to>
      <xdr:col>16</xdr:col>
      <xdr:colOff>144237</xdr:colOff>
      <xdr:row>75</xdr:row>
      <xdr:rowOff>43847</xdr:rowOff>
    </xdr:to>
    <xdr:cxnSp macro="">
      <xdr:nvCxnSpPr>
        <xdr:cNvPr id="790" name="Connecteur droit avec flèche 789"/>
        <xdr:cNvCxnSpPr/>
      </xdr:nvCxnSpPr>
      <xdr:spPr>
        <a:xfrm flipV="1">
          <a:off x="13773454" y="19754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76</xdr:row>
      <xdr:rowOff>75596</xdr:rowOff>
    </xdr:from>
    <xdr:to>
      <xdr:col>16</xdr:col>
      <xdr:colOff>91320</xdr:colOff>
      <xdr:row>77</xdr:row>
      <xdr:rowOff>43847</xdr:rowOff>
    </xdr:to>
    <xdr:cxnSp macro="">
      <xdr:nvCxnSpPr>
        <xdr:cNvPr id="791" name="Connecteur droit avec flèche 790"/>
        <xdr:cNvCxnSpPr/>
      </xdr:nvCxnSpPr>
      <xdr:spPr>
        <a:xfrm flipV="1">
          <a:off x="13688787" y="20135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78</xdr:row>
      <xdr:rowOff>75596</xdr:rowOff>
    </xdr:from>
    <xdr:to>
      <xdr:col>16</xdr:col>
      <xdr:colOff>165404</xdr:colOff>
      <xdr:row>79</xdr:row>
      <xdr:rowOff>33264</xdr:rowOff>
    </xdr:to>
    <xdr:cxnSp macro="">
      <xdr:nvCxnSpPr>
        <xdr:cNvPr id="792" name="Connecteur droit avec flèche 791"/>
        <xdr:cNvCxnSpPr/>
      </xdr:nvCxnSpPr>
      <xdr:spPr>
        <a:xfrm flipV="1">
          <a:off x="13741703" y="20516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72</xdr:row>
      <xdr:rowOff>47625</xdr:rowOff>
    </xdr:from>
    <xdr:to>
      <xdr:col>10</xdr:col>
      <xdr:colOff>1031875</xdr:colOff>
      <xdr:row>82</xdr:row>
      <xdr:rowOff>142875</xdr:rowOff>
    </xdr:to>
    <xdr:sp macro="" textlink="">
      <xdr:nvSpPr>
        <xdr:cNvPr id="793" name="Accolade fermante 792"/>
        <xdr:cNvSpPr/>
      </xdr:nvSpPr>
      <xdr:spPr>
        <a:xfrm>
          <a:off x="10261600" y="19345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253</xdr:row>
      <xdr:rowOff>33264</xdr:rowOff>
    </xdr:from>
    <xdr:to>
      <xdr:col>14</xdr:col>
      <xdr:colOff>104019</xdr:colOff>
      <xdr:row>255</xdr:row>
      <xdr:rowOff>75596</xdr:rowOff>
    </xdr:to>
    <xdr:cxnSp macro="">
      <xdr:nvCxnSpPr>
        <xdr:cNvPr id="813" name="Connecteur droit avec flèche 812"/>
        <xdr:cNvCxnSpPr/>
      </xdr:nvCxnSpPr>
      <xdr:spPr>
        <a:xfrm flipV="1">
          <a:off x="12133036" y="44667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255</xdr:row>
      <xdr:rowOff>73481</xdr:rowOff>
    </xdr:from>
    <xdr:to>
      <xdr:col>14</xdr:col>
      <xdr:colOff>17236</xdr:colOff>
      <xdr:row>255</xdr:row>
      <xdr:rowOff>86180</xdr:rowOff>
    </xdr:to>
    <xdr:cxnSp macro="">
      <xdr:nvCxnSpPr>
        <xdr:cNvPr id="814" name="Connecteur droit avec flèche 813"/>
        <xdr:cNvCxnSpPr/>
      </xdr:nvCxnSpPr>
      <xdr:spPr>
        <a:xfrm>
          <a:off x="12090702" y="45088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257</xdr:row>
      <xdr:rowOff>75596</xdr:rowOff>
    </xdr:from>
    <xdr:to>
      <xdr:col>14</xdr:col>
      <xdr:colOff>17237</xdr:colOff>
      <xdr:row>259</xdr:row>
      <xdr:rowOff>75594</xdr:rowOff>
    </xdr:to>
    <xdr:cxnSp macro="">
      <xdr:nvCxnSpPr>
        <xdr:cNvPr id="815" name="Connecteur droit avec flèche 814"/>
        <xdr:cNvCxnSpPr/>
      </xdr:nvCxnSpPr>
      <xdr:spPr>
        <a:xfrm flipV="1">
          <a:off x="11974287" y="45471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262</xdr:row>
      <xdr:rowOff>65012</xdr:rowOff>
    </xdr:from>
    <xdr:to>
      <xdr:col>14</xdr:col>
      <xdr:colOff>6654</xdr:colOff>
      <xdr:row>262</xdr:row>
      <xdr:rowOff>75597</xdr:rowOff>
    </xdr:to>
    <xdr:cxnSp macro="">
      <xdr:nvCxnSpPr>
        <xdr:cNvPr id="816" name="Connecteur droit avec flèche 815"/>
        <xdr:cNvCxnSpPr/>
      </xdr:nvCxnSpPr>
      <xdr:spPr>
        <a:xfrm>
          <a:off x="12101287" y="46413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260</xdr:row>
      <xdr:rowOff>54429</xdr:rowOff>
    </xdr:from>
    <xdr:to>
      <xdr:col>14</xdr:col>
      <xdr:colOff>27821</xdr:colOff>
      <xdr:row>260</xdr:row>
      <xdr:rowOff>65014</xdr:rowOff>
    </xdr:to>
    <xdr:cxnSp macro="">
      <xdr:nvCxnSpPr>
        <xdr:cNvPr id="817" name="Connecteur droit avec flèche 816"/>
        <xdr:cNvCxnSpPr/>
      </xdr:nvCxnSpPr>
      <xdr:spPr>
        <a:xfrm>
          <a:off x="12175371" y="46022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259</xdr:row>
      <xdr:rowOff>43846</xdr:rowOff>
    </xdr:from>
    <xdr:to>
      <xdr:col>13</xdr:col>
      <xdr:colOff>747487</xdr:colOff>
      <xdr:row>259</xdr:row>
      <xdr:rowOff>65014</xdr:rowOff>
    </xdr:to>
    <xdr:cxnSp macro="">
      <xdr:nvCxnSpPr>
        <xdr:cNvPr id="818" name="Connecteur droit avec flèche 817"/>
        <xdr:cNvCxnSpPr/>
      </xdr:nvCxnSpPr>
      <xdr:spPr>
        <a:xfrm>
          <a:off x="12027204" y="45820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261</xdr:row>
      <xdr:rowOff>107345</xdr:rowOff>
    </xdr:from>
    <xdr:to>
      <xdr:col>14</xdr:col>
      <xdr:colOff>38404</xdr:colOff>
      <xdr:row>262</xdr:row>
      <xdr:rowOff>65012</xdr:rowOff>
    </xdr:to>
    <xdr:cxnSp macro="">
      <xdr:nvCxnSpPr>
        <xdr:cNvPr id="819" name="Connecteur droit avec flèche 818"/>
        <xdr:cNvCxnSpPr/>
      </xdr:nvCxnSpPr>
      <xdr:spPr>
        <a:xfrm flipV="1">
          <a:off x="12101287" y="46265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253</xdr:row>
      <xdr:rowOff>33262</xdr:rowOff>
    </xdr:from>
    <xdr:to>
      <xdr:col>16</xdr:col>
      <xdr:colOff>123071</xdr:colOff>
      <xdr:row>253</xdr:row>
      <xdr:rowOff>45962</xdr:rowOff>
    </xdr:to>
    <xdr:cxnSp macro="">
      <xdr:nvCxnSpPr>
        <xdr:cNvPr id="820" name="Connecteur droit avec flèche 819"/>
        <xdr:cNvCxnSpPr/>
      </xdr:nvCxnSpPr>
      <xdr:spPr>
        <a:xfrm>
          <a:off x="13731120" y="44667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257</xdr:row>
      <xdr:rowOff>65012</xdr:rowOff>
    </xdr:from>
    <xdr:to>
      <xdr:col>16</xdr:col>
      <xdr:colOff>70154</xdr:colOff>
      <xdr:row>257</xdr:row>
      <xdr:rowOff>67129</xdr:rowOff>
    </xdr:to>
    <xdr:cxnSp macro="">
      <xdr:nvCxnSpPr>
        <xdr:cNvPr id="821" name="Connecteur droit avec flèche 820"/>
        <xdr:cNvCxnSpPr/>
      </xdr:nvCxnSpPr>
      <xdr:spPr>
        <a:xfrm>
          <a:off x="13699370" y="45461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255</xdr:row>
      <xdr:rowOff>65012</xdr:rowOff>
    </xdr:from>
    <xdr:to>
      <xdr:col>16</xdr:col>
      <xdr:colOff>144238</xdr:colOff>
      <xdr:row>255</xdr:row>
      <xdr:rowOff>67129</xdr:rowOff>
    </xdr:to>
    <xdr:cxnSp macro="">
      <xdr:nvCxnSpPr>
        <xdr:cNvPr id="822" name="Connecteur droit avec flèche 821"/>
        <xdr:cNvCxnSpPr/>
      </xdr:nvCxnSpPr>
      <xdr:spPr>
        <a:xfrm>
          <a:off x="13773454" y="45080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259</xdr:row>
      <xdr:rowOff>54429</xdr:rowOff>
    </xdr:from>
    <xdr:to>
      <xdr:col>16</xdr:col>
      <xdr:colOff>133654</xdr:colOff>
      <xdr:row>259</xdr:row>
      <xdr:rowOff>56546</xdr:rowOff>
    </xdr:to>
    <xdr:cxnSp macro="">
      <xdr:nvCxnSpPr>
        <xdr:cNvPr id="823" name="Connecteur droit avec flèche 822"/>
        <xdr:cNvCxnSpPr/>
      </xdr:nvCxnSpPr>
      <xdr:spPr>
        <a:xfrm>
          <a:off x="13762870" y="45831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261</xdr:row>
      <xdr:rowOff>54429</xdr:rowOff>
    </xdr:from>
    <xdr:to>
      <xdr:col>16</xdr:col>
      <xdr:colOff>80737</xdr:colOff>
      <xdr:row>261</xdr:row>
      <xdr:rowOff>56546</xdr:rowOff>
    </xdr:to>
    <xdr:cxnSp macro="">
      <xdr:nvCxnSpPr>
        <xdr:cNvPr id="824" name="Connecteur droit avec flèche 823"/>
        <xdr:cNvCxnSpPr/>
      </xdr:nvCxnSpPr>
      <xdr:spPr>
        <a:xfrm>
          <a:off x="13709953" y="46212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262</xdr:row>
      <xdr:rowOff>65012</xdr:rowOff>
    </xdr:from>
    <xdr:to>
      <xdr:col>16</xdr:col>
      <xdr:colOff>70155</xdr:colOff>
      <xdr:row>262</xdr:row>
      <xdr:rowOff>67129</xdr:rowOff>
    </xdr:to>
    <xdr:cxnSp macro="">
      <xdr:nvCxnSpPr>
        <xdr:cNvPr id="825" name="Connecteur droit avec flèche 824"/>
        <xdr:cNvCxnSpPr/>
      </xdr:nvCxnSpPr>
      <xdr:spPr>
        <a:xfrm>
          <a:off x="13699371" y="46413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260</xdr:row>
      <xdr:rowOff>65013</xdr:rowOff>
    </xdr:from>
    <xdr:to>
      <xdr:col>16</xdr:col>
      <xdr:colOff>38404</xdr:colOff>
      <xdr:row>260</xdr:row>
      <xdr:rowOff>67130</xdr:rowOff>
    </xdr:to>
    <xdr:cxnSp macro="">
      <xdr:nvCxnSpPr>
        <xdr:cNvPr id="826" name="Connecteur droit avec flèche 825"/>
        <xdr:cNvCxnSpPr/>
      </xdr:nvCxnSpPr>
      <xdr:spPr>
        <a:xfrm>
          <a:off x="13667620" y="46032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252</xdr:row>
      <xdr:rowOff>54429</xdr:rowOff>
    </xdr:from>
    <xdr:to>
      <xdr:col>16</xdr:col>
      <xdr:colOff>101904</xdr:colOff>
      <xdr:row>253</xdr:row>
      <xdr:rowOff>22680</xdr:rowOff>
    </xdr:to>
    <xdr:cxnSp macro="">
      <xdr:nvCxnSpPr>
        <xdr:cNvPr id="827" name="Connecteur droit avec flèche 826"/>
        <xdr:cNvCxnSpPr/>
      </xdr:nvCxnSpPr>
      <xdr:spPr>
        <a:xfrm flipV="1">
          <a:off x="13720536" y="44498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254</xdr:row>
      <xdr:rowOff>75596</xdr:rowOff>
    </xdr:from>
    <xdr:to>
      <xdr:col>16</xdr:col>
      <xdr:colOff>144237</xdr:colOff>
      <xdr:row>255</xdr:row>
      <xdr:rowOff>43847</xdr:rowOff>
    </xdr:to>
    <xdr:cxnSp macro="">
      <xdr:nvCxnSpPr>
        <xdr:cNvPr id="828" name="Connecteur droit avec flèche 827"/>
        <xdr:cNvCxnSpPr/>
      </xdr:nvCxnSpPr>
      <xdr:spPr>
        <a:xfrm flipV="1">
          <a:off x="13773454" y="44900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256</xdr:row>
      <xdr:rowOff>75596</xdr:rowOff>
    </xdr:from>
    <xdr:to>
      <xdr:col>16</xdr:col>
      <xdr:colOff>91320</xdr:colOff>
      <xdr:row>257</xdr:row>
      <xdr:rowOff>43847</xdr:rowOff>
    </xdr:to>
    <xdr:cxnSp macro="">
      <xdr:nvCxnSpPr>
        <xdr:cNvPr id="829" name="Connecteur droit avec flèche 828"/>
        <xdr:cNvCxnSpPr/>
      </xdr:nvCxnSpPr>
      <xdr:spPr>
        <a:xfrm flipV="1">
          <a:off x="13688787" y="45281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258</xdr:row>
      <xdr:rowOff>75596</xdr:rowOff>
    </xdr:from>
    <xdr:to>
      <xdr:col>16</xdr:col>
      <xdr:colOff>165404</xdr:colOff>
      <xdr:row>259</xdr:row>
      <xdr:rowOff>33264</xdr:rowOff>
    </xdr:to>
    <xdr:cxnSp macro="">
      <xdr:nvCxnSpPr>
        <xdr:cNvPr id="830" name="Connecteur droit avec flèche 829"/>
        <xdr:cNvCxnSpPr/>
      </xdr:nvCxnSpPr>
      <xdr:spPr>
        <a:xfrm flipV="1">
          <a:off x="13741703" y="45662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252</xdr:row>
      <xdr:rowOff>47625</xdr:rowOff>
    </xdr:from>
    <xdr:to>
      <xdr:col>10</xdr:col>
      <xdr:colOff>1031875</xdr:colOff>
      <xdr:row>262</xdr:row>
      <xdr:rowOff>142875</xdr:rowOff>
    </xdr:to>
    <xdr:sp macro="" textlink="">
      <xdr:nvSpPr>
        <xdr:cNvPr id="831" name="Accolade fermante 830"/>
        <xdr:cNvSpPr/>
      </xdr:nvSpPr>
      <xdr:spPr>
        <a:xfrm>
          <a:off x="10261600" y="44491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229</xdr:row>
      <xdr:rowOff>33264</xdr:rowOff>
    </xdr:from>
    <xdr:to>
      <xdr:col>14</xdr:col>
      <xdr:colOff>104019</xdr:colOff>
      <xdr:row>231</xdr:row>
      <xdr:rowOff>75596</xdr:rowOff>
    </xdr:to>
    <xdr:cxnSp macro="">
      <xdr:nvCxnSpPr>
        <xdr:cNvPr id="832" name="Connecteur droit avec flèche 831"/>
        <xdr:cNvCxnSpPr/>
      </xdr:nvCxnSpPr>
      <xdr:spPr>
        <a:xfrm flipV="1">
          <a:off x="12133036" y="44667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231</xdr:row>
      <xdr:rowOff>73481</xdr:rowOff>
    </xdr:from>
    <xdr:to>
      <xdr:col>14</xdr:col>
      <xdr:colOff>17236</xdr:colOff>
      <xdr:row>231</xdr:row>
      <xdr:rowOff>86180</xdr:rowOff>
    </xdr:to>
    <xdr:cxnSp macro="">
      <xdr:nvCxnSpPr>
        <xdr:cNvPr id="833" name="Connecteur droit avec flèche 832"/>
        <xdr:cNvCxnSpPr/>
      </xdr:nvCxnSpPr>
      <xdr:spPr>
        <a:xfrm>
          <a:off x="12090702" y="45088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233</xdr:row>
      <xdr:rowOff>75596</xdr:rowOff>
    </xdr:from>
    <xdr:to>
      <xdr:col>14</xdr:col>
      <xdr:colOff>17237</xdr:colOff>
      <xdr:row>235</xdr:row>
      <xdr:rowOff>75594</xdr:rowOff>
    </xdr:to>
    <xdr:cxnSp macro="">
      <xdr:nvCxnSpPr>
        <xdr:cNvPr id="834" name="Connecteur droit avec flèche 833"/>
        <xdr:cNvCxnSpPr/>
      </xdr:nvCxnSpPr>
      <xdr:spPr>
        <a:xfrm flipV="1">
          <a:off x="11974287" y="45471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238</xdr:row>
      <xdr:rowOff>65012</xdr:rowOff>
    </xdr:from>
    <xdr:to>
      <xdr:col>14</xdr:col>
      <xdr:colOff>6654</xdr:colOff>
      <xdr:row>238</xdr:row>
      <xdr:rowOff>75597</xdr:rowOff>
    </xdr:to>
    <xdr:cxnSp macro="">
      <xdr:nvCxnSpPr>
        <xdr:cNvPr id="835" name="Connecteur droit avec flèche 834"/>
        <xdr:cNvCxnSpPr/>
      </xdr:nvCxnSpPr>
      <xdr:spPr>
        <a:xfrm>
          <a:off x="12101287" y="46413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236</xdr:row>
      <xdr:rowOff>54429</xdr:rowOff>
    </xdr:from>
    <xdr:to>
      <xdr:col>14</xdr:col>
      <xdr:colOff>27821</xdr:colOff>
      <xdr:row>236</xdr:row>
      <xdr:rowOff>65014</xdr:rowOff>
    </xdr:to>
    <xdr:cxnSp macro="">
      <xdr:nvCxnSpPr>
        <xdr:cNvPr id="836" name="Connecteur droit avec flèche 835"/>
        <xdr:cNvCxnSpPr/>
      </xdr:nvCxnSpPr>
      <xdr:spPr>
        <a:xfrm>
          <a:off x="12175371" y="46022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235</xdr:row>
      <xdr:rowOff>43846</xdr:rowOff>
    </xdr:from>
    <xdr:to>
      <xdr:col>13</xdr:col>
      <xdr:colOff>747487</xdr:colOff>
      <xdr:row>235</xdr:row>
      <xdr:rowOff>65014</xdr:rowOff>
    </xdr:to>
    <xdr:cxnSp macro="">
      <xdr:nvCxnSpPr>
        <xdr:cNvPr id="837" name="Connecteur droit avec flèche 836"/>
        <xdr:cNvCxnSpPr/>
      </xdr:nvCxnSpPr>
      <xdr:spPr>
        <a:xfrm>
          <a:off x="12027204" y="45820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237</xdr:row>
      <xdr:rowOff>107345</xdr:rowOff>
    </xdr:from>
    <xdr:to>
      <xdr:col>14</xdr:col>
      <xdr:colOff>38404</xdr:colOff>
      <xdr:row>238</xdr:row>
      <xdr:rowOff>65012</xdr:rowOff>
    </xdr:to>
    <xdr:cxnSp macro="">
      <xdr:nvCxnSpPr>
        <xdr:cNvPr id="838" name="Connecteur droit avec flèche 837"/>
        <xdr:cNvCxnSpPr/>
      </xdr:nvCxnSpPr>
      <xdr:spPr>
        <a:xfrm flipV="1">
          <a:off x="12101287" y="46265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229</xdr:row>
      <xdr:rowOff>33262</xdr:rowOff>
    </xdr:from>
    <xdr:to>
      <xdr:col>16</xdr:col>
      <xdr:colOff>123071</xdr:colOff>
      <xdr:row>229</xdr:row>
      <xdr:rowOff>45962</xdr:rowOff>
    </xdr:to>
    <xdr:cxnSp macro="">
      <xdr:nvCxnSpPr>
        <xdr:cNvPr id="839" name="Connecteur droit avec flèche 838"/>
        <xdr:cNvCxnSpPr/>
      </xdr:nvCxnSpPr>
      <xdr:spPr>
        <a:xfrm>
          <a:off x="13731120" y="44667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233</xdr:row>
      <xdr:rowOff>65012</xdr:rowOff>
    </xdr:from>
    <xdr:to>
      <xdr:col>16</xdr:col>
      <xdr:colOff>70154</xdr:colOff>
      <xdr:row>233</xdr:row>
      <xdr:rowOff>67129</xdr:rowOff>
    </xdr:to>
    <xdr:cxnSp macro="">
      <xdr:nvCxnSpPr>
        <xdr:cNvPr id="840" name="Connecteur droit avec flèche 839"/>
        <xdr:cNvCxnSpPr/>
      </xdr:nvCxnSpPr>
      <xdr:spPr>
        <a:xfrm>
          <a:off x="13699370" y="45461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231</xdr:row>
      <xdr:rowOff>65012</xdr:rowOff>
    </xdr:from>
    <xdr:to>
      <xdr:col>16</xdr:col>
      <xdr:colOff>144238</xdr:colOff>
      <xdr:row>231</xdr:row>
      <xdr:rowOff>67129</xdr:rowOff>
    </xdr:to>
    <xdr:cxnSp macro="">
      <xdr:nvCxnSpPr>
        <xdr:cNvPr id="841" name="Connecteur droit avec flèche 840"/>
        <xdr:cNvCxnSpPr/>
      </xdr:nvCxnSpPr>
      <xdr:spPr>
        <a:xfrm>
          <a:off x="13773454" y="45080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235</xdr:row>
      <xdr:rowOff>54429</xdr:rowOff>
    </xdr:from>
    <xdr:to>
      <xdr:col>16</xdr:col>
      <xdr:colOff>133654</xdr:colOff>
      <xdr:row>235</xdr:row>
      <xdr:rowOff>56546</xdr:rowOff>
    </xdr:to>
    <xdr:cxnSp macro="">
      <xdr:nvCxnSpPr>
        <xdr:cNvPr id="842" name="Connecteur droit avec flèche 841"/>
        <xdr:cNvCxnSpPr/>
      </xdr:nvCxnSpPr>
      <xdr:spPr>
        <a:xfrm>
          <a:off x="13762870" y="45831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237</xdr:row>
      <xdr:rowOff>54429</xdr:rowOff>
    </xdr:from>
    <xdr:to>
      <xdr:col>16</xdr:col>
      <xdr:colOff>80737</xdr:colOff>
      <xdr:row>237</xdr:row>
      <xdr:rowOff>56546</xdr:rowOff>
    </xdr:to>
    <xdr:cxnSp macro="">
      <xdr:nvCxnSpPr>
        <xdr:cNvPr id="843" name="Connecteur droit avec flèche 842"/>
        <xdr:cNvCxnSpPr/>
      </xdr:nvCxnSpPr>
      <xdr:spPr>
        <a:xfrm>
          <a:off x="13709953" y="46212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238</xdr:row>
      <xdr:rowOff>65012</xdr:rowOff>
    </xdr:from>
    <xdr:to>
      <xdr:col>16</xdr:col>
      <xdr:colOff>70155</xdr:colOff>
      <xdr:row>238</xdr:row>
      <xdr:rowOff>67129</xdr:rowOff>
    </xdr:to>
    <xdr:cxnSp macro="">
      <xdr:nvCxnSpPr>
        <xdr:cNvPr id="844" name="Connecteur droit avec flèche 843"/>
        <xdr:cNvCxnSpPr/>
      </xdr:nvCxnSpPr>
      <xdr:spPr>
        <a:xfrm>
          <a:off x="13699371" y="46413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236</xdr:row>
      <xdr:rowOff>65013</xdr:rowOff>
    </xdr:from>
    <xdr:to>
      <xdr:col>16</xdr:col>
      <xdr:colOff>38404</xdr:colOff>
      <xdr:row>236</xdr:row>
      <xdr:rowOff>67130</xdr:rowOff>
    </xdr:to>
    <xdr:cxnSp macro="">
      <xdr:nvCxnSpPr>
        <xdr:cNvPr id="845" name="Connecteur droit avec flèche 844"/>
        <xdr:cNvCxnSpPr/>
      </xdr:nvCxnSpPr>
      <xdr:spPr>
        <a:xfrm>
          <a:off x="13667620" y="46032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228</xdr:row>
      <xdr:rowOff>54429</xdr:rowOff>
    </xdr:from>
    <xdr:to>
      <xdr:col>16</xdr:col>
      <xdr:colOff>101904</xdr:colOff>
      <xdr:row>229</xdr:row>
      <xdr:rowOff>22680</xdr:rowOff>
    </xdr:to>
    <xdr:cxnSp macro="">
      <xdr:nvCxnSpPr>
        <xdr:cNvPr id="846" name="Connecteur droit avec flèche 845"/>
        <xdr:cNvCxnSpPr/>
      </xdr:nvCxnSpPr>
      <xdr:spPr>
        <a:xfrm flipV="1">
          <a:off x="13720536" y="44498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230</xdr:row>
      <xdr:rowOff>75596</xdr:rowOff>
    </xdr:from>
    <xdr:to>
      <xdr:col>16</xdr:col>
      <xdr:colOff>144237</xdr:colOff>
      <xdr:row>231</xdr:row>
      <xdr:rowOff>43847</xdr:rowOff>
    </xdr:to>
    <xdr:cxnSp macro="">
      <xdr:nvCxnSpPr>
        <xdr:cNvPr id="847" name="Connecteur droit avec flèche 846"/>
        <xdr:cNvCxnSpPr/>
      </xdr:nvCxnSpPr>
      <xdr:spPr>
        <a:xfrm flipV="1">
          <a:off x="13773454" y="44900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232</xdr:row>
      <xdr:rowOff>75596</xdr:rowOff>
    </xdr:from>
    <xdr:to>
      <xdr:col>16</xdr:col>
      <xdr:colOff>91320</xdr:colOff>
      <xdr:row>233</xdr:row>
      <xdr:rowOff>43847</xdr:rowOff>
    </xdr:to>
    <xdr:cxnSp macro="">
      <xdr:nvCxnSpPr>
        <xdr:cNvPr id="848" name="Connecteur droit avec flèche 847"/>
        <xdr:cNvCxnSpPr/>
      </xdr:nvCxnSpPr>
      <xdr:spPr>
        <a:xfrm flipV="1">
          <a:off x="13688787" y="45281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234</xdr:row>
      <xdr:rowOff>75596</xdr:rowOff>
    </xdr:from>
    <xdr:to>
      <xdr:col>16</xdr:col>
      <xdr:colOff>165404</xdr:colOff>
      <xdr:row>235</xdr:row>
      <xdr:rowOff>33264</xdr:rowOff>
    </xdr:to>
    <xdr:cxnSp macro="">
      <xdr:nvCxnSpPr>
        <xdr:cNvPr id="849" name="Connecteur droit avec flèche 848"/>
        <xdr:cNvCxnSpPr/>
      </xdr:nvCxnSpPr>
      <xdr:spPr>
        <a:xfrm flipV="1">
          <a:off x="13741703" y="45662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228</xdr:row>
      <xdr:rowOff>47625</xdr:rowOff>
    </xdr:from>
    <xdr:to>
      <xdr:col>10</xdr:col>
      <xdr:colOff>1031875</xdr:colOff>
      <xdr:row>238</xdr:row>
      <xdr:rowOff>142875</xdr:rowOff>
    </xdr:to>
    <xdr:sp macro="" textlink="">
      <xdr:nvSpPr>
        <xdr:cNvPr id="850" name="Accolade fermante 849"/>
        <xdr:cNvSpPr/>
      </xdr:nvSpPr>
      <xdr:spPr>
        <a:xfrm>
          <a:off x="10261600" y="44491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12</xdr:col>
      <xdr:colOff>683986</xdr:colOff>
      <xdr:row>205</xdr:row>
      <xdr:rowOff>33264</xdr:rowOff>
    </xdr:from>
    <xdr:to>
      <xdr:col>14</xdr:col>
      <xdr:colOff>104019</xdr:colOff>
      <xdr:row>207</xdr:row>
      <xdr:rowOff>75596</xdr:rowOff>
    </xdr:to>
    <xdr:cxnSp macro="">
      <xdr:nvCxnSpPr>
        <xdr:cNvPr id="851" name="Connecteur droit avec flèche 850"/>
        <xdr:cNvCxnSpPr/>
      </xdr:nvCxnSpPr>
      <xdr:spPr>
        <a:xfrm flipV="1">
          <a:off x="12133036" y="42381414"/>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641652</xdr:colOff>
      <xdr:row>207</xdr:row>
      <xdr:rowOff>73481</xdr:rowOff>
    </xdr:from>
    <xdr:to>
      <xdr:col>14</xdr:col>
      <xdr:colOff>17236</xdr:colOff>
      <xdr:row>207</xdr:row>
      <xdr:rowOff>86180</xdr:rowOff>
    </xdr:to>
    <xdr:cxnSp macro="">
      <xdr:nvCxnSpPr>
        <xdr:cNvPr id="852" name="Connecteur droit avec flèche 851"/>
        <xdr:cNvCxnSpPr/>
      </xdr:nvCxnSpPr>
      <xdr:spPr>
        <a:xfrm>
          <a:off x="12090702" y="42802631"/>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525237</xdr:colOff>
      <xdr:row>209</xdr:row>
      <xdr:rowOff>75596</xdr:rowOff>
    </xdr:from>
    <xdr:to>
      <xdr:col>14</xdr:col>
      <xdr:colOff>17237</xdr:colOff>
      <xdr:row>211</xdr:row>
      <xdr:rowOff>75594</xdr:rowOff>
    </xdr:to>
    <xdr:cxnSp macro="">
      <xdr:nvCxnSpPr>
        <xdr:cNvPr id="853" name="Connecteur droit avec flèche 852"/>
        <xdr:cNvCxnSpPr/>
      </xdr:nvCxnSpPr>
      <xdr:spPr>
        <a:xfrm flipV="1">
          <a:off x="11974287" y="43185746"/>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214</xdr:row>
      <xdr:rowOff>65012</xdr:rowOff>
    </xdr:from>
    <xdr:to>
      <xdr:col>14</xdr:col>
      <xdr:colOff>6654</xdr:colOff>
      <xdr:row>214</xdr:row>
      <xdr:rowOff>75597</xdr:rowOff>
    </xdr:to>
    <xdr:cxnSp macro="">
      <xdr:nvCxnSpPr>
        <xdr:cNvPr id="854" name="Connecteur droit avec flèche 853"/>
        <xdr:cNvCxnSpPr/>
      </xdr:nvCxnSpPr>
      <xdr:spPr>
        <a:xfrm>
          <a:off x="12101287" y="44127662"/>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726321</xdr:colOff>
      <xdr:row>212</xdr:row>
      <xdr:rowOff>54429</xdr:rowOff>
    </xdr:from>
    <xdr:to>
      <xdr:col>14</xdr:col>
      <xdr:colOff>27821</xdr:colOff>
      <xdr:row>212</xdr:row>
      <xdr:rowOff>65014</xdr:rowOff>
    </xdr:to>
    <xdr:cxnSp macro="">
      <xdr:nvCxnSpPr>
        <xdr:cNvPr id="855" name="Connecteur droit avec flèche 854"/>
        <xdr:cNvCxnSpPr/>
      </xdr:nvCxnSpPr>
      <xdr:spPr>
        <a:xfrm>
          <a:off x="12175371" y="43736079"/>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578154</xdr:colOff>
      <xdr:row>211</xdr:row>
      <xdr:rowOff>43846</xdr:rowOff>
    </xdr:from>
    <xdr:to>
      <xdr:col>13</xdr:col>
      <xdr:colOff>747487</xdr:colOff>
      <xdr:row>211</xdr:row>
      <xdr:rowOff>65014</xdr:rowOff>
    </xdr:to>
    <xdr:cxnSp macro="">
      <xdr:nvCxnSpPr>
        <xdr:cNvPr id="856" name="Connecteur droit avec flèche 855"/>
        <xdr:cNvCxnSpPr/>
      </xdr:nvCxnSpPr>
      <xdr:spPr>
        <a:xfrm>
          <a:off x="12027204" y="43534996"/>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652237</xdr:colOff>
      <xdr:row>213</xdr:row>
      <xdr:rowOff>107345</xdr:rowOff>
    </xdr:from>
    <xdr:to>
      <xdr:col>14</xdr:col>
      <xdr:colOff>38404</xdr:colOff>
      <xdr:row>214</xdr:row>
      <xdr:rowOff>65012</xdr:rowOff>
    </xdr:to>
    <xdr:cxnSp macro="">
      <xdr:nvCxnSpPr>
        <xdr:cNvPr id="857" name="Connecteur droit avec flèche 856"/>
        <xdr:cNvCxnSpPr/>
      </xdr:nvCxnSpPr>
      <xdr:spPr>
        <a:xfrm flipV="1">
          <a:off x="12101287" y="43979495"/>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758070</xdr:colOff>
      <xdr:row>205</xdr:row>
      <xdr:rowOff>33262</xdr:rowOff>
    </xdr:from>
    <xdr:to>
      <xdr:col>16</xdr:col>
      <xdr:colOff>123071</xdr:colOff>
      <xdr:row>205</xdr:row>
      <xdr:rowOff>45962</xdr:rowOff>
    </xdr:to>
    <xdr:cxnSp macro="">
      <xdr:nvCxnSpPr>
        <xdr:cNvPr id="858" name="Connecteur droit avec flèche 857"/>
        <xdr:cNvCxnSpPr/>
      </xdr:nvCxnSpPr>
      <xdr:spPr>
        <a:xfrm>
          <a:off x="13731120" y="42381412"/>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726320</xdr:colOff>
      <xdr:row>209</xdr:row>
      <xdr:rowOff>65012</xdr:rowOff>
    </xdr:from>
    <xdr:to>
      <xdr:col>16</xdr:col>
      <xdr:colOff>70154</xdr:colOff>
      <xdr:row>209</xdr:row>
      <xdr:rowOff>67129</xdr:rowOff>
    </xdr:to>
    <xdr:cxnSp macro="">
      <xdr:nvCxnSpPr>
        <xdr:cNvPr id="859" name="Connecteur droit avec flèche 858"/>
        <xdr:cNvCxnSpPr/>
      </xdr:nvCxnSpPr>
      <xdr:spPr>
        <a:xfrm>
          <a:off x="13699370" y="43175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207</xdr:row>
      <xdr:rowOff>65012</xdr:rowOff>
    </xdr:from>
    <xdr:to>
      <xdr:col>16</xdr:col>
      <xdr:colOff>144238</xdr:colOff>
      <xdr:row>207</xdr:row>
      <xdr:rowOff>67129</xdr:rowOff>
    </xdr:to>
    <xdr:cxnSp macro="">
      <xdr:nvCxnSpPr>
        <xdr:cNvPr id="860" name="Connecteur droit avec flèche 859"/>
        <xdr:cNvCxnSpPr/>
      </xdr:nvCxnSpPr>
      <xdr:spPr>
        <a:xfrm>
          <a:off x="13773454" y="427941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27820</xdr:colOff>
      <xdr:row>211</xdr:row>
      <xdr:rowOff>54429</xdr:rowOff>
    </xdr:from>
    <xdr:to>
      <xdr:col>16</xdr:col>
      <xdr:colOff>133654</xdr:colOff>
      <xdr:row>211</xdr:row>
      <xdr:rowOff>56546</xdr:rowOff>
    </xdr:to>
    <xdr:cxnSp macro="">
      <xdr:nvCxnSpPr>
        <xdr:cNvPr id="861" name="Connecteur droit avec flèche 860"/>
        <xdr:cNvCxnSpPr/>
      </xdr:nvCxnSpPr>
      <xdr:spPr>
        <a:xfrm>
          <a:off x="13762870" y="43545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736903</xdr:colOff>
      <xdr:row>213</xdr:row>
      <xdr:rowOff>54429</xdr:rowOff>
    </xdr:from>
    <xdr:to>
      <xdr:col>16</xdr:col>
      <xdr:colOff>80737</xdr:colOff>
      <xdr:row>213</xdr:row>
      <xdr:rowOff>56546</xdr:rowOff>
    </xdr:to>
    <xdr:cxnSp macro="">
      <xdr:nvCxnSpPr>
        <xdr:cNvPr id="862" name="Connecteur droit avec flèche 861"/>
        <xdr:cNvCxnSpPr/>
      </xdr:nvCxnSpPr>
      <xdr:spPr>
        <a:xfrm>
          <a:off x="13709953" y="4392657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726321</xdr:colOff>
      <xdr:row>214</xdr:row>
      <xdr:rowOff>65012</xdr:rowOff>
    </xdr:from>
    <xdr:to>
      <xdr:col>16</xdr:col>
      <xdr:colOff>70155</xdr:colOff>
      <xdr:row>214</xdr:row>
      <xdr:rowOff>67129</xdr:rowOff>
    </xdr:to>
    <xdr:cxnSp macro="">
      <xdr:nvCxnSpPr>
        <xdr:cNvPr id="863" name="Connecteur droit avec flèche 862"/>
        <xdr:cNvCxnSpPr/>
      </xdr:nvCxnSpPr>
      <xdr:spPr>
        <a:xfrm>
          <a:off x="13699371" y="4412766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694570</xdr:colOff>
      <xdr:row>212</xdr:row>
      <xdr:rowOff>65013</xdr:rowOff>
    </xdr:from>
    <xdr:to>
      <xdr:col>16</xdr:col>
      <xdr:colOff>38404</xdr:colOff>
      <xdr:row>212</xdr:row>
      <xdr:rowOff>67130</xdr:rowOff>
    </xdr:to>
    <xdr:cxnSp macro="">
      <xdr:nvCxnSpPr>
        <xdr:cNvPr id="864" name="Connecteur droit avec flèche 863"/>
        <xdr:cNvCxnSpPr/>
      </xdr:nvCxnSpPr>
      <xdr:spPr>
        <a:xfrm>
          <a:off x="13667620" y="4374666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747486</xdr:colOff>
      <xdr:row>204</xdr:row>
      <xdr:rowOff>54429</xdr:rowOff>
    </xdr:from>
    <xdr:to>
      <xdr:col>16</xdr:col>
      <xdr:colOff>101904</xdr:colOff>
      <xdr:row>205</xdr:row>
      <xdr:rowOff>22680</xdr:rowOff>
    </xdr:to>
    <xdr:cxnSp macro="">
      <xdr:nvCxnSpPr>
        <xdr:cNvPr id="865" name="Connecteur droit avec flèche 864"/>
        <xdr:cNvCxnSpPr/>
      </xdr:nvCxnSpPr>
      <xdr:spPr>
        <a:xfrm flipV="1">
          <a:off x="13720536" y="42212079"/>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38404</xdr:colOff>
      <xdr:row>206</xdr:row>
      <xdr:rowOff>75596</xdr:rowOff>
    </xdr:from>
    <xdr:to>
      <xdr:col>16</xdr:col>
      <xdr:colOff>144237</xdr:colOff>
      <xdr:row>207</xdr:row>
      <xdr:rowOff>43847</xdr:rowOff>
    </xdr:to>
    <xdr:cxnSp macro="">
      <xdr:nvCxnSpPr>
        <xdr:cNvPr id="866" name="Connecteur droit avec flèche 865"/>
        <xdr:cNvCxnSpPr/>
      </xdr:nvCxnSpPr>
      <xdr:spPr>
        <a:xfrm flipV="1">
          <a:off x="13773454" y="42614246"/>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715737</xdr:colOff>
      <xdr:row>208</xdr:row>
      <xdr:rowOff>75596</xdr:rowOff>
    </xdr:from>
    <xdr:to>
      <xdr:col>16</xdr:col>
      <xdr:colOff>91320</xdr:colOff>
      <xdr:row>209</xdr:row>
      <xdr:rowOff>43847</xdr:rowOff>
    </xdr:to>
    <xdr:cxnSp macro="">
      <xdr:nvCxnSpPr>
        <xdr:cNvPr id="867" name="Connecteur droit avec flèche 866"/>
        <xdr:cNvCxnSpPr/>
      </xdr:nvCxnSpPr>
      <xdr:spPr>
        <a:xfrm flipV="1">
          <a:off x="13688787" y="42995246"/>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6653</xdr:colOff>
      <xdr:row>210</xdr:row>
      <xdr:rowOff>75596</xdr:rowOff>
    </xdr:from>
    <xdr:to>
      <xdr:col>16</xdr:col>
      <xdr:colOff>165404</xdr:colOff>
      <xdr:row>211</xdr:row>
      <xdr:rowOff>33264</xdr:rowOff>
    </xdr:to>
    <xdr:cxnSp macro="">
      <xdr:nvCxnSpPr>
        <xdr:cNvPr id="868" name="Connecteur droit avec flèche 867"/>
        <xdr:cNvCxnSpPr/>
      </xdr:nvCxnSpPr>
      <xdr:spPr>
        <a:xfrm flipV="1">
          <a:off x="13741703" y="43376246"/>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889000</xdr:colOff>
      <xdr:row>204</xdr:row>
      <xdr:rowOff>47625</xdr:rowOff>
    </xdr:from>
    <xdr:to>
      <xdr:col>10</xdr:col>
      <xdr:colOff>1031875</xdr:colOff>
      <xdr:row>214</xdr:row>
      <xdr:rowOff>142875</xdr:rowOff>
    </xdr:to>
    <xdr:sp macro="" textlink="">
      <xdr:nvSpPr>
        <xdr:cNvPr id="869" name="Accolade fermante 868"/>
        <xdr:cNvSpPr/>
      </xdr:nvSpPr>
      <xdr:spPr>
        <a:xfrm>
          <a:off x="10261600" y="42205275"/>
          <a:ext cx="142875" cy="2000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374</xdr:row>
      <xdr:rowOff>103911</xdr:rowOff>
    </xdr:from>
    <xdr:to>
      <xdr:col>11</xdr:col>
      <xdr:colOff>714375</xdr:colOff>
      <xdr:row>374</xdr:row>
      <xdr:rowOff>114300</xdr:rowOff>
    </xdr:to>
    <xdr:cxnSp macro="">
      <xdr:nvCxnSpPr>
        <xdr:cNvPr id="870" name="Connecteur droit avec flèche 869"/>
        <xdr:cNvCxnSpPr/>
      </xdr:nvCxnSpPr>
      <xdr:spPr>
        <a:xfrm>
          <a:off x="10463645" y="66264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374</xdr:row>
      <xdr:rowOff>114300</xdr:rowOff>
    </xdr:from>
    <xdr:to>
      <xdr:col>12</xdr:col>
      <xdr:colOff>348344</xdr:colOff>
      <xdr:row>374</xdr:row>
      <xdr:rowOff>122464</xdr:rowOff>
    </xdr:to>
    <xdr:cxnSp macro="">
      <xdr:nvCxnSpPr>
        <xdr:cNvPr id="871" name="Connecteur droit avec flèche 870"/>
        <xdr:cNvCxnSpPr/>
      </xdr:nvCxnSpPr>
      <xdr:spPr>
        <a:xfrm>
          <a:off x="10556422" y="66274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369</xdr:row>
      <xdr:rowOff>72573</xdr:rowOff>
    </xdr:from>
    <xdr:to>
      <xdr:col>12</xdr:col>
      <xdr:colOff>429079</xdr:colOff>
      <xdr:row>374</xdr:row>
      <xdr:rowOff>108857</xdr:rowOff>
    </xdr:to>
    <xdr:cxnSp macro="">
      <xdr:nvCxnSpPr>
        <xdr:cNvPr id="872" name="Connecteur droit avec flèche 871"/>
        <xdr:cNvCxnSpPr/>
      </xdr:nvCxnSpPr>
      <xdr:spPr>
        <a:xfrm flipV="1">
          <a:off x="10605408" y="65280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373</xdr:row>
      <xdr:rowOff>27215</xdr:rowOff>
    </xdr:from>
    <xdr:to>
      <xdr:col>12</xdr:col>
      <xdr:colOff>286960</xdr:colOff>
      <xdr:row>374</xdr:row>
      <xdr:rowOff>108857</xdr:rowOff>
    </xdr:to>
    <xdr:cxnSp macro="">
      <xdr:nvCxnSpPr>
        <xdr:cNvPr id="873" name="Connecteur droit avec flèche 872"/>
        <xdr:cNvCxnSpPr/>
      </xdr:nvCxnSpPr>
      <xdr:spPr>
        <a:xfrm flipV="1">
          <a:off x="10591801" y="65997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367</xdr:row>
      <xdr:rowOff>19657</xdr:rowOff>
    </xdr:from>
    <xdr:to>
      <xdr:col>14</xdr:col>
      <xdr:colOff>261862</xdr:colOff>
      <xdr:row>369</xdr:row>
      <xdr:rowOff>61989</xdr:rowOff>
    </xdr:to>
    <xdr:cxnSp macro="">
      <xdr:nvCxnSpPr>
        <xdr:cNvPr id="874" name="Connecteur droit avec flèche 873"/>
        <xdr:cNvCxnSpPr/>
      </xdr:nvCxnSpPr>
      <xdr:spPr>
        <a:xfrm flipV="1">
          <a:off x="12290879" y="64846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369</xdr:row>
      <xdr:rowOff>59874</xdr:rowOff>
    </xdr:from>
    <xdr:to>
      <xdr:col>14</xdr:col>
      <xdr:colOff>175079</xdr:colOff>
      <xdr:row>369</xdr:row>
      <xdr:rowOff>72573</xdr:rowOff>
    </xdr:to>
    <xdr:cxnSp macro="">
      <xdr:nvCxnSpPr>
        <xdr:cNvPr id="875" name="Connecteur droit avec flèche 874"/>
        <xdr:cNvCxnSpPr/>
      </xdr:nvCxnSpPr>
      <xdr:spPr>
        <a:xfrm>
          <a:off x="12248545" y="65268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371</xdr:row>
      <xdr:rowOff>61989</xdr:rowOff>
    </xdr:from>
    <xdr:to>
      <xdr:col>14</xdr:col>
      <xdr:colOff>175080</xdr:colOff>
      <xdr:row>373</xdr:row>
      <xdr:rowOff>61987</xdr:rowOff>
    </xdr:to>
    <xdr:cxnSp macro="">
      <xdr:nvCxnSpPr>
        <xdr:cNvPr id="876" name="Connecteur droit avec flèche 875"/>
        <xdr:cNvCxnSpPr/>
      </xdr:nvCxnSpPr>
      <xdr:spPr>
        <a:xfrm flipV="1">
          <a:off x="12132130" y="65651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374</xdr:row>
      <xdr:rowOff>93738</xdr:rowOff>
    </xdr:from>
    <xdr:to>
      <xdr:col>14</xdr:col>
      <xdr:colOff>26914</xdr:colOff>
      <xdr:row>374</xdr:row>
      <xdr:rowOff>104323</xdr:rowOff>
    </xdr:to>
    <xdr:cxnSp macro="">
      <xdr:nvCxnSpPr>
        <xdr:cNvPr id="877" name="Connecteur droit avec flèche 876"/>
        <xdr:cNvCxnSpPr/>
      </xdr:nvCxnSpPr>
      <xdr:spPr>
        <a:xfrm>
          <a:off x="12174464" y="66254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373</xdr:row>
      <xdr:rowOff>30239</xdr:rowOff>
    </xdr:from>
    <xdr:to>
      <xdr:col>14</xdr:col>
      <xdr:colOff>143330</xdr:colOff>
      <xdr:row>373</xdr:row>
      <xdr:rowOff>51407</xdr:rowOff>
    </xdr:to>
    <xdr:cxnSp macro="">
      <xdr:nvCxnSpPr>
        <xdr:cNvPr id="878" name="Connecteur droit avec flèche 877"/>
        <xdr:cNvCxnSpPr/>
      </xdr:nvCxnSpPr>
      <xdr:spPr>
        <a:xfrm>
          <a:off x="12185047" y="66000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367</xdr:row>
      <xdr:rowOff>101298</xdr:rowOff>
    </xdr:from>
    <xdr:to>
      <xdr:col>16</xdr:col>
      <xdr:colOff>267307</xdr:colOff>
      <xdr:row>367</xdr:row>
      <xdr:rowOff>113998</xdr:rowOff>
    </xdr:to>
    <xdr:cxnSp macro="">
      <xdr:nvCxnSpPr>
        <xdr:cNvPr id="879" name="Connecteur droit avec flèche 878"/>
        <xdr:cNvCxnSpPr/>
      </xdr:nvCxnSpPr>
      <xdr:spPr>
        <a:xfrm>
          <a:off x="13875356" y="64928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371</xdr:row>
      <xdr:rowOff>133048</xdr:rowOff>
    </xdr:from>
    <xdr:to>
      <xdr:col>16</xdr:col>
      <xdr:colOff>214390</xdr:colOff>
      <xdr:row>371</xdr:row>
      <xdr:rowOff>135165</xdr:rowOff>
    </xdr:to>
    <xdr:cxnSp macro="">
      <xdr:nvCxnSpPr>
        <xdr:cNvPr id="880" name="Connecteur droit avec flèche 879"/>
        <xdr:cNvCxnSpPr/>
      </xdr:nvCxnSpPr>
      <xdr:spPr>
        <a:xfrm>
          <a:off x="13843606" y="65722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369</xdr:row>
      <xdr:rowOff>133048</xdr:rowOff>
    </xdr:from>
    <xdr:to>
      <xdr:col>16</xdr:col>
      <xdr:colOff>288474</xdr:colOff>
      <xdr:row>369</xdr:row>
      <xdr:rowOff>135165</xdr:rowOff>
    </xdr:to>
    <xdr:cxnSp macro="">
      <xdr:nvCxnSpPr>
        <xdr:cNvPr id="881" name="Connecteur droit avec flèche 880"/>
        <xdr:cNvCxnSpPr/>
      </xdr:nvCxnSpPr>
      <xdr:spPr>
        <a:xfrm>
          <a:off x="13917690" y="65341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373</xdr:row>
      <xdr:rowOff>122465</xdr:rowOff>
    </xdr:from>
    <xdr:to>
      <xdr:col>16</xdr:col>
      <xdr:colOff>277890</xdr:colOff>
      <xdr:row>373</xdr:row>
      <xdr:rowOff>124582</xdr:rowOff>
    </xdr:to>
    <xdr:cxnSp macro="">
      <xdr:nvCxnSpPr>
        <xdr:cNvPr id="882" name="Connecteur droit avec flèche 881"/>
        <xdr:cNvCxnSpPr/>
      </xdr:nvCxnSpPr>
      <xdr:spPr>
        <a:xfrm>
          <a:off x="13907106" y="66092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374</xdr:row>
      <xdr:rowOff>133049</xdr:rowOff>
    </xdr:from>
    <xdr:to>
      <xdr:col>16</xdr:col>
      <xdr:colOff>182640</xdr:colOff>
      <xdr:row>374</xdr:row>
      <xdr:rowOff>135166</xdr:rowOff>
    </xdr:to>
    <xdr:cxnSp macro="">
      <xdr:nvCxnSpPr>
        <xdr:cNvPr id="883" name="Connecteur droit avec flèche 882"/>
        <xdr:cNvCxnSpPr/>
      </xdr:nvCxnSpPr>
      <xdr:spPr>
        <a:xfrm>
          <a:off x="13811856" y="66293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366</xdr:row>
      <xdr:rowOff>122465</xdr:rowOff>
    </xdr:from>
    <xdr:to>
      <xdr:col>16</xdr:col>
      <xdr:colOff>246140</xdr:colOff>
      <xdr:row>367</xdr:row>
      <xdr:rowOff>90716</xdr:rowOff>
    </xdr:to>
    <xdr:cxnSp macro="">
      <xdr:nvCxnSpPr>
        <xdr:cNvPr id="884" name="Connecteur droit avec flèche 883"/>
        <xdr:cNvCxnSpPr/>
      </xdr:nvCxnSpPr>
      <xdr:spPr>
        <a:xfrm flipV="1">
          <a:off x="13864772" y="64759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368</xdr:row>
      <xdr:rowOff>143632</xdr:rowOff>
    </xdr:from>
    <xdr:to>
      <xdr:col>16</xdr:col>
      <xdr:colOff>288473</xdr:colOff>
      <xdr:row>369</xdr:row>
      <xdr:rowOff>111883</xdr:rowOff>
    </xdr:to>
    <xdr:cxnSp macro="">
      <xdr:nvCxnSpPr>
        <xdr:cNvPr id="885" name="Connecteur droit avec flèche 884"/>
        <xdr:cNvCxnSpPr/>
      </xdr:nvCxnSpPr>
      <xdr:spPr>
        <a:xfrm flipV="1">
          <a:off x="13917690" y="65161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370</xdr:row>
      <xdr:rowOff>143632</xdr:rowOff>
    </xdr:from>
    <xdr:to>
      <xdr:col>16</xdr:col>
      <xdr:colOff>235556</xdr:colOff>
      <xdr:row>371</xdr:row>
      <xdr:rowOff>111883</xdr:rowOff>
    </xdr:to>
    <xdr:cxnSp macro="">
      <xdr:nvCxnSpPr>
        <xdr:cNvPr id="886" name="Connecteur droit avec flèche 885"/>
        <xdr:cNvCxnSpPr/>
      </xdr:nvCxnSpPr>
      <xdr:spPr>
        <a:xfrm flipV="1">
          <a:off x="13833023" y="65542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372</xdr:row>
      <xdr:rowOff>122464</xdr:rowOff>
    </xdr:from>
    <xdr:to>
      <xdr:col>16</xdr:col>
      <xdr:colOff>176893</xdr:colOff>
      <xdr:row>373</xdr:row>
      <xdr:rowOff>101300</xdr:rowOff>
    </xdr:to>
    <xdr:cxnSp macro="">
      <xdr:nvCxnSpPr>
        <xdr:cNvPr id="887" name="Connecteur droit avec flèche 886"/>
        <xdr:cNvCxnSpPr/>
      </xdr:nvCxnSpPr>
      <xdr:spPr>
        <a:xfrm flipV="1">
          <a:off x="13885939" y="65902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366</xdr:row>
      <xdr:rowOff>5292</xdr:rowOff>
    </xdr:from>
    <xdr:to>
      <xdr:col>10</xdr:col>
      <xdr:colOff>963084</xdr:colOff>
      <xdr:row>374</xdr:row>
      <xdr:rowOff>158751</xdr:rowOff>
    </xdr:to>
    <xdr:sp macro="" textlink="">
      <xdr:nvSpPr>
        <xdr:cNvPr id="888" name="Accolade fermante 887"/>
        <xdr:cNvSpPr/>
      </xdr:nvSpPr>
      <xdr:spPr>
        <a:xfrm>
          <a:off x="10219268" y="64641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354</xdr:row>
      <xdr:rowOff>103911</xdr:rowOff>
    </xdr:from>
    <xdr:to>
      <xdr:col>11</xdr:col>
      <xdr:colOff>714375</xdr:colOff>
      <xdr:row>354</xdr:row>
      <xdr:rowOff>114300</xdr:rowOff>
    </xdr:to>
    <xdr:cxnSp macro="">
      <xdr:nvCxnSpPr>
        <xdr:cNvPr id="889" name="Connecteur droit avec flèche 888"/>
        <xdr:cNvCxnSpPr/>
      </xdr:nvCxnSpPr>
      <xdr:spPr>
        <a:xfrm>
          <a:off x="10463645" y="66264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354</xdr:row>
      <xdr:rowOff>114300</xdr:rowOff>
    </xdr:from>
    <xdr:to>
      <xdr:col>12</xdr:col>
      <xdr:colOff>348344</xdr:colOff>
      <xdr:row>354</xdr:row>
      <xdr:rowOff>122464</xdr:rowOff>
    </xdr:to>
    <xdr:cxnSp macro="">
      <xdr:nvCxnSpPr>
        <xdr:cNvPr id="890" name="Connecteur droit avec flèche 889"/>
        <xdr:cNvCxnSpPr/>
      </xdr:nvCxnSpPr>
      <xdr:spPr>
        <a:xfrm>
          <a:off x="10556422" y="66274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349</xdr:row>
      <xdr:rowOff>72573</xdr:rowOff>
    </xdr:from>
    <xdr:to>
      <xdr:col>12</xdr:col>
      <xdr:colOff>429079</xdr:colOff>
      <xdr:row>354</xdr:row>
      <xdr:rowOff>108857</xdr:rowOff>
    </xdr:to>
    <xdr:cxnSp macro="">
      <xdr:nvCxnSpPr>
        <xdr:cNvPr id="891" name="Connecteur droit avec flèche 890"/>
        <xdr:cNvCxnSpPr/>
      </xdr:nvCxnSpPr>
      <xdr:spPr>
        <a:xfrm flipV="1">
          <a:off x="10605408" y="65280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353</xdr:row>
      <xdr:rowOff>27215</xdr:rowOff>
    </xdr:from>
    <xdr:to>
      <xdr:col>12</xdr:col>
      <xdr:colOff>286960</xdr:colOff>
      <xdr:row>354</xdr:row>
      <xdr:rowOff>108857</xdr:rowOff>
    </xdr:to>
    <xdr:cxnSp macro="">
      <xdr:nvCxnSpPr>
        <xdr:cNvPr id="892" name="Connecteur droit avec flèche 891"/>
        <xdr:cNvCxnSpPr/>
      </xdr:nvCxnSpPr>
      <xdr:spPr>
        <a:xfrm flipV="1">
          <a:off x="10591801" y="65997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347</xdr:row>
      <xdr:rowOff>19657</xdr:rowOff>
    </xdr:from>
    <xdr:to>
      <xdr:col>14</xdr:col>
      <xdr:colOff>261862</xdr:colOff>
      <xdr:row>349</xdr:row>
      <xdr:rowOff>61989</xdr:rowOff>
    </xdr:to>
    <xdr:cxnSp macro="">
      <xdr:nvCxnSpPr>
        <xdr:cNvPr id="893" name="Connecteur droit avec flèche 892"/>
        <xdr:cNvCxnSpPr/>
      </xdr:nvCxnSpPr>
      <xdr:spPr>
        <a:xfrm flipV="1">
          <a:off x="12290879" y="64846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349</xdr:row>
      <xdr:rowOff>59874</xdr:rowOff>
    </xdr:from>
    <xdr:to>
      <xdr:col>14</xdr:col>
      <xdr:colOff>175079</xdr:colOff>
      <xdr:row>349</xdr:row>
      <xdr:rowOff>72573</xdr:rowOff>
    </xdr:to>
    <xdr:cxnSp macro="">
      <xdr:nvCxnSpPr>
        <xdr:cNvPr id="894" name="Connecteur droit avec flèche 893"/>
        <xdr:cNvCxnSpPr/>
      </xdr:nvCxnSpPr>
      <xdr:spPr>
        <a:xfrm>
          <a:off x="12248545" y="65268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351</xdr:row>
      <xdr:rowOff>61989</xdr:rowOff>
    </xdr:from>
    <xdr:to>
      <xdr:col>14</xdr:col>
      <xdr:colOff>175080</xdr:colOff>
      <xdr:row>353</xdr:row>
      <xdr:rowOff>61987</xdr:rowOff>
    </xdr:to>
    <xdr:cxnSp macro="">
      <xdr:nvCxnSpPr>
        <xdr:cNvPr id="895" name="Connecteur droit avec flèche 894"/>
        <xdr:cNvCxnSpPr/>
      </xdr:nvCxnSpPr>
      <xdr:spPr>
        <a:xfrm flipV="1">
          <a:off x="12132130" y="65651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354</xdr:row>
      <xdr:rowOff>93738</xdr:rowOff>
    </xdr:from>
    <xdr:to>
      <xdr:col>14</xdr:col>
      <xdr:colOff>26914</xdr:colOff>
      <xdr:row>354</xdr:row>
      <xdr:rowOff>104323</xdr:rowOff>
    </xdr:to>
    <xdr:cxnSp macro="">
      <xdr:nvCxnSpPr>
        <xdr:cNvPr id="896" name="Connecteur droit avec flèche 895"/>
        <xdr:cNvCxnSpPr/>
      </xdr:nvCxnSpPr>
      <xdr:spPr>
        <a:xfrm>
          <a:off x="12174464" y="66254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353</xdr:row>
      <xdr:rowOff>30239</xdr:rowOff>
    </xdr:from>
    <xdr:to>
      <xdr:col>14</xdr:col>
      <xdr:colOff>143330</xdr:colOff>
      <xdr:row>353</xdr:row>
      <xdr:rowOff>51407</xdr:rowOff>
    </xdr:to>
    <xdr:cxnSp macro="">
      <xdr:nvCxnSpPr>
        <xdr:cNvPr id="897" name="Connecteur droit avec flèche 896"/>
        <xdr:cNvCxnSpPr/>
      </xdr:nvCxnSpPr>
      <xdr:spPr>
        <a:xfrm>
          <a:off x="12185047" y="66000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347</xdr:row>
      <xdr:rowOff>101298</xdr:rowOff>
    </xdr:from>
    <xdr:to>
      <xdr:col>16</xdr:col>
      <xdr:colOff>267307</xdr:colOff>
      <xdr:row>347</xdr:row>
      <xdr:rowOff>113998</xdr:rowOff>
    </xdr:to>
    <xdr:cxnSp macro="">
      <xdr:nvCxnSpPr>
        <xdr:cNvPr id="898" name="Connecteur droit avec flèche 897"/>
        <xdr:cNvCxnSpPr/>
      </xdr:nvCxnSpPr>
      <xdr:spPr>
        <a:xfrm>
          <a:off x="13875356" y="64928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351</xdr:row>
      <xdr:rowOff>133048</xdr:rowOff>
    </xdr:from>
    <xdr:to>
      <xdr:col>16</xdr:col>
      <xdr:colOff>214390</xdr:colOff>
      <xdr:row>351</xdr:row>
      <xdr:rowOff>135165</xdr:rowOff>
    </xdr:to>
    <xdr:cxnSp macro="">
      <xdr:nvCxnSpPr>
        <xdr:cNvPr id="899" name="Connecteur droit avec flèche 898"/>
        <xdr:cNvCxnSpPr/>
      </xdr:nvCxnSpPr>
      <xdr:spPr>
        <a:xfrm>
          <a:off x="13843606" y="65722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349</xdr:row>
      <xdr:rowOff>133048</xdr:rowOff>
    </xdr:from>
    <xdr:to>
      <xdr:col>16</xdr:col>
      <xdr:colOff>288474</xdr:colOff>
      <xdr:row>349</xdr:row>
      <xdr:rowOff>135165</xdr:rowOff>
    </xdr:to>
    <xdr:cxnSp macro="">
      <xdr:nvCxnSpPr>
        <xdr:cNvPr id="900" name="Connecteur droit avec flèche 899"/>
        <xdr:cNvCxnSpPr/>
      </xdr:nvCxnSpPr>
      <xdr:spPr>
        <a:xfrm>
          <a:off x="13917690" y="65341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353</xdr:row>
      <xdr:rowOff>122465</xdr:rowOff>
    </xdr:from>
    <xdr:to>
      <xdr:col>16</xdr:col>
      <xdr:colOff>277890</xdr:colOff>
      <xdr:row>353</xdr:row>
      <xdr:rowOff>124582</xdr:rowOff>
    </xdr:to>
    <xdr:cxnSp macro="">
      <xdr:nvCxnSpPr>
        <xdr:cNvPr id="901" name="Connecteur droit avec flèche 900"/>
        <xdr:cNvCxnSpPr/>
      </xdr:nvCxnSpPr>
      <xdr:spPr>
        <a:xfrm>
          <a:off x="13907106" y="66092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354</xdr:row>
      <xdr:rowOff>133049</xdr:rowOff>
    </xdr:from>
    <xdr:to>
      <xdr:col>16</xdr:col>
      <xdr:colOff>182640</xdr:colOff>
      <xdr:row>354</xdr:row>
      <xdr:rowOff>135166</xdr:rowOff>
    </xdr:to>
    <xdr:cxnSp macro="">
      <xdr:nvCxnSpPr>
        <xdr:cNvPr id="902" name="Connecteur droit avec flèche 901"/>
        <xdr:cNvCxnSpPr/>
      </xdr:nvCxnSpPr>
      <xdr:spPr>
        <a:xfrm>
          <a:off x="13811856" y="66293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346</xdr:row>
      <xdr:rowOff>122465</xdr:rowOff>
    </xdr:from>
    <xdr:to>
      <xdr:col>16</xdr:col>
      <xdr:colOff>246140</xdr:colOff>
      <xdr:row>347</xdr:row>
      <xdr:rowOff>90716</xdr:rowOff>
    </xdr:to>
    <xdr:cxnSp macro="">
      <xdr:nvCxnSpPr>
        <xdr:cNvPr id="903" name="Connecteur droit avec flèche 902"/>
        <xdr:cNvCxnSpPr/>
      </xdr:nvCxnSpPr>
      <xdr:spPr>
        <a:xfrm flipV="1">
          <a:off x="13864772" y="64759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348</xdr:row>
      <xdr:rowOff>143632</xdr:rowOff>
    </xdr:from>
    <xdr:to>
      <xdr:col>16</xdr:col>
      <xdr:colOff>288473</xdr:colOff>
      <xdr:row>349</xdr:row>
      <xdr:rowOff>111883</xdr:rowOff>
    </xdr:to>
    <xdr:cxnSp macro="">
      <xdr:nvCxnSpPr>
        <xdr:cNvPr id="904" name="Connecteur droit avec flèche 903"/>
        <xdr:cNvCxnSpPr/>
      </xdr:nvCxnSpPr>
      <xdr:spPr>
        <a:xfrm flipV="1">
          <a:off x="13917690" y="65161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350</xdr:row>
      <xdr:rowOff>143632</xdr:rowOff>
    </xdr:from>
    <xdr:to>
      <xdr:col>16</xdr:col>
      <xdr:colOff>235556</xdr:colOff>
      <xdr:row>351</xdr:row>
      <xdr:rowOff>111883</xdr:rowOff>
    </xdr:to>
    <xdr:cxnSp macro="">
      <xdr:nvCxnSpPr>
        <xdr:cNvPr id="905" name="Connecteur droit avec flèche 904"/>
        <xdr:cNvCxnSpPr/>
      </xdr:nvCxnSpPr>
      <xdr:spPr>
        <a:xfrm flipV="1">
          <a:off x="13833023" y="65542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352</xdr:row>
      <xdr:rowOff>122464</xdr:rowOff>
    </xdr:from>
    <xdr:to>
      <xdr:col>16</xdr:col>
      <xdr:colOff>176893</xdr:colOff>
      <xdr:row>353</xdr:row>
      <xdr:rowOff>101300</xdr:rowOff>
    </xdr:to>
    <xdr:cxnSp macro="">
      <xdr:nvCxnSpPr>
        <xdr:cNvPr id="906" name="Connecteur droit avec flèche 905"/>
        <xdr:cNvCxnSpPr/>
      </xdr:nvCxnSpPr>
      <xdr:spPr>
        <a:xfrm flipV="1">
          <a:off x="13885939" y="65902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346</xdr:row>
      <xdr:rowOff>5292</xdr:rowOff>
    </xdr:from>
    <xdr:to>
      <xdr:col>10</xdr:col>
      <xdr:colOff>963084</xdr:colOff>
      <xdr:row>354</xdr:row>
      <xdr:rowOff>158751</xdr:rowOff>
    </xdr:to>
    <xdr:sp macro="" textlink="">
      <xdr:nvSpPr>
        <xdr:cNvPr id="907" name="Accolade fermante 906"/>
        <xdr:cNvSpPr/>
      </xdr:nvSpPr>
      <xdr:spPr>
        <a:xfrm>
          <a:off x="10219268" y="64641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334</xdr:row>
      <xdr:rowOff>103911</xdr:rowOff>
    </xdr:from>
    <xdr:to>
      <xdr:col>11</xdr:col>
      <xdr:colOff>714375</xdr:colOff>
      <xdr:row>334</xdr:row>
      <xdr:rowOff>114300</xdr:rowOff>
    </xdr:to>
    <xdr:cxnSp macro="">
      <xdr:nvCxnSpPr>
        <xdr:cNvPr id="908" name="Connecteur droit avec flèche 907"/>
        <xdr:cNvCxnSpPr/>
      </xdr:nvCxnSpPr>
      <xdr:spPr>
        <a:xfrm>
          <a:off x="10463645" y="64359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334</xdr:row>
      <xdr:rowOff>114300</xdr:rowOff>
    </xdr:from>
    <xdr:to>
      <xdr:col>12</xdr:col>
      <xdr:colOff>348344</xdr:colOff>
      <xdr:row>334</xdr:row>
      <xdr:rowOff>122464</xdr:rowOff>
    </xdr:to>
    <xdr:cxnSp macro="">
      <xdr:nvCxnSpPr>
        <xdr:cNvPr id="909" name="Connecteur droit avec flèche 908"/>
        <xdr:cNvCxnSpPr/>
      </xdr:nvCxnSpPr>
      <xdr:spPr>
        <a:xfrm>
          <a:off x="10556422" y="64369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329</xdr:row>
      <xdr:rowOff>72573</xdr:rowOff>
    </xdr:from>
    <xdr:to>
      <xdr:col>12</xdr:col>
      <xdr:colOff>429079</xdr:colOff>
      <xdr:row>334</xdr:row>
      <xdr:rowOff>108857</xdr:rowOff>
    </xdr:to>
    <xdr:cxnSp macro="">
      <xdr:nvCxnSpPr>
        <xdr:cNvPr id="910" name="Connecteur droit avec flèche 909"/>
        <xdr:cNvCxnSpPr/>
      </xdr:nvCxnSpPr>
      <xdr:spPr>
        <a:xfrm flipV="1">
          <a:off x="10605408" y="63375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333</xdr:row>
      <xdr:rowOff>27215</xdr:rowOff>
    </xdr:from>
    <xdr:to>
      <xdr:col>12</xdr:col>
      <xdr:colOff>286960</xdr:colOff>
      <xdr:row>334</xdr:row>
      <xdr:rowOff>108857</xdr:rowOff>
    </xdr:to>
    <xdr:cxnSp macro="">
      <xdr:nvCxnSpPr>
        <xdr:cNvPr id="911" name="Connecteur droit avec flèche 910"/>
        <xdr:cNvCxnSpPr/>
      </xdr:nvCxnSpPr>
      <xdr:spPr>
        <a:xfrm flipV="1">
          <a:off x="10591801" y="64092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327</xdr:row>
      <xdr:rowOff>19657</xdr:rowOff>
    </xdr:from>
    <xdr:to>
      <xdr:col>14</xdr:col>
      <xdr:colOff>261862</xdr:colOff>
      <xdr:row>329</xdr:row>
      <xdr:rowOff>61989</xdr:rowOff>
    </xdr:to>
    <xdr:cxnSp macro="">
      <xdr:nvCxnSpPr>
        <xdr:cNvPr id="912" name="Connecteur droit avec flèche 911"/>
        <xdr:cNvCxnSpPr/>
      </xdr:nvCxnSpPr>
      <xdr:spPr>
        <a:xfrm flipV="1">
          <a:off x="12290879" y="62941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329</xdr:row>
      <xdr:rowOff>59874</xdr:rowOff>
    </xdr:from>
    <xdr:to>
      <xdr:col>14</xdr:col>
      <xdr:colOff>175079</xdr:colOff>
      <xdr:row>329</xdr:row>
      <xdr:rowOff>72573</xdr:rowOff>
    </xdr:to>
    <xdr:cxnSp macro="">
      <xdr:nvCxnSpPr>
        <xdr:cNvPr id="913" name="Connecteur droit avec flèche 912"/>
        <xdr:cNvCxnSpPr/>
      </xdr:nvCxnSpPr>
      <xdr:spPr>
        <a:xfrm>
          <a:off x="12248545" y="63363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331</xdr:row>
      <xdr:rowOff>61989</xdr:rowOff>
    </xdr:from>
    <xdr:to>
      <xdr:col>14</xdr:col>
      <xdr:colOff>175080</xdr:colOff>
      <xdr:row>333</xdr:row>
      <xdr:rowOff>61987</xdr:rowOff>
    </xdr:to>
    <xdr:cxnSp macro="">
      <xdr:nvCxnSpPr>
        <xdr:cNvPr id="914" name="Connecteur droit avec flèche 913"/>
        <xdr:cNvCxnSpPr/>
      </xdr:nvCxnSpPr>
      <xdr:spPr>
        <a:xfrm flipV="1">
          <a:off x="12132130" y="63746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334</xdr:row>
      <xdr:rowOff>93738</xdr:rowOff>
    </xdr:from>
    <xdr:to>
      <xdr:col>14</xdr:col>
      <xdr:colOff>26914</xdr:colOff>
      <xdr:row>334</xdr:row>
      <xdr:rowOff>104323</xdr:rowOff>
    </xdr:to>
    <xdr:cxnSp macro="">
      <xdr:nvCxnSpPr>
        <xdr:cNvPr id="915" name="Connecteur droit avec flèche 914"/>
        <xdr:cNvCxnSpPr/>
      </xdr:nvCxnSpPr>
      <xdr:spPr>
        <a:xfrm>
          <a:off x="12174464" y="64349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333</xdr:row>
      <xdr:rowOff>30239</xdr:rowOff>
    </xdr:from>
    <xdr:to>
      <xdr:col>14</xdr:col>
      <xdr:colOff>143330</xdr:colOff>
      <xdr:row>333</xdr:row>
      <xdr:rowOff>51407</xdr:rowOff>
    </xdr:to>
    <xdr:cxnSp macro="">
      <xdr:nvCxnSpPr>
        <xdr:cNvPr id="916" name="Connecteur droit avec flèche 915"/>
        <xdr:cNvCxnSpPr/>
      </xdr:nvCxnSpPr>
      <xdr:spPr>
        <a:xfrm>
          <a:off x="12185047" y="64095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327</xdr:row>
      <xdr:rowOff>101298</xdr:rowOff>
    </xdr:from>
    <xdr:to>
      <xdr:col>16</xdr:col>
      <xdr:colOff>267307</xdr:colOff>
      <xdr:row>327</xdr:row>
      <xdr:rowOff>113998</xdr:rowOff>
    </xdr:to>
    <xdr:cxnSp macro="">
      <xdr:nvCxnSpPr>
        <xdr:cNvPr id="917" name="Connecteur droit avec flèche 916"/>
        <xdr:cNvCxnSpPr/>
      </xdr:nvCxnSpPr>
      <xdr:spPr>
        <a:xfrm>
          <a:off x="13875356" y="63023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331</xdr:row>
      <xdr:rowOff>133048</xdr:rowOff>
    </xdr:from>
    <xdr:to>
      <xdr:col>16</xdr:col>
      <xdr:colOff>214390</xdr:colOff>
      <xdr:row>331</xdr:row>
      <xdr:rowOff>135165</xdr:rowOff>
    </xdr:to>
    <xdr:cxnSp macro="">
      <xdr:nvCxnSpPr>
        <xdr:cNvPr id="918" name="Connecteur droit avec flèche 917"/>
        <xdr:cNvCxnSpPr/>
      </xdr:nvCxnSpPr>
      <xdr:spPr>
        <a:xfrm>
          <a:off x="13843606" y="63817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329</xdr:row>
      <xdr:rowOff>133048</xdr:rowOff>
    </xdr:from>
    <xdr:to>
      <xdr:col>16</xdr:col>
      <xdr:colOff>288474</xdr:colOff>
      <xdr:row>329</xdr:row>
      <xdr:rowOff>135165</xdr:rowOff>
    </xdr:to>
    <xdr:cxnSp macro="">
      <xdr:nvCxnSpPr>
        <xdr:cNvPr id="919" name="Connecteur droit avec flèche 918"/>
        <xdr:cNvCxnSpPr/>
      </xdr:nvCxnSpPr>
      <xdr:spPr>
        <a:xfrm>
          <a:off x="13917690" y="63436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333</xdr:row>
      <xdr:rowOff>122465</xdr:rowOff>
    </xdr:from>
    <xdr:to>
      <xdr:col>16</xdr:col>
      <xdr:colOff>277890</xdr:colOff>
      <xdr:row>333</xdr:row>
      <xdr:rowOff>124582</xdr:rowOff>
    </xdr:to>
    <xdr:cxnSp macro="">
      <xdr:nvCxnSpPr>
        <xdr:cNvPr id="920" name="Connecteur droit avec flèche 919"/>
        <xdr:cNvCxnSpPr/>
      </xdr:nvCxnSpPr>
      <xdr:spPr>
        <a:xfrm>
          <a:off x="13907106" y="64187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334</xdr:row>
      <xdr:rowOff>133049</xdr:rowOff>
    </xdr:from>
    <xdr:to>
      <xdr:col>16</xdr:col>
      <xdr:colOff>182640</xdr:colOff>
      <xdr:row>334</xdr:row>
      <xdr:rowOff>135166</xdr:rowOff>
    </xdr:to>
    <xdr:cxnSp macro="">
      <xdr:nvCxnSpPr>
        <xdr:cNvPr id="921" name="Connecteur droit avec flèche 920"/>
        <xdr:cNvCxnSpPr/>
      </xdr:nvCxnSpPr>
      <xdr:spPr>
        <a:xfrm>
          <a:off x="13811856" y="64388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326</xdr:row>
      <xdr:rowOff>122465</xdr:rowOff>
    </xdr:from>
    <xdr:to>
      <xdr:col>16</xdr:col>
      <xdr:colOff>246140</xdr:colOff>
      <xdr:row>327</xdr:row>
      <xdr:rowOff>90716</xdr:rowOff>
    </xdr:to>
    <xdr:cxnSp macro="">
      <xdr:nvCxnSpPr>
        <xdr:cNvPr id="922" name="Connecteur droit avec flèche 921"/>
        <xdr:cNvCxnSpPr/>
      </xdr:nvCxnSpPr>
      <xdr:spPr>
        <a:xfrm flipV="1">
          <a:off x="13864772" y="62854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328</xdr:row>
      <xdr:rowOff>143632</xdr:rowOff>
    </xdr:from>
    <xdr:to>
      <xdr:col>16</xdr:col>
      <xdr:colOff>288473</xdr:colOff>
      <xdr:row>329</xdr:row>
      <xdr:rowOff>111883</xdr:rowOff>
    </xdr:to>
    <xdr:cxnSp macro="">
      <xdr:nvCxnSpPr>
        <xdr:cNvPr id="923" name="Connecteur droit avec flèche 922"/>
        <xdr:cNvCxnSpPr/>
      </xdr:nvCxnSpPr>
      <xdr:spPr>
        <a:xfrm flipV="1">
          <a:off x="13917690" y="63256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330</xdr:row>
      <xdr:rowOff>143632</xdr:rowOff>
    </xdr:from>
    <xdr:to>
      <xdr:col>16</xdr:col>
      <xdr:colOff>235556</xdr:colOff>
      <xdr:row>331</xdr:row>
      <xdr:rowOff>111883</xdr:rowOff>
    </xdr:to>
    <xdr:cxnSp macro="">
      <xdr:nvCxnSpPr>
        <xdr:cNvPr id="924" name="Connecteur droit avec flèche 923"/>
        <xdr:cNvCxnSpPr/>
      </xdr:nvCxnSpPr>
      <xdr:spPr>
        <a:xfrm flipV="1">
          <a:off x="13833023" y="63637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332</xdr:row>
      <xdr:rowOff>122464</xdr:rowOff>
    </xdr:from>
    <xdr:to>
      <xdr:col>16</xdr:col>
      <xdr:colOff>176893</xdr:colOff>
      <xdr:row>333</xdr:row>
      <xdr:rowOff>101300</xdr:rowOff>
    </xdr:to>
    <xdr:cxnSp macro="">
      <xdr:nvCxnSpPr>
        <xdr:cNvPr id="925" name="Connecteur droit avec flèche 924"/>
        <xdr:cNvCxnSpPr/>
      </xdr:nvCxnSpPr>
      <xdr:spPr>
        <a:xfrm flipV="1">
          <a:off x="13885939" y="63997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326</xdr:row>
      <xdr:rowOff>5292</xdr:rowOff>
    </xdr:from>
    <xdr:to>
      <xdr:col>10</xdr:col>
      <xdr:colOff>963084</xdr:colOff>
      <xdr:row>334</xdr:row>
      <xdr:rowOff>158751</xdr:rowOff>
    </xdr:to>
    <xdr:sp macro="" textlink="">
      <xdr:nvSpPr>
        <xdr:cNvPr id="926" name="Accolade fermante 925"/>
        <xdr:cNvSpPr/>
      </xdr:nvSpPr>
      <xdr:spPr>
        <a:xfrm>
          <a:off x="10219268" y="62736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484</xdr:row>
      <xdr:rowOff>103911</xdr:rowOff>
    </xdr:from>
    <xdr:to>
      <xdr:col>11</xdr:col>
      <xdr:colOff>714375</xdr:colOff>
      <xdr:row>484</xdr:row>
      <xdr:rowOff>114300</xdr:rowOff>
    </xdr:to>
    <xdr:cxnSp macro="">
      <xdr:nvCxnSpPr>
        <xdr:cNvPr id="927" name="Connecteur droit avec flèche 926"/>
        <xdr:cNvCxnSpPr/>
      </xdr:nvCxnSpPr>
      <xdr:spPr>
        <a:xfrm>
          <a:off x="10463645" y="70074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484</xdr:row>
      <xdr:rowOff>114300</xdr:rowOff>
    </xdr:from>
    <xdr:to>
      <xdr:col>12</xdr:col>
      <xdr:colOff>348344</xdr:colOff>
      <xdr:row>484</xdr:row>
      <xdr:rowOff>122464</xdr:rowOff>
    </xdr:to>
    <xdr:cxnSp macro="">
      <xdr:nvCxnSpPr>
        <xdr:cNvPr id="928" name="Connecteur droit avec flèche 927"/>
        <xdr:cNvCxnSpPr/>
      </xdr:nvCxnSpPr>
      <xdr:spPr>
        <a:xfrm>
          <a:off x="10556422" y="70084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479</xdr:row>
      <xdr:rowOff>72573</xdr:rowOff>
    </xdr:from>
    <xdr:to>
      <xdr:col>12</xdr:col>
      <xdr:colOff>429079</xdr:colOff>
      <xdr:row>484</xdr:row>
      <xdr:rowOff>108857</xdr:rowOff>
    </xdr:to>
    <xdr:cxnSp macro="">
      <xdr:nvCxnSpPr>
        <xdr:cNvPr id="929" name="Connecteur droit avec flèche 928"/>
        <xdr:cNvCxnSpPr/>
      </xdr:nvCxnSpPr>
      <xdr:spPr>
        <a:xfrm flipV="1">
          <a:off x="10605408" y="69090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483</xdr:row>
      <xdr:rowOff>27215</xdr:rowOff>
    </xdr:from>
    <xdr:to>
      <xdr:col>12</xdr:col>
      <xdr:colOff>286960</xdr:colOff>
      <xdr:row>484</xdr:row>
      <xdr:rowOff>108857</xdr:rowOff>
    </xdr:to>
    <xdr:cxnSp macro="">
      <xdr:nvCxnSpPr>
        <xdr:cNvPr id="930" name="Connecteur droit avec flèche 929"/>
        <xdr:cNvCxnSpPr/>
      </xdr:nvCxnSpPr>
      <xdr:spPr>
        <a:xfrm flipV="1">
          <a:off x="10591801" y="69807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477</xdr:row>
      <xdr:rowOff>19657</xdr:rowOff>
    </xdr:from>
    <xdr:to>
      <xdr:col>14</xdr:col>
      <xdr:colOff>261862</xdr:colOff>
      <xdr:row>479</xdr:row>
      <xdr:rowOff>61989</xdr:rowOff>
    </xdr:to>
    <xdr:cxnSp macro="">
      <xdr:nvCxnSpPr>
        <xdr:cNvPr id="931" name="Connecteur droit avec flèche 930"/>
        <xdr:cNvCxnSpPr/>
      </xdr:nvCxnSpPr>
      <xdr:spPr>
        <a:xfrm flipV="1">
          <a:off x="12290879" y="68656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479</xdr:row>
      <xdr:rowOff>59874</xdr:rowOff>
    </xdr:from>
    <xdr:to>
      <xdr:col>14</xdr:col>
      <xdr:colOff>175079</xdr:colOff>
      <xdr:row>479</xdr:row>
      <xdr:rowOff>72573</xdr:rowOff>
    </xdr:to>
    <xdr:cxnSp macro="">
      <xdr:nvCxnSpPr>
        <xdr:cNvPr id="932" name="Connecteur droit avec flèche 931"/>
        <xdr:cNvCxnSpPr/>
      </xdr:nvCxnSpPr>
      <xdr:spPr>
        <a:xfrm>
          <a:off x="12248545" y="69078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481</xdr:row>
      <xdr:rowOff>61989</xdr:rowOff>
    </xdr:from>
    <xdr:to>
      <xdr:col>14</xdr:col>
      <xdr:colOff>175080</xdr:colOff>
      <xdr:row>483</xdr:row>
      <xdr:rowOff>61987</xdr:rowOff>
    </xdr:to>
    <xdr:cxnSp macro="">
      <xdr:nvCxnSpPr>
        <xdr:cNvPr id="933" name="Connecteur droit avec flèche 932"/>
        <xdr:cNvCxnSpPr/>
      </xdr:nvCxnSpPr>
      <xdr:spPr>
        <a:xfrm flipV="1">
          <a:off x="12132130" y="69461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484</xdr:row>
      <xdr:rowOff>93738</xdr:rowOff>
    </xdr:from>
    <xdr:to>
      <xdr:col>14</xdr:col>
      <xdr:colOff>26914</xdr:colOff>
      <xdr:row>484</xdr:row>
      <xdr:rowOff>104323</xdr:rowOff>
    </xdr:to>
    <xdr:cxnSp macro="">
      <xdr:nvCxnSpPr>
        <xdr:cNvPr id="934" name="Connecteur droit avec flèche 933"/>
        <xdr:cNvCxnSpPr/>
      </xdr:nvCxnSpPr>
      <xdr:spPr>
        <a:xfrm>
          <a:off x="12174464" y="70064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483</xdr:row>
      <xdr:rowOff>30239</xdr:rowOff>
    </xdr:from>
    <xdr:to>
      <xdr:col>14</xdr:col>
      <xdr:colOff>143330</xdr:colOff>
      <xdr:row>483</xdr:row>
      <xdr:rowOff>51407</xdr:rowOff>
    </xdr:to>
    <xdr:cxnSp macro="">
      <xdr:nvCxnSpPr>
        <xdr:cNvPr id="935" name="Connecteur droit avec flèche 934"/>
        <xdr:cNvCxnSpPr/>
      </xdr:nvCxnSpPr>
      <xdr:spPr>
        <a:xfrm>
          <a:off x="12185047" y="69810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477</xdr:row>
      <xdr:rowOff>101298</xdr:rowOff>
    </xdr:from>
    <xdr:to>
      <xdr:col>16</xdr:col>
      <xdr:colOff>267307</xdr:colOff>
      <xdr:row>477</xdr:row>
      <xdr:rowOff>113998</xdr:rowOff>
    </xdr:to>
    <xdr:cxnSp macro="">
      <xdr:nvCxnSpPr>
        <xdr:cNvPr id="936" name="Connecteur droit avec flèche 935"/>
        <xdr:cNvCxnSpPr/>
      </xdr:nvCxnSpPr>
      <xdr:spPr>
        <a:xfrm>
          <a:off x="13875356" y="68738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481</xdr:row>
      <xdr:rowOff>133048</xdr:rowOff>
    </xdr:from>
    <xdr:to>
      <xdr:col>16</xdr:col>
      <xdr:colOff>214390</xdr:colOff>
      <xdr:row>481</xdr:row>
      <xdr:rowOff>135165</xdr:rowOff>
    </xdr:to>
    <xdr:cxnSp macro="">
      <xdr:nvCxnSpPr>
        <xdr:cNvPr id="937" name="Connecteur droit avec flèche 936"/>
        <xdr:cNvCxnSpPr/>
      </xdr:nvCxnSpPr>
      <xdr:spPr>
        <a:xfrm>
          <a:off x="13843606" y="69532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479</xdr:row>
      <xdr:rowOff>133048</xdr:rowOff>
    </xdr:from>
    <xdr:to>
      <xdr:col>16</xdr:col>
      <xdr:colOff>288474</xdr:colOff>
      <xdr:row>479</xdr:row>
      <xdr:rowOff>135165</xdr:rowOff>
    </xdr:to>
    <xdr:cxnSp macro="">
      <xdr:nvCxnSpPr>
        <xdr:cNvPr id="938" name="Connecteur droit avec flèche 937"/>
        <xdr:cNvCxnSpPr/>
      </xdr:nvCxnSpPr>
      <xdr:spPr>
        <a:xfrm>
          <a:off x="13917690" y="69151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483</xdr:row>
      <xdr:rowOff>122465</xdr:rowOff>
    </xdr:from>
    <xdr:to>
      <xdr:col>16</xdr:col>
      <xdr:colOff>277890</xdr:colOff>
      <xdr:row>483</xdr:row>
      <xdr:rowOff>124582</xdr:rowOff>
    </xdr:to>
    <xdr:cxnSp macro="">
      <xdr:nvCxnSpPr>
        <xdr:cNvPr id="939" name="Connecteur droit avec flèche 938"/>
        <xdr:cNvCxnSpPr/>
      </xdr:nvCxnSpPr>
      <xdr:spPr>
        <a:xfrm>
          <a:off x="13907106" y="69902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484</xdr:row>
      <xdr:rowOff>133049</xdr:rowOff>
    </xdr:from>
    <xdr:to>
      <xdr:col>16</xdr:col>
      <xdr:colOff>182640</xdr:colOff>
      <xdr:row>484</xdr:row>
      <xdr:rowOff>135166</xdr:rowOff>
    </xdr:to>
    <xdr:cxnSp macro="">
      <xdr:nvCxnSpPr>
        <xdr:cNvPr id="940" name="Connecteur droit avec flèche 939"/>
        <xdr:cNvCxnSpPr/>
      </xdr:nvCxnSpPr>
      <xdr:spPr>
        <a:xfrm>
          <a:off x="13811856" y="70103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476</xdr:row>
      <xdr:rowOff>122465</xdr:rowOff>
    </xdr:from>
    <xdr:to>
      <xdr:col>16</xdr:col>
      <xdr:colOff>246140</xdr:colOff>
      <xdr:row>477</xdr:row>
      <xdr:rowOff>90716</xdr:rowOff>
    </xdr:to>
    <xdr:cxnSp macro="">
      <xdr:nvCxnSpPr>
        <xdr:cNvPr id="941" name="Connecteur droit avec flèche 940"/>
        <xdr:cNvCxnSpPr/>
      </xdr:nvCxnSpPr>
      <xdr:spPr>
        <a:xfrm flipV="1">
          <a:off x="13864772" y="68569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478</xdr:row>
      <xdr:rowOff>143632</xdr:rowOff>
    </xdr:from>
    <xdr:to>
      <xdr:col>16</xdr:col>
      <xdr:colOff>288473</xdr:colOff>
      <xdr:row>479</xdr:row>
      <xdr:rowOff>111883</xdr:rowOff>
    </xdr:to>
    <xdr:cxnSp macro="">
      <xdr:nvCxnSpPr>
        <xdr:cNvPr id="942" name="Connecteur droit avec flèche 941"/>
        <xdr:cNvCxnSpPr/>
      </xdr:nvCxnSpPr>
      <xdr:spPr>
        <a:xfrm flipV="1">
          <a:off x="13917690" y="68971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480</xdr:row>
      <xdr:rowOff>143632</xdr:rowOff>
    </xdr:from>
    <xdr:to>
      <xdr:col>16</xdr:col>
      <xdr:colOff>235556</xdr:colOff>
      <xdr:row>481</xdr:row>
      <xdr:rowOff>111883</xdr:rowOff>
    </xdr:to>
    <xdr:cxnSp macro="">
      <xdr:nvCxnSpPr>
        <xdr:cNvPr id="943" name="Connecteur droit avec flèche 942"/>
        <xdr:cNvCxnSpPr/>
      </xdr:nvCxnSpPr>
      <xdr:spPr>
        <a:xfrm flipV="1">
          <a:off x="13833023" y="69352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482</xdr:row>
      <xdr:rowOff>122464</xdr:rowOff>
    </xdr:from>
    <xdr:to>
      <xdr:col>16</xdr:col>
      <xdr:colOff>176893</xdr:colOff>
      <xdr:row>483</xdr:row>
      <xdr:rowOff>101300</xdr:rowOff>
    </xdr:to>
    <xdr:cxnSp macro="">
      <xdr:nvCxnSpPr>
        <xdr:cNvPr id="944" name="Connecteur droit avec flèche 943"/>
        <xdr:cNvCxnSpPr/>
      </xdr:nvCxnSpPr>
      <xdr:spPr>
        <a:xfrm flipV="1">
          <a:off x="13885939" y="69712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476</xdr:row>
      <xdr:rowOff>5292</xdr:rowOff>
    </xdr:from>
    <xdr:to>
      <xdr:col>10</xdr:col>
      <xdr:colOff>963084</xdr:colOff>
      <xdr:row>484</xdr:row>
      <xdr:rowOff>158751</xdr:rowOff>
    </xdr:to>
    <xdr:sp macro="" textlink="">
      <xdr:nvSpPr>
        <xdr:cNvPr id="945" name="Accolade fermante 944"/>
        <xdr:cNvSpPr/>
      </xdr:nvSpPr>
      <xdr:spPr>
        <a:xfrm>
          <a:off x="10219268" y="68451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464</xdr:row>
      <xdr:rowOff>103911</xdr:rowOff>
    </xdr:from>
    <xdr:to>
      <xdr:col>11</xdr:col>
      <xdr:colOff>714375</xdr:colOff>
      <xdr:row>464</xdr:row>
      <xdr:rowOff>114300</xdr:rowOff>
    </xdr:to>
    <xdr:cxnSp macro="">
      <xdr:nvCxnSpPr>
        <xdr:cNvPr id="946" name="Connecteur droit avec flèche 945"/>
        <xdr:cNvCxnSpPr/>
      </xdr:nvCxnSpPr>
      <xdr:spPr>
        <a:xfrm>
          <a:off x="10463645" y="85314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464</xdr:row>
      <xdr:rowOff>114300</xdr:rowOff>
    </xdr:from>
    <xdr:to>
      <xdr:col>12</xdr:col>
      <xdr:colOff>348344</xdr:colOff>
      <xdr:row>464</xdr:row>
      <xdr:rowOff>122464</xdr:rowOff>
    </xdr:to>
    <xdr:cxnSp macro="">
      <xdr:nvCxnSpPr>
        <xdr:cNvPr id="947" name="Connecteur droit avec flèche 946"/>
        <xdr:cNvCxnSpPr/>
      </xdr:nvCxnSpPr>
      <xdr:spPr>
        <a:xfrm>
          <a:off x="10556422" y="85324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459</xdr:row>
      <xdr:rowOff>72573</xdr:rowOff>
    </xdr:from>
    <xdr:to>
      <xdr:col>12</xdr:col>
      <xdr:colOff>429079</xdr:colOff>
      <xdr:row>464</xdr:row>
      <xdr:rowOff>108857</xdr:rowOff>
    </xdr:to>
    <xdr:cxnSp macro="">
      <xdr:nvCxnSpPr>
        <xdr:cNvPr id="948" name="Connecteur droit avec flèche 947"/>
        <xdr:cNvCxnSpPr/>
      </xdr:nvCxnSpPr>
      <xdr:spPr>
        <a:xfrm flipV="1">
          <a:off x="10605408" y="84330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463</xdr:row>
      <xdr:rowOff>27215</xdr:rowOff>
    </xdr:from>
    <xdr:to>
      <xdr:col>12</xdr:col>
      <xdr:colOff>286960</xdr:colOff>
      <xdr:row>464</xdr:row>
      <xdr:rowOff>108857</xdr:rowOff>
    </xdr:to>
    <xdr:cxnSp macro="">
      <xdr:nvCxnSpPr>
        <xdr:cNvPr id="949" name="Connecteur droit avec flèche 948"/>
        <xdr:cNvCxnSpPr/>
      </xdr:nvCxnSpPr>
      <xdr:spPr>
        <a:xfrm flipV="1">
          <a:off x="10591801" y="85047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457</xdr:row>
      <xdr:rowOff>19657</xdr:rowOff>
    </xdr:from>
    <xdr:to>
      <xdr:col>14</xdr:col>
      <xdr:colOff>261862</xdr:colOff>
      <xdr:row>459</xdr:row>
      <xdr:rowOff>61989</xdr:rowOff>
    </xdr:to>
    <xdr:cxnSp macro="">
      <xdr:nvCxnSpPr>
        <xdr:cNvPr id="950" name="Connecteur droit avec flèche 949"/>
        <xdr:cNvCxnSpPr/>
      </xdr:nvCxnSpPr>
      <xdr:spPr>
        <a:xfrm flipV="1">
          <a:off x="12290879" y="83896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459</xdr:row>
      <xdr:rowOff>59874</xdr:rowOff>
    </xdr:from>
    <xdr:to>
      <xdr:col>14</xdr:col>
      <xdr:colOff>175079</xdr:colOff>
      <xdr:row>459</xdr:row>
      <xdr:rowOff>72573</xdr:rowOff>
    </xdr:to>
    <xdr:cxnSp macro="">
      <xdr:nvCxnSpPr>
        <xdr:cNvPr id="951" name="Connecteur droit avec flèche 950"/>
        <xdr:cNvCxnSpPr/>
      </xdr:nvCxnSpPr>
      <xdr:spPr>
        <a:xfrm>
          <a:off x="12248545" y="84318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461</xdr:row>
      <xdr:rowOff>61989</xdr:rowOff>
    </xdr:from>
    <xdr:to>
      <xdr:col>14</xdr:col>
      <xdr:colOff>175080</xdr:colOff>
      <xdr:row>463</xdr:row>
      <xdr:rowOff>61987</xdr:rowOff>
    </xdr:to>
    <xdr:cxnSp macro="">
      <xdr:nvCxnSpPr>
        <xdr:cNvPr id="952" name="Connecteur droit avec flèche 951"/>
        <xdr:cNvCxnSpPr/>
      </xdr:nvCxnSpPr>
      <xdr:spPr>
        <a:xfrm flipV="1">
          <a:off x="12132130" y="84701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464</xdr:row>
      <xdr:rowOff>93738</xdr:rowOff>
    </xdr:from>
    <xdr:to>
      <xdr:col>14</xdr:col>
      <xdr:colOff>26914</xdr:colOff>
      <xdr:row>464</xdr:row>
      <xdr:rowOff>104323</xdr:rowOff>
    </xdr:to>
    <xdr:cxnSp macro="">
      <xdr:nvCxnSpPr>
        <xdr:cNvPr id="953" name="Connecteur droit avec flèche 952"/>
        <xdr:cNvCxnSpPr/>
      </xdr:nvCxnSpPr>
      <xdr:spPr>
        <a:xfrm>
          <a:off x="12174464" y="85304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463</xdr:row>
      <xdr:rowOff>30239</xdr:rowOff>
    </xdr:from>
    <xdr:to>
      <xdr:col>14</xdr:col>
      <xdr:colOff>143330</xdr:colOff>
      <xdr:row>463</xdr:row>
      <xdr:rowOff>51407</xdr:rowOff>
    </xdr:to>
    <xdr:cxnSp macro="">
      <xdr:nvCxnSpPr>
        <xdr:cNvPr id="954" name="Connecteur droit avec flèche 953"/>
        <xdr:cNvCxnSpPr/>
      </xdr:nvCxnSpPr>
      <xdr:spPr>
        <a:xfrm>
          <a:off x="12185047" y="85050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457</xdr:row>
      <xdr:rowOff>101298</xdr:rowOff>
    </xdr:from>
    <xdr:to>
      <xdr:col>16</xdr:col>
      <xdr:colOff>267307</xdr:colOff>
      <xdr:row>457</xdr:row>
      <xdr:rowOff>113998</xdr:rowOff>
    </xdr:to>
    <xdr:cxnSp macro="">
      <xdr:nvCxnSpPr>
        <xdr:cNvPr id="955" name="Connecteur droit avec flèche 954"/>
        <xdr:cNvCxnSpPr/>
      </xdr:nvCxnSpPr>
      <xdr:spPr>
        <a:xfrm>
          <a:off x="13875356" y="83978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461</xdr:row>
      <xdr:rowOff>133048</xdr:rowOff>
    </xdr:from>
    <xdr:to>
      <xdr:col>16</xdr:col>
      <xdr:colOff>214390</xdr:colOff>
      <xdr:row>461</xdr:row>
      <xdr:rowOff>135165</xdr:rowOff>
    </xdr:to>
    <xdr:cxnSp macro="">
      <xdr:nvCxnSpPr>
        <xdr:cNvPr id="956" name="Connecteur droit avec flèche 955"/>
        <xdr:cNvCxnSpPr/>
      </xdr:nvCxnSpPr>
      <xdr:spPr>
        <a:xfrm>
          <a:off x="13843606" y="84772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459</xdr:row>
      <xdr:rowOff>133048</xdr:rowOff>
    </xdr:from>
    <xdr:to>
      <xdr:col>16</xdr:col>
      <xdr:colOff>288474</xdr:colOff>
      <xdr:row>459</xdr:row>
      <xdr:rowOff>135165</xdr:rowOff>
    </xdr:to>
    <xdr:cxnSp macro="">
      <xdr:nvCxnSpPr>
        <xdr:cNvPr id="957" name="Connecteur droit avec flèche 956"/>
        <xdr:cNvCxnSpPr/>
      </xdr:nvCxnSpPr>
      <xdr:spPr>
        <a:xfrm>
          <a:off x="13917690" y="84391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463</xdr:row>
      <xdr:rowOff>122465</xdr:rowOff>
    </xdr:from>
    <xdr:to>
      <xdr:col>16</xdr:col>
      <xdr:colOff>277890</xdr:colOff>
      <xdr:row>463</xdr:row>
      <xdr:rowOff>124582</xdr:rowOff>
    </xdr:to>
    <xdr:cxnSp macro="">
      <xdr:nvCxnSpPr>
        <xdr:cNvPr id="958" name="Connecteur droit avec flèche 957"/>
        <xdr:cNvCxnSpPr/>
      </xdr:nvCxnSpPr>
      <xdr:spPr>
        <a:xfrm>
          <a:off x="13907106" y="85142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464</xdr:row>
      <xdr:rowOff>133049</xdr:rowOff>
    </xdr:from>
    <xdr:to>
      <xdr:col>16</xdr:col>
      <xdr:colOff>182640</xdr:colOff>
      <xdr:row>464</xdr:row>
      <xdr:rowOff>135166</xdr:rowOff>
    </xdr:to>
    <xdr:cxnSp macro="">
      <xdr:nvCxnSpPr>
        <xdr:cNvPr id="959" name="Connecteur droit avec flèche 958"/>
        <xdr:cNvCxnSpPr/>
      </xdr:nvCxnSpPr>
      <xdr:spPr>
        <a:xfrm>
          <a:off x="13811856" y="85343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456</xdr:row>
      <xdr:rowOff>122465</xdr:rowOff>
    </xdr:from>
    <xdr:to>
      <xdr:col>16</xdr:col>
      <xdr:colOff>246140</xdr:colOff>
      <xdr:row>457</xdr:row>
      <xdr:rowOff>90716</xdr:rowOff>
    </xdr:to>
    <xdr:cxnSp macro="">
      <xdr:nvCxnSpPr>
        <xdr:cNvPr id="960" name="Connecteur droit avec flèche 959"/>
        <xdr:cNvCxnSpPr/>
      </xdr:nvCxnSpPr>
      <xdr:spPr>
        <a:xfrm flipV="1">
          <a:off x="13864772" y="83809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458</xdr:row>
      <xdr:rowOff>143632</xdr:rowOff>
    </xdr:from>
    <xdr:to>
      <xdr:col>16</xdr:col>
      <xdr:colOff>288473</xdr:colOff>
      <xdr:row>459</xdr:row>
      <xdr:rowOff>111883</xdr:rowOff>
    </xdr:to>
    <xdr:cxnSp macro="">
      <xdr:nvCxnSpPr>
        <xdr:cNvPr id="961" name="Connecteur droit avec flèche 960"/>
        <xdr:cNvCxnSpPr/>
      </xdr:nvCxnSpPr>
      <xdr:spPr>
        <a:xfrm flipV="1">
          <a:off x="13917690" y="84211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460</xdr:row>
      <xdr:rowOff>143632</xdr:rowOff>
    </xdr:from>
    <xdr:to>
      <xdr:col>16</xdr:col>
      <xdr:colOff>235556</xdr:colOff>
      <xdr:row>461</xdr:row>
      <xdr:rowOff>111883</xdr:rowOff>
    </xdr:to>
    <xdr:cxnSp macro="">
      <xdr:nvCxnSpPr>
        <xdr:cNvPr id="962" name="Connecteur droit avec flèche 961"/>
        <xdr:cNvCxnSpPr/>
      </xdr:nvCxnSpPr>
      <xdr:spPr>
        <a:xfrm flipV="1">
          <a:off x="13833023" y="84592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462</xdr:row>
      <xdr:rowOff>122464</xdr:rowOff>
    </xdr:from>
    <xdr:to>
      <xdr:col>16</xdr:col>
      <xdr:colOff>176893</xdr:colOff>
      <xdr:row>463</xdr:row>
      <xdr:rowOff>101300</xdr:rowOff>
    </xdr:to>
    <xdr:cxnSp macro="">
      <xdr:nvCxnSpPr>
        <xdr:cNvPr id="963" name="Connecteur droit avec flèche 962"/>
        <xdr:cNvCxnSpPr/>
      </xdr:nvCxnSpPr>
      <xdr:spPr>
        <a:xfrm flipV="1">
          <a:off x="13885939" y="84952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456</xdr:row>
      <xdr:rowOff>5292</xdr:rowOff>
    </xdr:from>
    <xdr:to>
      <xdr:col>10</xdr:col>
      <xdr:colOff>963084</xdr:colOff>
      <xdr:row>464</xdr:row>
      <xdr:rowOff>158751</xdr:rowOff>
    </xdr:to>
    <xdr:sp macro="" textlink="">
      <xdr:nvSpPr>
        <xdr:cNvPr id="964" name="Accolade fermante 963"/>
        <xdr:cNvSpPr/>
      </xdr:nvSpPr>
      <xdr:spPr>
        <a:xfrm>
          <a:off x="10219268" y="83691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1091045</xdr:colOff>
      <xdr:row>444</xdr:row>
      <xdr:rowOff>103911</xdr:rowOff>
    </xdr:from>
    <xdr:to>
      <xdr:col>11</xdr:col>
      <xdr:colOff>714375</xdr:colOff>
      <xdr:row>444</xdr:row>
      <xdr:rowOff>114300</xdr:rowOff>
    </xdr:to>
    <xdr:cxnSp macro="">
      <xdr:nvCxnSpPr>
        <xdr:cNvPr id="965" name="Connecteur droit avec flèche 964"/>
        <xdr:cNvCxnSpPr/>
      </xdr:nvCxnSpPr>
      <xdr:spPr>
        <a:xfrm>
          <a:off x="10463645" y="83409561"/>
          <a:ext cx="937780" cy="1038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1183822</xdr:colOff>
      <xdr:row>444</xdr:row>
      <xdr:rowOff>114300</xdr:rowOff>
    </xdr:from>
    <xdr:to>
      <xdr:col>12</xdr:col>
      <xdr:colOff>348344</xdr:colOff>
      <xdr:row>444</xdr:row>
      <xdr:rowOff>122464</xdr:rowOff>
    </xdr:to>
    <xdr:cxnSp macro="">
      <xdr:nvCxnSpPr>
        <xdr:cNvPr id="966" name="Connecteur droit avec flèche 965"/>
        <xdr:cNvCxnSpPr/>
      </xdr:nvCxnSpPr>
      <xdr:spPr>
        <a:xfrm>
          <a:off x="10556422" y="83419950"/>
          <a:ext cx="12409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1232808</xdr:colOff>
      <xdr:row>439</xdr:row>
      <xdr:rowOff>72573</xdr:rowOff>
    </xdr:from>
    <xdr:to>
      <xdr:col>12</xdr:col>
      <xdr:colOff>429079</xdr:colOff>
      <xdr:row>444</xdr:row>
      <xdr:rowOff>108857</xdr:rowOff>
    </xdr:to>
    <xdr:cxnSp macro="">
      <xdr:nvCxnSpPr>
        <xdr:cNvPr id="967" name="Connecteur droit avec flèche 966"/>
        <xdr:cNvCxnSpPr/>
      </xdr:nvCxnSpPr>
      <xdr:spPr>
        <a:xfrm flipV="1">
          <a:off x="10605408" y="82425723"/>
          <a:ext cx="12727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1219201</xdr:colOff>
      <xdr:row>443</xdr:row>
      <xdr:rowOff>27215</xdr:rowOff>
    </xdr:from>
    <xdr:to>
      <xdr:col>12</xdr:col>
      <xdr:colOff>286960</xdr:colOff>
      <xdr:row>444</xdr:row>
      <xdr:rowOff>108857</xdr:rowOff>
    </xdr:to>
    <xdr:cxnSp macro="">
      <xdr:nvCxnSpPr>
        <xdr:cNvPr id="968" name="Connecteur droit avec flèche 967"/>
        <xdr:cNvCxnSpPr/>
      </xdr:nvCxnSpPr>
      <xdr:spPr>
        <a:xfrm flipV="1">
          <a:off x="10591801" y="83142365"/>
          <a:ext cx="11442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79829</xdr:colOff>
      <xdr:row>437</xdr:row>
      <xdr:rowOff>19657</xdr:rowOff>
    </xdr:from>
    <xdr:to>
      <xdr:col>14</xdr:col>
      <xdr:colOff>261862</xdr:colOff>
      <xdr:row>439</xdr:row>
      <xdr:rowOff>61989</xdr:rowOff>
    </xdr:to>
    <xdr:cxnSp macro="">
      <xdr:nvCxnSpPr>
        <xdr:cNvPr id="969" name="Connecteur droit avec flèche 968"/>
        <xdr:cNvCxnSpPr/>
      </xdr:nvCxnSpPr>
      <xdr:spPr>
        <a:xfrm flipV="1">
          <a:off x="12290879" y="81991807"/>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37495</xdr:colOff>
      <xdr:row>439</xdr:row>
      <xdr:rowOff>59874</xdr:rowOff>
    </xdr:from>
    <xdr:to>
      <xdr:col>14</xdr:col>
      <xdr:colOff>175079</xdr:colOff>
      <xdr:row>439</xdr:row>
      <xdr:rowOff>72573</xdr:rowOff>
    </xdr:to>
    <xdr:cxnSp macro="">
      <xdr:nvCxnSpPr>
        <xdr:cNvPr id="970" name="Connecteur droit avec flèche 969"/>
        <xdr:cNvCxnSpPr/>
      </xdr:nvCxnSpPr>
      <xdr:spPr>
        <a:xfrm>
          <a:off x="12248545" y="82413024"/>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683080</xdr:colOff>
      <xdr:row>441</xdr:row>
      <xdr:rowOff>61989</xdr:rowOff>
    </xdr:from>
    <xdr:to>
      <xdr:col>14</xdr:col>
      <xdr:colOff>175080</xdr:colOff>
      <xdr:row>443</xdr:row>
      <xdr:rowOff>61987</xdr:rowOff>
    </xdr:to>
    <xdr:cxnSp macro="">
      <xdr:nvCxnSpPr>
        <xdr:cNvPr id="971" name="Connecteur droit avec flèche 970"/>
        <xdr:cNvCxnSpPr/>
      </xdr:nvCxnSpPr>
      <xdr:spPr>
        <a:xfrm flipV="1">
          <a:off x="12132130" y="82796139"/>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725414</xdr:colOff>
      <xdr:row>444</xdr:row>
      <xdr:rowOff>93738</xdr:rowOff>
    </xdr:from>
    <xdr:to>
      <xdr:col>14</xdr:col>
      <xdr:colOff>26914</xdr:colOff>
      <xdr:row>444</xdr:row>
      <xdr:rowOff>104323</xdr:rowOff>
    </xdr:to>
    <xdr:cxnSp macro="">
      <xdr:nvCxnSpPr>
        <xdr:cNvPr id="972" name="Connecteur droit avec flèche 971"/>
        <xdr:cNvCxnSpPr/>
      </xdr:nvCxnSpPr>
      <xdr:spPr>
        <a:xfrm>
          <a:off x="12174464" y="8339938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735997</xdr:colOff>
      <xdr:row>443</xdr:row>
      <xdr:rowOff>30239</xdr:rowOff>
    </xdr:from>
    <xdr:to>
      <xdr:col>14</xdr:col>
      <xdr:colOff>143330</xdr:colOff>
      <xdr:row>443</xdr:row>
      <xdr:rowOff>51407</xdr:rowOff>
    </xdr:to>
    <xdr:cxnSp macro="">
      <xdr:nvCxnSpPr>
        <xdr:cNvPr id="973" name="Connecteur droit avec flèche 972"/>
        <xdr:cNvCxnSpPr/>
      </xdr:nvCxnSpPr>
      <xdr:spPr>
        <a:xfrm>
          <a:off x="12185047" y="83145389"/>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140306</xdr:colOff>
      <xdr:row>437</xdr:row>
      <xdr:rowOff>101298</xdr:rowOff>
    </xdr:from>
    <xdr:to>
      <xdr:col>16</xdr:col>
      <xdr:colOff>267307</xdr:colOff>
      <xdr:row>437</xdr:row>
      <xdr:rowOff>113998</xdr:rowOff>
    </xdr:to>
    <xdr:cxnSp macro="">
      <xdr:nvCxnSpPr>
        <xdr:cNvPr id="974" name="Connecteur droit avec flèche 973"/>
        <xdr:cNvCxnSpPr/>
      </xdr:nvCxnSpPr>
      <xdr:spPr>
        <a:xfrm>
          <a:off x="13875356" y="82073448"/>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108556</xdr:colOff>
      <xdr:row>441</xdr:row>
      <xdr:rowOff>133048</xdr:rowOff>
    </xdr:from>
    <xdr:to>
      <xdr:col>16</xdr:col>
      <xdr:colOff>214390</xdr:colOff>
      <xdr:row>441</xdr:row>
      <xdr:rowOff>135165</xdr:rowOff>
    </xdr:to>
    <xdr:cxnSp macro="">
      <xdr:nvCxnSpPr>
        <xdr:cNvPr id="975" name="Connecteur droit avec flèche 974"/>
        <xdr:cNvCxnSpPr/>
      </xdr:nvCxnSpPr>
      <xdr:spPr>
        <a:xfrm>
          <a:off x="13843606" y="82867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439</xdr:row>
      <xdr:rowOff>133048</xdr:rowOff>
    </xdr:from>
    <xdr:to>
      <xdr:col>16</xdr:col>
      <xdr:colOff>288474</xdr:colOff>
      <xdr:row>439</xdr:row>
      <xdr:rowOff>135165</xdr:rowOff>
    </xdr:to>
    <xdr:cxnSp macro="">
      <xdr:nvCxnSpPr>
        <xdr:cNvPr id="976" name="Connecteur droit avec flèche 975"/>
        <xdr:cNvCxnSpPr/>
      </xdr:nvCxnSpPr>
      <xdr:spPr>
        <a:xfrm>
          <a:off x="13917690" y="8248619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172056</xdr:colOff>
      <xdr:row>443</xdr:row>
      <xdr:rowOff>122465</xdr:rowOff>
    </xdr:from>
    <xdr:to>
      <xdr:col>16</xdr:col>
      <xdr:colOff>277890</xdr:colOff>
      <xdr:row>443</xdr:row>
      <xdr:rowOff>124582</xdr:rowOff>
    </xdr:to>
    <xdr:cxnSp macro="">
      <xdr:nvCxnSpPr>
        <xdr:cNvPr id="977" name="Connecteur droit avec flèche 976"/>
        <xdr:cNvCxnSpPr/>
      </xdr:nvCxnSpPr>
      <xdr:spPr>
        <a:xfrm>
          <a:off x="13907106" y="83237615"/>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76806</xdr:colOff>
      <xdr:row>444</xdr:row>
      <xdr:rowOff>133049</xdr:rowOff>
    </xdr:from>
    <xdr:to>
      <xdr:col>16</xdr:col>
      <xdr:colOff>182640</xdr:colOff>
      <xdr:row>444</xdr:row>
      <xdr:rowOff>135166</xdr:rowOff>
    </xdr:to>
    <xdr:cxnSp macro="">
      <xdr:nvCxnSpPr>
        <xdr:cNvPr id="978" name="Connecteur droit avec flèche 977"/>
        <xdr:cNvCxnSpPr/>
      </xdr:nvCxnSpPr>
      <xdr:spPr>
        <a:xfrm>
          <a:off x="13811856" y="83438699"/>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129722</xdr:colOff>
      <xdr:row>436</xdr:row>
      <xdr:rowOff>122465</xdr:rowOff>
    </xdr:from>
    <xdr:to>
      <xdr:col>16</xdr:col>
      <xdr:colOff>246140</xdr:colOff>
      <xdr:row>437</xdr:row>
      <xdr:rowOff>90716</xdr:rowOff>
    </xdr:to>
    <xdr:cxnSp macro="">
      <xdr:nvCxnSpPr>
        <xdr:cNvPr id="979" name="Connecteur droit avec flèche 978"/>
        <xdr:cNvCxnSpPr/>
      </xdr:nvCxnSpPr>
      <xdr:spPr>
        <a:xfrm flipV="1">
          <a:off x="13864772" y="81904115"/>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182640</xdr:colOff>
      <xdr:row>438</xdr:row>
      <xdr:rowOff>143632</xdr:rowOff>
    </xdr:from>
    <xdr:to>
      <xdr:col>16</xdr:col>
      <xdr:colOff>288473</xdr:colOff>
      <xdr:row>439</xdr:row>
      <xdr:rowOff>111883</xdr:rowOff>
    </xdr:to>
    <xdr:cxnSp macro="">
      <xdr:nvCxnSpPr>
        <xdr:cNvPr id="980" name="Connecteur droit avec flèche 979"/>
        <xdr:cNvCxnSpPr/>
      </xdr:nvCxnSpPr>
      <xdr:spPr>
        <a:xfrm flipV="1">
          <a:off x="13917690" y="82306282"/>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97973</xdr:colOff>
      <xdr:row>440</xdr:row>
      <xdr:rowOff>143632</xdr:rowOff>
    </xdr:from>
    <xdr:to>
      <xdr:col>16</xdr:col>
      <xdr:colOff>235556</xdr:colOff>
      <xdr:row>441</xdr:row>
      <xdr:rowOff>111883</xdr:rowOff>
    </xdr:to>
    <xdr:cxnSp macro="">
      <xdr:nvCxnSpPr>
        <xdr:cNvPr id="981" name="Connecteur droit avec flèche 980"/>
        <xdr:cNvCxnSpPr/>
      </xdr:nvCxnSpPr>
      <xdr:spPr>
        <a:xfrm flipV="1">
          <a:off x="13833023" y="82687282"/>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150889</xdr:colOff>
      <xdr:row>442</xdr:row>
      <xdr:rowOff>122464</xdr:rowOff>
    </xdr:from>
    <xdr:to>
      <xdr:col>16</xdr:col>
      <xdr:colOff>176893</xdr:colOff>
      <xdr:row>443</xdr:row>
      <xdr:rowOff>101300</xdr:rowOff>
    </xdr:to>
    <xdr:cxnSp macro="">
      <xdr:nvCxnSpPr>
        <xdr:cNvPr id="982" name="Connecteur droit avec flèche 981"/>
        <xdr:cNvCxnSpPr/>
      </xdr:nvCxnSpPr>
      <xdr:spPr>
        <a:xfrm flipV="1">
          <a:off x="13885939" y="83047114"/>
          <a:ext cx="788004" cy="16933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846668</xdr:colOff>
      <xdr:row>436</xdr:row>
      <xdr:rowOff>5292</xdr:rowOff>
    </xdr:from>
    <xdr:to>
      <xdr:col>10</xdr:col>
      <xdr:colOff>963084</xdr:colOff>
      <xdr:row>444</xdr:row>
      <xdr:rowOff>158751</xdr:rowOff>
    </xdr:to>
    <xdr:sp macro="" textlink="">
      <xdr:nvSpPr>
        <xdr:cNvPr id="983" name="Accolade fermante 982"/>
        <xdr:cNvSpPr/>
      </xdr:nvSpPr>
      <xdr:spPr>
        <a:xfrm>
          <a:off x="10219268" y="81786942"/>
          <a:ext cx="116416" cy="1677459"/>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10</xdr:col>
      <xdr:colOff>971550</xdr:colOff>
      <xdr:row>34</xdr:row>
      <xdr:rowOff>114300</xdr:rowOff>
    </xdr:from>
    <xdr:to>
      <xdr:col>11</xdr:col>
      <xdr:colOff>696790</xdr:colOff>
      <xdr:row>34</xdr:row>
      <xdr:rowOff>114715</xdr:rowOff>
    </xdr:to>
    <xdr:cxnSp macro="">
      <xdr:nvCxnSpPr>
        <xdr:cNvPr id="1007" name="Connecteur droit avec flèche 1006"/>
        <xdr:cNvCxnSpPr/>
      </xdr:nvCxnSpPr>
      <xdr:spPr>
        <a:xfrm>
          <a:off x="10321925" y="12163425"/>
          <a:ext cx="10269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27</xdr:row>
      <xdr:rowOff>99786</xdr:rowOff>
    </xdr:from>
    <xdr:to>
      <xdr:col>12</xdr:col>
      <xdr:colOff>339272</xdr:colOff>
      <xdr:row>34</xdr:row>
      <xdr:rowOff>97670</xdr:rowOff>
    </xdr:to>
    <xdr:cxnSp macro="">
      <xdr:nvCxnSpPr>
        <xdr:cNvPr id="1008" name="Connecteur droit avec flèche 1007"/>
        <xdr:cNvCxnSpPr/>
      </xdr:nvCxnSpPr>
      <xdr:spPr>
        <a:xfrm flipV="1">
          <a:off x="10438947" y="10815411"/>
          <a:ext cx="13144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1090689</xdr:colOff>
      <xdr:row>31</xdr:row>
      <xdr:rowOff>68036</xdr:rowOff>
    </xdr:from>
    <xdr:to>
      <xdr:col>12</xdr:col>
      <xdr:colOff>169939</xdr:colOff>
      <xdr:row>34</xdr:row>
      <xdr:rowOff>97670</xdr:rowOff>
    </xdr:to>
    <xdr:cxnSp macro="">
      <xdr:nvCxnSpPr>
        <xdr:cNvPr id="1009" name="Connecteur droit avec flèche 1008"/>
        <xdr:cNvCxnSpPr/>
      </xdr:nvCxnSpPr>
      <xdr:spPr>
        <a:xfrm flipV="1">
          <a:off x="10441064" y="11545661"/>
          <a:ext cx="11430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1122439</xdr:colOff>
      <xdr:row>32</xdr:row>
      <xdr:rowOff>78619</xdr:rowOff>
    </xdr:from>
    <xdr:to>
      <xdr:col>12</xdr:col>
      <xdr:colOff>307522</xdr:colOff>
      <xdr:row>34</xdr:row>
      <xdr:rowOff>131536</xdr:rowOff>
    </xdr:to>
    <xdr:cxnSp macro="">
      <xdr:nvCxnSpPr>
        <xdr:cNvPr id="1010" name="Connecteur droit avec flèche 1009"/>
        <xdr:cNvCxnSpPr/>
      </xdr:nvCxnSpPr>
      <xdr:spPr>
        <a:xfrm flipV="1">
          <a:off x="10472814" y="11746744"/>
          <a:ext cx="12488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1133022</xdr:colOff>
      <xdr:row>34</xdr:row>
      <xdr:rowOff>89202</xdr:rowOff>
    </xdr:from>
    <xdr:to>
      <xdr:col>12</xdr:col>
      <xdr:colOff>201689</xdr:colOff>
      <xdr:row>34</xdr:row>
      <xdr:rowOff>120952</xdr:rowOff>
    </xdr:to>
    <xdr:cxnSp macro="">
      <xdr:nvCxnSpPr>
        <xdr:cNvPr id="1011" name="Connecteur droit avec flèche 1010"/>
        <xdr:cNvCxnSpPr/>
      </xdr:nvCxnSpPr>
      <xdr:spPr>
        <a:xfrm flipV="1">
          <a:off x="10483397" y="12138327"/>
          <a:ext cx="11324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752022</xdr:colOff>
      <xdr:row>25</xdr:row>
      <xdr:rowOff>46870</xdr:rowOff>
    </xdr:from>
    <xdr:to>
      <xdr:col>14</xdr:col>
      <xdr:colOff>172055</xdr:colOff>
      <xdr:row>27</xdr:row>
      <xdr:rowOff>89202</xdr:rowOff>
    </xdr:to>
    <xdr:cxnSp macro="">
      <xdr:nvCxnSpPr>
        <xdr:cNvPr id="1012" name="Connecteur droit avec flèche 1011"/>
        <xdr:cNvCxnSpPr/>
      </xdr:nvCxnSpPr>
      <xdr:spPr>
        <a:xfrm flipV="1">
          <a:off x="12166147" y="1038149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709688</xdr:colOff>
      <xdr:row>27</xdr:row>
      <xdr:rowOff>87087</xdr:rowOff>
    </xdr:from>
    <xdr:to>
      <xdr:col>14</xdr:col>
      <xdr:colOff>85272</xdr:colOff>
      <xdr:row>27</xdr:row>
      <xdr:rowOff>99786</xdr:rowOff>
    </xdr:to>
    <xdr:cxnSp macro="">
      <xdr:nvCxnSpPr>
        <xdr:cNvPr id="1013" name="Connecteur droit avec flèche 1012"/>
        <xdr:cNvCxnSpPr/>
      </xdr:nvCxnSpPr>
      <xdr:spPr>
        <a:xfrm>
          <a:off x="12123813" y="1080271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593273</xdr:colOff>
      <xdr:row>29</xdr:row>
      <xdr:rowOff>89202</xdr:rowOff>
    </xdr:from>
    <xdr:to>
      <xdr:col>14</xdr:col>
      <xdr:colOff>85273</xdr:colOff>
      <xdr:row>31</xdr:row>
      <xdr:rowOff>89200</xdr:rowOff>
    </xdr:to>
    <xdr:cxnSp macro="">
      <xdr:nvCxnSpPr>
        <xdr:cNvPr id="1014" name="Connecteur droit avec flèche 1013"/>
        <xdr:cNvCxnSpPr/>
      </xdr:nvCxnSpPr>
      <xdr:spPr>
        <a:xfrm flipV="1">
          <a:off x="12007398" y="1118582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34</xdr:row>
      <xdr:rowOff>78618</xdr:rowOff>
    </xdr:from>
    <xdr:to>
      <xdr:col>14</xdr:col>
      <xdr:colOff>74690</xdr:colOff>
      <xdr:row>34</xdr:row>
      <xdr:rowOff>89203</xdr:rowOff>
    </xdr:to>
    <xdr:cxnSp macro="">
      <xdr:nvCxnSpPr>
        <xdr:cNvPr id="1015" name="Connecteur droit avec flèche 1014"/>
        <xdr:cNvCxnSpPr/>
      </xdr:nvCxnSpPr>
      <xdr:spPr>
        <a:xfrm>
          <a:off x="12134398" y="12127743"/>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32357</xdr:colOff>
      <xdr:row>32</xdr:row>
      <xdr:rowOff>68035</xdr:rowOff>
    </xdr:from>
    <xdr:to>
      <xdr:col>14</xdr:col>
      <xdr:colOff>95857</xdr:colOff>
      <xdr:row>32</xdr:row>
      <xdr:rowOff>78620</xdr:rowOff>
    </xdr:to>
    <xdr:cxnSp macro="">
      <xdr:nvCxnSpPr>
        <xdr:cNvPr id="1016" name="Connecteur droit avec flèche 1015"/>
        <xdr:cNvCxnSpPr/>
      </xdr:nvCxnSpPr>
      <xdr:spPr>
        <a:xfrm>
          <a:off x="12208482" y="1173616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646190</xdr:colOff>
      <xdr:row>31</xdr:row>
      <xdr:rowOff>57452</xdr:rowOff>
    </xdr:from>
    <xdr:to>
      <xdr:col>14</xdr:col>
      <xdr:colOff>53523</xdr:colOff>
      <xdr:row>31</xdr:row>
      <xdr:rowOff>78620</xdr:rowOff>
    </xdr:to>
    <xdr:cxnSp macro="">
      <xdr:nvCxnSpPr>
        <xdr:cNvPr id="1017" name="Connecteur droit avec flèche 1016"/>
        <xdr:cNvCxnSpPr/>
      </xdr:nvCxnSpPr>
      <xdr:spPr>
        <a:xfrm>
          <a:off x="12060315" y="1153507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720273</xdr:colOff>
      <xdr:row>33</xdr:row>
      <xdr:rowOff>120951</xdr:rowOff>
    </xdr:from>
    <xdr:to>
      <xdr:col>14</xdr:col>
      <xdr:colOff>106440</xdr:colOff>
      <xdr:row>34</xdr:row>
      <xdr:rowOff>78618</xdr:rowOff>
    </xdr:to>
    <xdr:cxnSp macro="">
      <xdr:nvCxnSpPr>
        <xdr:cNvPr id="1018" name="Connecteur droit avec flèche 1017"/>
        <xdr:cNvCxnSpPr/>
      </xdr:nvCxnSpPr>
      <xdr:spPr>
        <a:xfrm flipV="1">
          <a:off x="12134398" y="11979576"/>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64106</xdr:colOff>
      <xdr:row>25</xdr:row>
      <xdr:rowOff>46868</xdr:rowOff>
    </xdr:from>
    <xdr:to>
      <xdr:col>16</xdr:col>
      <xdr:colOff>191107</xdr:colOff>
      <xdr:row>25</xdr:row>
      <xdr:rowOff>59568</xdr:rowOff>
    </xdr:to>
    <xdr:cxnSp macro="">
      <xdr:nvCxnSpPr>
        <xdr:cNvPr id="1019" name="Connecteur droit avec flèche 1018"/>
        <xdr:cNvCxnSpPr/>
      </xdr:nvCxnSpPr>
      <xdr:spPr>
        <a:xfrm>
          <a:off x="13764231" y="10381493"/>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32356</xdr:colOff>
      <xdr:row>29</xdr:row>
      <xdr:rowOff>78618</xdr:rowOff>
    </xdr:from>
    <xdr:to>
      <xdr:col>16</xdr:col>
      <xdr:colOff>138190</xdr:colOff>
      <xdr:row>29</xdr:row>
      <xdr:rowOff>80735</xdr:rowOff>
    </xdr:to>
    <xdr:cxnSp macro="">
      <xdr:nvCxnSpPr>
        <xdr:cNvPr id="1020" name="Connecteur droit avec flèche 1019"/>
        <xdr:cNvCxnSpPr/>
      </xdr:nvCxnSpPr>
      <xdr:spPr>
        <a:xfrm>
          <a:off x="13732481" y="111752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27</xdr:row>
      <xdr:rowOff>78618</xdr:rowOff>
    </xdr:from>
    <xdr:to>
      <xdr:col>16</xdr:col>
      <xdr:colOff>212274</xdr:colOff>
      <xdr:row>27</xdr:row>
      <xdr:rowOff>80735</xdr:rowOff>
    </xdr:to>
    <xdr:cxnSp macro="">
      <xdr:nvCxnSpPr>
        <xdr:cNvPr id="1021" name="Connecteur droit avec flèche 1020"/>
        <xdr:cNvCxnSpPr/>
      </xdr:nvCxnSpPr>
      <xdr:spPr>
        <a:xfrm>
          <a:off x="13806565" y="107942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95856</xdr:colOff>
      <xdr:row>31</xdr:row>
      <xdr:rowOff>68035</xdr:rowOff>
    </xdr:from>
    <xdr:to>
      <xdr:col>16</xdr:col>
      <xdr:colOff>201690</xdr:colOff>
      <xdr:row>31</xdr:row>
      <xdr:rowOff>70152</xdr:rowOff>
    </xdr:to>
    <xdr:cxnSp macro="">
      <xdr:nvCxnSpPr>
        <xdr:cNvPr id="1022" name="Connecteur droit avec flèche 1021"/>
        <xdr:cNvCxnSpPr/>
      </xdr:nvCxnSpPr>
      <xdr:spPr>
        <a:xfrm>
          <a:off x="13795981" y="1154566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42939</xdr:colOff>
      <xdr:row>33</xdr:row>
      <xdr:rowOff>68035</xdr:rowOff>
    </xdr:from>
    <xdr:to>
      <xdr:col>16</xdr:col>
      <xdr:colOff>148773</xdr:colOff>
      <xdr:row>33</xdr:row>
      <xdr:rowOff>70152</xdr:rowOff>
    </xdr:to>
    <xdr:cxnSp macro="">
      <xdr:nvCxnSpPr>
        <xdr:cNvPr id="1023" name="Connecteur droit avec flèche 1022"/>
        <xdr:cNvCxnSpPr/>
      </xdr:nvCxnSpPr>
      <xdr:spPr>
        <a:xfrm>
          <a:off x="13743064" y="11926660"/>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32357</xdr:colOff>
      <xdr:row>34</xdr:row>
      <xdr:rowOff>78618</xdr:rowOff>
    </xdr:from>
    <xdr:to>
      <xdr:col>16</xdr:col>
      <xdr:colOff>138191</xdr:colOff>
      <xdr:row>34</xdr:row>
      <xdr:rowOff>80735</xdr:rowOff>
    </xdr:to>
    <xdr:cxnSp macro="">
      <xdr:nvCxnSpPr>
        <xdr:cNvPr id="1024" name="Connecteur droit avec flèche 1023"/>
        <xdr:cNvCxnSpPr/>
      </xdr:nvCxnSpPr>
      <xdr:spPr>
        <a:xfrm>
          <a:off x="13732482" y="1212774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606</xdr:colOff>
      <xdr:row>32</xdr:row>
      <xdr:rowOff>78619</xdr:rowOff>
    </xdr:from>
    <xdr:to>
      <xdr:col>16</xdr:col>
      <xdr:colOff>106440</xdr:colOff>
      <xdr:row>32</xdr:row>
      <xdr:rowOff>80736</xdr:rowOff>
    </xdr:to>
    <xdr:cxnSp macro="">
      <xdr:nvCxnSpPr>
        <xdr:cNvPr id="1025" name="Connecteur droit avec flèche 1024"/>
        <xdr:cNvCxnSpPr/>
      </xdr:nvCxnSpPr>
      <xdr:spPr>
        <a:xfrm>
          <a:off x="13700731" y="1174674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53522</xdr:colOff>
      <xdr:row>24</xdr:row>
      <xdr:rowOff>68035</xdr:rowOff>
    </xdr:from>
    <xdr:to>
      <xdr:col>16</xdr:col>
      <xdr:colOff>169940</xdr:colOff>
      <xdr:row>25</xdr:row>
      <xdr:rowOff>36286</xdr:rowOff>
    </xdr:to>
    <xdr:cxnSp macro="">
      <xdr:nvCxnSpPr>
        <xdr:cNvPr id="1026" name="Connecteur droit avec flèche 1025"/>
        <xdr:cNvCxnSpPr/>
      </xdr:nvCxnSpPr>
      <xdr:spPr>
        <a:xfrm flipV="1">
          <a:off x="13753647" y="10212160"/>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106440</xdr:colOff>
      <xdr:row>26</xdr:row>
      <xdr:rowOff>89202</xdr:rowOff>
    </xdr:from>
    <xdr:to>
      <xdr:col>16</xdr:col>
      <xdr:colOff>212273</xdr:colOff>
      <xdr:row>27</xdr:row>
      <xdr:rowOff>57453</xdr:rowOff>
    </xdr:to>
    <xdr:cxnSp macro="">
      <xdr:nvCxnSpPr>
        <xdr:cNvPr id="1027" name="Connecteur droit avec flèche 1026"/>
        <xdr:cNvCxnSpPr/>
      </xdr:nvCxnSpPr>
      <xdr:spPr>
        <a:xfrm flipV="1">
          <a:off x="13806565" y="10614327"/>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21773</xdr:colOff>
      <xdr:row>28</xdr:row>
      <xdr:rowOff>89202</xdr:rowOff>
    </xdr:from>
    <xdr:to>
      <xdr:col>16</xdr:col>
      <xdr:colOff>159356</xdr:colOff>
      <xdr:row>29</xdr:row>
      <xdr:rowOff>57453</xdr:rowOff>
    </xdr:to>
    <xdr:cxnSp macro="">
      <xdr:nvCxnSpPr>
        <xdr:cNvPr id="1028" name="Connecteur droit avec flèche 1027"/>
        <xdr:cNvCxnSpPr/>
      </xdr:nvCxnSpPr>
      <xdr:spPr>
        <a:xfrm flipV="1">
          <a:off x="13721898" y="10995327"/>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74689</xdr:colOff>
      <xdr:row>30</xdr:row>
      <xdr:rowOff>89202</xdr:rowOff>
    </xdr:from>
    <xdr:to>
      <xdr:col>16</xdr:col>
      <xdr:colOff>233440</xdr:colOff>
      <xdr:row>31</xdr:row>
      <xdr:rowOff>46870</xdr:rowOff>
    </xdr:to>
    <xdr:cxnSp macro="">
      <xdr:nvCxnSpPr>
        <xdr:cNvPr id="1029" name="Connecteur droit avec flèche 1028"/>
        <xdr:cNvCxnSpPr/>
      </xdr:nvCxnSpPr>
      <xdr:spPr>
        <a:xfrm flipV="1">
          <a:off x="13774814" y="11376327"/>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22</xdr:row>
      <xdr:rowOff>174625</xdr:rowOff>
    </xdr:from>
    <xdr:to>
      <xdr:col>9</xdr:col>
      <xdr:colOff>889000</xdr:colOff>
      <xdr:row>34</xdr:row>
      <xdr:rowOff>79375</xdr:rowOff>
    </xdr:to>
    <xdr:cxnSp macro="">
      <xdr:nvCxnSpPr>
        <xdr:cNvPr id="1030" name="Connecteur droit avec flèche 1029"/>
        <xdr:cNvCxnSpPr/>
      </xdr:nvCxnSpPr>
      <xdr:spPr>
        <a:xfrm>
          <a:off x="8413750" y="7651750"/>
          <a:ext cx="889000" cy="2190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166</xdr:row>
      <xdr:rowOff>114300</xdr:rowOff>
    </xdr:from>
    <xdr:to>
      <xdr:col>11</xdr:col>
      <xdr:colOff>696790</xdr:colOff>
      <xdr:row>166</xdr:row>
      <xdr:rowOff>114715</xdr:rowOff>
    </xdr:to>
    <xdr:cxnSp macro="">
      <xdr:nvCxnSpPr>
        <xdr:cNvPr id="1033" name="Connecteur droit avec flèche 1032"/>
        <xdr:cNvCxnSpPr/>
      </xdr:nvCxnSpPr>
      <xdr:spPr>
        <a:xfrm>
          <a:off x="10321925" y="37309425"/>
          <a:ext cx="10269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979714</xdr:colOff>
      <xdr:row>159</xdr:row>
      <xdr:rowOff>113394</xdr:rowOff>
    </xdr:from>
    <xdr:to>
      <xdr:col>12</xdr:col>
      <xdr:colOff>230414</xdr:colOff>
      <xdr:row>166</xdr:row>
      <xdr:rowOff>111278</xdr:rowOff>
    </xdr:to>
    <xdr:cxnSp macro="">
      <xdr:nvCxnSpPr>
        <xdr:cNvPr id="1034" name="Connecteur droit avec flèche 1033"/>
        <xdr:cNvCxnSpPr/>
      </xdr:nvCxnSpPr>
      <xdr:spPr>
        <a:xfrm flipV="1">
          <a:off x="10330089" y="35975019"/>
          <a:ext cx="1314450" cy="13313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981831</xdr:colOff>
      <xdr:row>163</xdr:row>
      <xdr:rowOff>81644</xdr:rowOff>
    </xdr:from>
    <xdr:to>
      <xdr:col>12</xdr:col>
      <xdr:colOff>61081</xdr:colOff>
      <xdr:row>166</xdr:row>
      <xdr:rowOff>111278</xdr:rowOff>
    </xdr:to>
    <xdr:cxnSp macro="">
      <xdr:nvCxnSpPr>
        <xdr:cNvPr id="1035" name="Connecteur droit avec flèche 1034"/>
        <xdr:cNvCxnSpPr/>
      </xdr:nvCxnSpPr>
      <xdr:spPr>
        <a:xfrm flipV="1">
          <a:off x="10332206" y="36705269"/>
          <a:ext cx="1143000" cy="60113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1013581</xdr:colOff>
      <xdr:row>164</xdr:row>
      <xdr:rowOff>92227</xdr:rowOff>
    </xdr:from>
    <xdr:to>
      <xdr:col>12</xdr:col>
      <xdr:colOff>198664</xdr:colOff>
      <xdr:row>166</xdr:row>
      <xdr:rowOff>145144</xdr:rowOff>
    </xdr:to>
    <xdr:cxnSp macro="">
      <xdr:nvCxnSpPr>
        <xdr:cNvPr id="1036" name="Connecteur droit avec flèche 1035"/>
        <xdr:cNvCxnSpPr/>
      </xdr:nvCxnSpPr>
      <xdr:spPr>
        <a:xfrm flipV="1">
          <a:off x="10363956" y="36906352"/>
          <a:ext cx="1248833" cy="4339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1024164</xdr:colOff>
      <xdr:row>166</xdr:row>
      <xdr:rowOff>102810</xdr:rowOff>
    </xdr:from>
    <xdr:to>
      <xdr:col>12</xdr:col>
      <xdr:colOff>92831</xdr:colOff>
      <xdr:row>166</xdr:row>
      <xdr:rowOff>134560</xdr:rowOff>
    </xdr:to>
    <xdr:cxnSp macro="">
      <xdr:nvCxnSpPr>
        <xdr:cNvPr id="1037" name="Connecteur droit avec flèche 1036"/>
        <xdr:cNvCxnSpPr/>
      </xdr:nvCxnSpPr>
      <xdr:spPr>
        <a:xfrm flipV="1">
          <a:off x="10374539" y="37297935"/>
          <a:ext cx="1132417" cy="317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643164</xdr:colOff>
      <xdr:row>157</xdr:row>
      <xdr:rowOff>60478</xdr:rowOff>
    </xdr:from>
    <xdr:to>
      <xdr:col>14</xdr:col>
      <xdr:colOff>63197</xdr:colOff>
      <xdr:row>159</xdr:row>
      <xdr:rowOff>102810</xdr:rowOff>
    </xdr:to>
    <xdr:cxnSp macro="">
      <xdr:nvCxnSpPr>
        <xdr:cNvPr id="1038" name="Connecteur droit avec flèche 1037"/>
        <xdr:cNvCxnSpPr/>
      </xdr:nvCxnSpPr>
      <xdr:spPr>
        <a:xfrm flipV="1">
          <a:off x="12057289" y="35541103"/>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600830</xdr:colOff>
      <xdr:row>159</xdr:row>
      <xdr:rowOff>100695</xdr:rowOff>
    </xdr:from>
    <xdr:to>
      <xdr:col>13</xdr:col>
      <xdr:colOff>738414</xdr:colOff>
      <xdr:row>159</xdr:row>
      <xdr:rowOff>113394</xdr:rowOff>
    </xdr:to>
    <xdr:cxnSp macro="">
      <xdr:nvCxnSpPr>
        <xdr:cNvPr id="1039" name="Connecteur droit avec flèche 1038"/>
        <xdr:cNvCxnSpPr/>
      </xdr:nvCxnSpPr>
      <xdr:spPr>
        <a:xfrm>
          <a:off x="12014955" y="35962320"/>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484415</xdr:colOff>
      <xdr:row>161</xdr:row>
      <xdr:rowOff>102810</xdr:rowOff>
    </xdr:from>
    <xdr:to>
      <xdr:col>13</xdr:col>
      <xdr:colOff>738415</xdr:colOff>
      <xdr:row>163</xdr:row>
      <xdr:rowOff>102808</xdr:rowOff>
    </xdr:to>
    <xdr:cxnSp macro="">
      <xdr:nvCxnSpPr>
        <xdr:cNvPr id="1040" name="Connecteur droit avec flèche 1039"/>
        <xdr:cNvCxnSpPr/>
      </xdr:nvCxnSpPr>
      <xdr:spPr>
        <a:xfrm flipV="1">
          <a:off x="11898540" y="36345435"/>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166</xdr:row>
      <xdr:rowOff>92226</xdr:rowOff>
    </xdr:from>
    <xdr:to>
      <xdr:col>13</xdr:col>
      <xdr:colOff>727832</xdr:colOff>
      <xdr:row>166</xdr:row>
      <xdr:rowOff>102811</xdr:rowOff>
    </xdr:to>
    <xdr:cxnSp macro="">
      <xdr:nvCxnSpPr>
        <xdr:cNvPr id="1041" name="Connecteur droit avec flèche 1040"/>
        <xdr:cNvCxnSpPr/>
      </xdr:nvCxnSpPr>
      <xdr:spPr>
        <a:xfrm>
          <a:off x="12025540" y="37287351"/>
          <a:ext cx="878417"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685499</xdr:colOff>
      <xdr:row>164</xdr:row>
      <xdr:rowOff>81643</xdr:rowOff>
    </xdr:from>
    <xdr:to>
      <xdr:col>13</xdr:col>
      <xdr:colOff>748999</xdr:colOff>
      <xdr:row>164</xdr:row>
      <xdr:rowOff>92228</xdr:rowOff>
    </xdr:to>
    <xdr:cxnSp macro="">
      <xdr:nvCxnSpPr>
        <xdr:cNvPr id="1042" name="Connecteur droit avec flèche 1041"/>
        <xdr:cNvCxnSpPr/>
      </xdr:nvCxnSpPr>
      <xdr:spPr>
        <a:xfrm>
          <a:off x="12099624" y="36895768"/>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537332</xdr:colOff>
      <xdr:row>163</xdr:row>
      <xdr:rowOff>71060</xdr:rowOff>
    </xdr:from>
    <xdr:to>
      <xdr:col>13</xdr:col>
      <xdr:colOff>706665</xdr:colOff>
      <xdr:row>163</xdr:row>
      <xdr:rowOff>92228</xdr:rowOff>
    </xdr:to>
    <xdr:cxnSp macro="">
      <xdr:nvCxnSpPr>
        <xdr:cNvPr id="1043" name="Connecteur droit avec flèche 1042"/>
        <xdr:cNvCxnSpPr/>
      </xdr:nvCxnSpPr>
      <xdr:spPr>
        <a:xfrm>
          <a:off x="11951457" y="36694685"/>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611415</xdr:colOff>
      <xdr:row>165</xdr:row>
      <xdr:rowOff>134559</xdr:rowOff>
    </xdr:from>
    <xdr:to>
      <xdr:col>13</xdr:col>
      <xdr:colOff>759582</xdr:colOff>
      <xdr:row>166</xdr:row>
      <xdr:rowOff>92226</xdr:rowOff>
    </xdr:to>
    <xdr:cxnSp macro="">
      <xdr:nvCxnSpPr>
        <xdr:cNvPr id="1044" name="Connecteur droit avec flèche 1043"/>
        <xdr:cNvCxnSpPr/>
      </xdr:nvCxnSpPr>
      <xdr:spPr>
        <a:xfrm flipV="1">
          <a:off x="12025540" y="37139184"/>
          <a:ext cx="910167" cy="14816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717248</xdr:colOff>
      <xdr:row>157</xdr:row>
      <xdr:rowOff>60476</xdr:rowOff>
    </xdr:from>
    <xdr:to>
      <xdr:col>16</xdr:col>
      <xdr:colOff>82249</xdr:colOff>
      <xdr:row>157</xdr:row>
      <xdr:rowOff>73176</xdr:rowOff>
    </xdr:to>
    <xdr:cxnSp macro="">
      <xdr:nvCxnSpPr>
        <xdr:cNvPr id="1045" name="Connecteur droit avec flèche 1044"/>
        <xdr:cNvCxnSpPr/>
      </xdr:nvCxnSpPr>
      <xdr:spPr>
        <a:xfrm>
          <a:off x="13655373" y="35541101"/>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685498</xdr:colOff>
      <xdr:row>161</xdr:row>
      <xdr:rowOff>92226</xdr:rowOff>
    </xdr:from>
    <xdr:to>
      <xdr:col>16</xdr:col>
      <xdr:colOff>29332</xdr:colOff>
      <xdr:row>161</xdr:row>
      <xdr:rowOff>94343</xdr:rowOff>
    </xdr:to>
    <xdr:cxnSp macro="">
      <xdr:nvCxnSpPr>
        <xdr:cNvPr id="1046" name="Connecteur droit avec flèche 1045"/>
        <xdr:cNvCxnSpPr/>
      </xdr:nvCxnSpPr>
      <xdr:spPr>
        <a:xfrm>
          <a:off x="13623623" y="3633485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159</xdr:row>
      <xdr:rowOff>92226</xdr:rowOff>
    </xdr:from>
    <xdr:to>
      <xdr:col>16</xdr:col>
      <xdr:colOff>103416</xdr:colOff>
      <xdr:row>159</xdr:row>
      <xdr:rowOff>94343</xdr:rowOff>
    </xdr:to>
    <xdr:cxnSp macro="">
      <xdr:nvCxnSpPr>
        <xdr:cNvPr id="1047" name="Connecteur droit avec flèche 1046"/>
        <xdr:cNvCxnSpPr/>
      </xdr:nvCxnSpPr>
      <xdr:spPr>
        <a:xfrm>
          <a:off x="13697707" y="3595385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748998</xdr:colOff>
      <xdr:row>163</xdr:row>
      <xdr:rowOff>81643</xdr:rowOff>
    </xdr:from>
    <xdr:to>
      <xdr:col>16</xdr:col>
      <xdr:colOff>92832</xdr:colOff>
      <xdr:row>163</xdr:row>
      <xdr:rowOff>83760</xdr:rowOff>
    </xdr:to>
    <xdr:cxnSp macro="">
      <xdr:nvCxnSpPr>
        <xdr:cNvPr id="1048" name="Connecteur droit avec flèche 1047"/>
        <xdr:cNvCxnSpPr/>
      </xdr:nvCxnSpPr>
      <xdr:spPr>
        <a:xfrm>
          <a:off x="13687123" y="3670526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696081</xdr:colOff>
      <xdr:row>165</xdr:row>
      <xdr:rowOff>81643</xdr:rowOff>
    </xdr:from>
    <xdr:to>
      <xdr:col>16</xdr:col>
      <xdr:colOff>39915</xdr:colOff>
      <xdr:row>165</xdr:row>
      <xdr:rowOff>83760</xdr:rowOff>
    </xdr:to>
    <xdr:cxnSp macro="">
      <xdr:nvCxnSpPr>
        <xdr:cNvPr id="1049" name="Connecteur droit avec flèche 1048"/>
        <xdr:cNvCxnSpPr/>
      </xdr:nvCxnSpPr>
      <xdr:spPr>
        <a:xfrm>
          <a:off x="13634206" y="3708626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685499</xdr:colOff>
      <xdr:row>166</xdr:row>
      <xdr:rowOff>92226</xdr:rowOff>
    </xdr:from>
    <xdr:to>
      <xdr:col>16</xdr:col>
      <xdr:colOff>29333</xdr:colOff>
      <xdr:row>166</xdr:row>
      <xdr:rowOff>94343</xdr:rowOff>
    </xdr:to>
    <xdr:cxnSp macro="">
      <xdr:nvCxnSpPr>
        <xdr:cNvPr id="1050" name="Connecteur droit avec flèche 1049"/>
        <xdr:cNvCxnSpPr/>
      </xdr:nvCxnSpPr>
      <xdr:spPr>
        <a:xfrm>
          <a:off x="13623624" y="3728735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653748</xdr:colOff>
      <xdr:row>164</xdr:row>
      <xdr:rowOff>92227</xdr:rowOff>
    </xdr:from>
    <xdr:to>
      <xdr:col>15</xdr:col>
      <xdr:colOff>759582</xdr:colOff>
      <xdr:row>164</xdr:row>
      <xdr:rowOff>94344</xdr:rowOff>
    </xdr:to>
    <xdr:cxnSp macro="">
      <xdr:nvCxnSpPr>
        <xdr:cNvPr id="1051" name="Connecteur droit avec flèche 1050"/>
        <xdr:cNvCxnSpPr/>
      </xdr:nvCxnSpPr>
      <xdr:spPr>
        <a:xfrm>
          <a:off x="13591873" y="36906352"/>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706664</xdr:colOff>
      <xdr:row>156</xdr:row>
      <xdr:rowOff>81643</xdr:rowOff>
    </xdr:from>
    <xdr:to>
      <xdr:col>16</xdr:col>
      <xdr:colOff>61082</xdr:colOff>
      <xdr:row>157</xdr:row>
      <xdr:rowOff>49894</xdr:rowOff>
    </xdr:to>
    <xdr:cxnSp macro="">
      <xdr:nvCxnSpPr>
        <xdr:cNvPr id="1052" name="Connecteur droit avec flèche 1051"/>
        <xdr:cNvCxnSpPr/>
      </xdr:nvCxnSpPr>
      <xdr:spPr>
        <a:xfrm flipV="1">
          <a:off x="13644789" y="35371768"/>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759582</xdr:colOff>
      <xdr:row>158</xdr:row>
      <xdr:rowOff>102810</xdr:rowOff>
    </xdr:from>
    <xdr:to>
      <xdr:col>16</xdr:col>
      <xdr:colOff>103415</xdr:colOff>
      <xdr:row>159</xdr:row>
      <xdr:rowOff>71061</xdr:rowOff>
    </xdr:to>
    <xdr:cxnSp macro="">
      <xdr:nvCxnSpPr>
        <xdr:cNvPr id="1053" name="Connecteur droit avec flèche 1052"/>
        <xdr:cNvCxnSpPr/>
      </xdr:nvCxnSpPr>
      <xdr:spPr>
        <a:xfrm flipV="1">
          <a:off x="13697707" y="35773935"/>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674915</xdr:colOff>
      <xdr:row>160</xdr:row>
      <xdr:rowOff>102810</xdr:rowOff>
    </xdr:from>
    <xdr:to>
      <xdr:col>16</xdr:col>
      <xdr:colOff>50498</xdr:colOff>
      <xdr:row>161</xdr:row>
      <xdr:rowOff>71061</xdr:rowOff>
    </xdr:to>
    <xdr:cxnSp macro="">
      <xdr:nvCxnSpPr>
        <xdr:cNvPr id="1054" name="Connecteur droit avec flèche 1053"/>
        <xdr:cNvCxnSpPr/>
      </xdr:nvCxnSpPr>
      <xdr:spPr>
        <a:xfrm flipV="1">
          <a:off x="13613040" y="36154935"/>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727831</xdr:colOff>
      <xdr:row>162</xdr:row>
      <xdr:rowOff>102810</xdr:rowOff>
    </xdr:from>
    <xdr:to>
      <xdr:col>16</xdr:col>
      <xdr:colOff>124582</xdr:colOff>
      <xdr:row>163</xdr:row>
      <xdr:rowOff>60478</xdr:rowOff>
    </xdr:to>
    <xdr:cxnSp macro="">
      <xdr:nvCxnSpPr>
        <xdr:cNvPr id="1055" name="Connecteur droit avec flèche 1054"/>
        <xdr:cNvCxnSpPr/>
      </xdr:nvCxnSpPr>
      <xdr:spPr>
        <a:xfrm flipV="1">
          <a:off x="13665956" y="36535935"/>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1031875</xdr:colOff>
      <xdr:row>155</xdr:row>
      <xdr:rowOff>31750</xdr:rowOff>
    </xdr:from>
    <xdr:to>
      <xdr:col>10</xdr:col>
      <xdr:colOff>31750</xdr:colOff>
      <xdr:row>166</xdr:row>
      <xdr:rowOff>95250</xdr:rowOff>
    </xdr:to>
    <xdr:cxnSp macro="">
      <xdr:nvCxnSpPr>
        <xdr:cNvPr id="1056" name="Connecteur droit avec flèche 1055"/>
        <xdr:cNvCxnSpPr/>
      </xdr:nvCxnSpPr>
      <xdr:spPr>
        <a:xfrm>
          <a:off x="8366125" y="32845375"/>
          <a:ext cx="1016000" cy="21590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294</xdr:row>
      <xdr:rowOff>60287</xdr:rowOff>
    </xdr:from>
    <xdr:to>
      <xdr:col>12</xdr:col>
      <xdr:colOff>152505</xdr:colOff>
      <xdr:row>294</xdr:row>
      <xdr:rowOff>81643</xdr:rowOff>
    </xdr:to>
    <xdr:cxnSp macro="">
      <xdr:nvCxnSpPr>
        <xdr:cNvPr id="1059" name="Connecteur droit avec flèche 1058"/>
        <xdr:cNvCxnSpPr/>
      </xdr:nvCxnSpPr>
      <xdr:spPr>
        <a:xfrm flipV="1">
          <a:off x="10411733" y="61448912"/>
          <a:ext cx="1154897" cy="213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1088572</xdr:colOff>
      <xdr:row>289</xdr:row>
      <xdr:rowOff>4537</xdr:rowOff>
    </xdr:from>
    <xdr:to>
      <xdr:col>12</xdr:col>
      <xdr:colOff>224971</xdr:colOff>
      <xdr:row>294</xdr:row>
      <xdr:rowOff>81643</xdr:rowOff>
    </xdr:to>
    <xdr:cxnSp macro="">
      <xdr:nvCxnSpPr>
        <xdr:cNvPr id="1060" name="Connecteur droit avec flèche 1059"/>
        <xdr:cNvCxnSpPr/>
      </xdr:nvCxnSpPr>
      <xdr:spPr>
        <a:xfrm flipV="1">
          <a:off x="10438947" y="60440662"/>
          <a:ext cx="1200149" cy="10296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1061358</xdr:colOff>
      <xdr:row>293</xdr:row>
      <xdr:rowOff>54430</xdr:rowOff>
    </xdr:from>
    <xdr:to>
      <xdr:col>12</xdr:col>
      <xdr:colOff>68036</xdr:colOff>
      <xdr:row>294</xdr:row>
      <xdr:rowOff>81643</xdr:rowOff>
    </xdr:to>
    <xdr:cxnSp macro="">
      <xdr:nvCxnSpPr>
        <xdr:cNvPr id="1061" name="Connecteur droit avec flèche 1060"/>
        <xdr:cNvCxnSpPr/>
      </xdr:nvCxnSpPr>
      <xdr:spPr>
        <a:xfrm flipV="1">
          <a:off x="10411733" y="61252555"/>
          <a:ext cx="1070428" cy="2177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637721</xdr:colOff>
      <xdr:row>286</xdr:row>
      <xdr:rowOff>142121</xdr:rowOff>
    </xdr:from>
    <xdr:to>
      <xdr:col>14</xdr:col>
      <xdr:colOff>57754</xdr:colOff>
      <xdr:row>288</xdr:row>
      <xdr:rowOff>184453</xdr:rowOff>
    </xdr:to>
    <xdr:cxnSp macro="">
      <xdr:nvCxnSpPr>
        <xdr:cNvPr id="1062" name="Connecteur droit avec flèche 1061"/>
        <xdr:cNvCxnSpPr/>
      </xdr:nvCxnSpPr>
      <xdr:spPr>
        <a:xfrm flipV="1">
          <a:off x="12051846" y="60006746"/>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478972</xdr:colOff>
      <xdr:row>290</xdr:row>
      <xdr:rowOff>184453</xdr:rowOff>
    </xdr:from>
    <xdr:to>
      <xdr:col>13</xdr:col>
      <xdr:colOff>732972</xdr:colOff>
      <xdr:row>292</xdr:row>
      <xdr:rowOff>184451</xdr:rowOff>
    </xdr:to>
    <xdr:cxnSp macro="">
      <xdr:nvCxnSpPr>
        <xdr:cNvPr id="1063" name="Connecteur droit avec flèche 1062"/>
        <xdr:cNvCxnSpPr/>
      </xdr:nvCxnSpPr>
      <xdr:spPr>
        <a:xfrm flipV="1">
          <a:off x="11893097" y="60811078"/>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531889</xdr:colOff>
      <xdr:row>292</xdr:row>
      <xdr:rowOff>152703</xdr:rowOff>
    </xdr:from>
    <xdr:to>
      <xdr:col>13</xdr:col>
      <xdr:colOff>701222</xdr:colOff>
      <xdr:row>292</xdr:row>
      <xdr:rowOff>173871</xdr:rowOff>
    </xdr:to>
    <xdr:cxnSp macro="">
      <xdr:nvCxnSpPr>
        <xdr:cNvPr id="1064" name="Connecteur droit avec flèche 1063"/>
        <xdr:cNvCxnSpPr/>
      </xdr:nvCxnSpPr>
      <xdr:spPr>
        <a:xfrm>
          <a:off x="11946014" y="61160328"/>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698198</xdr:colOff>
      <xdr:row>287</xdr:row>
      <xdr:rowOff>33262</xdr:rowOff>
    </xdr:from>
    <xdr:to>
      <xdr:col>16</xdr:col>
      <xdr:colOff>63199</xdr:colOff>
      <xdr:row>287</xdr:row>
      <xdr:rowOff>45962</xdr:rowOff>
    </xdr:to>
    <xdr:cxnSp macro="">
      <xdr:nvCxnSpPr>
        <xdr:cNvPr id="1065" name="Connecteur droit avec flèche 1064"/>
        <xdr:cNvCxnSpPr/>
      </xdr:nvCxnSpPr>
      <xdr:spPr>
        <a:xfrm>
          <a:off x="13636323" y="60088387"/>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666448</xdr:colOff>
      <xdr:row>291</xdr:row>
      <xdr:rowOff>65012</xdr:rowOff>
    </xdr:from>
    <xdr:to>
      <xdr:col>16</xdr:col>
      <xdr:colOff>10282</xdr:colOff>
      <xdr:row>291</xdr:row>
      <xdr:rowOff>67129</xdr:rowOff>
    </xdr:to>
    <xdr:cxnSp macro="">
      <xdr:nvCxnSpPr>
        <xdr:cNvPr id="1066" name="Connecteur droit avec flèche 1065"/>
        <xdr:cNvCxnSpPr/>
      </xdr:nvCxnSpPr>
      <xdr:spPr>
        <a:xfrm>
          <a:off x="13604573" y="608821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289</xdr:row>
      <xdr:rowOff>65012</xdr:rowOff>
    </xdr:from>
    <xdr:to>
      <xdr:col>16</xdr:col>
      <xdr:colOff>84366</xdr:colOff>
      <xdr:row>289</xdr:row>
      <xdr:rowOff>67129</xdr:rowOff>
    </xdr:to>
    <xdr:cxnSp macro="">
      <xdr:nvCxnSpPr>
        <xdr:cNvPr id="1067" name="Connecteur droit avec flèche 1066"/>
        <xdr:cNvCxnSpPr/>
      </xdr:nvCxnSpPr>
      <xdr:spPr>
        <a:xfrm>
          <a:off x="13678657" y="60501137"/>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729948</xdr:colOff>
      <xdr:row>293</xdr:row>
      <xdr:rowOff>54429</xdr:rowOff>
    </xdr:from>
    <xdr:to>
      <xdr:col>16</xdr:col>
      <xdr:colOff>73782</xdr:colOff>
      <xdr:row>293</xdr:row>
      <xdr:rowOff>56546</xdr:rowOff>
    </xdr:to>
    <xdr:cxnSp macro="">
      <xdr:nvCxnSpPr>
        <xdr:cNvPr id="1068" name="Connecteur droit avec flèche 1067"/>
        <xdr:cNvCxnSpPr/>
      </xdr:nvCxnSpPr>
      <xdr:spPr>
        <a:xfrm>
          <a:off x="13668073" y="61252554"/>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634698</xdr:colOff>
      <xdr:row>294</xdr:row>
      <xdr:rowOff>65013</xdr:rowOff>
    </xdr:from>
    <xdr:to>
      <xdr:col>15</xdr:col>
      <xdr:colOff>740532</xdr:colOff>
      <xdr:row>294</xdr:row>
      <xdr:rowOff>67130</xdr:rowOff>
    </xdr:to>
    <xdr:cxnSp macro="">
      <xdr:nvCxnSpPr>
        <xdr:cNvPr id="1069" name="Connecteur droit avec flèche 1068"/>
        <xdr:cNvCxnSpPr/>
      </xdr:nvCxnSpPr>
      <xdr:spPr>
        <a:xfrm>
          <a:off x="13572823" y="61453638"/>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687614</xdr:colOff>
      <xdr:row>286</xdr:row>
      <xdr:rowOff>54429</xdr:rowOff>
    </xdr:from>
    <xdr:to>
      <xdr:col>16</xdr:col>
      <xdr:colOff>42032</xdr:colOff>
      <xdr:row>287</xdr:row>
      <xdr:rowOff>22680</xdr:rowOff>
    </xdr:to>
    <xdr:cxnSp macro="">
      <xdr:nvCxnSpPr>
        <xdr:cNvPr id="1070" name="Connecteur droit avec flèche 1069"/>
        <xdr:cNvCxnSpPr/>
      </xdr:nvCxnSpPr>
      <xdr:spPr>
        <a:xfrm flipV="1">
          <a:off x="13625739" y="59919054"/>
          <a:ext cx="878418"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740532</xdr:colOff>
      <xdr:row>288</xdr:row>
      <xdr:rowOff>75596</xdr:rowOff>
    </xdr:from>
    <xdr:to>
      <xdr:col>16</xdr:col>
      <xdr:colOff>84365</xdr:colOff>
      <xdr:row>289</xdr:row>
      <xdr:rowOff>43847</xdr:rowOff>
    </xdr:to>
    <xdr:cxnSp macro="">
      <xdr:nvCxnSpPr>
        <xdr:cNvPr id="1071" name="Connecteur droit avec flèche 1070"/>
        <xdr:cNvCxnSpPr/>
      </xdr:nvCxnSpPr>
      <xdr:spPr>
        <a:xfrm flipV="1">
          <a:off x="13678657" y="60321221"/>
          <a:ext cx="86783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655865</xdr:colOff>
      <xdr:row>290</xdr:row>
      <xdr:rowOff>75596</xdr:rowOff>
    </xdr:from>
    <xdr:to>
      <xdr:col>16</xdr:col>
      <xdr:colOff>31448</xdr:colOff>
      <xdr:row>291</xdr:row>
      <xdr:rowOff>43847</xdr:rowOff>
    </xdr:to>
    <xdr:cxnSp macro="">
      <xdr:nvCxnSpPr>
        <xdr:cNvPr id="1072" name="Connecteur droit avec flèche 1071"/>
        <xdr:cNvCxnSpPr/>
      </xdr:nvCxnSpPr>
      <xdr:spPr>
        <a:xfrm flipV="1">
          <a:off x="13593990" y="60702221"/>
          <a:ext cx="899583" cy="15875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708781</xdr:colOff>
      <xdr:row>292</xdr:row>
      <xdr:rowOff>75596</xdr:rowOff>
    </xdr:from>
    <xdr:to>
      <xdr:col>16</xdr:col>
      <xdr:colOff>105532</xdr:colOff>
      <xdr:row>293</xdr:row>
      <xdr:rowOff>33264</xdr:rowOff>
    </xdr:to>
    <xdr:cxnSp macro="">
      <xdr:nvCxnSpPr>
        <xdr:cNvPr id="1073" name="Connecteur droit avec flèche 1072"/>
        <xdr:cNvCxnSpPr/>
      </xdr:nvCxnSpPr>
      <xdr:spPr>
        <a:xfrm flipV="1">
          <a:off x="13646906" y="61083221"/>
          <a:ext cx="920751" cy="148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587223</xdr:colOff>
      <xdr:row>289</xdr:row>
      <xdr:rowOff>59874</xdr:rowOff>
    </xdr:from>
    <xdr:to>
      <xdr:col>13</xdr:col>
      <xdr:colOff>724807</xdr:colOff>
      <xdr:row>289</xdr:row>
      <xdr:rowOff>72573</xdr:rowOff>
    </xdr:to>
    <xdr:cxnSp macro="">
      <xdr:nvCxnSpPr>
        <xdr:cNvPr id="1074" name="Connecteur droit avec flèche 1073"/>
        <xdr:cNvCxnSpPr/>
      </xdr:nvCxnSpPr>
      <xdr:spPr>
        <a:xfrm>
          <a:off x="12001348" y="60495999"/>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671892</xdr:colOff>
      <xdr:row>294</xdr:row>
      <xdr:rowOff>40822</xdr:rowOff>
    </xdr:from>
    <xdr:to>
      <xdr:col>13</xdr:col>
      <xdr:colOff>735392</xdr:colOff>
      <xdr:row>294</xdr:row>
      <xdr:rowOff>51407</xdr:rowOff>
    </xdr:to>
    <xdr:cxnSp macro="">
      <xdr:nvCxnSpPr>
        <xdr:cNvPr id="1075" name="Connecteur droit avec flèche 1074"/>
        <xdr:cNvCxnSpPr/>
      </xdr:nvCxnSpPr>
      <xdr:spPr>
        <a:xfrm>
          <a:off x="12086017" y="61429447"/>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1000125</xdr:colOff>
      <xdr:row>285</xdr:row>
      <xdr:rowOff>63500</xdr:rowOff>
    </xdr:from>
    <xdr:to>
      <xdr:col>9</xdr:col>
      <xdr:colOff>889000</xdr:colOff>
      <xdr:row>294</xdr:row>
      <xdr:rowOff>63500</xdr:rowOff>
    </xdr:to>
    <xdr:cxnSp macro="">
      <xdr:nvCxnSpPr>
        <xdr:cNvPr id="1076" name="Connecteur droit avec flèche 1075"/>
        <xdr:cNvCxnSpPr/>
      </xdr:nvCxnSpPr>
      <xdr:spPr>
        <a:xfrm>
          <a:off x="8334375" y="57642125"/>
          <a:ext cx="968375" cy="1714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971550</xdr:colOff>
      <xdr:row>404</xdr:row>
      <xdr:rowOff>114300</xdr:rowOff>
    </xdr:from>
    <xdr:to>
      <xdr:col>11</xdr:col>
      <xdr:colOff>696790</xdr:colOff>
      <xdr:row>404</xdr:row>
      <xdr:rowOff>114715</xdr:rowOff>
    </xdr:to>
    <xdr:cxnSp macro="">
      <xdr:nvCxnSpPr>
        <xdr:cNvPr id="1079" name="Connecteur droit avec flèche 1078"/>
        <xdr:cNvCxnSpPr/>
      </xdr:nvCxnSpPr>
      <xdr:spPr>
        <a:xfrm>
          <a:off x="10321925" y="82267425"/>
          <a:ext cx="10269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952500</xdr:colOff>
      <xdr:row>404</xdr:row>
      <xdr:rowOff>141513</xdr:rowOff>
    </xdr:from>
    <xdr:to>
      <xdr:col>12</xdr:col>
      <xdr:colOff>117022</xdr:colOff>
      <xdr:row>404</xdr:row>
      <xdr:rowOff>149677</xdr:rowOff>
    </xdr:to>
    <xdr:cxnSp macro="">
      <xdr:nvCxnSpPr>
        <xdr:cNvPr id="1080" name="Connecteur droit avec flèche 1079"/>
        <xdr:cNvCxnSpPr/>
      </xdr:nvCxnSpPr>
      <xdr:spPr>
        <a:xfrm>
          <a:off x="10302875" y="82294638"/>
          <a:ext cx="1228272" cy="81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1001486</xdr:colOff>
      <xdr:row>399</xdr:row>
      <xdr:rowOff>99786</xdr:rowOff>
    </xdr:from>
    <xdr:to>
      <xdr:col>12</xdr:col>
      <xdr:colOff>197757</xdr:colOff>
      <xdr:row>404</xdr:row>
      <xdr:rowOff>136070</xdr:rowOff>
    </xdr:to>
    <xdr:cxnSp macro="">
      <xdr:nvCxnSpPr>
        <xdr:cNvPr id="1081" name="Connecteur droit avec flèche 1080"/>
        <xdr:cNvCxnSpPr/>
      </xdr:nvCxnSpPr>
      <xdr:spPr>
        <a:xfrm flipV="1">
          <a:off x="10351861" y="81300411"/>
          <a:ext cx="1260021" cy="98878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987879</xdr:colOff>
      <xdr:row>403</xdr:row>
      <xdr:rowOff>54428</xdr:rowOff>
    </xdr:from>
    <xdr:to>
      <xdr:col>12</xdr:col>
      <xdr:colOff>55638</xdr:colOff>
      <xdr:row>404</xdr:row>
      <xdr:rowOff>136070</xdr:rowOff>
    </xdr:to>
    <xdr:cxnSp macro="">
      <xdr:nvCxnSpPr>
        <xdr:cNvPr id="1082" name="Connecteur droit avec flèche 1081"/>
        <xdr:cNvCxnSpPr/>
      </xdr:nvCxnSpPr>
      <xdr:spPr>
        <a:xfrm flipV="1">
          <a:off x="10338254" y="82017053"/>
          <a:ext cx="1131509" cy="27214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610507</xdr:colOff>
      <xdr:row>397</xdr:row>
      <xdr:rowOff>46870</xdr:rowOff>
    </xdr:from>
    <xdr:to>
      <xdr:col>14</xdr:col>
      <xdr:colOff>30540</xdr:colOff>
      <xdr:row>399</xdr:row>
      <xdr:rowOff>89202</xdr:rowOff>
    </xdr:to>
    <xdr:cxnSp macro="">
      <xdr:nvCxnSpPr>
        <xdr:cNvPr id="1083" name="Connecteur droit avec flèche 1082"/>
        <xdr:cNvCxnSpPr/>
      </xdr:nvCxnSpPr>
      <xdr:spPr>
        <a:xfrm flipV="1">
          <a:off x="12024632" y="80866495"/>
          <a:ext cx="944033" cy="423332"/>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568173</xdr:colOff>
      <xdr:row>399</xdr:row>
      <xdr:rowOff>87087</xdr:rowOff>
    </xdr:from>
    <xdr:to>
      <xdr:col>13</xdr:col>
      <xdr:colOff>705757</xdr:colOff>
      <xdr:row>399</xdr:row>
      <xdr:rowOff>99786</xdr:rowOff>
    </xdr:to>
    <xdr:cxnSp macro="">
      <xdr:nvCxnSpPr>
        <xdr:cNvPr id="1084" name="Connecteur droit avec flèche 1083"/>
        <xdr:cNvCxnSpPr/>
      </xdr:nvCxnSpPr>
      <xdr:spPr>
        <a:xfrm>
          <a:off x="11982298" y="81287712"/>
          <a:ext cx="899584" cy="1269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451758</xdr:colOff>
      <xdr:row>401</xdr:row>
      <xdr:rowOff>89202</xdr:rowOff>
    </xdr:from>
    <xdr:to>
      <xdr:col>13</xdr:col>
      <xdr:colOff>705758</xdr:colOff>
      <xdr:row>403</xdr:row>
      <xdr:rowOff>89200</xdr:rowOff>
    </xdr:to>
    <xdr:cxnSp macro="">
      <xdr:nvCxnSpPr>
        <xdr:cNvPr id="1085" name="Connecteur droit avec flèche 1084"/>
        <xdr:cNvCxnSpPr/>
      </xdr:nvCxnSpPr>
      <xdr:spPr>
        <a:xfrm flipV="1">
          <a:off x="11865883" y="81670827"/>
          <a:ext cx="1016000" cy="38099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652842</xdr:colOff>
      <xdr:row>404</xdr:row>
      <xdr:rowOff>68035</xdr:rowOff>
    </xdr:from>
    <xdr:to>
      <xdr:col>13</xdr:col>
      <xdr:colOff>716342</xdr:colOff>
      <xdr:row>404</xdr:row>
      <xdr:rowOff>78620</xdr:rowOff>
    </xdr:to>
    <xdr:cxnSp macro="">
      <xdr:nvCxnSpPr>
        <xdr:cNvPr id="1086" name="Connecteur droit avec flèche 1085"/>
        <xdr:cNvCxnSpPr/>
      </xdr:nvCxnSpPr>
      <xdr:spPr>
        <a:xfrm>
          <a:off x="12066967" y="82221160"/>
          <a:ext cx="825500" cy="105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504675</xdr:colOff>
      <xdr:row>403</xdr:row>
      <xdr:rowOff>57452</xdr:rowOff>
    </xdr:from>
    <xdr:to>
      <xdr:col>13</xdr:col>
      <xdr:colOff>674008</xdr:colOff>
      <xdr:row>403</xdr:row>
      <xdr:rowOff>78620</xdr:rowOff>
    </xdr:to>
    <xdr:cxnSp macro="">
      <xdr:nvCxnSpPr>
        <xdr:cNvPr id="1087" name="Connecteur droit avec flèche 1086"/>
        <xdr:cNvCxnSpPr/>
      </xdr:nvCxnSpPr>
      <xdr:spPr>
        <a:xfrm>
          <a:off x="11918800" y="82020077"/>
          <a:ext cx="931333"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670984</xdr:colOff>
      <xdr:row>397</xdr:row>
      <xdr:rowOff>128511</xdr:rowOff>
    </xdr:from>
    <xdr:to>
      <xdr:col>16</xdr:col>
      <xdr:colOff>35985</xdr:colOff>
      <xdr:row>397</xdr:row>
      <xdr:rowOff>141211</xdr:rowOff>
    </xdr:to>
    <xdr:cxnSp macro="">
      <xdr:nvCxnSpPr>
        <xdr:cNvPr id="1088" name="Connecteur droit avec flèche 1087"/>
        <xdr:cNvCxnSpPr/>
      </xdr:nvCxnSpPr>
      <xdr:spPr>
        <a:xfrm>
          <a:off x="13609109" y="80948136"/>
          <a:ext cx="889001" cy="127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639234</xdr:colOff>
      <xdr:row>401</xdr:row>
      <xdr:rowOff>160261</xdr:rowOff>
    </xdr:from>
    <xdr:to>
      <xdr:col>15</xdr:col>
      <xdr:colOff>745068</xdr:colOff>
      <xdr:row>401</xdr:row>
      <xdr:rowOff>162378</xdr:rowOff>
    </xdr:to>
    <xdr:cxnSp macro="">
      <xdr:nvCxnSpPr>
        <xdr:cNvPr id="1089" name="Connecteur droit avec flèche 1088"/>
        <xdr:cNvCxnSpPr/>
      </xdr:nvCxnSpPr>
      <xdr:spPr>
        <a:xfrm>
          <a:off x="13577359" y="8174188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399</xdr:row>
      <xdr:rowOff>160261</xdr:rowOff>
    </xdr:from>
    <xdr:to>
      <xdr:col>16</xdr:col>
      <xdr:colOff>57152</xdr:colOff>
      <xdr:row>399</xdr:row>
      <xdr:rowOff>162378</xdr:rowOff>
    </xdr:to>
    <xdr:cxnSp macro="">
      <xdr:nvCxnSpPr>
        <xdr:cNvPr id="1090" name="Connecteur droit avec flèche 1089"/>
        <xdr:cNvCxnSpPr/>
      </xdr:nvCxnSpPr>
      <xdr:spPr>
        <a:xfrm>
          <a:off x="13651443" y="81360886"/>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702734</xdr:colOff>
      <xdr:row>403</xdr:row>
      <xdr:rowOff>149678</xdr:rowOff>
    </xdr:from>
    <xdr:to>
      <xdr:col>16</xdr:col>
      <xdr:colOff>46568</xdr:colOff>
      <xdr:row>403</xdr:row>
      <xdr:rowOff>151795</xdr:rowOff>
    </xdr:to>
    <xdr:cxnSp macro="">
      <xdr:nvCxnSpPr>
        <xdr:cNvPr id="1091" name="Connecteur droit avec flèche 1090"/>
        <xdr:cNvCxnSpPr/>
      </xdr:nvCxnSpPr>
      <xdr:spPr>
        <a:xfrm>
          <a:off x="13640859" y="82112303"/>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621091</xdr:colOff>
      <xdr:row>404</xdr:row>
      <xdr:rowOff>92226</xdr:rowOff>
    </xdr:from>
    <xdr:to>
      <xdr:col>15</xdr:col>
      <xdr:colOff>726925</xdr:colOff>
      <xdr:row>404</xdr:row>
      <xdr:rowOff>94343</xdr:rowOff>
    </xdr:to>
    <xdr:cxnSp macro="">
      <xdr:nvCxnSpPr>
        <xdr:cNvPr id="1092" name="Connecteur droit avec flèche 1091"/>
        <xdr:cNvCxnSpPr/>
      </xdr:nvCxnSpPr>
      <xdr:spPr>
        <a:xfrm>
          <a:off x="13559216" y="82245351"/>
          <a:ext cx="867834" cy="211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660400</xdr:colOff>
      <xdr:row>396</xdr:row>
      <xdr:rowOff>68036</xdr:rowOff>
    </xdr:from>
    <xdr:to>
      <xdr:col>16</xdr:col>
      <xdr:colOff>54429</xdr:colOff>
      <xdr:row>397</xdr:row>
      <xdr:rowOff>117930</xdr:rowOff>
    </xdr:to>
    <xdr:cxnSp macro="">
      <xdr:nvCxnSpPr>
        <xdr:cNvPr id="1093" name="Connecteur droit avec flèche 1092"/>
        <xdr:cNvCxnSpPr/>
      </xdr:nvCxnSpPr>
      <xdr:spPr>
        <a:xfrm flipV="1">
          <a:off x="13598525" y="80697161"/>
          <a:ext cx="918029" cy="2403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713318</xdr:colOff>
      <xdr:row>398</xdr:row>
      <xdr:rowOff>108857</xdr:rowOff>
    </xdr:from>
    <xdr:to>
      <xdr:col>16</xdr:col>
      <xdr:colOff>27214</xdr:colOff>
      <xdr:row>399</xdr:row>
      <xdr:rowOff>139097</xdr:rowOff>
    </xdr:to>
    <xdr:cxnSp macro="">
      <xdr:nvCxnSpPr>
        <xdr:cNvPr id="1094" name="Connecteur droit avec flèche 1093"/>
        <xdr:cNvCxnSpPr/>
      </xdr:nvCxnSpPr>
      <xdr:spPr>
        <a:xfrm flipV="1">
          <a:off x="13651443" y="81118982"/>
          <a:ext cx="837896" cy="22074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628651</xdr:colOff>
      <xdr:row>400</xdr:row>
      <xdr:rowOff>136071</xdr:rowOff>
    </xdr:from>
    <xdr:to>
      <xdr:col>15</xdr:col>
      <xdr:colOff>748393</xdr:colOff>
      <xdr:row>401</xdr:row>
      <xdr:rowOff>139097</xdr:rowOff>
    </xdr:to>
    <xdr:cxnSp macro="">
      <xdr:nvCxnSpPr>
        <xdr:cNvPr id="1095" name="Connecteur droit avec flèche 1094"/>
        <xdr:cNvCxnSpPr/>
      </xdr:nvCxnSpPr>
      <xdr:spPr>
        <a:xfrm flipV="1">
          <a:off x="13566776" y="81527196"/>
          <a:ext cx="881742" cy="19352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681567</xdr:colOff>
      <xdr:row>402</xdr:row>
      <xdr:rowOff>108857</xdr:rowOff>
    </xdr:from>
    <xdr:to>
      <xdr:col>15</xdr:col>
      <xdr:colOff>748393</xdr:colOff>
      <xdr:row>403</xdr:row>
      <xdr:rowOff>128513</xdr:rowOff>
    </xdr:to>
    <xdr:cxnSp macro="">
      <xdr:nvCxnSpPr>
        <xdr:cNvPr id="1096" name="Connecteur droit avec flèche 1095"/>
        <xdr:cNvCxnSpPr/>
      </xdr:nvCxnSpPr>
      <xdr:spPr>
        <a:xfrm flipV="1">
          <a:off x="13619692" y="81880982"/>
          <a:ext cx="828826" cy="21015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1047750</xdr:colOff>
      <xdr:row>394</xdr:row>
      <xdr:rowOff>142875</xdr:rowOff>
    </xdr:from>
    <xdr:to>
      <xdr:col>9</xdr:col>
      <xdr:colOff>889000</xdr:colOff>
      <xdr:row>404</xdr:row>
      <xdr:rowOff>79375</xdr:rowOff>
    </xdr:to>
    <xdr:cxnSp macro="">
      <xdr:nvCxnSpPr>
        <xdr:cNvPr id="1097" name="Connecteur droit avec flèche 1096"/>
        <xdr:cNvCxnSpPr/>
      </xdr:nvCxnSpPr>
      <xdr:spPr>
        <a:xfrm>
          <a:off x="8382000" y="78486000"/>
          <a:ext cx="920750" cy="1841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583406</xdr:colOff>
      <xdr:row>24</xdr:row>
      <xdr:rowOff>106680</xdr:rowOff>
    </xdr:from>
    <xdr:to>
      <xdr:col>3</xdr:col>
      <xdr:colOff>710566</xdr:colOff>
      <xdr:row>26</xdr:row>
      <xdr:rowOff>83344</xdr:rowOff>
    </xdr:to>
    <xdr:cxnSp macro="">
      <xdr:nvCxnSpPr>
        <xdr:cNvPr id="2" name="Connecteur droit avec flèche 1"/>
        <xdr:cNvCxnSpPr/>
      </xdr:nvCxnSpPr>
      <xdr:spPr>
        <a:xfrm flipV="1">
          <a:off x="2107406" y="4678680"/>
          <a:ext cx="889160" cy="35766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607219</xdr:colOff>
      <xdr:row>26</xdr:row>
      <xdr:rowOff>71438</xdr:rowOff>
    </xdr:from>
    <xdr:to>
      <xdr:col>3</xdr:col>
      <xdr:colOff>726281</xdr:colOff>
      <xdr:row>38</xdr:row>
      <xdr:rowOff>83344</xdr:rowOff>
    </xdr:to>
    <xdr:cxnSp macro="">
      <xdr:nvCxnSpPr>
        <xdr:cNvPr id="3" name="Connecteur droit avec flèche 2"/>
        <xdr:cNvCxnSpPr/>
      </xdr:nvCxnSpPr>
      <xdr:spPr>
        <a:xfrm>
          <a:off x="2131219" y="5024438"/>
          <a:ext cx="881062" cy="22979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902546</xdr:colOff>
      <xdr:row>24</xdr:row>
      <xdr:rowOff>83820</xdr:rowOff>
    </xdr:from>
    <xdr:to>
      <xdr:col>5</xdr:col>
      <xdr:colOff>696806</xdr:colOff>
      <xdr:row>24</xdr:row>
      <xdr:rowOff>85408</xdr:rowOff>
    </xdr:to>
    <xdr:cxnSp macro="">
      <xdr:nvCxnSpPr>
        <xdr:cNvPr id="4" name="Connecteur droit avec flèche 3"/>
        <xdr:cNvCxnSpPr/>
      </xdr:nvCxnSpPr>
      <xdr:spPr>
        <a:xfrm>
          <a:off x="3950546" y="4274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66</xdr:row>
      <xdr:rowOff>114300</xdr:rowOff>
    </xdr:from>
    <xdr:to>
      <xdr:col>8</xdr:col>
      <xdr:colOff>0</xdr:colOff>
      <xdr:row>66</xdr:row>
      <xdr:rowOff>115888</xdr:rowOff>
    </xdr:to>
    <xdr:cxnSp macro="">
      <xdr:nvCxnSpPr>
        <xdr:cNvPr id="5" name="Connecteur droit avec flèche 4"/>
        <xdr:cNvCxnSpPr/>
      </xdr:nvCxnSpPr>
      <xdr:spPr>
        <a:xfrm>
          <a:off x="6572250" y="15735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1285875</xdr:colOff>
      <xdr:row>38</xdr:row>
      <xdr:rowOff>71438</xdr:rowOff>
    </xdr:from>
    <xdr:to>
      <xdr:col>6</xdr:col>
      <xdr:colOff>30480</xdr:colOff>
      <xdr:row>38</xdr:row>
      <xdr:rowOff>100648</xdr:rowOff>
    </xdr:to>
    <xdr:cxnSp macro="">
      <xdr:nvCxnSpPr>
        <xdr:cNvPr id="6" name="Connecteur droit avec flèche 5"/>
        <xdr:cNvCxnSpPr/>
      </xdr:nvCxnSpPr>
      <xdr:spPr>
        <a:xfrm>
          <a:off x="4333875" y="7310438"/>
          <a:ext cx="887730" cy="2921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1357313</xdr:colOff>
      <xdr:row>38</xdr:row>
      <xdr:rowOff>142875</xdr:rowOff>
    </xdr:from>
    <xdr:to>
      <xdr:col>5</xdr:col>
      <xdr:colOff>702472</xdr:colOff>
      <xdr:row>66</xdr:row>
      <xdr:rowOff>95253</xdr:rowOff>
    </xdr:to>
    <xdr:cxnSp macro="">
      <xdr:nvCxnSpPr>
        <xdr:cNvPr id="7" name="Connecteur droit avec flèche 6"/>
        <xdr:cNvCxnSpPr/>
      </xdr:nvCxnSpPr>
      <xdr:spPr>
        <a:xfrm>
          <a:off x="4405313" y="7381875"/>
          <a:ext cx="726284" cy="261937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1345406</xdr:colOff>
      <xdr:row>24</xdr:row>
      <xdr:rowOff>107156</xdr:rowOff>
    </xdr:from>
    <xdr:to>
      <xdr:col>8</xdr:col>
      <xdr:colOff>214313</xdr:colOff>
      <xdr:row>24</xdr:row>
      <xdr:rowOff>119063</xdr:rowOff>
    </xdr:to>
    <xdr:cxnSp macro="">
      <xdr:nvCxnSpPr>
        <xdr:cNvPr id="10" name="Connecteur droit avec flèche 9"/>
        <xdr:cNvCxnSpPr/>
      </xdr:nvCxnSpPr>
      <xdr:spPr>
        <a:xfrm>
          <a:off x="6536531" y="4679156"/>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714378</xdr:colOff>
      <xdr:row>108</xdr:row>
      <xdr:rowOff>106682</xdr:rowOff>
    </xdr:from>
    <xdr:to>
      <xdr:col>3</xdr:col>
      <xdr:colOff>758188</xdr:colOff>
      <xdr:row>110</xdr:row>
      <xdr:rowOff>107156</xdr:rowOff>
    </xdr:to>
    <xdr:cxnSp macro="">
      <xdr:nvCxnSpPr>
        <xdr:cNvPr id="15" name="Connecteur droit avec flèche 14"/>
        <xdr:cNvCxnSpPr/>
      </xdr:nvCxnSpPr>
      <xdr:spPr>
        <a:xfrm flipV="1">
          <a:off x="2238378" y="12679682"/>
          <a:ext cx="805810" cy="38147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726281</xdr:colOff>
      <xdr:row>110</xdr:row>
      <xdr:rowOff>142875</xdr:rowOff>
    </xdr:from>
    <xdr:to>
      <xdr:col>3</xdr:col>
      <xdr:colOff>702469</xdr:colOff>
      <xdr:row>122</xdr:row>
      <xdr:rowOff>95250</xdr:rowOff>
    </xdr:to>
    <xdr:cxnSp macro="">
      <xdr:nvCxnSpPr>
        <xdr:cNvPr id="16" name="Connecteur droit avec flèche 15"/>
        <xdr:cNvCxnSpPr/>
      </xdr:nvCxnSpPr>
      <xdr:spPr>
        <a:xfrm>
          <a:off x="2250281" y="13096875"/>
          <a:ext cx="738188" cy="22383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108</xdr:row>
      <xdr:rowOff>83820</xdr:rowOff>
    </xdr:from>
    <xdr:to>
      <xdr:col>5</xdr:col>
      <xdr:colOff>739140</xdr:colOff>
      <xdr:row>108</xdr:row>
      <xdr:rowOff>85408</xdr:rowOff>
    </xdr:to>
    <xdr:cxnSp macro="">
      <xdr:nvCxnSpPr>
        <xdr:cNvPr id="17" name="Connecteur droit avec flèche 16"/>
        <xdr:cNvCxnSpPr/>
      </xdr:nvCxnSpPr>
      <xdr:spPr>
        <a:xfrm>
          <a:off x="3992880" y="17990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150</xdr:row>
      <xdr:rowOff>114300</xdr:rowOff>
    </xdr:from>
    <xdr:to>
      <xdr:col>8</xdr:col>
      <xdr:colOff>0</xdr:colOff>
      <xdr:row>150</xdr:row>
      <xdr:rowOff>115888</xdr:rowOff>
    </xdr:to>
    <xdr:cxnSp macro="">
      <xdr:nvCxnSpPr>
        <xdr:cNvPr id="18" name="Connecteur droit avec flèche 17"/>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1345406</xdr:colOff>
      <xdr:row>122</xdr:row>
      <xdr:rowOff>130969</xdr:rowOff>
    </xdr:from>
    <xdr:to>
      <xdr:col>5</xdr:col>
      <xdr:colOff>726281</xdr:colOff>
      <xdr:row>150</xdr:row>
      <xdr:rowOff>130969</xdr:rowOff>
    </xdr:to>
    <xdr:cxnSp macro="">
      <xdr:nvCxnSpPr>
        <xdr:cNvPr id="19" name="Connecteur droit avec flèche 18"/>
        <xdr:cNvCxnSpPr/>
      </xdr:nvCxnSpPr>
      <xdr:spPr>
        <a:xfrm>
          <a:off x="4393406" y="15370969"/>
          <a:ext cx="762000" cy="26670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1309688</xdr:colOff>
      <xdr:row>122</xdr:row>
      <xdr:rowOff>95253</xdr:rowOff>
    </xdr:from>
    <xdr:to>
      <xdr:col>5</xdr:col>
      <xdr:colOff>690566</xdr:colOff>
      <xdr:row>122</xdr:row>
      <xdr:rowOff>107156</xdr:rowOff>
    </xdr:to>
    <xdr:cxnSp macro="">
      <xdr:nvCxnSpPr>
        <xdr:cNvPr id="20" name="Connecteur droit avec flèche 19"/>
        <xdr:cNvCxnSpPr/>
      </xdr:nvCxnSpPr>
      <xdr:spPr>
        <a:xfrm flipV="1">
          <a:off x="4357688" y="18002253"/>
          <a:ext cx="762003" cy="1190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108</xdr:row>
      <xdr:rowOff>99647</xdr:rowOff>
    </xdr:from>
    <xdr:to>
      <xdr:col>8</xdr:col>
      <xdr:colOff>0</xdr:colOff>
      <xdr:row>108</xdr:row>
      <xdr:rowOff>108268</xdr:rowOff>
    </xdr:to>
    <xdr:cxnSp macro="">
      <xdr:nvCxnSpPr>
        <xdr:cNvPr id="23" name="Connecteur droit avec flèche 22"/>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719666</xdr:colOff>
      <xdr:row>194</xdr:row>
      <xdr:rowOff>127000</xdr:rowOff>
    </xdr:from>
    <xdr:to>
      <xdr:col>3</xdr:col>
      <xdr:colOff>726281</xdr:colOff>
      <xdr:row>206</xdr:row>
      <xdr:rowOff>95250</xdr:rowOff>
    </xdr:to>
    <xdr:cxnSp macro="">
      <xdr:nvCxnSpPr>
        <xdr:cNvPr id="30" name="Connecteur droit avec flèche 29"/>
        <xdr:cNvCxnSpPr/>
      </xdr:nvCxnSpPr>
      <xdr:spPr>
        <a:xfrm>
          <a:off x="2243666" y="21082000"/>
          <a:ext cx="768615" cy="22542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192</xdr:row>
      <xdr:rowOff>83820</xdr:rowOff>
    </xdr:from>
    <xdr:to>
      <xdr:col>5</xdr:col>
      <xdr:colOff>739140</xdr:colOff>
      <xdr:row>192</xdr:row>
      <xdr:rowOff>85408</xdr:rowOff>
    </xdr:to>
    <xdr:cxnSp macro="">
      <xdr:nvCxnSpPr>
        <xdr:cNvPr id="31" name="Connecteur droit avec flèche 30"/>
        <xdr:cNvCxnSpPr/>
      </xdr:nvCxnSpPr>
      <xdr:spPr>
        <a:xfrm>
          <a:off x="3992880" y="3132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1321594</xdr:colOff>
      <xdr:row>206</xdr:row>
      <xdr:rowOff>83344</xdr:rowOff>
    </xdr:from>
    <xdr:to>
      <xdr:col>6</xdr:col>
      <xdr:colOff>30480</xdr:colOff>
      <xdr:row>206</xdr:row>
      <xdr:rowOff>100648</xdr:rowOff>
    </xdr:to>
    <xdr:cxnSp macro="">
      <xdr:nvCxnSpPr>
        <xdr:cNvPr id="33" name="Connecteur droit avec flèche 32"/>
        <xdr:cNvCxnSpPr/>
      </xdr:nvCxnSpPr>
      <xdr:spPr>
        <a:xfrm>
          <a:off x="4369594" y="23324344"/>
          <a:ext cx="852011" cy="1730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1333500</xdr:colOff>
      <xdr:row>206</xdr:row>
      <xdr:rowOff>107156</xdr:rowOff>
    </xdr:from>
    <xdr:to>
      <xdr:col>5</xdr:col>
      <xdr:colOff>726284</xdr:colOff>
      <xdr:row>234</xdr:row>
      <xdr:rowOff>71441</xdr:rowOff>
    </xdr:to>
    <xdr:cxnSp macro="">
      <xdr:nvCxnSpPr>
        <xdr:cNvPr id="34" name="Connecteur droit avec flèche 33"/>
        <xdr:cNvCxnSpPr/>
      </xdr:nvCxnSpPr>
      <xdr:spPr>
        <a:xfrm>
          <a:off x="4381500" y="23348156"/>
          <a:ext cx="773909" cy="263128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192</xdr:row>
      <xdr:rowOff>99647</xdr:rowOff>
    </xdr:from>
    <xdr:to>
      <xdr:col>8</xdr:col>
      <xdr:colOff>0</xdr:colOff>
      <xdr:row>192</xdr:row>
      <xdr:rowOff>108268</xdr:rowOff>
    </xdr:to>
    <xdr:cxnSp macro="">
      <xdr:nvCxnSpPr>
        <xdr:cNvPr id="37" name="Connecteur droit avec flèche 36"/>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750094</xdr:colOff>
      <xdr:row>274</xdr:row>
      <xdr:rowOff>0</xdr:rowOff>
    </xdr:from>
    <xdr:to>
      <xdr:col>3</xdr:col>
      <xdr:colOff>723900</xdr:colOff>
      <xdr:row>274</xdr:row>
      <xdr:rowOff>95250</xdr:rowOff>
    </xdr:to>
    <xdr:cxnSp macro="">
      <xdr:nvCxnSpPr>
        <xdr:cNvPr id="42" name="Connecteur droit avec flèche 41"/>
        <xdr:cNvCxnSpPr/>
      </xdr:nvCxnSpPr>
      <xdr:spPr>
        <a:xfrm flipV="1">
          <a:off x="2274094" y="26631900"/>
          <a:ext cx="735806" cy="22288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0</xdr:colOff>
      <xdr:row>274</xdr:row>
      <xdr:rowOff>154781</xdr:rowOff>
    </xdr:from>
    <xdr:to>
      <xdr:col>3</xdr:col>
      <xdr:colOff>726281</xdr:colOff>
      <xdr:row>282</xdr:row>
      <xdr:rowOff>95250</xdr:rowOff>
    </xdr:to>
    <xdr:cxnSp macro="">
      <xdr:nvCxnSpPr>
        <xdr:cNvPr id="43" name="Connecteur droit avec flèche 42"/>
        <xdr:cNvCxnSpPr/>
      </xdr:nvCxnSpPr>
      <xdr:spPr>
        <a:xfrm>
          <a:off x="2286000" y="28920281"/>
          <a:ext cx="726281" cy="203596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272</xdr:row>
      <xdr:rowOff>83820</xdr:rowOff>
    </xdr:from>
    <xdr:to>
      <xdr:col>5</xdr:col>
      <xdr:colOff>739140</xdr:colOff>
      <xdr:row>272</xdr:row>
      <xdr:rowOff>85408</xdr:rowOff>
    </xdr:to>
    <xdr:cxnSp macro="">
      <xdr:nvCxnSpPr>
        <xdr:cNvPr id="44" name="Connecteur droit avec flèche 43"/>
        <xdr:cNvCxnSpPr/>
      </xdr:nvCxnSpPr>
      <xdr:spPr>
        <a:xfrm>
          <a:off x="3992880" y="427558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1321594</xdr:colOff>
      <xdr:row>282</xdr:row>
      <xdr:rowOff>107157</xdr:rowOff>
    </xdr:from>
    <xdr:to>
      <xdr:col>6</xdr:col>
      <xdr:colOff>23813</xdr:colOff>
      <xdr:row>282</xdr:row>
      <xdr:rowOff>119063</xdr:rowOff>
    </xdr:to>
    <xdr:cxnSp macro="">
      <xdr:nvCxnSpPr>
        <xdr:cNvPr id="45" name="Connecteur droit avec flèche 44"/>
        <xdr:cNvCxnSpPr/>
      </xdr:nvCxnSpPr>
      <xdr:spPr>
        <a:xfrm flipV="1">
          <a:off x="4369594" y="28682157"/>
          <a:ext cx="845344" cy="11906"/>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757922</xdr:colOff>
      <xdr:row>110</xdr:row>
      <xdr:rowOff>107156</xdr:rowOff>
    </xdr:from>
    <xdr:to>
      <xdr:col>1</xdr:col>
      <xdr:colOff>750094</xdr:colOff>
      <xdr:row>179</xdr:row>
      <xdr:rowOff>54429</xdr:rowOff>
    </xdr:to>
    <xdr:cxnSp macro="">
      <xdr:nvCxnSpPr>
        <xdr:cNvPr id="49" name="Connecteur droit avec flèche 48"/>
        <xdr:cNvCxnSpPr/>
      </xdr:nvCxnSpPr>
      <xdr:spPr>
        <a:xfrm flipV="1">
          <a:off x="757922" y="13061156"/>
          <a:ext cx="754172" cy="509077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760642</xdr:colOff>
      <xdr:row>179</xdr:row>
      <xdr:rowOff>152400</xdr:rowOff>
    </xdr:from>
    <xdr:to>
      <xdr:col>1</xdr:col>
      <xdr:colOff>726281</xdr:colOff>
      <xdr:row>194</xdr:row>
      <xdr:rowOff>119063</xdr:rowOff>
    </xdr:to>
    <xdr:cxnSp macro="">
      <xdr:nvCxnSpPr>
        <xdr:cNvPr id="50" name="Connecteur droit avec flèche 49"/>
        <xdr:cNvCxnSpPr/>
      </xdr:nvCxnSpPr>
      <xdr:spPr>
        <a:xfrm>
          <a:off x="760642" y="18249900"/>
          <a:ext cx="727639" cy="282416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180</xdr:row>
      <xdr:rowOff>0</xdr:rowOff>
    </xdr:from>
    <xdr:to>
      <xdr:col>2</xdr:col>
      <xdr:colOff>71438</xdr:colOff>
      <xdr:row>274</xdr:row>
      <xdr:rowOff>59531</xdr:rowOff>
    </xdr:to>
    <xdr:cxnSp macro="">
      <xdr:nvCxnSpPr>
        <xdr:cNvPr id="51" name="Connecteur droit avec flèche 50"/>
        <xdr:cNvCxnSpPr/>
      </xdr:nvCxnSpPr>
      <xdr:spPr>
        <a:xfrm>
          <a:off x="802821" y="16954500"/>
          <a:ext cx="792617" cy="1187053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150</xdr:row>
      <xdr:rowOff>114300</xdr:rowOff>
    </xdr:from>
    <xdr:to>
      <xdr:col>8</xdr:col>
      <xdr:colOff>0</xdr:colOff>
      <xdr:row>150</xdr:row>
      <xdr:rowOff>115888</xdr:rowOff>
    </xdr:to>
    <xdr:cxnSp macro="">
      <xdr:nvCxnSpPr>
        <xdr:cNvPr id="52" name="Connecteur droit avec flèche 51"/>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108</xdr:row>
      <xdr:rowOff>99647</xdr:rowOff>
    </xdr:from>
    <xdr:to>
      <xdr:col>8</xdr:col>
      <xdr:colOff>0</xdr:colOff>
      <xdr:row>108</xdr:row>
      <xdr:rowOff>108268</xdr:rowOff>
    </xdr:to>
    <xdr:cxnSp macro="">
      <xdr:nvCxnSpPr>
        <xdr:cNvPr id="55" name="Connecteur droit avec flèche 54"/>
        <xdr:cNvCxnSpPr/>
      </xdr:nvCxnSpPr>
      <xdr:spPr>
        <a:xfrm>
          <a:off x="6375156" y="18006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192</xdr:row>
      <xdr:rowOff>99647</xdr:rowOff>
    </xdr:from>
    <xdr:to>
      <xdr:col>8</xdr:col>
      <xdr:colOff>0</xdr:colOff>
      <xdr:row>192</xdr:row>
      <xdr:rowOff>108268</xdr:rowOff>
    </xdr:to>
    <xdr:cxnSp macro="">
      <xdr:nvCxnSpPr>
        <xdr:cNvPr id="58" name="Connecteur droit avec flèche 57"/>
        <xdr:cNvCxnSpPr/>
      </xdr:nvCxnSpPr>
      <xdr:spPr>
        <a:xfrm>
          <a:off x="6375156" y="313416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150</xdr:row>
      <xdr:rowOff>114300</xdr:rowOff>
    </xdr:from>
    <xdr:to>
      <xdr:col>8</xdr:col>
      <xdr:colOff>0</xdr:colOff>
      <xdr:row>150</xdr:row>
      <xdr:rowOff>115888</xdr:rowOff>
    </xdr:to>
    <xdr:cxnSp macro="">
      <xdr:nvCxnSpPr>
        <xdr:cNvPr id="60" name="Connecteur droit avec flèche 59"/>
        <xdr:cNvCxnSpPr/>
      </xdr:nvCxnSpPr>
      <xdr:spPr>
        <a:xfrm>
          <a:off x="6572250" y="2945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180</xdr:row>
      <xdr:rowOff>0</xdr:rowOff>
    </xdr:from>
    <xdr:to>
      <xdr:col>1</xdr:col>
      <xdr:colOff>723900</xdr:colOff>
      <xdr:row>325</xdr:row>
      <xdr:rowOff>104775</xdr:rowOff>
    </xdr:to>
    <xdr:cxnSp macro="">
      <xdr:nvCxnSpPr>
        <xdr:cNvPr id="87" name="Connecteur droit avec flèche 86"/>
        <xdr:cNvCxnSpPr/>
      </xdr:nvCxnSpPr>
      <xdr:spPr>
        <a:xfrm>
          <a:off x="762000" y="29718000"/>
          <a:ext cx="723900" cy="2315527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325</xdr:row>
      <xdr:rowOff>83820</xdr:rowOff>
    </xdr:from>
    <xdr:to>
      <xdr:col>5</xdr:col>
      <xdr:colOff>739140</xdr:colOff>
      <xdr:row>325</xdr:row>
      <xdr:rowOff>85408</xdr:rowOff>
    </xdr:to>
    <xdr:cxnSp macro="">
      <xdr:nvCxnSpPr>
        <xdr:cNvPr id="88" name="Connecteur droit avec flèche 87"/>
        <xdr:cNvCxnSpPr/>
      </xdr:nvCxnSpPr>
      <xdr:spPr>
        <a:xfrm>
          <a:off x="3992880" y="5285232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325</xdr:row>
      <xdr:rowOff>99647</xdr:rowOff>
    </xdr:from>
    <xdr:to>
      <xdr:col>8</xdr:col>
      <xdr:colOff>0</xdr:colOff>
      <xdr:row>325</xdr:row>
      <xdr:rowOff>108268</xdr:rowOff>
    </xdr:to>
    <xdr:cxnSp macro="">
      <xdr:nvCxnSpPr>
        <xdr:cNvPr id="89" name="Connecteur droit avec flèche 88"/>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325</xdr:row>
      <xdr:rowOff>99647</xdr:rowOff>
    </xdr:from>
    <xdr:to>
      <xdr:col>8</xdr:col>
      <xdr:colOff>0</xdr:colOff>
      <xdr:row>325</xdr:row>
      <xdr:rowOff>108268</xdr:rowOff>
    </xdr:to>
    <xdr:cxnSp macro="">
      <xdr:nvCxnSpPr>
        <xdr:cNvPr id="91" name="Connecteur droit avec flèche 90"/>
        <xdr:cNvCxnSpPr/>
      </xdr:nvCxnSpPr>
      <xdr:spPr>
        <a:xfrm>
          <a:off x="6375156" y="52868147"/>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325</xdr:row>
      <xdr:rowOff>95251</xdr:rowOff>
    </xdr:from>
    <xdr:to>
      <xdr:col>4</xdr:col>
      <xdr:colOff>0</xdr:colOff>
      <xdr:row>325</xdr:row>
      <xdr:rowOff>114300</xdr:rowOff>
    </xdr:to>
    <xdr:cxnSp macro="">
      <xdr:nvCxnSpPr>
        <xdr:cNvPr id="92" name="Connecteur droit avec flèche 91"/>
        <xdr:cNvCxnSpPr/>
      </xdr:nvCxnSpPr>
      <xdr:spPr>
        <a:xfrm>
          <a:off x="2171700" y="52863751"/>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294</xdr:row>
      <xdr:rowOff>0</xdr:rowOff>
    </xdr:from>
    <xdr:to>
      <xdr:col>5</xdr:col>
      <xdr:colOff>750094</xdr:colOff>
      <xdr:row>302</xdr:row>
      <xdr:rowOff>119063</xdr:rowOff>
    </xdr:to>
    <xdr:cxnSp macro="">
      <xdr:nvCxnSpPr>
        <xdr:cNvPr id="108" name="Connecteur droit avec flèche 107"/>
        <xdr:cNvCxnSpPr/>
      </xdr:nvCxnSpPr>
      <xdr:spPr>
        <a:xfrm>
          <a:off x="4429125" y="31051500"/>
          <a:ext cx="750094" cy="240506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234</xdr:row>
      <xdr:rowOff>114300</xdr:rowOff>
    </xdr:from>
    <xdr:to>
      <xdr:col>8</xdr:col>
      <xdr:colOff>0</xdr:colOff>
      <xdr:row>234</xdr:row>
      <xdr:rowOff>115888</xdr:rowOff>
    </xdr:to>
    <xdr:cxnSp macro="">
      <xdr:nvCxnSpPr>
        <xdr:cNvPr id="109" name="Connecteur droit avec flèche 108"/>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234</xdr:row>
      <xdr:rowOff>114300</xdr:rowOff>
    </xdr:from>
    <xdr:to>
      <xdr:col>8</xdr:col>
      <xdr:colOff>0</xdr:colOff>
      <xdr:row>234</xdr:row>
      <xdr:rowOff>115888</xdr:rowOff>
    </xdr:to>
    <xdr:cxnSp macro="">
      <xdr:nvCxnSpPr>
        <xdr:cNvPr id="111" name="Connecteur droit avec flèche 110"/>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0</xdr:colOff>
      <xdr:row>234</xdr:row>
      <xdr:rowOff>114300</xdr:rowOff>
    </xdr:from>
    <xdr:to>
      <xdr:col>8</xdr:col>
      <xdr:colOff>0</xdr:colOff>
      <xdr:row>234</xdr:row>
      <xdr:rowOff>115888</xdr:rowOff>
    </xdr:to>
    <xdr:cxnSp macro="">
      <xdr:nvCxnSpPr>
        <xdr:cNvPr id="112" name="Connecteur droit avec flèche 111"/>
        <xdr:cNvCxnSpPr/>
      </xdr:nvCxnSpPr>
      <xdr:spPr>
        <a:xfrm>
          <a:off x="6572250" y="40881300"/>
          <a:ext cx="784860"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24</xdr:row>
      <xdr:rowOff>107156</xdr:rowOff>
    </xdr:from>
    <xdr:to>
      <xdr:col>10</xdr:col>
      <xdr:colOff>199073</xdr:colOff>
      <xdr:row>24</xdr:row>
      <xdr:rowOff>108744</xdr:rowOff>
    </xdr:to>
    <xdr:cxnSp macro="">
      <xdr:nvCxnSpPr>
        <xdr:cNvPr id="647" name="Connecteur droit avec flèche 646"/>
        <xdr:cNvCxnSpPr/>
      </xdr:nvCxnSpPr>
      <xdr:spPr>
        <a:xfrm>
          <a:off x="7881938" y="4298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20</xdr:row>
      <xdr:rowOff>130969</xdr:rowOff>
    </xdr:from>
    <xdr:to>
      <xdr:col>10</xdr:col>
      <xdr:colOff>119063</xdr:colOff>
      <xdr:row>21</xdr:row>
      <xdr:rowOff>107156</xdr:rowOff>
    </xdr:to>
    <xdr:cxnSp macro="">
      <xdr:nvCxnSpPr>
        <xdr:cNvPr id="648" name="Connecteur droit avec flèche 647"/>
        <xdr:cNvCxnSpPr/>
      </xdr:nvCxnSpPr>
      <xdr:spPr>
        <a:xfrm flipV="1">
          <a:off x="8036719" y="3559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21</xdr:row>
      <xdr:rowOff>119063</xdr:rowOff>
    </xdr:from>
    <xdr:to>
      <xdr:col>10</xdr:col>
      <xdr:colOff>107156</xdr:colOff>
      <xdr:row>22</xdr:row>
      <xdr:rowOff>119063</xdr:rowOff>
    </xdr:to>
    <xdr:cxnSp macro="">
      <xdr:nvCxnSpPr>
        <xdr:cNvPr id="650" name="Connecteur droit avec flèche 649"/>
        <xdr:cNvCxnSpPr/>
      </xdr:nvCxnSpPr>
      <xdr:spPr>
        <a:xfrm>
          <a:off x="8048625" y="3738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18</xdr:row>
      <xdr:rowOff>107156</xdr:rowOff>
    </xdr:from>
    <xdr:to>
      <xdr:col>12</xdr:col>
      <xdr:colOff>166688</xdr:colOff>
      <xdr:row>20</xdr:row>
      <xdr:rowOff>83344</xdr:rowOff>
    </xdr:to>
    <xdr:cxnSp macro="">
      <xdr:nvCxnSpPr>
        <xdr:cNvPr id="653" name="Connecteur droit avec flèche 652"/>
        <xdr:cNvCxnSpPr/>
      </xdr:nvCxnSpPr>
      <xdr:spPr>
        <a:xfrm flipV="1">
          <a:off x="9501187" y="3155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20</xdr:row>
      <xdr:rowOff>119063</xdr:rowOff>
    </xdr:from>
    <xdr:to>
      <xdr:col>12</xdr:col>
      <xdr:colOff>166688</xdr:colOff>
      <xdr:row>20</xdr:row>
      <xdr:rowOff>119064</xdr:rowOff>
    </xdr:to>
    <xdr:cxnSp macro="">
      <xdr:nvCxnSpPr>
        <xdr:cNvPr id="655" name="Connecteur droit avec flèche 654"/>
        <xdr:cNvCxnSpPr/>
      </xdr:nvCxnSpPr>
      <xdr:spPr>
        <a:xfrm flipV="1">
          <a:off x="9477375" y="3548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24</xdr:row>
      <xdr:rowOff>119063</xdr:rowOff>
    </xdr:from>
    <xdr:to>
      <xdr:col>14</xdr:col>
      <xdr:colOff>59531</xdr:colOff>
      <xdr:row>24</xdr:row>
      <xdr:rowOff>119063</xdr:rowOff>
    </xdr:to>
    <xdr:cxnSp macro="">
      <xdr:nvCxnSpPr>
        <xdr:cNvPr id="660" name="Connecteur droit avec flèche 659"/>
        <xdr:cNvCxnSpPr/>
      </xdr:nvCxnSpPr>
      <xdr:spPr>
        <a:xfrm>
          <a:off x="9513093" y="4310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22</xdr:row>
      <xdr:rowOff>130972</xdr:rowOff>
    </xdr:from>
    <xdr:to>
      <xdr:col>14</xdr:col>
      <xdr:colOff>190500</xdr:colOff>
      <xdr:row>23</xdr:row>
      <xdr:rowOff>119063</xdr:rowOff>
    </xdr:to>
    <xdr:cxnSp macro="">
      <xdr:nvCxnSpPr>
        <xdr:cNvPr id="663" name="Connecteur droit avec flèche 662"/>
        <xdr:cNvCxnSpPr/>
      </xdr:nvCxnSpPr>
      <xdr:spPr>
        <a:xfrm>
          <a:off x="9465469" y="3940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22</xdr:row>
      <xdr:rowOff>119063</xdr:rowOff>
    </xdr:from>
    <xdr:to>
      <xdr:col>14</xdr:col>
      <xdr:colOff>83344</xdr:colOff>
      <xdr:row>22</xdr:row>
      <xdr:rowOff>119063</xdr:rowOff>
    </xdr:to>
    <xdr:cxnSp macro="">
      <xdr:nvCxnSpPr>
        <xdr:cNvPr id="676" name="Connecteur droit avec flèche 675"/>
        <xdr:cNvCxnSpPr/>
      </xdr:nvCxnSpPr>
      <xdr:spPr>
        <a:xfrm>
          <a:off x="9465469" y="3929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20</xdr:row>
      <xdr:rowOff>107156</xdr:rowOff>
    </xdr:from>
    <xdr:to>
      <xdr:col>14</xdr:col>
      <xdr:colOff>107157</xdr:colOff>
      <xdr:row>20</xdr:row>
      <xdr:rowOff>107157</xdr:rowOff>
    </xdr:to>
    <xdr:cxnSp macro="">
      <xdr:nvCxnSpPr>
        <xdr:cNvPr id="679" name="Connecteur droit avec flèche 678"/>
        <xdr:cNvCxnSpPr/>
      </xdr:nvCxnSpPr>
      <xdr:spPr>
        <a:xfrm flipV="1">
          <a:off x="10941844" y="3536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20</xdr:row>
      <xdr:rowOff>107158</xdr:rowOff>
    </xdr:from>
    <xdr:to>
      <xdr:col>14</xdr:col>
      <xdr:colOff>226219</xdr:colOff>
      <xdr:row>21</xdr:row>
      <xdr:rowOff>130969</xdr:rowOff>
    </xdr:to>
    <xdr:cxnSp macro="">
      <xdr:nvCxnSpPr>
        <xdr:cNvPr id="680" name="Connecteur droit avec flèche 679"/>
        <xdr:cNvCxnSpPr/>
      </xdr:nvCxnSpPr>
      <xdr:spPr>
        <a:xfrm>
          <a:off x="10918031" y="3536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18</xdr:row>
      <xdr:rowOff>107157</xdr:rowOff>
    </xdr:from>
    <xdr:to>
      <xdr:col>14</xdr:col>
      <xdr:colOff>107157</xdr:colOff>
      <xdr:row>18</xdr:row>
      <xdr:rowOff>107158</xdr:rowOff>
    </xdr:to>
    <xdr:cxnSp macro="">
      <xdr:nvCxnSpPr>
        <xdr:cNvPr id="683" name="Connecteur droit avec flèche 682"/>
        <xdr:cNvCxnSpPr/>
      </xdr:nvCxnSpPr>
      <xdr:spPr>
        <a:xfrm flipV="1">
          <a:off x="10941844" y="3155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18</xdr:row>
      <xdr:rowOff>107159</xdr:rowOff>
    </xdr:from>
    <xdr:to>
      <xdr:col>14</xdr:col>
      <xdr:colOff>226219</xdr:colOff>
      <xdr:row>19</xdr:row>
      <xdr:rowOff>130970</xdr:rowOff>
    </xdr:to>
    <xdr:cxnSp macro="">
      <xdr:nvCxnSpPr>
        <xdr:cNvPr id="684" name="Connecteur droit avec flèche 683"/>
        <xdr:cNvCxnSpPr/>
      </xdr:nvCxnSpPr>
      <xdr:spPr>
        <a:xfrm>
          <a:off x="10918031" y="3155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14</xdr:row>
      <xdr:rowOff>130969</xdr:rowOff>
    </xdr:from>
    <xdr:to>
      <xdr:col>10</xdr:col>
      <xdr:colOff>119063</xdr:colOff>
      <xdr:row>15</xdr:row>
      <xdr:rowOff>107156</xdr:rowOff>
    </xdr:to>
    <xdr:cxnSp macro="">
      <xdr:nvCxnSpPr>
        <xdr:cNvPr id="685" name="Connecteur droit avec flèche 684"/>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15</xdr:row>
      <xdr:rowOff>119063</xdr:rowOff>
    </xdr:from>
    <xdr:to>
      <xdr:col>10</xdr:col>
      <xdr:colOff>107156</xdr:colOff>
      <xdr:row>16</xdr:row>
      <xdr:rowOff>119063</xdr:rowOff>
    </xdr:to>
    <xdr:cxnSp macro="">
      <xdr:nvCxnSpPr>
        <xdr:cNvPr id="686" name="Connecteur droit avec flèche 685"/>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12</xdr:row>
      <xdr:rowOff>107156</xdr:rowOff>
    </xdr:from>
    <xdr:to>
      <xdr:col>12</xdr:col>
      <xdr:colOff>166688</xdr:colOff>
      <xdr:row>14</xdr:row>
      <xdr:rowOff>83344</xdr:rowOff>
    </xdr:to>
    <xdr:cxnSp macro="">
      <xdr:nvCxnSpPr>
        <xdr:cNvPr id="687" name="Connecteur droit avec flèche 686"/>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14</xdr:row>
      <xdr:rowOff>119063</xdr:rowOff>
    </xdr:from>
    <xdr:to>
      <xdr:col>12</xdr:col>
      <xdr:colOff>166688</xdr:colOff>
      <xdr:row>14</xdr:row>
      <xdr:rowOff>119064</xdr:rowOff>
    </xdr:to>
    <xdr:cxnSp macro="">
      <xdr:nvCxnSpPr>
        <xdr:cNvPr id="688" name="Connecteur droit avec flèche 687"/>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16</xdr:row>
      <xdr:rowOff>130972</xdr:rowOff>
    </xdr:from>
    <xdr:to>
      <xdr:col>14</xdr:col>
      <xdr:colOff>190500</xdr:colOff>
      <xdr:row>17</xdr:row>
      <xdr:rowOff>119063</xdr:rowOff>
    </xdr:to>
    <xdr:cxnSp macro="">
      <xdr:nvCxnSpPr>
        <xdr:cNvPr id="689" name="Connecteur droit avec flèche 688"/>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16</xdr:row>
      <xdr:rowOff>119063</xdr:rowOff>
    </xdr:from>
    <xdr:to>
      <xdr:col>14</xdr:col>
      <xdr:colOff>83344</xdr:colOff>
      <xdr:row>16</xdr:row>
      <xdr:rowOff>119063</xdr:rowOff>
    </xdr:to>
    <xdr:cxnSp macro="">
      <xdr:nvCxnSpPr>
        <xdr:cNvPr id="690" name="Connecteur droit avec flèche 689"/>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14</xdr:row>
      <xdr:rowOff>107156</xdr:rowOff>
    </xdr:from>
    <xdr:to>
      <xdr:col>14</xdr:col>
      <xdr:colOff>107157</xdr:colOff>
      <xdr:row>14</xdr:row>
      <xdr:rowOff>107157</xdr:rowOff>
    </xdr:to>
    <xdr:cxnSp macro="">
      <xdr:nvCxnSpPr>
        <xdr:cNvPr id="691" name="Connecteur droit avec flèche 690"/>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14</xdr:row>
      <xdr:rowOff>107158</xdr:rowOff>
    </xdr:from>
    <xdr:to>
      <xdr:col>14</xdr:col>
      <xdr:colOff>226219</xdr:colOff>
      <xdr:row>15</xdr:row>
      <xdr:rowOff>130969</xdr:rowOff>
    </xdr:to>
    <xdr:cxnSp macro="">
      <xdr:nvCxnSpPr>
        <xdr:cNvPr id="692" name="Connecteur droit avec flèche 691"/>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12</xdr:row>
      <xdr:rowOff>107157</xdr:rowOff>
    </xdr:from>
    <xdr:to>
      <xdr:col>14</xdr:col>
      <xdr:colOff>107157</xdr:colOff>
      <xdr:row>12</xdr:row>
      <xdr:rowOff>107158</xdr:rowOff>
    </xdr:to>
    <xdr:cxnSp macro="">
      <xdr:nvCxnSpPr>
        <xdr:cNvPr id="693" name="Connecteur droit avec flèche 692"/>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12</xdr:row>
      <xdr:rowOff>107159</xdr:rowOff>
    </xdr:from>
    <xdr:to>
      <xdr:col>14</xdr:col>
      <xdr:colOff>226219</xdr:colOff>
      <xdr:row>13</xdr:row>
      <xdr:rowOff>130970</xdr:rowOff>
    </xdr:to>
    <xdr:cxnSp macro="">
      <xdr:nvCxnSpPr>
        <xdr:cNvPr id="694" name="Connecteur droit avec flèche 693"/>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15</xdr:row>
      <xdr:rowOff>119064</xdr:rowOff>
    </xdr:from>
    <xdr:to>
      <xdr:col>8</xdr:col>
      <xdr:colOff>202406</xdr:colOff>
      <xdr:row>24</xdr:row>
      <xdr:rowOff>83344</xdr:rowOff>
    </xdr:to>
    <xdr:cxnSp macro="">
      <xdr:nvCxnSpPr>
        <xdr:cNvPr id="695" name="Connecteur droit avec flèche 694"/>
        <xdr:cNvCxnSpPr/>
      </xdr:nvCxnSpPr>
      <xdr:spPr>
        <a:xfrm flipV="1">
          <a:off x="6512719" y="2976564"/>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21</xdr:row>
      <xdr:rowOff>95250</xdr:rowOff>
    </xdr:from>
    <xdr:to>
      <xdr:col>8</xdr:col>
      <xdr:colOff>59531</xdr:colOff>
      <xdr:row>24</xdr:row>
      <xdr:rowOff>83344</xdr:rowOff>
    </xdr:to>
    <xdr:cxnSp macro="">
      <xdr:nvCxnSpPr>
        <xdr:cNvPr id="700" name="Connecteur droit avec flèche 699"/>
        <xdr:cNvCxnSpPr/>
      </xdr:nvCxnSpPr>
      <xdr:spPr>
        <a:xfrm flipV="1">
          <a:off x="6512719" y="4095750"/>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38</xdr:row>
      <xdr:rowOff>107156</xdr:rowOff>
    </xdr:from>
    <xdr:to>
      <xdr:col>10</xdr:col>
      <xdr:colOff>199073</xdr:colOff>
      <xdr:row>38</xdr:row>
      <xdr:rowOff>108744</xdr:rowOff>
    </xdr:to>
    <xdr:cxnSp macro="">
      <xdr:nvCxnSpPr>
        <xdr:cNvPr id="702" name="Connecteur droit avec flèche 701"/>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34</xdr:row>
      <xdr:rowOff>130969</xdr:rowOff>
    </xdr:from>
    <xdr:to>
      <xdr:col>10</xdr:col>
      <xdr:colOff>119063</xdr:colOff>
      <xdr:row>35</xdr:row>
      <xdr:rowOff>107156</xdr:rowOff>
    </xdr:to>
    <xdr:cxnSp macro="">
      <xdr:nvCxnSpPr>
        <xdr:cNvPr id="703" name="Connecteur droit avec flèche 702"/>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35</xdr:row>
      <xdr:rowOff>119063</xdr:rowOff>
    </xdr:from>
    <xdr:to>
      <xdr:col>10</xdr:col>
      <xdr:colOff>107156</xdr:colOff>
      <xdr:row>36</xdr:row>
      <xdr:rowOff>119063</xdr:rowOff>
    </xdr:to>
    <xdr:cxnSp macro="">
      <xdr:nvCxnSpPr>
        <xdr:cNvPr id="704" name="Connecteur droit avec flèche 703"/>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32</xdr:row>
      <xdr:rowOff>107156</xdr:rowOff>
    </xdr:from>
    <xdr:to>
      <xdr:col>12</xdr:col>
      <xdr:colOff>166688</xdr:colOff>
      <xdr:row>34</xdr:row>
      <xdr:rowOff>83344</xdr:rowOff>
    </xdr:to>
    <xdr:cxnSp macro="">
      <xdr:nvCxnSpPr>
        <xdr:cNvPr id="705" name="Connecteur droit avec flèche 704"/>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34</xdr:row>
      <xdr:rowOff>119063</xdr:rowOff>
    </xdr:from>
    <xdr:to>
      <xdr:col>12</xdr:col>
      <xdr:colOff>166688</xdr:colOff>
      <xdr:row>34</xdr:row>
      <xdr:rowOff>119064</xdr:rowOff>
    </xdr:to>
    <xdr:cxnSp macro="">
      <xdr:nvCxnSpPr>
        <xdr:cNvPr id="706" name="Connecteur droit avec flèche 705"/>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38</xdr:row>
      <xdr:rowOff>119063</xdr:rowOff>
    </xdr:from>
    <xdr:to>
      <xdr:col>14</xdr:col>
      <xdr:colOff>59531</xdr:colOff>
      <xdr:row>38</xdr:row>
      <xdr:rowOff>119063</xdr:rowOff>
    </xdr:to>
    <xdr:cxnSp macro="">
      <xdr:nvCxnSpPr>
        <xdr:cNvPr id="707" name="Connecteur droit avec flèche 706"/>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36</xdr:row>
      <xdr:rowOff>130972</xdr:rowOff>
    </xdr:from>
    <xdr:to>
      <xdr:col>14</xdr:col>
      <xdr:colOff>190500</xdr:colOff>
      <xdr:row>37</xdr:row>
      <xdr:rowOff>119063</xdr:rowOff>
    </xdr:to>
    <xdr:cxnSp macro="">
      <xdr:nvCxnSpPr>
        <xdr:cNvPr id="708" name="Connecteur droit avec flèche 707"/>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36</xdr:row>
      <xdr:rowOff>119063</xdr:rowOff>
    </xdr:from>
    <xdr:to>
      <xdr:col>14</xdr:col>
      <xdr:colOff>83344</xdr:colOff>
      <xdr:row>36</xdr:row>
      <xdr:rowOff>119063</xdr:rowOff>
    </xdr:to>
    <xdr:cxnSp macro="">
      <xdr:nvCxnSpPr>
        <xdr:cNvPr id="709" name="Connecteur droit avec flèche 708"/>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34</xdr:row>
      <xdr:rowOff>107156</xdr:rowOff>
    </xdr:from>
    <xdr:to>
      <xdr:col>14</xdr:col>
      <xdr:colOff>107157</xdr:colOff>
      <xdr:row>34</xdr:row>
      <xdr:rowOff>107157</xdr:rowOff>
    </xdr:to>
    <xdr:cxnSp macro="">
      <xdr:nvCxnSpPr>
        <xdr:cNvPr id="710" name="Connecteur droit avec flèche 709"/>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34</xdr:row>
      <xdr:rowOff>107158</xdr:rowOff>
    </xdr:from>
    <xdr:to>
      <xdr:col>14</xdr:col>
      <xdr:colOff>226219</xdr:colOff>
      <xdr:row>35</xdr:row>
      <xdr:rowOff>130969</xdr:rowOff>
    </xdr:to>
    <xdr:cxnSp macro="">
      <xdr:nvCxnSpPr>
        <xdr:cNvPr id="711" name="Connecteur droit avec flèche 710"/>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32</xdr:row>
      <xdr:rowOff>107157</xdr:rowOff>
    </xdr:from>
    <xdr:to>
      <xdr:col>14</xdr:col>
      <xdr:colOff>107157</xdr:colOff>
      <xdr:row>32</xdr:row>
      <xdr:rowOff>107158</xdr:rowOff>
    </xdr:to>
    <xdr:cxnSp macro="">
      <xdr:nvCxnSpPr>
        <xdr:cNvPr id="712" name="Connecteur droit avec flèche 711"/>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32</xdr:row>
      <xdr:rowOff>107159</xdr:rowOff>
    </xdr:from>
    <xdr:to>
      <xdr:col>14</xdr:col>
      <xdr:colOff>226219</xdr:colOff>
      <xdr:row>33</xdr:row>
      <xdr:rowOff>130970</xdr:rowOff>
    </xdr:to>
    <xdr:cxnSp macro="">
      <xdr:nvCxnSpPr>
        <xdr:cNvPr id="713" name="Connecteur droit avec flèche 712"/>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28</xdr:row>
      <xdr:rowOff>130969</xdr:rowOff>
    </xdr:from>
    <xdr:to>
      <xdr:col>10</xdr:col>
      <xdr:colOff>119063</xdr:colOff>
      <xdr:row>29</xdr:row>
      <xdr:rowOff>107156</xdr:rowOff>
    </xdr:to>
    <xdr:cxnSp macro="">
      <xdr:nvCxnSpPr>
        <xdr:cNvPr id="714" name="Connecteur droit avec flèche 713"/>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29</xdr:row>
      <xdr:rowOff>119063</xdr:rowOff>
    </xdr:from>
    <xdr:to>
      <xdr:col>10</xdr:col>
      <xdr:colOff>107156</xdr:colOff>
      <xdr:row>30</xdr:row>
      <xdr:rowOff>119063</xdr:rowOff>
    </xdr:to>
    <xdr:cxnSp macro="">
      <xdr:nvCxnSpPr>
        <xdr:cNvPr id="715" name="Connecteur droit avec flèche 714"/>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26</xdr:row>
      <xdr:rowOff>107156</xdr:rowOff>
    </xdr:from>
    <xdr:to>
      <xdr:col>12</xdr:col>
      <xdr:colOff>166688</xdr:colOff>
      <xdr:row>28</xdr:row>
      <xdr:rowOff>83344</xdr:rowOff>
    </xdr:to>
    <xdr:cxnSp macro="">
      <xdr:nvCxnSpPr>
        <xdr:cNvPr id="716" name="Connecteur droit avec flèche 715"/>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28</xdr:row>
      <xdr:rowOff>119063</xdr:rowOff>
    </xdr:from>
    <xdr:to>
      <xdr:col>12</xdr:col>
      <xdr:colOff>166688</xdr:colOff>
      <xdr:row>28</xdr:row>
      <xdr:rowOff>119064</xdr:rowOff>
    </xdr:to>
    <xdr:cxnSp macro="">
      <xdr:nvCxnSpPr>
        <xdr:cNvPr id="717" name="Connecteur droit avec flèche 716"/>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xdr:row>
      <xdr:rowOff>130972</xdr:rowOff>
    </xdr:from>
    <xdr:to>
      <xdr:col>14</xdr:col>
      <xdr:colOff>190500</xdr:colOff>
      <xdr:row>31</xdr:row>
      <xdr:rowOff>119063</xdr:rowOff>
    </xdr:to>
    <xdr:cxnSp macro="">
      <xdr:nvCxnSpPr>
        <xdr:cNvPr id="718" name="Connecteur droit avec flèche 717"/>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xdr:row>
      <xdr:rowOff>119063</xdr:rowOff>
    </xdr:from>
    <xdr:to>
      <xdr:col>14</xdr:col>
      <xdr:colOff>83344</xdr:colOff>
      <xdr:row>30</xdr:row>
      <xdr:rowOff>119063</xdr:rowOff>
    </xdr:to>
    <xdr:cxnSp macro="">
      <xdr:nvCxnSpPr>
        <xdr:cNvPr id="719" name="Connecteur droit avec flèche 718"/>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28</xdr:row>
      <xdr:rowOff>107156</xdr:rowOff>
    </xdr:from>
    <xdr:to>
      <xdr:col>14</xdr:col>
      <xdr:colOff>107157</xdr:colOff>
      <xdr:row>28</xdr:row>
      <xdr:rowOff>107157</xdr:rowOff>
    </xdr:to>
    <xdr:cxnSp macro="">
      <xdr:nvCxnSpPr>
        <xdr:cNvPr id="720" name="Connecteur droit avec flèche 719"/>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28</xdr:row>
      <xdr:rowOff>107158</xdr:rowOff>
    </xdr:from>
    <xdr:to>
      <xdr:col>14</xdr:col>
      <xdr:colOff>226219</xdr:colOff>
      <xdr:row>29</xdr:row>
      <xdr:rowOff>130969</xdr:rowOff>
    </xdr:to>
    <xdr:cxnSp macro="">
      <xdr:nvCxnSpPr>
        <xdr:cNvPr id="721" name="Connecteur droit avec flèche 720"/>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26</xdr:row>
      <xdr:rowOff>107157</xdr:rowOff>
    </xdr:from>
    <xdr:to>
      <xdr:col>14</xdr:col>
      <xdr:colOff>107157</xdr:colOff>
      <xdr:row>26</xdr:row>
      <xdr:rowOff>107158</xdr:rowOff>
    </xdr:to>
    <xdr:cxnSp macro="">
      <xdr:nvCxnSpPr>
        <xdr:cNvPr id="722" name="Connecteur droit avec flèche 721"/>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26</xdr:row>
      <xdr:rowOff>107159</xdr:rowOff>
    </xdr:from>
    <xdr:to>
      <xdr:col>14</xdr:col>
      <xdr:colOff>226219</xdr:colOff>
      <xdr:row>27</xdr:row>
      <xdr:rowOff>130970</xdr:rowOff>
    </xdr:to>
    <xdr:cxnSp macro="">
      <xdr:nvCxnSpPr>
        <xdr:cNvPr id="723" name="Connecteur droit avec flèche 722"/>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66</xdr:row>
      <xdr:rowOff>107156</xdr:rowOff>
    </xdr:from>
    <xdr:to>
      <xdr:col>10</xdr:col>
      <xdr:colOff>199073</xdr:colOff>
      <xdr:row>66</xdr:row>
      <xdr:rowOff>108744</xdr:rowOff>
    </xdr:to>
    <xdr:cxnSp macro="">
      <xdr:nvCxnSpPr>
        <xdr:cNvPr id="724" name="Connecteur droit avec flèche 723"/>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62</xdr:row>
      <xdr:rowOff>130969</xdr:rowOff>
    </xdr:from>
    <xdr:to>
      <xdr:col>10</xdr:col>
      <xdr:colOff>119063</xdr:colOff>
      <xdr:row>63</xdr:row>
      <xdr:rowOff>107156</xdr:rowOff>
    </xdr:to>
    <xdr:cxnSp macro="">
      <xdr:nvCxnSpPr>
        <xdr:cNvPr id="725" name="Connecteur droit avec flèche 724"/>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63</xdr:row>
      <xdr:rowOff>119063</xdr:rowOff>
    </xdr:from>
    <xdr:to>
      <xdr:col>10</xdr:col>
      <xdr:colOff>107156</xdr:colOff>
      <xdr:row>64</xdr:row>
      <xdr:rowOff>119063</xdr:rowOff>
    </xdr:to>
    <xdr:cxnSp macro="">
      <xdr:nvCxnSpPr>
        <xdr:cNvPr id="726" name="Connecteur droit avec flèche 725"/>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60</xdr:row>
      <xdr:rowOff>107156</xdr:rowOff>
    </xdr:from>
    <xdr:to>
      <xdr:col>12</xdr:col>
      <xdr:colOff>166688</xdr:colOff>
      <xdr:row>62</xdr:row>
      <xdr:rowOff>83344</xdr:rowOff>
    </xdr:to>
    <xdr:cxnSp macro="">
      <xdr:nvCxnSpPr>
        <xdr:cNvPr id="727" name="Connecteur droit avec flèche 726"/>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62</xdr:row>
      <xdr:rowOff>119063</xdr:rowOff>
    </xdr:from>
    <xdr:to>
      <xdr:col>12</xdr:col>
      <xdr:colOff>166688</xdr:colOff>
      <xdr:row>62</xdr:row>
      <xdr:rowOff>119064</xdr:rowOff>
    </xdr:to>
    <xdr:cxnSp macro="">
      <xdr:nvCxnSpPr>
        <xdr:cNvPr id="728" name="Connecteur droit avec flèche 727"/>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66</xdr:row>
      <xdr:rowOff>119063</xdr:rowOff>
    </xdr:from>
    <xdr:to>
      <xdr:col>14</xdr:col>
      <xdr:colOff>59531</xdr:colOff>
      <xdr:row>66</xdr:row>
      <xdr:rowOff>119063</xdr:rowOff>
    </xdr:to>
    <xdr:cxnSp macro="">
      <xdr:nvCxnSpPr>
        <xdr:cNvPr id="729" name="Connecteur droit avec flèche 728"/>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64</xdr:row>
      <xdr:rowOff>130972</xdr:rowOff>
    </xdr:from>
    <xdr:to>
      <xdr:col>14</xdr:col>
      <xdr:colOff>190500</xdr:colOff>
      <xdr:row>65</xdr:row>
      <xdr:rowOff>119063</xdr:rowOff>
    </xdr:to>
    <xdr:cxnSp macro="">
      <xdr:nvCxnSpPr>
        <xdr:cNvPr id="730" name="Connecteur droit avec flèche 729"/>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64</xdr:row>
      <xdr:rowOff>119063</xdr:rowOff>
    </xdr:from>
    <xdr:to>
      <xdr:col>14</xdr:col>
      <xdr:colOff>83344</xdr:colOff>
      <xdr:row>64</xdr:row>
      <xdr:rowOff>119063</xdr:rowOff>
    </xdr:to>
    <xdr:cxnSp macro="">
      <xdr:nvCxnSpPr>
        <xdr:cNvPr id="731" name="Connecteur droit avec flèche 730"/>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62</xdr:row>
      <xdr:rowOff>107156</xdr:rowOff>
    </xdr:from>
    <xdr:to>
      <xdr:col>14</xdr:col>
      <xdr:colOff>107157</xdr:colOff>
      <xdr:row>62</xdr:row>
      <xdr:rowOff>107157</xdr:rowOff>
    </xdr:to>
    <xdr:cxnSp macro="">
      <xdr:nvCxnSpPr>
        <xdr:cNvPr id="732" name="Connecteur droit avec flèche 731"/>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62</xdr:row>
      <xdr:rowOff>107158</xdr:rowOff>
    </xdr:from>
    <xdr:to>
      <xdr:col>14</xdr:col>
      <xdr:colOff>226219</xdr:colOff>
      <xdr:row>63</xdr:row>
      <xdr:rowOff>130969</xdr:rowOff>
    </xdr:to>
    <xdr:cxnSp macro="">
      <xdr:nvCxnSpPr>
        <xdr:cNvPr id="733" name="Connecteur droit avec flèche 732"/>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60</xdr:row>
      <xdr:rowOff>107157</xdr:rowOff>
    </xdr:from>
    <xdr:to>
      <xdr:col>14</xdr:col>
      <xdr:colOff>107157</xdr:colOff>
      <xdr:row>60</xdr:row>
      <xdr:rowOff>107158</xdr:rowOff>
    </xdr:to>
    <xdr:cxnSp macro="">
      <xdr:nvCxnSpPr>
        <xdr:cNvPr id="734" name="Connecteur droit avec flèche 733"/>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60</xdr:row>
      <xdr:rowOff>107159</xdr:rowOff>
    </xdr:from>
    <xdr:to>
      <xdr:col>14</xdr:col>
      <xdr:colOff>226219</xdr:colOff>
      <xdr:row>61</xdr:row>
      <xdr:rowOff>130970</xdr:rowOff>
    </xdr:to>
    <xdr:cxnSp macro="">
      <xdr:nvCxnSpPr>
        <xdr:cNvPr id="735" name="Connecteur droit avec flèche 734"/>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56</xdr:row>
      <xdr:rowOff>130969</xdr:rowOff>
    </xdr:from>
    <xdr:to>
      <xdr:col>10</xdr:col>
      <xdr:colOff>119063</xdr:colOff>
      <xdr:row>57</xdr:row>
      <xdr:rowOff>107156</xdr:rowOff>
    </xdr:to>
    <xdr:cxnSp macro="">
      <xdr:nvCxnSpPr>
        <xdr:cNvPr id="736" name="Connecteur droit avec flèche 735"/>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57</xdr:row>
      <xdr:rowOff>119063</xdr:rowOff>
    </xdr:from>
    <xdr:to>
      <xdr:col>10</xdr:col>
      <xdr:colOff>107156</xdr:colOff>
      <xdr:row>58</xdr:row>
      <xdr:rowOff>119063</xdr:rowOff>
    </xdr:to>
    <xdr:cxnSp macro="">
      <xdr:nvCxnSpPr>
        <xdr:cNvPr id="737" name="Connecteur droit avec flèche 736"/>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54</xdr:row>
      <xdr:rowOff>107156</xdr:rowOff>
    </xdr:from>
    <xdr:to>
      <xdr:col>12</xdr:col>
      <xdr:colOff>166688</xdr:colOff>
      <xdr:row>56</xdr:row>
      <xdr:rowOff>83344</xdr:rowOff>
    </xdr:to>
    <xdr:cxnSp macro="">
      <xdr:nvCxnSpPr>
        <xdr:cNvPr id="738" name="Connecteur droit avec flèche 737"/>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56</xdr:row>
      <xdr:rowOff>119063</xdr:rowOff>
    </xdr:from>
    <xdr:to>
      <xdr:col>12</xdr:col>
      <xdr:colOff>166688</xdr:colOff>
      <xdr:row>56</xdr:row>
      <xdr:rowOff>119064</xdr:rowOff>
    </xdr:to>
    <xdr:cxnSp macro="">
      <xdr:nvCxnSpPr>
        <xdr:cNvPr id="739" name="Connecteur droit avec flèche 738"/>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58</xdr:row>
      <xdr:rowOff>130972</xdr:rowOff>
    </xdr:from>
    <xdr:to>
      <xdr:col>14</xdr:col>
      <xdr:colOff>190500</xdr:colOff>
      <xdr:row>59</xdr:row>
      <xdr:rowOff>119063</xdr:rowOff>
    </xdr:to>
    <xdr:cxnSp macro="">
      <xdr:nvCxnSpPr>
        <xdr:cNvPr id="740" name="Connecteur droit avec flèche 739"/>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58</xdr:row>
      <xdr:rowOff>119063</xdr:rowOff>
    </xdr:from>
    <xdr:to>
      <xdr:col>14</xdr:col>
      <xdr:colOff>83344</xdr:colOff>
      <xdr:row>58</xdr:row>
      <xdr:rowOff>119063</xdr:rowOff>
    </xdr:to>
    <xdr:cxnSp macro="">
      <xdr:nvCxnSpPr>
        <xdr:cNvPr id="741" name="Connecteur droit avec flèche 740"/>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56</xdr:row>
      <xdr:rowOff>107156</xdr:rowOff>
    </xdr:from>
    <xdr:to>
      <xdr:col>14</xdr:col>
      <xdr:colOff>107157</xdr:colOff>
      <xdr:row>56</xdr:row>
      <xdr:rowOff>107157</xdr:rowOff>
    </xdr:to>
    <xdr:cxnSp macro="">
      <xdr:nvCxnSpPr>
        <xdr:cNvPr id="742" name="Connecteur droit avec flèche 741"/>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56</xdr:row>
      <xdr:rowOff>107158</xdr:rowOff>
    </xdr:from>
    <xdr:to>
      <xdr:col>14</xdr:col>
      <xdr:colOff>226219</xdr:colOff>
      <xdr:row>57</xdr:row>
      <xdr:rowOff>130969</xdr:rowOff>
    </xdr:to>
    <xdr:cxnSp macro="">
      <xdr:nvCxnSpPr>
        <xdr:cNvPr id="743" name="Connecteur droit avec flèche 742"/>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54</xdr:row>
      <xdr:rowOff>107157</xdr:rowOff>
    </xdr:from>
    <xdr:to>
      <xdr:col>14</xdr:col>
      <xdr:colOff>107157</xdr:colOff>
      <xdr:row>54</xdr:row>
      <xdr:rowOff>107158</xdr:rowOff>
    </xdr:to>
    <xdr:cxnSp macro="">
      <xdr:nvCxnSpPr>
        <xdr:cNvPr id="744" name="Connecteur droit avec flèche 743"/>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54</xdr:row>
      <xdr:rowOff>107159</xdr:rowOff>
    </xdr:from>
    <xdr:to>
      <xdr:col>14</xdr:col>
      <xdr:colOff>226219</xdr:colOff>
      <xdr:row>55</xdr:row>
      <xdr:rowOff>130970</xdr:rowOff>
    </xdr:to>
    <xdr:cxnSp macro="">
      <xdr:nvCxnSpPr>
        <xdr:cNvPr id="745" name="Connecteur droit avec flèche 744"/>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108</xdr:row>
      <xdr:rowOff>107156</xdr:rowOff>
    </xdr:from>
    <xdr:to>
      <xdr:col>10</xdr:col>
      <xdr:colOff>199073</xdr:colOff>
      <xdr:row>108</xdr:row>
      <xdr:rowOff>108744</xdr:rowOff>
    </xdr:to>
    <xdr:cxnSp macro="">
      <xdr:nvCxnSpPr>
        <xdr:cNvPr id="746" name="Connecteur droit avec flèche 745"/>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104</xdr:row>
      <xdr:rowOff>130969</xdr:rowOff>
    </xdr:from>
    <xdr:to>
      <xdr:col>10</xdr:col>
      <xdr:colOff>119063</xdr:colOff>
      <xdr:row>105</xdr:row>
      <xdr:rowOff>107156</xdr:rowOff>
    </xdr:to>
    <xdr:cxnSp macro="">
      <xdr:nvCxnSpPr>
        <xdr:cNvPr id="747" name="Connecteur droit avec flèche 746"/>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105</xdr:row>
      <xdr:rowOff>119063</xdr:rowOff>
    </xdr:from>
    <xdr:to>
      <xdr:col>10</xdr:col>
      <xdr:colOff>107156</xdr:colOff>
      <xdr:row>106</xdr:row>
      <xdr:rowOff>119063</xdr:rowOff>
    </xdr:to>
    <xdr:cxnSp macro="">
      <xdr:nvCxnSpPr>
        <xdr:cNvPr id="748" name="Connecteur droit avec flèche 747"/>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102</xdr:row>
      <xdr:rowOff>107156</xdr:rowOff>
    </xdr:from>
    <xdr:to>
      <xdr:col>12</xdr:col>
      <xdr:colOff>166688</xdr:colOff>
      <xdr:row>104</xdr:row>
      <xdr:rowOff>83344</xdr:rowOff>
    </xdr:to>
    <xdr:cxnSp macro="">
      <xdr:nvCxnSpPr>
        <xdr:cNvPr id="749" name="Connecteur droit avec flèche 748"/>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104</xdr:row>
      <xdr:rowOff>119063</xdr:rowOff>
    </xdr:from>
    <xdr:to>
      <xdr:col>12</xdr:col>
      <xdr:colOff>166688</xdr:colOff>
      <xdr:row>104</xdr:row>
      <xdr:rowOff>119064</xdr:rowOff>
    </xdr:to>
    <xdr:cxnSp macro="">
      <xdr:nvCxnSpPr>
        <xdr:cNvPr id="750" name="Connecteur droit avec flèche 749"/>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108</xdr:row>
      <xdr:rowOff>119063</xdr:rowOff>
    </xdr:from>
    <xdr:to>
      <xdr:col>14</xdr:col>
      <xdr:colOff>59531</xdr:colOff>
      <xdr:row>108</xdr:row>
      <xdr:rowOff>119063</xdr:rowOff>
    </xdr:to>
    <xdr:cxnSp macro="">
      <xdr:nvCxnSpPr>
        <xdr:cNvPr id="751" name="Connecteur droit avec flèche 750"/>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106</xdr:row>
      <xdr:rowOff>130972</xdr:rowOff>
    </xdr:from>
    <xdr:to>
      <xdr:col>14</xdr:col>
      <xdr:colOff>190500</xdr:colOff>
      <xdr:row>107</xdr:row>
      <xdr:rowOff>119063</xdr:rowOff>
    </xdr:to>
    <xdr:cxnSp macro="">
      <xdr:nvCxnSpPr>
        <xdr:cNvPr id="752" name="Connecteur droit avec flèche 751"/>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106</xdr:row>
      <xdr:rowOff>119063</xdr:rowOff>
    </xdr:from>
    <xdr:to>
      <xdr:col>14</xdr:col>
      <xdr:colOff>83344</xdr:colOff>
      <xdr:row>106</xdr:row>
      <xdr:rowOff>119063</xdr:rowOff>
    </xdr:to>
    <xdr:cxnSp macro="">
      <xdr:nvCxnSpPr>
        <xdr:cNvPr id="753" name="Connecteur droit avec flèche 752"/>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104</xdr:row>
      <xdr:rowOff>107156</xdr:rowOff>
    </xdr:from>
    <xdr:to>
      <xdr:col>14</xdr:col>
      <xdr:colOff>107157</xdr:colOff>
      <xdr:row>104</xdr:row>
      <xdr:rowOff>107157</xdr:rowOff>
    </xdr:to>
    <xdr:cxnSp macro="">
      <xdr:nvCxnSpPr>
        <xdr:cNvPr id="754" name="Connecteur droit avec flèche 753"/>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104</xdr:row>
      <xdr:rowOff>107158</xdr:rowOff>
    </xdr:from>
    <xdr:to>
      <xdr:col>14</xdr:col>
      <xdr:colOff>226219</xdr:colOff>
      <xdr:row>105</xdr:row>
      <xdr:rowOff>130969</xdr:rowOff>
    </xdr:to>
    <xdr:cxnSp macro="">
      <xdr:nvCxnSpPr>
        <xdr:cNvPr id="755" name="Connecteur droit avec flèche 754"/>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102</xdr:row>
      <xdr:rowOff>107157</xdr:rowOff>
    </xdr:from>
    <xdr:to>
      <xdr:col>14</xdr:col>
      <xdr:colOff>107157</xdr:colOff>
      <xdr:row>102</xdr:row>
      <xdr:rowOff>107158</xdr:rowOff>
    </xdr:to>
    <xdr:cxnSp macro="">
      <xdr:nvCxnSpPr>
        <xdr:cNvPr id="756" name="Connecteur droit avec flèche 755"/>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102</xdr:row>
      <xdr:rowOff>107159</xdr:rowOff>
    </xdr:from>
    <xdr:to>
      <xdr:col>14</xdr:col>
      <xdr:colOff>226219</xdr:colOff>
      <xdr:row>103</xdr:row>
      <xdr:rowOff>130970</xdr:rowOff>
    </xdr:to>
    <xdr:cxnSp macro="">
      <xdr:nvCxnSpPr>
        <xdr:cNvPr id="757" name="Connecteur droit avec flèche 756"/>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98</xdr:row>
      <xdr:rowOff>130969</xdr:rowOff>
    </xdr:from>
    <xdr:to>
      <xdr:col>10</xdr:col>
      <xdr:colOff>119063</xdr:colOff>
      <xdr:row>99</xdr:row>
      <xdr:rowOff>107156</xdr:rowOff>
    </xdr:to>
    <xdr:cxnSp macro="">
      <xdr:nvCxnSpPr>
        <xdr:cNvPr id="758" name="Connecteur droit avec flèche 757"/>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99</xdr:row>
      <xdr:rowOff>119063</xdr:rowOff>
    </xdr:from>
    <xdr:to>
      <xdr:col>10</xdr:col>
      <xdr:colOff>107156</xdr:colOff>
      <xdr:row>100</xdr:row>
      <xdr:rowOff>119063</xdr:rowOff>
    </xdr:to>
    <xdr:cxnSp macro="">
      <xdr:nvCxnSpPr>
        <xdr:cNvPr id="759" name="Connecteur droit avec flèche 758"/>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96</xdr:row>
      <xdr:rowOff>107156</xdr:rowOff>
    </xdr:from>
    <xdr:to>
      <xdr:col>12</xdr:col>
      <xdr:colOff>166688</xdr:colOff>
      <xdr:row>98</xdr:row>
      <xdr:rowOff>83344</xdr:rowOff>
    </xdr:to>
    <xdr:cxnSp macro="">
      <xdr:nvCxnSpPr>
        <xdr:cNvPr id="760" name="Connecteur droit avec flèche 759"/>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98</xdr:row>
      <xdr:rowOff>119063</xdr:rowOff>
    </xdr:from>
    <xdr:to>
      <xdr:col>12</xdr:col>
      <xdr:colOff>166688</xdr:colOff>
      <xdr:row>98</xdr:row>
      <xdr:rowOff>119064</xdr:rowOff>
    </xdr:to>
    <xdr:cxnSp macro="">
      <xdr:nvCxnSpPr>
        <xdr:cNvPr id="761" name="Connecteur droit avec flèche 760"/>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100</xdr:row>
      <xdr:rowOff>130972</xdr:rowOff>
    </xdr:from>
    <xdr:to>
      <xdr:col>14</xdr:col>
      <xdr:colOff>190500</xdr:colOff>
      <xdr:row>101</xdr:row>
      <xdr:rowOff>119063</xdr:rowOff>
    </xdr:to>
    <xdr:cxnSp macro="">
      <xdr:nvCxnSpPr>
        <xdr:cNvPr id="762" name="Connecteur droit avec flèche 761"/>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100</xdr:row>
      <xdr:rowOff>119063</xdr:rowOff>
    </xdr:from>
    <xdr:to>
      <xdr:col>14</xdr:col>
      <xdr:colOff>83344</xdr:colOff>
      <xdr:row>100</xdr:row>
      <xdr:rowOff>119063</xdr:rowOff>
    </xdr:to>
    <xdr:cxnSp macro="">
      <xdr:nvCxnSpPr>
        <xdr:cNvPr id="763" name="Connecteur droit avec flèche 762"/>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98</xdr:row>
      <xdr:rowOff>107156</xdr:rowOff>
    </xdr:from>
    <xdr:to>
      <xdr:col>14</xdr:col>
      <xdr:colOff>107157</xdr:colOff>
      <xdr:row>98</xdr:row>
      <xdr:rowOff>107157</xdr:rowOff>
    </xdr:to>
    <xdr:cxnSp macro="">
      <xdr:nvCxnSpPr>
        <xdr:cNvPr id="764" name="Connecteur droit avec flèche 763"/>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98</xdr:row>
      <xdr:rowOff>107158</xdr:rowOff>
    </xdr:from>
    <xdr:to>
      <xdr:col>14</xdr:col>
      <xdr:colOff>226219</xdr:colOff>
      <xdr:row>99</xdr:row>
      <xdr:rowOff>130969</xdr:rowOff>
    </xdr:to>
    <xdr:cxnSp macro="">
      <xdr:nvCxnSpPr>
        <xdr:cNvPr id="765" name="Connecteur droit avec flèche 764"/>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96</xdr:row>
      <xdr:rowOff>107157</xdr:rowOff>
    </xdr:from>
    <xdr:to>
      <xdr:col>14</xdr:col>
      <xdr:colOff>107157</xdr:colOff>
      <xdr:row>96</xdr:row>
      <xdr:rowOff>107158</xdr:rowOff>
    </xdr:to>
    <xdr:cxnSp macro="">
      <xdr:nvCxnSpPr>
        <xdr:cNvPr id="766" name="Connecteur droit avec flèche 765"/>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96</xdr:row>
      <xdr:rowOff>107159</xdr:rowOff>
    </xdr:from>
    <xdr:to>
      <xdr:col>14</xdr:col>
      <xdr:colOff>226219</xdr:colOff>
      <xdr:row>97</xdr:row>
      <xdr:rowOff>130970</xdr:rowOff>
    </xdr:to>
    <xdr:cxnSp macro="">
      <xdr:nvCxnSpPr>
        <xdr:cNvPr id="767" name="Connecteur droit avec flèche 766"/>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122</xdr:row>
      <xdr:rowOff>107156</xdr:rowOff>
    </xdr:from>
    <xdr:to>
      <xdr:col>10</xdr:col>
      <xdr:colOff>199073</xdr:colOff>
      <xdr:row>122</xdr:row>
      <xdr:rowOff>108744</xdr:rowOff>
    </xdr:to>
    <xdr:cxnSp macro="">
      <xdr:nvCxnSpPr>
        <xdr:cNvPr id="768" name="Connecteur droit avec flèche 767"/>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118</xdr:row>
      <xdr:rowOff>130969</xdr:rowOff>
    </xdr:from>
    <xdr:to>
      <xdr:col>10</xdr:col>
      <xdr:colOff>119063</xdr:colOff>
      <xdr:row>119</xdr:row>
      <xdr:rowOff>107156</xdr:rowOff>
    </xdr:to>
    <xdr:cxnSp macro="">
      <xdr:nvCxnSpPr>
        <xdr:cNvPr id="769" name="Connecteur droit avec flèche 768"/>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119</xdr:row>
      <xdr:rowOff>119063</xdr:rowOff>
    </xdr:from>
    <xdr:to>
      <xdr:col>10</xdr:col>
      <xdr:colOff>107156</xdr:colOff>
      <xdr:row>120</xdr:row>
      <xdr:rowOff>119063</xdr:rowOff>
    </xdr:to>
    <xdr:cxnSp macro="">
      <xdr:nvCxnSpPr>
        <xdr:cNvPr id="770" name="Connecteur droit avec flèche 769"/>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116</xdr:row>
      <xdr:rowOff>107156</xdr:rowOff>
    </xdr:from>
    <xdr:to>
      <xdr:col>12</xdr:col>
      <xdr:colOff>166688</xdr:colOff>
      <xdr:row>118</xdr:row>
      <xdr:rowOff>83344</xdr:rowOff>
    </xdr:to>
    <xdr:cxnSp macro="">
      <xdr:nvCxnSpPr>
        <xdr:cNvPr id="771" name="Connecteur droit avec flèche 770"/>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118</xdr:row>
      <xdr:rowOff>119063</xdr:rowOff>
    </xdr:from>
    <xdr:to>
      <xdr:col>12</xdr:col>
      <xdr:colOff>166688</xdr:colOff>
      <xdr:row>118</xdr:row>
      <xdr:rowOff>119064</xdr:rowOff>
    </xdr:to>
    <xdr:cxnSp macro="">
      <xdr:nvCxnSpPr>
        <xdr:cNvPr id="772" name="Connecteur droit avec flèche 771"/>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122</xdr:row>
      <xdr:rowOff>119063</xdr:rowOff>
    </xdr:from>
    <xdr:to>
      <xdr:col>14</xdr:col>
      <xdr:colOff>59531</xdr:colOff>
      <xdr:row>122</xdr:row>
      <xdr:rowOff>119063</xdr:rowOff>
    </xdr:to>
    <xdr:cxnSp macro="">
      <xdr:nvCxnSpPr>
        <xdr:cNvPr id="773" name="Connecteur droit avec flèche 772"/>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120</xdr:row>
      <xdr:rowOff>130972</xdr:rowOff>
    </xdr:from>
    <xdr:to>
      <xdr:col>14</xdr:col>
      <xdr:colOff>190500</xdr:colOff>
      <xdr:row>121</xdr:row>
      <xdr:rowOff>119063</xdr:rowOff>
    </xdr:to>
    <xdr:cxnSp macro="">
      <xdr:nvCxnSpPr>
        <xdr:cNvPr id="774" name="Connecteur droit avec flèche 773"/>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120</xdr:row>
      <xdr:rowOff>119063</xdr:rowOff>
    </xdr:from>
    <xdr:to>
      <xdr:col>14</xdr:col>
      <xdr:colOff>83344</xdr:colOff>
      <xdr:row>120</xdr:row>
      <xdr:rowOff>119063</xdr:rowOff>
    </xdr:to>
    <xdr:cxnSp macro="">
      <xdr:nvCxnSpPr>
        <xdr:cNvPr id="775" name="Connecteur droit avec flèche 774"/>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118</xdr:row>
      <xdr:rowOff>107156</xdr:rowOff>
    </xdr:from>
    <xdr:to>
      <xdr:col>14</xdr:col>
      <xdr:colOff>107157</xdr:colOff>
      <xdr:row>118</xdr:row>
      <xdr:rowOff>107157</xdr:rowOff>
    </xdr:to>
    <xdr:cxnSp macro="">
      <xdr:nvCxnSpPr>
        <xdr:cNvPr id="776" name="Connecteur droit avec flèche 775"/>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118</xdr:row>
      <xdr:rowOff>107158</xdr:rowOff>
    </xdr:from>
    <xdr:to>
      <xdr:col>14</xdr:col>
      <xdr:colOff>226219</xdr:colOff>
      <xdr:row>119</xdr:row>
      <xdr:rowOff>130969</xdr:rowOff>
    </xdr:to>
    <xdr:cxnSp macro="">
      <xdr:nvCxnSpPr>
        <xdr:cNvPr id="777" name="Connecteur droit avec flèche 776"/>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116</xdr:row>
      <xdr:rowOff>107157</xdr:rowOff>
    </xdr:from>
    <xdr:to>
      <xdr:col>14</xdr:col>
      <xdr:colOff>107157</xdr:colOff>
      <xdr:row>116</xdr:row>
      <xdr:rowOff>107158</xdr:rowOff>
    </xdr:to>
    <xdr:cxnSp macro="">
      <xdr:nvCxnSpPr>
        <xdr:cNvPr id="778" name="Connecteur droit avec flèche 777"/>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116</xdr:row>
      <xdr:rowOff>107159</xdr:rowOff>
    </xdr:from>
    <xdr:to>
      <xdr:col>14</xdr:col>
      <xdr:colOff>226219</xdr:colOff>
      <xdr:row>117</xdr:row>
      <xdr:rowOff>130970</xdr:rowOff>
    </xdr:to>
    <xdr:cxnSp macro="">
      <xdr:nvCxnSpPr>
        <xdr:cNvPr id="779" name="Connecteur droit avec flèche 778"/>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112</xdr:row>
      <xdr:rowOff>130969</xdr:rowOff>
    </xdr:from>
    <xdr:to>
      <xdr:col>10</xdr:col>
      <xdr:colOff>119063</xdr:colOff>
      <xdr:row>113</xdr:row>
      <xdr:rowOff>107156</xdr:rowOff>
    </xdr:to>
    <xdr:cxnSp macro="">
      <xdr:nvCxnSpPr>
        <xdr:cNvPr id="780" name="Connecteur droit avec flèche 779"/>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113</xdr:row>
      <xdr:rowOff>119063</xdr:rowOff>
    </xdr:from>
    <xdr:to>
      <xdr:col>10</xdr:col>
      <xdr:colOff>107156</xdr:colOff>
      <xdr:row>114</xdr:row>
      <xdr:rowOff>119063</xdr:rowOff>
    </xdr:to>
    <xdr:cxnSp macro="">
      <xdr:nvCxnSpPr>
        <xdr:cNvPr id="781" name="Connecteur droit avec flèche 780"/>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110</xdr:row>
      <xdr:rowOff>107156</xdr:rowOff>
    </xdr:from>
    <xdr:to>
      <xdr:col>12</xdr:col>
      <xdr:colOff>166688</xdr:colOff>
      <xdr:row>112</xdr:row>
      <xdr:rowOff>83344</xdr:rowOff>
    </xdr:to>
    <xdr:cxnSp macro="">
      <xdr:nvCxnSpPr>
        <xdr:cNvPr id="782" name="Connecteur droit avec flèche 781"/>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112</xdr:row>
      <xdr:rowOff>119063</xdr:rowOff>
    </xdr:from>
    <xdr:to>
      <xdr:col>12</xdr:col>
      <xdr:colOff>166688</xdr:colOff>
      <xdr:row>112</xdr:row>
      <xdr:rowOff>119064</xdr:rowOff>
    </xdr:to>
    <xdr:cxnSp macro="">
      <xdr:nvCxnSpPr>
        <xdr:cNvPr id="783" name="Connecteur droit avec flèche 782"/>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114</xdr:row>
      <xdr:rowOff>130972</xdr:rowOff>
    </xdr:from>
    <xdr:to>
      <xdr:col>14</xdr:col>
      <xdr:colOff>190500</xdr:colOff>
      <xdr:row>115</xdr:row>
      <xdr:rowOff>119063</xdr:rowOff>
    </xdr:to>
    <xdr:cxnSp macro="">
      <xdr:nvCxnSpPr>
        <xdr:cNvPr id="784" name="Connecteur droit avec flèche 783"/>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114</xdr:row>
      <xdr:rowOff>119063</xdr:rowOff>
    </xdr:from>
    <xdr:to>
      <xdr:col>14</xdr:col>
      <xdr:colOff>83344</xdr:colOff>
      <xdr:row>114</xdr:row>
      <xdr:rowOff>119063</xdr:rowOff>
    </xdr:to>
    <xdr:cxnSp macro="">
      <xdr:nvCxnSpPr>
        <xdr:cNvPr id="785" name="Connecteur droit avec flèche 784"/>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112</xdr:row>
      <xdr:rowOff>107156</xdr:rowOff>
    </xdr:from>
    <xdr:to>
      <xdr:col>14</xdr:col>
      <xdr:colOff>107157</xdr:colOff>
      <xdr:row>112</xdr:row>
      <xdr:rowOff>107157</xdr:rowOff>
    </xdr:to>
    <xdr:cxnSp macro="">
      <xdr:nvCxnSpPr>
        <xdr:cNvPr id="786" name="Connecteur droit avec flèche 785"/>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112</xdr:row>
      <xdr:rowOff>107158</xdr:rowOff>
    </xdr:from>
    <xdr:to>
      <xdr:col>14</xdr:col>
      <xdr:colOff>226219</xdr:colOff>
      <xdr:row>113</xdr:row>
      <xdr:rowOff>130969</xdr:rowOff>
    </xdr:to>
    <xdr:cxnSp macro="">
      <xdr:nvCxnSpPr>
        <xdr:cNvPr id="787" name="Connecteur droit avec flèche 786"/>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110</xdr:row>
      <xdr:rowOff>107157</xdr:rowOff>
    </xdr:from>
    <xdr:to>
      <xdr:col>14</xdr:col>
      <xdr:colOff>107157</xdr:colOff>
      <xdr:row>110</xdr:row>
      <xdr:rowOff>107158</xdr:rowOff>
    </xdr:to>
    <xdr:cxnSp macro="">
      <xdr:nvCxnSpPr>
        <xdr:cNvPr id="788" name="Connecteur droit avec flèche 787"/>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110</xdr:row>
      <xdr:rowOff>107159</xdr:rowOff>
    </xdr:from>
    <xdr:to>
      <xdr:col>14</xdr:col>
      <xdr:colOff>226219</xdr:colOff>
      <xdr:row>111</xdr:row>
      <xdr:rowOff>130970</xdr:rowOff>
    </xdr:to>
    <xdr:cxnSp macro="">
      <xdr:nvCxnSpPr>
        <xdr:cNvPr id="789" name="Connecteur droit avec flèche 788"/>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150</xdr:row>
      <xdr:rowOff>107156</xdr:rowOff>
    </xdr:from>
    <xdr:to>
      <xdr:col>10</xdr:col>
      <xdr:colOff>199073</xdr:colOff>
      <xdr:row>150</xdr:row>
      <xdr:rowOff>108744</xdr:rowOff>
    </xdr:to>
    <xdr:cxnSp macro="">
      <xdr:nvCxnSpPr>
        <xdr:cNvPr id="790" name="Connecteur droit avec flèche 789"/>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146</xdr:row>
      <xdr:rowOff>130969</xdr:rowOff>
    </xdr:from>
    <xdr:to>
      <xdr:col>10</xdr:col>
      <xdr:colOff>119063</xdr:colOff>
      <xdr:row>147</xdr:row>
      <xdr:rowOff>107156</xdr:rowOff>
    </xdr:to>
    <xdr:cxnSp macro="">
      <xdr:nvCxnSpPr>
        <xdr:cNvPr id="791" name="Connecteur droit avec flèche 790"/>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147</xdr:row>
      <xdr:rowOff>119063</xdr:rowOff>
    </xdr:from>
    <xdr:to>
      <xdr:col>10</xdr:col>
      <xdr:colOff>107156</xdr:colOff>
      <xdr:row>148</xdr:row>
      <xdr:rowOff>119063</xdr:rowOff>
    </xdr:to>
    <xdr:cxnSp macro="">
      <xdr:nvCxnSpPr>
        <xdr:cNvPr id="792" name="Connecteur droit avec flèche 791"/>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144</xdr:row>
      <xdr:rowOff>107156</xdr:rowOff>
    </xdr:from>
    <xdr:to>
      <xdr:col>12</xdr:col>
      <xdr:colOff>166688</xdr:colOff>
      <xdr:row>146</xdr:row>
      <xdr:rowOff>83344</xdr:rowOff>
    </xdr:to>
    <xdr:cxnSp macro="">
      <xdr:nvCxnSpPr>
        <xdr:cNvPr id="793" name="Connecteur droit avec flèche 792"/>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146</xdr:row>
      <xdr:rowOff>119063</xdr:rowOff>
    </xdr:from>
    <xdr:to>
      <xdr:col>12</xdr:col>
      <xdr:colOff>166688</xdr:colOff>
      <xdr:row>146</xdr:row>
      <xdr:rowOff>119064</xdr:rowOff>
    </xdr:to>
    <xdr:cxnSp macro="">
      <xdr:nvCxnSpPr>
        <xdr:cNvPr id="794" name="Connecteur droit avec flèche 793"/>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150</xdr:row>
      <xdr:rowOff>119063</xdr:rowOff>
    </xdr:from>
    <xdr:to>
      <xdr:col>14</xdr:col>
      <xdr:colOff>59531</xdr:colOff>
      <xdr:row>150</xdr:row>
      <xdr:rowOff>119063</xdr:rowOff>
    </xdr:to>
    <xdr:cxnSp macro="">
      <xdr:nvCxnSpPr>
        <xdr:cNvPr id="795" name="Connecteur droit avec flèche 794"/>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148</xdr:row>
      <xdr:rowOff>130972</xdr:rowOff>
    </xdr:from>
    <xdr:to>
      <xdr:col>14</xdr:col>
      <xdr:colOff>190500</xdr:colOff>
      <xdr:row>149</xdr:row>
      <xdr:rowOff>119063</xdr:rowOff>
    </xdr:to>
    <xdr:cxnSp macro="">
      <xdr:nvCxnSpPr>
        <xdr:cNvPr id="796" name="Connecteur droit avec flèche 795"/>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148</xdr:row>
      <xdr:rowOff>119063</xdr:rowOff>
    </xdr:from>
    <xdr:to>
      <xdr:col>14</xdr:col>
      <xdr:colOff>83344</xdr:colOff>
      <xdr:row>148</xdr:row>
      <xdr:rowOff>119063</xdr:rowOff>
    </xdr:to>
    <xdr:cxnSp macro="">
      <xdr:nvCxnSpPr>
        <xdr:cNvPr id="797" name="Connecteur droit avec flèche 796"/>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146</xdr:row>
      <xdr:rowOff>107156</xdr:rowOff>
    </xdr:from>
    <xdr:to>
      <xdr:col>14</xdr:col>
      <xdr:colOff>107157</xdr:colOff>
      <xdr:row>146</xdr:row>
      <xdr:rowOff>107157</xdr:rowOff>
    </xdr:to>
    <xdr:cxnSp macro="">
      <xdr:nvCxnSpPr>
        <xdr:cNvPr id="798" name="Connecteur droit avec flèche 797"/>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146</xdr:row>
      <xdr:rowOff>107158</xdr:rowOff>
    </xdr:from>
    <xdr:to>
      <xdr:col>14</xdr:col>
      <xdr:colOff>226219</xdr:colOff>
      <xdr:row>147</xdr:row>
      <xdr:rowOff>130969</xdr:rowOff>
    </xdr:to>
    <xdr:cxnSp macro="">
      <xdr:nvCxnSpPr>
        <xdr:cNvPr id="799" name="Connecteur droit avec flèche 798"/>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144</xdr:row>
      <xdr:rowOff>107157</xdr:rowOff>
    </xdr:from>
    <xdr:to>
      <xdr:col>14</xdr:col>
      <xdr:colOff>107157</xdr:colOff>
      <xdr:row>144</xdr:row>
      <xdr:rowOff>107158</xdr:rowOff>
    </xdr:to>
    <xdr:cxnSp macro="">
      <xdr:nvCxnSpPr>
        <xdr:cNvPr id="800" name="Connecteur droit avec flèche 799"/>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144</xdr:row>
      <xdr:rowOff>107159</xdr:rowOff>
    </xdr:from>
    <xdr:to>
      <xdr:col>14</xdr:col>
      <xdr:colOff>226219</xdr:colOff>
      <xdr:row>145</xdr:row>
      <xdr:rowOff>130970</xdr:rowOff>
    </xdr:to>
    <xdr:cxnSp macro="">
      <xdr:nvCxnSpPr>
        <xdr:cNvPr id="801" name="Connecteur droit avec flèche 800"/>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140</xdr:row>
      <xdr:rowOff>130969</xdr:rowOff>
    </xdr:from>
    <xdr:to>
      <xdr:col>10</xdr:col>
      <xdr:colOff>119063</xdr:colOff>
      <xdr:row>141</xdr:row>
      <xdr:rowOff>107156</xdr:rowOff>
    </xdr:to>
    <xdr:cxnSp macro="">
      <xdr:nvCxnSpPr>
        <xdr:cNvPr id="802" name="Connecteur droit avec flèche 801"/>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141</xdr:row>
      <xdr:rowOff>119063</xdr:rowOff>
    </xdr:from>
    <xdr:to>
      <xdr:col>10</xdr:col>
      <xdr:colOff>107156</xdr:colOff>
      <xdr:row>142</xdr:row>
      <xdr:rowOff>119063</xdr:rowOff>
    </xdr:to>
    <xdr:cxnSp macro="">
      <xdr:nvCxnSpPr>
        <xdr:cNvPr id="803" name="Connecteur droit avec flèche 802"/>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138</xdr:row>
      <xdr:rowOff>107156</xdr:rowOff>
    </xdr:from>
    <xdr:to>
      <xdr:col>12</xdr:col>
      <xdr:colOff>166688</xdr:colOff>
      <xdr:row>140</xdr:row>
      <xdr:rowOff>83344</xdr:rowOff>
    </xdr:to>
    <xdr:cxnSp macro="">
      <xdr:nvCxnSpPr>
        <xdr:cNvPr id="804" name="Connecteur droit avec flèche 803"/>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140</xdr:row>
      <xdr:rowOff>119063</xdr:rowOff>
    </xdr:from>
    <xdr:to>
      <xdr:col>12</xdr:col>
      <xdr:colOff>166688</xdr:colOff>
      <xdr:row>140</xdr:row>
      <xdr:rowOff>119064</xdr:rowOff>
    </xdr:to>
    <xdr:cxnSp macro="">
      <xdr:nvCxnSpPr>
        <xdr:cNvPr id="805" name="Connecteur droit avec flèche 804"/>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142</xdr:row>
      <xdr:rowOff>130972</xdr:rowOff>
    </xdr:from>
    <xdr:to>
      <xdr:col>14</xdr:col>
      <xdr:colOff>190500</xdr:colOff>
      <xdr:row>143</xdr:row>
      <xdr:rowOff>119063</xdr:rowOff>
    </xdr:to>
    <xdr:cxnSp macro="">
      <xdr:nvCxnSpPr>
        <xdr:cNvPr id="806" name="Connecteur droit avec flèche 805"/>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142</xdr:row>
      <xdr:rowOff>119063</xdr:rowOff>
    </xdr:from>
    <xdr:to>
      <xdr:col>14</xdr:col>
      <xdr:colOff>83344</xdr:colOff>
      <xdr:row>142</xdr:row>
      <xdr:rowOff>119063</xdr:rowOff>
    </xdr:to>
    <xdr:cxnSp macro="">
      <xdr:nvCxnSpPr>
        <xdr:cNvPr id="807" name="Connecteur droit avec flèche 806"/>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140</xdr:row>
      <xdr:rowOff>107156</xdr:rowOff>
    </xdr:from>
    <xdr:to>
      <xdr:col>14</xdr:col>
      <xdr:colOff>107157</xdr:colOff>
      <xdr:row>140</xdr:row>
      <xdr:rowOff>107157</xdr:rowOff>
    </xdr:to>
    <xdr:cxnSp macro="">
      <xdr:nvCxnSpPr>
        <xdr:cNvPr id="808" name="Connecteur droit avec flèche 807"/>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140</xdr:row>
      <xdr:rowOff>107158</xdr:rowOff>
    </xdr:from>
    <xdr:to>
      <xdr:col>14</xdr:col>
      <xdr:colOff>226219</xdr:colOff>
      <xdr:row>141</xdr:row>
      <xdr:rowOff>130969</xdr:rowOff>
    </xdr:to>
    <xdr:cxnSp macro="">
      <xdr:nvCxnSpPr>
        <xdr:cNvPr id="809" name="Connecteur droit avec flèche 808"/>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138</xdr:row>
      <xdr:rowOff>107157</xdr:rowOff>
    </xdr:from>
    <xdr:to>
      <xdr:col>14</xdr:col>
      <xdr:colOff>107157</xdr:colOff>
      <xdr:row>138</xdr:row>
      <xdr:rowOff>107158</xdr:rowOff>
    </xdr:to>
    <xdr:cxnSp macro="">
      <xdr:nvCxnSpPr>
        <xdr:cNvPr id="810" name="Connecteur droit avec flèche 809"/>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138</xdr:row>
      <xdr:rowOff>107159</xdr:rowOff>
    </xdr:from>
    <xdr:to>
      <xdr:col>14</xdr:col>
      <xdr:colOff>226219</xdr:colOff>
      <xdr:row>139</xdr:row>
      <xdr:rowOff>130970</xdr:rowOff>
    </xdr:to>
    <xdr:cxnSp macro="">
      <xdr:nvCxnSpPr>
        <xdr:cNvPr id="811" name="Connecteur droit avec flèche 810"/>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192</xdr:row>
      <xdr:rowOff>107156</xdr:rowOff>
    </xdr:from>
    <xdr:to>
      <xdr:col>10</xdr:col>
      <xdr:colOff>199073</xdr:colOff>
      <xdr:row>192</xdr:row>
      <xdr:rowOff>108744</xdr:rowOff>
    </xdr:to>
    <xdr:cxnSp macro="">
      <xdr:nvCxnSpPr>
        <xdr:cNvPr id="812" name="Connecteur droit avec flèche 811"/>
        <xdr:cNvCxnSpPr/>
      </xdr:nvCxnSpPr>
      <xdr:spPr>
        <a:xfrm>
          <a:off x="7881938" y="4679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188</xdr:row>
      <xdr:rowOff>130969</xdr:rowOff>
    </xdr:from>
    <xdr:to>
      <xdr:col>10</xdr:col>
      <xdr:colOff>119063</xdr:colOff>
      <xdr:row>189</xdr:row>
      <xdr:rowOff>107156</xdr:rowOff>
    </xdr:to>
    <xdr:cxnSp macro="">
      <xdr:nvCxnSpPr>
        <xdr:cNvPr id="813" name="Connecteur droit avec flèche 812"/>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189</xdr:row>
      <xdr:rowOff>119063</xdr:rowOff>
    </xdr:from>
    <xdr:to>
      <xdr:col>10</xdr:col>
      <xdr:colOff>107156</xdr:colOff>
      <xdr:row>190</xdr:row>
      <xdr:rowOff>119063</xdr:rowOff>
    </xdr:to>
    <xdr:cxnSp macro="">
      <xdr:nvCxnSpPr>
        <xdr:cNvPr id="814" name="Connecteur droit avec flèche 813"/>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186</xdr:row>
      <xdr:rowOff>107156</xdr:rowOff>
    </xdr:from>
    <xdr:to>
      <xdr:col>12</xdr:col>
      <xdr:colOff>166688</xdr:colOff>
      <xdr:row>188</xdr:row>
      <xdr:rowOff>83344</xdr:rowOff>
    </xdr:to>
    <xdr:cxnSp macro="">
      <xdr:nvCxnSpPr>
        <xdr:cNvPr id="815" name="Connecteur droit avec flèche 814"/>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188</xdr:row>
      <xdr:rowOff>119063</xdr:rowOff>
    </xdr:from>
    <xdr:to>
      <xdr:col>12</xdr:col>
      <xdr:colOff>166688</xdr:colOff>
      <xdr:row>188</xdr:row>
      <xdr:rowOff>119064</xdr:rowOff>
    </xdr:to>
    <xdr:cxnSp macro="">
      <xdr:nvCxnSpPr>
        <xdr:cNvPr id="816" name="Connecteur droit avec flèche 815"/>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192</xdr:row>
      <xdr:rowOff>119063</xdr:rowOff>
    </xdr:from>
    <xdr:to>
      <xdr:col>14</xdr:col>
      <xdr:colOff>59531</xdr:colOff>
      <xdr:row>192</xdr:row>
      <xdr:rowOff>119063</xdr:rowOff>
    </xdr:to>
    <xdr:cxnSp macro="">
      <xdr:nvCxnSpPr>
        <xdr:cNvPr id="817" name="Connecteur droit avec flèche 816"/>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190</xdr:row>
      <xdr:rowOff>130972</xdr:rowOff>
    </xdr:from>
    <xdr:to>
      <xdr:col>14</xdr:col>
      <xdr:colOff>190500</xdr:colOff>
      <xdr:row>191</xdr:row>
      <xdr:rowOff>119063</xdr:rowOff>
    </xdr:to>
    <xdr:cxnSp macro="">
      <xdr:nvCxnSpPr>
        <xdr:cNvPr id="818" name="Connecteur droit avec flèche 817"/>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190</xdr:row>
      <xdr:rowOff>119063</xdr:rowOff>
    </xdr:from>
    <xdr:to>
      <xdr:col>14</xdr:col>
      <xdr:colOff>83344</xdr:colOff>
      <xdr:row>190</xdr:row>
      <xdr:rowOff>119063</xdr:rowOff>
    </xdr:to>
    <xdr:cxnSp macro="">
      <xdr:nvCxnSpPr>
        <xdr:cNvPr id="819" name="Connecteur droit avec flèche 818"/>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188</xdr:row>
      <xdr:rowOff>107156</xdr:rowOff>
    </xdr:from>
    <xdr:to>
      <xdr:col>14</xdr:col>
      <xdr:colOff>107157</xdr:colOff>
      <xdr:row>188</xdr:row>
      <xdr:rowOff>107157</xdr:rowOff>
    </xdr:to>
    <xdr:cxnSp macro="">
      <xdr:nvCxnSpPr>
        <xdr:cNvPr id="820" name="Connecteur droit avec flèche 819"/>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188</xdr:row>
      <xdr:rowOff>107158</xdr:rowOff>
    </xdr:from>
    <xdr:to>
      <xdr:col>14</xdr:col>
      <xdr:colOff>226219</xdr:colOff>
      <xdr:row>189</xdr:row>
      <xdr:rowOff>130969</xdr:rowOff>
    </xdr:to>
    <xdr:cxnSp macro="">
      <xdr:nvCxnSpPr>
        <xdr:cNvPr id="821" name="Connecteur droit avec flèche 820"/>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186</xdr:row>
      <xdr:rowOff>107157</xdr:rowOff>
    </xdr:from>
    <xdr:to>
      <xdr:col>14</xdr:col>
      <xdr:colOff>107157</xdr:colOff>
      <xdr:row>186</xdr:row>
      <xdr:rowOff>107158</xdr:rowOff>
    </xdr:to>
    <xdr:cxnSp macro="">
      <xdr:nvCxnSpPr>
        <xdr:cNvPr id="822" name="Connecteur droit avec flèche 821"/>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186</xdr:row>
      <xdr:rowOff>107159</xdr:rowOff>
    </xdr:from>
    <xdr:to>
      <xdr:col>14</xdr:col>
      <xdr:colOff>226219</xdr:colOff>
      <xdr:row>187</xdr:row>
      <xdr:rowOff>130970</xdr:rowOff>
    </xdr:to>
    <xdr:cxnSp macro="">
      <xdr:nvCxnSpPr>
        <xdr:cNvPr id="823" name="Connecteur droit avec flèche 822"/>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182</xdr:row>
      <xdr:rowOff>130969</xdr:rowOff>
    </xdr:from>
    <xdr:to>
      <xdr:col>10</xdr:col>
      <xdr:colOff>119063</xdr:colOff>
      <xdr:row>183</xdr:row>
      <xdr:rowOff>107156</xdr:rowOff>
    </xdr:to>
    <xdr:cxnSp macro="">
      <xdr:nvCxnSpPr>
        <xdr:cNvPr id="824" name="Connecteur droit avec flèche 823"/>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183</xdr:row>
      <xdr:rowOff>119063</xdr:rowOff>
    </xdr:from>
    <xdr:to>
      <xdr:col>10</xdr:col>
      <xdr:colOff>107156</xdr:colOff>
      <xdr:row>184</xdr:row>
      <xdr:rowOff>119063</xdr:rowOff>
    </xdr:to>
    <xdr:cxnSp macro="">
      <xdr:nvCxnSpPr>
        <xdr:cNvPr id="825" name="Connecteur droit avec flèche 824"/>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180</xdr:row>
      <xdr:rowOff>107156</xdr:rowOff>
    </xdr:from>
    <xdr:to>
      <xdr:col>12</xdr:col>
      <xdr:colOff>166688</xdr:colOff>
      <xdr:row>182</xdr:row>
      <xdr:rowOff>83344</xdr:rowOff>
    </xdr:to>
    <xdr:cxnSp macro="">
      <xdr:nvCxnSpPr>
        <xdr:cNvPr id="826" name="Connecteur droit avec flèche 825"/>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182</xdr:row>
      <xdr:rowOff>119063</xdr:rowOff>
    </xdr:from>
    <xdr:to>
      <xdr:col>12</xdr:col>
      <xdr:colOff>166688</xdr:colOff>
      <xdr:row>182</xdr:row>
      <xdr:rowOff>119064</xdr:rowOff>
    </xdr:to>
    <xdr:cxnSp macro="">
      <xdr:nvCxnSpPr>
        <xdr:cNvPr id="827" name="Connecteur droit avec flèche 826"/>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184</xdr:row>
      <xdr:rowOff>130972</xdr:rowOff>
    </xdr:from>
    <xdr:to>
      <xdr:col>14</xdr:col>
      <xdr:colOff>190500</xdr:colOff>
      <xdr:row>185</xdr:row>
      <xdr:rowOff>119063</xdr:rowOff>
    </xdr:to>
    <xdr:cxnSp macro="">
      <xdr:nvCxnSpPr>
        <xdr:cNvPr id="828" name="Connecteur droit avec flèche 827"/>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184</xdr:row>
      <xdr:rowOff>119063</xdr:rowOff>
    </xdr:from>
    <xdr:to>
      <xdr:col>14</xdr:col>
      <xdr:colOff>83344</xdr:colOff>
      <xdr:row>184</xdr:row>
      <xdr:rowOff>119063</xdr:rowOff>
    </xdr:to>
    <xdr:cxnSp macro="">
      <xdr:nvCxnSpPr>
        <xdr:cNvPr id="829" name="Connecteur droit avec flèche 828"/>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182</xdr:row>
      <xdr:rowOff>107156</xdr:rowOff>
    </xdr:from>
    <xdr:to>
      <xdr:col>14</xdr:col>
      <xdr:colOff>107157</xdr:colOff>
      <xdr:row>182</xdr:row>
      <xdr:rowOff>107157</xdr:rowOff>
    </xdr:to>
    <xdr:cxnSp macro="">
      <xdr:nvCxnSpPr>
        <xdr:cNvPr id="830" name="Connecteur droit avec flèche 829"/>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182</xdr:row>
      <xdr:rowOff>107158</xdr:rowOff>
    </xdr:from>
    <xdr:to>
      <xdr:col>14</xdr:col>
      <xdr:colOff>226219</xdr:colOff>
      <xdr:row>183</xdr:row>
      <xdr:rowOff>130969</xdr:rowOff>
    </xdr:to>
    <xdr:cxnSp macro="">
      <xdr:nvCxnSpPr>
        <xdr:cNvPr id="831" name="Connecteur droit avec flèche 830"/>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180</xdr:row>
      <xdr:rowOff>107157</xdr:rowOff>
    </xdr:from>
    <xdr:to>
      <xdr:col>14</xdr:col>
      <xdr:colOff>107157</xdr:colOff>
      <xdr:row>180</xdr:row>
      <xdr:rowOff>107158</xdr:rowOff>
    </xdr:to>
    <xdr:cxnSp macro="">
      <xdr:nvCxnSpPr>
        <xdr:cNvPr id="832" name="Connecteur droit avec flèche 831"/>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180</xdr:row>
      <xdr:rowOff>107159</xdr:rowOff>
    </xdr:from>
    <xdr:to>
      <xdr:col>14</xdr:col>
      <xdr:colOff>226219</xdr:colOff>
      <xdr:row>181</xdr:row>
      <xdr:rowOff>130970</xdr:rowOff>
    </xdr:to>
    <xdr:cxnSp macro="">
      <xdr:nvCxnSpPr>
        <xdr:cNvPr id="833" name="Connecteur droit avec flèche 832"/>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206</xdr:row>
      <xdr:rowOff>107156</xdr:rowOff>
    </xdr:from>
    <xdr:to>
      <xdr:col>10</xdr:col>
      <xdr:colOff>199073</xdr:colOff>
      <xdr:row>206</xdr:row>
      <xdr:rowOff>108744</xdr:rowOff>
    </xdr:to>
    <xdr:cxnSp macro="">
      <xdr:nvCxnSpPr>
        <xdr:cNvPr id="834" name="Connecteur droit avec flèche 833"/>
        <xdr:cNvCxnSpPr/>
      </xdr:nvCxnSpPr>
      <xdr:spPr>
        <a:xfrm>
          <a:off x="7881938" y="20681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202</xdr:row>
      <xdr:rowOff>130969</xdr:rowOff>
    </xdr:from>
    <xdr:to>
      <xdr:col>10</xdr:col>
      <xdr:colOff>119063</xdr:colOff>
      <xdr:row>203</xdr:row>
      <xdr:rowOff>107156</xdr:rowOff>
    </xdr:to>
    <xdr:cxnSp macro="">
      <xdr:nvCxnSpPr>
        <xdr:cNvPr id="835" name="Connecteur droit avec flèche 834"/>
        <xdr:cNvCxnSpPr/>
      </xdr:nvCxnSpPr>
      <xdr:spPr>
        <a:xfrm flipV="1">
          <a:off x="8036719" y="19942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203</xdr:row>
      <xdr:rowOff>119063</xdr:rowOff>
    </xdr:from>
    <xdr:to>
      <xdr:col>10</xdr:col>
      <xdr:colOff>107156</xdr:colOff>
      <xdr:row>204</xdr:row>
      <xdr:rowOff>119063</xdr:rowOff>
    </xdr:to>
    <xdr:cxnSp macro="">
      <xdr:nvCxnSpPr>
        <xdr:cNvPr id="836" name="Connecteur droit avec flèche 835"/>
        <xdr:cNvCxnSpPr/>
      </xdr:nvCxnSpPr>
      <xdr:spPr>
        <a:xfrm>
          <a:off x="8048625" y="20121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200</xdr:row>
      <xdr:rowOff>107156</xdr:rowOff>
    </xdr:from>
    <xdr:to>
      <xdr:col>12</xdr:col>
      <xdr:colOff>166688</xdr:colOff>
      <xdr:row>202</xdr:row>
      <xdr:rowOff>83344</xdr:rowOff>
    </xdr:to>
    <xdr:cxnSp macro="">
      <xdr:nvCxnSpPr>
        <xdr:cNvPr id="837" name="Connecteur droit avec flèche 836"/>
        <xdr:cNvCxnSpPr/>
      </xdr:nvCxnSpPr>
      <xdr:spPr>
        <a:xfrm flipV="1">
          <a:off x="9501187" y="19538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202</xdr:row>
      <xdr:rowOff>119063</xdr:rowOff>
    </xdr:from>
    <xdr:to>
      <xdr:col>12</xdr:col>
      <xdr:colOff>166688</xdr:colOff>
      <xdr:row>202</xdr:row>
      <xdr:rowOff>119064</xdr:rowOff>
    </xdr:to>
    <xdr:cxnSp macro="">
      <xdr:nvCxnSpPr>
        <xdr:cNvPr id="838" name="Connecteur droit avec flèche 837"/>
        <xdr:cNvCxnSpPr/>
      </xdr:nvCxnSpPr>
      <xdr:spPr>
        <a:xfrm flipV="1">
          <a:off x="9477375" y="19931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206</xdr:row>
      <xdr:rowOff>119063</xdr:rowOff>
    </xdr:from>
    <xdr:to>
      <xdr:col>14</xdr:col>
      <xdr:colOff>59531</xdr:colOff>
      <xdr:row>206</xdr:row>
      <xdr:rowOff>119063</xdr:rowOff>
    </xdr:to>
    <xdr:cxnSp macro="">
      <xdr:nvCxnSpPr>
        <xdr:cNvPr id="839" name="Connecteur droit avec flèche 838"/>
        <xdr:cNvCxnSpPr/>
      </xdr:nvCxnSpPr>
      <xdr:spPr>
        <a:xfrm>
          <a:off x="9513093" y="20693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204</xdr:row>
      <xdr:rowOff>130972</xdr:rowOff>
    </xdr:from>
    <xdr:to>
      <xdr:col>14</xdr:col>
      <xdr:colOff>190500</xdr:colOff>
      <xdr:row>205</xdr:row>
      <xdr:rowOff>119063</xdr:rowOff>
    </xdr:to>
    <xdr:cxnSp macro="">
      <xdr:nvCxnSpPr>
        <xdr:cNvPr id="840" name="Connecteur droit avec flèche 839"/>
        <xdr:cNvCxnSpPr/>
      </xdr:nvCxnSpPr>
      <xdr:spPr>
        <a:xfrm>
          <a:off x="9465469" y="20323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204</xdr:row>
      <xdr:rowOff>119063</xdr:rowOff>
    </xdr:from>
    <xdr:to>
      <xdr:col>14</xdr:col>
      <xdr:colOff>83344</xdr:colOff>
      <xdr:row>204</xdr:row>
      <xdr:rowOff>119063</xdr:rowOff>
    </xdr:to>
    <xdr:cxnSp macro="">
      <xdr:nvCxnSpPr>
        <xdr:cNvPr id="841" name="Connecteur droit avec flèche 840"/>
        <xdr:cNvCxnSpPr/>
      </xdr:nvCxnSpPr>
      <xdr:spPr>
        <a:xfrm>
          <a:off x="9465469" y="20312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202</xdr:row>
      <xdr:rowOff>107156</xdr:rowOff>
    </xdr:from>
    <xdr:to>
      <xdr:col>14</xdr:col>
      <xdr:colOff>107157</xdr:colOff>
      <xdr:row>202</xdr:row>
      <xdr:rowOff>107157</xdr:rowOff>
    </xdr:to>
    <xdr:cxnSp macro="">
      <xdr:nvCxnSpPr>
        <xdr:cNvPr id="842" name="Connecteur droit avec flèche 841"/>
        <xdr:cNvCxnSpPr/>
      </xdr:nvCxnSpPr>
      <xdr:spPr>
        <a:xfrm flipV="1">
          <a:off x="10941844" y="19919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202</xdr:row>
      <xdr:rowOff>107158</xdr:rowOff>
    </xdr:from>
    <xdr:to>
      <xdr:col>14</xdr:col>
      <xdr:colOff>226219</xdr:colOff>
      <xdr:row>203</xdr:row>
      <xdr:rowOff>130969</xdr:rowOff>
    </xdr:to>
    <xdr:cxnSp macro="">
      <xdr:nvCxnSpPr>
        <xdr:cNvPr id="843" name="Connecteur droit avec flèche 842"/>
        <xdr:cNvCxnSpPr/>
      </xdr:nvCxnSpPr>
      <xdr:spPr>
        <a:xfrm>
          <a:off x="10918031" y="19919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200</xdr:row>
      <xdr:rowOff>107157</xdr:rowOff>
    </xdr:from>
    <xdr:to>
      <xdr:col>14</xdr:col>
      <xdr:colOff>107157</xdr:colOff>
      <xdr:row>200</xdr:row>
      <xdr:rowOff>107158</xdr:rowOff>
    </xdr:to>
    <xdr:cxnSp macro="">
      <xdr:nvCxnSpPr>
        <xdr:cNvPr id="844" name="Connecteur droit avec flèche 843"/>
        <xdr:cNvCxnSpPr/>
      </xdr:nvCxnSpPr>
      <xdr:spPr>
        <a:xfrm flipV="1">
          <a:off x="10941844" y="19538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200</xdr:row>
      <xdr:rowOff>107159</xdr:rowOff>
    </xdr:from>
    <xdr:to>
      <xdr:col>14</xdr:col>
      <xdr:colOff>226219</xdr:colOff>
      <xdr:row>201</xdr:row>
      <xdr:rowOff>130970</xdr:rowOff>
    </xdr:to>
    <xdr:cxnSp macro="">
      <xdr:nvCxnSpPr>
        <xdr:cNvPr id="845" name="Connecteur droit avec flèche 844"/>
        <xdr:cNvCxnSpPr/>
      </xdr:nvCxnSpPr>
      <xdr:spPr>
        <a:xfrm>
          <a:off x="10918031" y="19538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196</xdr:row>
      <xdr:rowOff>130969</xdr:rowOff>
    </xdr:from>
    <xdr:to>
      <xdr:col>10</xdr:col>
      <xdr:colOff>119063</xdr:colOff>
      <xdr:row>197</xdr:row>
      <xdr:rowOff>107156</xdr:rowOff>
    </xdr:to>
    <xdr:cxnSp macro="">
      <xdr:nvCxnSpPr>
        <xdr:cNvPr id="846" name="Connecteur droit avec flèche 845"/>
        <xdr:cNvCxnSpPr/>
      </xdr:nvCxnSpPr>
      <xdr:spPr>
        <a:xfrm flipV="1">
          <a:off x="8036719" y="18799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197</xdr:row>
      <xdr:rowOff>119063</xdr:rowOff>
    </xdr:from>
    <xdr:to>
      <xdr:col>10</xdr:col>
      <xdr:colOff>107156</xdr:colOff>
      <xdr:row>198</xdr:row>
      <xdr:rowOff>119063</xdr:rowOff>
    </xdr:to>
    <xdr:cxnSp macro="">
      <xdr:nvCxnSpPr>
        <xdr:cNvPr id="847" name="Connecteur droit avec flèche 846"/>
        <xdr:cNvCxnSpPr/>
      </xdr:nvCxnSpPr>
      <xdr:spPr>
        <a:xfrm>
          <a:off x="8048625" y="18978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194</xdr:row>
      <xdr:rowOff>107156</xdr:rowOff>
    </xdr:from>
    <xdr:to>
      <xdr:col>12</xdr:col>
      <xdr:colOff>166688</xdr:colOff>
      <xdr:row>196</xdr:row>
      <xdr:rowOff>83344</xdr:rowOff>
    </xdr:to>
    <xdr:cxnSp macro="">
      <xdr:nvCxnSpPr>
        <xdr:cNvPr id="848" name="Connecteur droit avec flèche 847"/>
        <xdr:cNvCxnSpPr/>
      </xdr:nvCxnSpPr>
      <xdr:spPr>
        <a:xfrm flipV="1">
          <a:off x="9501187" y="18395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196</xdr:row>
      <xdr:rowOff>119063</xdr:rowOff>
    </xdr:from>
    <xdr:to>
      <xdr:col>12</xdr:col>
      <xdr:colOff>166688</xdr:colOff>
      <xdr:row>196</xdr:row>
      <xdr:rowOff>119064</xdr:rowOff>
    </xdr:to>
    <xdr:cxnSp macro="">
      <xdr:nvCxnSpPr>
        <xdr:cNvPr id="849" name="Connecteur droit avec flèche 848"/>
        <xdr:cNvCxnSpPr/>
      </xdr:nvCxnSpPr>
      <xdr:spPr>
        <a:xfrm flipV="1">
          <a:off x="9477375" y="18788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198</xdr:row>
      <xdr:rowOff>130972</xdr:rowOff>
    </xdr:from>
    <xdr:to>
      <xdr:col>14</xdr:col>
      <xdr:colOff>190500</xdr:colOff>
      <xdr:row>199</xdr:row>
      <xdr:rowOff>119063</xdr:rowOff>
    </xdr:to>
    <xdr:cxnSp macro="">
      <xdr:nvCxnSpPr>
        <xdr:cNvPr id="850" name="Connecteur droit avec flèche 849"/>
        <xdr:cNvCxnSpPr/>
      </xdr:nvCxnSpPr>
      <xdr:spPr>
        <a:xfrm>
          <a:off x="9465469" y="19180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198</xdr:row>
      <xdr:rowOff>119063</xdr:rowOff>
    </xdr:from>
    <xdr:to>
      <xdr:col>14</xdr:col>
      <xdr:colOff>83344</xdr:colOff>
      <xdr:row>198</xdr:row>
      <xdr:rowOff>119063</xdr:rowOff>
    </xdr:to>
    <xdr:cxnSp macro="">
      <xdr:nvCxnSpPr>
        <xdr:cNvPr id="851" name="Connecteur droit avec flèche 850"/>
        <xdr:cNvCxnSpPr/>
      </xdr:nvCxnSpPr>
      <xdr:spPr>
        <a:xfrm>
          <a:off x="9465469" y="19169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196</xdr:row>
      <xdr:rowOff>107156</xdr:rowOff>
    </xdr:from>
    <xdr:to>
      <xdr:col>14</xdr:col>
      <xdr:colOff>107157</xdr:colOff>
      <xdr:row>196</xdr:row>
      <xdr:rowOff>107157</xdr:rowOff>
    </xdr:to>
    <xdr:cxnSp macro="">
      <xdr:nvCxnSpPr>
        <xdr:cNvPr id="852" name="Connecteur droit avec flèche 851"/>
        <xdr:cNvCxnSpPr/>
      </xdr:nvCxnSpPr>
      <xdr:spPr>
        <a:xfrm flipV="1">
          <a:off x="10941844" y="18776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196</xdr:row>
      <xdr:rowOff>107158</xdr:rowOff>
    </xdr:from>
    <xdr:to>
      <xdr:col>14</xdr:col>
      <xdr:colOff>226219</xdr:colOff>
      <xdr:row>197</xdr:row>
      <xdr:rowOff>130969</xdr:rowOff>
    </xdr:to>
    <xdr:cxnSp macro="">
      <xdr:nvCxnSpPr>
        <xdr:cNvPr id="853" name="Connecteur droit avec flèche 852"/>
        <xdr:cNvCxnSpPr/>
      </xdr:nvCxnSpPr>
      <xdr:spPr>
        <a:xfrm>
          <a:off x="10918031" y="18776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194</xdr:row>
      <xdr:rowOff>107157</xdr:rowOff>
    </xdr:from>
    <xdr:to>
      <xdr:col>14</xdr:col>
      <xdr:colOff>107157</xdr:colOff>
      <xdr:row>194</xdr:row>
      <xdr:rowOff>107158</xdr:rowOff>
    </xdr:to>
    <xdr:cxnSp macro="">
      <xdr:nvCxnSpPr>
        <xdr:cNvPr id="854" name="Connecteur droit avec flèche 853"/>
        <xdr:cNvCxnSpPr/>
      </xdr:nvCxnSpPr>
      <xdr:spPr>
        <a:xfrm flipV="1">
          <a:off x="10941844" y="18395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194</xdr:row>
      <xdr:rowOff>107159</xdr:rowOff>
    </xdr:from>
    <xdr:to>
      <xdr:col>14</xdr:col>
      <xdr:colOff>226219</xdr:colOff>
      <xdr:row>195</xdr:row>
      <xdr:rowOff>130970</xdr:rowOff>
    </xdr:to>
    <xdr:cxnSp macro="">
      <xdr:nvCxnSpPr>
        <xdr:cNvPr id="855" name="Connecteur droit avec flèche 854"/>
        <xdr:cNvCxnSpPr/>
      </xdr:nvCxnSpPr>
      <xdr:spPr>
        <a:xfrm>
          <a:off x="10918031" y="18395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714375</xdr:colOff>
      <xdr:row>192</xdr:row>
      <xdr:rowOff>119063</xdr:rowOff>
    </xdr:from>
    <xdr:to>
      <xdr:col>3</xdr:col>
      <xdr:colOff>758185</xdr:colOff>
      <xdr:row>194</xdr:row>
      <xdr:rowOff>119537</xdr:rowOff>
    </xdr:to>
    <xdr:cxnSp macro="">
      <xdr:nvCxnSpPr>
        <xdr:cNvPr id="870" name="Connecteur droit avec flèche 869"/>
        <xdr:cNvCxnSpPr/>
      </xdr:nvCxnSpPr>
      <xdr:spPr>
        <a:xfrm flipV="1">
          <a:off x="2238375" y="20693063"/>
          <a:ext cx="805810" cy="38147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234</xdr:row>
      <xdr:rowOff>107156</xdr:rowOff>
    </xdr:from>
    <xdr:to>
      <xdr:col>10</xdr:col>
      <xdr:colOff>678656</xdr:colOff>
      <xdr:row>234</xdr:row>
      <xdr:rowOff>107156</xdr:rowOff>
    </xdr:to>
    <xdr:cxnSp macro="">
      <xdr:nvCxnSpPr>
        <xdr:cNvPr id="877" name="Connecteur droit avec flèche 876"/>
        <xdr:cNvCxnSpPr/>
      </xdr:nvCxnSpPr>
      <xdr:spPr>
        <a:xfrm>
          <a:off x="7881938" y="26015156"/>
          <a:ext cx="165496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230</xdr:row>
      <xdr:rowOff>130969</xdr:rowOff>
    </xdr:from>
    <xdr:to>
      <xdr:col>10</xdr:col>
      <xdr:colOff>119063</xdr:colOff>
      <xdr:row>231</xdr:row>
      <xdr:rowOff>107156</xdr:rowOff>
    </xdr:to>
    <xdr:cxnSp macro="">
      <xdr:nvCxnSpPr>
        <xdr:cNvPr id="878" name="Connecteur droit avec flèche 877"/>
        <xdr:cNvCxnSpPr/>
      </xdr:nvCxnSpPr>
      <xdr:spPr>
        <a:xfrm flipV="1">
          <a:off x="8036719" y="3940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231</xdr:row>
      <xdr:rowOff>119063</xdr:rowOff>
    </xdr:from>
    <xdr:to>
      <xdr:col>10</xdr:col>
      <xdr:colOff>107156</xdr:colOff>
      <xdr:row>232</xdr:row>
      <xdr:rowOff>119063</xdr:rowOff>
    </xdr:to>
    <xdr:cxnSp macro="">
      <xdr:nvCxnSpPr>
        <xdr:cNvPr id="879" name="Connecteur droit avec flèche 878"/>
        <xdr:cNvCxnSpPr/>
      </xdr:nvCxnSpPr>
      <xdr:spPr>
        <a:xfrm>
          <a:off x="8048625" y="4119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228</xdr:row>
      <xdr:rowOff>107156</xdr:rowOff>
    </xdr:from>
    <xdr:to>
      <xdr:col>12</xdr:col>
      <xdr:colOff>166688</xdr:colOff>
      <xdr:row>230</xdr:row>
      <xdr:rowOff>83344</xdr:rowOff>
    </xdr:to>
    <xdr:cxnSp macro="">
      <xdr:nvCxnSpPr>
        <xdr:cNvPr id="880" name="Connecteur droit avec flèche 879"/>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230</xdr:row>
      <xdr:rowOff>119063</xdr:rowOff>
    </xdr:from>
    <xdr:to>
      <xdr:col>12</xdr:col>
      <xdr:colOff>166688</xdr:colOff>
      <xdr:row>230</xdr:row>
      <xdr:rowOff>119064</xdr:rowOff>
    </xdr:to>
    <xdr:cxnSp macro="">
      <xdr:nvCxnSpPr>
        <xdr:cNvPr id="881" name="Connecteur droit avec flèche 880"/>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234</xdr:row>
      <xdr:rowOff>119063</xdr:rowOff>
    </xdr:from>
    <xdr:to>
      <xdr:col>14</xdr:col>
      <xdr:colOff>59531</xdr:colOff>
      <xdr:row>234</xdr:row>
      <xdr:rowOff>119063</xdr:rowOff>
    </xdr:to>
    <xdr:cxnSp macro="">
      <xdr:nvCxnSpPr>
        <xdr:cNvPr id="882" name="Connecteur droit avec flèche 881"/>
        <xdr:cNvCxnSpPr/>
      </xdr:nvCxnSpPr>
      <xdr:spPr>
        <a:xfrm>
          <a:off x="9513093" y="4691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232</xdr:row>
      <xdr:rowOff>130972</xdr:rowOff>
    </xdr:from>
    <xdr:to>
      <xdr:col>14</xdr:col>
      <xdr:colOff>190500</xdr:colOff>
      <xdr:row>233</xdr:row>
      <xdr:rowOff>119063</xdr:rowOff>
    </xdr:to>
    <xdr:cxnSp macro="">
      <xdr:nvCxnSpPr>
        <xdr:cNvPr id="883" name="Connecteur droit avec flèche 882"/>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232</xdr:row>
      <xdr:rowOff>119063</xdr:rowOff>
    </xdr:from>
    <xdr:to>
      <xdr:col>14</xdr:col>
      <xdr:colOff>83344</xdr:colOff>
      <xdr:row>232</xdr:row>
      <xdr:rowOff>119063</xdr:rowOff>
    </xdr:to>
    <xdr:cxnSp macro="">
      <xdr:nvCxnSpPr>
        <xdr:cNvPr id="884" name="Connecteur droit avec flèche 883"/>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230</xdr:row>
      <xdr:rowOff>107156</xdr:rowOff>
    </xdr:from>
    <xdr:to>
      <xdr:col>14</xdr:col>
      <xdr:colOff>107157</xdr:colOff>
      <xdr:row>230</xdr:row>
      <xdr:rowOff>107157</xdr:rowOff>
    </xdr:to>
    <xdr:cxnSp macro="">
      <xdr:nvCxnSpPr>
        <xdr:cNvPr id="885" name="Connecteur droit avec flèche 884"/>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230</xdr:row>
      <xdr:rowOff>107158</xdr:rowOff>
    </xdr:from>
    <xdr:to>
      <xdr:col>14</xdr:col>
      <xdr:colOff>226219</xdr:colOff>
      <xdr:row>231</xdr:row>
      <xdr:rowOff>130969</xdr:rowOff>
    </xdr:to>
    <xdr:cxnSp macro="">
      <xdr:nvCxnSpPr>
        <xdr:cNvPr id="886" name="Connecteur droit avec flèche 885"/>
        <xdr:cNvCxnSpPr/>
      </xdr:nvCxnSpPr>
      <xdr:spPr>
        <a:xfrm>
          <a:off x="10918031" y="3917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228</xdr:row>
      <xdr:rowOff>107157</xdr:rowOff>
    </xdr:from>
    <xdr:to>
      <xdr:col>14</xdr:col>
      <xdr:colOff>107157</xdr:colOff>
      <xdr:row>228</xdr:row>
      <xdr:rowOff>107158</xdr:rowOff>
    </xdr:to>
    <xdr:cxnSp macro="">
      <xdr:nvCxnSpPr>
        <xdr:cNvPr id="887" name="Connecteur droit avec flèche 886"/>
        <xdr:cNvCxnSpPr/>
      </xdr:nvCxnSpPr>
      <xdr:spPr>
        <a:xfrm flipV="1">
          <a:off x="10941844" y="35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228</xdr:row>
      <xdr:rowOff>107159</xdr:rowOff>
    </xdr:from>
    <xdr:to>
      <xdr:col>14</xdr:col>
      <xdr:colOff>226219</xdr:colOff>
      <xdr:row>229</xdr:row>
      <xdr:rowOff>130970</xdr:rowOff>
    </xdr:to>
    <xdr:cxnSp macro="">
      <xdr:nvCxnSpPr>
        <xdr:cNvPr id="888" name="Connecteur droit avec flèche 887"/>
        <xdr:cNvCxnSpPr/>
      </xdr:nvCxnSpPr>
      <xdr:spPr>
        <a:xfrm>
          <a:off x="10918031" y="3536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224</xdr:row>
      <xdr:rowOff>130969</xdr:rowOff>
    </xdr:from>
    <xdr:to>
      <xdr:col>10</xdr:col>
      <xdr:colOff>119063</xdr:colOff>
      <xdr:row>225</xdr:row>
      <xdr:rowOff>107156</xdr:rowOff>
    </xdr:to>
    <xdr:cxnSp macro="">
      <xdr:nvCxnSpPr>
        <xdr:cNvPr id="889" name="Connecteur droit avec flèche 888"/>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225</xdr:row>
      <xdr:rowOff>119063</xdr:rowOff>
    </xdr:from>
    <xdr:to>
      <xdr:col>10</xdr:col>
      <xdr:colOff>107156</xdr:colOff>
      <xdr:row>226</xdr:row>
      <xdr:rowOff>119063</xdr:rowOff>
    </xdr:to>
    <xdr:cxnSp macro="">
      <xdr:nvCxnSpPr>
        <xdr:cNvPr id="890" name="Connecteur droit avec flèche 889"/>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222</xdr:row>
      <xdr:rowOff>107156</xdr:rowOff>
    </xdr:from>
    <xdr:to>
      <xdr:col>12</xdr:col>
      <xdr:colOff>166688</xdr:colOff>
      <xdr:row>224</xdr:row>
      <xdr:rowOff>83344</xdr:rowOff>
    </xdr:to>
    <xdr:cxnSp macro="">
      <xdr:nvCxnSpPr>
        <xdr:cNvPr id="891" name="Connecteur droit avec flèche 890"/>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224</xdr:row>
      <xdr:rowOff>119063</xdr:rowOff>
    </xdr:from>
    <xdr:to>
      <xdr:col>12</xdr:col>
      <xdr:colOff>166688</xdr:colOff>
      <xdr:row>224</xdr:row>
      <xdr:rowOff>119064</xdr:rowOff>
    </xdr:to>
    <xdr:cxnSp macro="">
      <xdr:nvCxnSpPr>
        <xdr:cNvPr id="892" name="Connecteur droit avec flèche 891"/>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226</xdr:row>
      <xdr:rowOff>130972</xdr:rowOff>
    </xdr:from>
    <xdr:to>
      <xdr:col>14</xdr:col>
      <xdr:colOff>190500</xdr:colOff>
      <xdr:row>227</xdr:row>
      <xdr:rowOff>119063</xdr:rowOff>
    </xdr:to>
    <xdr:cxnSp macro="">
      <xdr:nvCxnSpPr>
        <xdr:cNvPr id="893" name="Connecteur droit avec flèche 892"/>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226</xdr:row>
      <xdr:rowOff>119063</xdr:rowOff>
    </xdr:from>
    <xdr:to>
      <xdr:col>14</xdr:col>
      <xdr:colOff>83344</xdr:colOff>
      <xdr:row>226</xdr:row>
      <xdr:rowOff>119063</xdr:rowOff>
    </xdr:to>
    <xdr:cxnSp macro="">
      <xdr:nvCxnSpPr>
        <xdr:cNvPr id="894" name="Connecteur droit avec flèche 893"/>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224</xdr:row>
      <xdr:rowOff>107156</xdr:rowOff>
    </xdr:from>
    <xdr:to>
      <xdr:col>14</xdr:col>
      <xdr:colOff>107157</xdr:colOff>
      <xdr:row>224</xdr:row>
      <xdr:rowOff>107157</xdr:rowOff>
    </xdr:to>
    <xdr:cxnSp macro="">
      <xdr:nvCxnSpPr>
        <xdr:cNvPr id="895" name="Connecteur droit avec flèche 894"/>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224</xdr:row>
      <xdr:rowOff>107158</xdr:rowOff>
    </xdr:from>
    <xdr:to>
      <xdr:col>14</xdr:col>
      <xdr:colOff>226219</xdr:colOff>
      <xdr:row>225</xdr:row>
      <xdr:rowOff>130969</xdr:rowOff>
    </xdr:to>
    <xdr:cxnSp macro="">
      <xdr:nvCxnSpPr>
        <xdr:cNvPr id="896" name="Connecteur droit avec flèche 895"/>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222</xdr:row>
      <xdr:rowOff>107157</xdr:rowOff>
    </xdr:from>
    <xdr:to>
      <xdr:col>14</xdr:col>
      <xdr:colOff>107157</xdr:colOff>
      <xdr:row>222</xdr:row>
      <xdr:rowOff>107158</xdr:rowOff>
    </xdr:to>
    <xdr:cxnSp macro="">
      <xdr:nvCxnSpPr>
        <xdr:cNvPr id="897" name="Connecteur droit avec flèche 896"/>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222</xdr:row>
      <xdr:rowOff>107159</xdr:rowOff>
    </xdr:from>
    <xdr:to>
      <xdr:col>14</xdr:col>
      <xdr:colOff>226219</xdr:colOff>
      <xdr:row>223</xdr:row>
      <xdr:rowOff>130970</xdr:rowOff>
    </xdr:to>
    <xdr:cxnSp macro="">
      <xdr:nvCxnSpPr>
        <xdr:cNvPr id="898" name="Connecteur droit avec flèche 897"/>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42334</xdr:colOff>
      <xdr:row>270</xdr:row>
      <xdr:rowOff>130970</xdr:rowOff>
    </xdr:from>
    <xdr:to>
      <xdr:col>10</xdr:col>
      <xdr:colOff>119063</xdr:colOff>
      <xdr:row>272</xdr:row>
      <xdr:rowOff>84667</xdr:rowOff>
    </xdr:to>
    <xdr:cxnSp macro="">
      <xdr:nvCxnSpPr>
        <xdr:cNvPr id="900" name="Connecteur droit avec flèche 899"/>
        <xdr:cNvCxnSpPr/>
      </xdr:nvCxnSpPr>
      <xdr:spPr>
        <a:xfrm flipV="1">
          <a:off x="8149167" y="27753470"/>
          <a:ext cx="838729" cy="33469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63500</xdr:colOff>
      <xdr:row>271</xdr:row>
      <xdr:rowOff>119063</xdr:rowOff>
    </xdr:from>
    <xdr:to>
      <xdr:col>10</xdr:col>
      <xdr:colOff>107156</xdr:colOff>
      <xdr:row>272</xdr:row>
      <xdr:rowOff>95250</xdr:rowOff>
    </xdr:to>
    <xdr:cxnSp macro="">
      <xdr:nvCxnSpPr>
        <xdr:cNvPr id="901" name="Connecteur droit avec flèche 900"/>
        <xdr:cNvCxnSpPr/>
      </xdr:nvCxnSpPr>
      <xdr:spPr>
        <a:xfrm flipV="1">
          <a:off x="8170333" y="27932063"/>
          <a:ext cx="805656"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270</xdr:row>
      <xdr:rowOff>0</xdr:rowOff>
    </xdr:from>
    <xdr:to>
      <xdr:col>12</xdr:col>
      <xdr:colOff>166688</xdr:colOff>
      <xdr:row>270</xdr:row>
      <xdr:rowOff>83344</xdr:rowOff>
    </xdr:to>
    <xdr:cxnSp macro="">
      <xdr:nvCxnSpPr>
        <xdr:cNvPr id="902" name="Connecteur droit avec flèche 901"/>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270</xdr:row>
      <xdr:rowOff>119063</xdr:rowOff>
    </xdr:from>
    <xdr:to>
      <xdr:col>12</xdr:col>
      <xdr:colOff>166688</xdr:colOff>
      <xdr:row>270</xdr:row>
      <xdr:rowOff>119064</xdr:rowOff>
    </xdr:to>
    <xdr:cxnSp macro="">
      <xdr:nvCxnSpPr>
        <xdr:cNvPr id="903" name="Connecteur droit avec flèche 902"/>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271</xdr:row>
      <xdr:rowOff>130972</xdr:rowOff>
    </xdr:from>
    <xdr:to>
      <xdr:col>14</xdr:col>
      <xdr:colOff>190500</xdr:colOff>
      <xdr:row>272</xdr:row>
      <xdr:rowOff>119063</xdr:rowOff>
    </xdr:to>
    <xdr:cxnSp macro="">
      <xdr:nvCxnSpPr>
        <xdr:cNvPr id="905" name="Connecteur droit avec flèche 904"/>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271</xdr:row>
      <xdr:rowOff>119063</xdr:rowOff>
    </xdr:from>
    <xdr:to>
      <xdr:col>14</xdr:col>
      <xdr:colOff>83344</xdr:colOff>
      <xdr:row>271</xdr:row>
      <xdr:rowOff>119063</xdr:rowOff>
    </xdr:to>
    <xdr:cxnSp macro="">
      <xdr:nvCxnSpPr>
        <xdr:cNvPr id="906" name="Connecteur droit avec flèche 905"/>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270</xdr:row>
      <xdr:rowOff>107156</xdr:rowOff>
    </xdr:from>
    <xdr:to>
      <xdr:col>14</xdr:col>
      <xdr:colOff>107157</xdr:colOff>
      <xdr:row>270</xdr:row>
      <xdr:rowOff>107157</xdr:rowOff>
    </xdr:to>
    <xdr:cxnSp macro="">
      <xdr:nvCxnSpPr>
        <xdr:cNvPr id="907" name="Connecteur droit avec flèche 906"/>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266</xdr:row>
      <xdr:rowOff>130969</xdr:rowOff>
    </xdr:from>
    <xdr:to>
      <xdr:col>10</xdr:col>
      <xdr:colOff>119063</xdr:colOff>
      <xdr:row>267</xdr:row>
      <xdr:rowOff>107156</xdr:rowOff>
    </xdr:to>
    <xdr:cxnSp macro="">
      <xdr:nvCxnSpPr>
        <xdr:cNvPr id="911" name="Connecteur droit avec flèche 910"/>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267</xdr:row>
      <xdr:rowOff>119063</xdr:rowOff>
    </xdr:from>
    <xdr:to>
      <xdr:col>10</xdr:col>
      <xdr:colOff>107156</xdr:colOff>
      <xdr:row>268</xdr:row>
      <xdr:rowOff>119063</xdr:rowOff>
    </xdr:to>
    <xdr:cxnSp macro="">
      <xdr:nvCxnSpPr>
        <xdr:cNvPr id="912" name="Connecteur droit avec flèche 911"/>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264</xdr:row>
      <xdr:rowOff>107156</xdr:rowOff>
    </xdr:from>
    <xdr:to>
      <xdr:col>12</xdr:col>
      <xdr:colOff>166688</xdr:colOff>
      <xdr:row>266</xdr:row>
      <xdr:rowOff>83344</xdr:rowOff>
    </xdr:to>
    <xdr:cxnSp macro="">
      <xdr:nvCxnSpPr>
        <xdr:cNvPr id="913" name="Connecteur droit avec flèche 912"/>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266</xdr:row>
      <xdr:rowOff>119063</xdr:rowOff>
    </xdr:from>
    <xdr:to>
      <xdr:col>12</xdr:col>
      <xdr:colOff>166688</xdr:colOff>
      <xdr:row>266</xdr:row>
      <xdr:rowOff>119064</xdr:rowOff>
    </xdr:to>
    <xdr:cxnSp macro="">
      <xdr:nvCxnSpPr>
        <xdr:cNvPr id="914" name="Connecteur droit avec flèche 913"/>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268</xdr:row>
      <xdr:rowOff>130972</xdr:rowOff>
    </xdr:from>
    <xdr:to>
      <xdr:col>14</xdr:col>
      <xdr:colOff>190500</xdr:colOff>
      <xdr:row>269</xdr:row>
      <xdr:rowOff>119063</xdr:rowOff>
    </xdr:to>
    <xdr:cxnSp macro="">
      <xdr:nvCxnSpPr>
        <xdr:cNvPr id="915" name="Connecteur droit avec flèche 914"/>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268</xdr:row>
      <xdr:rowOff>119063</xdr:rowOff>
    </xdr:from>
    <xdr:to>
      <xdr:col>14</xdr:col>
      <xdr:colOff>83344</xdr:colOff>
      <xdr:row>268</xdr:row>
      <xdr:rowOff>119063</xdr:rowOff>
    </xdr:to>
    <xdr:cxnSp macro="">
      <xdr:nvCxnSpPr>
        <xdr:cNvPr id="916" name="Connecteur droit avec flèche 915"/>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266</xdr:row>
      <xdr:rowOff>107156</xdr:rowOff>
    </xdr:from>
    <xdr:to>
      <xdr:col>14</xdr:col>
      <xdr:colOff>107157</xdr:colOff>
      <xdr:row>266</xdr:row>
      <xdr:rowOff>107157</xdr:rowOff>
    </xdr:to>
    <xdr:cxnSp macro="">
      <xdr:nvCxnSpPr>
        <xdr:cNvPr id="917" name="Connecteur droit avec flèche 916"/>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266</xdr:row>
      <xdr:rowOff>107158</xdr:rowOff>
    </xdr:from>
    <xdr:to>
      <xdr:col>14</xdr:col>
      <xdr:colOff>226219</xdr:colOff>
      <xdr:row>267</xdr:row>
      <xdr:rowOff>130969</xdr:rowOff>
    </xdr:to>
    <xdr:cxnSp macro="">
      <xdr:nvCxnSpPr>
        <xdr:cNvPr id="918" name="Connecteur droit avec flèche 917"/>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580761</xdr:colOff>
      <xdr:row>264</xdr:row>
      <xdr:rowOff>149491</xdr:rowOff>
    </xdr:from>
    <xdr:to>
      <xdr:col>14</xdr:col>
      <xdr:colOff>128324</xdr:colOff>
      <xdr:row>264</xdr:row>
      <xdr:rowOff>149492</xdr:rowOff>
    </xdr:to>
    <xdr:cxnSp macro="">
      <xdr:nvCxnSpPr>
        <xdr:cNvPr id="919" name="Connecteur droit avec flèche 918"/>
        <xdr:cNvCxnSpPr/>
      </xdr:nvCxnSpPr>
      <xdr:spPr>
        <a:xfrm flipV="1">
          <a:off x="10973594" y="26438491"/>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264</xdr:row>
      <xdr:rowOff>107159</xdr:rowOff>
    </xdr:from>
    <xdr:to>
      <xdr:col>14</xdr:col>
      <xdr:colOff>226219</xdr:colOff>
      <xdr:row>265</xdr:row>
      <xdr:rowOff>130970</xdr:rowOff>
    </xdr:to>
    <xdr:cxnSp macro="">
      <xdr:nvCxnSpPr>
        <xdr:cNvPr id="920" name="Connecteur droit avec flèche 919"/>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719667</xdr:colOff>
      <xdr:row>280</xdr:row>
      <xdr:rowOff>130970</xdr:rowOff>
    </xdr:from>
    <xdr:to>
      <xdr:col>10</xdr:col>
      <xdr:colOff>119063</xdr:colOff>
      <xdr:row>282</xdr:row>
      <xdr:rowOff>74083</xdr:rowOff>
    </xdr:to>
    <xdr:cxnSp macro="">
      <xdr:nvCxnSpPr>
        <xdr:cNvPr id="922" name="Connecteur droit avec flèche 921"/>
        <xdr:cNvCxnSpPr/>
      </xdr:nvCxnSpPr>
      <xdr:spPr>
        <a:xfrm flipV="1">
          <a:off x="8064500" y="29848970"/>
          <a:ext cx="923396" cy="3241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709084</xdr:colOff>
      <xdr:row>281</xdr:row>
      <xdr:rowOff>119063</xdr:rowOff>
    </xdr:from>
    <xdr:to>
      <xdr:col>10</xdr:col>
      <xdr:colOff>107156</xdr:colOff>
      <xdr:row>282</xdr:row>
      <xdr:rowOff>95250</xdr:rowOff>
    </xdr:to>
    <xdr:cxnSp macro="">
      <xdr:nvCxnSpPr>
        <xdr:cNvPr id="923" name="Connecteur droit avec flèche 922"/>
        <xdr:cNvCxnSpPr/>
      </xdr:nvCxnSpPr>
      <xdr:spPr>
        <a:xfrm flipV="1">
          <a:off x="8053917" y="30027563"/>
          <a:ext cx="922072"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280</xdr:row>
      <xdr:rowOff>0</xdr:rowOff>
    </xdr:from>
    <xdr:to>
      <xdr:col>12</xdr:col>
      <xdr:colOff>166688</xdr:colOff>
      <xdr:row>280</xdr:row>
      <xdr:rowOff>83344</xdr:rowOff>
    </xdr:to>
    <xdr:cxnSp macro="">
      <xdr:nvCxnSpPr>
        <xdr:cNvPr id="924" name="Connecteur droit avec flèche 923"/>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280</xdr:row>
      <xdr:rowOff>119063</xdr:rowOff>
    </xdr:from>
    <xdr:to>
      <xdr:col>12</xdr:col>
      <xdr:colOff>166688</xdr:colOff>
      <xdr:row>280</xdr:row>
      <xdr:rowOff>119064</xdr:rowOff>
    </xdr:to>
    <xdr:cxnSp macro="">
      <xdr:nvCxnSpPr>
        <xdr:cNvPr id="925" name="Connecteur droit avec flèche 924"/>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281</xdr:row>
      <xdr:rowOff>130972</xdr:rowOff>
    </xdr:from>
    <xdr:to>
      <xdr:col>14</xdr:col>
      <xdr:colOff>190500</xdr:colOff>
      <xdr:row>282</xdr:row>
      <xdr:rowOff>119063</xdr:rowOff>
    </xdr:to>
    <xdr:cxnSp macro="">
      <xdr:nvCxnSpPr>
        <xdr:cNvPr id="927" name="Connecteur droit avec flèche 926"/>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281</xdr:row>
      <xdr:rowOff>119063</xdr:rowOff>
    </xdr:from>
    <xdr:to>
      <xdr:col>14</xdr:col>
      <xdr:colOff>83344</xdr:colOff>
      <xdr:row>281</xdr:row>
      <xdr:rowOff>119063</xdr:rowOff>
    </xdr:to>
    <xdr:cxnSp macro="">
      <xdr:nvCxnSpPr>
        <xdr:cNvPr id="928" name="Connecteur droit avec flèche 927"/>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280</xdr:row>
      <xdr:rowOff>107156</xdr:rowOff>
    </xdr:from>
    <xdr:to>
      <xdr:col>14</xdr:col>
      <xdr:colOff>107157</xdr:colOff>
      <xdr:row>280</xdr:row>
      <xdr:rowOff>107157</xdr:rowOff>
    </xdr:to>
    <xdr:cxnSp macro="">
      <xdr:nvCxnSpPr>
        <xdr:cNvPr id="929" name="Connecteur droit avec flèche 928"/>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276</xdr:row>
      <xdr:rowOff>130969</xdr:rowOff>
    </xdr:from>
    <xdr:to>
      <xdr:col>10</xdr:col>
      <xdr:colOff>119063</xdr:colOff>
      <xdr:row>277</xdr:row>
      <xdr:rowOff>107156</xdr:rowOff>
    </xdr:to>
    <xdr:cxnSp macro="">
      <xdr:nvCxnSpPr>
        <xdr:cNvPr id="933" name="Connecteur droit avec flèche 932"/>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277</xdr:row>
      <xdr:rowOff>119063</xdr:rowOff>
    </xdr:from>
    <xdr:to>
      <xdr:col>10</xdr:col>
      <xdr:colOff>107156</xdr:colOff>
      <xdr:row>278</xdr:row>
      <xdr:rowOff>119063</xdr:rowOff>
    </xdr:to>
    <xdr:cxnSp macro="">
      <xdr:nvCxnSpPr>
        <xdr:cNvPr id="934" name="Connecteur droit avec flèche 933"/>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274</xdr:row>
      <xdr:rowOff>107156</xdr:rowOff>
    </xdr:from>
    <xdr:to>
      <xdr:col>12</xdr:col>
      <xdr:colOff>166688</xdr:colOff>
      <xdr:row>276</xdr:row>
      <xdr:rowOff>83344</xdr:rowOff>
    </xdr:to>
    <xdr:cxnSp macro="">
      <xdr:nvCxnSpPr>
        <xdr:cNvPr id="935" name="Connecteur droit avec flèche 934"/>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276</xdr:row>
      <xdr:rowOff>119063</xdr:rowOff>
    </xdr:from>
    <xdr:to>
      <xdr:col>12</xdr:col>
      <xdr:colOff>166688</xdr:colOff>
      <xdr:row>276</xdr:row>
      <xdr:rowOff>119064</xdr:rowOff>
    </xdr:to>
    <xdr:cxnSp macro="">
      <xdr:nvCxnSpPr>
        <xdr:cNvPr id="936" name="Connecteur droit avec flèche 935"/>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278</xdr:row>
      <xdr:rowOff>130972</xdr:rowOff>
    </xdr:from>
    <xdr:to>
      <xdr:col>14</xdr:col>
      <xdr:colOff>190500</xdr:colOff>
      <xdr:row>279</xdr:row>
      <xdr:rowOff>119063</xdr:rowOff>
    </xdr:to>
    <xdr:cxnSp macro="">
      <xdr:nvCxnSpPr>
        <xdr:cNvPr id="937" name="Connecteur droit avec flèche 936"/>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278</xdr:row>
      <xdr:rowOff>119063</xdr:rowOff>
    </xdr:from>
    <xdr:to>
      <xdr:col>14</xdr:col>
      <xdr:colOff>83344</xdr:colOff>
      <xdr:row>278</xdr:row>
      <xdr:rowOff>119063</xdr:rowOff>
    </xdr:to>
    <xdr:cxnSp macro="">
      <xdr:nvCxnSpPr>
        <xdr:cNvPr id="938" name="Connecteur droit avec flèche 937"/>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276</xdr:row>
      <xdr:rowOff>107156</xdr:rowOff>
    </xdr:from>
    <xdr:to>
      <xdr:col>14</xdr:col>
      <xdr:colOff>107157</xdr:colOff>
      <xdr:row>276</xdr:row>
      <xdr:rowOff>107157</xdr:rowOff>
    </xdr:to>
    <xdr:cxnSp macro="">
      <xdr:nvCxnSpPr>
        <xdr:cNvPr id="939" name="Connecteur droit avec flèche 938"/>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276</xdr:row>
      <xdr:rowOff>107158</xdr:rowOff>
    </xdr:from>
    <xdr:to>
      <xdr:col>14</xdr:col>
      <xdr:colOff>226219</xdr:colOff>
      <xdr:row>277</xdr:row>
      <xdr:rowOff>130969</xdr:rowOff>
    </xdr:to>
    <xdr:cxnSp macro="">
      <xdr:nvCxnSpPr>
        <xdr:cNvPr id="940" name="Connecteur droit avec flèche 939"/>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274</xdr:row>
      <xdr:rowOff>107157</xdr:rowOff>
    </xdr:from>
    <xdr:to>
      <xdr:col>14</xdr:col>
      <xdr:colOff>107157</xdr:colOff>
      <xdr:row>274</xdr:row>
      <xdr:rowOff>107158</xdr:rowOff>
    </xdr:to>
    <xdr:cxnSp macro="">
      <xdr:nvCxnSpPr>
        <xdr:cNvPr id="941" name="Connecteur droit avec flèche 940"/>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274</xdr:row>
      <xdr:rowOff>107159</xdr:rowOff>
    </xdr:from>
    <xdr:to>
      <xdr:col>14</xdr:col>
      <xdr:colOff>226219</xdr:colOff>
      <xdr:row>275</xdr:row>
      <xdr:rowOff>130970</xdr:rowOff>
    </xdr:to>
    <xdr:cxnSp macro="">
      <xdr:nvCxnSpPr>
        <xdr:cNvPr id="942" name="Connecteur droit avec flèche 941"/>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486834</xdr:colOff>
      <xdr:row>300</xdr:row>
      <xdr:rowOff>130970</xdr:rowOff>
    </xdr:from>
    <xdr:to>
      <xdr:col>10</xdr:col>
      <xdr:colOff>119063</xdr:colOff>
      <xdr:row>302</xdr:row>
      <xdr:rowOff>74083</xdr:rowOff>
    </xdr:to>
    <xdr:cxnSp macro="">
      <xdr:nvCxnSpPr>
        <xdr:cNvPr id="944" name="Connecteur droit avec flèche 943"/>
        <xdr:cNvCxnSpPr/>
      </xdr:nvCxnSpPr>
      <xdr:spPr>
        <a:xfrm flipV="1">
          <a:off x="7831667" y="31944470"/>
          <a:ext cx="1156229" cy="3241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476250</xdr:colOff>
      <xdr:row>301</xdr:row>
      <xdr:rowOff>119063</xdr:rowOff>
    </xdr:from>
    <xdr:to>
      <xdr:col>10</xdr:col>
      <xdr:colOff>107156</xdr:colOff>
      <xdr:row>302</xdr:row>
      <xdr:rowOff>63500</xdr:rowOff>
    </xdr:to>
    <xdr:cxnSp macro="">
      <xdr:nvCxnSpPr>
        <xdr:cNvPr id="945" name="Connecteur droit avec flèche 944"/>
        <xdr:cNvCxnSpPr/>
      </xdr:nvCxnSpPr>
      <xdr:spPr>
        <a:xfrm flipV="1">
          <a:off x="7821083" y="32123063"/>
          <a:ext cx="1154906" cy="13493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300</xdr:row>
      <xdr:rowOff>0</xdr:rowOff>
    </xdr:from>
    <xdr:to>
      <xdr:col>12</xdr:col>
      <xdr:colOff>166688</xdr:colOff>
      <xdr:row>300</xdr:row>
      <xdr:rowOff>83344</xdr:rowOff>
    </xdr:to>
    <xdr:cxnSp macro="">
      <xdr:nvCxnSpPr>
        <xdr:cNvPr id="946" name="Connecteur droit avec flèche 945"/>
        <xdr:cNvCxnSpPr/>
      </xdr:nvCxnSpPr>
      <xdr:spPr>
        <a:xfrm flipV="1">
          <a:off x="9501187" y="3536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300</xdr:row>
      <xdr:rowOff>119063</xdr:rowOff>
    </xdr:from>
    <xdr:to>
      <xdr:col>12</xdr:col>
      <xdr:colOff>166688</xdr:colOff>
      <xdr:row>300</xdr:row>
      <xdr:rowOff>119064</xdr:rowOff>
    </xdr:to>
    <xdr:cxnSp macro="">
      <xdr:nvCxnSpPr>
        <xdr:cNvPr id="947" name="Connecteur droit avec flèche 946"/>
        <xdr:cNvCxnSpPr/>
      </xdr:nvCxnSpPr>
      <xdr:spPr>
        <a:xfrm flipV="1">
          <a:off x="9477375" y="3929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301</xdr:row>
      <xdr:rowOff>130972</xdr:rowOff>
    </xdr:from>
    <xdr:to>
      <xdr:col>14</xdr:col>
      <xdr:colOff>190500</xdr:colOff>
      <xdr:row>302</xdr:row>
      <xdr:rowOff>119063</xdr:rowOff>
    </xdr:to>
    <xdr:cxnSp macro="">
      <xdr:nvCxnSpPr>
        <xdr:cNvPr id="949" name="Connecteur droit avec flèche 948"/>
        <xdr:cNvCxnSpPr/>
      </xdr:nvCxnSpPr>
      <xdr:spPr>
        <a:xfrm>
          <a:off x="9465469" y="4321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301</xdr:row>
      <xdr:rowOff>119063</xdr:rowOff>
    </xdr:from>
    <xdr:to>
      <xdr:col>14</xdr:col>
      <xdr:colOff>83344</xdr:colOff>
      <xdr:row>301</xdr:row>
      <xdr:rowOff>119063</xdr:rowOff>
    </xdr:to>
    <xdr:cxnSp macro="">
      <xdr:nvCxnSpPr>
        <xdr:cNvPr id="950" name="Connecteur droit avec flèche 949"/>
        <xdr:cNvCxnSpPr/>
      </xdr:nvCxnSpPr>
      <xdr:spPr>
        <a:xfrm>
          <a:off x="9465469" y="4310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300</xdr:row>
      <xdr:rowOff>107156</xdr:rowOff>
    </xdr:from>
    <xdr:to>
      <xdr:col>14</xdr:col>
      <xdr:colOff>107157</xdr:colOff>
      <xdr:row>300</xdr:row>
      <xdr:rowOff>107157</xdr:rowOff>
    </xdr:to>
    <xdr:cxnSp macro="">
      <xdr:nvCxnSpPr>
        <xdr:cNvPr id="951" name="Connecteur droit avec flèche 950"/>
        <xdr:cNvCxnSpPr/>
      </xdr:nvCxnSpPr>
      <xdr:spPr>
        <a:xfrm flipV="1">
          <a:off x="10941844" y="3917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296</xdr:row>
      <xdr:rowOff>130969</xdr:rowOff>
    </xdr:from>
    <xdr:to>
      <xdr:col>10</xdr:col>
      <xdr:colOff>119063</xdr:colOff>
      <xdr:row>297</xdr:row>
      <xdr:rowOff>107156</xdr:rowOff>
    </xdr:to>
    <xdr:cxnSp macro="">
      <xdr:nvCxnSpPr>
        <xdr:cNvPr id="955" name="Connecteur droit avec flèche 954"/>
        <xdr:cNvCxnSpPr/>
      </xdr:nvCxnSpPr>
      <xdr:spPr>
        <a:xfrm flipV="1">
          <a:off x="8036719" y="2797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297</xdr:row>
      <xdr:rowOff>119063</xdr:rowOff>
    </xdr:from>
    <xdr:to>
      <xdr:col>10</xdr:col>
      <xdr:colOff>107156</xdr:colOff>
      <xdr:row>298</xdr:row>
      <xdr:rowOff>119063</xdr:rowOff>
    </xdr:to>
    <xdr:cxnSp macro="">
      <xdr:nvCxnSpPr>
        <xdr:cNvPr id="956" name="Connecteur droit avec flèche 955"/>
        <xdr:cNvCxnSpPr/>
      </xdr:nvCxnSpPr>
      <xdr:spPr>
        <a:xfrm>
          <a:off x="8048625" y="2976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294</xdr:row>
      <xdr:rowOff>107156</xdr:rowOff>
    </xdr:from>
    <xdr:to>
      <xdr:col>12</xdr:col>
      <xdr:colOff>166688</xdr:colOff>
      <xdr:row>296</xdr:row>
      <xdr:rowOff>83344</xdr:rowOff>
    </xdr:to>
    <xdr:cxnSp macro="">
      <xdr:nvCxnSpPr>
        <xdr:cNvPr id="957" name="Connecteur droit avec flèche 956"/>
        <xdr:cNvCxnSpPr/>
      </xdr:nvCxnSpPr>
      <xdr:spPr>
        <a:xfrm flipV="1">
          <a:off x="9501187" y="2393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296</xdr:row>
      <xdr:rowOff>119063</xdr:rowOff>
    </xdr:from>
    <xdr:to>
      <xdr:col>12</xdr:col>
      <xdr:colOff>166688</xdr:colOff>
      <xdr:row>296</xdr:row>
      <xdr:rowOff>119064</xdr:rowOff>
    </xdr:to>
    <xdr:cxnSp macro="">
      <xdr:nvCxnSpPr>
        <xdr:cNvPr id="958" name="Connecteur droit avec flèche 957"/>
        <xdr:cNvCxnSpPr/>
      </xdr:nvCxnSpPr>
      <xdr:spPr>
        <a:xfrm flipV="1">
          <a:off x="9477375" y="2786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298</xdr:row>
      <xdr:rowOff>130972</xdr:rowOff>
    </xdr:from>
    <xdr:to>
      <xdr:col>14</xdr:col>
      <xdr:colOff>190500</xdr:colOff>
      <xdr:row>299</xdr:row>
      <xdr:rowOff>119063</xdr:rowOff>
    </xdr:to>
    <xdr:cxnSp macro="">
      <xdr:nvCxnSpPr>
        <xdr:cNvPr id="959" name="Connecteur droit avec flèche 958"/>
        <xdr:cNvCxnSpPr/>
      </xdr:nvCxnSpPr>
      <xdr:spPr>
        <a:xfrm>
          <a:off x="9465469" y="3178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298</xdr:row>
      <xdr:rowOff>119063</xdr:rowOff>
    </xdr:from>
    <xdr:to>
      <xdr:col>14</xdr:col>
      <xdr:colOff>83344</xdr:colOff>
      <xdr:row>298</xdr:row>
      <xdr:rowOff>119063</xdr:rowOff>
    </xdr:to>
    <xdr:cxnSp macro="">
      <xdr:nvCxnSpPr>
        <xdr:cNvPr id="960" name="Connecteur droit avec flèche 959"/>
        <xdr:cNvCxnSpPr/>
      </xdr:nvCxnSpPr>
      <xdr:spPr>
        <a:xfrm>
          <a:off x="9465469" y="3167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296</xdr:row>
      <xdr:rowOff>107156</xdr:rowOff>
    </xdr:from>
    <xdr:to>
      <xdr:col>14</xdr:col>
      <xdr:colOff>107157</xdr:colOff>
      <xdr:row>296</xdr:row>
      <xdr:rowOff>107157</xdr:rowOff>
    </xdr:to>
    <xdr:cxnSp macro="">
      <xdr:nvCxnSpPr>
        <xdr:cNvPr id="961" name="Connecteur droit avec flèche 960"/>
        <xdr:cNvCxnSpPr/>
      </xdr:nvCxnSpPr>
      <xdr:spPr>
        <a:xfrm flipV="1">
          <a:off x="10941844" y="2774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296</xdr:row>
      <xdr:rowOff>107158</xdr:rowOff>
    </xdr:from>
    <xdr:to>
      <xdr:col>14</xdr:col>
      <xdr:colOff>226219</xdr:colOff>
      <xdr:row>297</xdr:row>
      <xdr:rowOff>130969</xdr:rowOff>
    </xdr:to>
    <xdr:cxnSp macro="">
      <xdr:nvCxnSpPr>
        <xdr:cNvPr id="962" name="Connecteur droit avec flèche 961"/>
        <xdr:cNvCxnSpPr/>
      </xdr:nvCxnSpPr>
      <xdr:spPr>
        <a:xfrm>
          <a:off x="10918031" y="2774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294</xdr:row>
      <xdr:rowOff>107157</xdr:rowOff>
    </xdr:from>
    <xdr:to>
      <xdr:col>14</xdr:col>
      <xdr:colOff>107157</xdr:colOff>
      <xdr:row>294</xdr:row>
      <xdr:rowOff>107158</xdr:rowOff>
    </xdr:to>
    <xdr:cxnSp macro="">
      <xdr:nvCxnSpPr>
        <xdr:cNvPr id="963" name="Connecteur droit avec flèche 962"/>
        <xdr:cNvCxnSpPr/>
      </xdr:nvCxnSpPr>
      <xdr:spPr>
        <a:xfrm flipV="1">
          <a:off x="10941844" y="2393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294</xdr:row>
      <xdr:rowOff>107159</xdr:rowOff>
    </xdr:from>
    <xdr:to>
      <xdr:col>14</xdr:col>
      <xdr:colOff>226219</xdr:colOff>
      <xdr:row>295</xdr:row>
      <xdr:rowOff>130970</xdr:rowOff>
    </xdr:to>
    <xdr:cxnSp macro="">
      <xdr:nvCxnSpPr>
        <xdr:cNvPr id="964" name="Connecteur droit avec flèche 963"/>
        <xdr:cNvCxnSpPr/>
      </xdr:nvCxnSpPr>
      <xdr:spPr>
        <a:xfrm>
          <a:off x="10918031" y="2393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1345406</xdr:colOff>
      <xdr:row>38</xdr:row>
      <xdr:rowOff>95248</xdr:rowOff>
    </xdr:from>
    <xdr:to>
      <xdr:col>8</xdr:col>
      <xdr:colOff>214313</xdr:colOff>
      <xdr:row>38</xdr:row>
      <xdr:rowOff>107155</xdr:rowOff>
    </xdr:to>
    <xdr:cxnSp macro="">
      <xdr:nvCxnSpPr>
        <xdr:cNvPr id="965" name="Connecteur droit avec flèche 964"/>
        <xdr:cNvCxnSpPr/>
      </xdr:nvCxnSpPr>
      <xdr:spPr>
        <a:xfrm>
          <a:off x="6536531" y="7334248"/>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29</xdr:row>
      <xdr:rowOff>107156</xdr:rowOff>
    </xdr:from>
    <xdr:to>
      <xdr:col>8</xdr:col>
      <xdr:colOff>202406</xdr:colOff>
      <xdr:row>38</xdr:row>
      <xdr:rowOff>71436</xdr:rowOff>
    </xdr:to>
    <xdr:cxnSp macro="">
      <xdr:nvCxnSpPr>
        <xdr:cNvPr id="966" name="Connecteur droit avec flèche 965"/>
        <xdr:cNvCxnSpPr/>
      </xdr:nvCxnSpPr>
      <xdr:spPr>
        <a:xfrm flipV="1">
          <a:off x="6512719" y="5631656"/>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35</xdr:row>
      <xdr:rowOff>83342</xdr:rowOff>
    </xdr:from>
    <xdr:to>
      <xdr:col>8</xdr:col>
      <xdr:colOff>59531</xdr:colOff>
      <xdr:row>38</xdr:row>
      <xdr:rowOff>71436</xdr:rowOff>
    </xdr:to>
    <xdr:cxnSp macro="">
      <xdr:nvCxnSpPr>
        <xdr:cNvPr id="967" name="Connecteur droit avec flèche 966"/>
        <xdr:cNvCxnSpPr/>
      </xdr:nvCxnSpPr>
      <xdr:spPr>
        <a:xfrm flipV="1">
          <a:off x="6512719" y="6750842"/>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1357312</xdr:colOff>
      <xdr:row>66</xdr:row>
      <xdr:rowOff>83342</xdr:rowOff>
    </xdr:from>
    <xdr:to>
      <xdr:col>8</xdr:col>
      <xdr:colOff>226219</xdr:colOff>
      <xdr:row>66</xdr:row>
      <xdr:rowOff>95249</xdr:rowOff>
    </xdr:to>
    <xdr:cxnSp macro="">
      <xdr:nvCxnSpPr>
        <xdr:cNvPr id="968" name="Connecteur droit avec flèche 967"/>
        <xdr:cNvCxnSpPr/>
      </xdr:nvCxnSpPr>
      <xdr:spPr>
        <a:xfrm>
          <a:off x="6548437" y="9989342"/>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57</xdr:row>
      <xdr:rowOff>95250</xdr:rowOff>
    </xdr:from>
    <xdr:to>
      <xdr:col>8</xdr:col>
      <xdr:colOff>214312</xdr:colOff>
      <xdr:row>66</xdr:row>
      <xdr:rowOff>59530</xdr:rowOff>
    </xdr:to>
    <xdr:cxnSp macro="">
      <xdr:nvCxnSpPr>
        <xdr:cNvPr id="969" name="Connecteur droit avec flèche 968"/>
        <xdr:cNvCxnSpPr/>
      </xdr:nvCxnSpPr>
      <xdr:spPr>
        <a:xfrm flipV="1">
          <a:off x="6524625" y="8286750"/>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63</xdr:row>
      <xdr:rowOff>71436</xdr:rowOff>
    </xdr:from>
    <xdr:to>
      <xdr:col>8</xdr:col>
      <xdr:colOff>71437</xdr:colOff>
      <xdr:row>66</xdr:row>
      <xdr:rowOff>59530</xdr:rowOff>
    </xdr:to>
    <xdr:cxnSp macro="">
      <xdr:nvCxnSpPr>
        <xdr:cNvPr id="970" name="Connecteur droit avec flèche 969"/>
        <xdr:cNvCxnSpPr/>
      </xdr:nvCxnSpPr>
      <xdr:spPr>
        <a:xfrm flipV="1">
          <a:off x="6524625" y="9405936"/>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1345406</xdr:colOff>
      <xdr:row>108</xdr:row>
      <xdr:rowOff>83342</xdr:rowOff>
    </xdr:from>
    <xdr:to>
      <xdr:col>8</xdr:col>
      <xdr:colOff>214313</xdr:colOff>
      <xdr:row>108</xdr:row>
      <xdr:rowOff>95249</xdr:rowOff>
    </xdr:to>
    <xdr:cxnSp macro="">
      <xdr:nvCxnSpPr>
        <xdr:cNvPr id="971" name="Connecteur droit avec flèche 970"/>
        <xdr:cNvCxnSpPr/>
      </xdr:nvCxnSpPr>
      <xdr:spPr>
        <a:xfrm>
          <a:off x="6536531" y="12656342"/>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99</xdr:row>
      <xdr:rowOff>95250</xdr:rowOff>
    </xdr:from>
    <xdr:to>
      <xdr:col>8</xdr:col>
      <xdr:colOff>202406</xdr:colOff>
      <xdr:row>108</xdr:row>
      <xdr:rowOff>59530</xdr:rowOff>
    </xdr:to>
    <xdr:cxnSp macro="">
      <xdr:nvCxnSpPr>
        <xdr:cNvPr id="972" name="Connecteur droit avec flèche 971"/>
        <xdr:cNvCxnSpPr/>
      </xdr:nvCxnSpPr>
      <xdr:spPr>
        <a:xfrm flipV="1">
          <a:off x="6512719" y="10953750"/>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105</xdr:row>
      <xdr:rowOff>71436</xdr:rowOff>
    </xdr:from>
    <xdr:to>
      <xdr:col>8</xdr:col>
      <xdr:colOff>59531</xdr:colOff>
      <xdr:row>108</xdr:row>
      <xdr:rowOff>59530</xdr:rowOff>
    </xdr:to>
    <xdr:cxnSp macro="">
      <xdr:nvCxnSpPr>
        <xdr:cNvPr id="973" name="Connecteur droit avec flèche 972"/>
        <xdr:cNvCxnSpPr/>
      </xdr:nvCxnSpPr>
      <xdr:spPr>
        <a:xfrm flipV="1">
          <a:off x="6512719" y="12072936"/>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122</xdr:row>
      <xdr:rowOff>83342</xdr:rowOff>
    </xdr:from>
    <xdr:to>
      <xdr:col>8</xdr:col>
      <xdr:colOff>190501</xdr:colOff>
      <xdr:row>122</xdr:row>
      <xdr:rowOff>95249</xdr:rowOff>
    </xdr:to>
    <xdr:cxnSp macro="">
      <xdr:nvCxnSpPr>
        <xdr:cNvPr id="974" name="Connecteur droit avec flèche 973"/>
        <xdr:cNvCxnSpPr/>
      </xdr:nvCxnSpPr>
      <xdr:spPr>
        <a:xfrm>
          <a:off x="6512719" y="15323342"/>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1297782</xdr:colOff>
      <xdr:row>113</xdr:row>
      <xdr:rowOff>95250</xdr:rowOff>
    </xdr:from>
    <xdr:to>
      <xdr:col>8</xdr:col>
      <xdr:colOff>178594</xdr:colOff>
      <xdr:row>122</xdr:row>
      <xdr:rowOff>59530</xdr:rowOff>
    </xdr:to>
    <xdr:cxnSp macro="">
      <xdr:nvCxnSpPr>
        <xdr:cNvPr id="975" name="Connecteur droit avec flèche 974"/>
        <xdr:cNvCxnSpPr/>
      </xdr:nvCxnSpPr>
      <xdr:spPr>
        <a:xfrm flipV="1">
          <a:off x="6488907" y="13620750"/>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1297782</xdr:colOff>
      <xdr:row>119</xdr:row>
      <xdr:rowOff>71436</xdr:rowOff>
    </xdr:from>
    <xdr:to>
      <xdr:col>8</xdr:col>
      <xdr:colOff>35719</xdr:colOff>
      <xdr:row>122</xdr:row>
      <xdr:rowOff>59530</xdr:rowOff>
    </xdr:to>
    <xdr:cxnSp macro="">
      <xdr:nvCxnSpPr>
        <xdr:cNvPr id="976" name="Connecteur droit avec flèche 975"/>
        <xdr:cNvCxnSpPr/>
      </xdr:nvCxnSpPr>
      <xdr:spPr>
        <a:xfrm flipV="1">
          <a:off x="6488907" y="14739936"/>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1345406</xdr:colOff>
      <xdr:row>150</xdr:row>
      <xdr:rowOff>71436</xdr:rowOff>
    </xdr:from>
    <xdr:to>
      <xdr:col>8</xdr:col>
      <xdr:colOff>214313</xdr:colOff>
      <xdr:row>150</xdr:row>
      <xdr:rowOff>83343</xdr:rowOff>
    </xdr:to>
    <xdr:cxnSp macro="">
      <xdr:nvCxnSpPr>
        <xdr:cNvPr id="977" name="Connecteur droit avec flèche 976"/>
        <xdr:cNvCxnSpPr/>
      </xdr:nvCxnSpPr>
      <xdr:spPr>
        <a:xfrm>
          <a:off x="6536531" y="17978436"/>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141</xdr:row>
      <xdr:rowOff>83344</xdr:rowOff>
    </xdr:from>
    <xdr:to>
      <xdr:col>8</xdr:col>
      <xdr:colOff>202406</xdr:colOff>
      <xdr:row>150</xdr:row>
      <xdr:rowOff>47624</xdr:rowOff>
    </xdr:to>
    <xdr:cxnSp macro="">
      <xdr:nvCxnSpPr>
        <xdr:cNvPr id="978" name="Connecteur droit avec flèche 977"/>
        <xdr:cNvCxnSpPr/>
      </xdr:nvCxnSpPr>
      <xdr:spPr>
        <a:xfrm flipV="1">
          <a:off x="6512719" y="16275844"/>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1321594</xdr:colOff>
      <xdr:row>147</xdr:row>
      <xdr:rowOff>59530</xdr:rowOff>
    </xdr:from>
    <xdr:to>
      <xdr:col>8</xdr:col>
      <xdr:colOff>59531</xdr:colOff>
      <xdr:row>150</xdr:row>
      <xdr:rowOff>47624</xdr:rowOff>
    </xdr:to>
    <xdr:cxnSp macro="">
      <xdr:nvCxnSpPr>
        <xdr:cNvPr id="979" name="Connecteur droit avec flèche 978"/>
        <xdr:cNvCxnSpPr/>
      </xdr:nvCxnSpPr>
      <xdr:spPr>
        <a:xfrm flipV="1">
          <a:off x="6512719" y="17395030"/>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1273968</xdr:colOff>
      <xdr:row>192</xdr:row>
      <xdr:rowOff>83342</xdr:rowOff>
    </xdr:from>
    <xdr:to>
      <xdr:col>8</xdr:col>
      <xdr:colOff>142875</xdr:colOff>
      <xdr:row>192</xdr:row>
      <xdr:rowOff>95249</xdr:rowOff>
    </xdr:to>
    <xdr:cxnSp macro="">
      <xdr:nvCxnSpPr>
        <xdr:cNvPr id="980" name="Connecteur droit avec flèche 979"/>
        <xdr:cNvCxnSpPr/>
      </xdr:nvCxnSpPr>
      <xdr:spPr>
        <a:xfrm>
          <a:off x="6465093" y="20657342"/>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1250156</xdr:colOff>
      <xdr:row>183</xdr:row>
      <xdr:rowOff>95250</xdr:rowOff>
    </xdr:from>
    <xdr:to>
      <xdr:col>8</xdr:col>
      <xdr:colOff>130968</xdr:colOff>
      <xdr:row>192</xdr:row>
      <xdr:rowOff>59530</xdr:rowOff>
    </xdr:to>
    <xdr:cxnSp macro="">
      <xdr:nvCxnSpPr>
        <xdr:cNvPr id="981" name="Connecteur droit avec flèche 980"/>
        <xdr:cNvCxnSpPr/>
      </xdr:nvCxnSpPr>
      <xdr:spPr>
        <a:xfrm flipV="1">
          <a:off x="6441281" y="18954750"/>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1250156</xdr:colOff>
      <xdr:row>189</xdr:row>
      <xdr:rowOff>71436</xdr:rowOff>
    </xdr:from>
    <xdr:to>
      <xdr:col>7</xdr:col>
      <xdr:colOff>750093</xdr:colOff>
      <xdr:row>192</xdr:row>
      <xdr:rowOff>59530</xdr:rowOff>
    </xdr:to>
    <xdr:cxnSp macro="">
      <xdr:nvCxnSpPr>
        <xdr:cNvPr id="982" name="Connecteur droit avec flèche 981"/>
        <xdr:cNvCxnSpPr/>
      </xdr:nvCxnSpPr>
      <xdr:spPr>
        <a:xfrm flipV="1">
          <a:off x="6441281" y="20073936"/>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1309687</xdr:colOff>
      <xdr:row>206</xdr:row>
      <xdr:rowOff>107154</xdr:rowOff>
    </xdr:from>
    <xdr:to>
      <xdr:col>8</xdr:col>
      <xdr:colOff>178594</xdr:colOff>
      <xdr:row>206</xdr:row>
      <xdr:rowOff>119061</xdr:rowOff>
    </xdr:to>
    <xdr:cxnSp macro="">
      <xdr:nvCxnSpPr>
        <xdr:cNvPr id="983" name="Connecteur droit avec flèche 982"/>
        <xdr:cNvCxnSpPr/>
      </xdr:nvCxnSpPr>
      <xdr:spPr>
        <a:xfrm>
          <a:off x="6500812" y="23348154"/>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1285875</xdr:colOff>
      <xdr:row>197</xdr:row>
      <xdr:rowOff>119062</xdr:rowOff>
    </xdr:from>
    <xdr:to>
      <xdr:col>8</xdr:col>
      <xdr:colOff>166687</xdr:colOff>
      <xdr:row>206</xdr:row>
      <xdr:rowOff>83342</xdr:rowOff>
    </xdr:to>
    <xdr:cxnSp macro="">
      <xdr:nvCxnSpPr>
        <xdr:cNvPr id="984" name="Connecteur droit avec flèche 983"/>
        <xdr:cNvCxnSpPr/>
      </xdr:nvCxnSpPr>
      <xdr:spPr>
        <a:xfrm flipV="1">
          <a:off x="6477000" y="21645562"/>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1285875</xdr:colOff>
      <xdr:row>203</xdr:row>
      <xdr:rowOff>95248</xdr:rowOff>
    </xdr:from>
    <xdr:to>
      <xdr:col>8</xdr:col>
      <xdr:colOff>23812</xdr:colOff>
      <xdr:row>206</xdr:row>
      <xdr:rowOff>83342</xdr:rowOff>
    </xdr:to>
    <xdr:cxnSp macro="">
      <xdr:nvCxnSpPr>
        <xdr:cNvPr id="985" name="Connecteur droit avec flèche 984"/>
        <xdr:cNvCxnSpPr/>
      </xdr:nvCxnSpPr>
      <xdr:spPr>
        <a:xfrm flipV="1">
          <a:off x="6477000" y="22764748"/>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1357312</xdr:colOff>
      <xdr:row>234</xdr:row>
      <xdr:rowOff>35717</xdr:rowOff>
    </xdr:from>
    <xdr:to>
      <xdr:col>8</xdr:col>
      <xdr:colOff>226219</xdr:colOff>
      <xdr:row>234</xdr:row>
      <xdr:rowOff>47624</xdr:rowOff>
    </xdr:to>
    <xdr:cxnSp macro="">
      <xdr:nvCxnSpPr>
        <xdr:cNvPr id="986" name="Connecteur droit avec flèche 985"/>
        <xdr:cNvCxnSpPr/>
      </xdr:nvCxnSpPr>
      <xdr:spPr>
        <a:xfrm>
          <a:off x="6548437" y="25943717"/>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225</xdr:row>
      <xdr:rowOff>47625</xdr:rowOff>
    </xdr:from>
    <xdr:to>
      <xdr:col>8</xdr:col>
      <xdr:colOff>214312</xdr:colOff>
      <xdr:row>234</xdr:row>
      <xdr:rowOff>11905</xdr:rowOff>
    </xdr:to>
    <xdr:cxnSp macro="">
      <xdr:nvCxnSpPr>
        <xdr:cNvPr id="987" name="Connecteur droit avec flèche 986"/>
        <xdr:cNvCxnSpPr/>
      </xdr:nvCxnSpPr>
      <xdr:spPr>
        <a:xfrm flipV="1">
          <a:off x="6524625" y="24241125"/>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1333500</xdr:colOff>
      <xdr:row>231</xdr:row>
      <xdr:rowOff>23811</xdr:rowOff>
    </xdr:from>
    <xdr:to>
      <xdr:col>8</xdr:col>
      <xdr:colOff>71437</xdr:colOff>
      <xdr:row>234</xdr:row>
      <xdr:rowOff>11905</xdr:rowOff>
    </xdr:to>
    <xdr:cxnSp macro="">
      <xdr:nvCxnSpPr>
        <xdr:cNvPr id="988" name="Connecteur droit avec flèche 987"/>
        <xdr:cNvCxnSpPr/>
      </xdr:nvCxnSpPr>
      <xdr:spPr>
        <a:xfrm flipV="1">
          <a:off x="6524625" y="25360311"/>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1250156</xdr:colOff>
      <xdr:row>267</xdr:row>
      <xdr:rowOff>83344</xdr:rowOff>
    </xdr:from>
    <xdr:to>
      <xdr:col>8</xdr:col>
      <xdr:colOff>130968</xdr:colOff>
      <xdr:row>273</xdr:row>
      <xdr:rowOff>0</xdr:rowOff>
    </xdr:to>
    <xdr:cxnSp macro="">
      <xdr:nvCxnSpPr>
        <xdr:cNvPr id="990" name="Connecteur droit avec flèche 989"/>
        <xdr:cNvCxnSpPr/>
      </xdr:nvCxnSpPr>
      <xdr:spPr>
        <a:xfrm flipV="1">
          <a:off x="6441281" y="26943844"/>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1291166</xdr:colOff>
      <xdr:row>272</xdr:row>
      <xdr:rowOff>116417</xdr:rowOff>
    </xdr:from>
    <xdr:to>
      <xdr:col>8</xdr:col>
      <xdr:colOff>127000</xdr:colOff>
      <xdr:row>272</xdr:row>
      <xdr:rowOff>137585</xdr:rowOff>
    </xdr:to>
    <xdr:cxnSp macro="">
      <xdr:nvCxnSpPr>
        <xdr:cNvPr id="991" name="Connecteur droit avec flèche 990"/>
        <xdr:cNvCxnSpPr/>
      </xdr:nvCxnSpPr>
      <xdr:spPr>
        <a:xfrm flipV="1">
          <a:off x="6487583" y="28119917"/>
          <a:ext cx="984250" cy="2116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1309687</xdr:colOff>
      <xdr:row>282</xdr:row>
      <xdr:rowOff>71436</xdr:rowOff>
    </xdr:from>
    <xdr:to>
      <xdr:col>8</xdr:col>
      <xdr:colOff>178594</xdr:colOff>
      <xdr:row>282</xdr:row>
      <xdr:rowOff>83343</xdr:rowOff>
    </xdr:to>
    <xdr:cxnSp macro="">
      <xdr:nvCxnSpPr>
        <xdr:cNvPr id="992" name="Connecteur droit avec flèche 991"/>
        <xdr:cNvCxnSpPr/>
      </xdr:nvCxnSpPr>
      <xdr:spPr>
        <a:xfrm>
          <a:off x="6500812" y="31503936"/>
          <a:ext cx="1012032" cy="1190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1285875</xdr:colOff>
      <xdr:row>277</xdr:row>
      <xdr:rowOff>83344</xdr:rowOff>
    </xdr:from>
    <xdr:to>
      <xdr:col>8</xdr:col>
      <xdr:colOff>166687</xdr:colOff>
      <xdr:row>283</xdr:row>
      <xdr:rowOff>0</xdr:rowOff>
    </xdr:to>
    <xdr:cxnSp macro="">
      <xdr:nvCxnSpPr>
        <xdr:cNvPr id="993" name="Connecteur droit avec flèche 992"/>
        <xdr:cNvCxnSpPr/>
      </xdr:nvCxnSpPr>
      <xdr:spPr>
        <a:xfrm flipV="1">
          <a:off x="6477000" y="29801344"/>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1297781</xdr:colOff>
      <xdr:row>297</xdr:row>
      <xdr:rowOff>83344</xdr:rowOff>
    </xdr:from>
    <xdr:to>
      <xdr:col>8</xdr:col>
      <xdr:colOff>178593</xdr:colOff>
      <xdr:row>303</xdr:row>
      <xdr:rowOff>0</xdr:rowOff>
    </xdr:to>
    <xdr:cxnSp macro="">
      <xdr:nvCxnSpPr>
        <xdr:cNvPr id="996" name="Connecteur droit avec flèche 995"/>
        <xdr:cNvCxnSpPr/>
      </xdr:nvCxnSpPr>
      <xdr:spPr>
        <a:xfrm flipV="1">
          <a:off x="6488906" y="32658844"/>
          <a:ext cx="1023937" cy="167878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1297781</xdr:colOff>
      <xdr:row>301</xdr:row>
      <xdr:rowOff>0</xdr:rowOff>
    </xdr:from>
    <xdr:to>
      <xdr:col>8</xdr:col>
      <xdr:colOff>35718</xdr:colOff>
      <xdr:row>303</xdr:row>
      <xdr:rowOff>0</xdr:rowOff>
    </xdr:to>
    <xdr:cxnSp macro="">
      <xdr:nvCxnSpPr>
        <xdr:cNvPr id="997" name="Connecteur droit avec flèche 996"/>
        <xdr:cNvCxnSpPr/>
      </xdr:nvCxnSpPr>
      <xdr:spPr>
        <a:xfrm flipV="1">
          <a:off x="6488906" y="33778030"/>
          <a:ext cx="881062" cy="55959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559594</xdr:colOff>
      <xdr:row>324</xdr:row>
      <xdr:rowOff>95250</xdr:rowOff>
    </xdr:from>
    <xdr:to>
      <xdr:col>10</xdr:col>
      <xdr:colOff>210979</xdr:colOff>
      <xdr:row>324</xdr:row>
      <xdr:rowOff>96838</xdr:rowOff>
    </xdr:to>
    <xdr:cxnSp macro="">
      <xdr:nvCxnSpPr>
        <xdr:cNvPr id="378" name="Connecteur droit avec flèche 377"/>
        <xdr:cNvCxnSpPr/>
      </xdr:nvCxnSpPr>
      <xdr:spPr>
        <a:xfrm>
          <a:off x="7893844" y="3438525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571500</xdr:colOff>
      <xdr:row>325</xdr:row>
      <xdr:rowOff>95250</xdr:rowOff>
    </xdr:from>
    <xdr:to>
      <xdr:col>10</xdr:col>
      <xdr:colOff>222885</xdr:colOff>
      <xdr:row>325</xdr:row>
      <xdr:rowOff>96838</xdr:rowOff>
    </xdr:to>
    <xdr:cxnSp macro="">
      <xdr:nvCxnSpPr>
        <xdr:cNvPr id="379" name="Connecteur droit avec flèche 378"/>
        <xdr:cNvCxnSpPr/>
      </xdr:nvCxnSpPr>
      <xdr:spPr>
        <a:xfrm>
          <a:off x="7905750" y="3457575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559594</xdr:colOff>
      <xdr:row>324</xdr:row>
      <xdr:rowOff>107157</xdr:rowOff>
    </xdr:from>
    <xdr:to>
      <xdr:col>12</xdr:col>
      <xdr:colOff>210979</xdr:colOff>
      <xdr:row>324</xdr:row>
      <xdr:rowOff>108745</xdr:rowOff>
    </xdr:to>
    <xdr:cxnSp macro="">
      <xdr:nvCxnSpPr>
        <xdr:cNvPr id="380" name="Connecteur droit avec flèche 379"/>
        <xdr:cNvCxnSpPr/>
      </xdr:nvCxnSpPr>
      <xdr:spPr>
        <a:xfrm>
          <a:off x="9417844" y="34397157"/>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583406</xdr:colOff>
      <xdr:row>324</xdr:row>
      <xdr:rowOff>119063</xdr:rowOff>
    </xdr:from>
    <xdr:to>
      <xdr:col>14</xdr:col>
      <xdr:colOff>234791</xdr:colOff>
      <xdr:row>324</xdr:row>
      <xdr:rowOff>120651</xdr:rowOff>
    </xdr:to>
    <xdr:cxnSp macro="">
      <xdr:nvCxnSpPr>
        <xdr:cNvPr id="381" name="Connecteur droit avec flèche 380"/>
        <xdr:cNvCxnSpPr/>
      </xdr:nvCxnSpPr>
      <xdr:spPr>
        <a:xfrm>
          <a:off x="10965656" y="34409063"/>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511969</xdr:colOff>
      <xdr:row>325</xdr:row>
      <xdr:rowOff>107156</xdr:rowOff>
    </xdr:from>
    <xdr:to>
      <xdr:col>14</xdr:col>
      <xdr:colOff>163354</xdr:colOff>
      <xdr:row>325</xdr:row>
      <xdr:rowOff>108744</xdr:rowOff>
    </xdr:to>
    <xdr:cxnSp macro="">
      <xdr:nvCxnSpPr>
        <xdr:cNvPr id="382" name="Connecteur droit avec flèche 381"/>
        <xdr:cNvCxnSpPr/>
      </xdr:nvCxnSpPr>
      <xdr:spPr>
        <a:xfrm>
          <a:off x="10894219" y="345876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571500</xdr:colOff>
      <xdr:row>325</xdr:row>
      <xdr:rowOff>107157</xdr:rowOff>
    </xdr:from>
    <xdr:to>
      <xdr:col>12</xdr:col>
      <xdr:colOff>222885</xdr:colOff>
      <xdr:row>325</xdr:row>
      <xdr:rowOff>108745</xdr:rowOff>
    </xdr:to>
    <xdr:cxnSp macro="">
      <xdr:nvCxnSpPr>
        <xdr:cNvPr id="383" name="Connecteur droit avec flèche 382"/>
        <xdr:cNvCxnSpPr/>
      </xdr:nvCxnSpPr>
      <xdr:spPr>
        <a:xfrm>
          <a:off x="9429750" y="34587657"/>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1365</xdr:colOff>
      <xdr:row>26</xdr:row>
      <xdr:rowOff>178594</xdr:rowOff>
    </xdr:from>
    <xdr:to>
      <xdr:col>1</xdr:col>
      <xdr:colOff>750094</xdr:colOff>
      <xdr:row>179</xdr:row>
      <xdr:rowOff>10889</xdr:rowOff>
    </xdr:to>
    <xdr:cxnSp macro="">
      <xdr:nvCxnSpPr>
        <xdr:cNvPr id="48" name="Connecteur droit avec flèche 47"/>
        <xdr:cNvCxnSpPr/>
      </xdr:nvCxnSpPr>
      <xdr:spPr>
        <a:xfrm flipV="1">
          <a:off x="763365" y="5131594"/>
          <a:ext cx="748729" cy="1297679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990600</xdr:colOff>
      <xdr:row>329</xdr:row>
      <xdr:rowOff>104775</xdr:rowOff>
    </xdr:from>
    <xdr:to>
      <xdr:col>11</xdr:col>
      <xdr:colOff>715840</xdr:colOff>
      <xdr:row>329</xdr:row>
      <xdr:rowOff>105190</xdr:rowOff>
    </xdr:to>
    <xdr:cxnSp macro="">
      <xdr:nvCxnSpPr>
        <xdr:cNvPr id="336" name="Connecteur droit avec flèche 335"/>
        <xdr:cNvCxnSpPr/>
      </xdr:nvCxnSpPr>
      <xdr:spPr>
        <a:xfrm>
          <a:off x="10334625" y="56321325"/>
          <a:ext cx="10301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944880</xdr:colOff>
      <xdr:row>329</xdr:row>
      <xdr:rowOff>83820</xdr:rowOff>
    </xdr:from>
    <xdr:to>
      <xdr:col>5</xdr:col>
      <xdr:colOff>739140</xdr:colOff>
      <xdr:row>329</xdr:row>
      <xdr:rowOff>85408</xdr:rowOff>
    </xdr:to>
    <xdr:cxnSp macro="">
      <xdr:nvCxnSpPr>
        <xdr:cNvPr id="345" name="Connecteur droit avec flèche 344"/>
        <xdr:cNvCxnSpPr/>
      </xdr:nvCxnSpPr>
      <xdr:spPr>
        <a:xfrm>
          <a:off x="3992880" y="56786145"/>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329</xdr:row>
      <xdr:rowOff>99647</xdr:rowOff>
    </xdr:from>
    <xdr:to>
      <xdr:col>8</xdr:col>
      <xdr:colOff>7620</xdr:colOff>
      <xdr:row>329</xdr:row>
      <xdr:rowOff>108268</xdr:rowOff>
    </xdr:to>
    <xdr:cxnSp macro="">
      <xdr:nvCxnSpPr>
        <xdr:cNvPr id="346" name="Connecteur droit avec flèche 345"/>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931985</xdr:colOff>
      <xdr:row>329</xdr:row>
      <xdr:rowOff>123093</xdr:rowOff>
    </xdr:from>
    <xdr:to>
      <xdr:col>10</xdr:col>
      <xdr:colOff>0</xdr:colOff>
      <xdr:row>329</xdr:row>
      <xdr:rowOff>123508</xdr:rowOff>
    </xdr:to>
    <xdr:cxnSp macro="">
      <xdr:nvCxnSpPr>
        <xdr:cNvPr id="347" name="Connecteur droit avec flèche 346"/>
        <xdr:cNvCxnSpPr/>
      </xdr:nvCxnSpPr>
      <xdr:spPr>
        <a:xfrm>
          <a:off x="8266235" y="56825418"/>
          <a:ext cx="1077790"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1184031</xdr:colOff>
      <xdr:row>329</xdr:row>
      <xdr:rowOff>99647</xdr:rowOff>
    </xdr:from>
    <xdr:to>
      <xdr:col>8</xdr:col>
      <xdr:colOff>7620</xdr:colOff>
      <xdr:row>329</xdr:row>
      <xdr:rowOff>108268</xdr:rowOff>
    </xdr:to>
    <xdr:cxnSp macro="">
      <xdr:nvCxnSpPr>
        <xdr:cNvPr id="348" name="Connecteur droit avec flèche 347"/>
        <xdr:cNvCxnSpPr/>
      </xdr:nvCxnSpPr>
      <xdr:spPr>
        <a:xfrm>
          <a:off x="6375156" y="56801972"/>
          <a:ext cx="966714" cy="862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329</xdr:row>
      <xdr:rowOff>95251</xdr:rowOff>
    </xdr:from>
    <xdr:to>
      <xdr:col>4</xdr:col>
      <xdr:colOff>0</xdr:colOff>
      <xdr:row>329</xdr:row>
      <xdr:rowOff>114300</xdr:rowOff>
    </xdr:to>
    <xdr:cxnSp macro="">
      <xdr:nvCxnSpPr>
        <xdr:cNvPr id="349" name="Connecteur droit avec flèche 348"/>
        <xdr:cNvCxnSpPr/>
      </xdr:nvCxnSpPr>
      <xdr:spPr>
        <a:xfrm>
          <a:off x="2171700" y="56797576"/>
          <a:ext cx="876300" cy="19049"/>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1157968</xdr:colOff>
      <xdr:row>327</xdr:row>
      <xdr:rowOff>104775</xdr:rowOff>
    </xdr:from>
    <xdr:to>
      <xdr:col>8</xdr:col>
      <xdr:colOff>180975</xdr:colOff>
      <xdr:row>329</xdr:row>
      <xdr:rowOff>85725</xdr:rowOff>
    </xdr:to>
    <xdr:cxnSp macro="">
      <xdr:nvCxnSpPr>
        <xdr:cNvPr id="351" name="Connecteur droit avec flèche 350"/>
        <xdr:cNvCxnSpPr/>
      </xdr:nvCxnSpPr>
      <xdr:spPr>
        <a:xfrm flipV="1">
          <a:off x="6349093" y="35175825"/>
          <a:ext cx="1166132" cy="3619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617764</xdr:colOff>
      <xdr:row>328</xdr:row>
      <xdr:rowOff>100693</xdr:rowOff>
    </xdr:from>
    <xdr:to>
      <xdr:col>10</xdr:col>
      <xdr:colOff>125290</xdr:colOff>
      <xdr:row>328</xdr:row>
      <xdr:rowOff>101108</xdr:rowOff>
    </xdr:to>
    <xdr:cxnSp macro="">
      <xdr:nvCxnSpPr>
        <xdr:cNvPr id="359" name="Connecteur droit avec flèche 358"/>
        <xdr:cNvCxnSpPr/>
      </xdr:nvCxnSpPr>
      <xdr:spPr>
        <a:xfrm>
          <a:off x="11000014" y="35362243"/>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503464</xdr:colOff>
      <xdr:row>327</xdr:row>
      <xdr:rowOff>108857</xdr:rowOff>
    </xdr:from>
    <xdr:to>
      <xdr:col>10</xdr:col>
      <xdr:colOff>10990</xdr:colOff>
      <xdr:row>327</xdr:row>
      <xdr:rowOff>109272</xdr:rowOff>
    </xdr:to>
    <xdr:cxnSp macro="">
      <xdr:nvCxnSpPr>
        <xdr:cNvPr id="360" name="Connecteur droit avec flèche 359"/>
        <xdr:cNvCxnSpPr/>
      </xdr:nvCxnSpPr>
      <xdr:spPr>
        <a:xfrm>
          <a:off x="10885714" y="3517990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1133475</xdr:colOff>
      <xdr:row>328</xdr:row>
      <xdr:rowOff>114300</xdr:rowOff>
    </xdr:from>
    <xdr:to>
      <xdr:col>8</xdr:col>
      <xdr:colOff>76200</xdr:colOff>
      <xdr:row>329</xdr:row>
      <xdr:rowOff>95250</xdr:rowOff>
    </xdr:to>
    <xdr:cxnSp macro="">
      <xdr:nvCxnSpPr>
        <xdr:cNvPr id="362" name="Connecteur droit avec flèche 361"/>
        <xdr:cNvCxnSpPr/>
      </xdr:nvCxnSpPr>
      <xdr:spPr>
        <a:xfrm flipV="1">
          <a:off x="9620250" y="35375850"/>
          <a:ext cx="838200" cy="17145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17585</xdr:colOff>
      <xdr:row>328</xdr:row>
      <xdr:rowOff>104043</xdr:rowOff>
    </xdr:from>
    <xdr:to>
      <xdr:col>12</xdr:col>
      <xdr:colOff>76200</xdr:colOff>
      <xdr:row>328</xdr:row>
      <xdr:rowOff>104458</xdr:rowOff>
    </xdr:to>
    <xdr:cxnSp macro="">
      <xdr:nvCxnSpPr>
        <xdr:cNvPr id="365" name="Connecteur droit avec flèche 364"/>
        <xdr:cNvCxnSpPr/>
      </xdr:nvCxnSpPr>
      <xdr:spPr>
        <a:xfrm>
          <a:off x="9637835" y="35365593"/>
          <a:ext cx="82061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931985</xdr:colOff>
      <xdr:row>329</xdr:row>
      <xdr:rowOff>123093</xdr:rowOff>
    </xdr:from>
    <xdr:to>
      <xdr:col>14</xdr:col>
      <xdr:colOff>0</xdr:colOff>
      <xdr:row>329</xdr:row>
      <xdr:rowOff>123508</xdr:rowOff>
    </xdr:to>
    <xdr:cxnSp macro="">
      <xdr:nvCxnSpPr>
        <xdr:cNvPr id="369" name="Connecteur droit avec flèche 368"/>
        <xdr:cNvCxnSpPr/>
      </xdr:nvCxnSpPr>
      <xdr:spPr>
        <a:xfrm>
          <a:off x="8094785" y="35575143"/>
          <a:ext cx="763465"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617764</xdr:colOff>
      <xdr:row>328</xdr:row>
      <xdr:rowOff>100693</xdr:rowOff>
    </xdr:from>
    <xdr:to>
      <xdr:col>14</xdr:col>
      <xdr:colOff>125290</xdr:colOff>
      <xdr:row>328</xdr:row>
      <xdr:rowOff>101108</xdr:rowOff>
    </xdr:to>
    <xdr:cxnSp macro="">
      <xdr:nvCxnSpPr>
        <xdr:cNvPr id="370" name="Connecteur droit avec flèche 369"/>
        <xdr:cNvCxnSpPr/>
      </xdr:nvCxnSpPr>
      <xdr:spPr>
        <a:xfrm>
          <a:off x="7952014" y="35362243"/>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503464</xdr:colOff>
      <xdr:row>327</xdr:row>
      <xdr:rowOff>108857</xdr:rowOff>
    </xdr:from>
    <xdr:to>
      <xdr:col>14</xdr:col>
      <xdr:colOff>10990</xdr:colOff>
      <xdr:row>327</xdr:row>
      <xdr:rowOff>109272</xdr:rowOff>
    </xdr:to>
    <xdr:cxnSp macro="">
      <xdr:nvCxnSpPr>
        <xdr:cNvPr id="371" name="Connecteur droit avec flèche 370"/>
        <xdr:cNvCxnSpPr/>
      </xdr:nvCxnSpPr>
      <xdr:spPr>
        <a:xfrm>
          <a:off x="7837714" y="3517990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503464</xdr:colOff>
      <xdr:row>327</xdr:row>
      <xdr:rowOff>108857</xdr:rowOff>
    </xdr:from>
    <xdr:to>
      <xdr:col>12</xdr:col>
      <xdr:colOff>10990</xdr:colOff>
      <xdr:row>327</xdr:row>
      <xdr:rowOff>109272</xdr:rowOff>
    </xdr:to>
    <xdr:cxnSp macro="">
      <xdr:nvCxnSpPr>
        <xdr:cNvPr id="385" name="Connecteur droit avec flèche 384"/>
        <xdr:cNvCxnSpPr/>
      </xdr:nvCxnSpPr>
      <xdr:spPr>
        <a:xfrm>
          <a:off x="7837714" y="35179907"/>
          <a:ext cx="1031526" cy="415"/>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547688</xdr:colOff>
      <xdr:row>94</xdr:row>
      <xdr:rowOff>107156</xdr:rowOff>
    </xdr:from>
    <xdr:to>
      <xdr:col>10</xdr:col>
      <xdr:colOff>199073</xdr:colOff>
      <xdr:row>94</xdr:row>
      <xdr:rowOff>108744</xdr:rowOff>
    </xdr:to>
    <xdr:cxnSp macro="">
      <xdr:nvCxnSpPr>
        <xdr:cNvPr id="388" name="Connecteur droit avec flèche 387"/>
        <xdr:cNvCxnSpPr/>
      </xdr:nvCxnSpPr>
      <xdr:spPr>
        <a:xfrm>
          <a:off x="7929563" y="13061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90</xdr:row>
      <xdr:rowOff>130969</xdr:rowOff>
    </xdr:from>
    <xdr:to>
      <xdr:col>10</xdr:col>
      <xdr:colOff>119063</xdr:colOff>
      <xdr:row>91</xdr:row>
      <xdr:rowOff>107156</xdr:rowOff>
    </xdr:to>
    <xdr:cxnSp macro="">
      <xdr:nvCxnSpPr>
        <xdr:cNvPr id="389" name="Connecteur droit avec flèche 388"/>
        <xdr:cNvCxnSpPr/>
      </xdr:nvCxnSpPr>
      <xdr:spPr>
        <a:xfrm flipV="1">
          <a:off x="8084344" y="12322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91</xdr:row>
      <xdr:rowOff>119063</xdr:rowOff>
    </xdr:from>
    <xdr:to>
      <xdr:col>10</xdr:col>
      <xdr:colOff>107156</xdr:colOff>
      <xdr:row>92</xdr:row>
      <xdr:rowOff>119063</xdr:rowOff>
    </xdr:to>
    <xdr:cxnSp macro="">
      <xdr:nvCxnSpPr>
        <xdr:cNvPr id="390" name="Connecteur droit avec flèche 389"/>
        <xdr:cNvCxnSpPr/>
      </xdr:nvCxnSpPr>
      <xdr:spPr>
        <a:xfrm>
          <a:off x="8096250" y="12501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88</xdr:row>
      <xdr:rowOff>107156</xdr:rowOff>
    </xdr:from>
    <xdr:to>
      <xdr:col>12</xdr:col>
      <xdr:colOff>166688</xdr:colOff>
      <xdr:row>90</xdr:row>
      <xdr:rowOff>83344</xdr:rowOff>
    </xdr:to>
    <xdr:cxnSp macro="">
      <xdr:nvCxnSpPr>
        <xdr:cNvPr id="391" name="Connecteur droit avec flèche 390"/>
        <xdr:cNvCxnSpPr/>
      </xdr:nvCxnSpPr>
      <xdr:spPr>
        <a:xfrm flipV="1">
          <a:off x="9548812" y="11918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90</xdr:row>
      <xdr:rowOff>119063</xdr:rowOff>
    </xdr:from>
    <xdr:to>
      <xdr:col>12</xdr:col>
      <xdr:colOff>166688</xdr:colOff>
      <xdr:row>90</xdr:row>
      <xdr:rowOff>119064</xdr:rowOff>
    </xdr:to>
    <xdr:cxnSp macro="">
      <xdr:nvCxnSpPr>
        <xdr:cNvPr id="392" name="Connecteur droit avec flèche 391"/>
        <xdr:cNvCxnSpPr/>
      </xdr:nvCxnSpPr>
      <xdr:spPr>
        <a:xfrm flipV="1">
          <a:off x="9525000" y="12311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94</xdr:row>
      <xdr:rowOff>119063</xdr:rowOff>
    </xdr:from>
    <xdr:to>
      <xdr:col>14</xdr:col>
      <xdr:colOff>59531</xdr:colOff>
      <xdr:row>94</xdr:row>
      <xdr:rowOff>119063</xdr:rowOff>
    </xdr:to>
    <xdr:cxnSp macro="">
      <xdr:nvCxnSpPr>
        <xdr:cNvPr id="393" name="Connecteur droit avec flèche 392"/>
        <xdr:cNvCxnSpPr/>
      </xdr:nvCxnSpPr>
      <xdr:spPr>
        <a:xfrm>
          <a:off x="9560718" y="13073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92</xdr:row>
      <xdr:rowOff>130972</xdr:rowOff>
    </xdr:from>
    <xdr:to>
      <xdr:col>14</xdr:col>
      <xdr:colOff>190500</xdr:colOff>
      <xdr:row>93</xdr:row>
      <xdr:rowOff>119063</xdr:rowOff>
    </xdr:to>
    <xdr:cxnSp macro="">
      <xdr:nvCxnSpPr>
        <xdr:cNvPr id="394" name="Connecteur droit avec flèche 393"/>
        <xdr:cNvCxnSpPr/>
      </xdr:nvCxnSpPr>
      <xdr:spPr>
        <a:xfrm>
          <a:off x="9513094" y="12703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92</xdr:row>
      <xdr:rowOff>119063</xdr:rowOff>
    </xdr:from>
    <xdr:to>
      <xdr:col>14</xdr:col>
      <xdr:colOff>83344</xdr:colOff>
      <xdr:row>92</xdr:row>
      <xdr:rowOff>119063</xdr:rowOff>
    </xdr:to>
    <xdr:cxnSp macro="">
      <xdr:nvCxnSpPr>
        <xdr:cNvPr id="395" name="Connecteur droit avec flèche 394"/>
        <xdr:cNvCxnSpPr/>
      </xdr:nvCxnSpPr>
      <xdr:spPr>
        <a:xfrm>
          <a:off x="9513094" y="12692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90</xdr:row>
      <xdr:rowOff>107156</xdr:rowOff>
    </xdr:from>
    <xdr:to>
      <xdr:col>14</xdr:col>
      <xdr:colOff>107157</xdr:colOff>
      <xdr:row>90</xdr:row>
      <xdr:rowOff>107157</xdr:rowOff>
    </xdr:to>
    <xdr:cxnSp macro="">
      <xdr:nvCxnSpPr>
        <xdr:cNvPr id="396" name="Connecteur droit avec flèche 395"/>
        <xdr:cNvCxnSpPr/>
      </xdr:nvCxnSpPr>
      <xdr:spPr>
        <a:xfrm flipV="1">
          <a:off x="10989469" y="12299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90</xdr:row>
      <xdr:rowOff>107158</xdr:rowOff>
    </xdr:from>
    <xdr:to>
      <xdr:col>14</xdr:col>
      <xdr:colOff>226219</xdr:colOff>
      <xdr:row>91</xdr:row>
      <xdr:rowOff>130969</xdr:rowOff>
    </xdr:to>
    <xdr:cxnSp macro="">
      <xdr:nvCxnSpPr>
        <xdr:cNvPr id="397" name="Connecteur droit avec flèche 396"/>
        <xdr:cNvCxnSpPr/>
      </xdr:nvCxnSpPr>
      <xdr:spPr>
        <a:xfrm>
          <a:off x="10965656" y="12299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88</xdr:row>
      <xdr:rowOff>107157</xdr:rowOff>
    </xdr:from>
    <xdr:to>
      <xdr:col>14</xdr:col>
      <xdr:colOff>107157</xdr:colOff>
      <xdr:row>88</xdr:row>
      <xdr:rowOff>107158</xdr:rowOff>
    </xdr:to>
    <xdr:cxnSp macro="">
      <xdr:nvCxnSpPr>
        <xdr:cNvPr id="398" name="Connecteur droit avec flèche 397"/>
        <xdr:cNvCxnSpPr/>
      </xdr:nvCxnSpPr>
      <xdr:spPr>
        <a:xfrm flipV="1">
          <a:off x="10989469" y="11918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88</xdr:row>
      <xdr:rowOff>107159</xdr:rowOff>
    </xdr:from>
    <xdr:to>
      <xdr:col>14</xdr:col>
      <xdr:colOff>226219</xdr:colOff>
      <xdr:row>89</xdr:row>
      <xdr:rowOff>130970</xdr:rowOff>
    </xdr:to>
    <xdr:cxnSp macro="">
      <xdr:nvCxnSpPr>
        <xdr:cNvPr id="399" name="Connecteur droit avec flèche 398"/>
        <xdr:cNvCxnSpPr/>
      </xdr:nvCxnSpPr>
      <xdr:spPr>
        <a:xfrm>
          <a:off x="10965656" y="11918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84</xdr:row>
      <xdr:rowOff>130969</xdr:rowOff>
    </xdr:from>
    <xdr:to>
      <xdr:col>10</xdr:col>
      <xdr:colOff>119063</xdr:colOff>
      <xdr:row>85</xdr:row>
      <xdr:rowOff>107156</xdr:rowOff>
    </xdr:to>
    <xdr:cxnSp macro="">
      <xdr:nvCxnSpPr>
        <xdr:cNvPr id="400" name="Connecteur droit avec flèche 399"/>
        <xdr:cNvCxnSpPr/>
      </xdr:nvCxnSpPr>
      <xdr:spPr>
        <a:xfrm flipV="1">
          <a:off x="8084344" y="11179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85</xdr:row>
      <xdr:rowOff>119063</xdr:rowOff>
    </xdr:from>
    <xdr:to>
      <xdr:col>10</xdr:col>
      <xdr:colOff>107156</xdr:colOff>
      <xdr:row>86</xdr:row>
      <xdr:rowOff>119063</xdr:rowOff>
    </xdr:to>
    <xdr:cxnSp macro="">
      <xdr:nvCxnSpPr>
        <xdr:cNvPr id="401" name="Connecteur droit avec flèche 400"/>
        <xdr:cNvCxnSpPr/>
      </xdr:nvCxnSpPr>
      <xdr:spPr>
        <a:xfrm>
          <a:off x="8096250" y="11358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82</xdr:row>
      <xdr:rowOff>107156</xdr:rowOff>
    </xdr:from>
    <xdr:to>
      <xdr:col>12</xdr:col>
      <xdr:colOff>166688</xdr:colOff>
      <xdr:row>84</xdr:row>
      <xdr:rowOff>83344</xdr:rowOff>
    </xdr:to>
    <xdr:cxnSp macro="">
      <xdr:nvCxnSpPr>
        <xdr:cNvPr id="402" name="Connecteur droit avec flèche 401"/>
        <xdr:cNvCxnSpPr/>
      </xdr:nvCxnSpPr>
      <xdr:spPr>
        <a:xfrm flipV="1">
          <a:off x="9548812" y="10775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84</xdr:row>
      <xdr:rowOff>119063</xdr:rowOff>
    </xdr:from>
    <xdr:to>
      <xdr:col>12</xdr:col>
      <xdr:colOff>166688</xdr:colOff>
      <xdr:row>84</xdr:row>
      <xdr:rowOff>119064</xdr:rowOff>
    </xdr:to>
    <xdr:cxnSp macro="">
      <xdr:nvCxnSpPr>
        <xdr:cNvPr id="403" name="Connecteur droit avec flèche 402"/>
        <xdr:cNvCxnSpPr/>
      </xdr:nvCxnSpPr>
      <xdr:spPr>
        <a:xfrm flipV="1">
          <a:off x="9525000" y="11168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86</xdr:row>
      <xdr:rowOff>130972</xdr:rowOff>
    </xdr:from>
    <xdr:to>
      <xdr:col>14</xdr:col>
      <xdr:colOff>190500</xdr:colOff>
      <xdr:row>87</xdr:row>
      <xdr:rowOff>119063</xdr:rowOff>
    </xdr:to>
    <xdr:cxnSp macro="">
      <xdr:nvCxnSpPr>
        <xdr:cNvPr id="404" name="Connecteur droit avec flèche 403"/>
        <xdr:cNvCxnSpPr/>
      </xdr:nvCxnSpPr>
      <xdr:spPr>
        <a:xfrm>
          <a:off x="9513094" y="11560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86</xdr:row>
      <xdr:rowOff>119063</xdr:rowOff>
    </xdr:from>
    <xdr:to>
      <xdr:col>14</xdr:col>
      <xdr:colOff>83344</xdr:colOff>
      <xdr:row>86</xdr:row>
      <xdr:rowOff>119063</xdr:rowOff>
    </xdr:to>
    <xdr:cxnSp macro="">
      <xdr:nvCxnSpPr>
        <xdr:cNvPr id="405" name="Connecteur droit avec flèche 404"/>
        <xdr:cNvCxnSpPr/>
      </xdr:nvCxnSpPr>
      <xdr:spPr>
        <a:xfrm>
          <a:off x="9513094" y="14216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84</xdr:row>
      <xdr:rowOff>107156</xdr:rowOff>
    </xdr:from>
    <xdr:to>
      <xdr:col>14</xdr:col>
      <xdr:colOff>107157</xdr:colOff>
      <xdr:row>84</xdr:row>
      <xdr:rowOff>107157</xdr:rowOff>
    </xdr:to>
    <xdr:cxnSp macro="">
      <xdr:nvCxnSpPr>
        <xdr:cNvPr id="406" name="Connecteur droit avec flèche 405"/>
        <xdr:cNvCxnSpPr/>
      </xdr:nvCxnSpPr>
      <xdr:spPr>
        <a:xfrm flipV="1">
          <a:off x="10989469" y="11156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84</xdr:row>
      <xdr:rowOff>107158</xdr:rowOff>
    </xdr:from>
    <xdr:to>
      <xdr:col>14</xdr:col>
      <xdr:colOff>226219</xdr:colOff>
      <xdr:row>85</xdr:row>
      <xdr:rowOff>130969</xdr:rowOff>
    </xdr:to>
    <xdr:cxnSp macro="">
      <xdr:nvCxnSpPr>
        <xdr:cNvPr id="407" name="Connecteur droit avec flèche 406"/>
        <xdr:cNvCxnSpPr/>
      </xdr:nvCxnSpPr>
      <xdr:spPr>
        <a:xfrm>
          <a:off x="10965656" y="11156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82</xdr:row>
      <xdr:rowOff>107157</xdr:rowOff>
    </xdr:from>
    <xdr:to>
      <xdr:col>14</xdr:col>
      <xdr:colOff>107157</xdr:colOff>
      <xdr:row>82</xdr:row>
      <xdr:rowOff>107158</xdr:rowOff>
    </xdr:to>
    <xdr:cxnSp macro="">
      <xdr:nvCxnSpPr>
        <xdr:cNvPr id="408" name="Connecteur droit avec flèche 407"/>
        <xdr:cNvCxnSpPr/>
      </xdr:nvCxnSpPr>
      <xdr:spPr>
        <a:xfrm flipV="1">
          <a:off x="10989469" y="10775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82</xdr:row>
      <xdr:rowOff>107159</xdr:rowOff>
    </xdr:from>
    <xdr:to>
      <xdr:col>14</xdr:col>
      <xdr:colOff>226219</xdr:colOff>
      <xdr:row>83</xdr:row>
      <xdr:rowOff>130970</xdr:rowOff>
    </xdr:to>
    <xdr:cxnSp macro="">
      <xdr:nvCxnSpPr>
        <xdr:cNvPr id="409" name="Connecteur droit avec flèche 408"/>
        <xdr:cNvCxnSpPr/>
      </xdr:nvCxnSpPr>
      <xdr:spPr>
        <a:xfrm>
          <a:off x="10965656" y="10775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82</xdr:row>
      <xdr:rowOff>15875</xdr:rowOff>
    </xdr:from>
    <xdr:to>
      <xdr:col>7</xdr:col>
      <xdr:colOff>41486</xdr:colOff>
      <xdr:row>94</xdr:row>
      <xdr:rowOff>127000</xdr:rowOff>
    </xdr:to>
    <xdr:sp macro="" textlink="">
      <xdr:nvSpPr>
        <xdr:cNvPr id="414" name="Accolade fermante 413"/>
        <xdr:cNvSpPr/>
      </xdr:nvSpPr>
      <xdr:spPr>
        <a:xfrm>
          <a:off x="6615642" y="13350875"/>
          <a:ext cx="45719"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178</xdr:row>
      <xdr:rowOff>107156</xdr:rowOff>
    </xdr:from>
    <xdr:to>
      <xdr:col>10</xdr:col>
      <xdr:colOff>199073</xdr:colOff>
      <xdr:row>178</xdr:row>
      <xdr:rowOff>108744</xdr:rowOff>
    </xdr:to>
    <xdr:cxnSp macro="">
      <xdr:nvCxnSpPr>
        <xdr:cNvPr id="415" name="Connecteur droit avec flèche 414"/>
        <xdr:cNvCxnSpPr/>
      </xdr:nvCxnSpPr>
      <xdr:spPr>
        <a:xfrm>
          <a:off x="7929563" y="1572815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174</xdr:row>
      <xdr:rowOff>130969</xdr:rowOff>
    </xdr:from>
    <xdr:to>
      <xdr:col>10</xdr:col>
      <xdr:colOff>119063</xdr:colOff>
      <xdr:row>175</xdr:row>
      <xdr:rowOff>107156</xdr:rowOff>
    </xdr:to>
    <xdr:cxnSp macro="">
      <xdr:nvCxnSpPr>
        <xdr:cNvPr id="416" name="Connecteur droit avec flèche 415"/>
        <xdr:cNvCxnSpPr/>
      </xdr:nvCxnSpPr>
      <xdr:spPr>
        <a:xfrm flipV="1">
          <a:off x="8084344" y="14989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175</xdr:row>
      <xdr:rowOff>119063</xdr:rowOff>
    </xdr:from>
    <xdr:to>
      <xdr:col>10</xdr:col>
      <xdr:colOff>107156</xdr:colOff>
      <xdr:row>176</xdr:row>
      <xdr:rowOff>119063</xdr:rowOff>
    </xdr:to>
    <xdr:cxnSp macro="">
      <xdr:nvCxnSpPr>
        <xdr:cNvPr id="417" name="Connecteur droit avec flèche 416"/>
        <xdr:cNvCxnSpPr/>
      </xdr:nvCxnSpPr>
      <xdr:spPr>
        <a:xfrm>
          <a:off x="8096250" y="15168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172</xdr:row>
      <xdr:rowOff>107156</xdr:rowOff>
    </xdr:from>
    <xdr:to>
      <xdr:col>12</xdr:col>
      <xdr:colOff>166688</xdr:colOff>
      <xdr:row>174</xdr:row>
      <xdr:rowOff>83344</xdr:rowOff>
    </xdr:to>
    <xdr:cxnSp macro="">
      <xdr:nvCxnSpPr>
        <xdr:cNvPr id="418" name="Connecteur droit avec flèche 417"/>
        <xdr:cNvCxnSpPr/>
      </xdr:nvCxnSpPr>
      <xdr:spPr>
        <a:xfrm flipV="1">
          <a:off x="9548812" y="14585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174</xdr:row>
      <xdr:rowOff>119063</xdr:rowOff>
    </xdr:from>
    <xdr:to>
      <xdr:col>12</xdr:col>
      <xdr:colOff>166688</xdr:colOff>
      <xdr:row>174</xdr:row>
      <xdr:rowOff>119064</xdr:rowOff>
    </xdr:to>
    <xdr:cxnSp macro="">
      <xdr:nvCxnSpPr>
        <xdr:cNvPr id="419" name="Connecteur droit avec flèche 418"/>
        <xdr:cNvCxnSpPr/>
      </xdr:nvCxnSpPr>
      <xdr:spPr>
        <a:xfrm flipV="1">
          <a:off x="9525000" y="14978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178</xdr:row>
      <xdr:rowOff>119063</xdr:rowOff>
    </xdr:from>
    <xdr:to>
      <xdr:col>14</xdr:col>
      <xdr:colOff>59531</xdr:colOff>
      <xdr:row>178</xdr:row>
      <xdr:rowOff>119063</xdr:rowOff>
    </xdr:to>
    <xdr:cxnSp macro="">
      <xdr:nvCxnSpPr>
        <xdr:cNvPr id="420" name="Connecteur droit avec flèche 419"/>
        <xdr:cNvCxnSpPr/>
      </xdr:nvCxnSpPr>
      <xdr:spPr>
        <a:xfrm>
          <a:off x="9560718" y="1574006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176</xdr:row>
      <xdr:rowOff>130972</xdr:rowOff>
    </xdr:from>
    <xdr:to>
      <xdr:col>14</xdr:col>
      <xdr:colOff>190500</xdr:colOff>
      <xdr:row>177</xdr:row>
      <xdr:rowOff>119063</xdr:rowOff>
    </xdr:to>
    <xdr:cxnSp macro="">
      <xdr:nvCxnSpPr>
        <xdr:cNvPr id="421" name="Connecteur droit avec flèche 420"/>
        <xdr:cNvCxnSpPr/>
      </xdr:nvCxnSpPr>
      <xdr:spPr>
        <a:xfrm>
          <a:off x="9513094" y="15370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176</xdr:row>
      <xdr:rowOff>119063</xdr:rowOff>
    </xdr:from>
    <xdr:to>
      <xdr:col>14</xdr:col>
      <xdr:colOff>83344</xdr:colOff>
      <xdr:row>176</xdr:row>
      <xdr:rowOff>119063</xdr:rowOff>
    </xdr:to>
    <xdr:cxnSp macro="">
      <xdr:nvCxnSpPr>
        <xdr:cNvPr id="422" name="Connecteur droit avec flèche 421"/>
        <xdr:cNvCxnSpPr/>
      </xdr:nvCxnSpPr>
      <xdr:spPr>
        <a:xfrm>
          <a:off x="9513094" y="15359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174</xdr:row>
      <xdr:rowOff>107156</xdr:rowOff>
    </xdr:from>
    <xdr:to>
      <xdr:col>14</xdr:col>
      <xdr:colOff>107157</xdr:colOff>
      <xdr:row>174</xdr:row>
      <xdr:rowOff>107157</xdr:rowOff>
    </xdr:to>
    <xdr:cxnSp macro="">
      <xdr:nvCxnSpPr>
        <xdr:cNvPr id="423" name="Connecteur droit avec flèche 422"/>
        <xdr:cNvCxnSpPr/>
      </xdr:nvCxnSpPr>
      <xdr:spPr>
        <a:xfrm flipV="1">
          <a:off x="10989469" y="14966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174</xdr:row>
      <xdr:rowOff>107158</xdr:rowOff>
    </xdr:from>
    <xdr:to>
      <xdr:col>14</xdr:col>
      <xdr:colOff>226219</xdr:colOff>
      <xdr:row>175</xdr:row>
      <xdr:rowOff>130969</xdr:rowOff>
    </xdr:to>
    <xdr:cxnSp macro="">
      <xdr:nvCxnSpPr>
        <xdr:cNvPr id="424" name="Connecteur droit avec flèche 423"/>
        <xdr:cNvCxnSpPr/>
      </xdr:nvCxnSpPr>
      <xdr:spPr>
        <a:xfrm>
          <a:off x="10965656" y="14966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172</xdr:row>
      <xdr:rowOff>107157</xdr:rowOff>
    </xdr:from>
    <xdr:to>
      <xdr:col>14</xdr:col>
      <xdr:colOff>107157</xdr:colOff>
      <xdr:row>172</xdr:row>
      <xdr:rowOff>107158</xdr:rowOff>
    </xdr:to>
    <xdr:cxnSp macro="">
      <xdr:nvCxnSpPr>
        <xdr:cNvPr id="425" name="Connecteur droit avec flèche 424"/>
        <xdr:cNvCxnSpPr/>
      </xdr:nvCxnSpPr>
      <xdr:spPr>
        <a:xfrm flipV="1">
          <a:off x="10989469" y="14585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172</xdr:row>
      <xdr:rowOff>107159</xdr:rowOff>
    </xdr:from>
    <xdr:to>
      <xdr:col>14</xdr:col>
      <xdr:colOff>226219</xdr:colOff>
      <xdr:row>173</xdr:row>
      <xdr:rowOff>130970</xdr:rowOff>
    </xdr:to>
    <xdr:cxnSp macro="">
      <xdr:nvCxnSpPr>
        <xdr:cNvPr id="426" name="Connecteur droit avec flèche 425"/>
        <xdr:cNvCxnSpPr/>
      </xdr:nvCxnSpPr>
      <xdr:spPr>
        <a:xfrm>
          <a:off x="10965656" y="14585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168</xdr:row>
      <xdr:rowOff>130969</xdr:rowOff>
    </xdr:from>
    <xdr:to>
      <xdr:col>10</xdr:col>
      <xdr:colOff>119063</xdr:colOff>
      <xdr:row>169</xdr:row>
      <xdr:rowOff>107156</xdr:rowOff>
    </xdr:to>
    <xdr:cxnSp macro="">
      <xdr:nvCxnSpPr>
        <xdr:cNvPr id="427" name="Connecteur droit avec flèche 426"/>
        <xdr:cNvCxnSpPr/>
      </xdr:nvCxnSpPr>
      <xdr:spPr>
        <a:xfrm flipV="1">
          <a:off x="8084344" y="1384696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169</xdr:row>
      <xdr:rowOff>119063</xdr:rowOff>
    </xdr:from>
    <xdr:to>
      <xdr:col>10</xdr:col>
      <xdr:colOff>107156</xdr:colOff>
      <xdr:row>170</xdr:row>
      <xdr:rowOff>119063</xdr:rowOff>
    </xdr:to>
    <xdr:cxnSp macro="">
      <xdr:nvCxnSpPr>
        <xdr:cNvPr id="428" name="Connecteur droit avec flèche 427"/>
        <xdr:cNvCxnSpPr/>
      </xdr:nvCxnSpPr>
      <xdr:spPr>
        <a:xfrm>
          <a:off x="8096250" y="1402556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166</xdr:row>
      <xdr:rowOff>107156</xdr:rowOff>
    </xdr:from>
    <xdr:to>
      <xdr:col>12</xdr:col>
      <xdr:colOff>166688</xdr:colOff>
      <xdr:row>168</xdr:row>
      <xdr:rowOff>83344</xdr:rowOff>
    </xdr:to>
    <xdr:cxnSp macro="">
      <xdr:nvCxnSpPr>
        <xdr:cNvPr id="429" name="Connecteur droit avec flèche 428"/>
        <xdr:cNvCxnSpPr/>
      </xdr:nvCxnSpPr>
      <xdr:spPr>
        <a:xfrm flipV="1">
          <a:off x="9548812" y="1344215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168</xdr:row>
      <xdr:rowOff>119063</xdr:rowOff>
    </xdr:from>
    <xdr:to>
      <xdr:col>12</xdr:col>
      <xdr:colOff>166688</xdr:colOff>
      <xdr:row>168</xdr:row>
      <xdr:rowOff>119064</xdr:rowOff>
    </xdr:to>
    <xdr:cxnSp macro="">
      <xdr:nvCxnSpPr>
        <xdr:cNvPr id="430" name="Connecteur droit avec flèche 429"/>
        <xdr:cNvCxnSpPr/>
      </xdr:nvCxnSpPr>
      <xdr:spPr>
        <a:xfrm flipV="1">
          <a:off x="9525000" y="1383506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170</xdr:row>
      <xdr:rowOff>130972</xdr:rowOff>
    </xdr:from>
    <xdr:to>
      <xdr:col>14</xdr:col>
      <xdr:colOff>190500</xdr:colOff>
      <xdr:row>171</xdr:row>
      <xdr:rowOff>119063</xdr:rowOff>
    </xdr:to>
    <xdr:cxnSp macro="">
      <xdr:nvCxnSpPr>
        <xdr:cNvPr id="431" name="Connecteur droit avec flèche 430"/>
        <xdr:cNvCxnSpPr/>
      </xdr:nvCxnSpPr>
      <xdr:spPr>
        <a:xfrm>
          <a:off x="9513094" y="1422797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170</xdr:row>
      <xdr:rowOff>119063</xdr:rowOff>
    </xdr:from>
    <xdr:to>
      <xdr:col>14</xdr:col>
      <xdr:colOff>83344</xdr:colOff>
      <xdr:row>170</xdr:row>
      <xdr:rowOff>119063</xdr:rowOff>
    </xdr:to>
    <xdr:cxnSp macro="">
      <xdr:nvCxnSpPr>
        <xdr:cNvPr id="432" name="Connecteur droit avec flèche 431"/>
        <xdr:cNvCxnSpPr/>
      </xdr:nvCxnSpPr>
      <xdr:spPr>
        <a:xfrm>
          <a:off x="9513094" y="1421606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168</xdr:row>
      <xdr:rowOff>107156</xdr:rowOff>
    </xdr:from>
    <xdr:to>
      <xdr:col>14</xdr:col>
      <xdr:colOff>107157</xdr:colOff>
      <xdr:row>168</xdr:row>
      <xdr:rowOff>107157</xdr:rowOff>
    </xdr:to>
    <xdr:cxnSp macro="">
      <xdr:nvCxnSpPr>
        <xdr:cNvPr id="433" name="Connecteur droit avec flèche 432"/>
        <xdr:cNvCxnSpPr/>
      </xdr:nvCxnSpPr>
      <xdr:spPr>
        <a:xfrm flipV="1">
          <a:off x="10989469" y="1382315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168</xdr:row>
      <xdr:rowOff>107158</xdr:rowOff>
    </xdr:from>
    <xdr:to>
      <xdr:col>14</xdr:col>
      <xdr:colOff>226219</xdr:colOff>
      <xdr:row>169</xdr:row>
      <xdr:rowOff>130969</xdr:rowOff>
    </xdr:to>
    <xdr:cxnSp macro="">
      <xdr:nvCxnSpPr>
        <xdr:cNvPr id="434" name="Connecteur droit avec flèche 433"/>
        <xdr:cNvCxnSpPr/>
      </xdr:nvCxnSpPr>
      <xdr:spPr>
        <a:xfrm>
          <a:off x="10965656" y="1382315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166</xdr:row>
      <xdr:rowOff>107157</xdr:rowOff>
    </xdr:from>
    <xdr:to>
      <xdr:col>14</xdr:col>
      <xdr:colOff>107157</xdr:colOff>
      <xdr:row>166</xdr:row>
      <xdr:rowOff>107158</xdr:rowOff>
    </xdr:to>
    <xdr:cxnSp macro="">
      <xdr:nvCxnSpPr>
        <xdr:cNvPr id="435" name="Connecteur droit avec flèche 434"/>
        <xdr:cNvCxnSpPr/>
      </xdr:nvCxnSpPr>
      <xdr:spPr>
        <a:xfrm flipV="1">
          <a:off x="10989469" y="13442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166</xdr:row>
      <xdr:rowOff>107159</xdr:rowOff>
    </xdr:from>
    <xdr:to>
      <xdr:col>14</xdr:col>
      <xdr:colOff>226219</xdr:colOff>
      <xdr:row>167</xdr:row>
      <xdr:rowOff>130970</xdr:rowOff>
    </xdr:to>
    <xdr:cxnSp macro="">
      <xdr:nvCxnSpPr>
        <xdr:cNvPr id="436" name="Connecteur droit avec flèche 435"/>
        <xdr:cNvCxnSpPr/>
      </xdr:nvCxnSpPr>
      <xdr:spPr>
        <a:xfrm>
          <a:off x="10965656" y="1344215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166</xdr:row>
      <xdr:rowOff>15875</xdr:rowOff>
    </xdr:from>
    <xdr:to>
      <xdr:col>7</xdr:col>
      <xdr:colOff>41486</xdr:colOff>
      <xdr:row>178</xdr:row>
      <xdr:rowOff>127000</xdr:rowOff>
    </xdr:to>
    <xdr:sp macro="" textlink="">
      <xdr:nvSpPr>
        <xdr:cNvPr id="438" name="Accolade fermante 437"/>
        <xdr:cNvSpPr/>
      </xdr:nvSpPr>
      <xdr:spPr>
        <a:xfrm>
          <a:off x="6615642" y="13350875"/>
          <a:ext cx="45719"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262</xdr:row>
      <xdr:rowOff>107156</xdr:rowOff>
    </xdr:from>
    <xdr:to>
      <xdr:col>10</xdr:col>
      <xdr:colOff>199073</xdr:colOff>
      <xdr:row>262</xdr:row>
      <xdr:rowOff>108744</xdr:rowOff>
    </xdr:to>
    <xdr:cxnSp macro="">
      <xdr:nvCxnSpPr>
        <xdr:cNvPr id="462" name="Connecteur droit avec flèche 461"/>
        <xdr:cNvCxnSpPr/>
      </xdr:nvCxnSpPr>
      <xdr:spPr>
        <a:xfrm>
          <a:off x="7929563" y="26384250"/>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258</xdr:row>
      <xdr:rowOff>130969</xdr:rowOff>
    </xdr:from>
    <xdr:to>
      <xdr:col>10</xdr:col>
      <xdr:colOff>119063</xdr:colOff>
      <xdr:row>259</xdr:row>
      <xdr:rowOff>107156</xdr:rowOff>
    </xdr:to>
    <xdr:cxnSp macro="">
      <xdr:nvCxnSpPr>
        <xdr:cNvPr id="463" name="Connecteur droit avec flèche 462"/>
        <xdr:cNvCxnSpPr/>
      </xdr:nvCxnSpPr>
      <xdr:spPr>
        <a:xfrm flipV="1">
          <a:off x="8084344" y="25646063"/>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259</xdr:row>
      <xdr:rowOff>119063</xdr:rowOff>
    </xdr:from>
    <xdr:to>
      <xdr:col>10</xdr:col>
      <xdr:colOff>107156</xdr:colOff>
      <xdr:row>260</xdr:row>
      <xdr:rowOff>119063</xdr:rowOff>
    </xdr:to>
    <xdr:cxnSp macro="">
      <xdr:nvCxnSpPr>
        <xdr:cNvPr id="464" name="Connecteur droit avec flèche 463"/>
        <xdr:cNvCxnSpPr/>
      </xdr:nvCxnSpPr>
      <xdr:spPr>
        <a:xfrm>
          <a:off x="8096250" y="25824657"/>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256</xdr:row>
      <xdr:rowOff>107156</xdr:rowOff>
    </xdr:from>
    <xdr:to>
      <xdr:col>12</xdr:col>
      <xdr:colOff>166688</xdr:colOff>
      <xdr:row>258</xdr:row>
      <xdr:rowOff>83344</xdr:rowOff>
    </xdr:to>
    <xdr:cxnSp macro="">
      <xdr:nvCxnSpPr>
        <xdr:cNvPr id="465" name="Connecteur droit avec flèche 464"/>
        <xdr:cNvCxnSpPr/>
      </xdr:nvCxnSpPr>
      <xdr:spPr>
        <a:xfrm flipV="1">
          <a:off x="9548812" y="25241250"/>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258</xdr:row>
      <xdr:rowOff>119063</xdr:rowOff>
    </xdr:from>
    <xdr:to>
      <xdr:col>12</xdr:col>
      <xdr:colOff>166688</xdr:colOff>
      <xdr:row>258</xdr:row>
      <xdr:rowOff>119064</xdr:rowOff>
    </xdr:to>
    <xdr:cxnSp macro="">
      <xdr:nvCxnSpPr>
        <xdr:cNvPr id="466" name="Connecteur droit avec flèche 465"/>
        <xdr:cNvCxnSpPr/>
      </xdr:nvCxnSpPr>
      <xdr:spPr>
        <a:xfrm flipV="1">
          <a:off x="9525000" y="25634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262</xdr:row>
      <xdr:rowOff>119063</xdr:rowOff>
    </xdr:from>
    <xdr:to>
      <xdr:col>14</xdr:col>
      <xdr:colOff>59531</xdr:colOff>
      <xdr:row>262</xdr:row>
      <xdr:rowOff>119063</xdr:rowOff>
    </xdr:to>
    <xdr:cxnSp macro="">
      <xdr:nvCxnSpPr>
        <xdr:cNvPr id="467" name="Connecteur droit avec flèche 466"/>
        <xdr:cNvCxnSpPr/>
      </xdr:nvCxnSpPr>
      <xdr:spPr>
        <a:xfrm>
          <a:off x="9560718" y="26396157"/>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260</xdr:row>
      <xdr:rowOff>130972</xdr:rowOff>
    </xdr:from>
    <xdr:to>
      <xdr:col>14</xdr:col>
      <xdr:colOff>190500</xdr:colOff>
      <xdr:row>261</xdr:row>
      <xdr:rowOff>119063</xdr:rowOff>
    </xdr:to>
    <xdr:cxnSp macro="">
      <xdr:nvCxnSpPr>
        <xdr:cNvPr id="468" name="Connecteur droit avec flèche 467"/>
        <xdr:cNvCxnSpPr/>
      </xdr:nvCxnSpPr>
      <xdr:spPr>
        <a:xfrm>
          <a:off x="9513094" y="26027066"/>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260</xdr:row>
      <xdr:rowOff>119063</xdr:rowOff>
    </xdr:from>
    <xdr:to>
      <xdr:col>14</xdr:col>
      <xdr:colOff>83344</xdr:colOff>
      <xdr:row>260</xdr:row>
      <xdr:rowOff>119063</xdr:rowOff>
    </xdr:to>
    <xdr:cxnSp macro="">
      <xdr:nvCxnSpPr>
        <xdr:cNvPr id="469" name="Connecteur droit avec flèche 468"/>
        <xdr:cNvCxnSpPr/>
      </xdr:nvCxnSpPr>
      <xdr:spPr>
        <a:xfrm>
          <a:off x="9513094" y="26015157"/>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258</xdr:row>
      <xdr:rowOff>107156</xdr:rowOff>
    </xdr:from>
    <xdr:to>
      <xdr:col>14</xdr:col>
      <xdr:colOff>107157</xdr:colOff>
      <xdr:row>258</xdr:row>
      <xdr:rowOff>107157</xdr:rowOff>
    </xdr:to>
    <xdr:cxnSp macro="">
      <xdr:nvCxnSpPr>
        <xdr:cNvPr id="470" name="Connecteur droit avec flèche 469"/>
        <xdr:cNvCxnSpPr/>
      </xdr:nvCxnSpPr>
      <xdr:spPr>
        <a:xfrm flipV="1">
          <a:off x="10989469" y="25622250"/>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258</xdr:row>
      <xdr:rowOff>107158</xdr:rowOff>
    </xdr:from>
    <xdr:to>
      <xdr:col>14</xdr:col>
      <xdr:colOff>226219</xdr:colOff>
      <xdr:row>259</xdr:row>
      <xdr:rowOff>130969</xdr:rowOff>
    </xdr:to>
    <xdr:cxnSp macro="">
      <xdr:nvCxnSpPr>
        <xdr:cNvPr id="471" name="Connecteur droit avec flèche 470"/>
        <xdr:cNvCxnSpPr/>
      </xdr:nvCxnSpPr>
      <xdr:spPr>
        <a:xfrm>
          <a:off x="10965656" y="25622252"/>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256</xdr:row>
      <xdr:rowOff>107157</xdr:rowOff>
    </xdr:from>
    <xdr:to>
      <xdr:col>14</xdr:col>
      <xdr:colOff>107157</xdr:colOff>
      <xdr:row>256</xdr:row>
      <xdr:rowOff>107158</xdr:rowOff>
    </xdr:to>
    <xdr:cxnSp macro="">
      <xdr:nvCxnSpPr>
        <xdr:cNvPr id="472" name="Connecteur droit avec flèche 471"/>
        <xdr:cNvCxnSpPr/>
      </xdr:nvCxnSpPr>
      <xdr:spPr>
        <a:xfrm flipV="1">
          <a:off x="10989469" y="25241251"/>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256</xdr:row>
      <xdr:rowOff>107159</xdr:rowOff>
    </xdr:from>
    <xdr:to>
      <xdr:col>14</xdr:col>
      <xdr:colOff>226219</xdr:colOff>
      <xdr:row>257</xdr:row>
      <xdr:rowOff>130970</xdr:rowOff>
    </xdr:to>
    <xdr:cxnSp macro="">
      <xdr:nvCxnSpPr>
        <xdr:cNvPr id="473" name="Connecteur droit avec flèche 472"/>
        <xdr:cNvCxnSpPr/>
      </xdr:nvCxnSpPr>
      <xdr:spPr>
        <a:xfrm>
          <a:off x="10965656" y="25241253"/>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252</xdr:row>
      <xdr:rowOff>130969</xdr:rowOff>
    </xdr:from>
    <xdr:to>
      <xdr:col>10</xdr:col>
      <xdr:colOff>119063</xdr:colOff>
      <xdr:row>253</xdr:row>
      <xdr:rowOff>107156</xdr:rowOff>
    </xdr:to>
    <xdr:cxnSp macro="">
      <xdr:nvCxnSpPr>
        <xdr:cNvPr id="474" name="Connecteur droit avec flèche 473"/>
        <xdr:cNvCxnSpPr/>
      </xdr:nvCxnSpPr>
      <xdr:spPr>
        <a:xfrm flipV="1">
          <a:off x="8084344" y="24503063"/>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253</xdr:row>
      <xdr:rowOff>119063</xdr:rowOff>
    </xdr:from>
    <xdr:to>
      <xdr:col>10</xdr:col>
      <xdr:colOff>107156</xdr:colOff>
      <xdr:row>254</xdr:row>
      <xdr:rowOff>119063</xdr:rowOff>
    </xdr:to>
    <xdr:cxnSp macro="">
      <xdr:nvCxnSpPr>
        <xdr:cNvPr id="475" name="Connecteur droit avec flèche 474"/>
        <xdr:cNvCxnSpPr/>
      </xdr:nvCxnSpPr>
      <xdr:spPr>
        <a:xfrm>
          <a:off x="8096250" y="24681657"/>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250</xdr:row>
      <xdr:rowOff>107156</xdr:rowOff>
    </xdr:from>
    <xdr:to>
      <xdr:col>12</xdr:col>
      <xdr:colOff>166688</xdr:colOff>
      <xdr:row>252</xdr:row>
      <xdr:rowOff>83344</xdr:rowOff>
    </xdr:to>
    <xdr:cxnSp macro="">
      <xdr:nvCxnSpPr>
        <xdr:cNvPr id="476" name="Connecteur droit avec flèche 475"/>
        <xdr:cNvCxnSpPr/>
      </xdr:nvCxnSpPr>
      <xdr:spPr>
        <a:xfrm flipV="1">
          <a:off x="9548812" y="24098250"/>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252</xdr:row>
      <xdr:rowOff>119063</xdr:rowOff>
    </xdr:from>
    <xdr:to>
      <xdr:col>12</xdr:col>
      <xdr:colOff>166688</xdr:colOff>
      <xdr:row>252</xdr:row>
      <xdr:rowOff>119064</xdr:rowOff>
    </xdr:to>
    <xdr:cxnSp macro="">
      <xdr:nvCxnSpPr>
        <xdr:cNvPr id="477" name="Connecteur droit avec flèche 476"/>
        <xdr:cNvCxnSpPr/>
      </xdr:nvCxnSpPr>
      <xdr:spPr>
        <a:xfrm flipV="1">
          <a:off x="9525000" y="24491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254</xdr:row>
      <xdr:rowOff>130972</xdr:rowOff>
    </xdr:from>
    <xdr:to>
      <xdr:col>14</xdr:col>
      <xdr:colOff>190500</xdr:colOff>
      <xdr:row>255</xdr:row>
      <xdr:rowOff>119063</xdr:rowOff>
    </xdr:to>
    <xdr:cxnSp macro="">
      <xdr:nvCxnSpPr>
        <xdr:cNvPr id="478" name="Connecteur droit avec flèche 477"/>
        <xdr:cNvCxnSpPr/>
      </xdr:nvCxnSpPr>
      <xdr:spPr>
        <a:xfrm>
          <a:off x="9513094" y="24884066"/>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254</xdr:row>
      <xdr:rowOff>119063</xdr:rowOff>
    </xdr:from>
    <xdr:to>
      <xdr:col>14</xdr:col>
      <xdr:colOff>83344</xdr:colOff>
      <xdr:row>254</xdr:row>
      <xdr:rowOff>119063</xdr:rowOff>
    </xdr:to>
    <xdr:cxnSp macro="">
      <xdr:nvCxnSpPr>
        <xdr:cNvPr id="479" name="Connecteur droit avec flèche 478"/>
        <xdr:cNvCxnSpPr/>
      </xdr:nvCxnSpPr>
      <xdr:spPr>
        <a:xfrm>
          <a:off x="9513094" y="24872157"/>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252</xdr:row>
      <xdr:rowOff>107156</xdr:rowOff>
    </xdr:from>
    <xdr:to>
      <xdr:col>14</xdr:col>
      <xdr:colOff>107157</xdr:colOff>
      <xdr:row>252</xdr:row>
      <xdr:rowOff>107157</xdr:rowOff>
    </xdr:to>
    <xdr:cxnSp macro="">
      <xdr:nvCxnSpPr>
        <xdr:cNvPr id="480" name="Connecteur droit avec flèche 479"/>
        <xdr:cNvCxnSpPr/>
      </xdr:nvCxnSpPr>
      <xdr:spPr>
        <a:xfrm flipV="1">
          <a:off x="10989469" y="24479250"/>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252</xdr:row>
      <xdr:rowOff>107158</xdr:rowOff>
    </xdr:from>
    <xdr:to>
      <xdr:col>14</xdr:col>
      <xdr:colOff>226219</xdr:colOff>
      <xdr:row>253</xdr:row>
      <xdr:rowOff>130969</xdr:rowOff>
    </xdr:to>
    <xdr:cxnSp macro="">
      <xdr:nvCxnSpPr>
        <xdr:cNvPr id="481" name="Connecteur droit avec flèche 480"/>
        <xdr:cNvCxnSpPr/>
      </xdr:nvCxnSpPr>
      <xdr:spPr>
        <a:xfrm>
          <a:off x="10965656" y="24479252"/>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250</xdr:row>
      <xdr:rowOff>107157</xdr:rowOff>
    </xdr:from>
    <xdr:to>
      <xdr:col>14</xdr:col>
      <xdr:colOff>107157</xdr:colOff>
      <xdr:row>250</xdr:row>
      <xdr:rowOff>107158</xdr:rowOff>
    </xdr:to>
    <xdr:cxnSp macro="">
      <xdr:nvCxnSpPr>
        <xdr:cNvPr id="482" name="Connecteur droit avec flèche 481"/>
        <xdr:cNvCxnSpPr/>
      </xdr:nvCxnSpPr>
      <xdr:spPr>
        <a:xfrm flipV="1">
          <a:off x="10989469" y="24098251"/>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250</xdr:row>
      <xdr:rowOff>107159</xdr:rowOff>
    </xdr:from>
    <xdr:to>
      <xdr:col>14</xdr:col>
      <xdr:colOff>226219</xdr:colOff>
      <xdr:row>251</xdr:row>
      <xdr:rowOff>130970</xdr:rowOff>
    </xdr:to>
    <xdr:cxnSp macro="">
      <xdr:nvCxnSpPr>
        <xdr:cNvPr id="483" name="Connecteur droit avec flèche 482"/>
        <xdr:cNvCxnSpPr/>
      </xdr:nvCxnSpPr>
      <xdr:spPr>
        <a:xfrm>
          <a:off x="10965656" y="24098253"/>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250</xdr:row>
      <xdr:rowOff>15875</xdr:rowOff>
    </xdr:from>
    <xdr:to>
      <xdr:col>7</xdr:col>
      <xdr:colOff>41486</xdr:colOff>
      <xdr:row>262</xdr:row>
      <xdr:rowOff>127000</xdr:rowOff>
    </xdr:to>
    <xdr:sp macro="" textlink="">
      <xdr:nvSpPr>
        <xdr:cNvPr id="484" name="Accolade fermante 483"/>
        <xdr:cNvSpPr/>
      </xdr:nvSpPr>
      <xdr:spPr>
        <a:xfrm>
          <a:off x="6615642" y="24006969"/>
          <a:ext cx="45719"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486834</xdr:colOff>
      <xdr:row>320</xdr:row>
      <xdr:rowOff>130970</xdr:rowOff>
    </xdr:from>
    <xdr:to>
      <xdr:col>10</xdr:col>
      <xdr:colOff>119063</xdr:colOff>
      <xdr:row>322</xdr:row>
      <xdr:rowOff>74083</xdr:rowOff>
    </xdr:to>
    <xdr:cxnSp macro="">
      <xdr:nvCxnSpPr>
        <xdr:cNvPr id="485" name="Connecteur droit avec flèche 484"/>
        <xdr:cNvCxnSpPr/>
      </xdr:nvCxnSpPr>
      <xdr:spPr>
        <a:xfrm flipV="1">
          <a:off x="7868709" y="42410064"/>
          <a:ext cx="1156229" cy="3241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476250</xdr:colOff>
      <xdr:row>321</xdr:row>
      <xdr:rowOff>119063</xdr:rowOff>
    </xdr:from>
    <xdr:to>
      <xdr:col>10</xdr:col>
      <xdr:colOff>107156</xdr:colOff>
      <xdr:row>322</xdr:row>
      <xdr:rowOff>63500</xdr:rowOff>
    </xdr:to>
    <xdr:cxnSp macro="">
      <xdr:nvCxnSpPr>
        <xdr:cNvPr id="486" name="Connecteur droit avec flèche 485"/>
        <xdr:cNvCxnSpPr/>
      </xdr:nvCxnSpPr>
      <xdr:spPr>
        <a:xfrm flipV="1">
          <a:off x="7858125" y="42588657"/>
          <a:ext cx="1154906" cy="13493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320</xdr:row>
      <xdr:rowOff>0</xdr:rowOff>
    </xdr:from>
    <xdr:to>
      <xdr:col>12</xdr:col>
      <xdr:colOff>166688</xdr:colOff>
      <xdr:row>320</xdr:row>
      <xdr:rowOff>83344</xdr:rowOff>
    </xdr:to>
    <xdr:cxnSp macro="">
      <xdr:nvCxnSpPr>
        <xdr:cNvPr id="487" name="Connecteur droit avec flèche 486"/>
        <xdr:cNvCxnSpPr/>
      </xdr:nvCxnSpPr>
      <xdr:spPr>
        <a:xfrm flipV="1">
          <a:off x="9548812" y="42279094"/>
          <a:ext cx="1047751" cy="833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320</xdr:row>
      <xdr:rowOff>119063</xdr:rowOff>
    </xdr:from>
    <xdr:to>
      <xdr:col>12</xdr:col>
      <xdr:colOff>166688</xdr:colOff>
      <xdr:row>320</xdr:row>
      <xdr:rowOff>119064</xdr:rowOff>
    </xdr:to>
    <xdr:cxnSp macro="">
      <xdr:nvCxnSpPr>
        <xdr:cNvPr id="488" name="Connecteur droit avec flèche 487"/>
        <xdr:cNvCxnSpPr/>
      </xdr:nvCxnSpPr>
      <xdr:spPr>
        <a:xfrm flipV="1">
          <a:off x="9525000" y="42398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321</xdr:row>
      <xdr:rowOff>130972</xdr:rowOff>
    </xdr:from>
    <xdr:to>
      <xdr:col>14</xdr:col>
      <xdr:colOff>190500</xdr:colOff>
      <xdr:row>322</xdr:row>
      <xdr:rowOff>119063</xdr:rowOff>
    </xdr:to>
    <xdr:cxnSp macro="">
      <xdr:nvCxnSpPr>
        <xdr:cNvPr id="489" name="Connecteur droit avec flèche 488"/>
        <xdr:cNvCxnSpPr/>
      </xdr:nvCxnSpPr>
      <xdr:spPr>
        <a:xfrm>
          <a:off x="9513094" y="42600566"/>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321</xdr:row>
      <xdr:rowOff>119063</xdr:rowOff>
    </xdr:from>
    <xdr:to>
      <xdr:col>14</xdr:col>
      <xdr:colOff>83344</xdr:colOff>
      <xdr:row>321</xdr:row>
      <xdr:rowOff>119063</xdr:rowOff>
    </xdr:to>
    <xdr:cxnSp macro="">
      <xdr:nvCxnSpPr>
        <xdr:cNvPr id="490" name="Connecteur droit avec flèche 489"/>
        <xdr:cNvCxnSpPr/>
      </xdr:nvCxnSpPr>
      <xdr:spPr>
        <a:xfrm>
          <a:off x="9513094" y="42588657"/>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320</xdr:row>
      <xdr:rowOff>107156</xdr:rowOff>
    </xdr:from>
    <xdr:to>
      <xdr:col>14</xdr:col>
      <xdr:colOff>107157</xdr:colOff>
      <xdr:row>320</xdr:row>
      <xdr:rowOff>107157</xdr:rowOff>
    </xdr:to>
    <xdr:cxnSp macro="">
      <xdr:nvCxnSpPr>
        <xdr:cNvPr id="491" name="Connecteur droit avec flèche 490"/>
        <xdr:cNvCxnSpPr/>
      </xdr:nvCxnSpPr>
      <xdr:spPr>
        <a:xfrm flipV="1">
          <a:off x="10989469" y="42386250"/>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316</xdr:row>
      <xdr:rowOff>130969</xdr:rowOff>
    </xdr:from>
    <xdr:to>
      <xdr:col>10</xdr:col>
      <xdr:colOff>119063</xdr:colOff>
      <xdr:row>317</xdr:row>
      <xdr:rowOff>107156</xdr:rowOff>
    </xdr:to>
    <xdr:cxnSp macro="">
      <xdr:nvCxnSpPr>
        <xdr:cNvPr id="492" name="Connecteur droit avec flèche 491"/>
        <xdr:cNvCxnSpPr/>
      </xdr:nvCxnSpPr>
      <xdr:spPr>
        <a:xfrm flipV="1">
          <a:off x="8084344" y="41648063"/>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317</xdr:row>
      <xdr:rowOff>119063</xdr:rowOff>
    </xdr:from>
    <xdr:to>
      <xdr:col>10</xdr:col>
      <xdr:colOff>107156</xdr:colOff>
      <xdr:row>318</xdr:row>
      <xdr:rowOff>119063</xdr:rowOff>
    </xdr:to>
    <xdr:cxnSp macro="">
      <xdr:nvCxnSpPr>
        <xdr:cNvPr id="493" name="Connecteur droit avec flèche 492"/>
        <xdr:cNvCxnSpPr/>
      </xdr:nvCxnSpPr>
      <xdr:spPr>
        <a:xfrm>
          <a:off x="8096250" y="41826657"/>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314</xdr:row>
      <xdr:rowOff>107156</xdr:rowOff>
    </xdr:from>
    <xdr:to>
      <xdr:col>12</xdr:col>
      <xdr:colOff>166688</xdr:colOff>
      <xdr:row>316</xdr:row>
      <xdr:rowOff>83344</xdr:rowOff>
    </xdr:to>
    <xdr:cxnSp macro="">
      <xdr:nvCxnSpPr>
        <xdr:cNvPr id="494" name="Connecteur droit avec flèche 493"/>
        <xdr:cNvCxnSpPr/>
      </xdr:nvCxnSpPr>
      <xdr:spPr>
        <a:xfrm flipV="1">
          <a:off x="9548812" y="41243250"/>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316</xdr:row>
      <xdr:rowOff>119063</xdr:rowOff>
    </xdr:from>
    <xdr:to>
      <xdr:col>12</xdr:col>
      <xdr:colOff>166688</xdr:colOff>
      <xdr:row>316</xdr:row>
      <xdr:rowOff>119064</xdr:rowOff>
    </xdr:to>
    <xdr:cxnSp macro="">
      <xdr:nvCxnSpPr>
        <xdr:cNvPr id="495" name="Connecteur droit avec flèche 494"/>
        <xdr:cNvCxnSpPr/>
      </xdr:nvCxnSpPr>
      <xdr:spPr>
        <a:xfrm flipV="1">
          <a:off x="9525000" y="4163615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318</xdr:row>
      <xdr:rowOff>130972</xdr:rowOff>
    </xdr:from>
    <xdr:to>
      <xdr:col>14</xdr:col>
      <xdr:colOff>190500</xdr:colOff>
      <xdr:row>319</xdr:row>
      <xdr:rowOff>119063</xdr:rowOff>
    </xdr:to>
    <xdr:cxnSp macro="">
      <xdr:nvCxnSpPr>
        <xdr:cNvPr id="496" name="Connecteur droit avec flèche 495"/>
        <xdr:cNvCxnSpPr/>
      </xdr:nvCxnSpPr>
      <xdr:spPr>
        <a:xfrm>
          <a:off x="9513094" y="42029066"/>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318</xdr:row>
      <xdr:rowOff>119063</xdr:rowOff>
    </xdr:from>
    <xdr:to>
      <xdr:col>14</xdr:col>
      <xdr:colOff>83344</xdr:colOff>
      <xdr:row>318</xdr:row>
      <xdr:rowOff>119063</xdr:rowOff>
    </xdr:to>
    <xdr:cxnSp macro="">
      <xdr:nvCxnSpPr>
        <xdr:cNvPr id="497" name="Connecteur droit avec flèche 496"/>
        <xdr:cNvCxnSpPr/>
      </xdr:nvCxnSpPr>
      <xdr:spPr>
        <a:xfrm>
          <a:off x="9513094" y="42017157"/>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316</xdr:row>
      <xdr:rowOff>107156</xdr:rowOff>
    </xdr:from>
    <xdr:to>
      <xdr:col>14</xdr:col>
      <xdr:colOff>107157</xdr:colOff>
      <xdr:row>316</xdr:row>
      <xdr:rowOff>107157</xdr:rowOff>
    </xdr:to>
    <xdr:cxnSp macro="">
      <xdr:nvCxnSpPr>
        <xdr:cNvPr id="498" name="Connecteur droit avec flèche 497"/>
        <xdr:cNvCxnSpPr/>
      </xdr:nvCxnSpPr>
      <xdr:spPr>
        <a:xfrm flipV="1">
          <a:off x="10989469" y="41624250"/>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316</xdr:row>
      <xdr:rowOff>107158</xdr:rowOff>
    </xdr:from>
    <xdr:to>
      <xdr:col>14</xdr:col>
      <xdr:colOff>226219</xdr:colOff>
      <xdr:row>317</xdr:row>
      <xdr:rowOff>130969</xdr:rowOff>
    </xdr:to>
    <xdr:cxnSp macro="">
      <xdr:nvCxnSpPr>
        <xdr:cNvPr id="499" name="Connecteur droit avec flèche 498"/>
        <xdr:cNvCxnSpPr/>
      </xdr:nvCxnSpPr>
      <xdr:spPr>
        <a:xfrm>
          <a:off x="10965656" y="41624252"/>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314</xdr:row>
      <xdr:rowOff>107157</xdr:rowOff>
    </xdr:from>
    <xdr:to>
      <xdr:col>14</xdr:col>
      <xdr:colOff>107157</xdr:colOff>
      <xdr:row>314</xdr:row>
      <xdr:rowOff>107158</xdr:rowOff>
    </xdr:to>
    <xdr:cxnSp macro="">
      <xdr:nvCxnSpPr>
        <xdr:cNvPr id="500" name="Connecteur droit avec flèche 499"/>
        <xdr:cNvCxnSpPr/>
      </xdr:nvCxnSpPr>
      <xdr:spPr>
        <a:xfrm flipV="1">
          <a:off x="10989469" y="41243251"/>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314</xdr:row>
      <xdr:rowOff>107159</xdr:rowOff>
    </xdr:from>
    <xdr:to>
      <xdr:col>14</xdr:col>
      <xdr:colOff>226219</xdr:colOff>
      <xdr:row>315</xdr:row>
      <xdr:rowOff>130970</xdr:rowOff>
    </xdr:to>
    <xdr:cxnSp macro="">
      <xdr:nvCxnSpPr>
        <xdr:cNvPr id="501" name="Connecteur droit avec flèche 500"/>
        <xdr:cNvCxnSpPr/>
      </xdr:nvCxnSpPr>
      <xdr:spPr>
        <a:xfrm>
          <a:off x="10965656" y="41243253"/>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1035843</xdr:colOff>
      <xdr:row>314</xdr:row>
      <xdr:rowOff>35719</xdr:rowOff>
    </xdr:from>
    <xdr:to>
      <xdr:col>6</xdr:col>
      <xdr:colOff>1131094</xdr:colOff>
      <xdr:row>323</xdr:row>
      <xdr:rowOff>0</xdr:rowOff>
    </xdr:to>
    <xdr:sp macro="" textlink="">
      <xdr:nvSpPr>
        <xdr:cNvPr id="503" name="Accolade fermante 502"/>
        <xdr:cNvSpPr/>
      </xdr:nvSpPr>
      <xdr:spPr>
        <a:xfrm>
          <a:off x="6274593" y="43076813"/>
          <a:ext cx="95251" cy="1678781"/>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80</xdr:row>
      <xdr:rowOff>107156</xdr:rowOff>
    </xdr:from>
    <xdr:to>
      <xdr:col>10</xdr:col>
      <xdr:colOff>199073</xdr:colOff>
      <xdr:row>80</xdr:row>
      <xdr:rowOff>108744</xdr:rowOff>
    </xdr:to>
    <xdr:cxnSp macro="">
      <xdr:nvCxnSpPr>
        <xdr:cNvPr id="437" name="Connecteur droit avec flèche 436"/>
        <xdr:cNvCxnSpPr/>
      </xdr:nvCxnSpPr>
      <xdr:spPr>
        <a:xfrm>
          <a:off x="7958138" y="18642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76</xdr:row>
      <xdr:rowOff>130969</xdr:rowOff>
    </xdr:from>
    <xdr:to>
      <xdr:col>10</xdr:col>
      <xdr:colOff>119063</xdr:colOff>
      <xdr:row>77</xdr:row>
      <xdr:rowOff>107156</xdr:rowOff>
    </xdr:to>
    <xdr:cxnSp macro="">
      <xdr:nvCxnSpPr>
        <xdr:cNvPr id="439" name="Connecteur droit avec flèche 438"/>
        <xdr:cNvCxnSpPr/>
      </xdr:nvCxnSpPr>
      <xdr:spPr>
        <a:xfrm flipV="1">
          <a:off x="8112919" y="17904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77</xdr:row>
      <xdr:rowOff>119063</xdr:rowOff>
    </xdr:from>
    <xdr:to>
      <xdr:col>10</xdr:col>
      <xdr:colOff>107156</xdr:colOff>
      <xdr:row>78</xdr:row>
      <xdr:rowOff>119063</xdr:rowOff>
    </xdr:to>
    <xdr:cxnSp macro="">
      <xdr:nvCxnSpPr>
        <xdr:cNvPr id="440" name="Connecteur droit avec flèche 439"/>
        <xdr:cNvCxnSpPr/>
      </xdr:nvCxnSpPr>
      <xdr:spPr>
        <a:xfrm>
          <a:off x="8124825" y="18083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74</xdr:row>
      <xdr:rowOff>107156</xdr:rowOff>
    </xdr:from>
    <xdr:to>
      <xdr:col>12</xdr:col>
      <xdr:colOff>166688</xdr:colOff>
      <xdr:row>76</xdr:row>
      <xdr:rowOff>83344</xdr:rowOff>
    </xdr:to>
    <xdr:cxnSp macro="">
      <xdr:nvCxnSpPr>
        <xdr:cNvPr id="441" name="Connecteur droit avec flèche 440"/>
        <xdr:cNvCxnSpPr/>
      </xdr:nvCxnSpPr>
      <xdr:spPr>
        <a:xfrm flipV="1">
          <a:off x="9577387" y="17499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76</xdr:row>
      <xdr:rowOff>119063</xdr:rowOff>
    </xdr:from>
    <xdr:to>
      <xdr:col>12</xdr:col>
      <xdr:colOff>166688</xdr:colOff>
      <xdr:row>76</xdr:row>
      <xdr:rowOff>119064</xdr:rowOff>
    </xdr:to>
    <xdr:cxnSp macro="">
      <xdr:nvCxnSpPr>
        <xdr:cNvPr id="442" name="Connecteur droit avec flèche 441"/>
        <xdr:cNvCxnSpPr/>
      </xdr:nvCxnSpPr>
      <xdr:spPr>
        <a:xfrm flipV="1">
          <a:off x="9553575" y="17892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80</xdr:row>
      <xdr:rowOff>119063</xdr:rowOff>
    </xdr:from>
    <xdr:to>
      <xdr:col>14</xdr:col>
      <xdr:colOff>59531</xdr:colOff>
      <xdr:row>80</xdr:row>
      <xdr:rowOff>119063</xdr:rowOff>
    </xdr:to>
    <xdr:cxnSp macro="">
      <xdr:nvCxnSpPr>
        <xdr:cNvPr id="443" name="Connecteur droit avec flèche 442"/>
        <xdr:cNvCxnSpPr/>
      </xdr:nvCxnSpPr>
      <xdr:spPr>
        <a:xfrm>
          <a:off x="9589293" y="18654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78</xdr:row>
      <xdr:rowOff>130972</xdr:rowOff>
    </xdr:from>
    <xdr:to>
      <xdr:col>14</xdr:col>
      <xdr:colOff>190500</xdr:colOff>
      <xdr:row>79</xdr:row>
      <xdr:rowOff>119063</xdr:rowOff>
    </xdr:to>
    <xdr:cxnSp macro="">
      <xdr:nvCxnSpPr>
        <xdr:cNvPr id="444" name="Connecteur droit avec flèche 443"/>
        <xdr:cNvCxnSpPr/>
      </xdr:nvCxnSpPr>
      <xdr:spPr>
        <a:xfrm>
          <a:off x="9541669" y="18285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78</xdr:row>
      <xdr:rowOff>119063</xdr:rowOff>
    </xdr:from>
    <xdr:to>
      <xdr:col>14</xdr:col>
      <xdr:colOff>83344</xdr:colOff>
      <xdr:row>78</xdr:row>
      <xdr:rowOff>119063</xdr:rowOff>
    </xdr:to>
    <xdr:cxnSp macro="">
      <xdr:nvCxnSpPr>
        <xdr:cNvPr id="445" name="Connecteur droit avec flèche 444"/>
        <xdr:cNvCxnSpPr/>
      </xdr:nvCxnSpPr>
      <xdr:spPr>
        <a:xfrm>
          <a:off x="9541669" y="18273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76</xdr:row>
      <xdr:rowOff>107156</xdr:rowOff>
    </xdr:from>
    <xdr:to>
      <xdr:col>14</xdr:col>
      <xdr:colOff>107157</xdr:colOff>
      <xdr:row>76</xdr:row>
      <xdr:rowOff>107157</xdr:rowOff>
    </xdr:to>
    <xdr:cxnSp macro="">
      <xdr:nvCxnSpPr>
        <xdr:cNvPr id="446" name="Connecteur droit avec flèche 445"/>
        <xdr:cNvCxnSpPr/>
      </xdr:nvCxnSpPr>
      <xdr:spPr>
        <a:xfrm flipV="1">
          <a:off x="11018044" y="17880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76</xdr:row>
      <xdr:rowOff>107158</xdr:rowOff>
    </xdr:from>
    <xdr:to>
      <xdr:col>14</xdr:col>
      <xdr:colOff>226219</xdr:colOff>
      <xdr:row>77</xdr:row>
      <xdr:rowOff>130969</xdr:rowOff>
    </xdr:to>
    <xdr:cxnSp macro="">
      <xdr:nvCxnSpPr>
        <xdr:cNvPr id="447" name="Connecteur droit avec flèche 446"/>
        <xdr:cNvCxnSpPr/>
      </xdr:nvCxnSpPr>
      <xdr:spPr>
        <a:xfrm>
          <a:off x="10994231" y="17880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74</xdr:row>
      <xdr:rowOff>107157</xdr:rowOff>
    </xdr:from>
    <xdr:to>
      <xdr:col>14</xdr:col>
      <xdr:colOff>107157</xdr:colOff>
      <xdr:row>74</xdr:row>
      <xdr:rowOff>107158</xdr:rowOff>
    </xdr:to>
    <xdr:cxnSp macro="">
      <xdr:nvCxnSpPr>
        <xdr:cNvPr id="448" name="Connecteur droit avec flèche 447"/>
        <xdr:cNvCxnSpPr/>
      </xdr:nvCxnSpPr>
      <xdr:spPr>
        <a:xfrm flipV="1">
          <a:off x="11018044" y="17499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74</xdr:row>
      <xdr:rowOff>107159</xdr:rowOff>
    </xdr:from>
    <xdr:to>
      <xdr:col>14</xdr:col>
      <xdr:colOff>226219</xdr:colOff>
      <xdr:row>75</xdr:row>
      <xdr:rowOff>130970</xdr:rowOff>
    </xdr:to>
    <xdr:cxnSp macro="">
      <xdr:nvCxnSpPr>
        <xdr:cNvPr id="449" name="Connecteur droit avec flèche 448"/>
        <xdr:cNvCxnSpPr/>
      </xdr:nvCxnSpPr>
      <xdr:spPr>
        <a:xfrm>
          <a:off x="10994231" y="17499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70</xdr:row>
      <xdr:rowOff>130969</xdr:rowOff>
    </xdr:from>
    <xdr:to>
      <xdr:col>10</xdr:col>
      <xdr:colOff>119063</xdr:colOff>
      <xdr:row>71</xdr:row>
      <xdr:rowOff>107156</xdr:rowOff>
    </xdr:to>
    <xdr:cxnSp macro="">
      <xdr:nvCxnSpPr>
        <xdr:cNvPr id="450" name="Connecteur droit avec flèche 449"/>
        <xdr:cNvCxnSpPr/>
      </xdr:nvCxnSpPr>
      <xdr:spPr>
        <a:xfrm flipV="1">
          <a:off x="8112919" y="16761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71</xdr:row>
      <xdr:rowOff>119063</xdr:rowOff>
    </xdr:from>
    <xdr:to>
      <xdr:col>10</xdr:col>
      <xdr:colOff>107156</xdr:colOff>
      <xdr:row>72</xdr:row>
      <xdr:rowOff>119063</xdr:rowOff>
    </xdr:to>
    <xdr:cxnSp macro="">
      <xdr:nvCxnSpPr>
        <xdr:cNvPr id="451" name="Connecteur droit avec flèche 450"/>
        <xdr:cNvCxnSpPr/>
      </xdr:nvCxnSpPr>
      <xdr:spPr>
        <a:xfrm>
          <a:off x="8124825" y="16940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68</xdr:row>
      <xdr:rowOff>107156</xdr:rowOff>
    </xdr:from>
    <xdr:to>
      <xdr:col>12</xdr:col>
      <xdr:colOff>166688</xdr:colOff>
      <xdr:row>70</xdr:row>
      <xdr:rowOff>83344</xdr:rowOff>
    </xdr:to>
    <xdr:cxnSp macro="">
      <xdr:nvCxnSpPr>
        <xdr:cNvPr id="452" name="Connecteur droit avec flèche 451"/>
        <xdr:cNvCxnSpPr/>
      </xdr:nvCxnSpPr>
      <xdr:spPr>
        <a:xfrm flipV="1">
          <a:off x="9577387" y="16356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70</xdr:row>
      <xdr:rowOff>119063</xdr:rowOff>
    </xdr:from>
    <xdr:to>
      <xdr:col>12</xdr:col>
      <xdr:colOff>166688</xdr:colOff>
      <xdr:row>70</xdr:row>
      <xdr:rowOff>119064</xdr:rowOff>
    </xdr:to>
    <xdr:cxnSp macro="">
      <xdr:nvCxnSpPr>
        <xdr:cNvPr id="453" name="Connecteur droit avec flèche 452"/>
        <xdr:cNvCxnSpPr/>
      </xdr:nvCxnSpPr>
      <xdr:spPr>
        <a:xfrm flipV="1">
          <a:off x="9553575" y="16749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72</xdr:row>
      <xdr:rowOff>130972</xdr:rowOff>
    </xdr:from>
    <xdr:to>
      <xdr:col>14</xdr:col>
      <xdr:colOff>190500</xdr:colOff>
      <xdr:row>73</xdr:row>
      <xdr:rowOff>119063</xdr:rowOff>
    </xdr:to>
    <xdr:cxnSp macro="">
      <xdr:nvCxnSpPr>
        <xdr:cNvPr id="454" name="Connecteur droit avec flèche 453"/>
        <xdr:cNvCxnSpPr/>
      </xdr:nvCxnSpPr>
      <xdr:spPr>
        <a:xfrm>
          <a:off x="9541669" y="17142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72</xdr:row>
      <xdr:rowOff>119063</xdr:rowOff>
    </xdr:from>
    <xdr:to>
      <xdr:col>14</xdr:col>
      <xdr:colOff>83344</xdr:colOff>
      <xdr:row>72</xdr:row>
      <xdr:rowOff>119063</xdr:rowOff>
    </xdr:to>
    <xdr:cxnSp macro="">
      <xdr:nvCxnSpPr>
        <xdr:cNvPr id="455" name="Connecteur droit avec flèche 454"/>
        <xdr:cNvCxnSpPr/>
      </xdr:nvCxnSpPr>
      <xdr:spPr>
        <a:xfrm>
          <a:off x="9541669" y="17130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70</xdr:row>
      <xdr:rowOff>107156</xdr:rowOff>
    </xdr:from>
    <xdr:to>
      <xdr:col>14</xdr:col>
      <xdr:colOff>107157</xdr:colOff>
      <xdr:row>70</xdr:row>
      <xdr:rowOff>107157</xdr:rowOff>
    </xdr:to>
    <xdr:cxnSp macro="">
      <xdr:nvCxnSpPr>
        <xdr:cNvPr id="456" name="Connecteur droit avec flèche 455"/>
        <xdr:cNvCxnSpPr/>
      </xdr:nvCxnSpPr>
      <xdr:spPr>
        <a:xfrm flipV="1">
          <a:off x="11018044" y="16737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70</xdr:row>
      <xdr:rowOff>107158</xdr:rowOff>
    </xdr:from>
    <xdr:to>
      <xdr:col>14</xdr:col>
      <xdr:colOff>226219</xdr:colOff>
      <xdr:row>71</xdr:row>
      <xdr:rowOff>130969</xdr:rowOff>
    </xdr:to>
    <xdr:cxnSp macro="">
      <xdr:nvCxnSpPr>
        <xdr:cNvPr id="457" name="Connecteur droit avec flèche 456"/>
        <xdr:cNvCxnSpPr/>
      </xdr:nvCxnSpPr>
      <xdr:spPr>
        <a:xfrm>
          <a:off x="10994231" y="16737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68</xdr:row>
      <xdr:rowOff>107157</xdr:rowOff>
    </xdr:from>
    <xdr:to>
      <xdr:col>14</xdr:col>
      <xdr:colOff>107157</xdr:colOff>
      <xdr:row>68</xdr:row>
      <xdr:rowOff>107158</xdr:rowOff>
    </xdr:to>
    <xdr:cxnSp macro="">
      <xdr:nvCxnSpPr>
        <xdr:cNvPr id="458" name="Connecteur droit avec flèche 457"/>
        <xdr:cNvCxnSpPr/>
      </xdr:nvCxnSpPr>
      <xdr:spPr>
        <a:xfrm flipV="1">
          <a:off x="11018044" y="16356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68</xdr:row>
      <xdr:rowOff>107159</xdr:rowOff>
    </xdr:from>
    <xdr:to>
      <xdr:col>14</xdr:col>
      <xdr:colOff>226219</xdr:colOff>
      <xdr:row>69</xdr:row>
      <xdr:rowOff>130970</xdr:rowOff>
    </xdr:to>
    <xdr:cxnSp macro="">
      <xdr:nvCxnSpPr>
        <xdr:cNvPr id="459" name="Connecteur droit avec flèche 458"/>
        <xdr:cNvCxnSpPr/>
      </xdr:nvCxnSpPr>
      <xdr:spPr>
        <a:xfrm>
          <a:off x="10994231" y="16356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68</xdr:row>
      <xdr:rowOff>15875</xdr:rowOff>
    </xdr:from>
    <xdr:to>
      <xdr:col>7</xdr:col>
      <xdr:colOff>41486</xdr:colOff>
      <xdr:row>80</xdr:row>
      <xdr:rowOff>127000</xdr:rowOff>
    </xdr:to>
    <xdr:sp macro="" textlink="">
      <xdr:nvSpPr>
        <xdr:cNvPr id="460" name="Accolade fermante 459"/>
        <xdr:cNvSpPr/>
      </xdr:nvSpPr>
      <xdr:spPr>
        <a:xfrm>
          <a:off x="6634692" y="16265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52</xdr:row>
      <xdr:rowOff>107156</xdr:rowOff>
    </xdr:from>
    <xdr:to>
      <xdr:col>10</xdr:col>
      <xdr:colOff>199073</xdr:colOff>
      <xdr:row>52</xdr:row>
      <xdr:rowOff>108744</xdr:rowOff>
    </xdr:to>
    <xdr:cxnSp macro="">
      <xdr:nvCxnSpPr>
        <xdr:cNvPr id="461" name="Connecteur droit avec flèche 460"/>
        <xdr:cNvCxnSpPr/>
      </xdr:nvCxnSpPr>
      <xdr:spPr>
        <a:xfrm>
          <a:off x="7958138" y="18642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48</xdr:row>
      <xdr:rowOff>130969</xdr:rowOff>
    </xdr:from>
    <xdr:to>
      <xdr:col>10</xdr:col>
      <xdr:colOff>119063</xdr:colOff>
      <xdr:row>49</xdr:row>
      <xdr:rowOff>107156</xdr:rowOff>
    </xdr:to>
    <xdr:cxnSp macro="">
      <xdr:nvCxnSpPr>
        <xdr:cNvPr id="502" name="Connecteur droit avec flèche 501"/>
        <xdr:cNvCxnSpPr/>
      </xdr:nvCxnSpPr>
      <xdr:spPr>
        <a:xfrm flipV="1">
          <a:off x="8112919" y="17904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49</xdr:row>
      <xdr:rowOff>119063</xdr:rowOff>
    </xdr:from>
    <xdr:to>
      <xdr:col>10</xdr:col>
      <xdr:colOff>107156</xdr:colOff>
      <xdr:row>50</xdr:row>
      <xdr:rowOff>119063</xdr:rowOff>
    </xdr:to>
    <xdr:cxnSp macro="">
      <xdr:nvCxnSpPr>
        <xdr:cNvPr id="504" name="Connecteur droit avec flèche 503"/>
        <xdr:cNvCxnSpPr/>
      </xdr:nvCxnSpPr>
      <xdr:spPr>
        <a:xfrm>
          <a:off x="8124825" y="18083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46</xdr:row>
      <xdr:rowOff>107156</xdr:rowOff>
    </xdr:from>
    <xdr:to>
      <xdr:col>12</xdr:col>
      <xdr:colOff>166688</xdr:colOff>
      <xdr:row>48</xdr:row>
      <xdr:rowOff>83344</xdr:rowOff>
    </xdr:to>
    <xdr:cxnSp macro="">
      <xdr:nvCxnSpPr>
        <xdr:cNvPr id="505" name="Connecteur droit avec flèche 504"/>
        <xdr:cNvCxnSpPr/>
      </xdr:nvCxnSpPr>
      <xdr:spPr>
        <a:xfrm flipV="1">
          <a:off x="9577387" y="17499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48</xdr:row>
      <xdr:rowOff>119063</xdr:rowOff>
    </xdr:from>
    <xdr:to>
      <xdr:col>12</xdr:col>
      <xdr:colOff>166688</xdr:colOff>
      <xdr:row>48</xdr:row>
      <xdr:rowOff>119064</xdr:rowOff>
    </xdr:to>
    <xdr:cxnSp macro="">
      <xdr:nvCxnSpPr>
        <xdr:cNvPr id="506" name="Connecteur droit avec flèche 505"/>
        <xdr:cNvCxnSpPr/>
      </xdr:nvCxnSpPr>
      <xdr:spPr>
        <a:xfrm flipV="1">
          <a:off x="9553575" y="17892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52</xdr:row>
      <xdr:rowOff>119063</xdr:rowOff>
    </xdr:from>
    <xdr:to>
      <xdr:col>14</xdr:col>
      <xdr:colOff>59531</xdr:colOff>
      <xdr:row>52</xdr:row>
      <xdr:rowOff>119063</xdr:rowOff>
    </xdr:to>
    <xdr:cxnSp macro="">
      <xdr:nvCxnSpPr>
        <xdr:cNvPr id="507" name="Connecteur droit avec flèche 506"/>
        <xdr:cNvCxnSpPr/>
      </xdr:nvCxnSpPr>
      <xdr:spPr>
        <a:xfrm>
          <a:off x="9589293" y="18654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50</xdr:row>
      <xdr:rowOff>130972</xdr:rowOff>
    </xdr:from>
    <xdr:to>
      <xdr:col>14</xdr:col>
      <xdr:colOff>190500</xdr:colOff>
      <xdr:row>51</xdr:row>
      <xdr:rowOff>119063</xdr:rowOff>
    </xdr:to>
    <xdr:cxnSp macro="">
      <xdr:nvCxnSpPr>
        <xdr:cNvPr id="508" name="Connecteur droit avec flèche 507"/>
        <xdr:cNvCxnSpPr/>
      </xdr:nvCxnSpPr>
      <xdr:spPr>
        <a:xfrm>
          <a:off x="9541669" y="18285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50</xdr:row>
      <xdr:rowOff>119063</xdr:rowOff>
    </xdr:from>
    <xdr:to>
      <xdr:col>14</xdr:col>
      <xdr:colOff>83344</xdr:colOff>
      <xdr:row>50</xdr:row>
      <xdr:rowOff>119063</xdr:rowOff>
    </xdr:to>
    <xdr:cxnSp macro="">
      <xdr:nvCxnSpPr>
        <xdr:cNvPr id="509" name="Connecteur droit avec flèche 508"/>
        <xdr:cNvCxnSpPr/>
      </xdr:nvCxnSpPr>
      <xdr:spPr>
        <a:xfrm>
          <a:off x="9541669" y="18273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48</xdr:row>
      <xdr:rowOff>107156</xdr:rowOff>
    </xdr:from>
    <xdr:to>
      <xdr:col>14</xdr:col>
      <xdr:colOff>107157</xdr:colOff>
      <xdr:row>48</xdr:row>
      <xdr:rowOff>107157</xdr:rowOff>
    </xdr:to>
    <xdr:cxnSp macro="">
      <xdr:nvCxnSpPr>
        <xdr:cNvPr id="510" name="Connecteur droit avec flèche 509"/>
        <xdr:cNvCxnSpPr/>
      </xdr:nvCxnSpPr>
      <xdr:spPr>
        <a:xfrm flipV="1">
          <a:off x="11018044" y="17880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48</xdr:row>
      <xdr:rowOff>107158</xdr:rowOff>
    </xdr:from>
    <xdr:to>
      <xdr:col>14</xdr:col>
      <xdr:colOff>226219</xdr:colOff>
      <xdr:row>49</xdr:row>
      <xdr:rowOff>130969</xdr:rowOff>
    </xdr:to>
    <xdr:cxnSp macro="">
      <xdr:nvCxnSpPr>
        <xdr:cNvPr id="511" name="Connecteur droit avec flèche 510"/>
        <xdr:cNvCxnSpPr/>
      </xdr:nvCxnSpPr>
      <xdr:spPr>
        <a:xfrm>
          <a:off x="10994231" y="17880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46</xdr:row>
      <xdr:rowOff>107157</xdr:rowOff>
    </xdr:from>
    <xdr:to>
      <xdr:col>14</xdr:col>
      <xdr:colOff>107157</xdr:colOff>
      <xdr:row>46</xdr:row>
      <xdr:rowOff>107158</xdr:rowOff>
    </xdr:to>
    <xdr:cxnSp macro="">
      <xdr:nvCxnSpPr>
        <xdr:cNvPr id="512" name="Connecteur droit avec flèche 511"/>
        <xdr:cNvCxnSpPr/>
      </xdr:nvCxnSpPr>
      <xdr:spPr>
        <a:xfrm flipV="1">
          <a:off x="11018044" y="17499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46</xdr:row>
      <xdr:rowOff>107159</xdr:rowOff>
    </xdr:from>
    <xdr:to>
      <xdr:col>14</xdr:col>
      <xdr:colOff>226219</xdr:colOff>
      <xdr:row>47</xdr:row>
      <xdr:rowOff>130970</xdr:rowOff>
    </xdr:to>
    <xdr:cxnSp macro="">
      <xdr:nvCxnSpPr>
        <xdr:cNvPr id="513" name="Connecteur droit avec flèche 512"/>
        <xdr:cNvCxnSpPr/>
      </xdr:nvCxnSpPr>
      <xdr:spPr>
        <a:xfrm>
          <a:off x="10994231" y="17499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42</xdr:row>
      <xdr:rowOff>130969</xdr:rowOff>
    </xdr:from>
    <xdr:to>
      <xdr:col>10</xdr:col>
      <xdr:colOff>119063</xdr:colOff>
      <xdr:row>43</xdr:row>
      <xdr:rowOff>107156</xdr:rowOff>
    </xdr:to>
    <xdr:cxnSp macro="">
      <xdr:nvCxnSpPr>
        <xdr:cNvPr id="514" name="Connecteur droit avec flèche 513"/>
        <xdr:cNvCxnSpPr/>
      </xdr:nvCxnSpPr>
      <xdr:spPr>
        <a:xfrm flipV="1">
          <a:off x="8112919" y="16761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43</xdr:row>
      <xdr:rowOff>119063</xdr:rowOff>
    </xdr:from>
    <xdr:to>
      <xdr:col>10</xdr:col>
      <xdr:colOff>107156</xdr:colOff>
      <xdr:row>44</xdr:row>
      <xdr:rowOff>119063</xdr:rowOff>
    </xdr:to>
    <xdr:cxnSp macro="">
      <xdr:nvCxnSpPr>
        <xdr:cNvPr id="515" name="Connecteur droit avec flèche 514"/>
        <xdr:cNvCxnSpPr/>
      </xdr:nvCxnSpPr>
      <xdr:spPr>
        <a:xfrm>
          <a:off x="8124825" y="16940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40</xdr:row>
      <xdr:rowOff>107156</xdr:rowOff>
    </xdr:from>
    <xdr:to>
      <xdr:col>12</xdr:col>
      <xdr:colOff>166688</xdr:colOff>
      <xdr:row>42</xdr:row>
      <xdr:rowOff>83344</xdr:rowOff>
    </xdr:to>
    <xdr:cxnSp macro="">
      <xdr:nvCxnSpPr>
        <xdr:cNvPr id="516" name="Connecteur droit avec flèche 515"/>
        <xdr:cNvCxnSpPr/>
      </xdr:nvCxnSpPr>
      <xdr:spPr>
        <a:xfrm flipV="1">
          <a:off x="9577387" y="16356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42</xdr:row>
      <xdr:rowOff>119063</xdr:rowOff>
    </xdr:from>
    <xdr:to>
      <xdr:col>12</xdr:col>
      <xdr:colOff>166688</xdr:colOff>
      <xdr:row>42</xdr:row>
      <xdr:rowOff>119064</xdr:rowOff>
    </xdr:to>
    <xdr:cxnSp macro="">
      <xdr:nvCxnSpPr>
        <xdr:cNvPr id="517" name="Connecteur droit avec flèche 516"/>
        <xdr:cNvCxnSpPr/>
      </xdr:nvCxnSpPr>
      <xdr:spPr>
        <a:xfrm flipV="1">
          <a:off x="9553575" y="16749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44</xdr:row>
      <xdr:rowOff>130972</xdr:rowOff>
    </xdr:from>
    <xdr:to>
      <xdr:col>14</xdr:col>
      <xdr:colOff>190500</xdr:colOff>
      <xdr:row>45</xdr:row>
      <xdr:rowOff>119063</xdr:rowOff>
    </xdr:to>
    <xdr:cxnSp macro="">
      <xdr:nvCxnSpPr>
        <xdr:cNvPr id="518" name="Connecteur droit avec flèche 517"/>
        <xdr:cNvCxnSpPr/>
      </xdr:nvCxnSpPr>
      <xdr:spPr>
        <a:xfrm>
          <a:off x="9541669" y="17142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44</xdr:row>
      <xdr:rowOff>119063</xdr:rowOff>
    </xdr:from>
    <xdr:to>
      <xdr:col>14</xdr:col>
      <xdr:colOff>83344</xdr:colOff>
      <xdr:row>44</xdr:row>
      <xdr:rowOff>119063</xdr:rowOff>
    </xdr:to>
    <xdr:cxnSp macro="">
      <xdr:nvCxnSpPr>
        <xdr:cNvPr id="519" name="Connecteur droit avec flèche 518"/>
        <xdr:cNvCxnSpPr/>
      </xdr:nvCxnSpPr>
      <xdr:spPr>
        <a:xfrm>
          <a:off x="9541669" y="17130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42</xdr:row>
      <xdr:rowOff>107156</xdr:rowOff>
    </xdr:from>
    <xdr:to>
      <xdr:col>14</xdr:col>
      <xdr:colOff>107157</xdr:colOff>
      <xdr:row>42</xdr:row>
      <xdr:rowOff>107157</xdr:rowOff>
    </xdr:to>
    <xdr:cxnSp macro="">
      <xdr:nvCxnSpPr>
        <xdr:cNvPr id="520" name="Connecteur droit avec flèche 519"/>
        <xdr:cNvCxnSpPr/>
      </xdr:nvCxnSpPr>
      <xdr:spPr>
        <a:xfrm flipV="1">
          <a:off x="11018044" y="16737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42</xdr:row>
      <xdr:rowOff>107158</xdr:rowOff>
    </xdr:from>
    <xdr:to>
      <xdr:col>14</xdr:col>
      <xdr:colOff>226219</xdr:colOff>
      <xdr:row>43</xdr:row>
      <xdr:rowOff>130969</xdr:rowOff>
    </xdr:to>
    <xdr:cxnSp macro="">
      <xdr:nvCxnSpPr>
        <xdr:cNvPr id="521" name="Connecteur droit avec flèche 520"/>
        <xdr:cNvCxnSpPr/>
      </xdr:nvCxnSpPr>
      <xdr:spPr>
        <a:xfrm>
          <a:off x="10994231" y="16737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40</xdr:row>
      <xdr:rowOff>107157</xdr:rowOff>
    </xdr:from>
    <xdr:to>
      <xdr:col>14</xdr:col>
      <xdr:colOff>107157</xdr:colOff>
      <xdr:row>40</xdr:row>
      <xdr:rowOff>107158</xdr:rowOff>
    </xdr:to>
    <xdr:cxnSp macro="">
      <xdr:nvCxnSpPr>
        <xdr:cNvPr id="522" name="Connecteur droit avec flèche 521"/>
        <xdr:cNvCxnSpPr/>
      </xdr:nvCxnSpPr>
      <xdr:spPr>
        <a:xfrm flipV="1">
          <a:off x="11018044" y="16356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40</xdr:row>
      <xdr:rowOff>107159</xdr:rowOff>
    </xdr:from>
    <xdr:to>
      <xdr:col>14</xdr:col>
      <xdr:colOff>226219</xdr:colOff>
      <xdr:row>41</xdr:row>
      <xdr:rowOff>130970</xdr:rowOff>
    </xdr:to>
    <xdr:cxnSp macro="">
      <xdr:nvCxnSpPr>
        <xdr:cNvPr id="523" name="Connecteur droit avec flèche 522"/>
        <xdr:cNvCxnSpPr/>
      </xdr:nvCxnSpPr>
      <xdr:spPr>
        <a:xfrm>
          <a:off x="10994231" y="16356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40</xdr:row>
      <xdr:rowOff>15875</xdr:rowOff>
    </xdr:from>
    <xdr:to>
      <xdr:col>7</xdr:col>
      <xdr:colOff>41486</xdr:colOff>
      <xdr:row>52</xdr:row>
      <xdr:rowOff>127000</xdr:rowOff>
    </xdr:to>
    <xdr:sp macro="" textlink="">
      <xdr:nvSpPr>
        <xdr:cNvPr id="524" name="Accolade fermante 523"/>
        <xdr:cNvSpPr/>
      </xdr:nvSpPr>
      <xdr:spPr>
        <a:xfrm>
          <a:off x="6634692" y="16265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164</xdr:row>
      <xdr:rowOff>107156</xdr:rowOff>
    </xdr:from>
    <xdr:to>
      <xdr:col>10</xdr:col>
      <xdr:colOff>199073</xdr:colOff>
      <xdr:row>164</xdr:row>
      <xdr:rowOff>108744</xdr:rowOff>
    </xdr:to>
    <xdr:cxnSp macro="">
      <xdr:nvCxnSpPr>
        <xdr:cNvPr id="525" name="Connecteur droit avec flèche 524"/>
        <xdr:cNvCxnSpPr/>
      </xdr:nvCxnSpPr>
      <xdr:spPr>
        <a:xfrm>
          <a:off x="7958138" y="34644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160</xdr:row>
      <xdr:rowOff>130969</xdr:rowOff>
    </xdr:from>
    <xdr:to>
      <xdr:col>10</xdr:col>
      <xdr:colOff>119063</xdr:colOff>
      <xdr:row>161</xdr:row>
      <xdr:rowOff>107156</xdr:rowOff>
    </xdr:to>
    <xdr:cxnSp macro="">
      <xdr:nvCxnSpPr>
        <xdr:cNvPr id="526" name="Connecteur droit avec flèche 525"/>
        <xdr:cNvCxnSpPr/>
      </xdr:nvCxnSpPr>
      <xdr:spPr>
        <a:xfrm flipV="1">
          <a:off x="8112919" y="33906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161</xdr:row>
      <xdr:rowOff>119063</xdr:rowOff>
    </xdr:from>
    <xdr:to>
      <xdr:col>10</xdr:col>
      <xdr:colOff>107156</xdr:colOff>
      <xdr:row>162</xdr:row>
      <xdr:rowOff>119063</xdr:rowOff>
    </xdr:to>
    <xdr:cxnSp macro="">
      <xdr:nvCxnSpPr>
        <xdr:cNvPr id="527" name="Connecteur droit avec flèche 526"/>
        <xdr:cNvCxnSpPr/>
      </xdr:nvCxnSpPr>
      <xdr:spPr>
        <a:xfrm>
          <a:off x="8124825" y="34085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158</xdr:row>
      <xdr:rowOff>107156</xdr:rowOff>
    </xdr:from>
    <xdr:to>
      <xdr:col>12</xdr:col>
      <xdr:colOff>166688</xdr:colOff>
      <xdr:row>160</xdr:row>
      <xdr:rowOff>83344</xdr:rowOff>
    </xdr:to>
    <xdr:cxnSp macro="">
      <xdr:nvCxnSpPr>
        <xdr:cNvPr id="528" name="Connecteur droit avec flèche 527"/>
        <xdr:cNvCxnSpPr/>
      </xdr:nvCxnSpPr>
      <xdr:spPr>
        <a:xfrm flipV="1">
          <a:off x="9577387" y="33501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160</xdr:row>
      <xdr:rowOff>119063</xdr:rowOff>
    </xdr:from>
    <xdr:to>
      <xdr:col>12</xdr:col>
      <xdr:colOff>166688</xdr:colOff>
      <xdr:row>160</xdr:row>
      <xdr:rowOff>119064</xdr:rowOff>
    </xdr:to>
    <xdr:cxnSp macro="">
      <xdr:nvCxnSpPr>
        <xdr:cNvPr id="529" name="Connecteur droit avec flèche 528"/>
        <xdr:cNvCxnSpPr/>
      </xdr:nvCxnSpPr>
      <xdr:spPr>
        <a:xfrm flipV="1">
          <a:off x="9553575" y="33894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164</xdr:row>
      <xdr:rowOff>119063</xdr:rowOff>
    </xdr:from>
    <xdr:to>
      <xdr:col>14</xdr:col>
      <xdr:colOff>59531</xdr:colOff>
      <xdr:row>164</xdr:row>
      <xdr:rowOff>119063</xdr:rowOff>
    </xdr:to>
    <xdr:cxnSp macro="">
      <xdr:nvCxnSpPr>
        <xdr:cNvPr id="530" name="Connecteur droit avec flèche 529"/>
        <xdr:cNvCxnSpPr/>
      </xdr:nvCxnSpPr>
      <xdr:spPr>
        <a:xfrm>
          <a:off x="9589293" y="34656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162</xdr:row>
      <xdr:rowOff>130972</xdr:rowOff>
    </xdr:from>
    <xdr:to>
      <xdr:col>14</xdr:col>
      <xdr:colOff>190500</xdr:colOff>
      <xdr:row>163</xdr:row>
      <xdr:rowOff>119063</xdr:rowOff>
    </xdr:to>
    <xdr:cxnSp macro="">
      <xdr:nvCxnSpPr>
        <xdr:cNvPr id="531" name="Connecteur droit avec flèche 530"/>
        <xdr:cNvCxnSpPr/>
      </xdr:nvCxnSpPr>
      <xdr:spPr>
        <a:xfrm>
          <a:off x="9541669" y="34287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162</xdr:row>
      <xdr:rowOff>119063</xdr:rowOff>
    </xdr:from>
    <xdr:to>
      <xdr:col>14</xdr:col>
      <xdr:colOff>83344</xdr:colOff>
      <xdr:row>162</xdr:row>
      <xdr:rowOff>119063</xdr:rowOff>
    </xdr:to>
    <xdr:cxnSp macro="">
      <xdr:nvCxnSpPr>
        <xdr:cNvPr id="532" name="Connecteur droit avec flèche 531"/>
        <xdr:cNvCxnSpPr/>
      </xdr:nvCxnSpPr>
      <xdr:spPr>
        <a:xfrm>
          <a:off x="9541669" y="34275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160</xdr:row>
      <xdr:rowOff>107156</xdr:rowOff>
    </xdr:from>
    <xdr:to>
      <xdr:col>14</xdr:col>
      <xdr:colOff>107157</xdr:colOff>
      <xdr:row>160</xdr:row>
      <xdr:rowOff>107157</xdr:rowOff>
    </xdr:to>
    <xdr:cxnSp macro="">
      <xdr:nvCxnSpPr>
        <xdr:cNvPr id="533" name="Connecteur droit avec flèche 532"/>
        <xdr:cNvCxnSpPr/>
      </xdr:nvCxnSpPr>
      <xdr:spPr>
        <a:xfrm flipV="1">
          <a:off x="11018044" y="33882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160</xdr:row>
      <xdr:rowOff>107158</xdr:rowOff>
    </xdr:from>
    <xdr:to>
      <xdr:col>14</xdr:col>
      <xdr:colOff>226219</xdr:colOff>
      <xdr:row>161</xdr:row>
      <xdr:rowOff>130969</xdr:rowOff>
    </xdr:to>
    <xdr:cxnSp macro="">
      <xdr:nvCxnSpPr>
        <xdr:cNvPr id="534" name="Connecteur droit avec flèche 533"/>
        <xdr:cNvCxnSpPr/>
      </xdr:nvCxnSpPr>
      <xdr:spPr>
        <a:xfrm>
          <a:off x="10994231" y="33882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158</xdr:row>
      <xdr:rowOff>107157</xdr:rowOff>
    </xdr:from>
    <xdr:to>
      <xdr:col>14</xdr:col>
      <xdr:colOff>107157</xdr:colOff>
      <xdr:row>158</xdr:row>
      <xdr:rowOff>107158</xdr:rowOff>
    </xdr:to>
    <xdr:cxnSp macro="">
      <xdr:nvCxnSpPr>
        <xdr:cNvPr id="535" name="Connecteur droit avec flèche 534"/>
        <xdr:cNvCxnSpPr/>
      </xdr:nvCxnSpPr>
      <xdr:spPr>
        <a:xfrm flipV="1">
          <a:off x="11018044" y="33501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158</xdr:row>
      <xdr:rowOff>107159</xdr:rowOff>
    </xdr:from>
    <xdr:to>
      <xdr:col>14</xdr:col>
      <xdr:colOff>226219</xdr:colOff>
      <xdr:row>159</xdr:row>
      <xdr:rowOff>130970</xdr:rowOff>
    </xdr:to>
    <xdr:cxnSp macro="">
      <xdr:nvCxnSpPr>
        <xdr:cNvPr id="536" name="Connecteur droit avec flèche 535"/>
        <xdr:cNvCxnSpPr/>
      </xdr:nvCxnSpPr>
      <xdr:spPr>
        <a:xfrm>
          <a:off x="10994231" y="33501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154</xdr:row>
      <xdr:rowOff>130969</xdr:rowOff>
    </xdr:from>
    <xdr:to>
      <xdr:col>10</xdr:col>
      <xdr:colOff>119063</xdr:colOff>
      <xdr:row>155</xdr:row>
      <xdr:rowOff>107156</xdr:rowOff>
    </xdr:to>
    <xdr:cxnSp macro="">
      <xdr:nvCxnSpPr>
        <xdr:cNvPr id="537" name="Connecteur droit avec flèche 536"/>
        <xdr:cNvCxnSpPr/>
      </xdr:nvCxnSpPr>
      <xdr:spPr>
        <a:xfrm flipV="1">
          <a:off x="8112919" y="32763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155</xdr:row>
      <xdr:rowOff>119063</xdr:rowOff>
    </xdr:from>
    <xdr:to>
      <xdr:col>10</xdr:col>
      <xdr:colOff>107156</xdr:colOff>
      <xdr:row>156</xdr:row>
      <xdr:rowOff>119063</xdr:rowOff>
    </xdr:to>
    <xdr:cxnSp macro="">
      <xdr:nvCxnSpPr>
        <xdr:cNvPr id="538" name="Connecteur droit avec flèche 537"/>
        <xdr:cNvCxnSpPr/>
      </xdr:nvCxnSpPr>
      <xdr:spPr>
        <a:xfrm>
          <a:off x="8124825" y="32942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152</xdr:row>
      <xdr:rowOff>107156</xdr:rowOff>
    </xdr:from>
    <xdr:to>
      <xdr:col>12</xdr:col>
      <xdr:colOff>166688</xdr:colOff>
      <xdr:row>154</xdr:row>
      <xdr:rowOff>83344</xdr:rowOff>
    </xdr:to>
    <xdr:cxnSp macro="">
      <xdr:nvCxnSpPr>
        <xdr:cNvPr id="539" name="Connecteur droit avec flèche 538"/>
        <xdr:cNvCxnSpPr/>
      </xdr:nvCxnSpPr>
      <xdr:spPr>
        <a:xfrm flipV="1">
          <a:off x="9577387" y="32358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154</xdr:row>
      <xdr:rowOff>119063</xdr:rowOff>
    </xdr:from>
    <xdr:to>
      <xdr:col>12</xdr:col>
      <xdr:colOff>166688</xdr:colOff>
      <xdr:row>154</xdr:row>
      <xdr:rowOff>119064</xdr:rowOff>
    </xdr:to>
    <xdr:cxnSp macro="">
      <xdr:nvCxnSpPr>
        <xdr:cNvPr id="540" name="Connecteur droit avec flèche 539"/>
        <xdr:cNvCxnSpPr/>
      </xdr:nvCxnSpPr>
      <xdr:spPr>
        <a:xfrm flipV="1">
          <a:off x="9553575" y="32751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156</xdr:row>
      <xdr:rowOff>130972</xdr:rowOff>
    </xdr:from>
    <xdr:to>
      <xdr:col>14</xdr:col>
      <xdr:colOff>190500</xdr:colOff>
      <xdr:row>157</xdr:row>
      <xdr:rowOff>119063</xdr:rowOff>
    </xdr:to>
    <xdr:cxnSp macro="">
      <xdr:nvCxnSpPr>
        <xdr:cNvPr id="541" name="Connecteur droit avec flèche 540"/>
        <xdr:cNvCxnSpPr/>
      </xdr:nvCxnSpPr>
      <xdr:spPr>
        <a:xfrm>
          <a:off x="9541669" y="33144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156</xdr:row>
      <xdr:rowOff>119063</xdr:rowOff>
    </xdr:from>
    <xdr:to>
      <xdr:col>14</xdr:col>
      <xdr:colOff>83344</xdr:colOff>
      <xdr:row>156</xdr:row>
      <xdr:rowOff>119063</xdr:rowOff>
    </xdr:to>
    <xdr:cxnSp macro="">
      <xdr:nvCxnSpPr>
        <xdr:cNvPr id="542" name="Connecteur droit avec flèche 541"/>
        <xdr:cNvCxnSpPr/>
      </xdr:nvCxnSpPr>
      <xdr:spPr>
        <a:xfrm>
          <a:off x="9541669" y="33132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154</xdr:row>
      <xdr:rowOff>107156</xdr:rowOff>
    </xdr:from>
    <xdr:to>
      <xdr:col>14</xdr:col>
      <xdr:colOff>107157</xdr:colOff>
      <xdr:row>154</xdr:row>
      <xdr:rowOff>107157</xdr:rowOff>
    </xdr:to>
    <xdr:cxnSp macro="">
      <xdr:nvCxnSpPr>
        <xdr:cNvPr id="543" name="Connecteur droit avec flèche 542"/>
        <xdr:cNvCxnSpPr/>
      </xdr:nvCxnSpPr>
      <xdr:spPr>
        <a:xfrm flipV="1">
          <a:off x="11018044" y="32739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154</xdr:row>
      <xdr:rowOff>107158</xdr:rowOff>
    </xdr:from>
    <xdr:to>
      <xdr:col>14</xdr:col>
      <xdr:colOff>226219</xdr:colOff>
      <xdr:row>155</xdr:row>
      <xdr:rowOff>130969</xdr:rowOff>
    </xdr:to>
    <xdr:cxnSp macro="">
      <xdr:nvCxnSpPr>
        <xdr:cNvPr id="544" name="Connecteur droit avec flèche 543"/>
        <xdr:cNvCxnSpPr/>
      </xdr:nvCxnSpPr>
      <xdr:spPr>
        <a:xfrm>
          <a:off x="10994231" y="32739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152</xdr:row>
      <xdr:rowOff>107157</xdr:rowOff>
    </xdr:from>
    <xdr:to>
      <xdr:col>14</xdr:col>
      <xdr:colOff>107157</xdr:colOff>
      <xdr:row>152</xdr:row>
      <xdr:rowOff>107158</xdr:rowOff>
    </xdr:to>
    <xdr:cxnSp macro="">
      <xdr:nvCxnSpPr>
        <xdr:cNvPr id="545" name="Connecteur droit avec flèche 544"/>
        <xdr:cNvCxnSpPr/>
      </xdr:nvCxnSpPr>
      <xdr:spPr>
        <a:xfrm flipV="1">
          <a:off x="11018044" y="32358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152</xdr:row>
      <xdr:rowOff>107159</xdr:rowOff>
    </xdr:from>
    <xdr:to>
      <xdr:col>14</xdr:col>
      <xdr:colOff>226219</xdr:colOff>
      <xdr:row>153</xdr:row>
      <xdr:rowOff>130970</xdr:rowOff>
    </xdr:to>
    <xdr:cxnSp macro="">
      <xdr:nvCxnSpPr>
        <xdr:cNvPr id="546" name="Connecteur droit avec flèche 545"/>
        <xdr:cNvCxnSpPr/>
      </xdr:nvCxnSpPr>
      <xdr:spPr>
        <a:xfrm>
          <a:off x="10994231" y="32358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152</xdr:row>
      <xdr:rowOff>15875</xdr:rowOff>
    </xdr:from>
    <xdr:to>
      <xdr:col>7</xdr:col>
      <xdr:colOff>41486</xdr:colOff>
      <xdr:row>164</xdr:row>
      <xdr:rowOff>127000</xdr:rowOff>
    </xdr:to>
    <xdr:sp macro="" textlink="">
      <xdr:nvSpPr>
        <xdr:cNvPr id="547" name="Accolade fermante 546"/>
        <xdr:cNvSpPr/>
      </xdr:nvSpPr>
      <xdr:spPr>
        <a:xfrm>
          <a:off x="6634692" y="32267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136</xdr:row>
      <xdr:rowOff>107156</xdr:rowOff>
    </xdr:from>
    <xdr:to>
      <xdr:col>10</xdr:col>
      <xdr:colOff>199073</xdr:colOff>
      <xdr:row>136</xdr:row>
      <xdr:rowOff>108744</xdr:rowOff>
    </xdr:to>
    <xdr:cxnSp macro="">
      <xdr:nvCxnSpPr>
        <xdr:cNvPr id="571" name="Connecteur droit avec flèche 570"/>
        <xdr:cNvCxnSpPr/>
      </xdr:nvCxnSpPr>
      <xdr:spPr>
        <a:xfrm>
          <a:off x="7958138" y="34644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132</xdr:row>
      <xdr:rowOff>130969</xdr:rowOff>
    </xdr:from>
    <xdr:to>
      <xdr:col>10</xdr:col>
      <xdr:colOff>119063</xdr:colOff>
      <xdr:row>133</xdr:row>
      <xdr:rowOff>107156</xdr:rowOff>
    </xdr:to>
    <xdr:cxnSp macro="">
      <xdr:nvCxnSpPr>
        <xdr:cNvPr id="572" name="Connecteur droit avec flèche 571"/>
        <xdr:cNvCxnSpPr/>
      </xdr:nvCxnSpPr>
      <xdr:spPr>
        <a:xfrm flipV="1">
          <a:off x="8112919" y="33906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133</xdr:row>
      <xdr:rowOff>119063</xdr:rowOff>
    </xdr:from>
    <xdr:to>
      <xdr:col>10</xdr:col>
      <xdr:colOff>107156</xdr:colOff>
      <xdr:row>134</xdr:row>
      <xdr:rowOff>119063</xdr:rowOff>
    </xdr:to>
    <xdr:cxnSp macro="">
      <xdr:nvCxnSpPr>
        <xdr:cNvPr id="573" name="Connecteur droit avec flèche 572"/>
        <xdr:cNvCxnSpPr/>
      </xdr:nvCxnSpPr>
      <xdr:spPr>
        <a:xfrm>
          <a:off x="8124825" y="34085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130</xdr:row>
      <xdr:rowOff>107156</xdr:rowOff>
    </xdr:from>
    <xdr:to>
      <xdr:col>12</xdr:col>
      <xdr:colOff>166688</xdr:colOff>
      <xdr:row>132</xdr:row>
      <xdr:rowOff>83344</xdr:rowOff>
    </xdr:to>
    <xdr:cxnSp macro="">
      <xdr:nvCxnSpPr>
        <xdr:cNvPr id="574" name="Connecteur droit avec flèche 573"/>
        <xdr:cNvCxnSpPr/>
      </xdr:nvCxnSpPr>
      <xdr:spPr>
        <a:xfrm flipV="1">
          <a:off x="9577387" y="33501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132</xdr:row>
      <xdr:rowOff>119063</xdr:rowOff>
    </xdr:from>
    <xdr:to>
      <xdr:col>12</xdr:col>
      <xdr:colOff>166688</xdr:colOff>
      <xdr:row>132</xdr:row>
      <xdr:rowOff>119064</xdr:rowOff>
    </xdr:to>
    <xdr:cxnSp macro="">
      <xdr:nvCxnSpPr>
        <xdr:cNvPr id="575" name="Connecteur droit avec flèche 574"/>
        <xdr:cNvCxnSpPr/>
      </xdr:nvCxnSpPr>
      <xdr:spPr>
        <a:xfrm flipV="1">
          <a:off x="9553575" y="33894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136</xdr:row>
      <xdr:rowOff>119063</xdr:rowOff>
    </xdr:from>
    <xdr:to>
      <xdr:col>14</xdr:col>
      <xdr:colOff>59531</xdr:colOff>
      <xdr:row>136</xdr:row>
      <xdr:rowOff>119063</xdr:rowOff>
    </xdr:to>
    <xdr:cxnSp macro="">
      <xdr:nvCxnSpPr>
        <xdr:cNvPr id="576" name="Connecteur droit avec flèche 575"/>
        <xdr:cNvCxnSpPr/>
      </xdr:nvCxnSpPr>
      <xdr:spPr>
        <a:xfrm>
          <a:off x="9589293" y="34656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134</xdr:row>
      <xdr:rowOff>130972</xdr:rowOff>
    </xdr:from>
    <xdr:to>
      <xdr:col>14</xdr:col>
      <xdr:colOff>190500</xdr:colOff>
      <xdr:row>135</xdr:row>
      <xdr:rowOff>119063</xdr:rowOff>
    </xdr:to>
    <xdr:cxnSp macro="">
      <xdr:nvCxnSpPr>
        <xdr:cNvPr id="577" name="Connecteur droit avec flèche 576"/>
        <xdr:cNvCxnSpPr/>
      </xdr:nvCxnSpPr>
      <xdr:spPr>
        <a:xfrm>
          <a:off x="9541669" y="34287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134</xdr:row>
      <xdr:rowOff>119063</xdr:rowOff>
    </xdr:from>
    <xdr:to>
      <xdr:col>14</xdr:col>
      <xdr:colOff>83344</xdr:colOff>
      <xdr:row>134</xdr:row>
      <xdr:rowOff>119063</xdr:rowOff>
    </xdr:to>
    <xdr:cxnSp macro="">
      <xdr:nvCxnSpPr>
        <xdr:cNvPr id="578" name="Connecteur droit avec flèche 577"/>
        <xdr:cNvCxnSpPr/>
      </xdr:nvCxnSpPr>
      <xdr:spPr>
        <a:xfrm>
          <a:off x="9541669" y="34275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132</xdr:row>
      <xdr:rowOff>107156</xdr:rowOff>
    </xdr:from>
    <xdr:to>
      <xdr:col>14</xdr:col>
      <xdr:colOff>107157</xdr:colOff>
      <xdr:row>132</xdr:row>
      <xdr:rowOff>107157</xdr:rowOff>
    </xdr:to>
    <xdr:cxnSp macro="">
      <xdr:nvCxnSpPr>
        <xdr:cNvPr id="579" name="Connecteur droit avec flèche 578"/>
        <xdr:cNvCxnSpPr/>
      </xdr:nvCxnSpPr>
      <xdr:spPr>
        <a:xfrm flipV="1">
          <a:off x="11018044" y="33882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132</xdr:row>
      <xdr:rowOff>107158</xdr:rowOff>
    </xdr:from>
    <xdr:to>
      <xdr:col>14</xdr:col>
      <xdr:colOff>226219</xdr:colOff>
      <xdr:row>133</xdr:row>
      <xdr:rowOff>130969</xdr:rowOff>
    </xdr:to>
    <xdr:cxnSp macro="">
      <xdr:nvCxnSpPr>
        <xdr:cNvPr id="580" name="Connecteur droit avec flèche 579"/>
        <xdr:cNvCxnSpPr/>
      </xdr:nvCxnSpPr>
      <xdr:spPr>
        <a:xfrm>
          <a:off x="10994231" y="33882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130</xdr:row>
      <xdr:rowOff>107157</xdr:rowOff>
    </xdr:from>
    <xdr:to>
      <xdr:col>14</xdr:col>
      <xdr:colOff>107157</xdr:colOff>
      <xdr:row>130</xdr:row>
      <xdr:rowOff>107158</xdr:rowOff>
    </xdr:to>
    <xdr:cxnSp macro="">
      <xdr:nvCxnSpPr>
        <xdr:cNvPr id="581" name="Connecteur droit avec flèche 580"/>
        <xdr:cNvCxnSpPr/>
      </xdr:nvCxnSpPr>
      <xdr:spPr>
        <a:xfrm flipV="1">
          <a:off x="11018044" y="33501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130</xdr:row>
      <xdr:rowOff>107159</xdr:rowOff>
    </xdr:from>
    <xdr:to>
      <xdr:col>14</xdr:col>
      <xdr:colOff>226219</xdr:colOff>
      <xdr:row>131</xdr:row>
      <xdr:rowOff>130970</xdr:rowOff>
    </xdr:to>
    <xdr:cxnSp macro="">
      <xdr:nvCxnSpPr>
        <xdr:cNvPr id="582" name="Connecteur droit avec flèche 581"/>
        <xdr:cNvCxnSpPr/>
      </xdr:nvCxnSpPr>
      <xdr:spPr>
        <a:xfrm>
          <a:off x="10994231" y="33501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126</xdr:row>
      <xdr:rowOff>130969</xdr:rowOff>
    </xdr:from>
    <xdr:to>
      <xdr:col>10</xdr:col>
      <xdr:colOff>119063</xdr:colOff>
      <xdr:row>127</xdr:row>
      <xdr:rowOff>107156</xdr:rowOff>
    </xdr:to>
    <xdr:cxnSp macro="">
      <xdr:nvCxnSpPr>
        <xdr:cNvPr id="583" name="Connecteur droit avec flèche 582"/>
        <xdr:cNvCxnSpPr/>
      </xdr:nvCxnSpPr>
      <xdr:spPr>
        <a:xfrm flipV="1">
          <a:off x="8112919" y="32763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127</xdr:row>
      <xdr:rowOff>119063</xdr:rowOff>
    </xdr:from>
    <xdr:to>
      <xdr:col>10</xdr:col>
      <xdr:colOff>107156</xdr:colOff>
      <xdr:row>128</xdr:row>
      <xdr:rowOff>119063</xdr:rowOff>
    </xdr:to>
    <xdr:cxnSp macro="">
      <xdr:nvCxnSpPr>
        <xdr:cNvPr id="584" name="Connecteur droit avec flèche 583"/>
        <xdr:cNvCxnSpPr/>
      </xdr:nvCxnSpPr>
      <xdr:spPr>
        <a:xfrm>
          <a:off x="8124825" y="32942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124</xdr:row>
      <xdr:rowOff>107156</xdr:rowOff>
    </xdr:from>
    <xdr:to>
      <xdr:col>12</xdr:col>
      <xdr:colOff>166688</xdr:colOff>
      <xdr:row>126</xdr:row>
      <xdr:rowOff>83344</xdr:rowOff>
    </xdr:to>
    <xdr:cxnSp macro="">
      <xdr:nvCxnSpPr>
        <xdr:cNvPr id="585" name="Connecteur droit avec flèche 584"/>
        <xdr:cNvCxnSpPr/>
      </xdr:nvCxnSpPr>
      <xdr:spPr>
        <a:xfrm flipV="1">
          <a:off x="9577387" y="32358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126</xdr:row>
      <xdr:rowOff>119063</xdr:rowOff>
    </xdr:from>
    <xdr:to>
      <xdr:col>12</xdr:col>
      <xdr:colOff>166688</xdr:colOff>
      <xdr:row>126</xdr:row>
      <xdr:rowOff>119064</xdr:rowOff>
    </xdr:to>
    <xdr:cxnSp macro="">
      <xdr:nvCxnSpPr>
        <xdr:cNvPr id="586" name="Connecteur droit avec flèche 585"/>
        <xdr:cNvCxnSpPr/>
      </xdr:nvCxnSpPr>
      <xdr:spPr>
        <a:xfrm flipV="1">
          <a:off x="9553575" y="32751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128</xdr:row>
      <xdr:rowOff>130972</xdr:rowOff>
    </xdr:from>
    <xdr:to>
      <xdr:col>14</xdr:col>
      <xdr:colOff>190500</xdr:colOff>
      <xdr:row>129</xdr:row>
      <xdr:rowOff>119063</xdr:rowOff>
    </xdr:to>
    <xdr:cxnSp macro="">
      <xdr:nvCxnSpPr>
        <xdr:cNvPr id="587" name="Connecteur droit avec flèche 586"/>
        <xdr:cNvCxnSpPr/>
      </xdr:nvCxnSpPr>
      <xdr:spPr>
        <a:xfrm>
          <a:off x="9541669" y="33144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128</xdr:row>
      <xdr:rowOff>119063</xdr:rowOff>
    </xdr:from>
    <xdr:to>
      <xdr:col>14</xdr:col>
      <xdr:colOff>83344</xdr:colOff>
      <xdr:row>128</xdr:row>
      <xdr:rowOff>119063</xdr:rowOff>
    </xdr:to>
    <xdr:cxnSp macro="">
      <xdr:nvCxnSpPr>
        <xdr:cNvPr id="588" name="Connecteur droit avec flèche 587"/>
        <xdr:cNvCxnSpPr/>
      </xdr:nvCxnSpPr>
      <xdr:spPr>
        <a:xfrm>
          <a:off x="9541669" y="33132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126</xdr:row>
      <xdr:rowOff>107156</xdr:rowOff>
    </xdr:from>
    <xdr:to>
      <xdr:col>14</xdr:col>
      <xdr:colOff>107157</xdr:colOff>
      <xdr:row>126</xdr:row>
      <xdr:rowOff>107157</xdr:rowOff>
    </xdr:to>
    <xdr:cxnSp macro="">
      <xdr:nvCxnSpPr>
        <xdr:cNvPr id="589" name="Connecteur droit avec flèche 588"/>
        <xdr:cNvCxnSpPr/>
      </xdr:nvCxnSpPr>
      <xdr:spPr>
        <a:xfrm flipV="1">
          <a:off x="11018044" y="32739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126</xdr:row>
      <xdr:rowOff>107158</xdr:rowOff>
    </xdr:from>
    <xdr:to>
      <xdr:col>14</xdr:col>
      <xdr:colOff>226219</xdr:colOff>
      <xdr:row>127</xdr:row>
      <xdr:rowOff>130969</xdr:rowOff>
    </xdr:to>
    <xdr:cxnSp macro="">
      <xdr:nvCxnSpPr>
        <xdr:cNvPr id="590" name="Connecteur droit avec flèche 589"/>
        <xdr:cNvCxnSpPr/>
      </xdr:nvCxnSpPr>
      <xdr:spPr>
        <a:xfrm>
          <a:off x="10994231" y="32739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124</xdr:row>
      <xdr:rowOff>107157</xdr:rowOff>
    </xdr:from>
    <xdr:to>
      <xdr:col>14</xdr:col>
      <xdr:colOff>107157</xdr:colOff>
      <xdr:row>124</xdr:row>
      <xdr:rowOff>107158</xdr:rowOff>
    </xdr:to>
    <xdr:cxnSp macro="">
      <xdr:nvCxnSpPr>
        <xdr:cNvPr id="591" name="Connecteur droit avec flèche 590"/>
        <xdr:cNvCxnSpPr/>
      </xdr:nvCxnSpPr>
      <xdr:spPr>
        <a:xfrm flipV="1">
          <a:off x="11018044" y="32358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124</xdr:row>
      <xdr:rowOff>107159</xdr:rowOff>
    </xdr:from>
    <xdr:to>
      <xdr:col>14</xdr:col>
      <xdr:colOff>226219</xdr:colOff>
      <xdr:row>125</xdr:row>
      <xdr:rowOff>130970</xdr:rowOff>
    </xdr:to>
    <xdr:cxnSp macro="">
      <xdr:nvCxnSpPr>
        <xdr:cNvPr id="592" name="Connecteur droit avec flèche 591"/>
        <xdr:cNvCxnSpPr/>
      </xdr:nvCxnSpPr>
      <xdr:spPr>
        <a:xfrm>
          <a:off x="10994231" y="32358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124</xdr:row>
      <xdr:rowOff>15875</xdr:rowOff>
    </xdr:from>
    <xdr:to>
      <xdr:col>7</xdr:col>
      <xdr:colOff>41486</xdr:colOff>
      <xdr:row>136</xdr:row>
      <xdr:rowOff>127000</xdr:rowOff>
    </xdr:to>
    <xdr:sp macro="" textlink="">
      <xdr:nvSpPr>
        <xdr:cNvPr id="593" name="Accolade fermante 592"/>
        <xdr:cNvSpPr/>
      </xdr:nvSpPr>
      <xdr:spPr>
        <a:xfrm>
          <a:off x="6634692" y="32267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248</xdr:row>
      <xdr:rowOff>107156</xdr:rowOff>
    </xdr:from>
    <xdr:to>
      <xdr:col>10</xdr:col>
      <xdr:colOff>199073</xdr:colOff>
      <xdr:row>248</xdr:row>
      <xdr:rowOff>108744</xdr:rowOff>
    </xdr:to>
    <xdr:cxnSp macro="">
      <xdr:nvCxnSpPr>
        <xdr:cNvPr id="594" name="Connecteur droit avec flèche 593"/>
        <xdr:cNvCxnSpPr/>
      </xdr:nvCxnSpPr>
      <xdr:spPr>
        <a:xfrm>
          <a:off x="7958138" y="50646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244</xdr:row>
      <xdr:rowOff>130969</xdr:rowOff>
    </xdr:from>
    <xdr:to>
      <xdr:col>10</xdr:col>
      <xdr:colOff>119063</xdr:colOff>
      <xdr:row>245</xdr:row>
      <xdr:rowOff>107156</xdr:rowOff>
    </xdr:to>
    <xdr:cxnSp macro="">
      <xdr:nvCxnSpPr>
        <xdr:cNvPr id="595" name="Connecteur droit avec flèche 594"/>
        <xdr:cNvCxnSpPr/>
      </xdr:nvCxnSpPr>
      <xdr:spPr>
        <a:xfrm flipV="1">
          <a:off x="8112919" y="49908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245</xdr:row>
      <xdr:rowOff>119063</xdr:rowOff>
    </xdr:from>
    <xdr:to>
      <xdr:col>10</xdr:col>
      <xdr:colOff>107156</xdr:colOff>
      <xdr:row>246</xdr:row>
      <xdr:rowOff>119063</xdr:rowOff>
    </xdr:to>
    <xdr:cxnSp macro="">
      <xdr:nvCxnSpPr>
        <xdr:cNvPr id="596" name="Connecteur droit avec flèche 595"/>
        <xdr:cNvCxnSpPr/>
      </xdr:nvCxnSpPr>
      <xdr:spPr>
        <a:xfrm>
          <a:off x="8124825" y="50087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242</xdr:row>
      <xdr:rowOff>107156</xdr:rowOff>
    </xdr:from>
    <xdr:to>
      <xdr:col>12</xdr:col>
      <xdr:colOff>166688</xdr:colOff>
      <xdr:row>244</xdr:row>
      <xdr:rowOff>83344</xdr:rowOff>
    </xdr:to>
    <xdr:cxnSp macro="">
      <xdr:nvCxnSpPr>
        <xdr:cNvPr id="597" name="Connecteur droit avec flèche 596"/>
        <xdr:cNvCxnSpPr/>
      </xdr:nvCxnSpPr>
      <xdr:spPr>
        <a:xfrm flipV="1">
          <a:off x="9577387" y="49503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244</xdr:row>
      <xdr:rowOff>119063</xdr:rowOff>
    </xdr:from>
    <xdr:to>
      <xdr:col>12</xdr:col>
      <xdr:colOff>166688</xdr:colOff>
      <xdr:row>244</xdr:row>
      <xdr:rowOff>119064</xdr:rowOff>
    </xdr:to>
    <xdr:cxnSp macro="">
      <xdr:nvCxnSpPr>
        <xdr:cNvPr id="598" name="Connecteur droit avec flèche 597"/>
        <xdr:cNvCxnSpPr/>
      </xdr:nvCxnSpPr>
      <xdr:spPr>
        <a:xfrm flipV="1">
          <a:off x="9553575" y="49896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248</xdr:row>
      <xdr:rowOff>119063</xdr:rowOff>
    </xdr:from>
    <xdr:to>
      <xdr:col>14</xdr:col>
      <xdr:colOff>59531</xdr:colOff>
      <xdr:row>248</xdr:row>
      <xdr:rowOff>119063</xdr:rowOff>
    </xdr:to>
    <xdr:cxnSp macro="">
      <xdr:nvCxnSpPr>
        <xdr:cNvPr id="599" name="Connecteur droit avec flèche 598"/>
        <xdr:cNvCxnSpPr/>
      </xdr:nvCxnSpPr>
      <xdr:spPr>
        <a:xfrm>
          <a:off x="9589293" y="50658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246</xdr:row>
      <xdr:rowOff>130972</xdr:rowOff>
    </xdr:from>
    <xdr:to>
      <xdr:col>14</xdr:col>
      <xdr:colOff>190500</xdr:colOff>
      <xdr:row>247</xdr:row>
      <xdr:rowOff>119063</xdr:rowOff>
    </xdr:to>
    <xdr:cxnSp macro="">
      <xdr:nvCxnSpPr>
        <xdr:cNvPr id="600" name="Connecteur droit avec flèche 599"/>
        <xdr:cNvCxnSpPr/>
      </xdr:nvCxnSpPr>
      <xdr:spPr>
        <a:xfrm>
          <a:off x="9541669" y="50289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246</xdr:row>
      <xdr:rowOff>119063</xdr:rowOff>
    </xdr:from>
    <xdr:to>
      <xdr:col>14</xdr:col>
      <xdr:colOff>83344</xdr:colOff>
      <xdr:row>246</xdr:row>
      <xdr:rowOff>119063</xdr:rowOff>
    </xdr:to>
    <xdr:cxnSp macro="">
      <xdr:nvCxnSpPr>
        <xdr:cNvPr id="601" name="Connecteur droit avec flèche 600"/>
        <xdr:cNvCxnSpPr/>
      </xdr:nvCxnSpPr>
      <xdr:spPr>
        <a:xfrm>
          <a:off x="9541669" y="50277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244</xdr:row>
      <xdr:rowOff>107156</xdr:rowOff>
    </xdr:from>
    <xdr:to>
      <xdr:col>14</xdr:col>
      <xdr:colOff>107157</xdr:colOff>
      <xdr:row>244</xdr:row>
      <xdr:rowOff>107157</xdr:rowOff>
    </xdr:to>
    <xdr:cxnSp macro="">
      <xdr:nvCxnSpPr>
        <xdr:cNvPr id="602" name="Connecteur droit avec flèche 601"/>
        <xdr:cNvCxnSpPr/>
      </xdr:nvCxnSpPr>
      <xdr:spPr>
        <a:xfrm flipV="1">
          <a:off x="11018044" y="49884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244</xdr:row>
      <xdr:rowOff>107158</xdr:rowOff>
    </xdr:from>
    <xdr:to>
      <xdr:col>14</xdr:col>
      <xdr:colOff>226219</xdr:colOff>
      <xdr:row>245</xdr:row>
      <xdr:rowOff>130969</xdr:rowOff>
    </xdr:to>
    <xdr:cxnSp macro="">
      <xdr:nvCxnSpPr>
        <xdr:cNvPr id="603" name="Connecteur droit avec flèche 602"/>
        <xdr:cNvCxnSpPr/>
      </xdr:nvCxnSpPr>
      <xdr:spPr>
        <a:xfrm>
          <a:off x="10994231" y="49884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242</xdr:row>
      <xdr:rowOff>107157</xdr:rowOff>
    </xdr:from>
    <xdr:to>
      <xdr:col>14</xdr:col>
      <xdr:colOff>107157</xdr:colOff>
      <xdr:row>242</xdr:row>
      <xdr:rowOff>107158</xdr:rowOff>
    </xdr:to>
    <xdr:cxnSp macro="">
      <xdr:nvCxnSpPr>
        <xdr:cNvPr id="604" name="Connecteur droit avec flèche 603"/>
        <xdr:cNvCxnSpPr/>
      </xdr:nvCxnSpPr>
      <xdr:spPr>
        <a:xfrm flipV="1">
          <a:off x="11018044" y="49503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242</xdr:row>
      <xdr:rowOff>107159</xdr:rowOff>
    </xdr:from>
    <xdr:to>
      <xdr:col>14</xdr:col>
      <xdr:colOff>226219</xdr:colOff>
      <xdr:row>243</xdr:row>
      <xdr:rowOff>130970</xdr:rowOff>
    </xdr:to>
    <xdr:cxnSp macro="">
      <xdr:nvCxnSpPr>
        <xdr:cNvPr id="605" name="Connecteur droit avec flèche 604"/>
        <xdr:cNvCxnSpPr/>
      </xdr:nvCxnSpPr>
      <xdr:spPr>
        <a:xfrm>
          <a:off x="10994231" y="49503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238</xdr:row>
      <xdr:rowOff>130969</xdr:rowOff>
    </xdr:from>
    <xdr:to>
      <xdr:col>10</xdr:col>
      <xdr:colOff>119063</xdr:colOff>
      <xdr:row>239</xdr:row>
      <xdr:rowOff>107156</xdr:rowOff>
    </xdr:to>
    <xdr:cxnSp macro="">
      <xdr:nvCxnSpPr>
        <xdr:cNvPr id="606" name="Connecteur droit avec flèche 605"/>
        <xdr:cNvCxnSpPr/>
      </xdr:nvCxnSpPr>
      <xdr:spPr>
        <a:xfrm flipV="1">
          <a:off x="8112919" y="48765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239</xdr:row>
      <xdr:rowOff>119063</xdr:rowOff>
    </xdr:from>
    <xdr:to>
      <xdr:col>10</xdr:col>
      <xdr:colOff>107156</xdr:colOff>
      <xdr:row>240</xdr:row>
      <xdr:rowOff>119063</xdr:rowOff>
    </xdr:to>
    <xdr:cxnSp macro="">
      <xdr:nvCxnSpPr>
        <xdr:cNvPr id="607" name="Connecteur droit avec flèche 606"/>
        <xdr:cNvCxnSpPr/>
      </xdr:nvCxnSpPr>
      <xdr:spPr>
        <a:xfrm>
          <a:off x="8124825" y="48944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236</xdr:row>
      <xdr:rowOff>107156</xdr:rowOff>
    </xdr:from>
    <xdr:to>
      <xdr:col>12</xdr:col>
      <xdr:colOff>166688</xdr:colOff>
      <xdr:row>238</xdr:row>
      <xdr:rowOff>83344</xdr:rowOff>
    </xdr:to>
    <xdr:cxnSp macro="">
      <xdr:nvCxnSpPr>
        <xdr:cNvPr id="608" name="Connecteur droit avec flèche 607"/>
        <xdr:cNvCxnSpPr/>
      </xdr:nvCxnSpPr>
      <xdr:spPr>
        <a:xfrm flipV="1">
          <a:off x="9577387" y="48360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238</xdr:row>
      <xdr:rowOff>119063</xdr:rowOff>
    </xdr:from>
    <xdr:to>
      <xdr:col>12</xdr:col>
      <xdr:colOff>166688</xdr:colOff>
      <xdr:row>238</xdr:row>
      <xdr:rowOff>119064</xdr:rowOff>
    </xdr:to>
    <xdr:cxnSp macro="">
      <xdr:nvCxnSpPr>
        <xdr:cNvPr id="609" name="Connecteur droit avec flèche 608"/>
        <xdr:cNvCxnSpPr/>
      </xdr:nvCxnSpPr>
      <xdr:spPr>
        <a:xfrm flipV="1">
          <a:off x="9553575" y="48753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240</xdr:row>
      <xdr:rowOff>130972</xdr:rowOff>
    </xdr:from>
    <xdr:to>
      <xdr:col>14</xdr:col>
      <xdr:colOff>190500</xdr:colOff>
      <xdr:row>241</xdr:row>
      <xdr:rowOff>119063</xdr:rowOff>
    </xdr:to>
    <xdr:cxnSp macro="">
      <xdr:nvCxnSpPr>
        <xdr:cNvPr id="610" name="Connecteur droit avec flèche 609"/>
        <xdr:cNvCxnSpPr/>
      </xdr:nvCxnSpPr>
      <xdr:spPr>
        <a:xfrm>
          <a:off x="9541669" y="49146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240</xdr:row>
      <xdr:rowOff>119063</xdr:rowOff>
    </xdr:from>
    <xdr:to>
      <xdr:col>14</xdr:col>
      <xdr:colOff>83344</xdr:colOff>
      <xdr:row>240</xdr:row>
      <xdr:rowOff>119063</xdr:rowOff>
    </xdr:to>
    <xdr:cxnSp macro="">
      <xdr:nvCxnSpPr>
        <xdr:cNvPr id="611" name="Connecteur droit avec flèche 610"/>
        <xdr:cNvCxnSpPr/>
      </xdr:nvCxnSpPr>
      <xdr:spPr>
        <a:xfrm>
          <a:off x="9541669" y="49134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238</xdr:row>
      <xdr:rowOff>107156</xdr:rowOff>
    </xdr:from>
    <xdr:to>
      <xdr:col>14</xdr:col>
      <xdr:colOff>107157</xdr:colOff>
      <xdr:row>238</xdr:row>
      <xdr:rowOff>107157</xdr:rowOff>
    </xdr:to>
    <xdr:cxnSp macro="">
      <xdr:nvCxnSpPr>
        <xdr:cNvPr id="612" name="Connecteur droit avec flèche 611"/>
        <xdr:cNvCxnSpPr/>
      </xdr:nvCxnSpPr>
      <xdr:spPr>
        <a:xfrm flipV="1">
          <a:off x="11018044" y="48741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238</xdr:row>
      <xdr:rowOff>107158</xdr:rowOff>
    </xdr:from>
    <xdr:to>
      <xdr:col>14</xdr:col>
      <xdr:colOff>226219</xdr:colOff>
      <xdr:row>239</xdr:row>
      <xdr:rowOff>130969</xdr:rowOff>
    </xdr:to>
    <xdr:cxnSp macro="">
      <xdr:nvCxnSpPr>
        <xdr:cNvPr id="613" name="Connecteur droit avec flèche 612"/>
        <xdr:cNvCxnSpPr/>
      </xdr:nvCxnSpPr>
      <xdr:spPr>
        <a:xfrm>
          <a:off x="10994231" y="48741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236</xdr:row>
      <xdr:rowOff>107157</xdr:rowOff>
    </xdr:from>
    <xdr:to>
      <xdr:col>14</xdr:col>
      <xdr:colOff>107157</xdr:colOff>
      <xdr:row>236</xdr:row>
      <xdr:rowOff>107158</xdr:rowOff>
    </xdr:to>
    <xdr:cxnSp macro="">
      <xdr:nvCxnSpPr>
        <xdr:cNvPr id="614" name="Connecteur droit avec flèche 613"/>
        <xdr:cNvCxnSpPr/>
      </xdr:nvCxnSpPr>
      <xdr:spPr>
        <a:xfrm flipV="1">
          <a:off x="11018044" y="48360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236</xdr:row>
      <xdr:rowOff>107159</xdr:rowOff>
    </xdr:from>
    <xdr:to>
      <xdr:col>14</xdr:col>
      <xdr:colOff>226219</xdr:colOff>
      <xdr:row>237</xdr:row>
      <xdr:rowOff>130970</xdr:rowOff>
    </xdr:to>
    <xdr:cxnSp macro="">
      <xdr:nvCxnSpPr>
        <xdr:cNvPr id="615" name="Connecteur droit avec flèche 614"/>
        <xdr:cNvCxnSpPr/>
      </xdr:nvCxnSpPr>
      <xdr:spPr>
        <a:xfrm>
          <a:off x="10994231" y="48360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236</xdr:row>
      <xdr:rowOff>15875</xdr:rowOff>
    </xdr:from>
    <xdr:to>
      <xdr:col>7</xdr:col>
      <xdr:colOff>41486</xdr:colOff>
      <xdr:row>248</xdr:row>
      <xdr:rowOff>127000</xdr:rowOff>
    </xdr:to>
    <xdr:sp macro="" textlink="">
      <xdr:nvSpPr>
        <xdr:cNvPr id="616" name="Accolade fermante 615"/>
        <xdr:cNvSpPr/>
      </xdr:nvSpPr>
      <xdr:spPr>
        <a:xfrm>
          <a:off x="6634692" y="48269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547688</xdr:colOff>
      <xdr:row>220</xdr:row>
      <xdr:rowOff>107156</xdr:rowOff>
    </xdr:from>
    <xdr:to>
      <xdr:col>10</xdr:col>
      <xdr:colOff>199073</xdr:colOff>
      <xdr:row>220</xdr:row>
      <xdr:rowOff>108744</xdr:rowOff>
    </xdr:to>
    <xdr:cxnSp macro="">
      <xdr:nvCxnSpPr>
        <xdr:cNvPr id="617" name="Connecteur droit avec flèche 616"/>
        <xdr:cNvCxnSpPr/>
      </xdr:nvCxnSpPr>
      <xdr:spPr>
        <a:xfrm>
          <a:off x="7958138" y="50646806"/>
          <a:ext cx="1175385" cy="15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216</xdr:row>
      <xdr:rowOff>130969</xdr:rowOff>
    </xdr:from>
    <xdr:to>
      <xdr:col>10</xdr:col>
      <xdr:colOff>119063</xdr:colOff>
      <xdr:row>217</xdr:row>
      <xdr:rowOff>107156</xdr:rowOff>
    </xdr:to>
    <xdr:cxnSp macro="">
      <xdr:nvCxnSpPr>
        <xdr:cNvPr id="618" name="Connecteur droit avec flèche 617"/>
        <xdr:cNvCxnSpPr/>
      </xdr:nvCxnSpPr>
      <xdr:spPr>
        <a:xfrm flipV="1">
          <a:off x="8112919" y="49908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217</xdr:row>
      <xdr:rowOff>119063</xdr:rowOff>
    </xdr:from>
    <xdr:to>
      <xdr:col>10</xdr:col>
      <xdr:colOff>107156</xdr:colOff>
      <xdr:row>218</xdr:row>
      <xdr:rowOff>119063</xdr:rowOff>
    </xdr:to>
    <xdr:cxnSp macro="">
      <xdr:nvCxnSpPr>
        <xdr:cNvPr id="619" name="Connecteur droit avec flèche 618"/>
        <xdr:cNvCxnSpPr/>
      </xdr:nvCxnSpPr>
      <xdr:spPr>
        <a:xfrm>
          <a:off x="8124825" y="50087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214</xdr:row>
      <xdr:rowOff>107156</xdr:rowOff>
    </xdr:from>
    <xdr:to>
      <xdr:col>12</xdr:col>
      <xdr:colOff>166688</xdr:colOff>
      <xdr:row>216</xdr:row>
      <xdr:rowOff>83344</xdr:rowOff>
    </xdr:to>
    <xdr:cxnSp macro="">
      <xdr:nvCxnSpPr>
        <xdr:cNvPr id="620" name="Connecteur droit avec flèche 619"/>
        <xdr:cNvCxnSpPr/>
      </xdr:nvCxnSpPr>
      <xdr:spPr>
        <a:xfrm flipV="1">
          <a:off x="9577387" y="49503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216</xdr:row>
      <xdr:rowOff>119063</xdr:rowOff>
    </xdr:from>
    <xdr:to>
      <xdr:col>12</xdr:col>
      <xdr:colOff>166688</xdr:colOff>
      <xdr:row>216</xdr:row>
      <xdr:rowOff>119064</xdr:rowOff>
    </xdr:to>
    <xdr:cxnSp macro="">
      <xdr:nvCxnSpPr>
        <xdr:cNvPr id="621" name="Connecteur droit avec flèche 620"/>
        <xdr:cNvCxnSpPr/>
      </xdr:nvCxnSpPr>
      <xdr:spPr>
        <a:xfrm flipV="1">
          <a:off x="9553575" y="49896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654843</xdr:colOff>
      <xdr:row>220</xdr:row>
      <xdr:rowOff>119063</xdr:rowOff>
    </xdr:from>
    <xdr:to>
      <xdr:col>14</xdr:col>
      <xdr:colOff>59531</xdr:colOff>
      <xdr:row>220</xdr:row>
      <xdr:rowOff>119063</xdr:rowOff>
    </xdr:to>
    <xdr:cxnSp macro="">
      <xdr:nvCxnSpPr>
        <xdr:cNvPr id="622" name="Connecteur droit avec flèche 621"/>
        <xdr:cNvCxnSpPr/>
      </xdr:nvCxnSpPr>
      <xdr:spPr>
        <a:xfrm>
          <a:off x="9589293" y="50658713"/>
          <a:ext cx="2452688"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218</xdr:row>
      <xdr:rowOff>130972</xdr:rowOff>
    </xdr:from>
    <xdr:to>
      <xdr:col>14</xdr:col>
      <xdr:colOff>190500</xdr:colOff>
      <xdr:row>219</xdr:row>
      <xdr:rowOff>119063</xdr:rowOff>
    </xdr:to>
    <xdr:cxnSp macro="">
      <xdr:nvCxnSpPr>
        <xdr:cNvPr id="623" name="Connecteur droit avec flèche 622"/>
        <xdr:cNvCxnSpPr/>
      </xdr:nvCxnSpPr>
      <xdr:spPr>
        <a:xfrm>
          <a:off x="9541669" y="50289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218</xdr:row>
      <xdr:rowOff>119063</xdr:rowOff>
    </xdr:from>
    <xdr:to>
      <xdr:col>14</xdr:col>
      <xdr:colOff>83344</xdr:colOff>
      <xdr:row>218</xdr:row>
      <xdr:rowOff>119063</xdr:rowOff>
    </xdr:to>
    <xdr:cxnSp macro="">
      <xdr:nvCxnSpPr>
        <xdr:cNvPr id="624" name="Connecteur droit avec flèche 623"/>
        <xdr:cNvCxnSpPr/>
      </xdr:nvCxnSpPr>
      <xdr:spPr>
        <a:xfrm>
          <a:off x="9541669" y="50277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216</xdr:row>
      <xdr:rowOff>107156</xdr:rowOff>
    </xdr:from>
    <xdr:to>
      <xdr:col>14</xdr:col>
      <xdr:colOff>107157</xdr:colOff>
      <xdr:row>216</xdr:row>
      <xdr:rowOff>107157</xdr:rowOff>
    </xdr:to>
    <xdr:cxnSp macro="">
      <xdr:nvCxnSpPr>
        <xdr:cNvPr id="625" name="Connecteur droit avec flèche 624"/>
        <xdr:cNvCxnSpPr/>
      </xdr:nvCxnSpPr>
      <xdr:spPr>
        <a:xfrm flipV="1">
          <a:off x="11018044" y="49884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216</xdr:row>
      <xdr:rowOff>107158</xdr:rowOff>
    </xdr:from>
    <xdr:to>
      <xdr:col>14</xdr:col>
      <xdr:colOff>226219</xdr:colOff>
      <xdr:row>217</xdr:row>
      <xdr:rowOff>130969</xdr:rowOff>
    </xdr:to>
    <xdr:cxnSp macro="">
      <xdr:nvCxnSpPr>
        <xdr:cNvPr id="626" name="Connecteur droit avec flèche 625"/>
        <xdr:cNvCxnSpPr/>
      </xdr:nvCxnSpPr>
      <xdr:spPr>
        <a:xfrm>
          <a:off x="10994231" y="49884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214</xdr:row>
      <xdr:rowOff>107157</xdr:rowOff>
    </xdr:from>
    <xdr:to>
      <xdr:col>14</xdr:col>
      <xdr:colOff>107157</xdr:colOff>
      <xdr:row>214</xdr:row>
      <xdr:rowOff>107158</xdr:rowOff>
    </xdr:to>
    <xdr:cxnSp macro="">
      <xdr:nvCxnSpPr>
        <xdr:cNvPr id="627" name="Connecteur droit avec flèche 626"/>
        <xdr:cNvCxnSpPr/>
      </xdr:nvCxnSpPr>
      <xdr:spPr>
        <a:xfrm flipV="1">
          <a:off x="11018044" y="49503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214</xdr:row>
      <xdr:rowOff>107159</xdr:rowOff>
    </xdr:from>
    <xdr:to>
      <xdr:col>14</xdr:col>
      <xdr:colOff>226219</xdr:colOff>
      <xdr:row>215</xdr:row>
      <xdr:rowOff>130970</xdr:rowOff>
    </xdr:to>
    <xdr:cxnSp macro="">
      <xdr:nvCxnSpPr>
        <xdr:cNvPr id="628" name="Connecteur droit avec flèche 627"/>
        <xdr:cNvCxnSpPr/>
      </xdr:nvCxnSpPr>
      <xdr:spPr>
        <a:xfrm>
          <a:off x="10994231" y="49503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210</xdr:row>
      <xdr:rowOff>130969</xdr:rowOff>
    </xdr:from>
    <xdr:to>
      <xdr:col>10</xdr:col>
      <xdr:colOff>119063</xdr:colOff>
      <xdr:row>211</xdr:row>
      <xdr:rowOff>107156</xdr:rowOff>
    </xdr:to>
    <xdr:cxnSp macro="">
      <xdr:nvCxnSpPr>
        <xdr:cNvPr id="629" name="Connecteur droit avec flèche 628"/>
        <xdr:cNvCxnSpPr/>
      </xdr:nvCxnSpPr>
      <xdr:spPr>
        <a:xfrm flipV="1">
          <a:off x="8112919" y="48765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211</xdr:row>
      <xdr:rowOff>119063</xdr:rowOff>
    </xdr:from>
    <xdr:to>
      <xdr:col>10</xdr:col>
      <xdr:colOff>107156</xdr:colOff>
      <xdr:row>212</xdr:row>
      <xdr:rowOff>119063</xdr:rowOff>
    </xdr:to>
    <xdr:cxnSp macro="">
      <xdr:nvCxnSpPr>
        <xdr:cNvPr id="630" name="Connecteur droit avec flèche 629"/>
        <xdr:cNvCxnSpPr/>
      </xdr:nvCxnSpPr>
      <xdr:spPr>
        <a:xfrm>
          <a:off x="8124825" y="48944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208</xdr:row>
      <xdr:rowOff>107156</xdr:rowOff>
    </xdr:from>
    <xdr:to>
      <xdr:col>12</xdr:col>
      <xdr:colOff>166688</xdr:colOff>
      <xdr:row>210</xdr:row>
      <xdr:rowOff>83344</xdr:rowOff>
    </xdr:to>
    <xdr:cxnSp macro="">
      <xdr:nvCxnSpPr>
        <xdr:cNvPr id="631" name="Connecteur droit avec flèche 630"/>
        <xdr:cNvCxnSpPr/>
      </xdr:nvCxnSpPr>
      <xdr:spPr>
        <a:xfrm flipV="1">
          <a:off x="9577387" y="48360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210</xdr:row>
      <xdr:rowOff>119063</xdr:rowOff>
    </xdr:from>
    <xdr:to>
      <xdr:col>12</xdr:col>
      <xdr:colOff>166688</xdr:colOff>
      <xdr:row>210</xdr:row>
      <xdr:rowOff>119064</xdr:rowOff>
    </xdr:to>
    <xdr:cxnSp macro="">
      <xdr:nvCxnSpPr>
        <xdr:cNvPr id="632" name="Connecteur droit avec flèche 631"/>
        <xdr:cNvCxnSpPr/>
      </xdr:nvCxnSpPr>
      <xdr:spPr>
        <a:xfrm flipV="1">
          <a:off x="9553575" y="48753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212</xdr:row>
      <xdr:rowOff>130972</xdr:rowOff>
    </xdr:from>
    <xdr:to>
      <xdr:col>14</xdr:col>
      <xdr:colOff>190500</xdr:colOff>
      <xdr:row>213</xdr:row>
      <xdr:rowOff>119063</xdr:rowOff>
    </xdr:to>
    <xdr:cxnSp macro="">
      <xdr:nvCxnSpPr>
        <xdr:cNvPr id="633" name="Connecteur droit avec flèche 632"/>
        <xdr:cNvCxnSpPr/>
      </xdr:nvCxnSpPr>
      <xdr:spPr>
        <a:xfrm>
          <a:off x="9541669" y="49146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212</xdr:row>
      <xdr:rowOff>119063</xdr:rowOff>
    </xdr:from>
    <xdr:to>
      <xdr:col>14</xdr:col>
      <xdr:colOff>83344</xdr:colOff>
      <xdr:row>212</xdr:row>
      <xdr:rowOff>119063</xdr:rowOff>
    </xdr:to>
    <xdr:cxnSp macro="">
      <xdr:nvCxnSpPr>
        <xdr:cNvPr id="634" name="Connecteur droit avec flèche 633"/>
        <xdr:cNvCxnSpPr/>
      </xdr:nvCxnSpPr>
      <xdr:spPr>
        <a:xfrm>
          <a:off x="9541669" y="49134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210</xdr:row>
      <xdr:rowOff>107156</xdr:rowOff>
    </xdr:from>
    <xdr:to>
      <xdr:col>14</xdr:col>
      <xdr:colOff>107157</xdr:colOff>
      <xdr:row>210</xdr:row>
      <xdr:rowOff>107157</xdr:rowOff>
    </xdr:to>
    <xdr:cxnSp macro="">
      <xdr:nvCxnSpPr>
        <xdr:cNvPr id="635" name="Connecteur droit avec flèche 634"/>
        <xdr:cNvCxnSpPr/>
      </xdr:nvCxnSpPr>
      <xdr:spPr>
        <a:xfrm flipV="1">
          <a:off x="11018044" y="48741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210</xdr:row>
      <xdr:rowOff>107158</xdr:rowOff>
    </xdr:from>
    <xdr:to>
      <xdr:col>14</xdr:col>
      <xdr:colOff>226219</xdr:colOff>
      <xdr:row>211</xdr:row>
      <xdr:rowOff>130969</xdr:rowOff>
    </xdr:to>
    <xdr:cxnSp macro="">
      <xdr:nvCxnSpPr>
        <xdr:cNvPr id="636" name="Connecteur droit avec flèche 635"/>
        <xdr:cNvCxnSpPr/>
      </xdr:nvCxnSpPr>
      <xdr:spPr>
        <a:xfrm>
          <a:off x="10994231" y="48741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208</xdr:row>
      <xdr:rowOff>107157</xdr:rowOff>
    </xdr:from>
    <xdr:to>
      <xdr:col>14</xdr:col>
      <xdr:colOff>107157</xdr:colOff>
      <xdr:row>208</xdr:row>
      <xdr:rowOff>107158</xdr:rowOff>
    </xdr:to>
    <xdr:cxnSp macro="">
      <xdr:nvCxnSpPr>
        <xdr:cNvPr id="637" name="Connecteur droit avec flèche 636"/>
        <xdr:cNvCxnSpPr/>
      </xdr:nvCxnSpPr>
      <xdr:spPr>
        <a:xfrm flipV="1">
          <a:off x="11018044" y="48360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208</xdr:row>
      <xdr:rowOff>107159</xdr:rowOff>
    </xdr:from>
    <xdr:to>
      <xdr:col>14</xdr:col>
      <xdr:colOff>226219</xdr:colOff>
      <xdr:row>209</xdr:row>
      <xdr:rowOff>130970</xdr:rowOff>
    </xdr:to>
    <xdr:cxnSp macro="">
      <xdr:nvCxnSpPr>
        <xdr:cNvPr id="638" name="Connecteur droit avec flèche 637"/>
        <xdr:cNvCxnSpPr/>
      </xdr:nvCxnSpPr>
      <xdr:spPr>
        <a:xfrm>
          <a:off x="10994231" y="48360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1376892</xdr:colOff>
      <xdr:row>208</xdr:row>
      <xdr:rowOff>15875</xdr:rowOff>
    </xdr:from>
    <xdr:to>
      <xdr:col>7</xdr:col>
      <xdr:colOff>41486</xdr:colOff>
      <xdr:row>220</xdr:row>
      <xdr:rowOff>127000</xdr:rowOff>
    </xdr:to>
    <xdr:sp macro="" textlink="">
      <xdr:nvSpPr>
        <xdr:cNvPr id="639" name="Accolade fermante 638"/>
        <xdr:cNvSpPr/>
      </xdr:nvSpPr>
      <xdr:spPr>
        <a:xfrm>
          <a:off x="6634692" y="48269525"/>
          <a:ext cx="55244" cy="2397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486834</xdr:colOff>
      <xdr:row>310</xdr:row>
      <xdr:rowOff>130970</xdr:rowOff>
    </xdr:from>
    <xdr:to>
      <xdr:col>10</xdr:col>
      <xdr:colOff>119063</xdr:colOff>
      <xdr:row>312</xdr:row>
      <xdr:rowOff>74083</xdr:rowOff>
    </xdr:to>
    <xdr:cxnSp macro="">
      <xdr:nvCxnSpPr>
        <xdr:cNvPr id="640" name="Connecteur droit avec flèche 639"/>
        <xdr:cNvCxnSpPr/>
      </xdr:nvCxnSpPr>
      <xdr:spPr>
        <a:xfrm flipV="1">
          <a:off x="7897284" y="62481620"/>
          <a:ext cx="1156229" cy="3241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476250</xdr:colOff>
      <xdr:row>311</xdr:row>
      <xdr:rowOff>119063</xdr:rowOff>
    </xdr:from>
    <xdr:to>
      <xdr:col>10</xdr:col>
      <xdr:colOff>107156</xdr:colOff>
      <xdr:row>312</xdr:row>
      <xdr:rowOff>63500</xdr:rowOff>
    </xdr:to>
    <xdr:cxnSp macro="">
      <xdr:nvCxnSpPr>
        <xdr:cNvPr id="641" name="Connecteur droit avec flèche 640"/>
        <xdr:cNvCxnSpPr/>
      </xdr:nvCxnSpPr>
      <xdr:spPr>
        <a:xfrm flipV="1">
          <a:off x="7886700" y="62660213"/>
          <a:ext cx="1154906" cy="13493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310</xdr:row>
      <xdr:rowOff>0</xdr:rowOff>
    </xdr:from>
    <xdr:to>
      <xdr:col>12</xdr:col>
      <xdr:colOff>166688</xdr:colOff>
      <xdr:row>310</xdr:row>
      <xdr:rowOff>83344</xdr:rowOff>
    </xdr:to>
    <xdr:cxnSp macro="">
      <xdr:nvCxnSpPr>
        <xdr:cNvPr id="642" name="Connecteur droit avec flèche 641"/>
        <xdr:cNvCxnSpPr/>
      </xdr:nvCxnSpPr>
      <xdr:spPr>
        <a:xfrm flipV="1">
          <a:off x="9577387" y="62350650"/>
          <a:ext cx="1047751" cy="833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310</xdr:row>
      <xdr:rowOff>119063</xdr:rowOff>
    </xdr:from>
    <xdr:to>
      <xdr:col>12</xdr:col>
      <xdr:colOff>166688</xdr:colOff>
      <xdr:row>310</xdr:row>
      <xdr:rowOff>119064</xdr:rowOff>
    </xdr:to>
    <xdr:cxnSp macro="">
      <xdr:nvCxnSpPr>
        <xdr:cNvPr id="643" name="Connecteur droit avec flèche 642"/>
        <xdr:cNvCxnSpPr/>
      </xdr:nvCxnSpPr>
      <xdr:spPr>
        <a:xfrm flipV="1">
          <a:off x="9553575" y="62469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311</xdr:row>
      <xdr:rowOff>130972</xdr:rowOff>
    </xdr:from>
    <xdr:to>
      <xdr:col>14</xdr:col>
      <xdr:colOff>190500</xdr:colOff>
      <xdr:row>312</xdr:row>
      <xdr:rowOff>119063</xdr:rowOff>
    </xdr:to>
    <xdr:cxnSp macro="">
      <xdr:nvCxnSpPr>
        <xdr:cNvPr id="644" name="Connecteur droit avec flèche 643"/>
        <xdr:cNvCxnSpPr/>
      </xdr:nvCxnSpPr>
      <xdr:spPr>
        <a:xfrm>
          <a:off x="9541669" y="626721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311</xdr:row>
      <xdr:rowOff>119063</xdr:rowOff>
    </xdr:from>
    <xdr:to>
      <xdr:col>14</xdr:col>
      <xdr:colOff>83344</xdr:colOff>
      <xdr:row>311</xdr:row>
      <xdr:rowOff>119063</xdr:rowOff>
    </xdr:to>
    <xdr:cxnSp macro="">
      <xdr:nvCxnSpPr>
        <xdr:cNvPr id="645" name="Connecteur droit avec flèche 644"/>
        <xdr:cNvCxnSpPr/>
      </xdr:nvCxnSpPr>
      <xdr:spPr>
        <a:xfrm>
          <a:off x="9541669" y="626602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310</xdr:row>
      <xdr:rowOff>107156</xdr:rowOff>
    </xdr:from>
    <xdr:to>
      <xdr:col>14</xdr:col>
      <xdr:colOff>107157</xdr:colOff>
      <xdr:row>310</xdr:row>
      <xdr:rowOff>107157</xdr:rowOff>
    </xdr:to>
    <xdr:cxnSp macro="">
      <xdr:nvCxnSpPr>
        <xdr:cNvPr id="646" name="Connecteur droit avec flèche 645"/>
        <xdr:cNvCxnSpPr/>
      </xdr:nvCxnSpPr>
      <xdr:spPr>
        <a:xfrm flipV="1">
          <a:off x="11018044" y="62457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306</xdr:row>
      <xdr:rowOff>130969</xdr:rowOff>
    </xdr:from>
    <xdr:to>
      <xdr:col>10</xdr:col>
      <xdr:colOff>119063</xdr:colOff>
      <xdr:row>307</xdr:row>
      <xdr:rowOff>107156</xdr:rowOff>
    </xdr:to>
    <xdr:cxnSp macro="">
      <xdr:nvCxnSpPr>
        <xdr:cNvPr id="649" name="Connecteur droit avec flèche 648"/>
        <xdr:cNvCxnSpPr/>
      </xdr:nvCxnSpPr>
      <xdr:spPr>
        <a:xfrm flipV="1">
          <a:off x="8112919" y="61719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307</xdr:row>
      <xdr:rowOff>119063</xdr:rowOff>
    </xdr:from>
    <xdr:to>
      <xdr:col>10</xdr:col>
      <xdr:colOff>107156</xdr:colOff>
      <xdr:row>308</xdr:row>
      <xdr:rowOff>119063</xdr:rowOff>
    </xdr:to>
    <xdr:cxnSp macro="">
      <xdr:nvCxnSpPr>
        <xdr:cNvPr id="651" name="Connecteur droit avec flèche 650"/>
        <xdr:cNvCxnSpPr/>
      </xdr:nvCxnSpPr>
      <xdr:spPr>
        <a:xfrm>
          <a:off x="8124825" y="61898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304</xdr:row>
      <xdr:rowOff>107156</xdr:rowOff>
    </xdr:from>
    <xdr:to>
      <xdr:col>12</xdr:col>
      <xdr:colOff>166688</xdr:colOff>
      <xdr:row>306</xdr:row>
      <xdr:rowOff>83344</xdr:rowOff>
    </xdr:to>
    <xdr:cxnSp macro="">
      <xdr:nvCxnSpPr>
        <xdr:cNvPr id="652" name="Connecteur droit avec flèche 651"/>
        <xdr:cNvCxnSpPr/>
      </xdr:nvCxnSpPr>
      <xdr:spPr>
        <a:xfrm flipV="1">
          <a:off x="9577387" y="61314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306</xdr:row>
      <xdr:rowOff>119063</xdr:rowOff>
    </xdr:from>
    <xdr:to>
      <xdr:col>12</xdr:col>
      <xdr:colOff>166688</xdr:colOff>
      <xdr:row>306</xdr:row>
      <xdr:rowOff>119064</xdr:rowOff>
    </xdr:to>
    <xdr:cxnSp macro="">
      <xdr:nvCxnSpPr>
        <xdr:cNvPr id="654" name="Connecteur droit avec flèche 653"/>
        <xdr:cNvCxnSpPr/>
      </xdr:nvCxnSpPr>
      <xdr:spPr>
        <a:xfrm flipV="1">
          <a:off x="9553575" y="61707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308</xdr:row>
      <xdr:rowOff>130972</xdr:rowOff>
    </xdr:from>
    <xdr:to>
      <xdr:col>14</xdr:col>
      <xdr:colOff>190500</xdr:colOff>
      <xdr:row>309</xdr:row>
      <xdr:rowOff>119063</xdr:rowOff>
    </xdr:to>
    <xdr:cxnSp macro="">
      <xdr:nvCxnSpPr>
        <xdr:cNvPr id="656" name="Connecteur droit avec flèche 655"/>
        <xdr:cNvCxnSpPr/>
      </xdr:nvCxnSpPr>
      <xdr:spPr>
        <a:xfrm>
          <a:off x="9541669" y="62100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308</xdr:row>
      <xdr:rowOff>119063</xdr:rowOff>
    </xdr:from>
    <xdr:to>
      <xdr:col>14</xdr:col>
      <xdr:colOff>83344</xdr:colOff>
      <xdr:row>308</xdr:row>
      <xdr:rowOff>119063</xdr:rowOff>
    </xdr:to>
    <xdr:cxnSp macro="">
      <xdr:nvCxnSpPr>
        <xdr:cNvPr id="657" name="Connecteur droit avec flèche 656"/>
        <xdr:cNvCxnSpPr/>
      </xdr:nvCxnSpPr>
      <xdr:spPr>
        <a:xfrm>
          <a:off x="9541669" y="62088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306</xdr:row>
      <xdr:rowOff>107156</xdr:rowOff>
    </xdr:from>
    <xdr:to>
      <xdr:col>14</xdr:col>
      <xdr:colOff>107157</xdr:colOff>
      <xdr:row>306</xdr:row>
      <xdr:rowOff>107157</xdr:rowOff>
    </xdr:to>
    <xdr:cxnSp macro="">
      <xdr:nvCxnSpPr>
        <xdr:cNvPr id="658" name="Connecteur droit avec flèche 657"/>
        <xdr:cNvCxnSpPr/>
      </xdr:nvCxnSpPr>
      <xdr:spPr>
        <a:xfrm flipV="1">
          <a:off x="11018044" y="61695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306</xdr:row>
      <xdr:rowOff>107158</xdr:rowOff>
    </xdr:from>
    <xdr:to>
      <xdr:col>14</xdr:col>
      <xdr:colOff>226219</xdr:colOff>
      <xdr:row>307</xdr:row>
      <xdr:rowOff>130969</xdr:rowOff>
    </xdr:to>
    <xdr:cxnSp macro="">
      <xdr:nvCxnSpPr>
        <xdr:cNvPr id="659" name="Connecteur droit avec flèche 658"/>
        <xdr:cNvCxnSpPr/>
      </xdr:nvCxnSpPr>
      <xdr:spPr>
        <a:xfrm>
          <a:off x="10994231" y="61695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304</xdr:row>
      <xdr:rowOff>107157</xdr:rowOff>
    </xdr:from>
    <xdr:to>
      <xdr:col>14</xdr:col>
      <xdr:colOff>107157</xdr:colOff>
      <xdr:row>304</xdr:row>
      <xdr:rowOff>107158</xdr:rowOff>
    </xdr:to>
    <xdr:cxnSp macro="">
      <xdr:nvCxnSpPr>
        <xdr:cNvPr id="661" name="Connecteur droit avec flèche 660"/>
        <xdr:cNvCxnSpPr/>
      </xdr:nvCxnSpPr>
      <xdr:spPr>
        <a:xfrm flipV="1">
          <a:off x="11018044" y="61314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304</xdr:row>
      <xdr:rowOff>107159</xdr:rowOff>
    </xdr:from>
    <xdr:to>
      <xdr:col>14</xdr:col>
      <xdr:colOff>226219</xdr:colOff>
      <xdr:row>305</xdr:row>
      <xdr:rowOff>130970</xdr:rowOff>
    </xdr:to>
    <xdr:cxnSp macro="">
      <xdr:nvCxnSpPr>
        <xdr:cNvPr id="662" name="Connecteur droit avec flèche 661"/>
        <xdr:cNvCxnSpPr/>
      </xdr:nvCxnSpPr>
      <xdr:spPr>
        <a:xfrm>
          <a:off x="10994231" y="61314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1035843</xdr:colOff>
      <xdr:row>304</xdr:row>
      <xdr:rowOff>35719</xdr:rowOff>
    </xdr:from>
    <xdr:to>
      <xdr:col>6</xdr:col>
      <xdr:colOff>1131094</xdr:colOff>
      <xdr:row>313</xdr:row>
      <xdr:rowOff>0</xdr:rowOff>
    </xdr:to>
    <xdr:sp macro="" textlink="">
      <xdr:nvSpPr>
        <xdr:cNvPr id="664" name="Accolade fermante 663"/>
        <xdr:cNvSpPr/>
      </xdr:nvSpPr>
      <xdr:spPr>
        <a:xfrm>
          <a:off x="6293643" y="61243369"/>
          <a:ext cx="95251" cy="1678781"/>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twoCellAnchor>
    <xdr:from>
      <xdr:col>8</xdr:col>
      <xdr:colOff>486834</xdr:colOff>
      <xdr:row>290</xdr:row>
      <xdr:rowOff>130970</xdr:rowOff>
    </xdr:from>
    <xdr:to>
      <xdr:col>10</xdr:col>
      <xdr:colOff>119063</xdr:colOff>
      <xdr:row>292</xdr:row>
      <xdr:rowOff>74083</xdr:rowOff>
    </xdr:to>
    <xdr:cxnSp macro="">
      <xdr:nvCxnSpPr>
        <xdr:cNvPr id="665" name="Connecteur droit avec flèche 664"/>
        <xdr:cNvCxnSpPr/>
      </xdr:nvCxnSpPr>
      <xdr:spPr>
        <a:xfrm flipV="1">
          <a:off x="7897284" y="62481620"/>
          <a:ext cx="1156229" cy="324113"/>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476250</xdr:colOff>
      <xdr:row>291</xdr:row>
      <xdr:rowOff>119063</xdr:rowOff>
    </xdr:from>
    <xdr:to>
      <xdr:col>10</xdr:col>
      <xdr:colOff>107156</xdr:colOff>
      <xdr:row>292</xdr:row>
      <xdr:rowOff>63500</xdr:rowOff>
    </xdr:to>
    <xdr:cxnSp macro="">
      <xdr:nvCxnSpPr>
        <xdr:cNvPr id="666" name="Connecteur droit avec flèche 665"/>
        <xdr:cNvCxnSpPr/>
      </xdr:nvCxnSpPr>
      <xdr:spPr>
        <a:xfrm flipV="1">
          <a:off x="7886700" y="62660213"/>
          <a:ext cx="1154906" cy="13493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290</xdr:row>
      <xdr:rowOff>0</xdr:rowOff>
    </xdr:from>
    <xdr:to>
      <xdr:col>12</xdr:col>
      <xdr:colOff>166688</xdr:colOff>
      <xdr:row>290</xdr:row>
      <xdr:rowOff>83344</xdr:rowOff>
    </xdr:to>
    <xdr:cxnSp macro="">
      <xdr:nvCxnSpPr>
        <xdr:cNvPr id="667" name="Connecteur droit avec flèche 666"/>
        <xdr:cNvCxnSpPr/>
      </xdr:nvCxnSpPr>
      <xdr:spPr>
        <a:xfrm flipV="1">
          <a:off x="9577387" y="62350650"/>
          <a:ext cx="1047751" cy="83344"/>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290</xdr:row>
      <xdr:rowOff>119063</xdr:rowOff>
    </xdr:from>
    <xdr:to>
      <xdr:col>12</xdr:col>
      <xdr:colOff>166688</xdr:colOff>
      <xdr:row>290</xdr:row>
      <xdr:rowOff>119064</xdr:rowOff>
    </xdr:to>
    <xdr:cxnSp macro="">
      <xdr:nvCxnSpPr>
        <xdr:cNvPr id="668" name="Connecteur droit avec flèche 667"/>
        <xdr:cNvCxnSpPr/>
      </xdr:nvCxnSpPr>
      <xdr:spPr>
        <a:xfrm flipV="1">
          <a:off x="9553575" y="62469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291</xdr:row>
      <xdr:rowOff>130972</xdr:rowOff>
    </xdr:from>
    <xdr:to>
      <xdr:col>14</xdr:col>
      <xdr:colOff>190500</xdr:colOff>
      <xdr:row>292</xdr:row>
      <xdr:rowOff>119063</xdr:rowOff>
    </xdr:to>
    <xdr:cxnSp macro="">
      <xdr:nvCxnSpPr>
        <xdr:cNvPr id="669" name="Connecteur droit avec flèche 668"/>
        <xdr:cNvCxnSpPr/>
      </xdr:nvCxnSpPr>
      <xdr:spPr>
        <a:xfrm>
          <a:off x="9541669" y="626721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291</xdr:row>
      <xdr:rowOff>119063</xdr:rowOff>
    </xdr:from>
    <xdr:to>
      <xdr:col>14</xdr:col>
      <xdr:colOff>83344</xdr:colOff>
      <xdr:row>291</xdr:row>
      <xdr:rowOff>119063</xdr:rowOff>
    </xdr:to>
    <xdr:cxnSp macro="">
      <xdr:nvCxnSpPr>
        <xdr:cNvPr id="670" name="Connecteur droit avec flèche 669"/>
        <xdr:cNvCxnSpPr/>
      </xdr:nvCxnSpPr>
      <xdr:spPr>
        <a:xfrm>
          <a:off x="9541669" y="626602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290</xdr:row>
      <xdr:rowOff>107156</xdr:rowOff>
    </xdr:from>
    <xdr:to>
      <xdr:col>14</xdr:col>
      <xdr:colOff>107157</xdr:colOff>
      <xdr:row>290</xdr:row>
      <xdr:rowOff>107157</xdr:rowOff>
    </xdr:to>
    <xdr:cxnSp macro="">
      <xdr:nvCxnSpPr>
        <xdr:cNvPr id="671" name="Connecteur droit avec flèche 670"/>
        <xdr:cNvCxnSpPr/>
      </xdr:nvCxnSpPr>
      <xdr:spPr>
        <a:xfrm flipV="1">
          <a:off x="11018044" y="62457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702469</xdr:colOff>
      <xdr:row>286</xdr:row>
      <xdr:rowOff>130969</xdr:rowOff>
    </xdr:from>
    <xdr:to>
      <xdr:col>10</xdr:col>
      <xdr:colOff>119063</xdr:colOff>
      <xdr:row>287</xdr:row>
      <xdr:rowOff>107156</xdr:rowOff>
    </xdr:to>
    <xdr:cxnSp macro="">
      <xdr:nvCxnSpPr>
        <xdr:cNvPr id="672" name="Connecteur droit avec flèche 671"/>
        <xdr:cNvCxnSpPr/>
      </xdr:nvCxnSpPr>
      <xdr:spPr>
        <a:xfrm flipV="1">
          <a:off x="8112919" y="61719619"/>
          <a:ext cx="940594" cy="166687"/>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714375</xdr:colOff>
      <xdr:row>287</xdr:row>
      <xdr:rowOff>119063</xdr:rowOff>
    </xdr:from>
    <xdr:to>
      <xdr:col>10</xdr:col>
      <xdr:colOff>107156</xdr:colOff>
      <xdr:row>288</xdr:row>
      <xdr:rowOff>119063</xdr:rowOff>
    </xdr:to>
    <xdr:cxnSp macro="">
      <xdr:nvCxnSpPr>
        <xdr:cNvPr id="673" name="Connecteur droit avec flèche 672"/>
        <xdr:cNvCxnSpPr/>
      </xdr:nvCxnSpPr>
      <xdr:spPr>
        <a:xfrm>
          <a:off x="8124825" y="61898213"/>
          <a:ext cx="916781" cy="19050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642937</xdr:colOff>
      <xdr:row>284</xdr:row>
      <xdr:rowOff>107156</xdr:rowOff>
    </xdr:from>
    <xdr:to>
      <xdr:col>12</xdr:col>
      <xdr:colOff>166688</xdr:colOff>
      <xdr:row>286</xdr:row>
      <xdr:rowOff>83344</xdr:rowOff>
    </xdr:to>
    <xdr:cxnSp macro="">
      <xdr:nvCxnSpPr>
        <xdr:cNvPr id="674" name="Connecteur droit avec flèche 673"/>
        <xdr:cNvCxnSpPr/>
      </xdr:nvCxnSpPr>
      <xdr:spPr>
        <a:xfrm flipV="1">
          <a:off x="9577387" y="61314806"/>
          <a:ext cx="1047751" cy="357188"/>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619125</xdr:colOff>
      <xdr:row>286</xdr:row>
      <xdr:rowOff>119063</xdr:rowOff>
    </xdr:from>
    <xdr:to>
      <xdr:col>12</xdr:col>
      <xdr:colOff>166688</xdr:colOff>
      <xdr:row>286</xdr:row>
      <xdr:rowOff>119064</xdr:rowOff>
    </xdr:to>
    <xdr:cxnSp macro="">
      <xdr:nvCxnSpPr>
        <xdr:cNvPr id="675" name="Connecteur droit avec flèche 674"/>
        <xdr:cNvCxnSpPr/>
      </xdr:nvCxnSpPr>
      <xdr:spPr>
        <a:xfrm flipV="1">
          <a:off x="9553575" y="61707713"/>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288</xdr:row>
      <xdr:rowOff>130972</xdr:rowOff>
    </xdr:from>
    <xdr:to>
      <xdr:col>14</xdr:col>
      <xdr:colOff>190500</xdr:colOff>
      <xdr:row>289</xdr:row>
      <xdr:rowOff>119063</xdr:rowOff>
    </xdr:to>
    <xdr:cxnSp macro="">
      <xdr:nvCxnSpPr>
        <xdr:cNvPr id="677" name="Connecteur droit avec flèche 676"/>
        <xdr:cNvCxnSpPr/>
      </xdr:nvCxnSpPr>
      <xdr:spPr>
        <a:xfrm>
          <a:off x="9541669" y="62100622"/>
          <a:ext cx="2631281" cy="17859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607219</xdr:colOff>
      <xdr:row>288</xdr:row>
      <xdr:rowOff>119063</xdr:rowOff>
    </xdr:from>
    <xdr:to>
      <xdr:col>14</xdr:col>
      <xdr:colOff>83344</xdr:colOff>
      <xdr:row>288</xdr:row>
      <xdr:rowOff>119063</xdr:rowOff>
    </xdr:to>
    <xdr:cxnSp macro="">
      <xdr:nvCxnSpPr>
        <xdr:cNvPr id="678" name="Connecteur droit avec flèche 677"/>
        <xdr:cNvCxnSpPr/>
      </xdr:nvCxnSpPr>
      <xdr:spPr>
        <a:xfrm>
          <a:off x="9541669" y="62088713"/>
          <a:ext cx="2524125" cy="0"/>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286</xdr:row>
      <xdr:rowOff>107156</xdr:rowOff>
    </xdr:from>
    <xdr:to>
      <xdr:col>14</xdr:col>
      <xdr:colOff>107157</xdr:colOff>
      <xdr:row>286</xdr:row>
      <xdr:rowOff>107157</xdr:rowOff>
    </xdr:to>
    <xdr:cxnSp macro="">
      <xdr:nvCxnSpPr>
        <xdr:cNvPr id="681" name="Connecteur droit avec flèche 680"/>
        <xdr:cNvCxnSpPr/>
      </xdr:nvCxnSpPr>
      <xdr:spPr>
        <a:xfrm flipV="1">
          <a:off x="11018044" y="61695806"/>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286</xdr:row>
      <xdr:rowOff>107158</xdr:rowOff>
    </xdr:from>
    <xdr:to>
      <xdr:col>14</xdr:col>
      <xdr:colOff>226219</xdr:colOff>
      <xdr:row>287</xdr:row>
      <xdr:rowOff>130969</xdr:rowOff>
    </xdr:to>
    <xdr:cxnSp macro="">
      <xdr:nvCxnSpPr>
        <xdr:cNvPr id="682" name="Connecteur droit avec flèche 681"/>
        <xdr:cNvCxnSpPr/>
      </xdr:nvCxnSpPr>
      <xdr:spPr>
        <a:xfrm>
          <a:off x="10994231" y="61695808"/>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559594</xdr:colOff>
      <xdr:row>284</xdr:row>
      <xdr:rowOff>107157</xdr:rowOff>
    </xdr:from>
    <xdr:to>
      <xdr:col>14</xdr:col>
      <xdr:colOff>107157</xdr:colOff>
      <xdr:row>284</xdr:row>
      <xdr:rowOff>107158</xdr:rowOff>
    </xdr:to>
    <xdr:cxnSp macro="">
      <xdr:nvCxnSpPr>
        <xdr:cNvPr id="696" name="Connecteur droit avec flèche 695"/>
        <xdr:cNvCxnSpPr/>
      </xdr:nvCxnSpPr>
      <xdr:spPr>
        <a:xfrm flipV="1">
          <a:off x="11018044" y="61314807"/>
          <a:ext cx="1071563" cy="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535781</xdr:colOff>
      <xdr:row>284</xdr:row>
      <xdr:rowOff>107159</xdr:rowOff>
    </xdr:from>
    <xdr:to>
      <xdr:col>14</xdr:col>
      <xdr:colOff>226219</xdr:colOff>
      <xdr:row>285</xdr:row>
      <xdr:rowOff>130970</xdr:rowOff>
    </xdr:to>
    <xdr:cxnSp macro="">
      <xdr:nvCxnSpPr>
        <xdr:cNvPr id="697" name="Connecteur droit avec flèche 696"/>
        <xdr:cNvCxnSpPr/>
      </xdr:nvCxnSpPr>
      <xdr:spPr>
        <a:xfrm>
          <a:off x="10994231" y="61314809"/>
          <a:ext cx="1214438" cy="214311"/>
        </a:xfrm>
        <a:prstGeom prst="straightConnector1">
          <a:avLst/>
        </a:prstGeom>
        <a:ln>
          <a:solidFill>
            <a:schemeClr val="bg1">
              <a:lumMod val="65000"/>
            </a:schemeClr>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1035843</xdr:colOff>
      <xdr:row>284</xdr:row>
      <xdr:rowOff>35719</xdr:rowOff>
    </xdr:from>
    <xdr:to>
      <xdr:col>6</xdr:col>
      <xdr:colOff>1131094</xdr:colOff>
      <xdr:row>293</xdr:row>
      <xdr:rowOff>0</xdr:rowOff>
    </xdr:to>
    <xdr:sp macro="" textlink="">
      <xdr:nvSpPr>
        <xdr:cNvPr id="698" name="Accolade fermante 697"/>
        <xdr:cNvSpPr/>
      </xdr:nvSpPr>
      <xdr:spPr>
        <a:xfrm>
          <a:off x="6293643" y="61243369"/>
          <a:ext cx="95251" cy="1678781"/>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gendebien@ulg.ac.be" TargetMode="External"/><Relationship Id="rId1" Type="http://schemas.openxmlformats.org/officeDocument/2006/relationships/hyperlink" Target="http://www.labothap.ulg.ac.b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monitoringdesquartiers.irisnet.be/" TargetMode="External"/><Relationship Id="rId2" Type="http://schemas.openxmlformats.org/officeDocument/2006/relationships/hyperlink" Target="http://www.iweps.be/evolution-du-parc-de-logements" TargetMode="External"/><Relationship Id="rId1" Type="http://schemas.openxmlformats.org/officeDocument/2006/relationships/hyperlink" Target="http://www.building-typology.eu/downloads/public/docs/report/TABULA_TR2_D8_NationalEnergyBalances.pdf"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lehr.be/Reports/UCL_Les_logements_wallons.pdf" TargetMode="External"/><Relationship Id="rId3" Type="http://schemas.openxmlformats.org/officeDocument/2006/relationships/hyperlink" Target="http://www.building-typology.eu/downloads/public/docs/report/TABULA_TR2_D8_NationalEnergyBalances.pdf" TargetMode="External"/><Relationship Id="rId7" Type="http://schemas.openxmlformats.org/officeDocument/2006/relationships/hyperlink" Target="http://www.lehr.be/Reports/UCL_Les_logements_wallons.pdf" TargetMode="External"/><Relationship Id="rId2" Type="http://schemas.openxmlformats.org/officeDocument/2006/relationships/hyperlink" Target="http://www.building-typology.eu/downloads/public/docs/report/TABULA_TR2_D8_NationalEnergyBalances.pdf" TargetMode="External"/><Relationship Id="rId1" Type="http://schemas.openxmlformats.org/officeDocument/2006/relationships/hyperlink" Target="http://www.lehr.be/Reports/UCL_Les_logements_wallons.pdf" TargetMode="External"/><Relationship Id="rId6" Type="http://schemas.openxmlformats.org/officeDocument/2006/relationships/hyperlink" Target="http://statbel.fgov.be/fr/binaries/WEB_FR_Batibouw_2012_tcm326-164335.pdf" TargetMode="External"/><Relationship Id="rId5" Type="http://schemas.openxmlformats.org/officeDocument/2006/relationships/hyperlink" Target="http://www.lehr.be/Reports/UCL_Les_logements_wallons.pdf" TargetMode="External"/><Relationship Id="rId10" Type="http://schemas.openxmlformats.org/officeDocument/2006/relationships/drawing" Target="../drawings/drawing3.xml"/><Relationship Id="rId4" Type="http://schemas.openxmlformats.org/officeDocument/2006/relationships/hyperlink" Target="https://lirias.kuleuven.be/handle/123456789/267749"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www.lehr.be/Reports/UCL_Les_logements_wallons.pdf" TargetMode="External"/><Relationship Id="rId3" Type="http://schemas.openxmlformats.org/officeDocument/2006/relationships/hyperlink" Target="http://www.building-typology.eu/downloads/public/docs/report/TABULA_TR2_D8_NationalEnergyBalances.pdf" TargetMode="External"/><Relationship Id="rId7" Type="http://schemas.openxmlformats.org/officeDocument/2006/relationships/hyperlink" Target="http://www.lehr.be/Reports/UCL_Les_logements_wallons.pdf" TargetMode="External"/><Relationship Id="rId2" Type="http://schemas.openxmlformats.org/officeDocument/2006/relationships/hyperlink" Target="http://www.building-typology.eu/downloads/public/docs/report/TABULA_TR2_D8_NationalEnergyBalances.pdf" TargetMode="External"/><Relationship Id="rId1" Type="http://schemas.openxmlformats.org/officeDocument/2006/relationships/hyperlink" Target="http://www.lehr.be/Reports/UCL_Les_logements_wallons.pdf" TargetMode="External"/><Relationship Id="rId6" Type="http://schemas.openxmlformats.org/officeDocument/2006/relationships/hyperlink" Target="http://statbel.fgov.be/fr/binaries/WEB_FR_Batibouw_2012_tcm326-164335.pdf" TargetMode="External"/><Relationship Id="rId5" Type="http://schemas.openxmlformats.org/officeDocument/2006/relationships/hyperlink" Target="http://www.lehr.be/Reports/UCL_Les_logements_wallons.pdf" TargetMode="External"/><Relationship Id="rId10" Type="http://schemas.openxmlformats.org/officeDocument/2006/relationships/drawing" Target="../drawings/drawing4.xml"/><Relationship Id="rId4" Type="http://schemas.openxmlformats.org/officeDocument/2006/relationships/hyperlink" Target="https://lirias.kuleuven.be/handle/123456789/267749"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www.lehr.be/Reports/UCL_Les_logements_wallons.pdf" TargetMode="External"/><Relationship Id="rId3" Type="http://schemas.openxmlformats.org/officeDocument/2006/relationships/hyperlink" Target="http://www.building-typology.eu/downloads/public/docs/report/TABULA_TR2_D8_NationalEnergyBalances.pdf" TargetMode="External"/><Relationship Id="rId7" Type="http://schemas.openxmlformats.org/officeDocument/2006/relationships/hyperlink" Target="http://www.lehr.be/Reports/UCL_Les_logements_wallons.pdf" TargetMode="External"/><Relationship Id="rId2" Type="http://schemas.openxmlformats.org/officeDocument/2006/relationships/hyperlink" Target="http://www.building-typology.eu/downloads/public/docs/report/TABULA_TR2_D8_NationalEnergyBalances.pdf" TargetMode="External"/><Relationship Id="rId1" Type="http://schemas.openxmlformats.org/officeDocument/2006/relationships/hyperlink" Target="http://www.lehr.be/Reports/UCL_Les_logements_wallons.pdf" TargetMode="External"/><Relationship Id="rId6" Type="http://schemas.openxmlformats.org/officeDocument/2006/relationships/hyperlink" Target="http://statbel.fgov.be/fr/binaries/WEB_FR_Batibouw_2012_tcm326-164335.pdf" TargetMode="External"/><Relationship Id="rId5" Type="http://schemas.openxmlformats.org/officeDocument/2006/relationships/hyperlink" Target="http://www.lehr.be/Reports/UCL_Les_logements_wallons.pdf" TargetMode="External"/><Relationship Id="rId10" Type="http://schemas.openxmlformats.org/officeDocument/2006/relationships/drawing" Target="../drawings/drawing5.xml"/><Relationship Id="rId4" Type="http://schemas.openxmlformats.org/officeDocument/2006/relationships/hyperlink" Target="https://lirias.kuleuven.be/handle/123456789/267749"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building-typology.eu/downloads/public/docs/report/TABULA_TR2_D8_NationalEnergyBalances.pdf" TargetMode="External"/><Relationship Id="rId3" Type="http://schemas.openxmlformats.org/officeDocument/2006/relationships/hyperlink" Target="http://www.lehr.be/Reports/UCL_Les_logements_wallons.pdf" TargetMode="External"/><Relationship Id="rId7" Type="http://schemas.openxmlformats.org/officeDocument/2006/relationships/hyperlink" Target="http://www.building-typology.eu/downloads/public/docs/report/TABULA_TR2_D8_NationalEnergyBalances.pdf" TargetMode="External"/><Relationship Id="rId2" Type="http://schemas.openxmlformats.org/officeDocument/2006/relationships/hyperlink" Target="https://lirias.kuleuven.be/handle/123456789/267749" TargetMode="External"/><Relationship Id="rId1" Type="http://schemas.openxmlformats.org/officeDocument/2006/relationships/hyperlink" Target="http://www.building-typology.eu/downloads/public/docs/report/TABULA_TR2_D8_NationalEnergyBalances.pdf" TargetMode="External"/><Relationship Id="rId6" Type="http://schemas.openxmlformats.org/officeDocument/2006/relationships/hyperlink" Target="http://www.lehr.be/Reports/UCL_Les_logements_wallons.pdf" TargetMode="External"/><Relationship Id="rId5" Type="http://schemas.openxmlformats.org/officeDocument/2006/relationships/hyperlink" Target="http://www.lehr.be/Reports/UCL_Les_logements_wallons.pdf" TargetMode="External"/><Relationship Id="rId10" Type="http://schemas.openxmlformats.org/officeDocument/2006/relationships/drawing" Target="../drawings/drawing6.xml"/><Relationship Id="rId4" Type="http://schemas.openxmlformats.org/officeDocument/2006/relationships/hyperlink" Target="http://statbel.fgov.be/fr/binaries/WEB_FR_Batibouw_2012_tcm326-164335.pdf"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H17" sqref="H17"/>
    </sheetView>
  </sheetViews>
  <sheetFormatPr defaultRowHeight="15" x14ac:dyDescent="0.25"/>
  <cols>
    <col min="3" max="3" width="2.5703125" hidden="1" customWidth="1"/>
    <col min="4" max="4" width="9.140625" hidden="1" customWidth="1"/>
    <col min="5" max="7" width="9.140625" customWidth="1"/>
    <col min="8" max="8" width="112.42578125" customWidth="1"/>
    <col min="9" max="9" width="103.140625" customWidth="1"/>
  </cols>
  <sheetData>
    <row r="1" spans="1:11" x14ac:dyDescent="0.25">
      <c r="A1" s="1026" t="s">
        <v>371</v>
      </c>
      <c r="B1" s="1027"/>
      <c r="C1" s="1027"/>
      <c r="D1" s="1027"/>
      <c r="E1" s="1027"/>
      <c r="F1" s="1027"/>
      <c r="G1" s="1027"/>
      <c r="H1" s="1028"/>
    </row>
    <row r="2" spans="1:11" ht="15.75" thickBot="1" x14ac:dyDescent="0.3">
      <c r="A2" s="1029"/>
      <c r="B2" s="1030"/>
      <c r="C2" s="1030"/>
      <c r="D2" s="1030"/>
      <c r="E2" s="1030"/>
      <c r="F2" s="1030"/>
      <c r="G2" s="1030"/>
      <c r="H2" s="1031"/>
    </row>
    <row r="3" spans="1:11" ht="40.5" customHeight="1" x14ac:dyDescent="0.25">
      <c r="A3" s="1032" t="s">
        <v>362</v>
      </c>
      <c r="B3" s="1033"/>
      <c r="C3" s="1033"/>
      <c r="D3" s="1033"/>
      <c r="E3" s="1037" t="s">
        <v>366</v>
      </c>
      <c r="F3" s="1037"/>
      <c r="G3" s="1037"/>
      <c r="H3" s="1038"/>
    </row>
    <row r="4" spans="1:11" ht="39" customHeight="1" x14ac:dyDescent="0.25">
      <c r="A4" s="1034" t="s">
        <v>363</v>
      </c>
      <c r="B4" s="1035"/>
      <c r="C4" s="1035"/>
      <c r="D4" s="1035"/>
      <c r="E4" s="1039" t="s">
        <v>365</v>
      </c>
      <c r="F4" s="1039"/>
      <c r="G4" s="1039"/>
      <c r="H4" s="1040"/>
    </row>
    <row r="5" spans="1:11" s="1018" customFormat="1" ht="39" customHeight="1" x14ac:dyDescent="0.25">
      <c r="A5" s="1055" t="s">
        <v>372</v>
      </c>
      <c r="B5" s="1056"/>
      <c r="C5" s="1025"/>
      <c r="D5" s="1025"/>
      <c r="E5" s="1052" t="s">
        <v>373</v>
      </c>
      <c r="F5" s="1053"/>
      <c r="G5" s="1053"/>
      <c r="H5" s="1054"/>
    </row>
    <row r="6" spans="1:11" ht="31.5" customHeight="1" x14ac:dyDescent="0.25">
      <c r="A6" s="1034" t="s">
        <v>364</v>
      </c>
      <c r="B6" s="1035"/>
      <c r="C6" s="1035"/>
      <c r="D6" s="1035"/>
      <c r="E6" s="1041" t="s">
        <v>367</v>
      </c>
      <c r="F6" s="1042"/>
      <c r="G6" s="1042"/>
      <c r="H6" s="1043"/>
    </row>
    <row r="7" spans="1:11" ht="74.25" customHeight="1" x14ac:dyDescent="0.25">
      <c r="A7" s="1034" t="s">
        <v>368</v>
      </c>
      <c r="B7" s="1035"/>
      <c r="C7" s="1035"/>
      <c r="D7" s="1035"/>
      <c r="E7" s="1044" t="s">
        <v>369</v>
      </c>
      <c r="F7" s="1045"/>
      <c r="G7" s="1045"/>
      <c r="H7" s="1046"/>
      <c r="K7" s="1024"/>
    </row>
    <row r="8" spans="1:11" ht="143.25" customHeight="1" thickBot="1" x14ac:dyDescent="0.3">
      <c r="A8" s="1050" t="s">
        <v>370</v>
      </c>
      <c r="B8" s="1051"/>
      <c r="C8" s="1051"/>
      <c r="D8" s="1051"/>
      <c r="E8" s="1047" t="s">
        <v>374</v>
      </c>
      <c r="F8" s="1048"/>
      <c r="G8" s="1048"/>
      <c r="H8" s="1049"/>
    </row>
    <row r="9" spans="1:11" x14ac:dyDescent="0.25">
      <c r="A9" s="1036"/>
      <c r="B9" s="1036"/>
      <c r="C9" s="1036"/>
      <c r="D9" s="1036"/>
      <c r="E9" s="1036"/>
      <c r="F9" s="1036"/>
      <c r="G9" s="1036"/>
      <c r="H9" s="1036"/>
    </row>
    <row r="10" spans="1:11" x14ac:dyDescent="0.25">
      <c r="A10" s="1036"/>
      <c r="B10" s="1036"/>
      <c r="C10" s="1036"/>
      <c r="D10" s="1036"/>
      <c r="E10" s="1036"/>
      <c r="F10" s="1036"/>
      <c r="G10" s="1036"/>
      <c r="H10" s="1036"/>
    </row>
    <row r="11" spans="1:11" x14ac:dyDescent="0.25">
      <c r="A11" s="1036"/>
      <c r="B11" s="1036"/>
      <c r="C11" s="1036"/>
      <c r="D11" s="1036"/>
      <c r="E11" s="1036"/>
      <c r="F11" s="1036"/>
      <c r="G11" s="1036"/>
      <c r="H11" s="1036"/>
    </row>
    <row r="18" spans="5:5" x14ac:dyDescent="0.25">
      <c r="E18" s="1018"/>
    </row>
    <row r="19" spans="5:5" x14ac:dyDescent="0.25">
      <c r="E19" s="1018"/>
    </row>
    <row r="20" spans="5:5" x14ac:dyDescent="0.25">
      <c r="E20" s="1018"/>
    </row>
    <row r="21" spans="5:5" x14ac:dyDescent="0.25">
      <c r="E21" s="1018"/>
    </row>
    <row r="22" spans="5:5" x14ac:dyDescent="0.25">
      <c r="E22" s="1018"/>
    </row>
  </sheetData>
  <mergeCells count="19">
    <mergeCell ref="E11:H11"/>
    <mergeCell ref="E3:H3"/>
    <mergeCell ref="A9:D9"/>
    <mergeCell ref="A10:D10"/>
    <mergeCell ref="A11:D11"/>
    <mergeCell ref="E4:H4"/>
    <mergeCell ref="E6:H6"/>
    <mergeCell ref="E7:H7"/>
    <mergeCell ref="E8:H8"/>
    <mergeCell ref="E9:H9"/>
    <mergeCell ref="E10:H10"/>
    <mergeCell ref="A8:D8"/>
    <mergeCell ref="E5:H5"/>
    <mergeCell ref="A5:B5"/>
    <mergeCell ref="A1:H2"/>
    <mergeCell ref="A3:D3"/>
    <mergeCell ref="A4:D4"/>
    <mergeCell ref="A6:D6"/>
    <mergeCell ref="A7:D7"/>
  </mergeCells>
  <hyperlinks>
    <hyperlink ref="E6" r:id="rId1"/>
    <hyperlink ref="E5" r:id="rId2"/>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I11" sqref="I11"/>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7" x14ac:dyDescent="0.25">
      <c r="A1" s="974" t="s">
        <v>261</v>
      </c>
    </row>
    <row r="2" spans="1:7" ht="17.25" x14ac:dyDescent="0.25">
      <c r="A2" s="972" t="s">
        <v>260</v>
      </c>
      <c r="B2" s="967">
        <v>148.5</v>
      </c>
      <c r="C2" s="970"/>
      <c r="D2" s="970"/>
      <c r="E2" s="970"/>
      <c r="F2" s="970" t="s">
        <v>348</v>
      </c>
      <c r="G2" s="970">
        <f>H22</f>
        <v>46.489999999999995</v>
      </c>
    </row>
    <row r="3" spans="1:7" ht="17.25" x14ac:dyDescent="0.25">
      <c r="A3" s="972" t="s">
        <v>259</v>
      </c>
      <c r="B3" s="967">
        <v>148.5</v>
      </c>
      <c r="C3" s="970"/>
      <c r="D3" s="970"/>
      <c r="E3" s="970"/>
      <c r="F3" s="970" t="s">
        <v>349</v>
      </c>
      <c r="G3" s="970">
        <f>H25</f>
        <v>2.15</v>
      </c>
    </row>
    <row r="4" spans="1:7" x14ac:dyDescent="0.25">
      <c r="A4" s="972" t="s">
        <v>258</v>
      </c>
      <c r="B4" s="967">
        <v>1</v>
      </c>
      <c r="C4" s="970"/>
      <c r="D4" s="970"/>
      <c r="E4" s="970"/>
      <c r="F4" s="970" t="s">
        <v>350</v>
      </c>
      <c r="G4" s="970">
        <f>H21</f>
        <v>100.98500000000001</v>
      </c>
    </row>
    <row r="5" spans="1:7" ht="17.25" x14ac:dyDescent="0.25">
      <c r="A5" s="972" t="s">
        <v>257</v>
      </c>
      <c r="B5" s="967">
        <v>2.85</v>
      </c>
      <c r="C5" s="970"/>
      <c r="D5" s="970"/>
      <c r="E5" s="970"/>
      <c r="F5" s="970" t="s">
        <v>351</v>
      </c>
      <c r="G5" s="970">
        <f>H23</f>
        <v>148.44999999999999</v>
      </c>
    </row>
    <row r="6" spans="1:7" ht="17.25" x14ac:dyDescent="0.25">
      <c r="A6" s="972" t="s">
        <v>256</v>
      </c>
      <c r="B6" s="967">
        <v>0</v>
      </c>
      <c r="C6" s="970"/>
      <c r="D6" s="970"/>
      <c r="E6" s="970"/>
      <c r="F6" s="970" t="s">
        <v>352</v>
      </c>
      <c r="G6" s="970">
        <f>B3</f>
        <v>148.5</v>
      </c>
    </row>
    <row r="7" spans="1:7" ht="17.25" x14ac:dyDescent="0.25">
      <c r="A7" s="972" t="s">
        <v>255</v>
      </c>
      <c r="B7" s="967">
        <v>0</v>
      </c>
      <c r="C7" s="970"/>
      <c r="D7" s="970"/>
      <c r="E7" s="970"/>
      <c r="F7" s="970" t="s">
        <v>353</v>
      </c>
      <c r="G7" s="970">
        <v>0</v>
      </c>
    </row>
    <row r="8" spans="1:7" ht="17.25" x14ac:dyDescent="0.25">
      <c r="A8" s="972" t="s">
        <v>254</v>
      </c>
      <c r="B8" s="967">
        <v>0</v>
      </c>
      <c r="C8" s="970"/>
      <c r="D8" s="970"/>
      <c r="E8" s="970"/>
      <c r="F8" s="970" t="s">
        <v>354</v>
      </c>
      <c r="G8" s="970">
        <v>0</v>
      </c>
    </row>
    <row r="9" spans="1:7" x14ac:dyDescent="0.25">
      <c r="A9" s="970"/>
      <c r="B9" s="970"/>
      <c r="C9" s="970"/>
      <c r="D9" s="970"/>
      <c r="E9" s="970"/>
      <c r="F9" s="970" t="s">
        <v>355</v>
      </c>
      <c r="G9" s="970">
        <v>0</v>
      </c>
    </row>
    <row r="10" spans="1:7" x14ac:dyDescent="0.25">
      <c r="A10" s="971" t="s">
        <v>253</v>
      </c>
      <c r="B10" s="970"/>
      <c r="C10" s="970"/>
      <c r="D10" s="970"/>
      <c r="E10" s="970"/>
      <c r="F10" s="970"/>
      <c r="G10" s="970"/>
    </row>
    <row r="11" spans="1:7" ht="16.5" x14ac:dyDescent="0.25">
      <c r="A11" s="973"/>
      <c r="B11" s="978" t="s">
        <v>252</v>
      </c>
      <c r="C11" s="978" t="s">
        <v>251</v>
      </c>
      <c r="D11" s="970"/>
      <c r="E11" s="970"/>
      <c r="F11" s="970"/>
      <c r="G11" s="970"/>
    </row>
    <row r="12" spans="1:7" ht="17.25" x14ac:dyDescent="0.25">
      <c r="A12" s="972" t="s">
        <v>250</v>
      </c>
      <c r="B12" s="976">
        <f>7.7*4.75 + (3.5*3.5-1.33)</f>
        <v>47.495000000000005</v>
      </c>
      <c r="C12" s="977">
        <f>47.5* B5</f>
        <v>135.375</v>
      </c>
      <c r="D12" s="970"/>
      <c r="E12" s="970"/>
      <c r="F12" s="970"/>
      <c r="G12" s="970"/>
    </row>
    <row r="13" spans="1:7" ht="17.25" x14ac:dyDescent="0.25">
      <c r="A13" s="972" t="s">
        <v>249</v>
      </c>
      <c r="B13" s="976">
        <f>3.5*6 + 10.3*4.75 - 6.3*1</f>
        <v>63.625000000000014</v>
      </c>
      <c r="C13" s="977">
        <f>63.6* B5</f>
        <v>181.26000000000002</v>
      </c>
      <c r="D13" s="970"/>
      <c r="E13" s="970"/>
      <c r="F13" s="970"/>
      <c r="G13" s="970"/>
    </row>
    <row r="14" spans="1:7" ht="17.25" x14ac:dyDescent="0.25">
      <c r="A14" s="972" t="s">
        <v>248</v>
      </c>
      <c r="B14" s="976">
        <f>4.6*3.5-1*2.5</f>
        <v>13.599999999999998</v>
      </c>
      <c r="C14" s="977">
        <f>13.6* B5</f>
        <v>38.76</v>
      </c>
      <c r="D14" s="970"/>
      <c r="E14" s="970"/>
      <c r="F14" s="970"/>
      <c r="G14" s="970"/>
    </row>
    <row r="15" spans="1:7" ht="17.25" x14ac:dyDescent="0.25">
      <c r="A15" s="972" t="s">
        <v>247</v>
      </c>
      <c r="B15" s="976">
        <f>7</f>
        <v>7</v>
      </c>
      <c r="C15" s="977">
        <f>7* B5</f>
        <v>19.95</v>
      </c>
      <c r="D15" s="970"/>
      <c r="E15" s="970"/>
      <c r="F15" s="970"/>
      <c r="G15" s="970"/>
    </row>
    <row r="16" spans="1:7" ht="17.25" x14ac:dyDescent="0.25">
      <c r="A16" s="972" t="s">
        <v>246</v>
      </c>
      <c r="B16" s="976">
        <f>2.5 + 1.3</f>
        <v>3.8</v>
      </c>
      <c r="C16" s="977">
        <f>3.8* B5</f>
        <v>10.83</v>
      </c>
      <c r="D16" s="970"/>
      <c r="E16" s="970"/>
      <c r="F16" s="970"/>
      <c r="G16" s="970"/>
    </row>
    <row r="17" spans="1:10" ht="17.25" x14ac:dyDescent="0.25">
      <c r="A17" s="972" t="s">
        <v>245</v>
      </c>
      <c r="B17" s="976">
        <f>6.3 + 1.9*3.5</f>
        <v>12.95</v>
      </c>
      <c r="C17" s="977">
        <f>12.95* B5</f>
        <v>36.907499999999999</v>
      </c>
      <c r="D17" s="970">
        <f>C12+C13+C14+C15+C16+C17</f>
        <v>423.08249999999998</v>
      </c>
      <c r="E17" s="970"/>
      <c r="F17" s="970"/>
      <c r="G17" s="970"/>
    </row>
    <row r="18" spans="1:10" x14ac:dyDescent="0.25">
      <c r="A18" s="970"/>
      <c r="B18" s="970">
        <f>SUM(B12:B17)</f>
        <v>148.47000000000003</v>
      </c>
      <c r="C18" s="970"/>
      <c r="D18" s="970"/>
      <c r="E18" s="970"/>
      <c r="F18" s="970"/>
      <c r="G18" s="970"/>
    </row>
    <row r="19" spans="1:10" x14ac:dyDescent="0.25">
      <c r="A19" s="971" t="s">
        <v>244</v>
      </c>
      <c r="B19" s="970"/>
      <c r="C19" s="970"/>
      <c r="D19" s="970"/>
      <c r="E19" s="970"/>
      <c r="F19" s="970"/>
      <c r="G19" s="970"/>
    </row>
    <row r="20" spans="1:10" ht="28.5" x14ac:dyDescent="0.25">
      <c r="A20" s="969"/>
      <c r="B20" s="968" t="s">
        <v>243</v>
      </c>
      <c r="C20" s="968" t="s">
        <v>242</v>
      </c>
      <c r="D20" s="968" t="s">
        <v>241</v>
      </c>
      <c r="E20" s="968" t="s">
        <v>240</v>
      </c>
      <c r="F20" s="968" t="s">
        <v>239</v>
      </c>
      <c r="G20" s="968" t="s">
        <v>238</v>
      </c>
      <c r="H20" s="983" t="s">
        <v>188</v>
      </c>
      <c r="J20" s="1000" t="s">
        <v>289</v>
      </c>
    </row>
    <row r="21" spans="1:10" ht="17.25" x14ac:dyDescent="0.25">
      <c r="A21" s="966" t="s">
        <v>237</v>
      </c>
      <c r="B21" s="965">
        <f>(7.7+8.25+2.5)*B5 - B22</f>
        <v>36.322500000000005</v>
      </c>
      <c r="C21" s="965">
        <f>(10.3+8.25+6)* B5 - C22</f>
        <v>45.737499999999997</v>
      </c>
      <c r="D21" s="965">
        <f>3.6* B5- D22</f>
        <v>4.26</v>
      </c>
      <c r="E21" s="965">
        <f>2* B5</f>
        <v>5.7</v>
      </c>
      <c r="F21" s="965">
        <f>2* B5</f>
        <v>5.7</v>
      </c>
      <c r="G21" s="965">
        <f>1.9* B5- G25</f>
        <v>3.2650000000000001</v>
      </c>
      <c r="H21" s="975">
        <f>B21+C21+D21+E21+F21+G21</f>
        <v>100.98500000000001</v>
      </c>
      <c r="J21" s="924">
        <f>SUM(B21:E21)</f>
        <v>92.02000000000001</v>
      </c>
    </row>
    <row r="22" spans="1:10" ht="17.25" x14ac:dyDescent="0.25">
      <c r="A22" s="966" t="s">
        <v>236</v>
      </c>
      <c r="B22" s="976">
        <f>11.76+4.5</f>
        <v>16.259999999999998</v>
      </c>
      <c r="C22" s="976">
        <f>8.23+13+3</f>
        <v>24.23</v>
      </c>
      <c r="D22" s="976">
        <f>6</f>
        <v>6</v>
      </c>
      <c r="E22" s="965">
        <v>0</v>
      </c>
      <c r="F22" s="965">
        <v>0</v>
      </c>
      <c r="G22" s="965">
        <v>0</v>
      </c>
      <c r="H22" s="975">
        <f t="shared" ref="H22:H27" si="0">B22+C22+D22+E22+F22+G22</f>
        <v>46.489999999999995</v>
      </c>
      <c r="J22" s="924">
        <f t="shared" ref="J22:J27" si="1">SUM(B22:E22)</f>
        <v>46.489999999999995</v>
      </c>
    </row>
    <row r="23" spans="1:10" ht="17.25" x14ac:dyDescent="0.25">
      <c r="A23" s="966" t="s">
        <v>235</v>
      </c>
      <c r="B23" s="965">
        <v>47.5</v>
      </c>
      <c r="C23" s="965">
        <v>63.6</v>
      </c>
      <c r="D23" s="965">
        <v>13.6</v>
      </c>
      <c r="E23" s="965">
        <v>7</v>
      </c>
      <c r="F23" s="965">
        <v>3.8</v>
      </c>
      <c r="G23" s="965">
        <v>12.95</v>
      </c>
      <c r="H23" s="975">
        <f t="shared" si="0"/>
        <v>148.44999999999999</v>
      </c>
      <c r="J23" s="924">
        <f t="shared" si="1"/>
        <v>131.69999999999999</v>
      </c>
    </row>
    <row r="24" spans="1:10" ht="17.25" x14ac:dyDescent="0.25">
      <c r="A24" s="966" t="s">
        <v>234</v>
      </c>
      <c r="B24" s="965">
        <v>47.5</v>
      </c>
      <c r="C24" s="965">
        <v>63.6</v>
      </c>
      <c r="D24" s="965">
        <v>13.6</v>
      </c>
      <c r="E24" s="965">
        <v>7</v>
      </c>
      <c r="F24" s="965">
        <v>3.8</v>
      </c>
      <c r="G24" s="965">
        <v>12.95</v>
      </c>
      <c r="H24" s="975">
        <f t="shared" si="0"/>
        <v>148.44999999999999</v>
      </c>
      <c r="I24" s="924">
        <f>H21+H22+H23+H24</f>
        <v>444.375</v>
      </c>
      <c r="J24" s="924">
        <f t="shared" si="1"/>
        <v>131.69999999999999</v>
      </c>
    </row>
    <row r="25" spans="1:10" ht="17.25" x14ac:dyDescent="0.25">
      <c r="A25" s="966" t="s">
        <v>233</v>
      </c>
      <c r="B25" s="965">
        <v>0</v>
      </c>
      <c r="C25" s="965">
        <v>0</v>
      </c>
      <c r="D25" s="965">
        <v>0</v>
      </c>
      <c r="E25" s="965">
        <v>0</v>
      </c>
      <c r="F25" s="965">
        <v>0</v>
      </c>
      <c r="G25" s="965">
        <v>2.15</v>
      </c>
      <c r="H25" s="975">
        <f t="shared" si="0"/>
        <v>2.15</v>
      </c>
      <c r="J25" s="924">
        <f t="shared" si="1"/>
        <v>0</v>
      </c>
    </row>
    <row r="26" spans="1:10" ht="17.25" x14ac:dyDescent="0.25">
      <c r="A26" s="966" t="s">
        <v>232</v>
      </c>
      <c r="B26" s="965">
        <v>0</v>
      </c>
      <c r="C26" s="965">
        <v>0</v>
      </c>
      <c r="D26" s="965">
        <v>0</v>
      </c>
      <c r="E26" s="965">
        <v>0</v>
      </c>
      <c r="F26" s="965">
        <v>0</v>
      </c>
      <c r="G26" s="965">
        <v>0</v>
      </c>
      <c r="H26" s="975">
        <f t="shared" si="0"/>
        <v>0</v>
      </c>
      <c r="J26" s="924">
        <f t="shared" si="1"/>
        <v>0</v>
      </c>
    </row>
    <row r="27" spans="1:10" ht="17.25" customHeight="1" x14ac:dyDescent="0.25">
      <c r="A27" s="966" t="s">
        <v>231</v>
      </c>
      <c r="B27" s="965">
        <f>(4.75+3.5+1+1.9+2.3)*B5</f>
        <v>38.332499999999996</v>
      </c>
      <c r="C27" s="965">
        <f>(3.5+2+1+2+4.3+3.75)*B5</f>
        <v>47.167500000000004</v>
      </c>
      <c r="D27" s="965">
        <f>(3.5+3.6+1+3.5) *B5</f>
        <v>33.06</v>
      </c>
      <c r="E27" s="965">
        <f>(3.5+2+3.5)* B5</f>
        <v>25.650000000000002</v>
      </c>
      <c r="F27" s="965">
        <f>(2.5+1+2.5+1+1.33+1.33)* B5</f>
        <v>27.531000000000002</v>
      </c>
      <c r="G27" s="965">
        <f>(3.5+1.9+3.5+1+6.3+1+6.3)*B5</f>
        <v>66.975000000000009</v>
      </c>
      <c r="H27" s="975">
        <f t="shared" si="0"/>
        <v>238.71600000000001</v>
      </c>
      <c r="J27" s="924">
        <f t="shared" si="1"/>
        <v>144.21</v>
      </c>
    </row>
    <row r="28" spans="1:10" x14ac:dyDescent="0.25">
      <c r="B28" s="964"/>
      <c r="D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H13" sqref="H13"/>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7" x14ac:dyDescent="0.25">
      <c r="A1" s="974" t="s">
        <v>261</v>
      </c>
    </row>
    <row r="2" spans="1:7" ht="17.25" x14ac:dyDescent="0.25">
      <c r="A2" s="972" t="s">
        <v>260</v>
      </c>
      <c r="B2" s="967">
        <f xml:space="preserve"> 7.6*10.7*2</f>
        <v>162.63999999999999</v>
      </c>
      <c r="C2" s="970"/>
      <c r="D2" s="970"/>
      <c r="E2" s="970"/>
      <c r="F2" s="970" t="s">
        <v>348</v>
      </c>
      <c r="G2" s="970">
        <f>H22</f>
        <v>22.93</v>
      </c>
    </row>
    <row r="3" spans="1:7" ht="17.25" x14ac:dyDescent="0.25">
      <c r="A3" s="972" t="s">
        <v>259</v>
      </c>
      <c r="B3" s="967">
        <f xml:space="preserve"> 81.32</f>
        <v>81.319999999999993</v>
      </c>
      <c r="C3" s="970"/>
      <c r="D3" s="970"/>
      <c r="E3" s="970"/>
      <c r="F3" s="970" t="s">
        <v>349</v>
      </c>
      <c r="G3" s="970">
        <f>H25</f>
        <v>2.15</v>
      </c>
    </row>
    <row r="4" spans="1:7" x14ac:dyDescent="0.25">
      <c r="A4" s="972" t="s">
        <v>258</v>
      </c>
      <c r="B4" s="967">
        <f xml:space="preserve"> 2</f>
        <v>2</v>
      </c>
      <c r="C4" s="970"/>
      <c r="D4" s="970"/>
      <c r="E4" s="970"/>
      <c r="F4" s="970" t="s">
        <v>350</v>
      </c>
      <c r="G4" s="970">
        <f>H21</f>
        <v>115.89999999999998</v>
      </c>
    </row>
    <row r="5" spans="1:7" ht="17.25" x14ac:dyDescent="0.25">
      <c r="A5" s="972" t="s">
        <v>257</v>
      </c>
      <c r="B5" s="967">
        <f xml:space="preserve"> 3</f>
        <v>3</v>
      </c>
      <c r="C5" s="970"/>
      <c r="D5" s="970"/>
      <c r="E5" s="970"/>
      <c r="F5" s="970" t="s">
        <v>351</v>
      </c>
      <c r="G5" s="970">
        <f>H23</f>
        <v>51.803914909975674</v>
      </c>
    </row>
    <row r="6" spans="1:7" ht="17.25" x14ac:dyDescent="0.25">
      <c r="A6" s="972" t="s">
        <v>256</v>
      </c>
      <c r="B6" s="967">
        <f xml:space="preserve"> 3</f>
        <v>3</v>
      </c>
      <c r="C6" s="970"/>
      <c r="D6" s="970"/>
      <c r="E6" s="970"/>
      <c r="F6" s="970" t="s">
        <v>352</v>
      </c>
      <c r="G6" s="970">
        <f>B3</f>
        <v>81.319999999999993</v>
      </c>
    </row>
    <row r="7" spans="1:7" ht="17.25" x14ac:dyDescent="0.25">
      <c r="A7" s="972" t="s">
        <v>255</v>
      </c>
      <c r="B7" s="967">
        <v>0</v>
      </c>
      <c r="C7" s="970"/>
      <c r="D7" s="970"/>
      <c r="E7" s="970"/>
      <c r="F7" s="970" t="s">
        <v>353</v>
      </c>
      <c r="G7" s="970">
        <v>0</v>
      </c>
    </row>
    <row r="8" spans="1:7" ht="17.25" x14ac:dyDescent="0.25">
      <c r="A8" s="972" t="s">
        <v>254</v>
      </c>
      <c r="B8" s="967">
        <v>0</v>
      </c>
      <c r="C8" s="970"/>
      <c r="D8" s="970"/>
      <c r="E8" s="970"/>
      <c r="F8" s="970" t="s">
        <v>354</v>
      </c>
      <c r="G8" s="970">
        <v>0</v>
      </c>
    </row>
    <row r="9" spans="1:7" x14ac:dyDescent="0.25">
      <c r="A9" s="970"/>
      <c r="B9" s="970"/>
      <c r="C9" s="970"/>
      <c r="D9" s="970"/>
      <c r="E9" s="970"/>
      <c r="F9" s="970" t="s">
        <v>355</v>
      </c>
      <c r="G9" s="970">
        <v>0</v>
      </c>
    </row>
    <row r="10" spans="1:7" x14ac:dyDescent="0.25">
      <c r="A10" s="971" t="s">
        <v>253</v>
      </c>
      <c r="B10" s="970"/>
      <c r="C10" s="970"/>
      <c r="D10" s="970"/>
      <c r="E10" s="970"/>
      <c r="F10" s="970"/>
      <c r="G10" s="970"/>
    </row>
    <row r="11" spans="1:7" ht="16.5" x14ac:dyDescent="0.25">
      <c r="A11" s="973"/>
      <c r="B11" s="978" t="s">
        <v>252</v>
      </c>
      <c r="C11" s="978" t="s">
        <v>251</v>
      </c>
      <c r="D11" s="970"/>
      <c r="E11" s="970"/>
      <c r="F11" s="970"/>
      <c r="G11" s="970"/>
    </row>
    <row r="12" spans="1:7" ht="17.25" x14ac:dyDescent="0.25">
      <c r="A12" s="972" t="s">
        <v>250</v>
      </c>
      <c r="B12" s="975">
        <f xml:space="preserve"> 4.3*7.6</f>
        <v>32.68</v>
      </c>
      <c r="C12" s="975">
        <f>32.68* B5</f>
        <v>98.039999999999992</v>
      </c>
      <c r="D12" s="970"/>
      <c r="E12" s="970"/>
      <c r="F12" s="970"/>
      <c r="G12" s="970"/>
    </row>
    <row r="13" spans="1:7" ht="17.25" x14ac:dyDescent="0.25">
      <c r="A13" s="972" t="s">
        <v>249</v>
      </c>
      <c r="B13" s="975">
        <f xml:space="preserve"> 81.32 - (2.9*3.8 +1) - 11.02</f>
        <v>58.28</v>
      </c>
      <c r="C13" s="975">
        <f>(3.8*2.8*10.7) -C15 - (3.8* B6)/2*2.9</f>
        <v>80.787999999999982</v>
      </c>
      <c r="D13" s="970"/>
      <c r="E13" s="970"/>
      <c r="F13" s="970"/>
      <c r="G13" s="970"/>
    </row>
    <row r="14" spans="1:7" ht="17.25" x14ac:dyDescent="0.25">
      <c r="A14" s="972" t="s">
        <v>248</v>
      </c>
      <c r="B14" s="975">
        <f xml:space="preserve"> 2.6*3.8</f>
        <v>9.879999999999999</v>
      </c>
      <c r="C14" s="975">
        <f>9.88*B5</f>
        <v>29.64</v>
      </c>
      <c r="D14" s="970"/>
      <c r="E14" s="970"/>
      <c r="F14" s="970"/>
      <c r="G14" s="970"/>
    </row>
    <row r="15" spans="1:7" ht="17.25" x14ac:dyDescent="0.25">
      <c r="A15" s="972" t="s">
        <v>247</v>
      </c>
      <c r="B15" s="975">
        <f xml:space="preserve"> 2.9*3.8</f>
        <v>11.02</v>
      </c>
      <c r="C15" s="975">
        <f>(3.8* B6)/2*2.9</f>
        <v>16.529999999999998</v>
      </c>
      <c r="D15" s="970"/>
      <c r="E15" s="970"/>
      <c r="F15" s="970"/>
      <c r="G15" s="970"/>
    </row>
    <row r="16" spans="1:7" ht="17.25" x14ac:dyDescent="0.25">
      <c r="A16" s="972" t="s">
        <v>246</v>
      </c>
      <c r="B16" s="975">
        <f>(3.5*7.6)- 2.6*0.9</f>
        <v>24.259999999999998</v>
      </c>
      <c r="C16" s="975">
        <f>24.26*B5</f>
        <v>72.78</v>
      </c>
      <c r="D16" s="970"/>
      <c r="E16" s="970"/>
      <c r="F16" s="970"/>
      <c r="G16" s="970"/>
    </row>
    <row r="17" spans="1:10" ht="17.25" x14ac:dyDescent="0.25">
      <c r="A17" s="972" t="s">
        <v>245</v>
      </c>
      <c r="B17" s="975">
        <f xml:space="preserve"> 2.9*5 + 2.9*3.8 +1</f>
        <v>26.52</v>
      </c>
      <c r="C17" s="975">
        <f>14.5* B5 + (3.8* B6)/2*2.9</f>
        <v>60.03</v>
      </c>
      <c r="D17" s="970">
        <f>C12+C13+C14+C15+C16+C17</f>
        <v>357.80799999999999</v>
      </c>
      <c r="E17" s="970"/>
      <c r="F17" s="970"/>
      <c r="G17" s="970"/>
    </row>
    <row r="18" spans="1:10" x14ac:dyDescent="0.25">
      <c r="A18" s="970"/>
      <c r="B18" s="970">
        <f>SUM(B12:B17)</f>
        <v>162.64000000000001</v>
      </c>
      <c r="C18" s="970"/>
      <c r="D18" s="970"/>
      <c r="E18" s="970"/>
      <c r="F18" s="970"/>
      <c r="G18" s="970"/>
    </row>
    <row r="19" spans="1:10" x14ac:dyDescent="0.25">
      <c r="A19" s="971" t="s">
        <v>244</v>
      </c>
      <c r="B19" s="970"/>
      <c r="C19" s="970"/>
      <c r="D19" s="970"/>
      <c r="E19" s="970"/>
      <c r="F19" s="970"/>
      <c r="G19" s="970"/>
    </row>
    <row r="20" spans="1:10" ht="28.5" x14ac:dyDescent="0.25">
      <c r="A20" s="969"/>
      <c r="B20" s="968" t="s">
        <v>243</v>
      </c>
      <c r="C20" s="968" t="s">
        <v>242</v>
      </c>
      <c r="D20" s="968" t="s">
        <v>241</v>
      </c>
      <c r="E20" s="968" t="s">
        <v>240</v>
      </c>
      <c r="F20" s="968" t="s">
        <v>239</v>
      </c>
      <c r="G20" s="968" t="s">
        <v>238</v>
      </c>
      <c r="H20" s="983" t="s">
        <v>188</v>
      </c>
      <c r="J20" s="1000" t="s">
        <v>289</v>
      </c>
    </row>
    <row r="21" spans="1:10" ht="17.25" x14ac:dyDescent="0.25">
      <c r="A21" s="966" t="s">
        <v>237</v>
      </c>
      <c r="B21" s="977">
        <f>(2*4.3+7.6)*B5 -B22</f>
        <v>39.499999999999993</v>
      </c>
      <c r="C21" s="977">
        <f>3.8*B6*2- C22</f>
        <v>17.799999999999997</v>
      </c>
      <c r="D21" s="977">
        <f>(2.9+0.85)*B5</f>
        <v>11.25</v>
      </c>
      <c r="E21" s="977">
        <v>0</v>
      </c>
      <c r="F21" s="977">
        <f>(7.6+3.5+2.5)* B5</f>
        <v>40.799999999999997</v>
      </c>
      <c r="G21" s="977">
        <f>2.9* B5-G25</f>
        <v>6.5499999999999989</v>
      </c>
      <c r="H21" s="975">
        <f>B21+C21+D21+E21+F21+G21</f>
        <v>115.89999999999998</v>
      </c>
      <c r="J21" s="924">
        <f>SUM(B21:E21)</f>
        <v>68.549999999999983</v>
      </c>
    </row>
    <row r="22" spans="1:10" ht="17.25" x14ac:dyDescent="0.25">
      <c r="A22" s="966" t="s">
        <v>236</v>
      </c>
      <c r="B22" s="977">
        <f>4.6 + 4.5</f>
        <v>9.1</v>
      </c>
      <c r="C22" s="977">
        <f>5</f>
        <v>5</v>
      </c>
      <c r="D22" s="977">
        <f>2.33</f>
        <v>2.33</v>
      </c>
      <c r="E22" s="977">
        <v>0</v>
      </c>
      <c r="F22" s="977">
        <f>2 +4.5</f>
        <v>6.5</v>
      </c>
      <c r="G22" s="977">
        <v>0</v>
      </c>
      <c r="H22" s="975">
        <f t="shared" ref="H22:H27" si="0">B22+C22+D22+E22+F22+G22</f>
        <v>22.93</v>
      </c>
      <c r="J22" s="924">
        <f t="shared" ref="J22:J27" si="1">SUM(B22:E22)</f>
        <v>16.43</v>
      </c>
    </row>
    <row r="23" spans="1:10" ht="17.25" x14ac:dyDescent="0.25">
      <c r="A23" s="966" t="s">
        <v>235</v>
      </c>
      <c r="B23" s="965">
        <v>0</v>
      </c>
      <c r="C23" s="975">
        <f>SQRT(B6^2+3.8^2)*10.7-E23-G23</f>
        <v>22.483288136343997</v>
      </c>
      <c r="D23" s="977">
        <v>0</v>
      </c>
      <c r="E23" s="977">
        <f>2.9*SQRT(B6^2+3.8^2)</f>
        <v>14.040313386815837</v>
      </c>
      <c r="F23" s="977">
        <v>0</v>
      </c>
      <c r="G23" s="977">
        <f>(2.9*SQRT(B6^2+3.8^2))+(1*1.24)</f>
        <v>15.280313386815838</v>
      </c>
      <c r="H23" s="975">
        <f t="shared" si="0"/>
        <v>51.803914909975674</v>
      </c>
      <c r="J23" s="924">
        <f t="shared" si="1"/>
        <v>36.523601523159833</v>
      </c>
    </row>
    <row r="24" spans="1:10" ht="17.25" x14ac:dyDescent="0.25">
      <c r="A24" s="966" t="s">
        <v>234</v>
      </c>
      <c r="B24" s="977">
        <v>32.68</v>
      </c>
      <c r="C24" s="977">
        <v>0</v>
      </c>
      <c r="D24" s="977">
        <v>9.8800000000000008</v>
      </c>
      <c r="E24" s="977">
        <v>0</v>
      </c>
      <c r="F24" s="977">
        <v>24.26</v>
      </c>
      <c r="G24" s="977">
        <v>14.5</v>
      </c>
      <c r="H24" s="975">
        <f t="shared" si="0"/>
        <v>81.320000000000007</v>
      </c>
      <c r="I24" s="924">
        <f>H21+H22+H23+H24</f>
        <v>271.95391490997565</v>
      </c>
      <c r="J24" s="924">
        <f t="shared" si="1"/>
        <v>42.56</v>
      </c>
    </row>
    <row r="25" spans="1:10" ht="17.25" x14ac:dyDescent="0.25">
      <c r="A25" s="966" t="s">
        <v>233</v>
      </c>
      <c r="B25" s="977">
        <v>0</v>
      </c>
      <c r="C25" s="977">
        <v>0</v>
      </c>
      <c r="D25" s="977">
        <v>0</v>
      </c>
      <c r="E25" s="977">
        <v>0</v>
      </c>
      <c r="F25" s="977">
        <v>0</v>
      </c>
      <c r="G25" s="977">
        <v>2.15</v>
      </c>
      <c r="H25" s="975">
        <f t="shared" si="0"/>
        <v>2.15</v>
      </c>
      <c r="J25" s="924">
        <f t="shared" si="1"/>
        <v>0</v>
      </c>
    </row>
    <row r="26" spans="1:10" ht="17.25" x14ac:dyDescent="0.25">
      <c r="A26" s="966" t="s">
        <v>232</v>
      </c>
      <c r="B26" s="977">
        <v>0</v>
      </c>
      <c r="C26" s="977">
        <v>0</v>
      </c>
      <c r="D26" s="977">
        <v>0</v>
      </c>
      <c r="E26" s="977">
        <v>0</v>
      </c>
      <c r="F26" s="977">
        <v>0</v>
      </c>
      <c r="G26" s="977">
        <v>0</v>
      </c>
      <c r="H26" s="975">
        <f t="shared" si="0"/>
        <v>0</v>
      </c>
      <c r="J26" s="924">
        <f t="shared" si="1"/>
        <v>0</v>
      </c>
    </row>
    <row r="27" spans="1:10" ht="17.25" customHeight="1" x14ac:dyDescent="0.25">
      <c r="A27" s="966" t="s">
        <v>231</v>
      </c>
      <c r="B27" s="977">
        <f>7.6* B5</f>
        <v>22.799999999999997</v>
      </c>
      <c r="C27" s="977">
        <f>2*3.8* B6 +2.9* B6</f>
        <v>31.499999999999996</v>
      </c>
      <c r="D27" s="977">
        <f>(2.6+2.9+2.6)*B5</f>
        <v>24.299999999999997</v>
      </c>
      <c r="E27" s="977">
        <f>3.8* B6 +2.9* B6</f>
        <v>20.099999999999998</v>
      </c>
      <c r="F27" s="977">
        <f>(7.6+1)*B5</f>
        <v>25.799999999999997</v>
      </c>
      <c r="G27" s="977">
        <f>(10+2.9) * B5 +(3.8* B6)+(2.9* B6)</f>
        <v>58.8</v>
      </c>
      <c r="H27" s="975">
        <f t="shared" si="0"/>
        <v>183.29999999999998</v>
      </c>
      <c r="J27" s="924">
        <f t="shared" si="1"/>
        <v>98.699999999999989</v>
      </c>
    </row>
    <row r="28" spans="1:10" x14ac:dyDescent="0.25">
      <c r="B28" s="964"/>
      <c r="D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F1" sqref="F1:G9"/>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v>102.96</v>
      </c>
      <c r="C2" s="970"/>
      <c r="D2" s="970"/>
      <c r="E2" s="970"/>
      <c r="F2" s="970" t="s">
        <v>348</v>
      </c>
      <c r="G2" s="970">
        <f>H22</f>
        <v>7</v>
      </c>
      <c r="H2" s="970"/>
      <c r="I2" s="89"/>
    </row>
    <row r="3" spans="1:9" ht="17.25" x14ac:dyDescent="0.25">
      <c r="A3" s="972" t="s">
        <v>259</v>
      </c>
      <c r="B3" s="967">
        <v>34.32</v>
      </c>
      <c r="C3" s="970"/>
      <c r="D3" s="970"/>
      <c r="E3" s="970"/>
      <c r="F3" s="970" t="s">
        <v>349</v>
      </c>
      <c r="G3" s="970">
        <f>H25</f>
        <v>4.3</v>
      </c>
      <c r="H3" s="970"/>
      <c r="I3" s="89"/>
    </row>
    <row r="4" spans="1:9" x14ac:dyDescent="0.25">
      <c r="A4" s="972" t="s">
        <v>258</v>
      </c>
      <c r="B4" s="967">
        <v>3</v>
      </c>
      <c r="C4" s="970"/>
      <c r="D4" s="970"/>
      <c r="E4" s="970"/>
      <c r="F4" s="970" t="s">
        <v>350</v>
      </c>
      <c r="G4" s="970">
        <f>H21</f>
        <v>112.95</v>
      </c>
      <c r="H4" s="970"/>
      <c r="I4" s="89"/>
    </row>
    <row r="5" spans="1:9" ht="17.25" x14ac:dyDescent="0.25">
      <c r="A5" s="972" t="s">
        <v>257</v>
      </c>
      <c r="B5" s="967">
        <f xml:space="preserve"> 2.8</f>
        <v>2.8</v>
      </c>
      <c r="C5" s="970"/>
      <c r="D5" s="970"/>
      <c r="E5" s="970"/>
      <c r="F5" s="970" t="s">
        <v>351</v>
      </c>
      <c r="G5" s="970">
        <f>H23</f>
        <v>37.440000000000005</v>
      </c>
      <c r="H5" s="970"/>
      <c r="I5" s="89"/>
    </row>
    <row r="6" spans="1:9" ht="17.25" x14ac:dyDescent="0.25">
      <c r="A6" s="972" t="s">
        <v>256</v>
      </c>
      <c r="B6" s="967">
        <f xml:space="preserve"> 2.8</f>
        <v>2.8</v>
      </c>
      <c r="C6" s="970"/>
      <c r="D6" s="970"/>
      <c r="E6" s="970"/>
      <c r="F6" s="970" t="s">
        <v>352</v>
      </c>
      <c r="G6" s="970">
        <f>B3</f>
        <v>34.32</v>
      </c>
      <c r="H6" s="970"/>
      <c r="I6" s="89"/>
    </row>
    <row r="7" spans="1:9" ht="17.25" x14ac:dyDescent="0.25">
      <c r="A7" s="972" t="s">
        <v>255</v>
      </c>
      <c r="B7" s="967">
        <f>0.5+2.5</f>
        <v>3</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8" t="s">
        <v>252</v>
      </c>
      <c r="C11" s="978" t="s">
        <v>251</v>
      </c>
      <c r="D11" s="970"/>
      <c r="E11" s="970"/>
      <c r="F11" s="970"/>
      <c r="G11" s="970"/>
      <c r="H11" s="970"/>
      <c r="I11" s="89"/>
    </row>
    <row r="12" spans="1:9" ht="17.25" x14ac:dyDescent="0.25">
      <c r="A12" s="972" t="s">
        <v>250</v>
      </c>
      <c r="B12" s="967">
        <f>4.2*4.4</f>
        <v>18.480000000000004</v>
      </c>
      <c r="C12" s="965">
        <f>18.5 * B5</f>
        <v>51.8</v>
      </c>
      <c r="D12" s="970"/>
      <c r="E12" s="970"/>
      <c r="F12" s="970"/>
      <c r="G12" s="970"/>
      <c r="H12" s="970"/>
      <c r="I12" s="89"/>
    </row>
    <row r="13" spans="1:9" ht="17.25" x14ac:dyDescent="0.25">
      <c r="A13" s="972" t="s">
        <v>249</v>
      </c>
      <c r="B13" s="967">
        <f>2.7*3.3 + 3.3*4.2</f>
        <v>22.77</v>
      </c>
      <c r="C13" s="965">
        <f>22.77 * B6</f>
        <v>63.755999999999993</v>
      </c>
      <c r="D13" s="970"/>
      <c r="E13" s="970"/>
      <c r="F13" s="970"/>
      <c r="G13" s="970"/>
      <c r="H13" s="970"/>
      <c r="I13" s="89"/>
    </row>
    <row r="14" spans="1:9" ht="17.25" x14ac:dyDescent="0.25">
      <c r="A14" s="972" t="s">
        <v>248</v>
      </c>
      <c r="B14" s="967">
        <f>2.2*2.4</f>
        <v>5.28</v>
      </c>
      <c r="C14" s="965">
        <f>5.28 * B5</f>
        <v>14.783999999999999</v>
      </c>
      <c r="D14" s="970"/>
      <c r="E14" s="970"/>
      <c r="F14" s="970"/>
      <c r="G14" s="970"/>
      <c r="H14" s="970"/>
      <c r="I14" s="89"/>
    </row>
    <row r="15" spans="1:9" ht="17.25" x14ac:dyDescent="0.25">
      <c r="A15" s="972" t="s">
        <v>247</v>
      </c>
      <c r="B15" s="967">
        <f>2.5*1.4</f>
        <v>3.5</v>
      </c>
      <c r="C15" s="965">
        <f>3.5* B5</f>
        <v>9.7999999999999989</v>
      </c>
      <c r="D15" s="970"/>
      <c r="E15" s="970"/>
      <c r="F15" s="970"/>
      <c r="G15" s="970"/>
      <c r="H15" s="970"/>
      <c r="I15" s="89"/>
    </row>
    <row r="16" spans="1:9" ht="17.25" x14ac:dyDescent="0.25">
      <c r="A16" s="972" t="s">
        <v>246</v>
      </c>
      <c r="B16" s="967">
        <f>6.16+34.32</f>
        <v>40.480000000000004</v>
      </c>
      <c r="C16" s="967">
        <f>6.16* B5 + 0.5*5.2*6.6 + 2.5*3.6*5.2</f>
        <v>81.207999999999998</v>
      </c>
      <c r="D16" s="970"/>
      <c r="E16" s="970"/>
      <c r="F16" s="970"/>
      <c r="G16" s="970"/>
      <c r="H16" s="970"/>
      <c r="I16" s="89"/>
    </row>
    <row r="17" spans="1:10" ht="17.25" x14ac:dyDescent="0.25">
      <c r="A17" s="972" t="s">
        <v>245</v>
      </c>
      <c r="B17" s="967">
        <f>B2-B12-B13-B14-B15-B16</f>
        <v>12.449999999999989</v>
      </c>
      <c r="C17" s="967">
        <f>12.43 * B5</f>
        <v>34.803999999999995</v>
      </c>
      <c r="D17" s="970">
        <f>C12+C13+C14+C15+C16+C17</f>
        <v>256.15199999999999</v>
      </c>
      <c r="E17" s="970"/>
      <c r="F17" s="970"/>
      <c r="G17" s="970"/>
      <c r="H17" s="970"/>
      <c r="I17" s="89"/>
    </row>
    <row r="18" spans="1:10" x14ac:dyDescent="0.25">
      <c r="A18" s="970"/>
      <c r="B18" s="970">
        <f>SUM(B12:B17)</f>
        <v>102.96</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9"/>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7">
        <f>(4.4 + 4.2)*B5 -B22</f>
        <v>22.580000000000002</v>
      </c>
      <c r="C21" s="967">
        <f>(2.7+6.6+4.7)*B6 -C22</f>
        <v>37.199999999999996</v>
      </c>
      <c r="D21" s="965">
        <f>2.4 * B5 - D22</f>
        <v>4.22</v>
      </c>
      <c r="E21" s="967">
        <f>2.5* B6-E22</f>
        <v>6.5</v>
      </c>
      <c r="F21" s="967">
        <f>0.5*(5.2*2+6.6*2)+(2.8+2.2)* B5 + (3.3*2.5)*2-F22-F25</f>
        <v>39.65</v>
      </c>
      <c r="G21" s="967">
        <f>1* B6</f>
        <v>2.8</v>
      </c>
      <c r="H21" s="975">
        <f>B21+C21+D21+E21+F21+G21</f>
        <v>112.95</v>
      </c>
      <c r="I21" s="89"/>
      <c r="J21" s="924">
        <f>SUM(B21:E21)</f>
        <v>70.5</v>
      </c>
    </row>
    <row r="22" spans="1:10" ht="17.25" x14ac:dyDescent="0.25">
      <c r="A22" s="966" t="s">
        <v>236</v>
      </c>
      <c r="B22" s="965">
        <v>1.5</v>
      </c>
      <c r="C22" s="965">
        <v>2</v>
      </c>
      <c r="D22" s="965">
        <v>2.5</v>
      </c>
      <c r="E22" s="965">
        <v>0.5</v>
      </c>
      <c r="F22" s="965">
        <v>0.5</v>
      </c>
      <c r="G22" s="965">
        <v>0</v>
      </c>
      <c r="H22" s="975">
        <f t="shared" ref="H22:H27" si="0">B22+C22+D22+E22+F22+G22</f>
        <v>7</v>
      </c>
      <c r="I22" s="89"/>
      <c r="J22" s="924">
        <f t="shared" ref="J22:J27" si="1">SUM(B22:E22)</f>
        <v>6.5</v>
      </c>
    </row>
    <row r="23" spans="1:10" ht="17.25" x14ac:dyDescent="0.25">
      <c r="A23" s="966" t="s">
        <v>235</v>
      </c>
      <c r="B23" s="965">
        <v>0</v>
      </c>
      <c r="C23" s="965">
        <v>0</v>
      </c>
      <c r="D23" s="965">
        <v>0</v>
      </c>
      <c r="E23" s="965">
        <v>0</v>
      </c>
      <c r="F23" s="967">
        <f>3.6*5.2*2</f>
        <v>37.440000000000005</v>
      </c>
      <c r="G23" s="965">
        <v>0</v>
      </c>
      <c r="H23" s="975">
        <f t="shared" si="0"/>
        <v>37.440000000000005</v>
      </c>
      <c r="I23" s="89"/>
      <c r="J23" s="924">
        <f t="shared" si="1"/>
        <v>0</v>
      </c>
    </row>
    <row r="24" spans="1:10" ht="17.25" x14ac:dyDescent="0.25">
      <c r="A24" s="966" t="s">
        <v>234</v>
      </c>
      <c r="B24" s="965">
        <v>18.5</v>
      </c>
      <c r="C24" s="965">
        <v>0</v>
      </c>
      <c r="D24" s="965">
        <v>5.28</v>
      </c>
      <c r="E24" s="965">
        <v>0</v>
      </c>
      <c r="F24" s="965">
        <v>6.16</v>
      </c>
      <c r="G24" s="965">
        <v>4.4000000000000004</v>
      </c>
      <c r="H24" s="975">
        <f t="shared" si="0"/>
        <v>34.340000000000003</v>
      </c>
      <c r="I24" s="924">
        <f>H21+H22+H23+H24</f>
        <v>191.73000000000002</v>
      </c>
      <c r="J24" s="924">
        <f t="shared" si="1"/>
        <v>23.78</v>
      </c>
    </row>
    <row r="25" spans="1:10" ht="17.25" x14ac:dyDescent="0.25">
      <c r="A25" s="966" t="s">
        <v>233</v>
      </c>
      <c r="B25" s="965">
        <v>0</v>
      </c>
      <c r="C25" s="965">
        <v>0</v>
      </c>
      <c r="D25" s="965">
        <v>0</v>
      </c>
      <c r="E25" s="965">
        <v>0</v>
      </c>
      <c r="F25" s="965">
        <v>2.15</v>
      </c>
      <c r="G25" s="965">
        <v>2.15</v>
      </c>
      <c r="H25" s="975">
        <f t="shared" si="0"/>
        <v>4.3</v>
      </c>
      <c r="I25" s="89"/>
      <c r="J25" s="924">
        <f t="shared" si="1"/>
        <v>0</v>
      </c>
    </row>
    <row r="26" spans="1:10" ht="17.25" x14ac:dyDescent="0.25">
      <c r="A26" s="966" t="s">
        <v>232</v>
      </c>
      <c r="B26" s="965">
        <v>0</v>
      </c>
      <c r="C26" s="965">
        <v>0</v>
      </c>
      <c r="D26" s="965">
        <f>2.2* B5</f>
        <v>6.16</v>
      </c>
      <c r="E26" s="965">
        <f>1.4* B6</f>
        <v>3.9199999999999995</v>
      </c>
      <c r="F26" s="965">
        <v>0</v>
      </c>
      <c r="G26" s="965">
        <f>4.4* B5 +5.2* B6</f>
        <v>26.88</v>
      </c>
      <c r="H26" s="975">
        <f t="shared" si="0"/>
        <v>36.96</v>
      </c>
      <c r="I26" s="89"/>
      <c r="J26" s="924">
        <f t="shared" si="1"/>
        <v>10.08</v>
      </c>
    </row>
    <row r="27" spans="1:10" ht="17.25" customHeight="1" x14ac:dyDescent="0.25">
      <c r="A27" s="966" t="s">
        <v>231</v>
      </c>
      <c r="B27" s="967">
        <f>(4.2+4.4) *B5</f>
        <v>24.080000000000002</v>
      </c>
      <c r="C27" s="967">
        <f>(3.3+1.5+3.3)* B6</f>
        <v>22.679999999999996</v>
      </c>
      <c r="D27" s="967">
        <f>(4.4+1) * B5 +(1+2.5+2+1.5+3.3)*B6</f>
        <v>43.96</v>
      </c>
      <c r="E27" s="967">
        <f>(2.5+1.4)* B6</f>
        <v>10.92</v>
      </c>
      <c r="F27" s="967">
        <f>(2.8+2.2)* B5</f>
        <v>14</v>
      </c>
      <c r="G27" s="967">
        <f>4.4* B5</f>
        <v>12.32</v>
      </c>
      <c r="H27" s="975">
        <f t="shared" si="0"/>
        <v>127.96000000000001</v>
      </c>
      <c r="I27" s="89"/>
      <c r="J27" s="924">
        <f t="shared" si="1"/>
        <v>101.64</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H15" sqref="H15"/>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5.5*11.5 + 2*(5.5*10)</f>
        <v>173.25</v>
      </c>
      <c r="C2" s="970"/>
      <c r="D2" s="970"/>
      <c r="E2" s="970"/>
      <c r="F2" s="970" t="s">
        <v>348</v>
      </c>
      <c r="G2" s="970">
        <f>H22</f>
        <v>12</v>
      </c>
      <c r="H2" s="970"/>
      <c r="I2" s="89"/>
    </row>
    <row r="3" spans="1:9" ht="17.25" x14ac:dyDescent="0.25">
      <c r="A3" s="972" t="s">
        <v>259</v>
      </c>
      <c r="B3" s="967">
        <f xml:space="preserve"> 63.2</f>
        <v>63.2</v>
      </c>
      <c r="C3" s="970"/>
      <c r="D3" s="970"/>
      <c r="E3" s="970"/>
      <c r="F3" s="970" t="s">
        <v>349</v>
      </c>
      <c r="G3" s="970">
        <f>H25</f>
        <v>4.3</v>
      </c>
      <c r="H3" s="970"/>
      <c r="I3" s="89"/>
    </row>
    <row r="4" spans="1:9" x14ac:dyDescent="0.25">
      <c r="A4" s="972" t="s">
        <v>258</v>
      </c>
      <c r="B4" s="967">
        <v>3</v>
      </c>
      <c r="C4" s="970"/>
      <c r="D4" s="970"/>
      <c r="E4" s="970"/>
      <c r="F4" s="970" t="s">
        <v>350</v>
      </c>
      <c r="G4" s="970">
        <f>H21</f>
        <v>135.5</v>
      </c>
      <c r="H4" s="970"/>
      <c r="I4" s="89"/>
    </row>
    <row r="5" spans="1:9" ht="17.25" x14ac:dyDescent="0.25">
      <c r="A5" s="972" t="s">
        <v>257</v>
      </c>
      <c r="B5" s="967">
        <v>2.8</v>
      </c>
      <c r="C5" s="970"/>
      <c r="D5" s="970"/>
      <c r="E5" s="970"/>
      <c r="F5" s="970" t="s">
        <v>351</v>
      </c>
      <c r="G5" s="970">
        <f>H23</f>
        <v>99.660000000000011</v>
      </c>
      <c r="H5" s="970"/>
      <c r="I5" s="89"/>
    </row>
    <row r="6" spans="1:9" ht="17.25" x14ac:dyDescent="0.25">
      <c r="A6" s="972" t="s">
        <v>256</v>
      </c>
      <c r="B6" s="967">
        <v>2.8</v>
      </c>
      <c r="C6" s="970"/>
      <c r="D6" s="970"/>
      <c r="E6" s="970"/>
      <c r="F6" s="970" t="s">
        <v>352</v>
      </c>
      <c r="G6" s="970">
        <f>B3</f>
        <v>63.2</v>
      </c>
      <c r="H6" s="970"/>
      <c r="I6" s="89"/>
    </row>
    <row r="7" spans="1:9" ht="17.25" x14ac:dyDescent="0.25">
      <c r="A7" s="972" t="s">
        <v>255</v>
      </c>
      <c r="B7" s="967">
        <v>6</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19.8+16.1</f>
        <v>35.900000000000006</v>
      </c>
      <c r="C12" s="967">
        <f>35.9* B5</f>
        <v>100.52</v>
      </c>
      <c r="D12" s="970"/>
      <c r="E12" s="970"/>
      <c r="F12" s="970"/>
      <c r="G12" s="970"/>
      <c r="H12" s="970"/>
      <c r="I12" s="89"/>
    </row>
    <row r="13" spans="1:9" ht="17.25" x14ac:dyDescent="0.25">
      <c r="A13" s="972" t="s">
        <v>249</v>
      </c>
      <c r="B13" s="967">
        <f>3.5*4.6+2.75*4.5</f>
        <v>28.474999999999998</v>
      </c>
      <c r="C13" s="967">
        <f>28.47* B6</f>
        <v>79.715999999999994</v>
      </c>
      <c r="D13" s="970"/>
      <c r="E13" s="970"/>
      <c r="F13" s="970"/>
      <c r="G13" s="970"/>
      <c r="H13" s="970"/>
      <c r="I13" s="89"/>
    </row>
    <row r="14" spans="1:9" ht="17.25" x14ac:dyDescent="0.25">
      <c r="A14" s="972" t="s">
        <v>248</v>
      </c>
      <c r="B14" s="967">
        <f xml:space="preserve"> 3*3.3</f>
        <v>9.8999999999999986</v>
      </c>
      <c r="C14" s="967">
        <f>9.9* B5</f>
        <v>27.72</v>
      </c>
      <c r="D14" s="970"/>
      <c r="E14" s="970"/>
      <c r="F14" s="970"/>
      <c r="G14" s="970"/>
      <c r="H14" s="970"/>
      <c r="I14" s="89"/>
    </row>
    <row r="15" spans="1:9" ht="17.25" x14ac:dyDescent="0.25">
      <c r="A15" s="972" t="s">
        <v>247</v>
      </c>
      <c r="B15" s="967">
        <f xml:space="preserve"> 2.75*4.4</f>
        <v>12.100000000000001</v>
      </c>
      <c r="C15" s="967">
        <f>11.88* B5</f>
        <v>33.264000000000003</v>
      </c>
      <c r="D15" s="970"/>
      <c r="E15" s="970"/>
      <c r="F15" s="970"/>
      <c r="G15" s="970"/>
      <c r="H15" s="970"/>
      <c r="I15" s="89"/>
    </row>
    <row r="16" spans="1:9" ht="17.25" x14ac:dyDescent="0.25">
      <c r="A16" s="972" t="s">
        <v>246</v>
      </c>
      <c r="B16" s="967">
        <f>2.5*3.3 + 55</f>
        <v>63.25</v>
      </c>
      <c r="C16" s="967">
        <f>8.25* B5 + 6*3.8*5.5</f>
        <v>148.49999999999997</v>
      </c>
      <c r="D16" s="970"/>
      <c r="E16" s="970"/>
      <c r="F16" s="970"/>
      <c r="G16" s="970"/>
      <c r="H16" s="970"/>
      <c r="I16" s="89"/>
    </row>
    <row r="17" spans="1:10" ht="17.25" x14ac:dyDescent="0.25">
      <c r="A17" s="972" t="s">
        <v>245</v>
      </c>
      <c r="B17" s="967">
        <f xml:space="preserve"> 2*2*4.6 +0.5</f>
        <v>18.899999999999999</v>
      </c>
      <c r="C17" s="967">
        <f>18.9 * B5</f>
        <v>52.919999999999995</v>
      </c>
      <c r="D17" s="970">
        <f>C12+C13+C14+C15+C16+C17</f>
        <v>442.64</v>
      </c>
      <c r="E17" s="970"/>
      <c r="F17" s="970"/>
      <c r="G17" s="970"/>
      <c r="H17" s="970"/>
      <c r="I17" s="89"/>
    </row>
    <row r="18" spans="1:10" x14ac:dyDescent="0.25">
      <c r="A18" s="970"/>
      <c r="B18" s="970">
        <f>SUM(B12:B17)</f>
        <v>168.52500000000001</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9" t="s">
        <v>243</v>
      </c>
      <c r="C20" s="969" t="s">
        <v>242</v>
      </c>
      <c r="D20" s="969" t="s">
        <v>241</v>
      </c>
      <c r="E20" s="969" t="s">
        <v>240</v>
      </c>
      <c r="F20" s="969" t="s">
        <v>239</v>
      </c>
      <c r="G20" s="969" t="s">
        <v>238</v>
      </c>
      <c r="H20" s="983" t="s">
        <v>188</v>
      </c>
      <c r="I20" s="89"/>
      <c r="J20" s="1000" t="s">
        <v>289</v>
      </c>
    </row>
    <row r="21" spans="1:10" ht="17.25" customHeight="1" x14ac:dyDescent="0.25">
      <c r="A21" s="966" t="s">
        <v>237</v>
      </c>
      <c r="B21" s="965">
        <f>(3.6+3.5) *B5-B22</f>
        <v>16.88</v>
      </c>
      <c r="C21" s="965">
        <f>(2.75+3.5)* B6-C22</f>
        <v>14</v>
      </c>
      <c r="D21" s="965">
        <f>3* B5 -D22</f>
        <v>6.3999999999999986</v>
      </c>
      <c r="E21" s="965">
        <f>(4.4+2.75)* B6-E22</f>
        <v>19.02</v>
      </c>
      <c r="F21" s="965">
        <f>(6*5)+(2.5+3.3)*B5- F22-F25</f>
        <v>43.339999999999996</v>
      </c>
      <c r="G21" s="965">
        <f>(2*(2+4.6)+1)*B5-G22-G25</f>
        <v>35.86</v>
      </c>
      <c r="H21" s="975">
        <f>B21+C21+D21+E21+F21+G21</f>
        <v>135.5</v>
      </c>
      <c r="I21" s="89"/>
      <c r="J21" s="924">
        <f>SUM(B21:E21)</f>
        <v>56.3</v>
      </c>
    </row>
    <row r="22" spans="1:10" ht="17.25" x14ac:dyDescent="0.25">
      <c r="A22" s="966" t="s">
        <v>236</v>
      </c>
      <c r="B22" s="965">
        <f>1.5+1.5</f>
        <v>3</v>
      </c>
      <c r="C22" s="965">
        <f>1.5+2</f>
        <v>3.5</v>
      </c>
      <c r="D22" s="965">
        <f>2</f>
        <v>2</v>
      </c>
      <c r="E22" s="965">
        <f>1</f>
        <v>1</v>
      </c>
      <c r="F22" s="965">
        <v>0.75</v>
      </c>
      <c r="G22" s="965">
        <f>1+0.75</f>
        <v>1.75</v>
      </c>
      <c r="H22" s="975">
        <f t="shared" ref="H22:H27" si="0">B22+C22+D22+E22+F22+G22</f>
        <v>12</v>
      </c>
      <c r="I22" s="89"/>
      <c r="J22" s="924">
        <f t="shared" ref="J22:J27" si="1">SUM(B22:E22)</f>
        <v>9.5</v>
      </c>
    </row>
    <row r="23" spans="1:10" ht="17.25" x14ac:dyDescent="0.25">
      <c r="A23" s="966" t="s">
        <v>235</v>
      </c>
      <c r="B23" s="965">
        <v>0</v>
      </c>
      <c r="C23" s="965">
        <v>0</v>
      </c>
      <c r="D23" s="967">
        <f>3*1.5</f>
        <v>4.5</v>
      </c>
      <c r="E23" s="967">
        <v>0</v>
      </c>
      <c r="F23" s="967">
        <f>2*8.31*5.5 +2.5*1.5</f>
        <v>95.160000000000011</v>
      </c>
      <c r="G23" s="967">
        <v>0</v>
      </c>
      <c r="H23" s="975">
        <f t="shared" si="0"/>
        <v>99.660000000000011</v>
      </c>
      <c r="I23" s="89"/>
      <c r="J23" s="924">
        <f t="shared" si="1"/>
        <v>4.5</v>
      </c>
    </row>
    <row r="24" spans="1:10" ht="17.25" x14ac:dyDescent="0.25">
      <c r="A24" s="966" t="s">
        <v>234</v>
      </c>
      <c r="B24" s="965">
        <v>35.9</v>
      </c>
      <c r="C24" s="965">
        <v>0</v>
      </c>
      <c r="D24" s="965">
        <v>9.9</v>
      </c>
      <c r="E24" s="965">
        <v>0</v>
      </c>
      <c r="F24" s="965">
        <v>8.25</v>
      </c>
      <c r="G24" s="965">
        <v>9.1999999999999993</v>
      </c>
      <c r="H24" s="975">
        <f t="shared" si="0"/>
        <v>63.25</v>
      </c>
      <c r="I24" s="924">
        <f>H21+H22+H23+H24</f>
        <v>310.41000000000003</v>
      </c>
      <c r="J24" s="924">
        <f t="shared" si="1"/>
        <v>45.8</v>
      </c>
    </row>
    <row r="25" spans="1:10" ht="17.25" x14ac:dyDescent="0.25">
      <c r="A25" s="966" t="s">
        <v>233</v>
      </c>
      <c r="B25" s="965">
        <v>0</v>
      </c>
      <c r="C25" s="965">
        <v>0</v>
      </c>
      <c r="D25" s="965">
        <v>0</v>
      </c>
      <c r="E25" s="965">
        <v>0</v>
      </c>
      <c r="F25" s="965">
        <v>2.15</v>
      </c>
      <c r="G25" s="965">
        <v>2.15</v>
      </c>
      <c r="H25" s="975">
        <f t="shared" si="0"/>
        <v>4.3</v>
      </c>
      <c r="I25" s="89"/>
      <c r="J25" s="924">
        <f t="shared" si="1"/>
        <v>0</v>
      </c>
    </row>
    <row r="26" spans="1:10" ht="17.25" x14ac:dyDescent="0.25">
      <c r="A26" s="966" t="s">
        <v>232</v>
      </c>
      <c r="B26" s="965">
        <f>8.2*B5</f>
        <v>22.959999999999997</v>
      </c>
      <c r="C26" s="965">
        <f>10* B6</f>
        <v>28</v>
      </c>
      <c r="D26" s="965">
        <f>3.3* B5</f>
        <v>9.2399999999999984</v>
      </c>
      <c r="E26" s="965">
        <v>0</v>
      </c>
      <c r="F26" s="965">
        <f>(6*5)</f>
        <v>30</v>
      </c>
      <c r="G26" s="965">
        <v>0</v>
      </c>
      <c r="H26" s="975">
        <f t="shared" si="0"/>
        <v>90.199999999999989</v>
      </c>
      <c r="I26" s="89"/>
      <c r="J26" s="924">
        <f t="shared" si="1"/>
        <v>60.199999999999989</v>
      </c>
    </row>
    <row r="27" spans="1:10" ht="17.25" customHeight="1" x14ac:dyDescent="0.25">
      <c r="A27" s="966" t="s">
        <v>231</v>
      </c>
      <c r="B27" s="967">
        <f>2*5.5 + 4.6</f>
        <v>15.6</v>
      </c>
      <c r="C27" s="965">
        <f>10*B6</f>
        <v>28</v>
      </c>
      <c r="D27" s="965">
        <f>(3+3.3) *B5</f>
        <v>17.639999999999997</v>
      </c>
      <c r="E27" s="965">
        <f>(4.4+2.7)*B6</f>
        <v>19.88</v>
      </c>
      <c r="F27" s="965">
        <f>(2.5+3.3)*B5</f>
        <v>16.239999999999998</v>
      </c>
      <c r="G27" s="965">
        <f>2*(2+4.6)*B5</f>
        <v>36.959999999999994</v>
      </c>
      <c r="H27" s="975">
        <f t="shared" si="0"/>
        <v>134.32</v>
      </c>
      <c r="I27" s="89"/>
      <c r="J27" s="924">
        <f t="shared" si="1"/>
        <v>81.11999999999999</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G16" sqref="G16"/>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5.8*13 +2*9.5*5.8</f>
        <v>185.6</v>
      </c>
      <c r="C2" s="970"/>
      <c r="D2" s="970"/>
      <c r="E2" s="970"/>
      <c r="F2" s="970" t="s">
        <v>348</v>
      </c>
      <c r="G2" s="970">
        <f>H22</f>
        <v>22</v>
      </c>
      <c r="H2" s="970"/>
      <c r="I2" s="89"/>
    </row>
    <row r="3" spans="1:9" ht="17.25" x14ac:dyDescent="0.25">
      <c r="A3" s="972" t="s">
        <v>259</v>
      </c>
      <c r="B3" s="967">
        <f xml:space="preserve"> 75.4</f>
        <v>75.400000000000006</v>
      </c>
      <c r="C3" s="970"/>
      <c r="D3" s="970"/>
      <c r="E3" s="970"/>
      <c r="F3" s="970" t="s">
        <v>349</v>
      </c>
      <c r="G3" s="970">
        <f>H25</f>
        <v>2.15</v>
      </c>
      <c r="H3" s="970"/>
      <c r="I3" s="89"/>
    </row>
    <row r="4" spans="1:9" x14ac:dyDescent="0.25">
      <c r="A4" s="972" t="s">
        <v>258</v>
      </c>
      <c r="B4" s="967">
        <v>3</v>
      </c>
      <c r="C4" s="970"/>
      <c r="D4" s="970"/>
      <c r="E4" s="970"/>
      <c r="F4" s="970" t="s">
        <v>350</v>
      </c>
      <c r="G4" s="970">
        <f>H21</f>
        <v>115.78052631578947</v>
      </c>
      <c r="H4" s="970"/>
      <c r="I4" s="89"/>
    </row>
    <row r="5" spans="1:9" ht="17.25" x14ac:dyDescent="0.25">
      <c r="A5" s="972" t="s">
        <v>257</v>
      </c>
      <c r="B5" s="967">
        <v>2.8</v>
      </c>
      <c r="C5" s="970"/>
      <c r="D5" s="970"/>
      <c r="E5" s="970"/>
      <c r="F5" s="970" t="s">
        <v>351</v>
      </c>
      <c r="G5" s="970">
        <f>H23</f>
        <v>84.1</v>
      </c>
      <c r="H5" s="970"/>
      <c r="I5" s="89"/>
    </row>
    <row r="6" spans="1:9" ht="17.25" x14ac:dyDescent="0.25">
      <c r="A6" s="972" t="s">
        <v>256</v>
      </c>
      <c r="B6" s="967">
        <v>2.8</v>
      </c>
      <c r="C6" s="970"/>
      <c r="D6" s="970"/>
      <c r="E6" s="970"/>
      <c r="F6" s="970" t="s">
        <v>352</v>
      </c>
      <c r="G6" s="970">
        <f>B3</f>
        <v>75.400000000000006</v>
      </c>
      <c r="H6" s="970"/>
      <c r="I6" s="89"/>
    </row>
    <row r="7" spans="1:9" ht="17.25" x14ac:dyDescent="0.25">
      <c r="A7" s="972" t="s">
        <v>255</v>
      </c>
      <c r="B7" s="967">
        <v>2.8</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8" t="s">
        <v>252</v>
      </c>
      <c r="C11" s="978" t="s">
        <v>251</v>
      </c>
      <c r="D11" s="970"/>
      <c r="E11" s="970"/>
      <c r="F11" s="970"/>
      <c r="G11" s="970"/>
      <c r="H11" s="970"/>
      <c r="I11" s="89"/>
    </row>
    <row r="12" spans="1:9" ht="17.25" x14ac:dyDescent="0.25">
      <c r="A12" s="972" t="s">
        <v>250</v>
      </c>
      <c r="B12" s="967">
        <f>2.3*4.5 + 3.5*9.5</f>
        <v>43.6</v>
      </c>
      <c r="C12" s="965">
        <f>43.6* B5</f>
        <v>122.08</v>
      </c>
      <c r="D12" s="970"/>
      <c r="E12" s="970"/>
      <c r="F12" s="970"/>
      <c r="G12" s="970"/>
      <c r="H12" s="970"/>
      <c r="I12" s="89"/>
    </row>
    <row r="13" spans="1:9" ht="17.25" x14ac:dyDescent="0.25">
      <c r="A13" s="972" t="s">
        <v>249</v>
      </c>
      <c r="B13" s="967">
        <f>2*17.4 + 17.1</f>
        <v>51.9</v>
      </c>
      <c r="C13" s="965">
        <f>17.4* B6 + (4.75*2.8)/2 *9.6</f>
        <v>112.55999999999997</v>
      </c>
      <c r="D13" s="970"/>
      <c r="E13" s="970"/>
      <c r="F13" s="970"/>
      <c r="G13" s="970"/>
      <c r="H13" s="970"/>
      <c r="I13" s="89"/>
    </row>
    <row r="14" spans="1:9" ht="17.25" x14ac:dyDescent="0.25">
      <c r="A14" s="972" t="s">
        <v>248</v>
      </c>
      <c r="B14" s="967">
        <f>3.5*5.8</f>
        <v>20.3</v>
      </c>
      <c r="C14" s="965">
        <f>20.3* B5</f>
        <v>56.839999999999996</v>
      </c>
      <c r="D14" s="970"/>
      <c r="E14" s="970"/>
      <c r="F14" s="970"/>
      <c r="G14" s="970"/>
      <c r="H14" s="970"/>
      <c r="I14" s="89"/>
    </row>
    <row r="15" spans="1:9" ht="17.25" x14ac:dyDescent="0.25">
      <c r="A15" s="972" t="s">
        <v>247</v>
      </c>
      <c r="B15" s="967">
        <f>5.6</f>
        <v>5.6</v>
      </c>
      <c r="C15" s="965">
        <f>5.6* B6</f>
        <v>15.679999999999998</v>
      </c>
      <c r="D15" s="970"/>
      <c r="E15" s="970"/>
      <c r="F15" s="970"/>
      <c r="G15" s="970"/>
      <c r="H15" s="970"/>
      <c r="I15" s="89"/>
    </row>
    <row r="16" spans="1:9" ht="17.25" x14ac:dyDescent="0.25">
      <c r="A16" s="972" t="s">
        <v>246</v>
      </c>
      <c r="B16" s="967">
        <f>9+12.6</f>
        <v>21.6</v>
      </c>
      <c r="C16" s="965">
        <f>12.6* B6 + (4.75*2.8)/2*2</f>
        <v>48.579999999999991</v>
      </c>
      <c r="D16" s="970"/>
      <c r="E16" s="970"/>
      <c r="F16" s="970"/>
      <c r="G16" s="970"/>
      <c r="H16" s="970"/>
      <c r="I16" s="89"/>
    </row>
    <row r="17" spans="1:10" ht="17.25" x14ac:dyDescent="0.25">
      <c r="A17" s="972" t="s">
        <v>245</v>
      </c>
      <c r="B17" s="967">
        <f>B2-B12-B13-B14-B15-B16</f>
        <v>42.6</v>
      </c>
      <c r="C17" s="965">
        <f>5*2.3*B5 + 2*3*B6 + 2*2.8 -(B7 - (B7 *3.75/4.75))*2/2</f>
        <v>54.01052631578947</v>
      </c>
      <c r="D17" s="970">
        <f>C12+C13+C14+C15+C16+C17</f>
        <v>409.75052631578944</v>
      </c>
      <c r="E17" s="970"/>
      <c r="F17" s="970"/>
      <c r="G17" s="970"/>
      <c r="H17" s="970"/>
      <c r="I17" s="89"/>
    </row>
    <row r="18" spans="1:10" x14ac:dyDescent="0.25">
      <c r="A18" s="970"/>
      <c r="B18" s="970">
        <f>SUM(B12:B17)</f>
        <v>185.6</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f>(4.5+5.8)*B5-B22</f>
        <v>22.34</v>
      </c>
      <c r="C21" s="965">
        <f>(3+5.8+3+4.5)*B5 +(4.75*2.8)-C22</f>
        <v>54.44</v>
      </c>
      <c r="D21" s="965">
        <f>(3.5+5.8)*B5-D22</f>
        <v>18.04</v>
      </c>
      <c r="E21" s="965">
        <v>0</v>
      </c>
      <c r="F21" s="965">
        <v>0</v>
      </c>
      <c r="G21" s="967">
        <f>(5+2)* B5+2*2.8 -(B7-(B7*3.75/4.75))*2/2-G22-G25</f>
        <v>20.960526315789473</v>
      </c>
      <c r="H21" s="975">
        <f>B21+C21+D21+E21+F21+G21</f>
        <v>115.78052631578947</v>
      </c>
      <c r="I21" s="89"/>
      <c r="J21" s="924">
        <f>SUM(B21:E21)</f>
        <v>94.82</v>
      </c>
    </row>
    <row r="22" spans="1:10" ht="17.25" x14ac:dyDescent="0.25">
      <c r="A22" s="966" t="s">
        <v>236</v>
      </c>
      <c r="B22" s="965">
        <f>3+3.5</f>
        <v>6.5</v>
      </c>
      <c r="C22" s="965">
        <f>1.5+3</f>
        <v>4.5</v>
      </c>
      <c r="D22" s="965">
        <f>2+6</f>
        <v>8</v>
      </c>
      <c r="E22" s="965">
        <v>0</v>
      </c>
      <c r="F22" s="965">
        <f>1.5</f>
        <v>1.5</v>
      </c>
      <c r="G22" s="965">
        <f>1.5</f>
        <v>1.5</v>
      </c>
      <c r="H22" s="975">
        <f t="shared" ref="H22:H27" si="0">B22+C22+D22+E22+F22+G22</f>
        <v>22</v>
      </c>
      <c r="I22" s="89"/>
      <c r="J22" s="924">
        <f t="shared" ref="J22:J27" si="1">SUM(B22:E22)</f>
        <v>19</v>
      </c>
    </row>
    <row r="23" spans="1:10" ht="17.25" x14ac:dyDescent="0.25">
      <c r="A23" s="966" t="s">
        <v>235</v>
      </c>
      <c r="B23" s="965">
        <v>0</v>
      </c>
      <c r="C23" s="967">
        <f>5.5*3.8 + 3.45*5.8</f>
        <v>40.909999999999997</v>
      </c>
      <c r="D23" s="965">
        <f>20.3</f>
        <v>20.3</v>
      </c>
      <c r="E23" s="965">
        <v>0</v>
      </c>
      <c r="F23" s="967">
        <f>2*5.5</f>
        <v>11</v>
      </c>
      <c r="G23" s="967">
        <f>2*5.5*5.8 - 40.91-11</f>
        <v>11.89</v>
      </c>
      <c r="H23" s="975">
        <f t="shared" si="0"/>
        <v>84.1</v>
      </c>
      <c r="I23" s="89"/>
      <c r="J23" s="924">
        <f t="shared" si="1"/>
        <v>61.209999999999994</v>
      </c>
    </row>
    <row r="24" spans="1:10" ht="17.25" x14ac:dyDescent="0.25">
      <c r="A24" s="966" t="s">
        <v>234</v>
      </c>
      <c r="B24" s="965">
        <v>43.6</v>
      </c>
      <c r="C24" s="965">
        <v>0</v>
      </c>
      <c r="D24" s="965">
        <v>20.3</v>
      </c>
      <c r="E24" s="965">
        <v>0</v>
      </c>
      <c r="F24" s="965">
        <v>0</v>
      </c>
      <c r="G24" s="965">
        <v>0</v>
      </c>
      <c r="H24" s="975">
        <f t="shared" si="0"/>
        <v>63.900000000000006</v>
      </c>
      <c r="I24" s="924">
        <f>H21+H22+H23+H24</f>
        <v>285.78052631578947</v>
      </c>
      <c r="J24" s="924">
        <f t="shared" si="1"/>
        <v>63.900000000000006</v>
      </c>
    </row>
    <row r="25" spans="1:10" ht="17.25" x14ac:dyDescent="0.25">
      <c r="A25" s="966" t="s">
        <v>233</v>
      </c>
      <c r="B25" s="965">
        <v>0</v>
      </c>
      <c r="C25" s="965">
        <v>0</v>
      </c>
      <c r="D25" s="965">
        <v>0</v>
      </c>
      <c r="E25" s="965">
        <v>0</v>
      </c>
      <c r="F25" s="965">
        <v>0</v>
      </c>
      <c r="G25" s="965">
        <v>2.15</v>
      </c>
      <c r="H25" s="975">
        <f t="shared" si="0"/>
        <v>2.15</v>
      </c>
      <c r="I25" s="89"/>
      <c r="J25" s="924">
        <f t="shared" si="1"/>
        <v>0</v>
      </c>
    </row>
    <row r="26" spans="1:10" ht="17.25" x14ac:dyDescent="0.25">
      <c r="A26" s="966" t="s">
        <v>232</v>
      </c>
      <c r="B26" s="967">
        <f>9.5*B5</f>
        <v>26.599999999999998</v>
      </c>
      <c r="C26" s="967">
        <f>3.5* B5 + (4.75*5.5)/2</f>
        <v>22.862499999999997</v>
      </c>
      <c r="D26" s="965">
        <f>3.5* B5</f>
        <v>9.7999999999999989</v>
      </c>
      <c r="E26" s="965">
        <f>2* B5</f>
        <v>5.6</v>
      </c>
      <c r="F26" s="965">
        <f>4.5* B5</f>
        <v>12.6</v>
      </c>
      <c r="G26" s="967">
        <f>2*2.8-(B5-(B5 *3.75/4.75))*2/2</f>
        <v>5.0105263157894733</v>
      </c>
      <c r="H26" s="975">
        <f t="shared" si="0"/>
        <v>82.473026315789454</v>
      </c>
      <c r="I26" s="89"/>
      <c r="J26" s="924">
        <f t="shared" si="1"/>
        <v>64.862499999999983</v>
      </c>
    </row>
    <row r="27" spans="1:10" ht="17.25" customHeight="1" x14ac:dyDescent="0.25">
      <c r="A27" s="966" t="s">
        <v>231</v>
      </c>
      <c r="B27" s="965">
        <f>(5.8+2.3+5)*B5</f>
        <v>36.68</v>
      </c>
      <c r="C27" s="965">
        <f>(5.8+3)*B6+(5.8+3.8)*B7</f>
        <v>51.519999999999996</v>
      </c>
      <c r="D27" s="965">
        <f>5.8*B5</f>
        <v>16.239999999999998</v>
      </c>
      <c r="E27" s="965">
        <f>(2+2*2.8)*B6</f>
        <v>21.279999999999998</v>
      </c>
      <c r="F27" s="967">
        <f>(4.5+2.8)*B6+(4.75*2.8)/2</f>
        <v>27.089999999999996</v>
      </c>
      <c r="G27" s="967">
        <f>(2*2.3+5)*B5+(2*3+2)*B6+2*5.8*B7</f>
        <v>81.759999999999991</v>
      </c>
      <c r="H27" s="975">
        <f t="shared" si="0"/>
        <v>234.56999999999996</v>
      </c>
      <c r="I27" s="89"/>
      <c r="J27" s="924">
        <f t="shared" si="1"/>
        <v>125.71999999999998</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H8" sqref="H8"/>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7.5*11.5 + 7.5*8.5</f>
        <v>150</v>
      </c>
      <c r="C2" s="970"/>
      <c r="D2" s="970"/>
      <c r="E2" s="970"/>
      <c r="F2" s="970" t="s">
        <v>348</v>
      </c>
      <c r="G2" s="970">
        <v>14.5</v>
      </c>
      <c r="H2" s="970"/>
      <c r="I2" s="89"/>
    </row>
    <row r="3" spans="1:9" ht="17.25" x14ac:dyDescent="0.25">
      <c r="A3" s="972" t="s">
        <v>259</v>
      </c>
      <c r="B3" s="967">
        <f xml:space="preserve"> 86.25</f>
        <v>86.25</v>
      </c>
      <c r="C3" s="970"/>
      <c r="D3" s="970"/>
      <c r="E3" s="970"/>
      <c r="F3" s="970" t="s">
        <v>349</v>
      </c>
      <c r="G3" s="970">
        <v>9.3000000000000007</v>
      </c>
      <c r="H3" s="970"/>
      <c r="I3" s="89"/>
    </row>
    <row r="4" spans="1:9" x14ac:dyDescent="0.25">
      <c r="A4" s="972" t="s">
        <v>258</v>
      </c>
      <c r="B4" s="967">
        <f xml:space="preserve"> 2</f>
        <v>2</v>
      </c>
      <c r="C4" s="970"/>
      <c r="D4" s="970"/>
      <c r="E4" s="970"/>
      <c r="F4" s="970" t="s">
        <v>350</v>
      </c>
      <c r="G4" s="970">
        <v>120</v>
      </c>
      <c r="H4" s="970"/>
      <c r="I4" s="89"/>
    </row>
    <row r="5" spans="1:9" ht="17.25" x14ac:dyDescent="0.25">
      <c r="A5" s="972" t="s">
        <v>257</v>
      </c>
      <c r="B5" s="967">
        <f xml:space="preserve"> 2.8</f>
        <v>2.8</v>
      </c>
      <c r="C5" s="970"/>
      <c r="D5" s="970"/>
      <c r="E5" s="970"/>
      <c r="F5" s="970" t="s">
        <v>351</v>
      </c>
      <c r="G5" s="970">
        <v>111</v>
      </c>
      <c r="H5" s="970"/>
      <c r="I5" s="89"/>
    </row>
    <row r="6" spans="1:9" ht="17.25" x14ac:dyDescent="0.25">
      <c r="A6" s="972" t="s">
        <v>256</v>
      </c>
      <c r="B6" s="967">
        <f xml:space="preserve"> 1.5+3.5</f>
        <v>5</v>
      </c>
      <c r="C6" s="970"/>
      <c r="D6" s="970"/>
      <c r="E6" s="970"/>
      <c r="F6" s="970" t="s">
        <v>352</v>
      </c>
      <c r="G6" s="970">
        <v>86.25</v>
      </c>
      <c r="H6" s="970"/>
      <c r="I6" s="89"/>
    </row>
    <row r="7" spans="1:9" ht="17.25" x14ac:dyDescent="0.25">
      <c r="A7" s="972" t="s">
        <v>255</v>
      </c>
      <c r="B7" s="967">
        <v>0</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6.6*4.2</f>
        <v>27.72</v>
      </c>
      <c r="C12" s="967">
        <f>B12*B5</f>
        <v>77.615999999999985</v>
      </c>
      <c r="D12" s="970"/>
      <c r="E12" s="970"/>
      <c r="F12" s="970"/>
      <c r="G12" s="970"/>
      <c r="H12" s="970"/>
      <c r="I12" s="89"/>
    </row>
    <row r="13" spans="1:9" ht="17.25" x14ac:dyDescent="0.25">
      <c r="A13" s="972" t="s">
        <v>249</v>
      </c>
      <c r="B13" s="967">
        <f>8.5*7.5 - 2.9*3.8- 1.3*3.8</f>
        <v>47.790000000000006</v>
      </c>
      <c r="C13" s="967">
        <f>47.35*1.5 + 4.25*3.5*(7.5+3.3)/2</f>
        <v>151.35000000000002</v>
      </c>
      <c r="D13" s="970"/>
      <c r="E13" s="970"/>
      <c r="F13" s="970"/>
      <c r="G13" s="970"/>
      <c r="H13" s="970"/>
      <c r="I13" s="89"/>
    </row>
    <row r="14" spans="1:9" ht="17.25" x14ac:dyDescent="0.25">
      <c r="A14" s="972" t="s">
        <v>248</v>
      </c>
      <c r="B14" s="967">
        <f>3.3*4.3 + 3.2*4.2</f>
        <v>27.630000000000003</v>
      </c>
      <c r="C14" s="967">
        <f>B14*B5</f>
        <v>77.364000000000004</v>
      </c>
      <c r="D14" s="970"/>
      <c r="E14" s="970"/>
      <c r="F14" s="970"/>
      <c r="G14" s="970"/>
      <c r="H14" s="970"/>
      <c r="I14" s="89"/>
    </row>
    <row r="15" spans="1:9" ht="17.25" x14ac:dyDescent="0.25">
      <c r="A15" s="972" t="s">
        <v>247</v>
      </c>
      <c r="B15" s="967">
        <f>2.9*3.8</f>
        <v>11.02</v>
      </c>
      <c r="C15" s="967">
        <f>2.9*3.8*1.5 + 4*3.5/2*2.9</f>
        <v>36.83</v>
      </c>
      <c r="D15" s="970"/>
      <c r="E15" s="970"/>
      <c r="F15" s="970"/>
      <c r="G15" s="970"/>
      <c r="H15" s="970"/>
      <c r="I15" s="89"/>
    </row>
    <row r="16" spans="1:9" ht="17.25" x14ac:dyDescent="0.25">
      <c r="A16" s="972" t="s">
        <v>246</v>
      </c>
      <c r="B16" s="967">
        <f>3.3*7.2</f>
        <v>23.759999999999998</v>
      </c>
      <c r="C16" s="967">
        <f>B16*B5</f>
        <v>66.527999999999992</v>
      </c>
      <c r="D16" s="970"/>
      <c r="E16" s="970"/>
      <c r="F16" s="970"/>
      <c r="G16" s="970"/>
      <c r="H16" s="970"/>
      <c r="I16" s="89"/>
    </row>
    <row r="17" spans="1:10" ht="17.25" x14ac:dyDescent="0.25">
      <c r="A17" s="972" t="s">
        <v>245</v>
      </c>
      <c r="B17" s="967">
        <f>7.14 + 4.94</f>
        <v>12.08</v>
      </c>
      <c r="C17" s="967">
        <f>7.14* B5 + 4.25*3.5/2*1.3</f>
        <v>29.66075</v>
      </c>
      <c r="D17" s="970">
        <f>C12+C13+C14+C15+C16+C17</f>
        <v>439.34875</v>
      </c>
      <c r="E17" s="970"/>
      <c r="F17" s="970"/>
      <c r="G17" s="970"/>
      <c r="H17" s="970"/>
      <c r="I17" s="89"/>
    </row>
    <row r="18" spans="1:10" x14ac:dyDescent="0.25">
      <c r="A18" s="970"/>
      <c r="B18" s="970">
        <f>SUM(B12:B17)</f>
        <v>150.00000000000003</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f>(3.5+2+1.1)*B5-B22</f>
        <v>16.479999999999997</v>
      </c>
      <c r="C21" s="965">
        <f>(3.3+7.5)*1.5-C22</f>
        <v>12.200000000000003</v>
      </c>
      <c r="D21" s="965">
        <f>(7.5+3.2)*B5-D22</f>
        <v>22.959999999999997</v>
      </c>
      <c r="E21" s="965">
        <f>(3.8+2.9)* B5-E22</f>
        <v>17.259999999999998</v>
      </c>
      <c r="F21" s="965">
        <f>3.3*B5-F25</f>
        <v>4.2399999999999984</v>
      </c>
      <c r="G21" s="965">
        <f>4.2* B5 +1.3*1.5-G25</f>
        <v>11.56</v>
      </c>
      <c r="H21" s="975">
        <f>B21+C21+D21+E21+F21+G21</f>
        <v>84.7</v>
      </c>
      <c r="I21" s="89"/>
      <c r="J21" s="924">
        <f>SUM(B21:E21)</f>
        <v>68.900000000000006</v>
      </c>
    </row>
    <row r="22" spans="1:10" ht="17.25" x14ac:dyDescent="0.25">
      <c r="A22" s="966" t="s">
        <v>236</v>
      </c>
      <c r="B22" s="965">
        <v>2</v>
      </c>
      <c r="C22" s="965">
        <v>4</v>
      </c>
      <c r="D22" s="965">
        <v>7</v>
      </c>
      <c r="E22" s="965">
        <v>1.5</v>
      </c>
      <c r="F22" s="965">
        <v>0</v>
      </c>
      <c r="G22" s="965">
        <v>0</v>
      </c>
      <c r="H22" s="975">
        <f t="shared" ref="H22:H27" si="0">B22+C22+D22+E22+F22+G22</f>
        <v>14.5</v>
      </c>
      <c r="I22" s="89"/>
      <c r="J22" s="924">
        <f t="shared" ref="J22:J27" si="1">SUM(B22:E22)</f>
        <v>14.5</v>
      </c>
    </row>
    <row r="23" spans="1:10" ht="17.25" x14ac:dyDescent="0.25">
      <c r="A23" s="966" t="s">
        <v>235</v>
      </c>
      <c r="B23" s="967">
        <v>0</v>
      </c>
      <c r="C23" s="967">
        <f>5.9*(7.5+3.3)</f>
        <v>63.720000000000006</v>
      </c>
      <c r="D23" s="967">
        <v>0</v>
      </c>
      <c r="E23" s="967">
        <f>5.9*2.9</f>
        <v>17.11</v>
      </c>
      <c r="F23" s="967">
        <v>0</v>
      </c>
      <c r="G23" s="967">
        <f>5.9*1.3</f>
        <v>7.6700000000000008</v>
      </c>
      <c r="H23" s="975">
        <f t="shared" si="0"/>
        <v>88.500000000000014</v>
      </c>
      <c r="I23" s="89"/>
      <c r="J23" s="924">
        <f t="shared" si="1"/>
        <v>80.830000000000013</v>
      </c>
    </row>
    <row r="24" spans="1:10" ht="17.25" x14ac:dyDescent="0.25">
      <c r="A24" s="966" t="s">
        <v>234</v>
      </c>
      <c r="B24" s="965">
        <v>27.72</v>
      </c>
      <c r="C24" s="965">
        <v>0</v>
      </c>
      <c r="D24" s="965">
        <v>27.63</v>
      </c>
      <c r="E24" s="965">
        <v>0</v>
      </c>
      <c r="F24" s="965">
        <v>23.76</v>
      </c>
      <c r="G24" s="965">
        <v>7.14</v>
      </c>
      <c r="H24" s="975">
        <f t="shared" si="0"/>
        <v>86.25</v>
      </c>
      <c r="I24" s="924">
        <f>H21+H22+H23+H24</f>
        <v>273.95000000000005</v>
      </c>
      <c r="J24" s="924">
        <f t="shared" si="1"/>
        <v>55.349999999999994</v>
      </c>
    </row>
    <row r="25" spans="1:10" ht="17.25" x14ac:dyDescent="0.25">
      <c r="A25" s="966" t="s">
        <v>233</v>
      </c>
      <c r="B25" s="965">
        <v>0</v>
      </c>
      <c r="C25" s="965">
        <v>0</v>
      </c>
      <c r="D25" s="965">
        <v>2.15</v>
      </c>
      <c r="E25" s="965">
        <v>0</v>
      </c>
      <c r="F25" s="965">
        <v>5</v>
      </c>
      <c r="G25" s="965">
        <v>2.15</v>
      </c>
      <c r="H25" s="975">
        <f t="shared" si="0"/>
        <v>9.3000000000000007</v>
      </c>
      <c r="I25" s="89"/>
      <c r="J25" s="924">
        <f t="shared" si="1"/>
        <v>2.15</v>
      </c>
    </row>
    <row r="26" spans="1:10" ht="17.25" x14ac:dyDescent="0.25">
      <c r="A26" s="966" t="s">
        <v>232</v>
      </c>
      <c r="B26" s="965">
        <v>0</v>
      </c>
      <c r="C26" s="965">
        <f>8.5*1.5 +4.25*3.5</f>
        <v>27.625</v>
      </c>
      <c r="D26" s="965">
        <f>4.3*B5</f>
        <v>12.04</v>
      </c>
      <c r="E26" s="965">
        <v>0</v>
      </c>
      <c r="F26" s="965">
        <f>7.2*B5</f>
        <v>20.16</v>
      </c>
      <c r="G26" s="965">
        <v>0</v>
      </c>
      <c r="H26" s="975">
        <f t="shared" si="0"/>
        <v>59.825000000000003</v>
      </c>
      <c r="I26" s="89"/>
      <c r="J26" s="924">
        <f t="shared" si="1"/>
        <v>39.664999999999999</v>
      </c>
    </row>
    <row r="27" spans="1:10" ht="17.25" customHeight="1" x14ac:dyDescent="0.25">
      <c r="A27" s="966" t="s">
        <v>231</v>
      </c>
      <c r="B27" s="965">
        <f>(4.2+6.6)*B5</f>
        <v>30.24</v>
      </c>
      <c r="C27" s="965">
        <f>(4.2*5)+(4.25*1.5)+4.25*3.5/2</f>
        <v>34.8125</v>
      </c>
      <c r="D27" s="965">
        <f>(3.3+1.1)*B5</f>
        <v>12.32</v>
      </c>
      <c r="E27" s="965">
        <f>(2.9*5) +(3.8*1.5)+(4.25*3.5)</f>
        <v>35.075000000000003</v>
      </c>
      <c r="F27" s="965">
        <f>(3.3+7.7)*B5</f>
        <v>30.799999999999997</v>
      </c>
      <c r="G27" s="965">
        <f>(4.2+1.7)*B5 +1.3*5+(4.25*1.5)+4.25*3.5</f>
        <v>44.269999999999996</v>
      </c>
      <c r="H27" s="975">
        <f t="shared" si="0"/>
        <v>187.51749999999998</v>
      </c>
      <c r="I27" s="89"/>
      <c r="J27" s="924">
        <f t="shared" si="1"/>
        <v>112.44750000000001</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I8" sqref="I8"/>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4.8*8*3</f>
        <v>115.19999999999999</v>
      </c>
      <c r="C2" s="970"/>
      <c r="D2" s="970"/>
      <c r="E2" s="970"/>
      <c r="F2" s="970" t="s">
        <v>348</v>
      </c>
      <c r="G2" s="970">
        <f>H22</f>
        <v>7</v>
      </c>
      <c r="H2" s="970"/>
      <c r="I2" s="89"/>
    </row>
    <row r="3" spans="1:9" ht="17.25" x14ac:dyDescent="0.25">
      <c r="A3" s="972" t="s">
        <v>259</v>
      </c>
      <c r="B3" s="967">
        <f xml:space="preserve"> 38.4</f>
        <v>38.4</v>
      </c>
      <c r="C3" s="970"/>
      <c r="D3" s="970"/>
      <c r="E3" s="970"/>
      <c r="F3" s="970" t="s">
        <v>349</v>
      </c>
      <c r="G3" s="970">
        <f>H25</f>
        <v>4.3</v>
      </c>
      <c r="H3" s="970"/>
      <c r="I3" s="89"/>
    </row>
    <row r="4" spans="1:9" x14ac:dyDescent="0.25">
      <c r="A4" s="972" t="s">
        <v>258</v>
      </c>
      <c r="B4" s="967">
        <f xml:space="preserve"> 3</f>
        <v>3</v>
      </c>
      <c r="C4" s="970"/>
      <c r="D4" s="970"/>
      <c r="E4" s="970"/>
      <c r="F4" s="970" t="s">
        <v>350</v>
      </c>
      <c r="G4" s="970">
        <f>H21</f>
        <v>42.459999999999994</v>
      </c>
      <c r="H4" s="970"/>
      <c r="I4" s="89"/>
    </row>
    <row r="5" spans="1:9" ht="17.25" x14ac:dyDescent="0.25">
      <c r="A5" s="972" t="s">
        <v>257</v>
      </c>
      <c r="B5" s="967">
        <f xml:space="preserve"> 2.8</f>
        <v>2.8</v>
      </c>
      <c r="C5" s="970"/>
      <c r="D5" s="970"/>
      <c r="E5" s="970"/>
      <c r="F5" s="970" t="s">
        <v>351</v>
      </c>
      <c r="G5" s="970">
        <f>H23</f>
        <v>43.295999999999999</v>
      </c>
      <c r="H5" s="970"/>
      <c r="I5" s="89"/>
    </row>
    <row r="6" spans="1:9" ht="17.25" x14ac:dyDescent="0.25">
      <c r="A6" s="972" t="s">
        <v>256</v>
      </c>
      <c r="B6" s="967">
        <f xml:space="preserve"> 2.8</f>
        <v>2.8</v>
      </c>
      <c r="C6" s="970"/>
      <c r="D6" s="970"/>
      <c r="E6" s="970"/>
      <c r="F6" s="970" t="s">
        <v>352</v>
      </c>
      <c r="G6" s="970">
        <f>B3</f>
        <v>38.4</v>
      </c>
      <c r="H6" s="970"/>
      <c r="I6" s="89"/>
    </row>
    <row r="7" spans="1:9" ht="17.25" x14ac:dyDescent="0.25">
      <c r="A7" s="972" t="s">
        <v>255</v>
      </c>
      <c r="B7" s="967">
        <f xml:space="preserve"> 2.15</f>
        <v>2.15</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4.5*3.9-0.9</f>
        <v>16.650000000000002</v>
      </c>
      <c r="C12" s="967">
        <f>B12*B5</f>
        <v>46.620000000000005</v>
      </c>
      <c r="D12" s="970"/>
      <c r="E12" s="970"/>
      <c r="F12" s="970"/>
      <c r="G12" s="970"/>
      <c r="H12" s="970"/>
      <c r="I12" s="89"/>
    </row>
    <row r="13" spans="1:9" ht="17.25" x14ac:dyDescent="0.25">
      <c r="A13" s="972" t="s">
        <v>249</v>
      </c>
      <c r="B13" s="967">
        <f>9.8+17.1</f>
        <v>26.900000000000002</v>
      </c>
      <c r="C13" s="967">
        <f>B13*B6</f>
        <v>75.320000000000007</v>
      </c>
      <c r="D13" s="970"/>
      <c r="E13" s="970"/>
      <c r="F13" s="970"/>
      <c r="G13" s="970"/>
      <c r="H13" s="970"/>
      <c r="I13" s="89"/>
    </row>
    <row r="14" spans="1:9" ht="17.25" x14ac:dyDescent="0.25">
      <c r="A14" s="972" t="s">
        <v>248</v>
      </c>
      <c r="B14" s="967">
        <f>2.4*3.5</f>
        <v>8.4</v>
      </c>
      <c r="C14" s="967">
        <f>B14*B5</f>
        <v>23.52</v>
      </c>
      <c r="D14" s="970"/>
      <c r="E14" s="970"/>
      <c r="F14" s="970"/>
      <c r="G14" s="970"/>
      <c r="H14" s="970"/>
      <c r="I14" s="89"/>
    </row>
    <row r="15" spans="1:9" ht="17.25" x14ac:dyDescent="0.25">
      <c r="A15" s="972" t="s">
        <v>247</v>
      </c>
      <c r="B15" s="967">
        <f>1.6*2</f>
        <v>3.2</v>
      </c>
      <c r="C15" s="967">
        <f>B15*B6</f>
        <v>8.9599999999999991</v>
      </c>
      <c r="D15" s="970"/>
      <c r="E15" s="970"/>
      <c r="F15" s="970"/>
      <c r="G15" s="970"/>
      <c r="H15" s="970"/>
      <c r="I15" s="89"/>
    </row>
    <row r="16" spans="1:9" ht="17.25" x14ac:dyDescent="0.25">
      <c r="A16" s="972" t="s">
        <v>246</v>
      </c>
      <c r="B16" s="967">
        <f>2.4*3.5 + 4.8*8</f>
        <v>46.8</v>
      </c>
      <c r="C16" s="967">
        <f>8.4*B5+2.15*4*4.8</f>
        <v>64.8</v>
      </c>
      <c r="D16" s="970"/>
      <c r="E16" s="970"/>
      <c r="F16" s="970"/>
      <c r="G16" s="970"/>
      <c r="H16" s="970"/>
      <c r="I16" s="89"/>
    </row>
    <row r="17" spans="1:10" ht="17.25" x14ac:dyDescent="0.25">
      <c r="A17" s="972" t="s">
        <v>245</v>
      </c>
      <c r="B17" s="967">
        <f>B2-B12-B13-B14-B15-B16</f>
        <v>13.249999999999979</v>
      </c>
      <c r="C17" s="967">
        <f>B17*B5</f>
        <v>37.099999999999937</v>
      </c>
      <c r="D17" s="970">
        <f>C12+C13+C14+C15+C16+C17</f>
        <v>256.31999999999994</v>
      </c>
      <c r="E17" s="970"/>
      <c r="F17" s="970"/>
      <c r="G17" s="970"/>
      <c r="H17" s="970"/>
      <c r="I17" s="89"/>
    </row>
    <row r="18" spans="1:10" x14ac:dyDescent="0.25">
      <c r="A18" s="970"/>
      <c r="B18" s="970">
        <f>SUM(B12:B17)</f>
        <v>115.19999999999999</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f>3* B5-B22-B25</f>
        <v>6.3999999999999986</v>
      </c>
      <c r="C21" s="965">
        <f>(2.8+3.8)*B5-C22</f>
        <v>15.479999999999997</v>
      </c>
      <c r="D21" s="965">
        <f>2.4* B5-D22</f>
        <v>5.72</v>
      </c>
      <c r="E21" s="965">
        <f>2* B5-E22</f>
        <v>4.5999999999999996</v>
      </c>
      <c r="F21" s="965">
        <f>2.4*B5-F22-F25</f>
        <v>4.57</v>
      </c>
      <c r="G21" s="965">
        <f>2.8*B5-G25</f>
        <v>5.6899999999999995</v>
      </c>
      <c r="H21" s="975">
        <f>B21+C21+D21+E21+F21+G21</f>
        <v>42.459999999999994</v>
      </c>
      <c r="I21" s="89"/>
      <c r="J21" s="924">
        <f>SUM(B21:E21)</f>
        <v>32.199999999999996</v>
      </c>
    </row>
    <row r="22" spans="1:10" ht="17.25" x14ac:dyDescent="0.25">
      <c r="A22" s="966" t="s">
        <v>236</v>
      </c>
      <c r="B22" s="965">
        <v>2</v>
      </c>
      <c r="C22" s="965">
        <v>3</v>
      </c>
      <c r="D22" s="965">
        <v>1</v>
      </c>
      <c r="E22" s="965">
        <v>1</v>
      </c>
      <c r="F22" s="965">
        <v>0</v>
      </c>
      <c r="G22" s="965">
        <v>0</v>
      </c>
      <c r="H22" s="975">
        <f t="shared" ref="H22:H27" si="0">B22+C22+D22+E22+F22+G22</f>
        <v>7</v>
      </c>
      <c r="I22" s="89"/>
      <c r="J22" s="924">
        <f t="shared" ref="J22:J27" si="1">SUM(B22:E22)</f>
        <v>7</v>
      </c>
    </row>
    <row r="23" spans="1:10" ht="17.25" x14ac:dyDescent="0.25">
      <c r="A23" s="966" t="s">
        <v>235</v>
      </c>
      <c r="B23" s="965">
        <v>0</v>
      </c>
      <c r="C23" s="965">
        <v>0</v>
      </c>
      <c r="D23" s="965">
        <v>0</v>
      </c>
      <c r="E23" s="965">
        <v>0</v>
      </c>
      <c r="F23" s="967">
        <f>4.51*4.8*2</f>
        <v>43.295999999999999</v>
      </c>
      <c r="G23" s="967">
        <v>0</v>
      </c>
      <c r="H23" s="975">
        <f t="shared" si="0"/>
        <v>43.295999999999999</v>
      </c>
      <c r="I23" s="89"/>
      <c r="J23" s="924">
        <f t="shared" si="1"/>
        <v>0</v>
      </c>
    </row>
    <row r="24" spans="1:10" ht="17.25" x14ac:dyDescent="0.25">
      <c r="A24" s="966" t="s">
        <v>234</v>
      </c>
      <c r="B24" s="965">
        <v>16.649999999999999</v>
      </c>
      <c r="C24" s="965">
        <v>0</v>
      </c>
      <c r="D24" s="965">
        <v>8.4</v>
      </c>
      <c r="E24" s="965">
        <v>0</v>
      </c>
      <c r="F24" s="965">
        <v>8.4</v>
      </c>
      <c r="G24" s="965">
        <v>0</v>
      </c>
      <c r="H24" s="975">
        <f t="shared" si="0"/>
        <v>33.449999999999996</v>
      </c>
      <c r="I24" s="924">
        <f>H21+H22+H23+H24</f>
        <v>126.20599999999999</v>
      </c>
      <c r="J24" s="924">
        <f t="shared" si="1"/>
        <v>25.049999999999997</v>
      </c>
    </row>
    <row r="25" spans="1:10" ht="17.25" x14ac:dyDescent="0.25">
      <c r="A25" s="966" t="s">
        <v>233</v>
      </c>
      <c r="B25" s="965">
        <v>0</v>
      </c>
      <c r="C25" s="965">
        <v>0</v>
      </c>
      <c r="D25" s="965">
        <v>0</v>
      </c>
      <c r="E25" s="965">
        <v>0</v>
      </c>
      <c r="F25" s="965">
        <v>2.15</v>
      </c>
      <c r="G25" s="965">
        <v>2.15</v>
      </c>
      <c r="H25" s="975">
        <f t="shared" si="0"/>
        <v>4.3</v>
      </c>
      <c r="I25" s="89"/>
      <c r="J25" s="924">
        <f t="shared" si="1"/>
        <v>0</v>
      </c>
    </row>
    <row r="26" spans="1:10" ht="17.25" x14ac:dyDescent="0.25">
      <c r="A26" s="966" t="s">
        <v>232</v>
      </c>
      <c r="B26" s="965">
        <f>4.5*B5</f>
        <v>12.6</v>
      </c>
      <c r="C26" s="965">
        <f>8*B6</f>
        <v>22.4</v>
      </c>
      <c r="D26" s="965">
        <f>3.5* B5</f>
        <v>9.7999999999999989</v>
      </c>
      <c r="E26" s="965">
        <f>1.6* B6</f>
        <v>4.4799999999999995</v>
      </c>
      <c r="F26" s="965">
        <f>3.5* B5 +4*2.15*2</f>
        <v>27</v>
      </c>
      <c r="G26" s="965">
        <f>4.5* B5 +6.4*B6</f>
        <v>30.519999999999996</v>
      </c>
      <c r="H26" s="975">
        <f t="shared" si="0"/>
        <v>106.8</v>
      </c>
      <c r="I26" s="89"/>
      <c r="J26" s="924">
        <f t="shared" si="1"/>
        <v>49.279999999999994</v>
      </c>
    </row>
    <row r="27" spans="1:10" ht="17.25" customHeight="1" x14ac:dyDescent="0.25">
      <c r="A27" s="966" t="s">
        <v>231</v>
      </c>
      <c r="B27" s="965">
        <f>(3.9+4.5+0.9)*B6</f>
        <v>26.04</v>
      </c>
      <c r="C27" s="965">
        <f>(8+0.9)*B6</f>
        <v>24.919999999999998</v>
      </c>
      <c r="D27" s="965">
        <f>(2.4+3.5)*B5</f>
        <v>16.52</v>
      </c>
      <c r="E27" s="965">
        <f>(2+1.6)*B6</f>
        <v>10.08</v>
      </c>
      <c r="F27" s="965">
        <f>(3.5+2.4)*B5</f>
        <v>16.52</v>
      </c>
      <c r="G27" s="965">
        <f>(4.5+0.9)*B5+(4.5+1.9+2+0.9)*B5</f>
        <v>41.16</v>
      </c>
      <c r="H27" s="975">
        <f t="shared" si="0"/>
        <v>135.23999999999998</v>
      </c>
      <c r="I27" s="89"/>
      <c r="J27" s="924">
        <f t="shared" si="1"/>
        <v>77.559999999999988</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F1" sqref="F1:G9"/>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1/2*( 9.5*11.35*4)</f>
        <v>215.65</v>
      </c>
      <c r="C2" s="970"/>
      <c r="D2" s="970"/>
      <c r="E2" s="970"/>
      <c r="F2" s="970" t="s">
        <v>348</v>
      </c>
      <c r="G2" s="970">
        <f>H22</f>
        <v>62.730000000000004</v>
      </c>
      <c r="H2" s="970"/>
      <c r="I2" s="89"/>
    </row>
    <row r="3" spans="1:9" ht="17.25" x14ac:dyDescent="0.25">
      <c r="A3" s="972" t="s">
        <v>259</v>
      </c>
      <c r="B3" s="967">
        <f xml:space="preserve"> 107.8/2</f>
        <v>53.9</v>
      </c>
      <c r="C3" s="970"/>
      <c r="D3" s="970"/>
      <c r="E3" s="970"/>
      <c r="F3" s="970" t="s">
        <v>349</v>
      </c>
      <c r="G3" s="970">
        <f>H25</f>
        <v>4.3</v>
      </c>
      <c r="H3" s="970"/>
      <c r="I3" s="89"/>
    </row>
    <row r="4" spans="1:9" x14ac:dyDescent="0.25">
      <c r="A4" s="972" t="s">
        <v>258</v>
      </c>
      <c r="B4" s="967">
        <f>4</f>
        <v>4</v>
      </c>
      <c r="C4" s="970"/>
      <c r="D4" s="970"/>
      <c r="E4" s="970"/>
      <c r="F4" s="970" t="s">
        <v>350</v>
      </c>
      <c r="G4" s="970">
        <f>H21</f>
        <v>103.97</v>
      </c>
      <c r="H4" s="970"/>
      <c r="I4" s="89"/>
    </row>
    <row r="5" spans="1:9" ht="17.25" x14ac:dyDescent="0.25">
      <c r="A5" s="972" t="s">
        <v>257</v>
      </c>
      <c r="B5" s="967">
        <f xml:space="preserve"> 3</f>
        <v>3</v>
      </c>
      <c r="C5" s="970"/>
      <c r="D5" s="970"/>
      <c r="E5" s="970"/>
      <c r="F5" s="970" t="s">
        <v>351</v>
      </c>
      <c r="G5" s="970">
        <f>H23</f>
        <v>117.8</v>
      </c>
      <c r="H5" s="970"/>
      <c r="I5" s="89"/>
    </row>
    <row r="6" spans="1:9" ht="17.25" x14ac:dyDescent="0.25">
      <c r="A6" s="972" t="s">
        <v>256</v>
      </c>
      <c r="B6" s="967">
        <f xml:space="preserve"> 3</f>
        <v>3</v>
      </c>
      <c r="C6" s="970"/>
      <c r="D6" s="970"/>
      <c r="E6" s="970"/>
      <c r="F6" s="970" t="s">
        <v>352</v>
      </c>
      <c r="G6" s="970">
        <f>B3</f>
        <v>53.9</v>
      </c>
      <c r="H6" s="970"/>
      <c r="I6" s="89"/>
    </row>
    <row r="7" spans="1:9" ht="17.25" x14ac:dyDescent="0.25">
      <c r="A7" s="972" t="s">
        <v>255</v>
      </c>
      <c r="B7" s="967">
        <f xml:space="preserve"> 3</f>
        <v>3</v>
      </c>
      <c r="C7" s="970"/>
      <c r="D7" s="970"/>
      <c r="E7" s="970"/>
      <c r="F7" s="970" t="s">
        <v>353</v>
      </c>
      <c r="G7" s="970">
        <v>0</v>
      </c>
      <c r="H7" s="970"/>
      <c r="I7" s="89"/>
    </row>
    <row r="8" spans="1:9" ht="17.25" x14ac:dyDescent="0.25">
      <c r="A8" s="972" t="s">
        <v>263</v>
      </c>
      <c r="B8" s="967">
        <f>2.5</f>
        <v>2.5</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1/2*(2*11.35*4.6 + 3*5 +4.9*5)</f>
        <v>71.959999999999994</v>
      </c>
      <c r="C12" s="967">
        <f>B12*B$5</f>
        <v>215.88</v>
      </c>
      <c r="D12" s="970"/>
      <c r="E12" s="970"/>
      <c r="F12" s="970"/>
      <c r="G12" s="970"/>
      <c r="H12" s="970"/>
      <c r="I12" s="89"/>
    </row>
    <row r="13" spans="1:9" ht="17.25" x14ac:dyDescent="0.25">
      <c r="A13" s="972" t="s">
        <v>249</v>
      </c>
      <c r="B13" s="967">
        <f>1/2*(11.35*4.6 +4.9*5)</f>
        <v>38.354999999999997</v>
      </c>
      <c r="C13" s="967">
        <f>B13*B7</f>
        <v>115.065</v>
      </c>
      <c r="D13" s="970"/>
      <c r="E13" s="970"/>
      <c r="F13" s="970"/>
      <c r="G13" s="970"/>
      <c r="H13" s="970"/>
      <c r="I13" s="89"/>
    </row>
    <row r="14" spans="1:9" ht="17.25" x14ac:dyDescent="0.25">
      <c r="A14" s="972" t="s">
        <v>248</v>
      </c>
      <c r="B14" s="967">
        <f>1/2*(2.5*2.7)</f>
        <v>3.375</v>
      </c>
      <c r="C14" s="967">
        <f>B14*B6</f>
        <v>10.125</v>
      </c>
      <c r="D14" s="970"/>
      <c r="E14" s="970"/>
      <c r="F14" s="970"/>
      <c r="G14" s="970"/>
      <c r="H14" s="970"/>
      <c r="I14" s="89"/>
    </row>
    <row r="15" spans="1:9" ht="17.25" x14ac:dyDescent="0.25">
      <c r="A15" s="972" t="s">
        <v>247</v>
      </c>
      <c r="B15" s="967">
        <f>1/2*(1*3.65)</f>
        <v>1.825</v>
      </c>
      <c r="C15" s="967">
        <f>B15*B7</f>
        <v>5.4749999999999996</v>
      </c>
      <c r="D15" s="970"/>
      <c r="E15" s="970"/>
      <c r="F15" s="970"/>
      <c r="G15" s="970"/>
      <c r="H15" s="970"/>
      <c r="I15" s="89"/>
    </row>
    <row r="16" spans="1:9" ht="17.25" x14ac:dyDescent="0.25">
      <c r="A16" s="972" t="s">
        <v>246</v>
      </c>
      <c r="B16" s="967">
        <f>1/2*(107.25)</f>
        <v>53.625</v>
      </c>
      <c r="C16" s="967">
        <f>2.5*5.675*9.5</f>
        <v>134.78125</v>
      </c>
      <c r="D16" s="970"/>
      <c r="E16" s="970"/>
      <c r="F16" s="970"/>
      <c r="G16" s="970"/>
      <c r="H16" s="970"/>
      <c r="I16" s="89"/>
    </row>
    <row r="17" spans="1:10" ht="17.25" x14ac:dyDescent="0.25">
      <c r="A17" s="972" t="s">
        <v>245</v>
      </c>
      <c r="B17" s="967">
        <f>B2-B12-B13-B14-B15-B16</f>
        <v>46.510000000000005</v>
      </c>
      <c r="C17" s="967">
        <f>B17*B5</f>
        <v>139.53000000000003</v>
      </c>
      <c r="D17" s="970">
        <f>C12+C13+C14+C15+C16+C17</f>
        <v>620.85625000000005</v>
      </c>
      <c r="E17" s="970"/>
      <c r="F17" s="970"/>
      <c r="G17" s="970"/>
      <c r="H17" s="970"/>
      <c r="I17" s="89"/>
    </row>
    <row r="18" spans="1:10" x14ac:dyDescent="0.25">
      <c r="A18" s="970"/>
      <c r="B18" s="970">
        <f>SUM(B12:B17)</f>
        <v>215.64999999999998</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7">
        <f>(2*4.6+3+4.6+9.5)* B5-B22</f>
        <v>54.559999999999988</v>
      </c>
      <c r="C21" s="967">
        <f>(4.6+9.5+2.5)* B7-C22</f>
        <v>32.660000000000004</v>
      </c>
      <c r="D21" s="967">
        <f>2.5*B6-D22</f>
        <v>3.73</v>
      </c>
      <c r="E21" s="965">
        <v>0</v>
      </c>
      <c r="F21" s="965">
        <v>0</v>
      </c>
      <c r="G21" s="967">
        <f>(4.9+1.9+2.4+2.4)* B5-G22-G25</f>
        <v>13.020000000000003</v>
      </c>
      <c r="H21" s="975">
        <f>B21+C21+D21+E21+F21+G21</f>
        <v>103.97</v>
      </c>
      <c r="I21" s="89"/>
      <c r="J21" s="924">
        <f>SUM(B21:E21)</f>
        <v>90.95</v>
      </c>
    </row>
    <row r="22" spans="1:10" ht="17.25" x14ac:dyDescent="0.25">
      <c r="A22" s="966" t="s">
        <v>236</v>
      </c>
      <c r="B22" s="967">
        <f>2*3.77 + 7*2.4</f>
        <v>24.34</v>
      </c>
      <c r="C22" s="967">
        <f>2*3.77+4*2.4</f>
        <v>17.14</v>
      </c>
      <c r="D22" s="967">
        <f>3.77</f>
        <v>3.77</v>
      </c>
      <c r="E22" s="965">
        <v>0</v>
      </c>
      <c r="F22" s="965">
        <v>0</v>
      </c>
      <c r="G22" s="967">
        <f>4*3.77 + 2.4</f>
        <v>17.48</v>
      </c>
      <c r="H22" s="975">
        <f t="shared" ref="H22:H27" si="0">B22+C22+D22+E22+F22+G22</f>
        <v>62.730000000000004</v>
      </c>
      <c r="I22" s="89"/>
      <c r="J22" s="924">
        <f t="shared" ref="J22:J27" si="1">SUM(B22:E22)</f>
        <v>45.250000000000007</v>
      </c>
    </row>
    <row r="23" spans="1:10" ht="17.25" x14ac:dyDescent="0.25">
      <c r="A23" s="966" t="s">
        <v>235</v>
      </c>
      <c r="B23" s="965">
        <v>0</v>
      </c>
      <c r="C23" s="965">
        <v>0</v>
      </c>
      <c r="D23" s="965">
        <v>0</v>
      </c>
      <c r="E23" s="965">
        <v>0</v>
      </c>
      <c r="F23" s="967">
        <f>(6.2*9.5)*2</f>
        <v>117.8</v>
      </c>
      <c r="G23" s="967">
        <v>0</v>
      </c>
      <c r="H23" s="975">
        <f t="shared" si="0"/>
        <v>117.8</v>
      </c>
      <c r="I23" s="89"/>
      <c r="J23" s="924">
        <f t="shared" si="1"/>
        <v>0</v>
      </c>
    </row>
    <row r="24" spans="1:10" ht="17.25" x14ac:dyDescent="0.25">
      <c r="A24" s="966" t="s">
        <v>234</v>
      </c>
      <c r="B24" s="965">
        <v>52.21</v>
      </c>
      <c r="C24" s="965">
        <v>0</v>
      </c>
      <c r="D24" s="965">
        <v>0</v>
      </c>
      <c r="E24" s="965">
        <v>0</v>
      </c>
      <c r="F24" s="965">
        <v>0</v>
      </c>
      <c r="G24" s="965">
        <v>55.59</v>
      </c>
      <c r="H24" s="975">
        <f t="shared" si="0"/>
        <v>107.80000000000001</v>
      </c>
      <c r="I24" s="924">
        <f>H21+H22+H23+H24</f>
        <v>392.3</v>
      </c>
      <c r="J24" s="924">
        <f t="shared" si="1"/>
        <v>52.21</v>
      </c>
    </row>
    <row r="25" spans="1:10" ht="17.25" x14ac:dyDescent="0.25">
      <c r="A25" s="966" t="s">
        <v>233</v>
      </c>
      <c r="B25" s="981">
        <v>0</v>
      </c>
      <c r="C25" s="981">
        <v>0</v>
      </c>
      <c r="D25" s="981">
        <v>0</v>
      </c>
      <c r="E25" s="981">
        <v>0</v>
      </c>
      <c r="F25" s="981">
        <v>0</v>
      </c>
      <c r="G25" s="981">
        <v>4.3</v>
      </c>
      <c r="H25" s="975">
        <f t="shared" si="0"/>
        <v>4.3</v>
      </c>
      <c r="I25" s="89"/>
      <c r="J25" s="924">
        <f t="shared" si="1"/>
        <v>0</v>
      </c>
    </row>
    <row r="26" spans="1:10" ht="17.25" x14ac:dyDescent="0.25">
      <c r="A26" s="966" t="s">
        <v>232</v>
      </c>
      <c r="B26" s="965">
        <f>2*11.35* B5+5*B5</f>
        <v>83.1</v>
      </c>
      <c r="C26" s="965">
        <f>11.35* B7 +(5+2.7)*B7</f>
        <v>57.15</v>
      </c>
      <c r="D26" s="965">
        <f>2.7*B6</f>
        <v>8.1000000000000014</v>
      </c>
      <c r="E26" s="965">
        <f>3.65* B7</f>
        <v>10.95</v>
      </c>
      <c r="F26" s="965">
        <f>(2.5*5.675)*2</f>
        <v>28.375</v>
      </c>
      <c r="G26" s="965">
        <f>11.35* B5+3.65* B7</f>
        <v>45</v>
      </c>
      <c r="H26" s="975">
        <f t="shared" si="0"/>
        <v>232.67499999999998</v>
      </c>
      <c r="I26" s="89"/>
      <c r="J26" s="924">
        <f t="shared" si="1"/>
        <v>159.29999999999998</v>
      </c>
    </row>
    <row r="27" spans="1:10" ht="17.25" customHeight="1" x14ac:dyDescent="0.25">
      <c r="A27" s="966" t="s">
        <v>231</v>
      </c>
      <c r="B27" s="979">
        <f>(6.35+3)* B5+(6.35+4.9)*B6</f>
        <v>61.8</v>
      </c>
      <c r="C27" s="979">
        <f>(6.35+4.9)*B7+(2.5+2.7)*B7</f>
        <v>49.35</v>
      </c>
      <c r="D27" s="980">
        <f>(2.5+2.7)*B6</f>
        <v>15.600000000000001</v>
      </c>
      <c r="E27" s="980">
        <f>(3.65+2*1)*B7</f>
        <v>16.950000000000003</v>
      </c>
      <c r="F27" s="980">
        <v>0</v>
      </c>
      <c r="G27" s="979">
        <f>(11.35+3)*B5+(6.35+4.9+2.5+2.7)*B6+(6.35+3.9+1.5+2.7)*B6</f>
        <v>135.75</v>
      </c>
      <c r="H27" s="975">
        <f t="shared" si="0"/>
        <v>279.45</v>
      </c>
      <c r="I27" s="89"/>
      <c r="J27" s="924">
        <f t="shared" si="1"/>
        <v>143.69999999999999</v>
      </c>
    </row>
    <row r="28" spans="1:10" x14ac:dyDescent="0.25">
      <c r="B28" s="964"/>
      <c r="E28" s="964"/>
      <c r="F28" s="964"/>
    </row>
    <row r="29" spans="1:10" x14ac:dyDescent="0.25">
      <c r="B29" s="931"/>
      <c r="C29" s="931"/>
      <c r="D29" s="931"/>
      <c r="E29" s="931"/>
      <c r="F29" s="931"/>
      <c r="G29" s="931"/>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J12" sqref="J12"/>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c r="B1" s="89"/>
      <c r="C1" s="89"/>
      <c r="D1" s="89"/>
      <c r="E1" s="89"/>
      <c r="F1" s="89"/>
      <c r="G1" s="89"/>
    </row>
    <row r="2" spans="1:9" ht="17.25" x14ac:dyDescent="0.25">
      <c r="A2" s="972" t="s">
        <v>260</v>
      </c>
      <c r="B2" s="967">
        <f xml:space="preserve"> 105 + 2*87.5 +70</f>
        <v>350</v>
      </c>
      <c r="C2" s="970"/>
      <c r="D2" s="970"/>
      <c r="E2" s="970"/>
      <c r="F2" s="970" t="s">
        <v>348</v>
      </c>
      <c r="G2" s="970">
        <f>H22</f>
        <v>42</v>
      </c>
      <c r="H2" s="970"/>
      <c r="I2" s="89"/>
    </row>
    <row r="3" spans="1:9" ht="17.25" x14ac:dyDescent="0.25">
      <c r="A3" s="972" t="s">
        <v>259</v>
      </c>
      <c r="B3" s="967">
        <f xml:space="preserve"> 105</f>
        <v>105</v>
      </c>
      <c r="C3" s="970"/>
      <c r="D3" s="970"/>
      <c r="E3" s="970"/>
      <c r="F3" s="970" t="s">
        <v>349</v>
      </c>
      <c r="G3" s="970">
        <f>H25</f>
        <v>2.15</v>
      </c>
      <c r="H3" s="970"/>
      <c r="I3" s="89"/>
    </row>
    <row r="4" spans="1:9" x14ac:dyDescent="0.25">
      <c r="A4" s="972" t="s">
        <v>258</v>
      </c>
      <c r="B4" s="967">
        <f xml:space="preserve"> 4</f>
        <v>4</v>
      </c>
      <c r="C4" s="970"/>
      <c r="D4" s="970"/>
      <c r="E4" s="970"/>
      <c r="F4" s="970" t="s">
        <v>350</v>
      </c>
      <c r="G4" s="970">
        <f>H21</f>
        <v>112.64999999999998</v>
      </c>
      <c r="H4" s="970"/>
      <c r="I4" s="89"/>
    </row>
    <row r="5" spans="1:9" ht="17.25" x14ac:dyDescent="0.25">
      <c r="A5" s="972" t="s">
        <v>257</v>
      </c>
      <c r="B5" s="967">
        <f xml:space="preserve"> 2.8</f>
        <v>2.8</v>
      </c>
      <c r="C5" s="970"/>
      <c r="D5" s="970"/>
      <c r="E5" s="970"/>
      <c r="F5" s="970" t="s">
        <v>351</v>
      </c>
      <c r="G5" s="970">
        <f>H23</f>
        <v>105</v>
      </c>
      <c r="H5" s="970"/>
      <c r="I5" s="89"/>
    </row>
    <row r="6" spans="1:9" ht="17.25" x14ac:dyDescent="0.25">
      <c r="A6" s="972" t="s">
        <v>256</v>
      </c>
      <c r="B6" s="967">
        <f xml:space="preserve"> 2.8</f>
        <v>2.8</v>
      </c>
      <c r="C6" s="970"/>
      <c r="D6" s="970"/>
      <c r="E6" s="970"/>
      <c r="F6" s="970" t="s">
        <v>352</v>
      </c>
      <c r="G6" s="970">
        <f>B3</f>
        <v>105</v>
      </c>
      <c r="H6" s="970"/>
      <c r="I6" s="89"/>
    </row>
    <row r="7" spans="1:9" ht="17.25" x14ac:dyDescent="0.25">
      <c r="A7" s="972" t="s">
        <v>255</v>
      </c>
      <c r="B7" s="967">
        <f xml:space="preserve"> 2.8</f>
        <v>2.8</v>
      </c>
      <c r="C7" s="970"/>
      <c r="D7" s="970"/>
      <c r="E7" s="970"/>
      <c r="F7" s="970" t="s">
        <v>353</v>
      </c>
      <c r="G7" s="970">
        <v>0</v>
      </c>
      <c r="H7" s="970"/>
      <c r="I7" s="89"/>
    </row>
    <row r="8" spans="1:9" ht="17.25" x14ac:dyDescent="0.25">
      <c r="A8" s="972" t="s">
        <v>263</v>
      </c>
      <c r="B8" s="967">
        <f xml:space="preserve"> 2.8</f>
        <v>2.8</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35+24+37.5</f>
        <v>96.5</v>
      </c>
      <c r="C12" s="967">
        <f t="shared" ref="C12:C17" si="0">B12*B$5</f>
        <v>270.2</v>
      </c>
      <c r="D12" s="970"/>
      <c r="E12" s="970"/>
      <c r="F12" s="970"/>
      <c r="G12" s="970"/>
      <c r="H12" s="970"/>
      <c r="I12" s="89"/>
    </row>
    <row r="13" spans="1:9" ht="17.25" x14ac:dyDescent="0.25">
      <c r="A13" s="972" t="s">
        <v>249</v>
      </c>
      <c r="B13" s="967">
        <f>24.5+35+24</f>
        <v>83.5</v>
      </c>
      <c r="C13" s="967">
        <f t="shared" si="0"/>
        <v>233.79999999999998</v>
      </c>
      <c r="D13" s="970"/>
      <c r="E13" s="970"/>
      <c r="F13" s="970"/>
      <c r="G13" s="970"/>
      <c r="H13" s="970"/>
      <c r="I13" s="89"/>
    </row>
    <row r="14" spans="1:9" ht="17.25" x14ac:dyDescent="0.25">
      <c r="A14" s="972" t="s">
        <v>248</v>
      </c>
      <c r="B14" s="967">
        <f>24.5</f>
        <v>24.5</v>
      </c>
      <c r="C14" s="967">
        <f t="shared" si="0"/>
        <v>68.599999999999994</v>
      </c>
      <c r="D14" s="970"/>
      <c r="E14" s="970"/>
      <c r="F14" s="970"/>
      <c r="G14" s="970"/>
      <c r="H14" s="970"/>
      <c r="I14" s="89"/>
    </row>
    <row r="15" spans="1:9" ht="17.25" x14ac:dyDescent="0.25">
      <c r="A15" s="972" t="s">
        <v>247</v>
      </c>
      <c r="B15" s="967">
        <f>7+17.5</f>
        <v>24.5</v>
      </c>
      <c r="C15" s="967">
        <f t="shared" si="0"/>
        <v>68.599999999999994</v>
      </c>
      <c r="D15" s="970"/>
      <c r="E15" s="970"/>
      <c r="F15" s="970"/>
      <c r="G15" s="970"/>
      <c r="H15" s="970"/>
      <c r="I15" s="89"/>
    </row>
    <row r="16" spans="1:9" ht="17.25" x14ac:dyDescent="0.25">
      <c r="A16" s="972" t="s">
        <v>246</v>
      </c>
      <c r="B16" s="967">
        <f>17.5+7+7.5+45</f>
        <v>77</v>
      </c>
      <c r="C16" s="967">
        <f t="shared" si="0"/>
        <v>215.6</v>
      </c>
      <c r="D16" s="970"/>
      <c r="E16" s="970"/>
      <c r="F16" s="970"/>
      <c r="G16" s="970"/>
      <c r="H16" s="970"/>
      <c r="I16" s="89"/>
    </row>
    <row r="17" spans="1:10" ht="17.25" x14ac:dyDescent="0.25">
      <c r="A17" s="972" t="s">
        <v>245</v>
      </c>
      <c r="B17" s="967">
        <f>B2-B12-B13-B14-B15-B16</f>
        <v>44</v>
      </c>
      <c r="C17" s="967">
        <f t="shared" si="0"/>
        <v>123.19999999999999</v>
      </c>
      <c r="D17" s="970">
        <f>C12+C13+C14+C15+C16+C17</f>
        <v>980</v>
      </c>
      <c r="E17" s="970"/>
      <c r="F17" s="970"/>
      <c r="G17" s="970"/>
      <c r="H17" s="970"/>
      <c r="I17" s="89"/>
    </row>
    <row r="18" spans="1:10" x14ac:dyDescent="0.25">
      <c r="A18" s="970"/>
      <c r="B18" s="970">
        <f>SUM(B12:B17)</f>
        <v>350</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77">
        <f>14*B5-B22</f>
        <v>30.699999999999996</v>
      </c>
      <c r="C21" s="977">
        <f>14*B5-C22</f>
        <v>22.199999999999996</v>
      </c>
      <c r="D21" s="977">
        <f>7*B5-D22</f>
        <v>10.099999999999998</v>
      </c>
      <c r="E21" s="977">
        <f>5* B5-E22</f>
        <v>12</v>
      </c>
      <c r="F21" s="977">
        <f>(7+4.5+2)*B5-F22</f>
        <v>32.799999999999997</v>
      </c>
      <c r="G21" s="977">
        <f>(2.5)*B5-G25</f>
        <v>4.8499999999999996</v>
      </c>
      <c r="H21" s="975">
        <f>B21+C21+D21+E21+F21+G21</f>
        <v>112.64999999999998</v>
      </c>
      <c r="I21" s="89"/>
      <c r="J21" s="924">
        <f>SUM(B21:E21)</f>
        <v>74.999999999999986</v>
      </c>
    </row>
    <row r="22" spans="1:10" ht="17.25" x14ac:dyDescent="0.25">
      <c r="A22" s="966" t="s">
        <v>236</v>
      </c>
      <c r="B22" s="977">
        <v>8.5</v>
      </c>
      <c r="C22" s="977">
        <v>17</v>
      </c>
      <c r="D22" s="977">
        <v>9.5</v>
      </c>
      <c r="E22" s="977">
        <v>2</v>
      </c>
      <c r="F22" s="977">
        <v>5</v>
      </c>
      <c r="G22" s="977">
        <v>0</v>
      </c>
      <c r="H22" s="975">
        <f t="shared" ref="H22:H27" si="1">B22+C22+D22+E22+F22+G22</f>
        <v>42</v>
      </c>
      <c r="I22" s="89"/>
      <c r="J22" s="924">
        <f t="shared" ref="J22:J27" si="2">SUM(B22:E22)</f>
        <v>37</v>
      </c>
    </row>
    <row r="23" spans="1:10" ht="17.25" x14ac:dyDescent="0.25">
      <c r="A23" s="966" t="s">
        <v>235</v>
      </c>
      <c r="B23" s="977">
        <v>0</v>
      </c>
      <c r="C23" s="977">
        <f>24+7*2.5</f>
        <v>41.5</v>
      </c>
      <c r="D23" s="977">
        <v>0</v>
      </c>
      <c r="E23" s="977">
        <v>17.5</v>
      </c>
      <c r="F23" s="977">
        <f>24.5+17.5</f>
        <v>42</v>
      </c>
      <c r="G23" s="977">
        <v>4</v>
      </c>
      <c r="H23" s="975">
        <f t="shared" si="1"/>
        <v>105</v>
      </c>
      <c r="I23" s="89"/>
      <c r="J23" s="924">
        <f t="shared" si="2"/>
        <v>59</v>
      </c>
    </row>
    <row r="24" spans="1:10" ht="17.25" x14ac:dyDescent="0.25">
      <c r="A24" s="966" t="s">
        <v>234</v>
      </c>
      <c r="B24" s="977">
        <v>37.5</v>
      </c>
      <c r="C24" s="977">
        <v>0</v>
      </c>
      <c r="D24" s="977">
        <v>0</v>
      </c>
      <c r="E24" s="977">
        <v>0</v>
      </c>
      <c r="F24" s="977">
        <v>45</v>
      </c>
      <c r="G24" s="977">
        <f>9*2.5</f>
        <v>22.5</v>
      </c>
      <c r="H24" s="975">
        <f t="shared" si="1"/>
        <v>105</v>
      </c>
      <c r="I24" s="924">
        <f>H21+H22+H23+H24</f>
        <v>364.65</v>
      </c>
      <c r="J24" s="924">
        <f t="shared" si="2"/>
        <v>37.5</v>
      </c>
    </row>
    <row r="25" spans="1:10" ht="17.25" x14ac:dyDescent="0.25">
      <c r="A25" s="966" t="s">
        <v>233</v>
      </c>
      <c r="B25" s="977">
        <v>0</v>
      </c>
      <c r="C25" s="977">
        <v>0</v>
      </c>
      <c r="D25" s="977">
        <v>0</v>
      </c>
      <c r="E25" s="977">
        <v>0</v>
      </c>
      <c r="F25" s="977">
        <v>0</v>
      </c>
      <c r="G25" s="977">
        <v>2.15</v>
      </c>
      <c r="H25" s="975">
        <f t="shared" si="1"/>
        <v>2.15</v>
      </c>
      <c r="I25" s="89"/>
      <c r="J25" s="924">
        <f t="shared" si="2"/>
        <v>0</v>
      </c>
    </row>
    <row r="26" spans="1:10" ht="17.25" x14ac:dyDescent="0.25">
      <c r="A26" s="966" t="s">
        <v>232</v>
      </c>
      <c r="B26" s="977">
        <f>(6+5+5+9)*B5</f>
        <v>70</v>
      </c>
      <c r="C26" s="977">
        <f>(10+7+4)*B5</f>
        <v>58.8</v>
      </c>
      <c r="D26" s="977">
        <f>7*B5</f>
        <v>19.599999999999998</v>
      </c>
      <c r="E26" s="977">
        <f>5.5*B5</f>
        <v>15.399999999999999</v>
      </c>
      <c r="F26" s="977">
        <f>(3.5+5+10)*B5</f>
        <v>51.8</v>
      </c>
      <c r="G26" s="977">
        <f>(9+3*4+2)*B5</f>
        <v>64.399999999999991</v>
      </c>
      <c r="H26" s="975">
        <f t="shared" si="1"/>
        <v>280</v>
      </c>
      <c r="I26" s="89"/>
      <c r="J26" s="924">
        <f t="shared" si="2"/>
        <v>163.80000000000001</v>
      </c>
    </row>
    <row r="27" spans="1:10" ht="17.25" customHeight="1" x14ac:dyDescent="0.25">
      <c r="A27" s="966" t="s">
        <v>231</v>
      </c>
      <c r="B27" s="977">
        <f>(4.5+1+2.5+6+4+1)*B5</f>
        <v>53.199999999999996</v>
      </c>
      <c r="C27" s="977">
        <f>(14+12+4)*B5</f>
        <v>84</v>
      </c>
      <c r="D27" s="977">
        <f>7*B5</f>
        <v>19.599999999999998</v>
      </c>
      <c r="E27" s="977">
        <f>(2+7+5+3.5)*B5</f>
        <v>49</v>
      </c>
      <c r="F27" s="977">
        <f>(10+4.5+7+2)*B5</f>
        <v>65.8</v>
      </c>
      <c r="G27" s="977">
        <f>(9+2.5+4+2+14+2+7+4+2)*B5</f>
        <v>130.19999999999999</v>
      </c>
      <c r="H27" s="975">
        <f t="shared" si="1"/>
        <v>401.79999999999995</v>
      </c>
      <c r="I27" s="89"/>
      <c r="J27" s="924">
        <f t="shared" si="2"/>
        <v>205.79999999999998</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I12" sqref="I12"/>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78.88+63.75*2</f>
        <v>206.38</v>
      </c>
      <c r="C2" s="970"/>
      <c r="D2" s="970"/>
      <c r="E2" s="970"/>
      <c r="F2" s="970" t="s">
        <v>348</v>
      </c>
      <c r="G2" s="970">
        <f>H22</f>
        <v>18</v>
      </c>
      <c r="H2" s="970"/>
      <c r="I2" s="89"/>
    </row>
    <row r="3" spans="1:9" ht="17.25" x14ac:dyDescent="0.25">
      <c r="A3" s="972" t="s">
        <v>259</v>
      </c>
      <c r="B3" s="967">
        <f xml:space="preserve"> 78.88</f>
        <v>78.88</v>
      </c>
      <c r="C3" s="970"/>
      <c r="D3" s="970"/>
      <c r="E3" s="970"/>
      <c r="F3" s="970" t="s">
        <v>349</v>
      </c>
      <c r="G3" s="970">
        <f>H25</f>
        <v>7.5250000000000004</v>
      </c>
      <c r="H3" s="970"/>
      <c r="I3" s="89"/>
    </row>
    <row r="4" spans="1:9" x14ac:dyDescent="0.25">
      <c r="A4" s="972" t="s">
        <v>258</v>
      </c>
      <c r="B4" s="967">
        <v>3</v>
      </c>
      <c r="C4" s="970"/>
      <c r="D4" s="970"/>
      <c r="E4" s="970"/>
      <c r="F4" s="970" t="s">
        <v>350</v>
      </c>
      <c r="G4" s="970">
        <f>H21</f>
        <v>65.974999999999994</v>
      </c>
      <c r="H4" s="970"/>
      <c r="I4" s="89"/>
    </row>
    <row r="5" spans="1:9" ht="17.25" x14ac:dyDescent="0.25">
      <c r="A5" s="972" t="s">
        <v>257</v>
      </c>
      <c r="B5" s="967">
        <v>2.8</v>
      </c>
      <c r="C5" s="970"/>
      <c r="D5" s="970"/>
      <c r="E5" s="970"/>
      <c r="F5" s="970" t="s">
        <v>351</v>
      </c>
      <c r="G5" s="970">
        <f>H23</f>
        <v>90.07</v>
      </c>
      <c r="H5" s="970"/>
      <c r="I5" s="89"/>
    </row>
    <row r="6" spans="1:9" ht="17.25" x14ac:dyDescent="0.25">
      <c r="A6" s="972" t="s">
        <v>256</v>
      </c>
      <c r="B6" s="967">
        <v>2.8</v>
      </c>
      <c r="C6" s="970"/>
      <c r="D6" s="970"/>
      <c r="E6" s="970"/>
      <c r="F6" s="970" t="s">
        <v>352</v>
      </c>
      <c r="G6" s="970">
        <f>B3</f>
        <v>78.88</v>
      </c>
      <c r="H6" s="970"/>
      <c r="I6" s="89"/>
    </row>
    <row r="7" spans="1:9" ht="17.25" x14ac:dyDescent="0.25">
      <c r="A7" s="972" t="s">
        <v>255</v>
      </c>
      <c r="B7" s="967">
        <v>3</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8" t="s">
        <v>252</v>
      </c>
      <c r="C11" s="978" t="s">
        <v>251</v>
      </c>
      <c r="D11" s="970"/>
      <c r="E11" s="970"/>
      <c r="F11" s="970"/>
      <c r="G11" s="970"/>
      <c r="H11" s="970"/>
      <c r="I11" s="89"/>
    </row>
    <row r="12" spans="1:9" ht="17.25" x14ac:dyDescent="0.25">
      <c r="A12" s="972" t="s">
        <v>250</v>
      </c>
      <c r="B12" s="967">
        <v>24</v>
      </c>
      <c r="C12" s="965">
        <f>24*B5</f>
        <v>67.199999999999989</v>
      </c>
      <c r="D12" s="970"/>
      <c r="E12" s="970"/>
      <c r="F12" s="970"/>
      <c r="G12" s="970"/>
      <c r="H12" s="970"/>
      <c r="I12" s="89"/>
    </row>
    <row r="13" spans="1:9" ht="17.25" x14ac:dyDescent="0.25">
      <c r="A13" s="972" t="s">
        <v>249</v>
      </c>
      <c r="B13" s="967">
        <f>24+15.9</f>
        <v>39.9</v>
      </c>
      <c r="C13" s="965">
        <f>39.9*B5</f>
        <v>111.71999999999998</v>
      </c>
      <c r="D13" s="970"/>
      <c r="E13" s="970"/>
      <c r="F13" s="970"/>
      <c r="G13" s="970"/>
      <c r="H13" s="970"/>
      <c r="I13" s="89"/>
    </row>
    <row r="14" spans="1:9" ht="17.25" x14ac:dyDescent="0.25">
      <c r="A14" s="972" t="s">
        <v>248</v>
      </c>
      <c r="B14" s="967">
        <f>20.38</f>
        <v>20.38</v>
      </c>
      <c r="C14" s="965">
        <f>20.38*B5</f>
        <v>57.063999999999993</v>
      </c>
      <c r="D14" s="970"/>
      <c r="E14" s="970"/>
      <c r="F14" s="970"/>
      <c r="G14" s="970"/>
      <c r="H14" s="970"/>
      <c r="I14" s="89"/>
    </row>
    <row r="15" spans="1:9" ht="17.25" x14ac:dyDescent="0.25">
      <c r="A15" s="972" t="s">
        <v>247</v>
      </c>
      <c r="B15" s="967">
        <f>7</f>
        <v>7</v>
      </c>
      <c r="C15" s="965">
        <f>7*B5</f>
        <v>19.599999999999998</v>
      </c>
      <c r="D15" s="970"/>
      <c r="E15" s="970"/>
      <c r="F15" s="970"/>
      <c r="G15" s="970"/>
      <c r="H15" s="970"/>
      <c r="I15" s="89"/>
    </row>
    <row r="16" spans="1:9" ht="17.25" x14ac:dyDescent="0.25">
      <c r="A16" s="972" t="s">
        <v>246</v>
      </c>
      <c r="B16" s="967">
        <f>63.8 + 6.25+26</f>
        <v>96.05</v>
      </c>
      <c r="C16" s="967">
        <f>(6.25+26)*B5 + 63.8*0.5 + 2.5*4.25*7.5</f>
        <v>201.88749999999999</v>
      </c>
      <c r="D16" s="970"/>
      <c r="E16" s="970"/>
      <c r="F16" s="970"/>
      <c r="G16" s="970"/>
      <c r="H16" s="970"/>
      <c r="I16" s="89"/>
    </row>
    <row r="17" spans="1:10" ht="17.25" x14ac:dyDescent="0.25">
      <c r="A17" s="972" t="s">
        <v>245</v>
      </c>
      <c r="B17" s="967">
        <f>19.05</f>
        <v>19.05</v>
      </c>
      <c r="C17" s="967">
        <f>19.05*B5</f>
        <v>53.339999999999996</v>
      </c>
      <c r="D17" s="970">
        <f>C12+C13+C14+C15+C16+C17</f>
        <v>510.81149999999991</v>
      </c>
      <c r="E17" s="970"/>
      <c r="F17" s="970"/>
      <c r="G17" s="970"/>
      <c r="H17" s="970"/>
      <c r="I17" s="89"/>
    </row>
    <row r="18" spans="1:10" x14ac:dyDescent="0.25">
      <c r="A18" s="970"/>
      <c r="B18" s="970">
        <f>SUM(B12:B15)</f>
        <v>91.28</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v>0</v>
      </c>
      <c r="C21" s="965">
        <f>(7.5+3)* B5-C22</f>
        <v>22.9</v>
      </c>
      <c r="D21" s="965">
        <f>(7.5)* B5-D22</f>
        <v>15</v>
      </c>
      <c r="E21" s="965">
        <f>(2.5)* B5 -E22</f>
        <v>4.75</v>
      </c>
      <c r="F21" s="965">
        <f>3.5* B5 + (15*0.5)-F22 -F25</f>
        <v>11.924999999999997</v>
      </c>
      <c r="G21" s="965">
        <f>(2+4)* B5 -G22 -G25</f>
        <v>11.399999999999997</v>
      </c>
      <c r="H21" s="975">
        <f>B21+C21+D21+E21+F21+G21</f>
        <v>65.974999999999994</v>
      </c>
      <c r="I21" s="89"/>
      <c r="J21" s="924">
        <f>SUM(B21:E21)</f>
        <v>42.65</v>
      </c>
    </row>
    <row r="22" spans="1:10" ht="17.25" x14ac:dyDescent="0.25">
      <c r="A22" s="966" t="s">
        <v>236</v>
      </c>
      <c r="B22" s="965">
        <v>0</v>
      </c>
      <c r="C22" s="965">
        <v>6.5</v>
      </c>
      <c r="D22" s="965">
        <v>6</v>
      </c>
      <c r="E22" s="965">
        <v>2.25</v>
      </c>
      <c r="F22" s="965">
        <v>0</v>
      </c>
      <c r="G22" s="965">
        <v>3.25</v>
      </c>
      <c r="H22" s="975">
        <f t="shared" ref="H22:H27" si="0">B22+C22+D22+E22+F22+G22</f>
        <v>18</v>
      </c>
      <c r="I22" s="89"/>
      <c r="J22" s="924">
        <f t="shared" ref="J22:J27" si="1">SUM(B22:E22)</f>
        <v>14.75</v>
      </c>
    </row>
    <row r="23" spans="1:10" ht="17.25" x14ac:dyDescent="0.25">
      <c r="A23" s="966" t="s">
        <v>235</v>
      </c>
      <c r="B23" s="965">
        <v>0</v>
      </c>
      <c r="C23" s="965">
        <v>0</v>
      </c>
      <c r="D23" s="965">
        <v>16.12</v>
      </c>
      <c r="E23" s="965">
        <v>0</v>
      </c>
      <c r="F23" s="965">
        <f>2*4.93*7.5</f>
        <v>73.949999999999989</v>
      </c>
      <c r="G23" s="965">
        <v>0</v>
      </c>
      <c r="H23" s="975">
        <f t="shared" si="0"/>
        <v>90.07</v>
      </c>
      <c r="I23" s="89"/>
      <c r="J23" s="924">
        <f t="shared" si="1"/>
        <v>16.12</v>
      </c>
    </row>
    <row r="24" spans="1:10" ht="17.25" x14ac:dyDescent="0.25">
      <c r="A24" s="966" t="s">
        <v>234</v>
      </c>
      <c r="B24" s="965">
        <v>24</v>
      </c>
      <c r="C24" s="965">
        <v>0</v>
      </c>
      <c r="D24" s="965">
        <v>20.38</v>
      </c>
      <c r="E24" s="965">
        <v>0</v>
      </c>
      <c r="F24" s="965">
        <v>26</v>
      </c>
      <c r="G24" s="965">
        <v>8.44</v>
      </c>
      <c r="H24" s="975">
        <f t="shared" si="0"/>
        <v>78.819999999999993</v>
      </c>
      <c r="I24" s="924">
        <f>H21+H22+H23+H24</f>
        <v>252.86499999999998</v>
      </c>
      <c r="J24" s="924">
        <f t="shared" si="1"/>
        <v>44.379999999999995</v>
      </c>
    </row>
    <row r="25" spans="1:10" ht="17.25" x14ac:dyDescent="0.25">
      <c r="A25" s="966" t="s">
        <v>233</v>
      </c>
      <c r="B25" s="965">
        <v>0</v>
      </c>
      <c r="C25" s="965">
        <v>0</v>
      </c>
      <c r="D25" s="965">
        <v>0</v>
      </c>
      <c r="E25" s="965">
        <v>0</v>
      </c>
      <c r="F25" s="965">
        <v>5.375</v>
      </c>
      <c r="G25" s="965">
        <v>2.15</v>
      </c>
      <c r="H25" s="975">
        <f t="shared" si="0"/>
        <v>7.5250000000000004</v>
      </c>
      <c r="I25" s="89"/>
      <c r="J25" s="924">
        <f t="shared" si="1"/>
        <v>0</v>
      </c>
    </row>
    <row r="26" spans="1:10" ht="17.25" x14ac:dyDescent="0.25">
      <c r="A26" s="966" t="s">
        <v>232</v>
      </c>
      <c r="B26" s="965">
        <f>6*B5</f>
        <v>16.799999999999997</v>
      </c>
      <c r="C26" s="965">
        <f>(8.5+3.2)*B5</f>
        <v>32.76</v>
      </c>
      <c r="D26" s="965">
        <f>2*3.25*B5</f>
        <v>18.2</v>
      </c>
      <c r="E26" s="965">
        <f>2.8*B5</f>
        <v>7.839999999999999</v>
      </c>
      <c r="F26" s="965">
        <f>(2.5+4.9+2.5)*B5+ (8.5*2*0.5)+4.25*2.5*2</f>
        <v>57.47</v>
      </c>
      <c r="G26" s="965">
        <f>2.11*B5</f>
        <v>5.9079999999999995</v>
      </c>
      <c r="H26" s="975">
        <f t="shared" si="0"/>
        <v>138.97799999999998</v>
      </c>
      <c r="I26" s="89"/>
      <c r="J26" s="924">
        <f t="shared" si="1"/>
        <v>75.599999999999994</v>
      </c>
    </row>
    <row r="27" spans="1:10" ht="17.25" customHeight="1" x14ac:dyDescent="0.25">
      <c r="A27" s="966" t="s">
        <v>231</v>
      </c>
      <c r="B27" s="965">
        <f>(6+4)*B5</f>
        <v>28</v>
      </c>
      <c r="C27" s="965">
        <f>(7.5+5.3)*B5</f>
        <v>35.839999999999996</v>
      </c>
      <c r="D27" s="965">
        <f>3.25*B5</f>
        <v>9.1</v>
      </c>
      <c r="E27" s="965">
        <f>(2.8+2.5)*B5</f>
        <v>14.839999999999998</v>
      </c>
      <c r="F27" s="965">
        <f>(7.4+3.5+7.5)*B5</f>
        <v>51.519999999999996</v>
      </c>
      <c r="G27" s="965">
        <f>(4+2.11+2+5.3)*B5</f>
        <v>37.547999999999995</v>
      </c>
      <c r="H27" s="975">
        <f t="shared" si="0"/>
        <v>176.84800000000001</v>
      </c>
      <c r="I27" s="89"/>
      <c r="J27" s="924">
        <f t="shared" si="1"/>
        <v>87.78</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0"/>
  <sheetViews>
    <sheetView tabSelected="1" zoomScale="60" zoomScaleNormal="60" workbookViewId="0">
      <selection activeCell="B66" sqref="B66"/>
    </sheetView>
  </sheetViews>
  <sheetFormatPr defaultColWidth="11.42578125" defaultRowHeight="15" x14ac:dyDescent="0.25"/>
  <cols>
    <col min="1" max="1" width="41.28515625" customWidth="1"/>
    <col min="2" max="2" width="12.85546875" customWidth="1"/>
    <col min="3" max="3" width="13.7109375" customWidth="1"/>
    <col min="5" max="5" width="14.85546875" customWidth="1"/>
    <col min="6" max="6" width="27.5703125" bestFit="1" customWidth="1"/>
    <col min="7" max="7" width="12.85546875" customWidth="1"/>
    <col min="9" max="9" width="13.42578125" customWidth="1"/>
    <col min="10" max="10" width="28" customWidth="1"/>
    <col min="11" max="11" width="11.42578125" style="101"/>
    <col min="12" max="12" width="35.85546875" customWidth="1"/>
    <col min="13" max="13" width="15.85546875" customWidth="1"/>
    <col min="14" max="14" width="12.7109375" customWidth="1"/>
    <col min="15" max="15" width="15.5703125" customWidth="1"/>
    <col min="17" max="17" width="17" customWidth="1"/>
    <col min="19" max="19" width="11.85546875" customWidth="1"/>
    <col min="21" max="21" width="16.5703125" customWidth="1"/>
    <col min="23" max="23" width="22.28515625" customWidth="1"/>
  </cols>
  <sheetData>
    <row r="2" spans="1:26" ht="21" x14ac:dyDescent="0.35">
      <c r="C2" s="110" t="s">
        <v>139</v>
      </c>
      <c r="D2" s="111"/>
      <c r="E2" s="134" t="s">
        <v>140</v>
      </c>
      <c r="F2" s="91"/>
      <c r="G2" s="89"/>
    </row>
    <row r="3" spans="1:26" ht="21" x14ac:dyDescent="0.35">
      <c r="C3" s="109"/>
      <c r="D3" s="128"/>
      <c r="E3" s="134" t="s">
        <v>218</v>
      </c>
      <c r="F3" s="134"/>
      <c r="G3" s="134"/>
      <c r="H3" s="135"/>
      <c r="I3" s="135"/>
      <c r="J3" s="135"/>
      <c r="K3" s="136"/>
    </row>
    <row r="4" spans="1:26" ht="15.75" thickBot="1" x14ac:dyDescent="0.3"/>
    <row r="5" spans="1:26" s="324" customFormat="1" ht="15.75" thickBot="1" x14ac:dyDescent="0.3">
      <c r="A5" s="325"/>
      <c r="K5" s="326"/>
    </row>
    <row r="6" spans="1:26" ht="20.25" x14ac:dyDescent="0.25">
      <c r="A6" s="92" t="s">
        <v>130</v>
      </c>
      <c r="D6" s="90"/>
      <c r="E6" s="90"/>
      <c r="F6" s="90"/>
      <c r="G6" s="90"/>
      <c r="H6" s="90"/>
      <c r="I6" s="90"/>
      <c r="J6" s="90"/>
      <c r="K6" s="102"/>
      <c r="L6" s="90"/>
      <c r="M6" s="90"/>
      <c r="N6" s="90"/>
      <c r="O6" s="90"/>
      <c r="P6" s="90"/>
      <c r="Q6" s="90"/>
      <c r="R6" s="2"/>
      <c r="S6" s="2"/>
      <c r="T6" s="2"/>
      <c r="U6" s="2"/>
      <c r="V6" s="2"/>
      <c r="W6" s="2"/>
      <c r="X6" s="2"/>
      <c r="Y6" s="2"/>
      <c r="Z6" s="2"/>
    </row>
    <row r="7" spans="1:26" ht="20.25" x14ac:dyDescent="0.25">
      <c r="A7" s="1057" t="s">
        <v>184</v>
      </c>
      <c r="B7" s="1057"/>
      <c r="C7" s="1057"/>
      <c r="D7" s="1057"/>
      <c r="E7" s="1057"/>
      <c r="F7" s="1057"/>
      <c r="G7" s="1057"/>
      <c r="H7" s="1057"/>
      <c r="I7" s="1057"/>
      <c r="J7" s="1058"/>
      <c r="K7" s="102"/>
      <c r="L7" s="90"/>
      <c r="M7" s="90"/>
      <c r="N7" s="90"/>
      <c r="O7" s="90"/>
      <c r="P7" s="90"/>
      <c r="Q7" s="90"/>
      <c r="R7" s="2"/>
      <c r="S7" s="2"/>
      <c r="T7" s="2"/>
      <c r="U7" s="2"/>
      <c r="V7" s="2"/>
      <c r="W7" s="2"/>
      <c r="X7" s="2"/>
      <c r="Y7" s="2"/>
      <c r="Z7" s="2"/>
    </row>
    <row r="8" spans="1:26" ht="20.25" x14ac:dyDescent="0.25">
      <c r="A8" s="1057"/>
      <c r="B8" s="1057"/>
      <c r="C8" s="1057"/>
      <c r="D8" s="1057"/>
      <c r="E8" s="1057"/>
      <c r="F8" s="1057"/>
      <c r="G8" s="1057"/>
      <c r="H8" s="1057"/>
      <c r="I8" s="1057"/>
      <c r="J8" s="1058"/>
      <c r="K8" s="102"/>
      <c r="L8" s="90"/>
      <c r="M8" s="90"/>
      <c r="N8" s="90"/>
      <c r="O8" s="90"/>
      <c r="P8" s="90"/>
      <c r="Q8" s="90"/>
      <c r="R8" s="2"/>
      <c r="S8" s="2"/>
      <c r="T8" s="2"/>
      <c r="U8" s="2"/>
      <c r="V8" s="2"/>
      <c r="W8" s="2"/>
      <c r="X8" s="2"/>
      <c r="Y8" s="2"/>
      <c r="Z8" s="2"/>
    </row>
    <row r="9" spans="1:26" ht="21" thickBot="1" x14ac:dyDescent="0.3">
      <c r="A9" s="168"/>
      <c r="B9" s="168"/>
      <c r="C9" s="168"/>
      <c r="D9" s="168"/>
      <c r="E9" s="168"/>
      <c r="F9" s="168"/>
      <c r="G9" s="168"/>
      <c r="H9" s="168"/>
      <c r="I9" s="168"/>
      <c r="J9" s="169"/>
      <c r="K9" s="102"/>
      <c r="L9" s="90"/>
      <c r="M9" s="90"/>
      <c r="N9" s="90"/>
      <c r="O9" s="90"/>
      <c r="P9" s="90"/>
      <c r="Q9" s="90"/>
      <c r="R9" s="2"/>
      <c r="S9" s="2"/>
      <c r="T9" s="2"/>
      <c r="U9" s="2"/>
      <c r="V9" s="2"/>
      <c r="W9" s="2"/>
      <c r="X9" s="2"/>
      <c r="Y9" s="2"/>
      <c r="Z9" s="2"/>
    </row>
    <row r="10" spans="1:26" ht="20.25" x14ac:dyDescent="0.25">
      <c r="A10" s="97"/>
      <c r="B10" s="98"/>
      <c r="C10" s="98" t="s">
        <v>125</v>
      </c>
      <c r="D10" s="267" t="s">
        <v>56</v>
      </c>
      <c r="F10" s="90"/>
      <c r="G10" s="90"/>
      <c r="H10" s="90"/>
      <c r="I10" s="167"/>
      <c r="J10" s="90"/>
      <c r="K10" s="102"/>
      <c r="L10" s="100"/>
      <c r="M10" s="98"/>
      <c r="N10" s="98" t="s">
        <v>125</v>
      </c>
      <c r="O10" s="114"/>
      <c r="P10" s="117"/>
      <c r="Q10" s="117" t="s">
        <v>138</v>
      </c>
      <c r="R10" s="116"/>
      <c r="S10" s="116"/>
      <c r="T10" s="116"/>
      <c r="U10" s="118"/>
      <c r="V10" s="2"/>
      <c r="W10" s="2"/>
      <c r="X10" s="2"/>
      <c r="Y10" s="2"/>
      <c r="Z10" s="2"/>
    </row>
    <row r="11" spans="1:26" ht="20.25" x14ac:dyDescent="0.25">
      <c r="A11" s="98" t="s">
        <v>117</v>
      </c>
      <c r="B11" s="99">
        <v>0</v>
      </c>
      <c r="C11" s="98" t="s">
        <v>118</v>
      </c>
      <c r="D11" s="249" t="s">
        <v>217</v>
      </c>
      <c r="F11" s="90"/>
      <c r="G11" s="90"/>
      <c r="H11" s="90"/>
      <c r="I11" s="90"/>
      <c r="J11" s="90"/>
      <c r="K11" s="102"/>
      <c r="L11" s="95" t="s">
        <v>117</v>
      </c>
      <c r="M11" s="105">
        <v>0.1</v>
      </c>
      <c r="N11" s="98" t="s">
        <v>118</v>
      </c>
      <c r="O11" s="162" t="s">
        <v>147</v>
      </c>
      <c r="P11" s="117"/>
      <c r="Q11" s="117"/>
      <c r="R11" s="153"/>
      <c r="S11" s="153"/>
      <c r="T11" s="153"/>
      <c r="U11" s="161"/>
      <c r="V11" s="2"/>
      <c r="W11" s="2"/>
      <c r="X11" s="2"/>
      <c r="Y11" s="2"/>
      <c r="Z11" s="2"/>
    </row>
    <row r="12" spans="1:26" ht="21" thickBot="1" x14ac:dyDescent="0.3">
      <c r="A12" s="317" t="s">
        <v>119</v>
      </c>
      <c r="B12" s="106">
        <v>0</v>
      </c>
      <c r="C12" s="317" t="s">
        <v>118</v>
      </c>
      <c r="D12" s="318" t="str">
        <f>IF(Calculation_sheet!E58=4,"!","OK")</f>
        <v>OK</v>
      </c>
      <c r="F12" s="90"/>
      <c r="G12" s="90"/>
      <c r="H12" s="90"/>
      <c r="I12" s="90"/>
      <c r="J12" s="90"/>
      <c r="K12" s="102"/>
      <c r="L12" s="112" t="s">
        <v>119</v>
      </c>
      <c r="M12" s="107">
        <v>7.4999999999999997E-2</v>
      </c>
      <c r="N12" s="108" t="s">
        <v>118</v>
      </c>
      <c r="O12" s="319" t="s">
        <v>181</v>
      </c>
      <c r="P12" s="96"/>
      <c r="Q12" s="96"/>
      <c r="R12" s="159"/>
      <c r="S12" s="159"/>
      <c r="T12" s="159"/>
      <c r="U12" s="160"/>
      <c r="V12" s="2"/>
      <c r="W12" s="2"/>
      <c r="X12" s="2"/>
      <c r="Y12" s="2"/>
      <c r="Z12" s="2"/>
    </row>
    <row r="13" spans="1:26" s="324" customFormat="1" ht="21" thickBot="1" x14ac:dyDescent="0.3">
      <c r="A13" s="320"/>
      <c r="B13" s="321"/>
      <c r="C13" s="321"/>
      <c r="D13" s="321"/>
      <c r="E13" s="321"/>
      <c r="F13" s="321"/>
      <c r="G13" s="321"/>
      <c r="H13" s="321"/>
      <c r="I13" s="321"/>
      <c r="J13" s="321"/>
      <c r="K13" s="322"/>
      <c r="L13" s="321"/>
      <c r="M13" s="321"/>
      <c r="N13" s="321"/>
      <c r="O13" s="321"/>
      <c r="P13" s="321"/>
      <c r="Q13" s="321"/>
      <c r="R13" s="323"/>
      <c r="S13" s="323"/>
      <c r="T13" s="323"/>
      <c r="U13" s="323"/>
      <c r="V13" s="323"/>
      <c r="W13" s="323"/>
      <c r="X13" s="323"/>
      <c r="Y13" s="323"/>
      <c r="Z13" s="323"/>
    </row>
    <row r="14" spans="1:26" ht="20.25" x14ac:dyDescent="0.25">
      <c r="A14" s="92" t="s">
        <v>136</v>
      </c>
      <c r="B14" s="90"/>
      <c r="D14" s="90"/>
      <c r="E14" s="90"/>
      <c r="F14" s="90"/>
      <c r="G14" s="90"/>
      <c r="H14" s="90"/>
      <c r="I14" s="90"/>
      <c r="J14" s="90"/>
      <c r="K14" s="102"/>
      <c r="O14" s="90"/>
      <c r="P14" s="90"/>
      <c r="Q14" s="90"/>
      <c r="R14" s="2"/>
      <c r="S14" s="2"/>
      <c r="T14" s="2"/>
      <c r="U14" s="2"/>
      <c r="V14" s="2"/>
      <c r="W14" s="2"/>
      <c r="X14" s="2"/>
      <c r="Y14" s="2"/>
      <c r="Z14" s="2"/>
    </row>
    <row r="15" spans="1:26" ht="21" thickBot="1" x14ac:dyDescent="0.3">
      <c r="A15" s="97"/>
      <c r="B15" s="98"/>
      <c r="C15" s="98" t="s">
        <v>125</v>
      </c>
      <c r="D15" s="90"/>
      <c r="E15" s="90"/>
      <c r="F15" s="90"/>
      <c r="G15" s="90"/>
      <c r="H15" s="90"/>
      <c r="I15" s="90"/>
      <c r="J15" s="90"/>
      <c r="K15" s="102"/>
      <c r="L15" s="100"/>
      <c r="M15" s="98"/>
      <c r="N15" s="94" t="s">
        <v>125</v>
      </c>
      <c r="O15" s="114"/>
      <c r="P15" s="117"/>
      <c r="Q15" s="117" t="s">
        <v>138</v>
      </c>
      <c r="R15" s="116"/>
      <c r="S15" s="116"/>
      <c r="T15" s="116"/>
      <c r="U15" s="118"/>
      <c r="V15" s="2"/>
      <c r="W15" s="2"/>
      <c r="X15" s="2"/>
      <c r="Y15" s="2"/>
      <c r="Z15" s="2"/>
    </row>
    <row r="16" spans="1:26" ht="20.25" x14ac:dyDescent="0.25">
      <c r="A16" s="98" t="s">
        <v>126</v>
      </c>
      <c r="B16" s="99">
        <v>27.5</v>
      </c>
      <c r="C16" s="98" t="s">
        <v>118</v>
      </c>
      <c r="D16" s="90"/>
      <c r="F16" s="267" t="s">
        <v>56</v>
      </c>
      <c r="G16" s="265" t="s">
        <v>125</v>
      </c>
      <c r="H16" s="90"/>
      <c r="I16" s="90"/>
      <c r="J16" s="90"/>
      <c r="K16" s="102"/>
      <c r="L16" s="95" t="s">
        <v>126</v>
      </c>
      <c r="M16" s="105">
        <v>27.5</v>
      </c>
      <c r="N16" s="98" t="s">
        <v>118</v>
      </c>
      <c r="O16" s="108"/>
      <c r="P16" s="121"/>
      <c r="Q16" s="121"/>
      <c r="R16" s="119"/>
      <c r="S16" s="119"/>
      <c r="T16" s="119"/>
      <c r="U16" s="120"/>
      <c r="V16" s="2"/>
      <c r="W16" s="2"/>
      <c r="X16" s="2"/>
      <c r="Y16" s="2"/>
      <c r="Z16" s="2"/>
    </row>
    <row r="17" spans="1:26" ht="21" thickBot="1" x14ac:dyDescent="0.3">
      <c r="A17" s="98" t="s">
        <v>127</v>
      </c>
      <c r="B17" s="99">
        <v>12.5</v>
      </c>
      <c r="C17" s="98" t="s">
        <v>118</v>
      </c>
      <c r="D17" s="90"/>
      <c r="E17" s="125" t="s">
        <v>131</v>
      </c>
      <c r="F17" s="247">
        <f>B16+B17+B18+B19</f>
        <v>100</v>
      </c>
      <c r="G17" s="247" t="s">
        <v>118</v>
      </c>
      <c r="H17" s="90"/>
      <c r="I17" s="90"/>
      <c r="J17" s="90"/>
      <c r="K17" s="102"/>
      <c r="L17" s="95" t="s">
        <v>127</v>
      </c>
      <c r="M17" s="105">
        <v>12.5</v>
      </c>
      <c r="N17" s="98" t="s">
        <v>118</v>
      </c>
      <c r="O17" s="158" t="s">
        <v>179</v>
      </c>
      <c r="P17" s="96"/>
      <c r="Q17" s="96"/>
      <c r="R17" s="159"/>
      <c r="S17" s="159"/>
      <c r="T17" s="159"/>
      <c r="U17" s="160"/>
      <c r="V17" s="2"/>
      <c r="W17" s="2"/>
      <c r="X17" s="2"/>
      <c r="Y17" s="2"/>
      <c r="Z17" s="2"/>
    </row>
    <row r="18" spans="1:26" ht="20.25" x14ac:dyDescent="0.25">
      <c r="A18" s="98" t="s">
        <v>128</v>
      </c>
      <c r="B18" s="99">
        <v>10</v>
      </c>
      <c r="C18" s="98" t="s">
        <v>118</v>
      </c>
      <c r="D18" s="90"/>
      <c r="E18" s="90"/>
      <c r="F18" s="90"/>
      <c r="G18" s="90"/>
      <c r="H18" s="90"/>
      <c r="I18" s="90"/>
      <c r="J18" s="90"/>
      <c r="K18" s="102"/>
      <c r="L18" s="95" t="s">
        <v>128</v>
      </c>
      <c r="M18" s="105">
        <v>10</v>
      </c>
      <c r="N18" s="98" t="s">
        <v>118</v>
      </c>
      <c r="O18" s="158" t="s">
        <v>180</v>
      </c>
      <c r="P18" s="96"/>
      <c r="Q18" s="96"/>
      <c r="R18" s="159"/>
      <c r="S18" s="159"/>
      <c r="T18" s="159"/>
      <c r="U18" s="160"/>
      <c r="V18" s="2"/>
      <c r="W18" s="2"/>
      <c r="X18" s="2"/>
      <c r="Y18" s="2"/>
      <c r="Z18" s="2"/>
    </row>
    <row r="19" spans="1:26" ht="21" thickBot="1" x14ac:dyDescent="0.3">
      <c r="A19" s="317" t="s">
        <v>129</v>
      </c>
      <c r="B19" s="106">
        <v>50</v>
      </c>
      <c r="C19" s="317" t="s">
        <v>118</v>
      </c>
      <c r="D19" s="90"/>
      <c r="E19" s="90"/>
      <c r="F19" s="90"/>
      <c r="G19" s="90"/>
      <c r="H19" s="90"/>
      <c r="I19" s="90"/>
      <c r="J19" s="90"/>
      <c r="K19" s="102"/>
      <c r="L19" s="112" t="s">
        <v>129</v>
      </c>
      <c r="M19" s="107">
        <v>50</v>
      </c>
      <c r="N19" s="317" t="s">
        <v>118</v>
      </c>
      <c r="O19" s="327"/>
      <c r="P19" s="96"/>
      <c r="Q19" s="96"/>
      <c r="R19" s="159"/>
      <c r="S19" s="159"/>
      <c r="T19" s="159"/>
      <c r="U19" s="160"/>
      <c r="V19" s="2"/>
      <c r="W19" s="2"/>
      <c r="X19" s="2"/>
      <c r="Y19" s="2"/>
      <c r="Z19" s="2"/>
    </row>
    <row r="20" spans="1:26" s="324" customFormat="1" ht="21" thickBot="1" x14ac:dyDescent="0.3">
      <c r="A20" s="320"/>
      <c r="B20" s="321"/>
      <c r="C20" s="321"/>
      <c r="D20" s="321"/>
      <c r="E20" s="321"/>
      <c r="F20" s="321"/>
      <c r="G20" s="321"/>
      <c r="H20" s="321"/>
      <c r="I20" s="321"/>
      <c r="J20" s="321"/>
      <c r="K20" s="322"/>
      <c r="L20" s="321"/>
      <c r="M20" s="321"/>
      <c r="N20" s="321"/>
      <c r="O20" s="321"/>
      <c r="P20" s="321"/>
      <c r="Q20" s="321"/>
      <c r="R20" s="323"/>
      <c r="S20" s="323"/>
      <c r="T20" s="323"/>
      <c r="U20" s="323"/>
      <c r="V20" s="323"/>
      <c r="W20" s="323"/>
      <c r="X20" s="323"/>
      <c r="Y20" s="323"/>
      <c r="Z20" s="323"/>
    </row>
    <row r="21" spans="1:26" ht="20.25" x14ac:dyDescent="0.25">
      <c r="A21" s="92" t="s">
        <v>155</v>
      </c>
      <c r="B21" s="90"/>
      <c r="C21" s="90"/>
      <c r="D21" s="90"/>
      <c r="E21" s="90"/>
      <c r="F21" s="90"/>
      <c r="G21" s="90"/>
      <c r="H21" s="90"/>
      <c r="I21" s="90"/>
      <c r="J21" s="90"/>
      <c r="K21" s="102"/>
      <c r="L21" s="92"/>
      <c r="M21" s="90"/>
      <c r="N21" s="90"/>
      <c r="O21" s="90"/>
      <c r="P21" s="90"/>
      <c r="Q21" s="90"/>
      <c r="R21" s="90"/>
      <c r="S21" s="90"/>
      <c r="T21" s="2"/>
      <c r="U21" s="2"/>
      <c r="V21" s="2"/>
      <c r="W21" s="2"/>
      <c r="X21" s="2"/>
      <c r="Y21" s="2"/>
      <c r="Z21" s="2"/>
    </row>
    <row r="22" spans="1:26" ht="21" thickBot="1" x14ac:dyDescent="0.3">
      <c r="A22" s="133" t="s">
        <v>157</v>
      </c>
      <c r="B22" s="129"/>
      <c r="C22" s="94" t="s">
        <v>125</v>
      </c>
      <c r="D22" s="98" t="s">
        <v>56</v>
      </c>
      <c r="E22" s="90"/>
      <c r="F22" s="90"/>
      <c r="G22" s="90"/>
      <c r="H22" s="90"/>
      <c r="I22" s="90"/>
      <c r="J22" s="90"/>
      <c r="K22" s="102"/>
      <c r="L22" s="129"/>
      <c r="M22" s="98" t="s">
        <v>151</v>
      </c>
      <c r="N22" s="98" t="s">
        <v>125</v>
      </c>
      <c r="O22" s="94"/>
      <c r="P22" s="117"/>
      <c r="Q22" s="117" t="s">
        <v>138</v>
      </c>
      <c r="R22" s="117"/>
      <c r="S22" s="117"/>
      <c r="T22" s="116"/>
      <c r="U22" s="118"/>
      <c r="V22" s="2"/>
      <c r="W22" s="2"/>
      <c r="X22" s="2"/>
      <c r="Y22" s="2"/>
      <c r="Z22" s="2"/>
    </row>
    <row r="23" spans="1:26" ht="20.25" x14ac:dyDescent="0.25">
      <c r="A23" s="108" t="s">
        <v>148</v>
      </c>
      <c r="B23" s="106">
        <v>0</v>
      </c>
      <c r="C23" s="121" t="s">
        <v>118</v>
      </c>
      <c r="D23" s="264" t="str">
        <f>IF(Calculation_sheet!N78=1,"!","OK")</f>
        <v>OK</v>
      </c>
      <c r="E23" s="96"/>
      <c r="F23" s="1059" t="s">
        <v>222</v>
      </c>
      <c r="G23" s="1061">
        <f>B23+B25</f>
        <v>0</v>
      </c>
      <c r="H23" s="1063" t="s">
        <v>118</v>
      </c>
      <c r="I23" s="90"/>
      <c r="J23" s="90"/>
      <c r="K23" s="102"/>
      <c r="L23" s="98" t="s">
        <v>150</v>
      </c>
      <c r="M23" s="105" t="s">
        <v>152</v>
      </c>
      <c r="N23" s="98" t="s">
        <v>118</v>
      </c>
      <c r="O23" s="164" t="s">
        <v>153</v>
      </c>
      <c r="P23" s="130"/>
      <c r="Q23" s="131"/>
      <c r="R23" s="152"/>
      <c r="S23" s="131"/>
      <c r="T23" s="153"/>
      <c r="U23" s="154" t="s">
        <v>154</v>
      </c>
      <c r="V23" s="2"/>
      <c r="W23" s="2"/>
      <c r="X23" s="2"/>
      <c r="Y23" s="2"/>
      <c r="Z23" s="2"/>
    </row>
    <row r="24" spans="1:26" ht="18.75" customHeight="1" thickBot="1" x14ac:dyDescent="0.3">
      <c r="A24" s="114"/>
      <c r="B24" s="93"/>
      <c r="C24" s="93"/>
      <c r="D24" s="263"/>
      <c r="E24" s="262"/>
      <c r="F24" s="1060"/>
      <c r="G24" s="1062"/>
      <c r="H24" s="1064"/>
      <c r="I24" s="90"/>
      <c r="J24" s="90"/>
      <c r="K24" s="102"/>
      <c r="L24" s="98" t="s">
        <v>158</v>
      </c>
      <c r="M24" s="105" t="s">
        <v>159</v>
      </c>
      <c r="N24" s="98" t="s">
        <v>118</v>
      </c>
      <c r="O24" s="155" t="s">
        <v>160</v>
      </c>
      <c r="P24" s="156"/>
      <c r="Q24" s="156"/>
      <c r="R24" s="156"/>
      <c r="S24" s="156"/>
      <c r="T24" s="156"/>
      <c r="U24" s="157"/>
      <c r="V24" s="2"/>
      <c r="W24" s="2"/>
      <c r="X24" s="2"/>
      <c r="Y24" s="2"/>
      <c r="Z24" s="2"/>
    </row>
    <row r="25" spans="1:26" ht="20.25" x14ac:dyDescent="0.25">
      <c r="A25" s="113" t="s">
        <v>149</v>
      </c>
      <c r="B25" s="124">
        <v>0</v>
      </c>
      <c r="C25" s="122" t="s">
        <v>118</v>
      </c>
      <c r="D25" s="264" t="str">
        <f>IF(Calculation_sheet!I69=1,"!","OK")</f>
        <v>OK</v>
      </c>
      <c r="E25" s="90"/>
      <c r="F25" s="90"/>
      <c r="G25" s="90"/>
      <c r="H25" s="90"/>
      <c r="I25" s="90"/>
      <c r="J25" s="90"/>
      <c r="K25" s="102"/>
      <c r="L25" s="96"/>
      <c r="M25" s="123"/>
      <c r="N25" s="96"/>
      <c r="O25" s="96"/>
      <c r="P25" s="96"/>
      <c r="Q25" s="96"/>
      <c r="R25" s="96"/>
      <c r="S25" s="96"/>
      <c r="T25" s="34"/>
      <c r="U25" s="34"/>
      <c r="V25" s="2"/>
      <c r="W25" s="2"/>
      <c r="X25" s="2"/>
      <c r="Y25" s="2"/>
      <c r="Z25" s="2"/>
    </row>
    <row r="26" spans="1:26" ht="20.25" x14ac:dyDescent="0.25">
      <c r="A26" s="90"/>
      <c r="B26" s="90"/>
      <c r="C26" s="90"/>
      <c r="D26" s="90"/>
      <c r="E26" s="90"/>
      <c r="F26" s="90"/>
      <c r="G26" s="90"/>
      <c r="H26" s="90"/>
      <c r="I26" s="90"/>
      <c r="J26" s="90"/>
      <c r="K26" s="102"/>
      <c r="L26" s="90"/>
      <c r="M26" s="90"/>
      <c r="N26" s="90"/>
      <c r="O26" s="90"/>
      <c r="P26" s="90"/>
      <c r="Q26" s="90"/>
      <c r="R26" s="90"/>
      <c r="S26" s="90"/>
      <c r="T26" s="2"/>
      <c r="U26" s="2"/>
      <c r="V26" s="2"/>
      <c r="W26" s="2"/>
      <c r="X26" s="2"/>
      <c r="Y26" s="2"/>
      <c r="Z26" s="2"/>
    </row>
    <row r="27" spans="1:26" ht="20.25" x14ac:dyDescent="0.25">
      <c r="A27" s="132" t="s">
        <v>156</v>
      </c>
      <c r="B27" s="90"/>
      <c r="C27" s="90"/>
      <c r="D27" s="90"/>
      <c r="E27" s="90"/>
      <c r="F27" s="90"/>
      <c r="G27" s="90"/>
      <c r="H27" s="90"/>
      <c r="I27" s="90"/>
      <c r="J27" s="90"/>
      <c r="K27" s="102"/>
      <c r="L27" s="90"/>
      <c r="M27" s="90"/>
      <c r="N27" s="90"/>
      <c r="O27" s="90"/>
      <c r="P27" s="90"/>
      <c r="Q27" s="90"/>
      <c r="R27" s="2"/>
      <c r="S27" s="2"/>
      <c r="T27" s="2"/>
      <c r="U27" s="2"/>
      <c r="V27" s="2"/>
      <c r="W27" s="2"/>
      <c r="X27" s="2"/>
      <c r="Y27" s="2"/>
      <c r="Z27" s="2"/>
    </row>
    <row r="28" spans="1:26" ht="20.25" x14ac:dyDescent="0.3">
      <c r="A28" s="145" t="s">
        <v>178</v>
      </c>
      <c r="B28" s="91"/>
      <c r="C28" s="91"/>
      <c r="D28" s="91"/>
      <c r="E28" s="91"/>
      <c r="F28" s="91"/>
      <c r="G28" s="91"/>
      <c r="H28" s="91"/>
      <c r="I28" s="91"/>
      <c r="J28" s="91"/>
      <c r="K28" s="103"/>
      <c r="L28" s="91"/>
      <c r="M28" s="91"/>
      <c r="N28" s="91"/>
      <c r="O28" s="91"/>
      <c r="P28" s="91"/>
      <c r="Q28" s="91"/>
    </row>
    <row r="29" spans="1:26" ht="20.25" x14ac:dyDescent="0.3">
      <c r="A29" s="91"/>
      <c r="B29" s="91"/>
      <c r="C29" s="91"/>
      <c r="D29" s="91"/>
      <c r="E29" s="91"/>
      <c r="F29" s="91"/>
      <c r="G29" s="91"/>
      <c r="H29" s="91"/>
      <c r="I29" s="91"/>
      <c r="J29" s="91"/>
      <c r="K29" s="103"/>
      <c r="L29" s="91"/>
      <c r="M29" s="91"/>
      <c r="N29" s="91"/>
      <c r="O29" s="91"/>
      <c r="P29" s="91"/>
      <c r="Q29" s="91"/>
    </row>
    <row r="30" spans="1:26" ht="21" thickBot="1" x14ac:dyDescent="0.35">
      <c r="A30" s="98" t="s">
        <v>161</v>
      </c>
      <c r="B30" s="98" t="s">
        <v>165</v>
      </c>
      <c r="C30" s="98" t="s">
        <v>166</v>
      </c>
      <c r="D30" s="98" t="s">
        <v>167</v>
      </c>
      <c r="E30" s="91"/>
      <c r="F30" s="91"/>
      <c r="G30" s="91"/>
      <c r="H30" s="91"/>
      <c r="I30" s="91"/>
      <c r="J30" s="91"/>
      <c r="K30" s="103"/>
      <c r="L30" s="98" t="s">
        <v>161</v>
      </c>
      <c r="M30" s="98" t="s">
        <v>165</v>
      </c>
      <c r="N30" s="98" t="s">
        <v>166</v>
      </c>
      <c r="O30" s="98" t="s">
        <v>167</v>
      </c>
      <c r="P30" s="108"/>
      <c r="Q30" s="121"/>
      <c r="R30" s="121" t="s">
        <v>138</v>
      </c>
      <c r="S30" s="121"/>
      <c r="T30" s="121"/>
      <c r="U30" s="120"/>
      <c r="V30" s="34"/>
    </row>
    <row r="31" spans="1:26" ht="20.25" x14ac:dyDescent="0.3">
      <c r="A31" s="98" t="s">
        <v>162</v>
      </c>
      <c r="B31" s="99">
        <v>50</v>
      </c>
      <c r="C31" s="99">
        <v>50</v>
      </c>
      <c r="D31" s="98" t="s">
        <v>118</v>
      </c>
      <c r="E31" s="91"/>
      <c r="F31" s="91"/>
      <c r="G31" s="267" t="s">
        <v>56</v>
      </c>
      <c r="H31" s="265" t="s">
        <v>125</v>
      </c>
      <c r="I31" s="91"/>
      <c r="J31" s="91"/>
      <c r="K31" s="103"/>
      <c r="L31" s="98" t="s">
        <v>162</v>
      </c>
      <c r="M31" s="105" t="s">
        <v>159</v>
      </c>
      <c r="N31" s="105" t="s">
        <v>159</v>
      </c>
      <c r="O31" s="94" t="s">
        <v>118</v>
      </c>
      <c r="P31" s="149"/>
      <c r="Q31" s="142"/>
      <c r="R31" s="143"/>
      <c r="S31" s="143"/>
      <c r="T31" s="143"/>
      <c r="U31" s="112"/>
      <c r="V31" s="150"/>
      <c r="W31" s="91"/>
      <c r="X31" s="91"/>
      <c r="Y31" s="91"/>
    </row>
    <row r="32" spans="1:26" ht="20.25" x14ac:dyDescent="0.3">
      <c r="A32" s="98" t="s">
        <v>163</v>
      </c>
      <c r="B32" s="99">
        <v>40</v>
      </c>
      <c r="C32" s="99">
        <v>40</v>
      </c>
      <c r="D32" s="98" t="s">
        <v>118</v>
      </c>
      <c r="E32" s="127" t="s">
        <v>172</v>
      </c>
      <c r="F32" s="126"/>
      <c r="G32" s="248">
        <f>SUM(B31:B34)</f>
        <v>100</v>
      </c>
      <c r="H32" s="248" t="s">
        <v>118</v>
      </c>
      <c r="I32" s="91"/>
      <c r="J32" s="91"/>
      <c r="K32" s="103"/>
      <c r="L32" s="98" t="s">
        <v>163</v>
      </c>
      <c r="M32" s="105" t="s">
        <v>159</v>
      </c>
      <c r="N32" s="105" t="s">
        <v>159</v>
      </c>
      <c r="O32" s="94" t="s">
        <v>118</v>
      </c>
      <c r="P32" s="148" t="s">
        <v>160</v>
      </c>
      <c r="Q32" s="141"/>
      <c r="R32" s="141"/>
      <c r="S32" s="141"/>
      <c r="T32" s="141"/>
      <c r="U32" s="151"/>
      <c r="V32" s="141"/>
      <c r="W32" s="91"/>
      <c r="X32" s="91"/>
      <c r="Y32" s="91"/>
    </row>
    <row r="33" spans="1:25" ht="21" thickBot="1" x14ac:dyDescent="0.35">
      <c r="A33" s="98" t="s">
        <v>164</v>
      </c>
      <c r="B33" s="99">
        <v>10</v>
      </c>
      <c r="C33" s="99">
        <v>10</v>
      </c>
      <c r="D33" s="98" t="s">
        <v>118</v>
      </c>
      <c r="E33" s="127" t="s">
        <v>173</v>
      </c>
      <c r="F33" s="126"/>
      <c r="G33" s="247">
        <f>SUM(C31:C34)</f>
        <v>100</v>
      </c>
      <c r="H33" s="247" t="s">
        <v>118</v>
      </c>
      <c r="I33" s="91"/>
      <c r="J33" s="91"/>
      <c r="K33" s="103"/>
      <c r="L33" s="98" t="s">
        <v>164</v>
      </c>
      <c r="M33" s="105" t="s">
        <v>159</v>
      </c>
      <c r="N33" s="105" t="s">
        <v>159</v>
      </c>
      <c r="O33" s="94" t="s">
        <v>118</v>
      </c>
      <c r="P33" s="140"/>
      <c r="Q33" s="141"/>
      <c r="R33" s="141"/>
      <c r="S33" s="141"/>
      <c r="T33" s="141"/>
      <c r="U33" s="151"/>
      <c r="V33" s="91"/>
      <c r="W33" s="91"/>
      <c r="X33" s="91"/>
      <c r="Y33" s="91"/>
    </row>
    <row r="34" spans="1:25" ht="21" thickBot="1" x14ac:dyDescent="0.35">
      <c r="A34" s="317" t="s">
        <v>14</v>
      </c>
      <c r="B34" s="99">
        <v>0</v>
      </c>
      <c r="C34" s="99">
        <v>0</v>
      </c>
      <c r="D34" s="317" t="s">
        <v>118</v>
      </c>
      <c r="I34" s="91"/>
      <c r="J34" s="91"/>
      <c r="K34" s="103"/>
      <c r="L34" s="317" t="s">
        <v>14</v>
      </c>
      <c r="M34" s="107" t="s">
        <v>159</v>
      </c>
      <c r="N34" s="107" t="s">
        <v>159</v>
      </c>
      <c r="O34" s="108" t="s">
        <v>118</v>
      </c>
      <c r="P34" s="140"/>
      <c r="Q34" s="141"/>
      <c r="R34" s="32"/>
      <c r="S34" s="32"/>
      <c r="T34" s="32"/>
      <c r="U34" s="39"/>
    </row>
    <row r="35" spans="1:25" s="324" customFormat="1" ht="21" thickBot="1" x14ac:dyDescent="0.35">
      <c r="A35" s="328"/>
      <c r="B35" s="329"/>
      <c r="C35" s="329"/>
      <c r="D35" s="329"/>
      <c r="E35" s="329"/>
      <c r="F35" s="329"/>
      <c r="G35" s="329"/>
      <c r="H35" s="329"/>
      <c r="I35" s="329"/>
      <c r="J35" s="329"/>
      <c r="K35" s="330"/>
      <c r="L35" s="329"/>
      <c r="M35" s="329"/>
      <c r="N35" s="329"/>
      <c r="O35" s="329"/>
      <c r="P35" s="329"/>
      <c r="Q35" s="329"/>
    </row>
    <row r="36" spans="1:25" ht="20.25" x14ac:dyDescent="0.25">
      <c r="A36" s="144" t="s">
        <v>169</v>
      </c>
      <c r="B36" s="90"/>
      <c r="C36" s="90"/>
      <c r="D36" s="90"/>
      <c r="E36" s="90"/>
      <c r="F36" s="90"/>
      <c r="G36" s="90"/>
      <c r="H36" s="90"/>
      <c r="I36" s="90"/>
      <c r="J36" s="90"/>
      <c r="K36" s="104"/>
      <c r="L36" s="89"/>
      <c r="M36" s="89"/>
      <c r="N36" s="89"/>
      <c r="O36" s="89"/>
      <c r="P36" s="89"/>
      <c r="Q36" s="89"/>
    </row>
    <row r="37" spans="1:25" ht="20.25" x14ac:dyDescent="0.3">
      <c r="A37" s="145" t="s">
        <v>171</v>
      </c>
      <c r="B37" s="91"/>
      <c r="C37" s="91"/>
      <c r="D37" s="91"/>
      <c r="E37" s="91"/>
      <c r="F37" s="91"/>
      <c r="G37" s="91"/>
      <c r="H37" s="91"/>
      <c r="I37" s="91"/>
      <c r="J37" s="91"/>
      <c r="K37" s="103"/>
      <c r="L37" s="91"/>
      <c r="M37" s="91"/>
      <c r="N37" s="91"/>
      <c r="O37" s="91"/>
      <c r="P37" s="91"/>
      <c r="Q37" s="91"/>
    </row>
    <row r="38" spans="1:25" ht="20.25" x14ac:dyDescent="0.3">
      <c r="A38" s="166" t="s">
        <v>182</v>
      </c>
      <c r="B38" s="91"/>
      <c r="C38" s="91"/>
      <c r="D38" s="91"/>
      <c r="E38" s="91"/>
      <c r="F38" s="91"/>
      <c r="G38" s="91"/>
      <c r="H38" s="91"/>
      <c r="I38" s="91"/>
      <c r="J38" s="91"/>
      <c r="K38" s="103"/>
      <c r="L38" s="91"/>
      <c r="M38" s="91"/>
      <c r="N38" s="91"/>
      <c r="O38" s="91"/>
      <c r="P38" s="91"/>
      <c r="Q38" s="91"/>
    </row>
    <row r="39" spans="1:25" ht="21" thickBot="1" x14ac:dyDescent="0.3">
      <c r="B39" s="32"/>
      <c r="C39" s="96"/>
      <c r="D39" s="96"/>
      <c r="E39" s="96"/>
      <c r="F39" s="96"/>
      <c r="G39" s="96"/>
      <c r="H39" s="96"/>
      <c r="I39" s="96"/>
      <c r="J39" s="96"/>
      <c r="K39" s="104"/>
      <c r="L39" s="137"/>
      <c r="M39" s="32"/>
      <c r="N39" s="96"/>
      <c r="O39" s="96"/>
      <c r="P39" s="96"/>
      <c r="Q39" s="89"/>
    </row>
    <row r="40" spans="1:25" ht="20.25" x14ac:dyDescent="0.25">
      <c r="A40" s="105" t="s">
        <v>168</v>
      </c>
      <c r="B40" s="105" t="s">
        <v>16</v>
      </c>
      <c r="C40" s="105" t="s">
        <v>137</v>
      </c>
      <c r="D40" s="105" t="s">
        <v>170</v>
      </c>
      <c r="E40" s="105" t="s">
        <v>125</v>
      </c>
      <c r="F40" s="123"/>
      <c r="G40" s="123"/>
      <c r="H40" s="266" t="s">
        <v>56</v>
      </c>
      <c r="I40" s="265" t="s">
        <v>125</v>
      </c>
      <c r="J40" s="123"/>
      <c r="K40" s="104"/>
      <c r="L40" s="105" t="s">
        <v>168</v>
      </c>
      <c r="M40" s="105" t="s">
        <v>16</v>
      </c>
      <c r="N40" s="105" t="s">
        <v>137</v>
      </c>
      <c r="O40" s="105" t="s">
        <v>170</v>
      </c>
      <c r="P40" s="105" t="s">
        <v>125</v>
      </c>
      <c r="Q40" s="94"/>
      <c r="R40" s="117"/>
      <c r="S40" s="117" t="s">
        <v>138</v>
      </c>
      <c r="T40" s="117"/>
      <c r="U40" s="117"/>
      <c r="V40" s="116"/>
      <c r="W40" s="115"/>
    </row>
    <row r="41" spans="1:25" ht="20.25" x14ac:dyDescent="0.3">
      <c r="A41" s="105" t="s">
        <v>126</v>
      </c>
      <c r="B41" s="99">
        <v>60</v>
      </c>
      <c r="C41" s="99">
        <v>30</v>
      </c>
      <c r="D41" s="99">
        <v>10</v>
      </c>
      <c r="E41" s="105" t="s">
        <v>118</v>
      </c>
      <c r="F41" s="127" t="s">
        <v>174</v>
      </c>
      <c r="G41" s="126"/>
      <c r="H41" s="248">
        <f>SUM(B41:D41)</f>
        <v>100</v>
      </c>
      <c r="I41" s="248" t="s">
        <v>118</v>
      </c>
      <c r="J41" s="123"/>
      <c r="K41" s="104"/>
      <c r="L41" s="105" t="s">
        <v>126</v>
      </c>
      <c r="M41" s="105">
        <v>60</v>
      </c>
      <c r="N41" s="105">
        <v>30</v>
      </c>
      <c r="O41" s="105">
        <v>10</v>
      </c>
      <c r="P41" s="105" t="s">
        <v>118</v>
      </c>
      <c r="Q41" s="149"/>
      <c r="R41" s="142"/>
      <c r="S41" s="143"/>
      <c r="T41" s="143"/>
      <c r="U41" s="143"/>
      <c r="V41" s="121"/>
      <c r="W41" s="165"/>
    </row>
    <row r="42" spans="1:25" ht="20.25" x14ac:dyDescent="0.3">
      <c r="A42" s="105" t="s">
        <v>127</v>
      </c>
      <c r="B42" s="99">
        <v>60</v>
      </c>
      <c r="C42" s="99">
        <v>30</v>
      </c>
      <c r="D42" s="99">
        <v>10</v>
      </c>
      <c r="E42" s="105" t="s">
        <v>118</v>
      </c>
      <c r="F42" s="127" t="s">
        <v>175</v>
      </c>
      <c r="G42" s="126"/>
      <c r="H42" s="248">
        <f>SUM(B42:D42)</f>
        <v>100</v>
      </c>
      <c r="I42" s="248" t="s">
        <v>118</v>
      </c>
      <c r="J42" s="123"/>
      <c r="K42" s="104"/>
      <c r="L42" s="105" t="s">
        <v>127</v>
      </c>
      <c r="M42" s="105">
        <v>60</v>
      </c>
      <c r="N42" s="105">
        <v>30</v>
      </c>
      <c r="O42" s="105">
        <v>10</v>
      </c>
      <c r="P42" s="105" t="s">
        <v>118</v>
      </c>
      <c r="Q42" s="163" t="s">
        <v>40</v>
      </c>
      <c r="R42" s="141"/>
      <c r="S42" s="141"/>
      <c r="T42" s="141"/>
      <c r="U42" s="141"/>
      <c r="V42" s="141"/>
      <c r="W42" s="39"/>
    </row>
    <row r="43" spans="1:25" ht="20.25" x14ac:dyDescent="0.3">
      <c r="A43" s="105" t="s">
        <v>128</v>
      </c>
      <c r="B43" s="99">
        <v>60</v>
      </c>
      <c r="C43" s="99">
        <v>30</v>
      </c>
      <c r="D43" s="99">
        <v>10</v>
      </c>
      <c r="E43" s="105" t="s">
        <v>118</v>
      </c>
      <c r="F43" s="127" t="s">
        <v>176</v>
      </c>
      <c r="G43" s="126"/>
      <c r="H43" s="248">
        <f>SUM(B43:D43)</f>
        <v>100</v>
      </c>
      <c r="I43" s="248" t="s">
        <v>118</v>
      </c>
      <c r="J43" s="123"/>
      <c r="L43" s="105" t="s">
        <v>128</v>
      </c>
      <c r="M43" s="105">
        <v>60</v>
      </c>
      <c r="N43" s="105">
        <v>30</v>
      </c>
      <c r="O43" s="105">
        <v>10</v>
      </c>
      <c r="P43" s="105" t="s">
        <v>118</v>
      </c>
      <c r="Q43" s="140"/>
      <c r="R43" s="141"/>
      <c r="S43" s="141"/>
      <c r="T43" s="141"/>
      <c r="U43" s="141"/>
      <c r="V43" s="141"/>
      <c r="W43" s="39"/>
    </row>
    <row r="44" spans="1:25" ht="21" thickBot="1" x14ac:dyDescent="0.35">
      <c r="A44" s="107" t="s">
        <v>129</v>
      </c>
      <c r="B44" s="106">
        <v>75</v>
      </c>
      <c r="C44" s="106">
        <v>15</v>
      </c>
      <c r="D44" s="106">
        <v>10</v>
      </c>
      <c r="E44" s="107" t="s">
        <v>118</v>
      </c>
      <c r="F44" s="146" t="s">
        <v>177</v>
      </c>
      <c r="G44" s="147"/>
      <c r="H44" s="331">
        <f>SUM(B44:D44)</f>
        <v>100</v>
      </c>
      <c r="I44" s="331" t="s">
        <v>118</v>
      </c>
      <c r="J44" s="123"/>
      <c r="L44" s="107" t="s">
        <v>129</v>
      </c>
      <c r="M44" s="107">
        <v>75</v>
      </c>
      <c r="N44" s="107">
        <v>15</v>
      </c>
      <c r="O44" s="107">
        <v>10</v>
      </c>
      <c r="P44" s="107" t="s">
        <v>118</v>
      </c>
      <c r="Q44" s="140"/>
      <c r="R44" s="141"/>
      <c r="S44" s="32"/>
      <c r="T44" s="32"/>
      <c r="U44" s="32"/>
      <c r="V44" s="32"/>
      <c r="W44" s="39"/>
    </row>
    <row r="45" spans="1:25" s="324" customFormat="1" ht="21" thickBot="1" x14ac:dyDescent="0.35">
      <c r="A45" s="332"/>
      <c r="B45" s="329"/>
      <c r="C45" s="329"/>
      <c r="D45" s="329"/>
      <c r="E45" s="329"/>
      <c r="F45" s="329"/>
      <c r="G45" s="329"/>
      <c r="H45" s="329"/>
      <c r="I45" s="329"/>
      <c r="J45" s="329"/>
      <c r="K45" s="326"/>
    </row>
    <row r="46" spans="1:25" ht="20.25" x14ac:dyDescent="0.3">
      <c r="A46" s="991" t="s">
        <v>269</v>
      </c>
      <c r="B46" s="138"/>
      <c r="C46" s="138"/>
      <c r="D46" s="138"/>
      <c r="E46" s="138"/>
      <c r="F46" s="138"/>
      <c r="G46" s="138"/>
      <c r="H46" s="138"/>
      <c r="I46" s="91"/>
      <c r="J46" s="91"/>
    </row>
    <row r="47" spans="1:25" ht="20.25" x14ac:dyDescent="0.3">
      <c r="A47" s="123"/>
      <c r="B47" s="123"/>
      <c r="C47" s="123"/>
      <c r="D47" s="105" t="s">
        <v>56</v>
      </c>
      <c r="F47" s="139"/>
      <c r="G47" s="139"/>
      <c r="H47" s="139"/>
      <c r="I47" s="91"/>
      <c r="J47" s="91"/>
    </row>
    <row r="48" spans="1:25" ht="20.25" x14ac:dyDescent="0.3">
      <c r="A48" s="105" t="s">
        <v>277</v>
      </c>
      <c r="B48" s="99">
        <v>0</v>
      </c>
      <c r="C48" s="1007" t="s">
        <v>118</v>
      </c>
      <c r="D48" s="1009" t="str">
        <f ca="1">IF(B48&gt;G48,"!","OK")</f>
        <v>OK</v>
      </c>
      <c r="E48" s="1008" t="s">
        <v>276</v>
      </c>
      <c r="F48" s="994"/>
      <c r="G48" s="105">
        <f ca="1">Calculation_sheet!C85*100</f>
        <v>52.281068894254169</v>
      </c>
      <c r="H48" s="105" t="s">
        <v>118</v>
      </c>
      <c r="I48" s="91"/>
      <c r="J48" s="91"/>
    </row>
    <row r="49" spans="1:11" ht="20.25" x14ac:dyDescent="0.3">
      <c r="A49" s="123"/>
      <c r="B49" s="123"/>
      <c r="C49" s="123"/>
      <c r="D49" s="123"/>
      <c r="E49" s="139"/>
      <c r="F49" s="139"/>
      <c r="G49" s="139"/>
      <c r="H49" s="139"/>
      <c r="I49" s="91"/>
      <c r="J49" s="91"/>
    </row>
    <row r="50" spans="1:11" ht="20.25" x14ac:dyDescent="0.3">
      <c r="A50" s="105" t="s">
        <v>298</v>
      </c>
      <c r="B50" s="99">
        <v>10000</v>
      </c>
      <c r="C50" s="105" t="s">
        <v>272</v>
      </c>
      <c r="D50" s="123" t="s">
        <v>301</v>
      </c>
      <c r="E50" s="139"/>
      <c r="F50" s="139"/>
      <c r="G50" s="139"/>
      <c r="H50" s="139"/>
      <c r="I50" s="91"/>
      <c r="J50" s="91"/>
    </row>
    <row r="51" spans="1:11" ht="21" thickBot="1" x14ac:dyDescent="0.35">
      <c r="A51" s="123"/>
      <c r="B51" s="99"/>
      <c r="C51" s="105" t="s">
        <v>272</v>
      </c>
      <c r="D51" s="123" t="s">
        <v>302</v>
      </c>
      <c r="E51" s="139"/>
      <c r="F51" s="139"/>
      <c r="G51" s="139"/>
      <c r="H51" s="139"/>
      <c r="I51" s="91"/>
      <c r="J51" s="91"/>
    </row>
    <row r="52" spans="1:11" s="324" customFormat="1" ht="21" thickBot="1" x14ac:dyDescent="0.35">
      <c r="A52" s="332"/>
      <c r="B52" s="329"/>
      <c r="C52" s="329"/>
      <c r="D52" s="329"/>
      <c r="E52" s="329"/>
      <c r="F52" s="329"/>
      <c r="G52" s="329"/>
      <c r="H52" s="329"/>
      <c r="I52" s="329"/>
      <c r="J52" s="329"/>
      <c r="K52" s="326"/>
    </row>
    <row r="53" spans="1:11" ht="21" x14ac:dyDescent="0.35">
      <c r="A53" s="991" t="s">
        <v>288</v>
      </c>
      <c r="B53" s="138"/>
      <c r="C53" s="138"/>
      <c r="D53" s="138"/>
      <c r="E53" s="138"/>
      <c r="F53" s="138"/>
      <c r="G53" s="138"/>
      <c r="H53" s="138"/>
      <c r="I53" s="91"/>
    </row>
    <row r="54" spans="1:11" ht="20.25" x14ac:dyDescent="0.3">
      <c r="A54" s="123"/>
      <c r="B54" s="123"/>
      <c r="C54" s="123"/>
      <c r="D54" s="105" t="s">
        <v>56</v>
      </c>
      <c r="E54" s="924"/>
      <c r="F54" s="139"/>
      <c r="G54" s="139"/>
      <c r="H54" s="139"/>
      <c r="I54" s="91"/>
    </row>
    <row r="55" spans="1:11" ht="20.25" x14ac:dyDescent="0.3">
      <c r="A55" s="105" t="s">
        <v>277</v>
      </c>
      <c r="B55" s="99">
        <v>0</v>
      </c>
      <c r="C55" s="105" t="s">
        <v>118</v>
      </c>
      <c r="D55" s="1009" t="str">
        <f ca="1">IF(B55&gt;G55,"!","OK")</f>
        <v>OK</v>
      </c>
      <c r="E55" s="993" t="s">
        <v>276</v>
      </c>
      <c r="F55" s="994"/>
      <c r="G55" s="105">
        <f ca="1">Calculation_sheet!C92*100</f>
        <v>11.907430562079693</v>
      </c>
      <c r="H55" s="105" t="s">
        <v>118</v>
      </c>
      <c r="I55" s="91"/>
    </row>
    <row r="56" spans="1:11" ht="20.25" x14ac:dyDescent="0.3">
      <c r="A56" s="123"/>
      <c r="B56" s="123"/>
      <c r="C56" s="123"/>
      <c r="D56" s="123"/>
      <c r="E56" s="139"/>
      <c r="F56" s="139"/>
      <c r="G56" s="139"/>
      <c r="H56" s="139"/>
      <c r="I56" s="91"/>
    </row>
    <row r="57" spans="1:11" ht="20.25" x14ac:dyDescent="0.3">
      <c r="A57" s="105" t="s">
        <v>297</v>
      </c>
      <c r="B57" s="99">
        <v>5700</v>
      </c>
      <c r="C57" s="105" t="s">
        <v>272</v>
      </c>
      <c r="D57" s="123"/>
      <c r="E57" s="139"/>
      <c r="F57" s="139"/>
      <c r="G57" s="139"/>
      <c r="H57" s="139"/>
      <c r="I57" s="91"/>
    </row>
    <row r="58" spans="1:11" ht="20.25" x14ac:dyDescent="0.3">
      <c r="A58" s="105" t="s">
        <v>279</v>
      </c>
      <c r="B58" s="99">
        <v>4000</v>
      </c>
      <c r="C58" s="105" t="s">
        <v>280</v>
      </c>
      <c r="D58" s="995" t="s">
        <v>281</v>
      </c>
      <c r="E58" s="139"/>
      <c r="F58" s="139"/>
      <c r="G58" s="139"/>
      <c r="H58" s="139"/>
      <c r="I58" s="91"/>
    </row>
    <row r="59" spans="1:11" s="924" customFormat="1" ht="20.25" x14ac:dyDescent="0.3">
      <c r="A59" s="123"/>
      <c r="B59" s="998">
        <f>LOOKUP(B58,'Mean T'!A1:A8762,'Mean T'!B1:B8762)</f>
        <v>9.4</v>
      </c>
      <c r="C59" s="105" t="s">
        <v>284</v>
      </c>
      <c r="D59" s="995"/>
      <c r="E59" s="139"/>
      <c r="F59" s="139"/>
      <c r="G59" s="139"/>
      <c r="H59" s="139"/>
      <c r="I59" s="91"/>
      <c r="K59" s="101"/>
    </row>
    <row r="60" spans="1:11" ht="15.75" thickBot="1" x14ac:dyDescent="0.3"/>
    <row r="61" spans="1:11" s="324" customFormat="1" ht="21" thickBot="1" x14ac:dyDescent="0.35">
      <c r="A61" s="332"/>
      <c r="B61" s="329"/>
      <c r="C61" s="329"/>
      <c r="D61" s="329"/>
      <c r="E61" s="329"/>
      <c r="F61" s="329"/>
      <c r="G61" s="329"/>
      <c r="H61" s="329"/>
      <c r="I61" s="329"/>
      <c r="J61" s="329"/>
      <c r="K61" s="326"/>
    </row>
    <row r="62" spans="1:11" ht="20.25" x14ac:dyDescent="0.3">
      <c r="A62" s="1001" t="s">
        <v>290</v>
      </c>
      <c r="B62" s="89"/>
      <c r="C62" s="89"/>
      <c r="D62" s="89"/>
      <c r="E62" s="89"/>
      <c r="F62" s="89"/>
      <c r="G62" s="89"/>
      <c r="H62" s="89"/>
      <c r="I62" s="89"/>
    </row>
    <row r="63" spans="1:11" ht="20.25" x14ac:dyDescent="0.25">
      <c r="A63" s="89"/>
      <c r="B63" s="89"/>
      <c r="C63" s="89"/>
      <c r="D63" s="123"/>
      <c r="E63" s="89"/>
      <c r="F63" s="89"/>
      <c r="G63" s="89"/>
      <c r="H63" s="89"/>
      <c r="I63" s="89"/>
    </row>
    <row r="64" spans="1:11" ht="20.25" x14ac:dyDescent="0.3">
      <c r="A64" s="105" t="s">
        <v>308</v>
      </c>
      <c r="B64" s="1011">
        <f>B65/G65*100</f>
        <v>60</v>
      </c>
      <c r="C64" s="105" t="s">
        <v>118</v>
      </c>
      <c r="D64" s="107" t="s">
        <v>56</v>
      </c>
      <c r="E64" s="139"/>
      <c r="F64" s="139"/>
      <c r="G64" s="123"/>
      <c r="H64" s="123"/>
      <c r="I64" s="91"/>
    </row>
    <row r="65" spans="1:11" ht="20.25" x14ac:dyDescent="0.3">
      <c r="A65" s="105" t="s">
        <v>277</v>
      </c>
      <c r="B65" s="99">
        <v>60</v>
      </c>
      <c r="C65" s="105" t="s">
        <v>118</v>
      </c>
      <c r="D65" s="1009" t="str">
        <f>IF(B65&gt;G65,"!","OK")</f>
        <v>OK</v>
      </c>
      <c r="E65" s="1010" t="s">
        <v>276</v>
      </c>
      <c r="F65" s="1010"/>
      <c r="G65" s="105">
        <f>100-B55-B48</f>
        <v>100</v>
      </c>
      <c r="H65" s="105" t="s">
        <v>118</v>
      </c>
      <c r="I65" s="89"/>
    </row>
    <row r="66" spans="1:11" s="924" customFormat="1" ht="21" thickBot="1" x14ac:dyDescent="0.35">
      <c r="A66" s="123"/>
      <c r="B66" s="123"/>
      <c r="C66" s="123"/>
      <c r="D66" s="123"/>
      <c r="E66" s="139"/>
      <c r="F66" s="139"/>
      <c r="G66" s="123"/>
      <c r="H66" s="123"/>
      <c r="I66" s="89"/>
      <c r="K66" s="101"/>
    </row>
    <row r="67" spans="1:11" s="324" customFormat="1" ht="21" customHeight="1" thickBot="1" x14ac:dyDescent="0.3">
      <c r="A67" s="1002"/>
      <c r="B67" s="1003"/>
      <c r="C67" s="1003"/>
      <c r="D67" s="1003"/>
      <c r="E67" s="1003"/>
      <c r="F67" s="1003"/>
      <c r="G67" s="1003"/>
      <c r="H67" s="1003"/>
      <c r="I67" s="1003"/>
      <c r="K67" s="326"/>
    </row>
    <row r="68" spans="1:11" x14ac:dyDescent="0.25">
      <c r="A68" s="89"/>
      <c r="B68" s="89"/>
      <c r="C68" s="89"/>
      <c r="D68" s="89"/>
      <c r="E68" s="89"/>
      <c r="F68" s="89"/>
      <c r="G68" s="89"/>
      <c r="H68" s="89"/>
      <c r="I68" s="89"/>
    </row>
    <row r="69" spans="1:11" ht="20.25" x14ac:dyDescent="0.3">
      <c r="A69" s="1001" t="s">
        <v>303</v>
      </c>
      <c r="B69" s="89"/>
      <c r="C69" s="89"/>
      <c r="D69" s="89"/>
      <c r="E69" s="89"/>
      <c r="F69" s="89"/>
      <c r="G69" s="89"/>
      <c r="H69" s="89"/>
      <c r="I69" s="89"/>
    </row>
    <row r="70" spans="1:11" ht="20.25" x14ac:dyDescent="0.25">
      <c r="A70" s="89"/>
      <c r="B70" s="89"/>
      <c r="C70" s="89"/>
      <c r="D70" s="105" t="s">
        <v>56</v>
      </c>
      <c r="E70" s="89"/>
      <c r="F70" s="89"/>
      <c r="G70" s="89"/>
      <c r="H70" s="89"/>
      <c r="I70" s="89"/>
    </row>
    <row r="71" spans="1:11" ht="20.25" x14ac:dyDescent="0.3">
      <c r="A71" s="105" t="s">
        <v>277</v>
      </c>
      <c r="B71" s="99">
        <v>0</v>
      </c>
      <c r="C71" s="105" t="s">
        <v>118</v>
      </c>
      <c r="D71" s="1009" t="str">
        <f>IF(B71&gt;G71,"!","OK")</f>
        <v>OK</v>
      </c>
      <c r="E71" s="993" t="s">
        <v>276</v>
      </c>
      <c r="F71" s="994"/>
      <c r="G71" s="105">
        <v>100</v>
      </c>
      <c r="H71" s="105" t="s">
        <v>118</v>
      </c>
      <c r="I71" s="89"/>
    </row>
    <row r="72" spans="1:11" ht="15.75" thickBot="1" x14ac:dyDescent="0.3">
      <c r="A72" s="89"/>
      <c r="B72" s="89"/>
      <c r="C72" s="89"/>
      <c r="D72" s="89"/>
      <c r="E72" s="89"/>
      <c r="F72" s="89"/>
      <c r="G72" s="89"/>
      <c r="H72" s="89"/>
      <c r="I72" s="89"/>
    </row>
    <row r="73" spans="1:11" s="324" customFormat="1" ht="21" customHeight="1" thickBot="1" x14ac:dyDescent="0.3">
      <c r="A73" s="1002"/>
      <c r="B73" s="1003"/>
      <c r="C73" s="1003"/>
      <c r="D73" s="1003"/>
      <c r="E73" s="1003"/>
      <c r="F73" s="1003"/>
      <c r="G73" s="1003"/>
      <c r="H73" s="1003"/>
      <c r="I73" s="1003"/>
      <c r="K73" s="326"/>
    </row>
    <row r="74" spans="1:11" x14ac:dyDescent="0.25">
      <c r="A74" s="89"/>
      <c r="B74" s="89"/>
      <c r="C74" s="89"/>
      <c r="D74" s="89"/>
      <c r="E74" s="89"/>
      <c r="F74" s="89"/>
      <c r="G74" s="89"/>
      <c r="H74" s="89"/>
      <c r="I74" s="89"/>
    </row>
    <row r="75" spans="1:11" ht="20.25" x14ac:dyDescent="0.3">
      <c r="A75" s="1001" t="s">
        <v>304</v>
      </c>
      <c r="B75" s="89"/>
      <c r="C75" s="89"/>
      <c r="D75" s="89"/>
      <c r="E75" s="89"/>
      <c r="F75" s="89"/>
      <c r="G75" s="89"/>
      <c r="H75" s="89"/>
      <c r="I75" s="89"/>
    </row>
    <row r="76" spans="1:11" ht="20.25" x14ac:dyDescent="0.25">
      <c r="D76" s="123"/>
    </row>
    <row r="77" spans="1:11" ht="20.25" x14ac:dyDescent="0.3">
      <c r="A77" s="105" t="s">
        <v>308</v>
      </c>
      <c r="B77" s="1012">
        <f>B78/G78*100</f>
        <v>0</v>
      </c>
      <c r="C77" s="105" t="s">
        <v>118</v>
      </c>
      <c r="D77" s="105" t="s">
        <v>56</v>
      </c>
      <c r="E77" s="139"/>
      <c r="F77" s="139"/>
      <c r="G77" s="123"/>
      <c r="H77" s="123"/>
    </row>
    <row r="78" spans="1:11" s="924" customFormat="1" ht="20.25" x14ac:dyDescent="0.3">
      <c r="A78" s="105" t="s">
        <v>277</v>
      </c>
      <c r="B78" s="99">
        <v>0</v>
      </c>
      <c r="C78" s="105" t="s">
        <v>118</v>
      </c>
      <c r="D78" s="1009" t="str">
        <f>IF(B78&gt;G78,"!","OK")</f>
        <v>OK</v>
      </c>
      <c r="E78" s="1010" t="s">
        <v>276</v>
      </c>
      <c r="F78" s="1010"/>
      <c r="G78" s="105">
        <f>100-B55</f>
        <v>100</v>
      </c>
      <c r="H78" s="105" t="s">
        <v>118</v>
      </c>
      <c r="K78" s="101"/>
    </row>
    <row r="79" spans="1:11" ht="15.75" thickBot="1" x14ac:dyDescent="0.3"/>
    <row r="80" spans="1:11" s="324" customFormat="1" ht="21" customHeight="1" thickBot="1" x14ac:dyDescent="0.3">
      <c r="A80" s="1002"/>
      <c r="B80" s="1003"/>
      <c r="C80" s="1003"/>
      <c r="D80" s="1003"/>
      <c r="E80" s="1003"/>
      <c r="F80" s="1003"/>
      <c r="G80" s="1003"/>
      <c r="H80" s="1003"/>
      <c r="I80" s="1003"/>
      <c r="K80" s="326"/>
    </row>
  </sheetData>
  <mergeCells count="4">
    <mergeCell ref="A7:J8"/>
    <mergeCell ref="F23:F24"/>
    <mergeCell ref="G23:G24"/>
    <mergeCell ref="H23:H24"/>
  </mergeCells>
  <conditionalFormatting sqref="G32:G33 H41:H44">
    <cfRule type="cellIs" dxfId="6" priority="16" stopIfTrue="1" operator="lessThan">
      <formula>100</formula>
    </cfRule>
    <cfRule type="cellIs" dxfId="5" priority="17" stopIfTrue="1" operator="greaterThan">
      <formula>100</formula>
    </cfRule>
  </conditionalFormatting>
  <conditionalFormatting sqref="D11:D12 D23:D25">
    <cfRule type="containsText" dxfId="4" priority="6" stopIfTrue="1" operator="containsText" text="!">
      <formula>NOT(ISERROR(SEARCH("!",D11)))</formula>
    </cfRule>
    <cfRule type="containsText" dxfId="3" priority="7" stopIfTrue="1" operator="containsText" text="OK">
      <formula>NOT(ISERROR(SEARCH("OK",D11)))</formula>
    </cfRule>
  </conditionalFormatting>
  <conditionalFormatting sqref="F17">
    <cfRule type="cellIs" dxfId="2" priority="3" stopIfTrue="1" operator="lessThan">
      <formula>100</formula>
    </cfRule>
    <cfRule type="cellIs" dxfId="1" priority="4" stopIfTrue="1" operator="greaterThan">
      <formula>100</formula>
    </cfRule>
    <cfRule type="cellIs" dxfId="0" priority="5" stopIfTrue="1" operator="equal">
      <formula>100</formula>
    </cfRule>
  </conditionalFormatting>
  <hyperlinks>
    <hyperlink ref="Q42" r:id="rId1"/>
    <hyperlink ref="O11" r:id="rId2"/>
    <hyperlink ref="O23" r:id="rId3"/>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F1" sqref="F1:G9"/>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6.75*14.38</f>
        <v>97.065000000000012</v>
      </c>
      <c r="C2" s="970"/>
      <c r="D2" s="970"/>
      <c r="E2" s="970"/>
      <c r="F2" s="970" t="s">
        <v>348</v>
      </c>
      <c r="G2" s="970">
        <f>H22</f>
        <v>10</v>
      </c>
      <c r="H2" s="970"/>
      <c r="I2" s="89"/>
    </row>
    <row r="3" spans="1:9" ht="17.25" x14ac:dyDescent="0.25">
      <c r="A3" s="972" t="s">
        <v>259</v>
      </c>
      <c r="B3" s="967">
        <f xml:space="preserve"> 6.75*14.38</f>
        <v>97.065000000000012</v>
      </c>
      <c r="C3" s="970"/>
      <c r="D3" s="970"/>
      <c r="E3" s="970"/>
      <c r="F3" s="970" t="s">
        <v>349</v>
      </c>
      <c r="G3" s="970">
        <f>H25</f>
        <v>0</v>
      </c>
      <c r="H3" s="970"/>
      <c r="I3" s="89"/>
    </row>
    <row r="4" spans="1:9" x14ac:dyDescent="0.25">
      <c r="A4" s="972" t="s">
        <v>258</v>
      </c>
      <c r="B4" s="967">
        <v>1</v>
      </c>
      <c r="C4" s="970"/>
      <c r="D4" s="970"/>
      <c r="E4" s="970"/>
      <c r="F4" s="970" t="s">
        <v>350</v>
      </c>
      <c r="G4" s="970">
        <f>H21</f>
        <v>84.313999999999993</v>
      </c>
      <c r="H4" s="970"/>
      <c r="I4" s="89"/>
    </row>
    <row r="5" spans="1:9" ht="17.25" x14ac:dyDescent="0.25">
      <c r="A5" s="972" t="s">
        <v>257</v>
      </c>
      <c r="B5" s="967">
        <v>3.3</v>
      </c>
      <c r="C5" s="970"/>
      <c r="D5" s="970"/>
      <c r="E5" s="970"/>
      <c r="F5" s="970" t="s">
        <v>351</v>
      </c>
      <c r="G5" s="970">
        <f>H23</f>
        <v>0</v>
      </c>
      <c r="H5" s="970"/>
      <c r="I5" s="89"/>
    </row>
    <row r="6" spans="1:9" ht="17.25" x14ac:dyDescent="0.25">
      <c r="A6" s="972" t="s">
        <v>256</v>
      </c>
      <c r="B6" s="967">
        <v>0</v>
      </c>
      <c r="C6" s="970"/>
      <c r="D6" s="970"/>
      <c r="E6" s="970"/>
      <c r="F6" s="970" t="s">
        <v>352</v>
      </c>
      <c r="G6" s="970">
        <f>0</f>
        <v>0</v>
      </c>
      <c r="H6" s="970"/>
      <c r="I6" s="89"/>
    </row>
    <row r="7" spans="1:9" ht="17.25" x14ac:dyDescent="0.25">
      <c r="A7" s="972" t="s">
        <v>255</v>
      </c>
      <c r="B7" s="967">
        <v>0</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(1.06+3.57) *9.35</f>
        <v>43.290499999999994</v>
      </c>
      <c r="C12" s="967">
        <f t="shared" ref="C12:C17" si="0">B12*B$5</f>
        <v>142.85864999999998</v>
      </c>
      <c r="D12" s="970"/>
      <c r="E12" s="970"/>
      <c r="F12" s="970"/>
      <c r="G12" s="970"/>
      <c r="H12" s="970"/>
      <c r="I12" s="89"/>
    </row>
    <row r="13" spans="1:9" ht="17.25" x14ac:dyDescent="0.25">
      <c r="A13" s="972" t="s">
        <v>249</v>
      </c>
      <c r="B13" s="967">
        <f>B3-B12-B14-B15-B16-B17</f>
        <v>27.793900000000022</v>
      </c>
      <c r="C13" s="967">
        <f t="shared" si="0"/>
        <v>91.719870000000071</v>
      </c>
      <c r="D13" s="970"/>
      <c r="E13" s="970"/>
      <c r="F13" s="970"/>
      <c r="G13" s="970"/>
      <c r="H13" s="970"/>
      <c r="I13" s="89"/>
    </row>
    <row r="14" spans="1:9" ht="17.25" x14ac:dyDescent="0.25">
      <c r="A14" s="972" t="s">
        <v>248</v>
      </c>
      <c r="B14" s="967">
        <f>3.18*2.12</f>
        <v>6.7416000000000009</v>
      </c>
      <c r="C14" s="967">
        <f t="shared" si="0"/>
        <v>22.247280000000003</v>
      </c>
      <c r="D14" s="970"/>
      <c r="E14" s="970"/>
      <c r="F14" s="970"/>
      <c r="G14" s="970"/>
      <c r="H14" s="970"/>
      <c r="I14" s="89"/>
    </row>
    <row r="15" spans="1:9" ht="17.25" x14ac:dyDescent="0.25">
      <c r="A15" s="972" t="s">
        <v>247</v>
      </c>
      <c r="B15" s="967">
        <f>3.18*2.12</f>
        <v>6.7416000000000009</v>
      </c>
      <c r="C15" s="967">
        <f t="shared" si="0"/>
        <v>22.247280000000003</v>
      </c>
      <c r="D15" s="970"/>
      <c r="E15" s="970"/>
      <c r="F15" s="970"/>
      <c r="G15" s="970"/>
      <c r="H15" s="970"/>
      <c r="I15" s="89"/>
    </row>
    <row r="16" spans="1:9" ht="17.25" x14ac:dyDescent="0.25">
      <c r="A16" s="972" t="s">
        <v>246</v>
      </c>
      <c r="B16" s="967">
        <f>1.85* 2.12</f>
        <v>3.9220000000000006</v>
      </c>
      <c r="C16" s="967">
        <f t="shared" si="0"/>
        <v>12.942600000000001</v>
      </c>
      <c r="D16" s="970"/>
      <c r="E16" s="970"/>
      <c r="F16" s="970"/>
      <c r="G16" s="970"/>
      <c r="H16" s="970"/>
      <c r="I16" s="89"/>
    </row>
    <row r="17" spans="1:10" ht="17.25" x14ac:dyDescent="0.25">
      <c r="A17" s="972" t="s">
        <v>245</v>
      </c>
      <c r="B17" s="967">
        <f>2.65*2.12 + 1.59*1.86</f>
        <v>8.5754000000000001</v>
      </c>
      <c r="C17" s="967">
        <f t="shared" si="0"/>
        <v>28.298819999999999</v>
      </c>
      <c r="D17" s="970">
        <f>C12+C13+C14+C15+C16+C17</f>
        <v>320.31450000000007</v>
      </c>
      <c r="E17" s="970"/>
      <c r="F17" s="970"/>
      <c r="G17" s="970"/>
      <c r="H17" s="970"/>
      <c r="I17" s="89"/>
    </row>
    <row r="18" spans="1:10" x14ac:dyDescent="0.25">
      <c r="A18" s="970"/>
      <c r="B18" s="970">
        <f>SUM(B12:B17)</f>
        <v>97.065000000000026</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f>(4.63+9.35)* B5-B22</f>
        <v>43.134</v>
      </c>
      <c r="C21" s="965">
        <f>(6.75+5.73)*B5-C22</f>
        <v>35.183999999999997</v>
      </c>
      <c r="D21" s="965">
        <f>(2.12 * B5)-D22</f>
        <v>5.9959999999999996</v>
      </c>
      <c r="E21" s="965">
        <v>0</v>
      </c>
      <c r="F21" s="965">
        <v>0</v>
      </c>
      <c r="G21" s="965">
        <v>0</v>
      </c>
      <c r="H21" s="975">
        <f>B21+C21+D21+E21+F21+G21</f>
        <v>84.313999999999993</v>
      </c>
      <c r="I21" s="89"/>
      <c r="J21" s="924">
        <f>SUM(B21:E21)</f>
        <v>84.313999999999993</v>
      </c>
    </row>
    <row r="22" spans="1:10" ht="17.25" x14ac:dyDescent="0.25">
      <c r="A22" s="966" t="s">
        <v>236</v>
      </c>
      <c r="B22" s="965">
        <v>3</v>
      </c>
      <c r="C22" s="965">
        <v>6</v>
      </c>
      <c r="D22" s="965">
        <v>1</v>
      </c>
      <c r="E22" s="965">
        <v>0</v>
      </c>
      <c r="F22" s="965">
        <v>0</v>
      </c>
      <c r="G22" s="965">
        <v>0</v>
      </c>
      <c r="H22" s="975">
        <f t="shared" ref="H22:H27" si="1">B22+C22+D22+E22+F22+G22</f>
        <v>10</v>
      </c>
      <c r="I22" s="89"/>
      <c r="J22" s="924">
        <f t="shared" ref="J22:J27" si="2">SUM(B22:E22)</f>
        <v>10</v>
      </c>
    </row>
    <row r="23" spans="1:10" ht="17.25" x14ac:dyDescent="0.25">
      <c r="A23" s="966" t="s">
        <v>235</v>
      </c>
      <c r="B23" s="965">
        <v>0</v>
      </c>
      <c r="C23" s="965">
        <v>0</v>
      </c>
      <c r="D23" s="965">
        <v>0</v>
      </c>
      <c r="E23" s="965">
        <v>0</v>
      </c>
      <c r="F23" s="965">
        <v>0</v>
      </c>
      <c r="G23" s="965">
        <v>0</v>
      </c>
      <c r="H23" s="975">
        <f t="shared" si="1"/>
        <v>0</v>
      </c>
      <c r="I23" s="89"/>
      <c r="J23" s="924">
        <f t="shared" si="2"/>
        <v>0</v>
      </c>
    </row>
    <row r="24" spans="1:10" ht="17.25" x14ac:dyDescent="0.25">
      <c r="A24" s="966" t="s">
        <v>234</v>
      </c>
      <c r="B24" s="965">
        <v>43.29</v>
      </c>
      <c r="C24" s="965">
        <v>27.8</v>
      </c>
      <c r="D24" s="965">
        <v>6.74</v>
      </c>
      <c r="E24" s="965">
        <v>6.74</v>
      </c>
      <c r="F24" s="965">
        <v>3.92</v>
      </c>
      <c r="G24" s="965">
        <v>8.57</v>
      </c>
      <c r="H24" s="975">
        <f t="shared" si="1"/>
        <v>97.06</v>
      </c>
      <c r="I24" s="924">
        <f>H21+H22+H23+H24</f>
        <v>191.374</v>
      </c>
      <c r="J24" s="924">
        <f t="shared" si="2"/>
        <v>84.57</v>
      </c>
    </row>
    <row r="25" spans="1:10" ht="17.25" x14ac:dyDescent="0.25">
      <c r="A25" s="966" t="s">
        <v>233</v>
      </c>
      <c r="B25" s="965">
        <v>0</v>
      </c>
      <c r="C25" s="965">
        <v>0</v>
      </c>
      <c r="D25" s="965">
        <v>0</v>
      </c>
      <c r="E25" s="965">
        <v>0</v>
      </c>
      <c r="F25" s="965">
        <v>0</v>
      </c>
      <c r="G25" s="965">
        <v>0</v>
      </c>
      <c r="H25" s="975">
        <f t="shared" si="1"/>
        <v>0</v>
      </c>
      <c r="I25" s="89"/>
      <c r="J25" s="924">
        <f t="shared" si="2"/>
        <v>0</v>
      </c>
    </row>
    <row r="26" spans="1:10" ht="17.25" x14ac:dyDescent="0.25">
      <c r="A26" s="966" t="s">
        <v>232</v>
      </c>
      <c r="B26" s="965">
        <v>0</v>
      </c>
      <c r="C26" s="965">
        <f>3.45* B5</f>
        <v>11.385</v>
      </c>
      <c r="D26" s="965">
        <f>3.18* B5</f>
        <v>10.494</v>
      </c>
      <c r="E26" s="965">
        <f>3.18* B5</f>
        <v>10.494</v>
      </c>
      <c r="F26" s="965">
        <f>1.85* B5</f>
        <v>6.1049999999999995</v>
      </c>
      <c r="G26" s="965">
        <f>2.65* B5</f>
        <v>8.7449999999999992</v>
      </c>
      <c r="H26" s="975">
        <f t="shared" si="1"/>
        <v>47.222999999999992</v>
      </c>
      <c r="I26" s="89"/>
      <c r="J26" s="924">
        <f t="shared" si="2"/>
        <v>32.372999999999998</v>
      </c>
    </row>
    <row r="27" spans="1:10" ht="17.25" customHeight="1" x14ac:dyDescent="0.25">
      <c r="A27" s="966" t="s">
        <v>231</v>
      </c>
      <c r="B27" s="965">
        <f>(4.63*9.35) *B5</f>
        <v>142.85864999999998</v>
      </c>
      <c r="C27" s="965">
        <f>(6.75+1.86)*B5</f>
        <v>28.412999999999997</v>
      </c>
      <c r="D27" s="965">
        <f>3.18*B5</f>
        <v>10.494</v>
      </c>
      <c r="E27" s="965">
        <f>3.18*B5</f>
        <v>10.494</v>
      </c>
      <c r="F27" s="965">
        <f>1.85*B5</f>
        <v>6.1049999999999995</v>
      </c>
      <c r="G27" s="965">
        <f>(2.65+2*2.12+2*1.59+2*1.86)*B5</f>
        <v>45.506999999999998</v>
      </c>
      <c r="H27" s="975">
        <f t="shared" si="1"/>
        <v>243.87164999999996</v>
      </c>
      <c r="I27" s="89"/>
      <c r="J27" s="924">
        <f t="shared" si="2"/>
        <v>192.25964999999997</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H6" sqref="H6"/>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10.6*10</f>
        <v>106</v>
      </c>
      <c r="C2" s="970"/>
      <c r="D2" s="970"/>
      <c r="E2" s="970"/>
      <c r="F2" s="970" t="s">
        <v>348</v>
      </c>
      <c r="G2" s="970">
        <f>H22</f>
        <v>19</v>
      </c>
      <c r="H2" s="970"/>
      <c r="I2" s="89"/>
    </row>
    <row r="3" spans="1:9" ht="17.25" x14ac:dyDescent="0.25">
      <c r="A3" s="972" t="s">
        <v>259</v>
      </c>
      <c r="B3" s="967">
        <f xml:space="preserve"> 10.6*10</f>
        <v>106</v>
      </c>
      <c r="C3" s="970"/>
      <c r="D3" s="970"/>
      <c r="E3" s="970"/>
      <c r="F3" s="970" t="s">
        <v>349</v>
      </c>
      <c r="G3" s="970">
        <f>H25</f>
        <v>0</v>
      </c>
      <c r="H3" s="970"/>
      <c r="I3" s="89"/>
    </row>
    <row r="4" spans="1:9" x14ac:dyDescent="0.25">
      <c r="A4" s="972" t="s">
        <v>258</v>
      </c>
      <c r="B4" s="967">
        <v>1</v>
      </c>
      <c r="C4" s="970"/>
      <c r="D4" s="970"/>
      <c r="E4" s="970"/>
      <c r="F4" s="970" t="s">
        <v>350</v>
      </c>
      <c r="G4" s="970">
        <f>H21</f>
        <v>78.362000000000009</v>
      </c>
      <c r="H4" s="970"/>
      <c r="I4" s="89"/>
    </row>
    <row r="5" spans="1:9" ht="17.25" x14ac:dyDescent="0.25">
      <c r="A5" s="972" t="s">
        <v>257</v>
      </c>
      <c r="B5" s="967">
        <f>3.24</f>
        <v>3.24</v>
      </c>
      <c r="C5" s="970"/>
      <c r="D5" s="970"/>
      <c r="E5" s="970"/>
      <c r="F5" s="970" t="s">
        <v>351</v>
      </c>
      <c r="G5" s="970">
        <f>H23</f>
        <v>0</v>
      </c>
      <c r="H5" s="970"/>
      <c r="I5" s="89"/>
    </row>
    <row r="6" spans="1:9" ht="17.25" x14ac:dyDescent="0.25">
      <c r="A6" s="972" t="s">
        <v>256</v>
      </c>
      <c r="B6" s="967">
        <v>0</v>
      </c>
      <c r="C6" s="970"/>
      <c r="D6" s="970"/>
      <c r="E6" s="970"/>
      <c r="F6" s="970" t="s">
        <v>352</v>
      </c>
      <c r="G6" s="970">
        <f>0</f>
        <v>0</v>
      </c>
      <c r="H6" s="970"/>
      <c r="I6" s="89"/>
    </row>
    <row r="7" spans="1:9" ht="17.25" x14ac:dyDescent="0.25">
      <c r="A7" s="972" t="s">
        <v>255</v>
      </c>
      <c r="B7" s="967">
        <v>0</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5.73*5.15</f>
        <v>29.509500000000003</v>
      </c>
      <c r="C12" s="967">
        <f t="shared" ref="C12:C17" si="0">B12*B$5</f>
        <v>95.61078000000002</v>
      </c>
      <c r="D12" s="970"/>
      <c r="E12" s="970"/>
      <c r="F12" s="970"/>
      <c r="G12" s="970"/>
      <c r="H12" s="970"/>
      <c r="I12" s="89"/>
    </row>
    <row r="13" spans="1:9" ht="17.25" x14ac:dyDescent="0.25">
      <c r="A13" s="972" t="s">
        <v>249</v>
      </c>
      <c r="B13" s="967">
        <f>9.45*4.85 - 1.1*(3.16+2.62)</f>
        <v>39.474499999999992</v>
      </c>
      <c r="C13" s="967">
        <f t="shared" si="0"/>
        <v>127.89737999999998</v>
      </c>
      <c r="D13" s="970"/>
      <c r="E13" s="970"/>
      <c r="F13" s="970"/>
      <c r="G13" s="970"/>
      <c r="H13" s="970"/>
      <c r="I13" s="89"/>
    </row>
    <row r="14" spans="1:9" ht="17.25" x14ac:dyDescent="0.25">
      <c r="A14" s="972" t="s">
        <v>248</v>
      </c>
      <c r="B14" s="967">
        <f>3*4.87</f>
        <v>14.61</v>
      </c>
      <c r="C14" s="967">
        <f t="shared" si="0"/>
        <v>47.336400000000005</v>
      </c>
      <c r="D14" s="970"/>
      <c r="E14" s="970"/>
      <c r="F14" s="970"/>
      <c r="G14" s="970"/>
      <c r="H14" s="970"/>
      <c r="I14" s="89"/>
    </row>
    <row r="15" spans="1:9" ht="17.25" x14ac:dyDescent="0.25">
      <c r="A15" s="972" t="s">
        <v>247</v>
      </c>
      <c r="B15" s="967">
        <f>2.2*2.2</f>
        <v>4.8400000000000007</v>
      </c>
      <c r="C15" s="967">
        <f t="shared" si="0"/>
        <v>15.681600000000003</v>
      </c>
      <c r="D15" s="970"/>
      <c r="E15" s="970"/>
      <c r="F15" s="970"/>
      <c r="G15" s="970"/>
      <c r="H15" s="970"/>
      <c r="I15" s="89"/>
    </row>
    <row r="16" spans="1:9" ht="17.25" x14ac:dyDescent="0.25">
      <c r="A16" s="972" t="s">
        <v>246</v>
      </c>
      <c r="B16" s="967">
        <v>0</v>
      </c>
      <c r="C16" s="967">
        <f t="shared" si="0"/>
        <v>0</v>
      </c>
      <c r="D16" s="970"/>
      <c r="E16" s="970"/>
      <c r="F16" s="970"/>
      <c r="G16" s="970"/>
      <c r="H16" s="970"/>
      <c r="I16" s="89"/>
    </row>
    <row r="17" spans="1:10" ht="17.25" x14ac:dyDescent="0.25">
      <c r="A17" s="972" t="s">
        <v>245</v>
      </c>
      <c r="B17" s="967">
        <f>B2-B12-B13-B14-B15</f>
        <v>17.566000000000006</v>
      </c>
      <c r="C17" s="967">
        <f t="shared" si="0"/>
        <v>56.913840000000022</v>
      </c>
      <c r="D17" s="970">
        <f>C12+C13+C14+C15+C16+C17</f>
        <v>343.44000000000005</v>
      </c>
      <c r="E17" s="970"/>
      <c r="F17" s="970"/>
      <c r="G17" s="970"/>
      <c r="H17" s="970"/>
      <c r="I17" s="89"/>
    </row>
    <row r="18" spans="1:10" x14ac:dyDescent="0.25">
      <c r="A18" s="970"/>
      <c r="B18" s="970">
        <f>SUM(B12:B15)</f>
        <v>88.433999999999997</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65">
        <f>(5.15+5.73)* B5-B22</f>
        <v>30.251200000000004</v>
      </c>
      <c r="C21" s="965">
        <f>(9.45+4.85)*B5-C22</f>
        <v>37.332000000000001</v>
      </c>
      <c r="D21" s="965">
        <f>(4.87)* B5-D22</f>
        <v>10.778800000000002</v>
      </c>
      <c r="E21" s="965">
        <v>0</v>
      </c>
      <c r="F21" s="965">
        <v>0</v>
      </c>
      <c r="G21" s="965">
        <v>0</v>
      </c>
      <c r="H21" s="975">
        <f>B21+C21+D21+E21+F21+G21</f>
        <v>78.362000000000009</v>
      </c>
      <c r="I21" s="89"/>
      <c r="J21" s="924">
        <f>SUM(B21:E21)</f>
        <v>78.362000000000009</v>
      </c>
    </row>
    <row r="22" spans="1:10" ht="17.25" x14ac:dyDescent="0.25">
      <c r="A22" s="966" t="s">
        <v>236</v>
      </c>
      <c r="B22" s="965">
        <v>5</v>
      </c>
      <c r="C22" s="965">
        <v>9</v>
      </c>
      <c r="D22" s="965">
        <v>5</v>
      </c>
      <c r="E22" s="965">
        <v>0</v>
      </c>
      <c r="F22" s="965">
        <v>0</v>
      </c>
      <c r="G22" s="965">
        <v>0</v>
      </c>
      <c r="H22" s="975">
        <f t="shared" ref="H22:H27" si="1">B22+C22+D22+E22+F22+G22</f>
        <v>19</v>
      </c>
      <c r="I22" s="89"/>
      <c r="J22" s="924">
        <f t="shared" ref="J22:J27" si="2">SUM(B22:E22)</f>
        <v>19</v>
      </c>
    </row>
    <row r="23" spans="1:10" ht="17.25" x14ac:dyDescent="0.25">
      <c r="A23" s="966" t="s">
        <v>235</v>
      </c>
      <c r="B23" s="965">
        <v>0</v>
      </c>
      <c r="C23" s="965">
        <v>0</v>
      </c>
      <c r="D23" s="965">
        <v>0</v>
      </c>
      <c r="E23" s="965">
        <v>0</v>
      </c>
      <c r="F23" s="965">
        <v>0</v>
      </c>
      <c r="G23" s="965">
        <v>0</v>
      </c>
      <c r="H23" s="975">
        <f t="shared" si="1"/>
        <v>0</v>
      </c>
      <c r="I23" s="89"/>
      <c r="J23" s="924">
        <f t="shared" si="2"/>
        <v>0</v>
      </c>
    </row>
    <row r="24" spans="1:10" ht="17.25" x14ac:dyDescent="0.25">
      <c r="A24" s="966" t="s">
        <v>234</v>
      </c>
      <c r="B24" s="965">
        <v>29.5</v>
      </c>
      <c r="C24" s="965">
        <v>39.44</v>
      </c>
      <c r="D24" s="965">
        <v>14.61</v>
      </c>
      <c r="E24" s="965">
        <v>4.4000000000000004</v>
      </c>
      <c r="F24" s="965">
        <v>0</v>
      </c>
      <c r="G24" s="965">
        <v>18.05</v>
      </c>
      <c r="H24" s="975">
        <f t="shared" si="1"/>
        <v>106</v>
      </c>
      <c r="I24" s="924">
        <f>H21+H22+H23+H24</f>
        <v>203.36200000000002</v>
      </c>
      <c r="J24" s="924">
        <f t="shared" si="2"/>
        <v>87.95</v>
      </c>
    </row>
    <row r="25" spans="1:10" ht="17.25" x14ac:dyDescent="0.25">
      <c r="A25" s="966" t="s">
        <v>233</v>
      </c>
      <c r="B25" s="965">
        <v>0</v>
      </c>
      <c r="C25" s="965">
        <v>0</v>
      </c>
      <c r="D25" s="965">
        <v>0</v>
      </c>
      <c r="E25" s="965">
        <v>0</v>
      </c>
      <c r="F25" s="965">
        <v>0</v>
      </c>
      <c r="G25" s="965">
        <v>0</v>
      </c>
      <c r="H25" s="975">
        <f t="shared" si="1"/>
        <v>0</v>
      </c>
      <c r="I25" s="89"/>
      <c r="J25" s="924">
        <f t="shared" si="2"/>
        <v>0</v>
      </c>
    </row>
    <row r="26" spans="1:10" ht="17.25" x14ac:dyDescent="0.25">
      <c r="A26" s="966" t="s">
        <v>232</v>
      </c>
      <c r="B26" s="965">
        <v>0</v>
      </c>
      <c r="C26" s="965">
        <v>0</v>
      </c>
      <c r="D26" s="965">
        <f>2.9 * B5</f>
        <v>9.3960000000000008</v>
      </c>
      <c r="E26" s="965">
        <v>0</v>
      </c>
      <c r="F26" s="965">
        <v>0</v>
      </c>
      <c r="G26" s="965">
        <f>7.1*B5</f>
        <v>23.004000000000001</v>
      </c>
      <c r="H26" s="975">
        <f t="shared" si="1"/>
        <v>32.400000000000006</v>
      </c>
      <c r="I26" s="89"/>
      <c r="J26" s="924">
        <f t="shared" si="2"/>
        <v>9.3960000000000008</v>
      </c>
    </row>
    <row r="27" spans="1:10" ht="17.25" customHeight="1" x14ac:dyDescent="0.25">
      <c r="A27" s="966" t="s">
        <v>231</v>
      </c>
      <c r="B27" s="982">
        <f>(5.15+5.73)*B5</f>
        <v>35.251200000000004</v>
      </c>
      <c r="C27" s="982">
        <f>(4.85+9.45)*B5</f>
        <v>46.332000000000001</v>
      </c>
      <c r="D27" s="982">
        <f>(4.87+2.9)*B5</f>
        <v>25.174800000000001</v>
      </c>
      <c r="E27" s="982">
        <f>4*2.2*B5</f>
        <v>28.512000000000004</v>
      </c>
      <c r="F27" s="982">
        <v>0</v>
      </c>
      <c r="G27" s="982">
        <f>7.1+2*(3.16+2.62)*B5</f>
        <v>44.554400000000008</v>
      </c>
      <c r="H27" s="975">
        <f t="shared" si="1"/>
        <v>179.82440000000003</v>
      </c>
      <c r="I27" s="89"/>
      <c r="J27" s="924">
        <f t="shared" si="2"/>
        <v>135.27000000000001</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I9" sqref="I9"/>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67">
        <f xml:space="preserve"> 15.17*6.54 - (5.31*1.62 + 1.91*2.11)</f>
        <v>86.579499999999996</v>
      </c>
      <c r="C2" s="970"/>
      <c r="D2" s="970"/>
      <c r="E2" s="970"/>
      <c r="F2" s="970" t="s">
        <v>348</v>
      </c>
      <c r="G2" s="970">
        <f>H22</f>
        <v>15.99</v>
      </c>
      <c r="H2" s="970"/>
      <c r="I2" s="89"/>
    </row>
    <row r="3" spans="1:9" ht="17.25" x14ac:dyDescent="0.25">
      <c r="A3" s="972" t="s">
        <v>259</v>
      </c>
      <c r="B3" s="967">
        <f xml:space="preserve"> 15.17*6.54 - (5.31*1.62 + 1.91*2.11)</f>
        <v>86.579499999999996</v>
      </c>
      <c r="C3" s="970"/>
      <c r="D3" s="970"/>
      <c r="E3" s="970"/>
      <c r="F3" s="970" t="s">
        <v>349</v>
      </c>
      <c r="G3" s="970">
        <f>H25</f>
        <v>0</v>
      </c>
      <c r="H3" s="970"/>
      <c r="I3" s="89"/>
    </row>
    <row r="4" spans="1:9" x14ac:dyDescent="0.25">
      <c r="A4" s="972" t="s">
        <v>258</v>
      </c>
      <c r="B4" s="967">
        <v>1</v>
      </c>
      <c r="C4" s="970"/>
      <c r="D4" s="970"/>
      <c r="E4" s="970"/>
      <c r="F4" s="970" t="s">
        <v>350</v>
      </c>
      <c r="G4" s="970">
        <f>H21</f>
        <v>40.706666666666663</v>
      </c>
      <c r="H4" s="970"/>
      <c r="I4" s="89"/>
    </row>
    <row r="5" spans="1:9" ht="17.25" x14ac:dyDescent="0.25">
      <c r="A5" s="972" t="s">
        <v>257</v>
      </c>
      <c r="B5" s="967">
        <f xml:space="preserve"> 308/84</f>
        <v>3.6666666666666665</v>
      </c>
      <c r="C5" s="970"/>
      <c r="D5" s="970"/>
      <c r="E5" s="970"/>
      <c r="F5" s="970" t="s">
        <v>351</v>
      </c>
      <c r="G5" s="970">
        <f>H23</f>
        <v>0</v>
      </c>
      <c r="H5" s="970"/>
      <c r="I5" s="89"/>
    </row>
    <row r="6" spans="1:9" ht="17.25" x14ac:dyDescent="0.25">
      <c r="A6" s="972" t="s">
        <v>256</v>
      </c>
      <c r="B6" s="967">
        <v>0</v>
      </c>
      <c r="C6" s="970"/>
      <c r="D6" s="970"/>
      <c r="E6" s="970"/>
      <c r="F6" s="970" t="s">
        <v>352</v>
      </c>
      <c r="G6" s="970">
        <f>0</f>
        <v>0</v>
      </c>
      <c r="H6" s="970"/>
      <c r="I6" s="89"/>
    </row>
    <row r="7" spans="1:9" ht="17.25" x14ac:dyDescent="0.25">
      <c r="A7" s="972" t="s">
        <v>255</v>
      </c>
      <c r="B7" s="967">
        <v>0</v>
      </c>
      <c r="C7" s="970"/>
      <c r="D7" s="970"/>
      <c r="E7" s="970"/>
      <c r="F7" s="970" t="s">
        <v>353</v>
      </c>
      <c r="G7" s="970">
        <v>0</v>
      </c>
      <c r="H7" s="970"/>
      <c r="I7" s="89"/>
    </row>
    <row r="8" spans="1:9" ht="17.25" x14ac:dyDescent="0.25">
      <c r="A8" s="972" t="s">
        <v>263</v>
      </c>
      <c r="B8" s="967">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67">
        <f>4.15*6.54</f>
        <v>27.141000000000002</v>
      </c>
      <c r="C12" s="967">
        <f t="shared" ref="C12:C17" si="0">B12*B$5</f>
        <v>99.516999999999996</v>
      </c>
      <c r="D12" s="970"/>
      <c r="E12" s="970"/>
      <c r="F12" s="970"/>
      <c r="G12" s="970"/>
      <c r="H12" s="970"/>
      <c r="I12" s="89"/>
    </row>
    <row r="13" spans="1:9" ht="17.25" x14ac:dyDescent="0.25">
      <c r="A13" s="972" t="s">
        <v>249</v>
      </c>
      <c r="B13" s="967">
        <f>15.17+11.4</f>
        <v>26.57</v>
      </c>
      <c r="C13" s="967">
        <f t="shared" si="0"/>
        <v>97.423333333333332</v>
      </c>
      <c r="D13" s="970"/>
      <c r="E13" s="970"/>
      <c r="F13" s="970"/>
      <c r="G13" s="970"/>
      <c r="H13" s="970"/>
      <c r="I13" s="89"/>
    </row>
    <row r="14" spans="1:9" ht="17.25" x14ac:dyDescent="0.25">
      <c r="A14" s="972" t="s">
        <v>248</v>
      </c>
      <c r="B14" s="967">
        <f>3.2*2.54</f>
        <v>8.1280000000000001</v>
      </c>
      <c r="C14" s="967">
        <f t="shared" si="0"/>
        <v>29.802666666666667</v>
      </c>
      <c r="D14" s="970"/>
      <c r="E14" s="970"/>
      <c r="F14" s="970"/>
      <c r="G14" s="970"/>
      <c r="H14" s="970"/>
      <c r="I14" s="89"/>
    </row>
    <row r="15" spans="1:9" ht="17.25" x14ac:dyDescent="0.25">
      <c r="A15" s="972" t="s">
        <v>247</v>
      </c>
      <c r="B15" s="967">
        <f>(2.8*2.11)</f>
        <v>5.9079999999999995</v>
      </c>
      <c r="C15" s="967">
        <f t="shared" si="0"/>
        <v>21.662666666666663</v>
      </c>
      <c r="D15" s="970"/>
      <c r="E15" s="970"/>
      <c r="F15" s="970"/>
      <c r="G15" s="970"/>
      <c r="H15" s="970"/>
      <c r="I15" s="89"/>
    </row>
    <row r="16" spans="1:9" ht="17.25" x14ac:dyDescent="0.25">
      <c r="A16" s="972" t="s">
        <v>246</v>
      </c>
      <c r="B16" s="967">
        <f>2.11*2.3+1.23*1.62</f>
        <v>6.8456000000000001</v>
      </c>
      <c r="C16" s="967">
        <f t="shared" si="0"/>
        <v>25.100533333333331</v>
      </c>
      <c r="D16" s="970"/>
      <c r="E16" s="970"/>
      <c r="F16" s="970"/>
      <c r="G16" s="970"/>
      <c r="H16" s="970"/>
      <c r="I16" s="89"/>
    </row>
    <row r="17" spans="1:10" ht="17.25" x14ac:dyDescent="0.25">
      <c r="A17" s="972" t="s">
        <v>245</v>
      </c>
      <c r="B17" s="967">
        <f>B2-B12-B13-B14-B15-B16</f>
        <v>11.986899999999988</v>
      </c>
      <c r="C17" s="967">
        <f t="shared" si="0"/>
        <v>43.951966666666621</v>
      </c>
      <c r="D17" s="970">
        <f>C12+C13+C14+C15+C16+C17</f>
        <v>317.45816666666661</v>
      </c>
      <c r="E17" s="970"/>
      <c r="F17" s="970"/>
      <c r="G17" s="970"/>
      <c r="H17" s="970"/>
      <c r="I17" s="89"/>
    </row>
    <row r="18" spans="1:10" x14ac:dyDescent="0.25">
      <c r="A18" s="970"/>
      <c r="B18" s="970">
        <f>SUM(B12:B15)</f>
        <v>67.747</v>
      </c>
      <c r="C18" s="970"/>
      <c r="D18" s="970"/>
      <c r="E18" s="970"/>
      <c r="F18" s="970"/>
      <c r="G18" s="970"/>
      <c r="H18" s="970"/>
      <c r="I18" s="89"/>
    </row>
    <row r="19" spans="1:10" x14ac:dyDescent="0.25">
      <c r="A19" s="971" t="s">
        <v>244</v>
      </c>
      <c r="B19" s="970"/>
      <c r="C19" s="970"/>
      <c r="D19" s="970"/>
      <c r="E19" s="970"/>
      <c r="F19" s="970"/>
      <c r="G19" s="970"/>
      <c r="H19" s="970"/>
      <c r="I19" s="89"/>
    </row>
    <row r="20" spans="1:10" ht="28.5" x14ac:dyDescent="0.25">
      <c r="A20" s="966"/>
      <c r="B20" s="968" t="s">
        <v>243</v>
      </c>
      <c r="C20" s="968" t="s">
        <v>242</v>
      </c>
      <c r="D20" s="968" t="s">
        <v>241</v>
      </c>
      <c r="E20" s="968" t="s">
        <v>240</v>
      </c>
      <c r="F20" s="968" t="s">
        <v>239</v>
      </c>
      <c r="G20" s="968" t="s">
        <v>238</v>
      </c>
      <c r="H20" s="983" t="s">
        <v>188</v>
      </c>
      <c r="I20" s="89"/>
      <c r="J20" s="1000" t="s">
        <v>289</v>
      </c>
    </row>
    <row r="21" spans="1:10" ht="17.25" customHeight="1" x14ac:dyDescent="0.25">
      <c r="A21" s="966" t="s">
        <v>237</v>
      </c>
      <c r="B21" s="977">
        <f>4.15*B5 - B22</f>
        <v>8.5566666666666666</v>
      </c>
      <c r="C21" s="977">
        <f>6.88*B5 - C22</f>
        <v>18.896666666666668</v>
      </c>
      <c r="D21" s="977">
        <f>2.54* B5 - D22</f>
        <v>7.3133333333333326</v>
      </c>
      <c r="E21" s="977">
        <v>0</v>
      </c>
      <c r="F21" s="977">
        <f>1.62*B5 - E22</f>
        <v>5.94</v>
      </c>
      <c r="G21" s="977">
        <v>0</v>
      </c>
      <c r="H21" s="975">
        <f>B21+C21+D21+E21+F21+G21</f>
        <v>40.706666666666663</v>
      </c>
      <c r="I21" s="89"/>
      <c r="J21" s="924">
        <f>SUM(B21:E21)</f>
        <v>34.766666666666666</v>
      </c>
    </row>
    <row r="22" spans="1:10" ht="17.25" x14ac:dyDescent="0.25">
      <c r="A22" s="966" t="s">
        <v>236</v>
      </c>
      <c r="B22" s="977">
        <v>6.66</v>
      </c>
      <c r="C22" s="977">
        <v>6.33</v>
      </c>
      <c r="D22" s="977">
        <v>2</v>
      </c>
      <c r="E22" s="977">
        <v>0</v>
      </c>
      <c r="F22" s="977">
        <v>1</v>
      </c>
      <c r="G22" s="977">
        <v>0</v>
      </c>
      <c r="H22" s="975">
        <f t="shared" ref="H22:H27" si="1">B22+C22+D22+E22+F22+G22</f>
        <v>15.99</v>
      </c>
      <c r="I22" s="89"/>
      <c r="J22" s="924">
        <f t="shared" ref="J22:J27" si="2">SUM(B22:E22)</f>
        <v>14.99</v>
      </c>
    </row>
    <row r="23" spans="1:10" ht="17.25" x14ac:dyDescent="0.25">
      <c r="A23" s="966" t="s">
        <v>235</v>
      </c>
      <c r="B23" s="977">
        <v>0</v>
      </c>
      <c r="C23" s="977">
        <v>0</v>
      </c>
      <c r="D23" s="977">
        <v>0</v>
      </c>
      <c r="E23" s="977">
        <v>0</v>
      </c>
      <c r="F23" s="977">
        <v>0</v>
      </c>
      <c r="G23" s="977">
        <v>0</v>
      </c>
      <c r="H23" s="975">
        <f t="shared" si="1"/>
        <v>0</v>
      </c>
      <c r="I23" s="89"/>
      <c r="J23" s="924">
        <f t="shared" si="2"/>
        <v>0</v>
      </c>
    </row>
    <row r="24" spans="1:10" ht="17.25" x14ac:dyDescent="0.25">
      <c r="A24" s="966" t="s">
        <v>234</v>
      </c>
      <c r="B24" s="977">
        <v>27.14</v>
      </c>
      <c r="C24" s="977">
        <v>26.57</v>
      </c>
      <c r="D24" s="977">
        <v>8.1199999999999992</v>
      </c>
      <c r="E24" s="977">
        <v>5.9</v>
      </c>
      <c r="F24" s="977">
        <v>6.4</v>
      </c>
      <c r="G24" s="977">
        <v>12.43</v>
      </c>
      <c r="H24" s="975">
        <f t="shared" si="1"/>
        <v>86.56</v>
      </c>
      <c r="I24" s="924">
        <f>H21+H22+H23+H24</f>
        <v>143.25666666666666</v>
      </c>
      <c r="J24" s="924">
        <f t="shared" si="2"/>
        <v>67.73</v>
      </c>
    </row>
    <row r="25" spans="1:10" ht="17.25" x14ac:dyDescent="0.25">
      <c r="A25" s="966" t="s">
        <v>233</v>
      </c>
      <c r="B25" s="977">
        <v>0</v>
      </c>
      <c r="C25" s="977">
        <v>0</v>
      </c>
      <c r="D25" s="977">
        <v>0</v>
      </c>
      <c r="E25" s="977">
        <v>0</v>
      </c>
      <c r="F25" s="977">
        <v>0</v>
      </c>
      <c r="G25" s="977">
        <v>0</v>
      </c>
      <c r="H25" s="975">
        <f t="shared" si="1"/>
        <v>0</v>
      </c>
      <c r="I25" s="89"/>
      <c r="J25" s="924">
        <f t="shared" si="2"/>
        <v>0</v>
      </c>
    </row>
    <row r="26" spans="1:10" ht="17.25" x14ac:dyDescent="0.25">
      <c r="A26" s="966" t="s">
        <v>232</v>
      </c>
      <c r="B26" s="977">
        <f>4.15*B5</f>
        <v>15.216666666666667</v>
      </c>
      <c r="C26" s="977">
        <f>(4.36+1.91)*B5</f>
        <v>22.990000000000002</v>
      </c>
      <c r="D26" s="977">
        <f>2.8* B5</f>
        <v>10.266666666666666</v>
      </c>
      <c r="E26" s="977">
        <f>(2.11+2.8)*B5</f>
        <v>18.003333333333334</v>
      </c>
      <c r="F26" s="977">
        <f>(1.23+1.62+2.3)*B5</f>
        <v>18.883333333333333</v>
      </c>
      <c r="G26" s="977">
        <f>(2.5+2.11+2)*B5</f>
        <v>24.236666666666665</v>
      </c>
      <c r="H26" s="975">
        <f t="shared" si="1"/>
        <v>109.59666666666668</v>
      </c>
      <c r="I26" s="89"/>
      <c r="J26" s="924">
        <f t="shared" si="2"/>
        <v>66.476666666666674</v>
      </c>
    </row>
    <row r="27" spans="1:10" ht="17.25" customHeight="1" x14ac:dyDescent="0.25">
      <c r="A27" s="966" t="s">
        <v>231</v>
      </c>
      <c r="B27" s="977">
        <f>2*6.47*B5</f>
        <v>47.446666666666665</v>
      </c>
      <c r="C27" s="977">
        <f>(4.36+1.9+3.4)*B5</f>
        <v>35.42</v>
      </c>
      <c r="D27" s="977">
        <f>(2.5+3)*B5</f>
        <v>20.166666666666664</v>
      </c>
      <c r="E27" s="977">
        <f>(2.11+2.8)*B5</f>
        <v>18.003333333333334</v>
      </c>
      <c r="F27" s="977">
        <f>(1.23+2.11+2.3)*B5</f>
        <v>20.68</v>
      </c>
      <c r="G27" s="977">
        <f>(2.5+2.11+2+3.3+3.4+2*1)*B5</f>
        <v>56.136666666666663</v>
      </c>
      <c r="H27" s="975">
        <f t="shared" si="1"/>
        <v>197.85333333333332</v>
      </c>
      <c r="I27" s="89"/>
      <c r="J27" s="924">
        <f t="shared" si="2"/>
        <v>121.03666666666666</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G15" sqref="G15"/>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9" x14ac:dyDescent="0.25">
      <c r="A1" s="974" t="s">
        <v>261</v>
      </c>
    </row>
    <row r="2" spans="1:9" ht="17.25" x14ac:dyDescent="0.25">
      <c r="A2" s="972" t="s">
        <v>260</v>
      </c>
      <c r="B2" s="975">
        <f xml:space="preserve"> 9.08*14.72+ (2.36+3.23)*2.8</f>
        <v>149.30959999999999</v>
      </c>
      <c r="C2" s="970"/>
      <c r="D2" s="970"/>
      <c r="E2" s="970"/>
      <c r="F2" s="970" t="s">
        <v>348</v>
      </c>
      <c r="G2" s="970">
        <f>H22</f>
        <v>39.999999999999993</v>
      </c>
      <c r="H2" s="970"/>
      <c r="I2" s="89"/>
    </row>
    <row r="3" spans="1:9" ht="17.25" x14ac:dyDescent="0.25">
      <c r="A3" s="972" t="s">
        <v>259</v>
      </c>
      <c r="B3" s="975">
        <f xml:space="preserve"> 149.3</f>
        <v>149.30000000000001</v>
      </c>
      <c r="C3" s="970"/>
      <c r="D3" s="970"/>
      <c r="E3" s="970"/>
      <c r="F3" s="970" t="s">
        <v>349</v>
      </c>
      <c r="G3" s="970">
        <f>H25</f>
        <v>0</v>
      </c>
      <c r="H3" s="970"/>
      <c r="I3" s="89"/>
    </row>
    <row r="4" spans="1:9" x14ac:dyDescent="0.25">
      <c r="A4" s="972" t="s">
        <v>258</v>
      </c>
      <c r="B4" s="975">
        <v>1</v>
      </c>
      <c r="C4" s="970"/>
      <c r="D4" s="970"/>
      <c r="E4" s="970"/>
      <c r="F4" s="970" t="s">
        <v>350</v>
      </c>
      <c r="G4" s="970">
        <f>H21</f>
        <v>75.44</v>
      </c>
      <c r="H4" s="970"/>
      <c r="I4" s="89"/>
    </row>
    <row r="5" spans="1:9" ht="17.25" x14ac:dyDescent="0.25">
      <c r="A5" s="972" t="s">
        <v>257</v>
      </c>
      <c r="B5" s="975">
        <v>3</v>
      </c>
      <c r="C5" s="970"/>
      <c r="D5" s="970"/>
      <c r="E5" s="970"/>
      <c r="F5" s="970" t="s">
        <v>351</v>
      </c>
      <c r="G5" s="970">
        <f>H23</f>
        <v>0</v>
      </c>
      <c r="H5" s="970"/>
      <c r="I5" s="89"/>
    </row>
    <row r="6" spans="1:9" ht="17.25" x14ac:dyDescent="0.25">
      <c r="A6" s="972" t="s">
        <v>256</v>
      </c>
      <c r="B6" s="975">
        <v>0</v>
      </c>
      <c r="C6" s="970"/>
      <c r="D6" s="970"/>
      <c r="E6" s="970"/>
      <c r="F6" s="970" t="s">
        <v>352</v>
      </c>
      <c r="G6" s="970">
        <f>0</f>
        <v>0</v>
      </c>
      <c r="H6" s="970"/>
      <c r="I6" s="89"/>
    </row>
    <row r="7" spans="1:9" ht="17.25" x14ac:dyDescent="0.25">
      <c r="A7" s="972" t="s">
        <v>255</v>
      </c>
      <c r="B7" s="975">
        <v>0</v>
      </c>
      <c r="C7" s="970"/>
      <c r="D7" s="970"/>
      <c r="E7" s="970"/>
      <c r="F7" s="970" t="s">
        <v>353</v>
      </c>
      <c r="G7" s="970">
        <v>0</v>
      </c>
      <c r="H7" s="970"/>
      <c r="I7" s="89"/>
    </row>
    <row r="8" spans="1:9" ht="17.25" x14ac:dyDescent="0.25">
      <c r="A8" s="972" t="s">
        <v>263</v>
      </c>
      <c r="B8" s="975">
        <v>0</v>
      </c>
      <c r="C8" s="970"/>
      <c r="D8" s="970"/>
      <c r="E8" s="970"/>
      <c r="F8" s="970" t="s">
        <v>354</v>
      </c>
      <c r="G8" s="970">
        <v>0</v>
      </c>
      <c r="H8" s="970"/>
      <c r="I8" s="89"/>
    </row>
    <row r="9" spans="1:9" x14ac:dyDescent="0.25">
      <c r="A9" s="970"/>
      <c r="B9" s="970"/>
      <c r="C9" s="970"/>
      <c r="D9" s="970"/>
      <c r="E9" s="970"/>
      <c r="F9" s="970" t="s">
        <v>355</v>
      </c>
      <c r="G9" s="970">
        <v>0</v>
      </c>
      <c r="H9" s="970"/>
      <c r="I9" s="89"/>
    </row>
    <row r="10" spans="1:9" x14ac:dyDescent="0.25">
      <c r="A10" s="971" t="s">
        <v>253</v>
      </c>
      <c r="B10" s="970"/>
      <c r="C10" s="970"/>
      <c r="D10" s="970"/>
      <c r="E10" s="970"/>
      <c r="F10" s="970"/>
      <c r="G10" s="970"/>
      <c r="H10" s="970"/>
      <c r="I10" s="89"/>
    </row>
    <row r="11" spans="1:9" ht="16.5" x14ac:dyDescent="0.25">
      <c r="A11" s="973"/>
      <c r="B11" s="972" t="s">
        <v>252</v>
      </c>
      <c r="C11" s="972" t="s">
        <v>251</v>
      </c>
      <c r="D11" s="970"/>
      <c r="E11" s="970"/>
      <c r="F11" s="970"/>
      <c r="G11" s="970"/>
      <c r="H11" s="970"/>
      <c r="I11" s="89"/>
    </row>
    <row r="12" spans="1:9" ht="17.25" x14ac:dyDescent="0.25">
      <c r="A12" s="972" t="s">
        <v>250</v>
      </c>
      <c r="B12" s="975">
        <f>5.75*(5.13+3.23) + 2.8*3.23</f>
        <v>57.11399999999999</v>
      </c>
      <c r="C12" s="975">
        <f t="shared" ref="C12:C17" si="0">B12*B$5</f>
        <v>171.34199999999998</v>
      </c>
      <c r="D12" s="970"/>
      <c r="E12" s="970"/>
      <c r="F12" s="970"/>
      <c r="G12" s="970"/>
      <c r="H12" s="970"/>
      <c r="I12" s="89"/>
    </row>
    <row r="13" spans="1:9" ht="17.25" x14ac:dyDescent="0.25">
      <c r="A13" s="972" t="s">
        <v>249</v>
      </c>
      <c r="B13" s="975">
        <f>9.08*4 + 2.36*2</f>
        <v>41.04</v>
      </c>
      <c r="C13" s="975">
        <f t="shared" si="0"/>
        <v>123.12</v>
      </c>
      <c r="D13" s="970"/>
      <c r="E13" s="970"/>
      <c r="F13" s="970"/>
      <c r="G13" s="970"/>
      <c r="H13" s="970"/>
      <c r="I13" s="89"/>
    </row>
    <row r="14" spans="1:9" ht="17.25" x14ac:dyDescent="0.25">
      <c r="A14" s="972" t="s">
        <v>248</v>
      </c>
      <c r="B14" s="975">
        <f>3.33*5.13</f>
        <v>17.082899999999999</v>
      </c>
      <c r="C14" s="975">
        <f t="shared" si="0"/>
        <v>51.248699999999999</v>
      </c>
      <c r="D14" s="970"/>
      <c r="E14" s="970"/>
      <c r="F14" s="970"/>
      <c r="G14" s="970"/>
      <c r="H14" s="970"/>
      <c r="I14" s="89"/>
    </row>
    <row r="15" spans="1:9" ht="17.25" x14ac:dyDescent="0.25">
      <c r="A15" s="972" t="s">
        <v>247</v>
      </c>
      <c r="B15" s="975">
        <f>2.36 * 2.8</f>
        <v>6.6079999999999997</v>
      </c>
      <c r="C15" s="975">
        <f t="shared" si="0"/>
        <v>19.823999999999998</v>
      </c>
      <c r="D15" s="970"/>
      <c r="E15" s="970"/>
      <c r="F15" s="970"/>
      <c r="G15" s="970"/>
      <c r="H15" s="970"/>
      <c r="I15" s="89"/>
    </row>
    <row r="16" spans="1:9" ht="17.25" x14ac:dyDescent="0.25">
      <c r="A16" s="972" t="s">
        <v>246</v>
      </c>
      <c r="B16" s="975">
        <v>3.3</v>
      </c>
      <c r="C16" s="975">
        <f t="shared" si="0"/>
        <v>9.8999999999999986</v>
      </c>
      <c r="D16" s="970"/>
      <c r="E16" s="970"/>
      <c r="F16" s="970"/>
      <c r="G16" s="970"/>
      <c r="H16" s="970"/>
      <c r="I16" s="89"/>
    </row>
    <row r="17" spans="1:10" ht="17.25" x14ac:dyDescent="0.25">
      <c r="A17" s="972" t="s">
        <v>245</v>
      </c>
      <c r="B17" s="967">
        <f>B3-B12-B13-B14-B15-B16</f>
        <v>24.155100000000019</v>
      </c>
      <c r="C17" s="975">
        <f t="shared" si="0"/>
        <v>72.465300000000056</v>
      </c>
      <c r="D17" s="970">
        <f>C12+C13+C14+C15+C16+C17</f>
        <v>447.90000000000003</v>
      </c>
      <c r="E17" s="970"/>
      <c r="F17" s="970"/>
      <c r="G17" s="970"/>
      <c r="H17" s="970"/>
      <c r="I17" s="89"/>
    </row>
    <row r="18" spans="1:10" x14ac:dyDescent="0.25">
      <c r="A18" s="970"/>
      <c r="B18" s="970">
        <f>SUM(B12:B15)</f>
        <v>121.8449</v>
      </c>
      <c r="C18" s="970"/>
      <c r="D18" s="970"/>
      <c r="E18" s="970"/>
      <c r="F18" s="970"/>
      <c r="G18" s="970"/>
      <c r="H18" s="970"/>
      <c r="I18" s="89"/>
    </row>
    <row r="19" spans="1:10" x14ac:dyDescent="0.25">
      <c r="A19" s="971" t="s">
        <v>244</v>
      </c>
      <c r="B19" s="970">
        <f t="shared" ref="B19:B20" si="1">SUM(B13:B16)</f>
        <v>68.030900000000003</v>
      </c>
      <c r="C19" s="970"/>
      <c r="D19" s="970"/>
      <c r="E19" s="970"/>
      <c r="F19" s="970"/>
      <c r="G19" s="970"/>
      <c r="H19" s="970"/>
      <c r="I19" s="89"/>
    </row>
    <row r="20" spans="1:10" ht="28.5" x14ac:dyDescent="0.25">
      <c r="A20" s="966"/>
      <c r="B20" s="970">
        <f t="shared" si="1"/>
        <v>51.146000000000015</v>
      </c>
      <c r="C20" s="968" t="s">
        <v>242</v>
      </c>
      <c r="D20" s="968" t="s">
        <v>241</v>
      </c>
      <c r="E20" s="968" t="s">
        <v>240</v>
      </c>
      <c r="F20" s="968" t="s">
        <v>239</v>
      </c>
      <c r="G20" s="968" t="s">
        <v>238</v>
      </c>
      <c r="H20" s="983" t="s">
        <v>188</v>
      </c>
      <c r="I20" s="89"/>
      <c r="J20" s="1000" t="s">
        <v>289</v>
      </c>
    </row>
    <row r="21" spans="1:10" ht="17.25" customHeight="1" x14ac:dyDescent="0.25">
      <c r="A21" s="966" t="s">
        <v>237</v>
      </c>
      <c r="B21" s="965">
        <f>(5.75 + 5.13 + 3.23) * B5 -B22</f>
        <v>22.43</v>
      </c>
      <c r="C21" s="965">
        <f>(11.88+4) * B5 - C22</f>
        <v>36.19</v>
      </c>
      <c r="D21" s="965">
        <f>3.33* B5 - D22</f>
        <v>2.99</v>
      </c>
      <c r="E21" s="965">
        <f>(2.8+2.36)* B5 -E22</f>
        <v>13.83</v>
      </c>
      <c r="F21" s="965">
        <v>0</v>
      </c>
      <c r="G21" s="965">
        <v>0</v>
      </c>
      <c r="H21" s="975">
        <f>B21+C21+D21+E21+F21+G21</f>
        <v>75.44</v>
      </c>
      <c r="I21" s="89"/>
      <c r="J21" s="924">
        <f>SUM(B21:E21)</f>
        <v>75.44</v>
      </c>
    </row>
    <row r="22" spans="1:10" ht="17.25" x14ac:dyDescent="0.25">
      <c r="A22" s="966" t="s">
        <v>236</v>
      </c>
      <c r="B22" s="967">
        <f>9+5.45+5.45</f>
        <v>19.899999999999999</v>
      </c>
      <c r="C22" s="967">
        <f>6+5.45</f>
        <v>11.45</v>
      </c>
      <c r="D22" s="967">
        <f>7</f>
        <v>7</v>
      </c>
      <c r="E22" s="965">
        <f>1.65</f>
        <v>1.65</v>
      </c>
      <c r="F22" s="965">
        <v>0</v>
      </c>
      <c r="G22" s="965">
        <v>0</v>
      </c>
      <c r="H22" s="975">
        <f t="shared" ref="H22:H27" si="2">B22+C22+D22+E22+F22+G22</f>
        <v>39.999999999999993</v>
      </c>
      <c r="I22" s="89"/>
      <c r="J22" s="924">
        <f t="shared" ref="J22:J27" si="3">SUM(B22:E22)</f>
        <v>39.999999999999993</v>
      </c>
    </row>
    <row r="23" spans="1:10" ht="17.25" x14ac:dyDescent="0.25">
      <c r="A23" s="966" t="s">
        <v>235</v>
      </c>
      <c r="B23" s="965" t="s">
        <v>264</v>
      </c>
      <c r="C23" s="965">
        <v>0</v>
      </c>
      <c r="D23" s="965">
        <v>0</v>
      </c>
      <c r="E23" s="965">
        <v>0</v>
      </c>
      <c r="F23" s="965">
        <v>0</v>
      </c>
      <c r="G23" s="965">
        <v>0</v>
      </c>
      <c r="H23" s="975">
        <f t="shared" si="2"/>
        <v>0</v>
      </c>
      <c r="I23" s="89"/>
      <c r="J23" s="924">
        <f t="shared" si="3"/>
        <v>0</v>
      </c>
    </row>
    <row r="24" spans="1:10" ht="17.25" x14ac:dyDescent="0.25">
      <c r="A24" s="966" t="s">
        <v>234</v>
      </c>
      <c r="B24" s="965">
        <v>57.11</v>
      </c>
      <c r="C24" s="965">
        <v>41.04</v>
      </c>
      <c r="D24" s="965">
        <v>18.75</v>
      </c>
      <c r="E24" s="965">
        <v>6.6</v>
      </c>
      <c r="F24" s="965">
        <v>3.3</v>
      </c>
      <c r="G24" s="965">
        <v>22.5</v>
      </c>
      <c r="H24" s="975">
        <f t="shared" si="2"/>
        <v>149.30000000000001</v>
      </c>
      <c r="I24" s="924">
        <f>H21+H22+H23+H24</f>
        <v>264.74</v>
      </c>
      <c r="J24" s="924">
        <f t="shared" si="3"/>
        <v>123.5</v>
      </c>
    </row>
    <row r="25" spans="1:10" ht="17.25" x14ac:dyDescent="0.25">
      <c r="A25" s="966" t="s">
        <v>233</v>
      </c>
      <c r="B25" s="965">
        <v>0</v>
      </c>
      <c r="C25" s="965">
        <v>0</v>
      </c>
      <c r="D25" s="965">
        <v>0</v>
      </c>
      <c r="E25" s="965">
        <v>0</v>
      </c>
      <c r="F25" s="965">
        <v>0</v>
      </c>
      <c r="G25" s="965">
        <v>0</v>
      </c>
      <c r="H25" s="975">
        <f t="shared" si="2"/>
        <v>0</v>
      </c>
      <c r="I25" s="89"/>
      <c r="J25" s="924">
        <f t="shared" si="3"/>
        <v>0</v>
      </c>
    </row>
    <row r="26" spans="1:10" ht="17.25" x14ac:dyDescent="0.25">
      <c r="A26" s="966" t="s">
        <v>232</v>
      </c>
      <c r="B26" s="965">
        <v>0</v>
      </c>
      <c r="C26" s="965">
        <f>4* B5</f>
        <v>12</v>
      </c>
      <c r="D26" s="965">
        <f>5.13* B5</f>
        <v>15.39</v>
      </c>
      <c r="E26" s="965">
        <v>0</v>
      </c>
      <c r="F26" s="965">
        <f>1* B5</f>
        <v>3</v>
      </c>
      <c r="G26" s="965">
        <f>4.4*B5</f>
        <v>13.200000000000001</v>
      </c>
      <c r="H26" s="975">
        <f t="shared" si="2"/>
        <v>43.59</v>
      </c>
      <c r="I26" s="89"/>
      <c r="J26" s="924">
        <f t="shared" si="3"/>
        <v>27.39</v>
      </c>
    </row>
    <row r="27" spans="1:10" ht="17.25" customHeight="1" x14ac:dyDescent="0.25">
      <c r="A27" s="966" t="s">
        <v>231</v>
      </c>
      <c r="B27" s="965">
        <f>(5.13+3.23+5.75+2.8)* B5</f>
        <v>50.730000000000004</v>
      </c>
      <c r="C27" s="965">
        <f>(4.74+4.34+2*2.36)* B5</f>
        <v>41.400000000000006</v>
      </c>
      <c r="D27" s="965">
        <f>(2*3.33+5.13)* B5</f>
        <v>35.369999999999997</v>
      </c>
      <c r="E27" s="965">
        <f>(2.36+2.8)* B5</f>
        <v>15.48</v>
      </c>
      <c r="F27" s="965">
        <f>(2*3.33+1)* B5</f>
        <v>22.98</v>
      </c>
      <c r="G27" s="965">
        <f>(2*6+2)* B5</f>
        <v>42</v>
      </c>
      <c r="H27" s="975">
        <f t="shared" si="2"/>
        <v>207.95999999999998</v>
      </c>
      <c r="I27" s="89"/>
      <c r="J27" s="924">
        <f t="shared" si="3"/>
        <v>142.97999999999999</v>
      </c>
    </row>
    <row r="28" spans="1:10" x14ac:dyDescent="0.25">
      <c r="B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61"/>
  <sheetViews>
    <sheetView workbookViewId="0">
      <selection activeCell="P15" sqref="P15"/>
    </sheetView>
  </sheetViews>
  <sheetFormatPr defaultColWidth="11.42578125" defaultRowHeight="15" x14ac:dyDescent="0.25"/>
  <cols>
    <col min="1" max="1" width="11.42578125" style="924"/>
    <col min="2" max="2" width="11.42578125" style="996"/>
    <col min="3" max="3" width="20.140625" style="924" customWidth="1"/>
    <col min="4" max="4" width="11.42578125" style="924"/>
  </cols>
  <sheetData>
    <row r="1" spans="1:2" x14ac:dyDescent="0.25">
      <c r="A1" s="924">
        <v>1</v>
      </c>
      <c r="B1" s="924">
        <v>-9.1</v>
      </c>
    </row>
    <row r="2" spans="1:2" x14ac:dyDescent="0.25">
      <c r="A2" s="924">
        <f>A1+1</f>
        <v>2</v>
      </c>
      <c r="B2" s="924">
        <v>-9</v>
      </c>
    </row>
    <row r="3" spans="1:2" x14ac:dyDescent="0.25">
      <c r="A3" s="924">
        <f t="shared" ref="A3:A66" si="0">A2+1</f>
        <v>3</v>
      </c>
      <c r="B3" s="924">
        <v>-8.3000000000000007</v>
      </c>
    </row>
    <row r="4" spans="1:2" x14ac:dyDescent="0.25">
      <c r="A4" s="924">
        <f t="shared" si="0"/>
        <v>4</v>
      </c>
      <c r="B4" s="924">
        <v>-8</v>
      </c>
    </row>
    <row r="5" spans="1:2" x14ac:dyDescent="0.25">
      <c r="A5" s="924">
        <f t="shared" si="0"/>
        <v>5</v>
      </c>
      <c r="B5" s="924">
        <v>-7.8</v>
      </c>
    </row>
    <row r="6" spans="1:2" x14ac:dyDescent="0.25">
      <c r="A6" s="924">
        <f t="shared" si="0"/>
        <v>6</v>
      </c>
      <c r="B6" s="924">
        <v>-7.7</v>
      </c>
    </row>
    <row r="7" spans="1:2" x14ac:dyDescent="0.25">
      <c r="A7" s="924">
        <f t="shared" si="0"/>
        <v>7</v>
      </c>
      <c r="B7" s="924">
        <v>-7.6</v>
      </c>
    </row>
    <row r="8" spans="1:2" x14ac:dyDescent="0.25">
      <c r="A8" s="924">
        <f t="shared" si="0"/>
        <v>8</v>
      </c>
      <c r="B8" s="924">
        <v>-7.3</v>
      </c>
    </row>
    <row r="9" spans="1:2" x14ac:dyDescent="0.25">
      <c r="A9" s="924">
        <f t="shared" si="0"/>
        <v>9</v>
      </c>
      <c r="B9" s="924">
        <v>-7.3</v>
      </c>
    </row>
    <row r="10" spans="1:2" x14ac:dyDescent="0.25">
      <c r="A10" s="924">
        <f t="shared" si="0"/>
        <v>10</v>
      </c>
      <c r="B10" s="924">
        <v>-7.3</v>
      </c>
    </row>
    <row r="11" spans="1:2" x14ac:dyDescent="0.25">
      <c r="A11" s="924">
        <f t="shared" si="0"/>
        <v>11</v>
      </c>
      <c r="B11" s="924">
        <v>-7.2</v>
      </c>
    </row>
    <row r="12" spans="1:2" x14ac:dyDescent="0.25">
      <c r="A12" s="924">
        <f t="shared" si="0"/>
        <v>12</v>
      </c>
      <c r="B12" s="924">
        <v>-7.2</v>
      </c>
    </row>
    <row r="13" spans="1:2" x14ac:dyDescent="0.25">
      <c r="A13" s="924">
        <f t="shared" si="0"/>
        <v>13</v>
      </c>
      <c r="B13" s="924">
        <v>-7.1</v>
      </c>
    </row>
    <row r="14" spans="1:2" x14ac:dyDescent="0.25">
      <c r="A14" s="924">
        <f t="shared" si="0"/>
        <v>14</v>
      </c>
      <c r="B14" s="924">
        <v>-7</v>
      </c>
    </row>
    <row r="15" spans="1:2" x14ac:dyDescent="0.25">
      <c r="A15" s="924">
        <f t="shared" si="0"/>
        <v>15</v>
      </c>
      <c r="B15" s="924">
        <v>-6.9</v>
      </c>
    </row>
    <row r="16" spans="1:2" x14ac:dyDescent="0.25">
      <c r="A16" s="924">
        <f t="shared" si="0"/>
        <v>16</v>
      </c>
      <c r="B16" s="924">
        <v>-6.7</v>
      </c>
    </row>
    <row r="17" spans="1:2" x14ac:dyDescent="0.25">
      <c r="A17" s="924">
        <f t="shared" si="0"/>
        <v>17</v>
      </c>
      <c r="B17" s="924">
        <v>-6.7</v>
      </c>
    </row>
    <row r="18" spans="1:2" x14ac:dyDescent="0.25">
      <c r="A18" s="924">
        <f t="shared" si="0"/>
        <v>18</v>
      </c>
      <c r="B18" s="924">
        <v>-6.6</v>
      </c>
    </row>
    <row r="19" spans="1:2" x14ac:dyDescent="0.25">
      <c r="A19" s="924">
        <f t="shared" si="0"/>
        <v>19</v>
      </c>
      <c r="B19" s="924">
        <v>-6.6</v>
      </c>
    </row>
    <row r="20" spans="1:2" x14ac:dyDescent="0.25">
      <c r="A20" s="924">
        <f t="shared" si="0"/>
        <v>20</v>
      </c>
      <c r="B20" s="924">
        <v>-6.5</v>
      </c>
    </row>
    <row r="21" spans="1:2" x14ac:dyDescent="0.25">
      <c r="A21" s="924">
        <f t="shared" si="0"/>
        <v>21</v>
      </c>
      <c r="B21" s="924">
        <v>-6.4</v>
      </c>
    </row>
    <row r="22" spans="1:2" x14ac:dyDescent="0.25">
      <c r="A22" s="924">
        <f t="shared" si="0"/>
        <v>22</v>
      </c>
      <c r="B22" s="924">
        <v>-6.2</v>
      </c>
    </row>
    <row r="23" spans="1:2" x14ac:dyDescent="0.25">
      <c r="A23" s="924">
        <f t="shared" si="0"/>
        <v>23</v>
      </c>
      <c r="B23" s="924">
        <v>-6.2</v>
      </c>
    </row>
    <row r="24" spans="1:2" x14ac:dyDescent="0.25">
      <c r="A24" s="924">
        <f t="shared" si="0"/>
        <v>24</v>
      </c>
      <c r="B24" s="924">
        <v>-6.2</v>
      </c>
    </row>
    <row r="25" spans="1:2" x14ac:dyDescent="0.25">
      <c r="A25" s="924">
        <f t="shared" si="0"/>
        <v>25</v>
      </c>
      <c r="B25" s="924">
        <v>-6</v>
      </c>
    </row>
    <row r="26" spans="1:2" x14ac:dyDescent="0.25">
      <c r="A26" s="924">
        <f t="shared" si="0"/>
        <v>26</v>
      </c>
      <c r="B26" s="924">
        <v>-6</v>
      </c>
    </row>
    <row r="27" spans="1:2" x14ac:dyDescent="0.25">
      <c r="A27" s="924">
        <f t="shared" si="0"/>
        <v>27</v>
      </c>
      <c r="B27" s="924">
        <v>-5.8</v>
      </c>
    </row>
    <row r="28" spans="1:2" x14ac:dyDescent="0.25">
      <c r="A28" s="924">
        <f t="shared" si="0"/>
        <v>28</v>
      </c>
      <c r="B28" s="924">
        <v>-5.8</v>
      </c>
    </row>
    <row r="29" spans="1:2" x14ac:dyDescent="0.25">
      <c r="A29" s="924">
        <f t="shared" si="0"/>
        <v>29</v>
      </c>
      <c r="B29" s="924">
        <v>-5.6</v>
      </c>
    </row>
    <row r="30" spans="1:2" x14ac:dyDescent="0.25">
      <c r="A30" s="924">
        <f t="shared" si="0"/>
        <v>30</v>
      </c>
      <c r="B30" s="924">
        <v>-5.5</v>
      </c>
    </row>
    <row r="31" spans="1:2" x14ac:dyDescent="0.25">
      <c r="A31" s="924">
        <f t="shared" si="0"/>
        <v>31</v>
      </c>
      <c r="B31" s="924">
        <v>-5.5</v>
      </c>
    </row>
    <row r="32" spans="1:2" x14ac:dyDescent="0.25">
      <c r="A32" s="924">
        <f t="shared" si="0"/>
        <v>32</v>
      </c>
      <c r="B32" s="924">
        <v>-5.3</v>
      </c>
    </row>
    <row r="33" spans="1:2" x14ac:dyDescent="0.25">
      <c r="A33" s="924">
        <f t="shared" si="0"/>
        <v>33</v>
      </c>
      <c r="B33" s="924">
        <v>-5.0999999999999996</v>
      </c>
    </row>
    <row r="34" spans="1:2" x14ac:dyDescent="0.25">
      <c r="A34" s="924">
        <f t="shared" si="0"/>
        <v>34</v>
      </c>
      <c r="B34" s="924">
        <v>-4.9000000000000004</v>
      </c>
    </row>
    <row r="35" spans="1:2" x14ac:dyDescent="0.25">
      <c r="A35" s="924">
        <f t="shared" si="0"/>
        <v>35</v>
      </c>
      <c r="B35" s="924">
        <v>-4.9000000000000004</v>
      </c>
    </row>
    <row r="36" spans="1:2" x14ac:dyDescent="0.25">
      <c r="A36" s="924">
        <f t="shared" si="0"/>
        <v>36</v>
      </c>
      <c r="B36" s="924">
        <v>-4.9000000000000004</v>
      </c>
    </row>
    <row r="37" spans="1:2" x14ac:dyDescent="0.25">
      <c r="A37" s="924">
        <f t="shared" si="0"/>
        <v>37</v>
      </c>
      <c r="B37" s="924">
        <v>-4.9000000000000004</v>
      </c>
    </row>
    <row r="38" spans="1:2" x14ac:dyDescent="0.25">
      <c r="A38" s="924">
        <f t="shared" si="0"/>
        <v>38</v>
      </c>
      <c r="B38" s="924">
        <v>-4.8</v>
      </c>
    </row>
    <row r="39" spans="1:2" x14ac:dyDescent="0.25">
      <c r="A39" s="924">
        <f t="shared" si="0"/>
        <v>39</v>
      </c>
      <c r="B39" s="924">
        <v>-4.8</v>
      </c>
    </row>
    <row r="40" spans="1:2" x14ac:dyDescent="0.25">
      <c r="A40" s="924">
        <f t="shared" si="0"/>
        <v>40</v>
      </c>
      <c r="B40" s="924">
        <v>-4.7</v>
      </c>
    </row>
    <row r="41" spans="1:2" x14ac:dyDescent="0.25">
      <c r="A41" s="924">
        <f t="shared" si="0"/>
        <v>41</v>
      </c>
      <c r="B41" s="924">
        <v>-4.7</v>
      </c>
    </row>
    <row r="42" spans="1:2" x14ac:dyDescent="0.25">
      <c r="A42" s="924">
        <f t="shared" si="0"/>
        <v>42</v>
      </c>
      <c r="B42" s="924">
        <v>-4.5999999999999996</v>
      </c>
    </row>
    <row r="43" spans="1:2" x14ac:dyDescent="0.25">
      <c r="A43" s="924">
        <f t="shared" si="0"/>
        <v>43</v>
      </c>
      <c r="B43" s="924">
        <v>-4.4000000000000004</v>
      </c>
    </row>
    <row r="44" spans="1:2" x14ac:dyDescent="0.25">
      <c r="A44" s="924">
        <f t="shared" si="0"/>
        <v>44</v>
      </c>
      <c r="B44" s="924">
        <v>-4.2</v>
      </c>
    </row>
    <row r="45" spans="1:2" x14ac:dyDescent="0.25">
      <c r="A45" s="924">
        <f t="shared" si="0"/>
        <v>45</v>
      </c>
      <c r="B45" s="924">
        <v>-4.2</v>
      </c>
    </row>
    <row r="46" spans="1:2" x14ac:dyDescent="0.25">
      <c r="A46" s="924">
        <f t="shared" si="0"/>
        <v>46</v>
      </c>
      <c r="B46" s="924">
        <v>-4.0999999999999996</v>
      </c>
    </row>
    <row r="47" spans="1:2" x14ac:dyDescent="0.25">
      <c r="A47" s="924">
        <f t="shared" si="0"/>
        <v>47</v>
      </c>
      <c r="B47" s="924">
        <v>-4.0999999999999996</v>
      </c>
    </row>
    <row r="48" spans="1:2" x14ac:dyDescent="0.25">
      <c r="A48" s="924">
        <f t="shared" si="0"/>
        <v>48</v>
      </c>
      <c r="B48" s="924">
        <v>-4</v>
      </c>
    </row>
    <row r="49" spans="1:2" x14ac:dyDescent="0.25">
      <c r="A49" s="924">
        <f t="shared" si="0"/>
        <v>49</v>
      </c>
      <c r="B49" s="924">
        <v>-4</v>
      </c>
    </row>
    <row r="50" spans="1:2" x14ac:dyDescent="0.25">
      <c r="A50" s="924">
        <f t="shared" si="0"/>
        <v>50</v>
      </c>
      <c r="B50" s="924">
        <v>-4</v>
      </c>
    </row>
    <row r="51" spans="1:2" x14ac:dyDescent="0.25">
      <c r="A51" s="924">
        <f t="shared" si="0"/>
        <v>51</v>
      </c>
      <c r="B51" s="924">
        <v>-3.9</v>
      </c>
    </row>
    <row r="52" spans="1:2" x14ac:dyDescent="0.25">
      <c r="A52" s="924">
        <f t="shared" si="0"/>
        <v>52</v>
      </c>
      <c r="B52" s="924">
        <v>-3.9</v>
      </c>
    </row>
    <row r="53" spans="1:2" x14ac:dyDescent="0.25">
      <c r="A53" s="924">
        <f t="shared" si="0"/>
        <v>53</v>
      </c>
      <c r="B53" s="924">
        <v>-3.9</v>
      </c>
    </row>
    <row r="54" spans="1:2" x14ac:dyDescent="0.25">
      <c r="A54" s="924">
        <f t="shared" si="0"/>
        <v>54</v>
      </c>
      <c r="B54" s="924">
        <v>-3.9</v>
      </c>
    </row>
    <row r="55" spans="1:2" x14ac:dyDescent="0.25">
      <c r="A55" s="924">
        <f t="shared" si="0"/>
        <v>55</v>
      </c>
      <c r="B55" s="924">
        <v>-3.8</v>
      </c>
    </row>
    <row r="56" spans="1:2" x14ac:dyDescent="0.25">
      <c r="A56" s="924">
        <f t="shared" si="0"/>
        <v>56</v>
      </c>
      <c r="B56" s="924">
        <v>-3.8</v>
      </c>
    </row>
    <row r="57" spans="1:2" x14ac:dyDescent="0.25">
      <c r="A57" s="924">
        <f t="shared" si="0"/>
        <v>57</v>
      </c>
      <c r="B57" s="924">
        <v>-3.8</v>
      </c>
    </row>
    <row r="58" spans="1:2" x14ac:dyDescent="0.25">
      <c r="A58" s="924">
        <f t="shared" si="0"/>
        <v>58</v>
      </c>
      <c r="B58" s="924">
        <v>-3.8</v>
      </c>
    </row>
    <row r="59" spans="1:2" x14ac:dyDescent="0.25">
      <c r="A59" s="924">
        <f t="shared" si="0"/>
        <v>59</v>
      </c>
      <c r="B59" s="924">
        <v>-3.8</v>
      </c>
    </row>
    <row r="60" spans="1:2" x14ac:dyDescent="0.25">
      <c r="A60" s="924">
        <f t="shared" si="0"/>
        <v>60</v>
      </c>
      <c r="B60" s="924">
        <v>-3.7</v>
      </c>
    </row>
    <row r="61" spans="1:2" x14ac:dyDescent="0.25">
      <c r="A61" s="924">
        <f t="shared" si="0"/>
        <v>61</v>
      </c>
      <c r="B61" s="924">
        <v>-3.5</v>
      </c>
    </row>
    <row r="62" spans="1:2" x14ac:dyDescent="0.25">
      <c r="A62" s="924">
        <f t="shared" si="0"/>
        <v>62</v>
      </c>
      <c r="B62" s="924">
        <v>-3.4</v>
      </c>
    </row>
    <row r="63" spans="1:2" x14ac:dyDescent="0.25">
      <c r="A63" s="924">
        <f t="shared" si="0"/>
        <v>63</v>
      </c>
      <c r="B63" s="924">
        <v>-3.4</v>
      </c>
    </row>
    <row r="64" spans="1:2" x14ac:dyDescent="0.25">
      <c r="A64" s="924">
        <f t="shared" si="0"/>
        <v>64</v>
      </c>
      <c r="B64" s="924">
        <v>-3.4</v>
      </c>
    </row>
    <row r="65" spans="1:2" x14ac:dyDescent="0.25">
      <c r="A65" s="924">
        <f t="shared" si="0"/>
        <v>65</v>
      </c>
      <c r="B65" s="924">
        <v>-3.3</v>
      </c>
    </row>
    <row r="66" spans="1:2" x14ac:dyDescent="0.25">
      <c r="A66" s="924">
        <f t="shared" si="0"/>
        <v>66</v>
      </c>
      <c r="B66" s="924">
        <v>-3.3</v>
      </c>
    </row>
    <row r="67" spans="1:2" x14ac:dyDescent="0.25">
      <c r="A67" s="924">
        <f t="shared" ref="A67:A130" si="1">A66+1</f>
        <v>67</v>
      </c>
      <c r="B67" s="924">
        <v>-3.3</v>
      </c>
    </row>
    <row r="68" spans="1:2" x14ac:dyDescent="0.25">
      <c r="A68" s="924">
        <f t="shared" si="1"/>
        <v>68</v>
      </c>
      <c r="B68" s="924">
        <v>-3.3</v>
      </c>
    </row>
    <row r="69" spans="1:2" x14ac:dyDescent="0.25">
      <c r="A69" s="924">
        <f t="shared" si="1"/>
        <v>69</v>
      </c>
      <c r="B69" s="924">
        <v>-3.3</v>
      </c>
    </row>
    <row r="70" spans="1:2" x14ac:dyDescent="0.25">
      <c r="A70" s="924">
        <f t="shared" si="1"/>
        <v>70</v>
      </c>
      <c r="B70" s="924">
        <v>-3.2</v>
      </c>
    </row>
    <row r="71" spans="1:2" x14ac:dyDescent="0.25">
      <c r="A71" s="924">
        <f t="shared" si="1"/>
        <v>71</v>
      </c>
      <c r="B71" s="924">
        <v>-3.1</v>
      </c>
    </row>
    <row r="72" spans="1:2" x14ac:dyDescent="0.25">
      <c r="A72" s="924">
        <f t="shared" si="1"/>
        <v>72</v>
      </c>
      <c r="B72" s="924">
        <v>-3.1</v>
      </c>
    </row>
    <row r="73" spans="1:2" x14ac:dyDescent="0.25">
      <c r="A73" s="924">
        <f t="shared" si="1"/>
        <v>73</v>
      </c>
      <c r="B73" s="924">
        <v>-3.1</v>
      </c>
    </row>
    <row r="74" spans="1:2" x14ac:dyDescent="0.25">
      <c r="A74" s="924">
        <f t="shared" si="1"/>
        <v>74</v>
      </c>
      <c r="B74" s="924">
        <v>-3</v>
      </c>
    </row>
    <row r="75" spans="1:2" x14ac:dyDescent="0.25">
      <c r="A75" s="924">
        <f t="shared" si="1"/>
        <v>75</v>
      </c>
      <c r="B75" s="924">
        <v>-3</v>
      </c>
    </row>
    <row r="76" spans="1:2" x14ac:dyDescent="0.25">
      <c r="A76" s="924">
        <f t="shared" si="1"/>
        <v>76</v>
      </c>
      <c r="B76" s="924">
        <v>-3</v>
      </c>
    </row>
    <row r="77" spans="1:2" x14ac:dyDescent="0.25">
      <c r="A77" s="924">
        <f t="shared" si="1"/>
        <v>77</v>
      </c>
      <c r="B77" s="924">
        <v>-2.9</v>
      </c>
    </row>
    <row r="78" spans="1:2" x14ac:dyDescent="0.25">
      <c r="A78" s="924">
        <f t="shared" si="1"/>
        <v>78</v>
      </c>
      <c r="B78" s="924">
        <v>-2.9</v>
      </c>
    </row>
    <row r="79" spans="1:2" x14ac:dyDescent="0.25">
      <c r="A79" s="924">
        <f t="shared" si="1"/>
        <v>79</v>
      </c>
      <c r="B79" s="924">
        <v>-2.9</v>
      </c>
    </row>
    <row r="80" spans="1:2" x14ac:dyDescent="0.25">
      <c r="A80" s="924">
        <f t="shared" si="1"/>
        <v>80</v>
      </c>
      <c r="B80" s="924">
        <v>-2.9</v>
      </c>
    </row>
    <row r="81" spans="1:2" x14ac:dyDescent="0.25">
      <c r="A81" s="924">
        <f t="shared" si="1"/>
        <v>81</v>
      </c>
      <c r="B81" s="924">
        <v>-2.9</v>
      </c>
    </row>
    <row r="82" spans="1:2" x14ac:dyDescent="0.25">
      <c r="A82" s="924">
        <f t="shared" si="1"/>
        <v>82</v>
      </c>
      <c r="B82" s="924">
        <v>-2.9</v>
      </c>
    </row>
    <row r="83" spans="1:2" x14ac:dyDescent="0.25">
      <c r="A83" s="924">
        <f t="shared" si="1"/>
        <v>83</v>
      </c>
      <c r="B83" s="924">
        <v>-2.8</v>
      </c>
    </row>
    <row r="84" spans="1:2" x14ac:dyDescent="0.25">
      <c r="A84" s="924">
        <f t="shared" si="1"/>
        <v>84</v>
      </c>
      <c r="B84" s="924">
        <v>-2.8</v>
      </c>
    </row>
    <row r="85" spans="1:2" x14ac:dyDescent="0.25">
      <c r="A85" s="924">
        <f t="shared" si="1"/>
        <v>85</v>
      </c>
      <c r="B85" s="924">
        <v>-2.8</v>
      </c>
    </row>
    <row r="86" spans="1:2" x14ac:dyDescent="0.25">
      <c r="A86" s="924">
        <f t="shared" si="1"/>
        <v>86</v>
      </c>
      <c r="B86" s="924">
        <v>-2.8</v>
      </c>
    </row>
    <row r="87" spans="1:2" x14ac:dyDescent="0.25">
      <c r="A87" s="924">
        <f t="shared" si="1"/>
        <v>87</v>
      </c>
      <c r="B87" s="924">
        <v>-2.7</v>
      </c>
    </row>
    <row r="88" spans="1:2" x14ac:dyDescent="0.25">
      <c r="A88" s="924">
        <f t="shared" si="1"/>
        <v>88</v>
      </c>
      <c r="B88" s="924">
        <v>-2.7</v>
      </c>
    </row>
    <row r="89" spans="1:2" x14ac:dyDescent="0.25">
      <c r="A89" s="924">
        <f t="shared" si="1"/>
        <v>89</v>
      </c>
      <c r="B89" s="924">
        <v>-2.7</v>
      </c>
    </row>
    <row r="90" spans="1:2" x14ac:dyDescent="0.25">
      <c r="A90" s="924">
        <f t="shared" si="1"/>
        <v>90</v>
      </c>
      <c r="B90" s="924">
        <v>-2.7</v>
      </c>
    </row>
    <row r="91" spans="1:2" x14ac:dyDescent="0.25">
      <c r="A91" s="924">
        <f t="shared" si="1"/>
        <v>91</v>
      </c>
      <c r="B91" s="924">
        <v>-2.7</v>
      </c>
    </row>
    <row r="92" spans="1:2" x14ac:dyDescent="0.25">
      <c r="A92" s="924">
        <f t="shared" si="1"/>
        <v>92</v>
      </c>
      <c r="B92" s="924">
        <v>-2.7</v>
      </c>
    </row>
    <row r="93" spans="1:2" x14ac:dyDescent="0.25">
      <c r="A93" s="924">
        <f t="shared" si="1"/>
        <v>93</v>
      </c>
      <c r="B93" s="924">
        <v>-2.6</v>
      </c>
    </row>
    <row r="94" spans="1:2" x14ac:dyDescent="0.25">
      <c r="A94" s="924">
        <f t="shared" si="1"/>
        <v>94</v>
      </c>
      <c r="B94" s="924">
        <v>-2.6</v>
      </c>
    </row>
    <row r="95" spans="1:2" x14ac:dyDescent="0.25">
      <c r="A95" s="924">
        <f t="shared" si="1"/>
        <v>95</v>
      </c>
      <c r="B95" s="924">
        <v>-2.6</v>
      </c>
    </row>
    <row r="96" spans="1:2" x14ac:dyDescent="0.25">
      <c r="A96" s="924">
        <f t="shared" si="1"/>
        <v>96</v>
      </c>
      <c r="B96" s="924">
        <v>-2.6</v>
      </c>
    </row>
    <row r="97" spans="1:2" x14ac:dyDescent="0.25">
      <c r="A97" s="924">
        <f t="shared" si="1"/>
        <v>97</v>
      </c>
      <c r="B97" s="924">
        <v>-2.6</v>
      </c>
    </row>
    <row r="98" spans="1:2" x14ac:dyDescent="0.25">
      <c r="A98" s="924">
        <f t="shared" si="1"/>
        <v>98</v>
      </c>
      <c r="B98" s="924">
        <v>-2.6</v>
      </c>
    </row>
    <row r="99" spans="1:2" x14ac:dyDescent="0.25">
      <c r="A99" s="924">
        <f t="shared" si="1"/>
        <v>99</v>
      </c>
      <c r="B99" s="924">
        <v>-2.6</v>
      </c>
    </row>
    <row r="100" spans="1:2" x14ac:dyDescent="0.25">
      <c r="A100" s="924">
        <f t="shared" si="1"/>
        <v>100</v>
      </c>
      <c r="B100" s="924">
        <v>-2.6</v>
      </c>
    </row>
    <row r="101" spans="1:2" x14ac:dyDescent="0.25">
      <c r="A101" s="924">
        <f t="shared" si="1"/>
        <v>101</v>
      </c>
      <c r="B101" s="924">
        <v>-2.6</v>
      </c>
    </row>
    <row r="102" spans="1:2" x14ac:dyDescent="0.25">
      <c r="A102" s="924">
        <f t="shared" si="1"/>
        <v>102</v>
      </c>
      <c r="B102" s="924">
        <v>-2.6</v>
      </c>
    </row>
    <row r="103" spans="1:2" x14ac:dyDescent="0.25">
      <c r="A103" s="924">
        <f t="shared" si="1"/>
        <v>103</v>
      </c>
      <c r="B103" s="924">
        <v>-2.6</v>
      </c>
    </row>
    <row r="104" spans="1:2" x14ac:dyDescent="0.25">
      <c r="A104" s="924">
        <f t="shared" si="1"/>
        <v>104</v>
      </c>
      <c r="B104" s="924">
        <v>-2.5</v>
      </c>
    </row>
    <row r="105" spans="1:2" x14ac:dyDescent="0.25">
      <c r="A105" s="924">
        <f t="shared" si="1"/>
        <v>105</v>
      </c>
      <c r="B105" s="924">
        <v>-2.5</v>
      </c>
    </row>
    <row r="106" spans="1:2" x14ac:dyDescent="0.25">
      <c r="A106" s="924">
        <f t="shared" si="1"/>
        <v>106</v>
      </c>
      <c r="B106" s="924">
        <v>-2.5</v>
      </c>
    </row>
    <row r="107" spans="1:2" x14ac:dyDescent="0.25">
      <c r="A107" s="924">
        <f t="shared" si="1"/>
        <v>107</v>
      </c>
      <c r="B107" s="924">
        <v>-2.5</v>
      </c>
    </row>
    <row r="108" spans="1:2" x14ac:dyDescent="0.25">
      <c r="A108" s="924">
        <f t="shared" si="1"/>
        <v>108</v>
      </c>
      <c r="B108" s="924">
        <v>-2.5</v>
      </c>
    </row>
    <row r="109" spans="1:2" x14ac:dyDescent="0.25">
      <c r="A109" s="924">
        <f t="shared" si="1"/>
        <v>109</v>
      </c>
      <c r="B109" s="924">
        <v>-2.4</v>
      </c>
    </row>
    <row r="110" spans="1:2" x14ac:dyDescent="0.25">
      <c r="A110" s="924">
        <f t="shared" si="1"/>
        <v>110</v>
      </c>
      <c r="B110" s="924">
        <v>-2.4</v>
      </c>
    </row>
    <row r="111" spans="1:2" x14ac:dyDescent="0.25">
      <c r="A111" s="924">
        <f t="shared" si="1"/>
        <v>111</v>
      </c>
      <c r="B111" s="924">
        <v>-2.4</v>
      </c>
    </row>
    <row r="112" spans="1:2" x14ac:dyDescent="0.25">
      <c r="A112" s="924">
        <f t="shared" si="1"/>
        <v>112</v>
      </c>
      <c r="B112" s="924">
        <v>-2.4</v>
      </c>
    </row>
    <row r="113" spans="1:2" x14ac:dyDescent="0.25">
      <c r="A113" s="924">
        <f t="shared" si="1"/>
        <v>113</v>
      </c>
      <c r="B113" s="924">
        <v>-2.4</v>
      </c>
    </row>
    <row r="114" spans="1:2" x14ac:dyDescent="0.25">
      <c r="A114" s="924">
        <f t="shared" si="1"/>
        <v>114</v>
      </c>
      <c r="B114" s="924">
        <v>-2.4</v>
      </c>
    </row>
    <row r="115" spans="1:2" x14ac:dyDescent="0.25">
      <c r="A115" s="924">
        <f t="shared" si="1"/>
        <v>115</v>
      </c>
      <c r="B115" s="924">
        <v>-2.4</v>
      </c>
    </row>
    <row r="116" spans="1:2" x14ac:dyDescent="0.25">
      <c r="A116" s="924">
        <f t="shared" si="1"/>
        <v>116</v>
      </c>
      <c r="B116" s="924">
        <v>-2.2999999999999998</v>
      </c>
    </row>
    <row r="117" spans="1:2" x14ac:dyDescent="0.25">
      <c r="A117" s="924">
        <f t="shared" si="1"/>
        <v>117</v>
      </c>
      <c r="B117" s="924">
        <v>-2.2999999999999998</v>
      </c>
    </row>
    <row r="118" spans="1:2" x14ac:dyDescent="0.25">
      <c r="A118" s="924">
        <f t="shared" si="1"/>
        <v>118</v>
      </c>
      <c r="B118" s="924">
        <v>-2.2999999999999998</v>
      </c>
    </row>
    <row r="119" spans="1:2" x14ac:dyDescent="0.25">
      <c r="A119" s="924">
        <f t="shared" si="1"/>
        <v>119</v>
      </c>
      <c r="B119" s="924">
        <v>-2.2999999999999998</v>
      </c>
    </row>
    <row r="120" spans="1:2" x14ac:dyDescent="0.25">
      <c r="A120" s="924">
        <f t="shared" si="1"/>
        <v>120</v>
      </c>
      <c r="B120" s="924">
        <v>-2.2999999999999998</v>
      </c>
    </row>
    <row r="121" spans="1:2" x14ac:dyDescent="0.25">
      <c r="A121" s="924">
        <f t="shared" si="1"/>
        <v>121</v>
      </c>
      <c r="B121" s="924">
        <v>-2.2000000000000002</v>
      </c>
    </row>
    <row r="122" spans="1:2" x14ac:dyDescent="0.25">
      <c r="A122" s="924">
        <f t="shared" si="1"/>
        <v>122</v>
      </c>
      <c r="B122" s="924">
        <v>-2.2000000000000002</v>
      </c>
    </row>
    <row r="123" spans="1:2" x14ac:dyDescent="0.25">
      <c r="A123" s="924">
        <f t="shared" si="1"/>
        <v>123</v>
      </c>
      <c r="B123" s="924">
        <v>-2.2000000000000002</v>
      </c>
    </row>
    <row r="124" spans="1:2" x14ac:dyDescent="0.25">
      <c r="A124" s="924">
        <f t="shared" si="1"/>
        <v>124</v>
      </c>
      <c r="B124" s="924">
        <v>-2.1</v>
      </c>
    </row>
    <row r="125" spans="1:2" x14ac:dyDescent="0.25">
      <c r="A125" s="924">
        <f t="shared" si="1"/>
        <v>125</v>
      </c>
      <c r="B125" s="924">
        <v>-2.1</v>
      </c>
    </row>
    <row r="126" spans="1:2" x14ac:dyDescent="0.25">
      <c r="A126" s="924">
        <f t="shared" si="1"/>
        <v>126</v>
      </c>
      <c r="B126" s="924">
        <v>-2.1</v>
      </c>
    </row>
    <row r="127" spans="1:2" x14ac:dyDescent="0.25">
      <c r="A127" s="924">
        <f t="shared" si="1"/>
        <v>127</v>
      </c>
      <c r="B127" s="924">
        <v>-2.1</v>
      </c>
    </row>
    <row r="128" spans="1:2" x14ac:dyDescent="0.25">
      <c r="A128" s="924">
        <f t="shared" si="1"/>
        <v>128</v>
      </c>
      <c r="B128" s="924">
        <v>-2.1</v>
      </c>
    </row>
    <row r="129" spans="1:2" x14ac:dyDescent="0.25">
      <c r="A129" s="924">
        <f t="shared" si="1"/>
        <v>129</v>
      </c>
      <c r="B129" s="924">
        <v>-2.1</v>
      </c>
    </row>
    <row r="130" spans="1:2" x14ac:dyDescent="0.25">
      <c r="A130" s="924">
        <f t="shared" si="1"/>
        <v>130</v>
      </c>
      <c r="B130" s="924">
        <v>-2.1</v>
      </c>
    </row>
    <row r="131" spans="1:2" x14ac:dyDescent="0.25">
      <c r="A131" s="924">
        <f t="shared" ref="A131:A194" si="2">A130+1</f>
        <v>131</v>
      </c>
      <c r="B131" s="924">
        <v>-2.1</v>
      </c>
    </row>
    <row r="132" spans="1:2" x14ac:dyDescent="0.25">
      <c r="A132" s="924">
        <f t="shared" si="2"/>
        <v>132</v>
      </c>
      <c r="B132" s="924">
        <v>-2.1</v>
      </c>
    </row>
    <row r="133" spans="1:2" x14ac:dyDescent="0.25">
      <c r="A133" s="924">
        <f t="shared" si="2"/>
        <v>133</v>
      </c>
      <c r="B133" s="924">
        <v>-2.1</v>
      </c>
    </row>
    <row r="134" spans="1:2" x14ac:dyDescent="0.25">
      <c r="A134" s="924">
        <f t="shared" si="2"/>
        <v>134</v>
      </c>
      <c r="B134" s="924">
        <v>-2</v>
      </c>
    </row>
    <row r="135" spans="1:2" x14ac:dyDescent="0.25">
      <c r="A135" s="924">
        <f t="shared" si="2"/>
        <v>135</v>
      </c>
      <c r="B135" s="924">
        <v>-2</v>
      </c>
    </row>
    <row r="136" spans="1:2" x14ac:dyDescent="0.25">
      <c r="A136" s="924">
        <f t="shared" si="2"/>
        <v>136</v>
      </c>
      <c r="B136" s="924">
        <v>-2</v>
      </c>
    </row>
    <row r="137" spans="1:2" x14ac:dyDescent="0.25">
      <c r="A137" s="924">
        <f t="shared" si="2"/>
        <v>137</v>
      </c>
      <c r="B137" s="924">
        <v>-2</v>
      </c>
    </row>
    <row r="138" spans="1:2" x14ac:dyDescent="0.25">
      <c r="A138" s="924">
        <f t="shared" si="2"/>
        <v>138</v>
      </c>
      <c r="B138" s="924">
        <v>-2</v>
      </c>
    </row>
    <row r="139" spans="1:2" x14ac:dyDescent="0.25">
      <c r="A139" s="924">
        <f t="shared" si="2"/>
        <v>139</v>
      </c>
      <c r="B139" s="924">
        <v>-2</v>
      </c>
    </row>
    <row r="140" spans="1:2" x14ac:dyDescent="0.25">
      <c r="A140" s="924">
        <f t="shared" si="2"/>
        <v>140</v>
      </c>
      <c r="B140" s="924">
        <v>-2</v>
      </c>
    </row>
    <row r="141" spans="1:2" x14ac:dyDescent="0.25">
      <c r="A141" s="924">
        <f t="shared" si="2"/>
        <v>141</v>
      </c>
      <c r="B141" s="924">
        <v>-2</v>
      </c>
    </row>
    <row r="142" spans="1:2" x14ac:dyDescent="0.25">
      <c r="A142" s="924">
        <f t="shared" si="2"/>
        <v>142</v>
      </c>
      <c r="B142" s="924">
        <v>-2</v>
      </c>
    </row>
    <row r="143" spans="1:2" x14ac:dyDescent="0.25">
      <c r="A143" s="924">
        <f t="shared" si="2"/>
        <v>143</v>
      </c>
      <c r="B143" s="924">
        <v>-1.9</v>
      </c>
    </row>
    <row r="144" spans="1:2" x14ac:dyDescent="0.25">
      <c r="A144" s="924">
        <f t="shared" si="2"/>
        <v>144</v>
      </c>
      <c r="B144" s="924">
        <v>-1.9</v>
      </c>
    </row>
    <row r="145" spans="1:2" x14ac:dyDescent="0.25">
      <c r="A145" s="924">
        <f t="shared" si="2"/>
        <v>145</v>
      </c>
      <c r="B145" s="924">
        <v>-1.9</v>
      </c>
    </row>
    <row r="146" spans="1:2" x14ac:dyDescent="0.25">
      <c r="A146" s="924">
        <f t="shared" si="2"/>
        <v>146</v>
      </c>
      <c r="B146" s="924">
        <v>-1.9</v>
      </c>
    </row>
    <row r="147" spans="1:2" x14ac:dyDescent="0.25">
      <c r="A147" s="924">
        <f t="shared" si="2"/>
        <v>147</v>
      </c>
      <c r="B147" s="924">
        <v>-1.9</v>
      </c>
    </row>
    <row r="148" spans="1:2" x14ac:dyDescent="0.25">
      <c r="A148" s="924">
        <f t="shared" si="2"/>
        <v>148</v>
      </c>
      <c r="B148" s="924">
        <v>-1.9</v>
      </c>
    </row>
    <row r="149" spans="1:2" x14ac:dyDescent="0.25">
      <c r="A149" s="924">
        <f t="shared" si="2"/>
        <v>149</v>
      </c>
      <c r="B149" s="924">
        <v>-1.9</v>
      </c>
    </row>
    <row r="150" spans="1:2" x14ac:dyDescent="0.25">
      <c r="A150" s="924">
        <f t="shared" si="2"/>
        <v>150</v>
      </c>
      <c r="B150" s="924">
        <v>-1.9</v>
      </c>
    </row>
    <row r="151" spans="1:2" x14ac:dyDescent="0.25">
      <c r="A151" s="924">
        <f t="shared" si="2"/>
        <v>151</v>
      </c>
      <c r="B151" s="924">
        <v>-1.9</v>
      </c>
    </row>
    <row r="152" spans="1:2" x14ac:dyDescent="0.25">
      <c r="A152" s="924">
        <f t="shared" si="2"/>
        <v>152</v>
      </c>
      <c r="B152" s="924">
        <v>-1.9</v>
      </c>
    </row>
    <row r="153" spans="1:2" x14ac:dyDescent="0.25">
      <c r="A153" s="924">
        <f t="shared" si="2"/>
        <v>153</v>
      </c>
      <c r="B153" s="924">
        <v>-1.9</v>
      </c>
    </row>
    <row r="154" spans="1:2" x14ac:dyDescent="0.25">
      <c r="A154" s="924">
        <f t="shared" si="2"/>
        <v>154</v>
      </c>
      <c r="B154" s="924">
        <v>-1.9</v>
      </c>
    </row>
    <row r="155" spans="1:2" x14ac:dyDescent="0.25">
      <c r="A155" s="924">
        <f t="shared" si="2"/>
        <v>155</v>
      </c>
      <c r="B155" s="924">
        <v>-1.9</v>
      </c>
    </row>
    <row r="156" spans="1:2" x14ac:dyDescent="0.25">
      <c r="A156" s="924">
        <f t="shared" si="2"/>
        <v>156</v>
      </c>
      <c r="B156" s="924">
        <v>-1.9</v>
      </c>
    </row>
    <row r="157" spans="1:2" x14ac:dyDescent="0.25">
      <c r="A157" s="924">
        <f t="shared" si="2"/>
        <v>157</v>
      </c>
      <c r="B157" s="924">
        <v>-1.9</v>
      </c>
    </row>
    <row r="158" spans="1:2" x14ac:dyDescent="0.25">
      <c r="A158" s="924">
        <f t="shared" si="2"/>
        <v>158</v>
      </c>
      <c r="B158" s="924">
        <v>-1.9</v>
      </c>
    </row>
    <row r="159" spans="1:2" x14ac:dyDescent="0.25">
      <c r="A159" s="924">
        <f t="shared" si="2"/>
        <v>159</v>
      </c>
      <c r="B159" s="924">
        <v>-1.8</v>
      </c>
    </row>
    <row r="160" spans="1:2" x14ac:dyDescent="0.25">
      <c r="A160" s="924">
        <f t="shared" si="2"/>
        <v>160</v>
      </c>
      <c r="B160" s="924">
        <v>-1.8</v>
      </c>
    </row>
    <row r="161" spans="1:2" x14ac:dyDescent="0.25">
      <c r="A161" s="924">
        <f t="shared" si="2"/>
        <v>161</v>
      </c>
      <c r="B161" s="924">
        <v>-1.8</v>
      </c>
    </row>
    <row r="162" spans="1:2" x14ac:dyDescent="0.25">
      <c r="A162" s="924">
        <f t="shared" si="2"/>
        <v>162</v>
      </c>
      <c r="B162" s="924">
        <v>-1.8</v>
      </c>
    </row>
    <row r="163" spans="1:2" x14ac:dyDescent="0.25">
      <c r="A163" s="924">
        <f t="shared" si="2"/>
        <v>163</v>
      </c>
      <c r="B163" s="924">
        <v>-1.8</v>
      </c>
    </row>
    <row r="164" spans="1:2" x14ac:dyDescent="0.25">
      <c r="A164" s="924">
        <f t="shared" si="2"/>
        <v>164</v>
      </c>
      <c r="B164" s="924">
        <v>-1.8</v>
      </c>
    </row>
    <row r="165" spans="1:2" x14ac:dyDescent="0.25">
      <c r="A165" s="924">
        <f t="shared" si="2"/>
        <v>165</v>
      </c>
      <c r="B165" s="924">
        <v>-1.8</v>
      </c>
    </row>
    <row r="166" spans="1:2" x14ac:dyDescent="0.25">
      <c r="A166" s="924">
        <f t="shared" si="2"/>
        <v>166</v>
      </c>
      <c r="B166" s="924">
        <v>-1.8</v>
      </c>
    </row>
    <row r="167" spans="1:2" x14ac:dyDescent="0.25">
      <c r="A167" s="924">
        <f t="shared" si="2"/>
        <v>167</v>
      </c>
      <c r="B167" s="924">
        <v>-1.8</v>
      </c>
    </row>
    <row r="168" spans="1:2" x14ac:dyDescent="0.25">
      <c r="A168" s="924">
        <f t="shared" si="2"/>
        <v>168</v>
      </c>
      <c r="B168" s="924">
        <v>-1.8</v>
      </c>
    </row>
    <row r="169" spans="1:2" x14ac:dyDescent="0.25">
      <c r="A169" s="924">
        <f t="shared" si="2"/>
        <v>169</v>
      </c>
      <c r="B169" s="924">
        <v>-1.7</v>
      </c>
    </row>
    <row r="170" spans="1:2" x14ac:dyDescent="0.25">
      <c r="A170" s="924">
        <f t="shared" si="2"/>
        <v>170</v>
      </c>
      <c r="B170" s="924">
        <v>-1.7</v>
      </c>
    </row>
    <row r="171" spans="1:2" x14ac:dyDescent="0.25">
      <c r="A171" s="924">
        <f t="shared" si="2"/>
        <v>171</v>
      </c>
      <c r="B171" s="924">
        <v>-1.7</v>
      </c>
    </row>
    <row r="172" spans="1:2" x14ac:dyDescent="0.25">
      <c r="A172" s="924">
        <f t="shared" si="2"/>
        <v>172</v>
      </c>
      <c r="B172" s="924">
        <v>-1.7</v>
      </c>
    </row>
    <row r="173" spans="1:2" x14ac:dyDescent="0.25">
      <c r="A173" s="924">
        <f t="shared" si="2"/>
        <v>173</v>
      </c>
      <c r="B173" s="924">
        <v>-1.7</v>
      </c>
    </row>
    <row r="174" spans="1:2" x14ac:dyDescent="0.25">
      <c r="A174" s="924">
        <f t="shared" si="2"/>
        <v>174</v>
      </c>
      <c r="B174" s="924">
        <v>-1.7</v>
      </c>
    </row>
    <row r="175" spans="1:2" x14ac:dyDescent="0.25">
      <c r="A175" s="924">
        <f t="shared" si="2"/>
        <v>175</v>
      </c>
      <c r="B175" s="924">
        <v>-1.7</v>
      </c>
    </row>
    <row r="176" spans="1:2" x14ac:dyDescent="0.25">
      <c r="A176" s="924">
        <f t="shared" si="2"/>
        <v>176</v>
      </c>
      <c r="B176" s="924">
        <v>-1.7</v>
      </c>
    </row>
    <row r="177" spans="1:2" x14ac:dyDescent="0.25">
      <c r="A177" s="924">
        <f t="shared" si="2"/>
        <v>177</v>
      </c>
      <c r="B177" s="924">
        <v>-1.7</v>
      </c>
    </row>
    <row r="178" spans="1:2" x14ac:dyDescent="0.25">
      <c r="A178" s="924">
        <f t="shared" si="2"/>
        <v>178</v>
      </c>
      <c r="B178" s="924">
        <v>-1.7</v>
      </c>
    </row>
    <row r="179" spans="1:2" x14ac:dyDescent="0.25">
      <c r="A179" s="924">
        <f t="shared" si="2"/>
        <v>179</v>
      </c>
      <c r="B179" s="924">
        <v>-1.7</v>
      </c>
    </row>
    <row r="180" spans="1:2" x14ac:dyDescent="0.25">
      <c r="A180" s="924">
        <f t="shared" si="2"/>
        <v>180</v>
      </c>
      <c r="B180" s="924">
        <v>-1.7</v>
      </c>
    </row>
    <row r="181" spans="1:2" x14ac:dyDescent="0.25">
      <c r="A181" s="924">
        <f t="shared" si="2"/>
        <v>181</v>
      </c>
      <c r="B181" s="924">
        <v>-1.7</v>
      </c>
    </row>
    <row r="182" spans="1:2" x14ac:dyDescent="0.25">
      <c r="A182" s="924">
        <f t="shared" si="2"/>
        <v>182</v>
      </c>
      <c r="B182" s="924">
        <v>-1.7</v>
      </c>
    </row>
    <row r="183" spans="1:2" x14ac:dyDescent="0.25">
      <c r="A183" s="924">
        <f t="shared" si="2"/>
        <v>183</v>
      </c>
      <c r="B183" s="924">
        <v>-1.7</v>
      </c>
    </row>
    <row r="184" spans="1:2" x14ac:dyDescent="0.25">
      <c r="A184" s="924">
        <f t="shared" si="2"/>
        <v>184</v>
      </c>
      <c r="B184" s="924">
        <v>-1.7</v>
      </c>
    </row>
    <row r="185" spans="1:2" x14ac:dyDescent="0.25">
      <c r="A185" s="924">
        <f t="shared" si="2"/>
        <v>185</v>
      </c>
      <c r="B185" s="924">
        <v>-1.7</v>
      </c>
    </row>
    <row r="186" spans="1:2" x14ac:dyDescent="0.25">
      <c r="A186" s="924">
        <f t="shared" si="2"/>
        <v>186</v>
      </c>
      <c r="B186" s="924">
        <v>-1.7</v>
      </c>
    </row>
    <row r="187" spans="1:2" x14ac:dyDescent="0.25">
      <c r="A187" s="924">
        <f t="shared" si="2"/>
        <v>187</v>
      </c>
      <c r="B187" s="924">
        <v>-1.7</v>
      </c>
    </row>
    <row r="188" spans="1:2" x14ac:dyDescent="0.25">
      <c r="A188" s="924">
        <f t="shared" si="2"/>
        <v>188</v>
      </c>
      <c r="B188" s="924">
        <v>-1.6</v>
      </c>
    </row>
    <row r="189" spans="1:2" x14ac:dyDescent="0.25">
      <c r="A189" s="924">
        <f t="shared" si="2"/>
        <v>189</v>
      </c>
      <c r="B189" s="924">
        <v>-1.6</v>
      </c>
    </row>
    <row r="190" spans="1:2" x14ac:dyDescent="0.25">
      <c r="A190" s="924">
        <f t="shared" si="2"/>
        <v>190</v>
      </c>
      <c r="B190" s="924">
        <v>-1.6</v>
      </c>
    </row>
    <row r="191" spans="1:2" x14ac:dyDescent="0.25">
      <c r="A191" s="924">
        <f t="shared" si="2"/>
        <v>191</v>
      </c>
      <c r="B191" s="924">
        <v>-1.6</v>
      </c>
    </row>
    <row r="192" spans="1:2" x14ac:dyDescent="0.25">
      <c r="A192" s="924">
        <f t="shared" si="2"/>
        <v>192</v>
      </c>
      <c r="B192" s="924">
        <v>-1.6</v>
      </c>
    </row>
    <row r="193" spans="1:2" x14ac:dyDescent="0.25">
      <c r="A193" s="924">
        <f t="shared" si="2"/>
        <v>193</v>
      </c>
      <c r="B193" s="924">
        <v>-1.6</v>
      </c>
    </row>
    <row r="194" spans="1:2" x14ac:dyDescent="0.25">
      <c r="A194" s="924">
        <f t="shared" si="2"/>
        <v>194</v>
      </c>
      <c r="B194" s="924">
        <v>-1.6</v>
      </c>
    </row>
    <row r="195" spans="1:2" x14ac:dyDescent="0.25">
      <c r="A195" s="924">
        <f t="shared" ref="A195:A258" si="3">A194+1</f>
        <v>195</v>
      </c>
      <c r="B195" s="924">
        <v>-1.6</v>
      </c>
    </row>
    <row r="196" spans="1:2" x14ac:dyDescent="0.25">
      <c r="A196" s="924">
        <f t="shared" si="3"/>
        <v>196</v>
      </c>
      <c r="B196" s="924">
        <v>-1.6</v>
      </c>
    </row>
    <row r="197" spans="1:2" x14ac:dyDescent="0.25">
      <c r="A197" s="924">
        <f t="shared" si="3"/>
        <v>197</v>
      </c>
      <c r="B197" s="924">
        <v>-1.6</v>
      </c>
    </row>
    <row r="198" spans="1:2" x14ac:dyDescent="0.25">
      <c r="A198" s="924">
        <f t="shared" si="3"/>
        <v>198</v>
      </c>
      <c r="B198" s="924">
        <v>-1.5</v>
      </c>
    </row>
    <row r="199" spans="1:2" x14ac:dyDescent="0.25">
      <c r="A199" s="924">
        <f t="shared" si="3"/>
        <v>199</v>
      </c>
      <c r="B199" s="924">
        <v>-1.5</v>
      </c>
    </row>
    <row r="200" spans="1:2" x14ac:dyDescent="0.25">
      <c r="A200" s="924">
        <f t="shared" si="3"/>
        <v>200</v>
      </c>
      <c r="B200" s="924">
        <v>-1.5</v>
      </c>
    </row>
    <row r="201" spans="1:2" x14ac:dyDescent="0.25">
      <c r="A201" s="924">
        <f t="shared" si="3"/>
        <v>201</v>
      </c>
      <c r="B201" s="924">
        <v>-1.5</v>
      </c>
    </row>
    <row r="202" spans="1:2" x14ac:dyDescent="0.25">
      <c r="A202" s="924">
        <f t="shared" si="3"/>
        <v>202</v>
      </c>
      <c r="B202" s="924">
        <v>-1.5</v>
      </c>
    </row>
    <row r="203" spans="1:2" x14ac:dyDescent="0.25">
      <c r="A203" s="924">
        <f t="shared" si="3"/>
        <v>203</v>
      </c>
      <c r="B203" s="924">
        <v>-1.5</v>
      </c>
    </row>
    <row r="204" spans="1:2" x14ac:dyDescent="0.25">
      <c r="A204" s="924">
        <f t="shared" si="3"/>
        <v>204</v>
      </c>
      <c r="B204" s="924">
        <v>-1.5</v>
      </c>
    </row>
    <row r="205" spans="1:2" x14ac:dyDescent="0.25">
      <c r="A205" s="924">
        <f t="shared" si="3"/>
        <v>205</v>
      </c>
      <c r="B205" s="924">
        <v>-1.5</v>
      </c>
    </row>
    <row r="206" spans="1:2" x14ac:dyDescent="0.25">
      <c r="A206" s="924">
        <f t="shared" si="3"/>
        <v>206</v>
      </c>
      <c r="B206" s="924">
        <v>-1.5</v>
      </c>
    </row>
    <row r="207" spans="1:2" x14ac:dyDescent="0.25">
      <c r="A207" s="924">
        <f t="shared" si="3"/>
        <v>207</v>
      </c>
      <c r="B207" s="924">
        <v>-1.5</v>
      </c>
    </row>
    <row r="208" spans="1:2" x14ac:dyDescent="0.25">
      <c r="A208" s="924">
        <f t="shared" si="3"/>
        <v>208</v>
      </c>
      <c r="B208" s="924">
        <v>-1.5</v>
      </c>
    </row>
    <row r="209" spans="1:2" x14ac:dyDescent="0.25">
      <c r="A209" s="924">
        <f t="shared" si="3"/>
        <v>209</v>
      </c>
      <c r="B209" s="924">
        <v>-1.5</v>
      </c>
    </row>
    <row r="210" spans="1:2" x14ac:dyDescent="0.25">
      <c r="A210" s="924">
        <f t="shared" si="3"/>
        <v>210</v>
      </c>
      <c r="B210" s="924">
        <v>-1.5</v>
      </c>
    </row>
    <row r="211" spans="1:2" x14ac:dyDescent="0.25">
      <c r="A211" s="924">
        <f t="shared" si="3"/>
        <v>211</v>
      </c>
      <c r="B211" s="924">
        <v>-1.5</v>
      </c>
    </row>
    <row r="212" spans="1:2" x14ac:dyDescent="0.25">
      <c r="A212" s="924">
        <f t="shared" si="3"/>
        <v>212</v>
      </c>
      <c r="B212" s="924">
        <v>-1.5</v>
      </c>
    </row>
    <row r="213" spans="1:2" x14ac:dyDescent="0.25">
      <c r="A213" s="924">
        <f t="shared" si="3"/>
        <v>213</v>
      </c>
      <c r="B213" s="924">
        <v>-1.4</v>
      </c>
    </row>
    <row r="214" spans="1:2" x14ac:dyDescent="0.25">
      <c r="A214" s="924">
        <f t="shared" si="3"/>
        <v>214</v>
      </c>
      <c r="B214" s="924">
        <v>-1.4</v>
      </c>
    </row>
    <row r="215" spans="1:2" x14ac:dyDescent="0.25">
      <c r="A215" s="924">
        <f t="shared" si="3"/>
        <v>215</v>
      </c>
      <c r="B215" s="924">
        <v>-1.4</v>
      </c>
    </row>
    <row r="216" spans="1:2" x14ac:dyDescent="0.25">
      <c r="A216" s="924">
        <f t="shared" si="3"/>
        <v>216</v>
      </c>
      <c r="B216" s="924">
        <v>-1.4</v>
      </c>
    </row>
    <row r="217" spans="1:2" x14ac:dyDescent="0.25">
      <c r="A217" s="924">
        <f t="shared" si="3"/>
        <v>217</v>
      </c>
      <c r="B217" s="924">
        <v>-1.4</v>
      </c>
    </row>
    <row r="218" spans="1:2" x14ac:dyDescent="0.25">
      <c r="A218" s="924">
        <f t="shared" si="3"/>
        <v>218</v>
      </c>
      <c r="B218" s="924">
        <v>-1.4</v>
      </c>
    </row>
    <row r="219" spans="1:2" x14ac:dyDescent="0.25">
      <c r="A219" s="924">
        <f t="shared" si="3"/>
        <v>219</v>
      </c>
      <c r="B219" s="924">
        <v>-1.4</v>
      </c>
    </row>
    <row r="220" spans="1:2" x14ac:dyDescent="0.25">
      <c r="A220" s="924">
        <f t="shared" si="3"/>
        <v>220</v>
      </c>
      <c r="B220" s="924">
        <v>-1.4</v>
      </c>
    </row>
    <row r="221" spans="1:2" x14ac:dyDescent="0.25">
      <c r="A221" s="924">
        <f t="shared" si="3"/>
        <v>221</v>
      </c>
      <c r="B221" s="924">
        <v>-1.4</v>
      </c>
    </row>
    <row r="222" spans="1:2" x14ac:dyDescent="0.25">
      <c r="A222" s="924">
        <f t="shared" si="3"/>
        <v>222</v>
      </c>
      <c r="B222" s="924">
        <v>-1.4</v>
      </c>
    </row>
    <row r="223" spans="1:2" x14ac:dyDescent="0.25">
      <c r="A223" s="924">
        <f t="shared" si="3"/>
        <v>223</v>
      </c>
      <c r="B223" s="924">
        <v>-1.4</v>
      </c>
    </row>
    <row r="224" spans="1:2" x14ac:dyDescent="0.25">
      <c r="A224" s="924">
        <f t="shared" si="3"/>
        <v>224</v>
      </c>
      <c r="B224" s="924">
        <v>-1.4</v>
      </c>
    </row>
    <row r="225" spans="1:2" x14ac:dyDescent="0.25">
      <c r="A225" s="924">
        <f t="shared" si="3"/>
        <v>225</v>
      </c>
      <c r="B225" s="924">
        <v>-1.4</v>
      </c>
    </row>
    <row r="226" spans="1:2" x14ac:dyDescent="0.25">
      <c r="A226" s="924">
        <f t="shared" si="3"/>
        <v>226</v>
      </c>
      <c r="B226" s="924">
        <v>-1.4</v>
      </c>
    </row>
    <row r="227" spans="1:2" x14ac:dyDescent="0.25">
      <c r="A227" s="924">
        <f t="shared" si="3"/>
        <v>227</v>
      </c>
      <c r="B227" s="924">
        <v>-1.3</v>
      </c>
    </row>
    <row r="228" spans="1:2" x14ac:dyDescent="0.25">
      <c r="A228" s="924">
        <f t="shared" si="3"/>
        <v>228</v>
      </c>
      <c r="B228" s="924">
        <v>-1.3</v>
      </c>
    </row>
    <row r="229" spans="1:2" x14ac:dyDescent="0.25">
      <c r="A229" s="924">
        <f t="shared" si="3"/>
        <v>229</v>
      </c>
      <c r="B229" s="924">
        <v>-1.3</v>
      </c>
    </row>
    <row r="230" spans="1:2" x14ac:dyDescent="0.25">
      <c r="A230" s="924">
        <f t="shared" si="3"/>
        <v>230</v>
      </c>
      <c r="B230" s="924">
        <v>-1.3</v>
      </c>
    </row>
    <row r="231" spans="1:2" x14ac:dyDescent="0.25">
      <c r="A231" s="924">
        <f t="shared" si="3"/>
        <v>231</v>
      </c>
      <c r="B231" s="924">
        <v>-1.3</v>
      </c>
    </row>
    <row r="232" spans="1:2" x14ac:dyDescent="0.25">
      <c r="A232" s="924">
        <f t="shared" si="3"/>
        <v>232</v>
      </c>
      <c r="B232" s="924">
        <v>-1.3</v>
      </c>
    </row>
    <row r="233" spans="1:2" x14ac:dyDescent="0.25">
      <c r="A233" s="924">
        <f t="shared" si="3"/>
        <v>233</v>
      </c>
      <c r="B233" s="924">
        <v>-1.3</v>
      </c>
    </row>
    <row r="234" spans="1:2" x14ac:dyDescent="0.25">
      <c r="A234" s="924">
        <f t="shared" si="3"/>
        <v>234</v>
      </c>
      <c r="B234" s="924">
        <v>-1.3</v>
      </c>
    </row>
    <row r="235" spans="1:2" x14ac:dyDescent="0.25">
      <c r="A235" s="924">
        <f t="shared" si="3"/>
        <v>235</v>
      </c>
      <c r="B235" s="924">
        <v>-1.3</v>
      </c>
    </row>
    <row r="236" spans="1:2" x14ac:dyDescent="0.25">
      <c r="A236" s="924">
        <f t="shared" si="3"/>
        <v>236</v>
      </c>
      <c r="B236" s="924">
        <v>-1.3</v>
      </c>
    </row>
    <row r="237" spans="1:2" x14ac:dyDescent="0.25">
      <c r="A237" s="924">
        <f t="shared" si="3"/>
        <v>237</v>
      </c>
      <c r="B237" s="924">
        <v>-1.3</v>
      </c>
    </row>
    <row r="238" spans="1:2" x14ac:dyDescent="0.25">
      <c r="A238" s="924">
        <f t="shared" si="3"/>
        <v>238</v>
      </c>
      <c r="B238" s="924">
        <v>-1.2</v>
      </c>
    </row>
    <row r="239" spans="1:2" x14ac:dyDescent="0.25">
      <c r="A239" s="924">
        <f t="shared" si="3"/>
        <v>239</v>
      </c>
      <c r="B239" s="924">
        <v>-1.2</v>
      </c>
    </row>
    <row r="240" spans="1:2" x14ac:dyDescent="0.25">
      <c r="A240" s="924">
        <f t="shared" si="3"/>
        <v>240</v>
      </c>
      <c r="B240" s="924">
        <v>-1.2</v>
      </c>
    </row>
    <row r="241" spans="1:2" x14ac:dyDescent="0.25">
      <c r="A241" s="924">
        <f t="shared" si="3"/>
        <v>241</v>
      </c>
      <c r="B241" s="924">
        <v>-1.2</v>
      </c>
    </row>
    <row r="242" spans="1:2" x14ac:dyDescent="0.25">
      <c r="A242" s="924">
        <f t="shared" si="3"/>
        <v>242</v>
      </c>
      <c r="B242" s="924">
        <v>-1.2</v>
      </c>
    </row>
    <row r="243" spans="1:2" x14ac:dyDescent="0.25">
      <c r="A243" s="924">
        <f t="shared" si="3"/>
        <v>243</v>
      </c>
      <c r="B243" s="924">
        <v>-1.2</v>
      </c>
    </row>
    <row r="244" spans="1:2" x14ac:dyDescent="0.25">
      <c r="A244" s="924">
        <f t="shared" si="3"/>
        <v>244</v>
      </c>
      <c r="B244" s="924">
        <v>-1.2</v>
      </c>
    </row>
    <row r="245" spans="1:2" x14ac:dyDescent="0.25">
      <c r="A245" s="924">
        <f t="shared" si="3"/>
        <v>245</v>
      </c>
      <c r="B245" s="924">
        <v>-1.2</v>
      </c>
    </row>
    <row r="246" spans="1:2" x14ac:dyDescent="0.25">
      <c r="A246" s="924">
        <f t="shared" si="3"/>
        <v>246</v>
      </c>
      <c r="B246" s="924">
        <v>-1.2</v>
      </c>
    </row>
    <row r="247" spans="1:2" x14ac:dyDescent="0.25">
      <c r="A247" s="924">
        <f t="shared" si="3"/>
        <v>247</v>
      </c>
      <c r="B247" s="924">
        <v>-1.2</v>
      </c>
    </row>
    <row r="248" spans="1:2" x14ac:dyDescent="0.25">
      <c r="A248" s="924">
        <f t="shared" si="3"/>
        <v>248</v>
      </c>
      <c r="B248" s="924">
        <v>-1.2</v>
      </c>
    </row>
    <row r="249" spans="1:2" x14ac:dyDescent="0.25">
      <c r="A249" s="924">
        <f t="shared" si="3"/>
        <v>249</v>
      </c>
      <c r="B249" s="924">
        <v>-1.2</v>
      </c>
    </row>
    <row r="250" spans="1:2" x14ac:dyDescent="0.25">
      <c r="A250" s="924">
        <f t="shared" si="3"/>
        <v>250</v>
      </c>
      <c r="B250" s="924">
        <v>-1.2</v>
      </c>
    </row>
    <row r="251" spans="1:2" x14ac:dyDescent="0.25">
      <c r="A251" s="924">
        <f t="shared" si="3"/>
        <v>251</v>
      </c>
      <c r="B251" s="924">
        <v>-1.2</v>
      </c>
    </row>
    <row r="252" spans="1:2" x14ac:dyDescent="0.25">
      <c r="A252" s="924">
        <f t="shared" si="3"/>
        <v>252</v>
      </c>
      <c r="B252" s="924">
        <v>-1.2</v>
      </c>
    </row>
    <row r="253" spans="1:2" x14ac:dyDescent="0.25">
      <c r="A253" s="924">
        <f t="shared" si="3"/>
        <v>253</v>
      </c>
      <c r="B253" s="924">
        <v>-1.2</v>
      </c>
    </row>
    <row r="254" spans="1:2" x14ac:dyDescent="0.25">
      <c r="A254" s="924">
        <f t="shared" si="3"/>
        <v>254</v>
      </c>
      <c r="B254" s="924">
        <v>-1.2</v>
      </c>
    </row>
    <row r="255" spans="1:2" x14ac:dyDescent="0.25">
      <c r="A255" s="924">
        <f t="shared" si="3"/>
        <v>255</v>
      </c>
      <c r="B255" s="924">
        <v>-1.2</v>
      </c>
    </row>
    <row r="256" spans="1:2" x14ac:dyDescent="0.25">
      <c r="A256" s="924">
        <f t="shared" si="3"/>
        <v>256</v>
      </c>
      <c r="B256" s="924">
        <v>-1.1000000000000001</v>
      </c>
    </row>
    <row r="257" spans="1:2" x14ac:dyDescent="0.25">
      <c r="A257" s="924">
        <f t="shared" si="3"/>
        <v>257</v>
      </c>
      <c r="B257" s="924">
        <v>-1.1000000000000001</v>
      </c>
    </row>
    <row r="258" spans="1:2" x14ac:dyDescent="0.25">
      <c r="A258" s="924">
        <f t="shared" si="3"/>
        <v>258</v>
      </c>
      <c r="B258" s="924">
        <v>-1.1000000000000001</v>
      </c>
    </row>
    <row r="259" spans="1:2" x14ac:dyDescent="0.25">
      <c r="A259" s="924">
        <f t="shared" ref="A259:A322" si="4">A258+1</f>
        <v>259</v>
      </c>
      <c r="B259" s="924">
        <v>-1.1000000000000001</v>
      </c>
    </row>
    <row r="260" spans="1:2" x14ac:dyDescent="0.25">
      <c r="A260" s="924">
        <f t="shared" si="4"/>
        <v>260</v>
      </c>
      <c r="B260" s="924">
        <v>-1.1000000000000001</v>
      </c>
    </row>
    <row r="261" spans="1:2" x14ac:dyDescent="0.25">
      <c r="A261" s="924">
        <f t="shared" si="4"/>
        <v>261</v>
      </c>
      <c r="B261" s="924">
        <v>-1.1000000000000001</v>
      </c>
    </row>
    <row r="262" spans="1:2" x14ac:dyDescent="0.25">
      <c r="A262" s="924">
        <f t="shared" si="4"/>
        <v>262</v>
      </c>
      <c r="B262" s="924">
        <v>-1.1000000000000001</v>
      </c>
    </row>
    <row r="263" spans="1:2" x14ac:dyDescent="0.25">
      <c r="A263" s="924">
        <f t="shared" si="4"/>
        <v>263</v>
      </c>
      <c r="B263" s="924">
        <v>-1.1000000000000001</v>
      </c>
    </row>
    <row r="264" spans="1:2" x14ac:dyDescent="0.25">
      <c r="A264" s="924">
        <f t="shared" si="4"/>
        <v>264</v>
      </c>
      <c r="B264" s="924">
        <v>-1.1000000000000001</v>
      </c>
    </row>
    <row r="265" spans="1:2" x14ac:dyDescent="0.25">
      <c r="A265" s="924">
        <f t="shared" si="4"/>
        <v>265</v>
      </c>
      <c r="B265" s="924">
        <v>-1.1000000000000001</v>
      </c>
    </row>
    <row r="266" spans="1:2" x14ac:dyDescent="0.25">
      <c r="A266" s="924">
        <f t="shared" si="4"/>
        <v>266</v>
      </c>
      <c r="B266" s="924">
        <v>-1.1000000000000001</v>
      </c>
    </row>
    <row r="267" spans="1:2" x14ac:dyDescent="0.25">
      <c r="A267" s="924">
        <f t="shared" si="4"/>
        <v>267</v>
      </c>
      <c r="B267" s="924">
        <v>-1.1000000000000001</v>
      </c>
    </row>
    <row r="268" spans="1:2" x14ac:dyDescent="0.25">
      <c r="A268" s="924">
        <f t="shared" si="4"/>
        <v>268</v>
      </c>
      <c r="B268" s="924">
        <v>-1.1000000000000001</v>
      </c>
    </row>
    <row r="269" spans="1:2" x14ac:dyDescent="0.25">
      <c r="A269" s="924">
        <f t="shared" si="4"/>
        <v>269</v>
      </c>
      <c r="B269" s="924">
        <v>-1.1000000000000001</v>
      </c>
    </row>
    <row r="270" spans="1:2" x14ac:dyDescent="0.25">
      <c r="A270" s="924">
        <f t="shared" si="4"/>
        <v>270</v>
      </c>
      <c r="B270" s="924">
        <v>-1.1000000000000001</v>
      </c>
    </row>
    <row r="271" spans="1:2" x14ac:dyDescent="0.25">
      <c r="A271" s="924">
        <f t="shared" si="4"/>
        <v>271</v>
      </c>
      <c r="B271" s="924">
        <v>-1.1000000000000001</v>
      </c>
    </row>
    <row r="272" spans="1:2" x14ac:dyDescent="0.25">
      <c r="A272" s="924">
        <f t="shared" si="4"/>
        <v>272</v>
      </c>
      <c r="B272" s="924">
        <v>-1.1000000000000001</v>
      </c>
    </row>
    <row r="273" spans="1:2" x14ac:dyDescent="0.25">
      <c r="A273" s="924">
        <f t="shared" si="4"/>
        <v>273</v>
      </c>
      <c r="B273" s="924">
        <v>-1.1000000000000001</v>
      </c>
    </row>
    <row r="274" spans="1:2" x14ac:dyDescent="0.25">
      <c r="A274" s="924">
        <f t="shared" si="4"/>
        <v>274</v>
      </c>
      <c r="B274" s="924">
        <v>-1.1000000000000001</v>
      </c>
    </row>
    <row r="275" spans="1:2" x14ac:dyDescent="0.25">
      <c r="A275" s="924">
        <f t="shared" si="4"/>
        <v>275</v>
      </c>
      <c r="B275" s="924">
        <v>-1.1000000000000001</v>
      </c>
    </row>
    <row r="276" spans="1:2" x14ac:dyDescent="0.25">
      <c r="A276" s="924">
        <f t="shared" si="4"/>
        <v>276</v>
      </c>
      <c r="B276" s="924">
        <v>-1.1000000000000001</v>
      </c>
    </row>
    <row r="277" spans="1:2" x14ac:dyDescent="0.25">
      <c r="A277" s="924">
        <f t="shared" si="4"/>
        <v>277</v>
      </c>
      <c r="B277" s="924">
        <v>-1.1000000000000001</v>
      </c>
    </row>
    <row r="278" spans="1:2" x14ac:dyDescent="0.25">
      <c r="A278" s="924">
        <f t="shared" si="4"/>
        <v>278</v>
      </c>
      <c r="B278" s="924">
        <v>-1.1000000000000001</v>
      </c>
    </row>
    <row r="279" spans="1:2" x14ac:dyDescent="0.25">
      <c r="A279" s="924">
        <f t="shared" si="4"/>
        <v>279</v>
      </c>
      <c r="B279" s="924">
        <v>-1.1000000000000001</v>
      </c>
    </row>
    <row r="280" spans="1:2" x14ac:dyDescent="0.25">
      <c r="A280" s="924">
        <f t="shared" si="4"/>
        <v>280</v>
      </c>
      <c r="B280" s="924">
        <v>-1.1000000000000001</v>
      </c>
    </row>
    <row r="281" spans="1:2" x14ac:dyDescent="0.25">
      <c r="A281" s="924">
        <f t="shared" si="4"/>
        <v>281</v>
      </c>
      <c r="B281" s="924">
        <v>-1.1000000000000001</v>
      </c>
    </row>
    <row r="282" spans="1:2" x14ac:dyDescent="0.25">
      <c r="A282" s="924">
        <f t="shared" si="4"/>
        <v>282</v>
      </c>
      <c r="B282" s="924">
        <v>-1</v>
      </c>
    </row>
    <row r="283" spans="1:2" x14ac:dyDescent="0.25">
      <c r="A283" s="924">
        <f t="shared" si="4"/>
        <v>283</v>
      </c>
      <c r="B283" s="924">
        <v>-1</v>
      </c>
    </row>
    <row r="284" spans="1:2" x14ac:dyDescent="0.25">
      <c r="A284" s="924">
        <f t="shared" si="4"/>
        <v>284</v>
      </c>
      <c r="B284" s="924">
        <v>-1</v>
      </c>
    </row>
    <row r="285" spans="1:2" x14ac:dyDescent="0.25">
      <c r="A285" s="924">
        <f t="shared" si="4"/>
        <v>285</v>
      </c>
      <c r="B285" s="924">
        <v>-1</v>
      </c>
    </row>
    <row r="286" spans="1:2" x14ac:dyDescent="0.25">
      <c r="A286" s="924">
        <f t="shared" si="4"/>
        <v>286</v>
      </c>
      <c r="B286" s="924">
        <v>-1</v>
      </c>
    </row>
    <row r="287" spans="1:2" x14ac:dyDescent="0.25">
      <c r="A287" s="924">
        <f t="shared" si="4"/>
        <v>287</v>
      </c>
      <c r="B287" s="924">
        <v>-1</v>
      </c>
    </row>
    <row r="288" spans="1:2" x14ac:dyDescent="0.25">
      <c r="A288" s="924">
        <f t="shared" si="4"/>
        <v>288</v>
      </c>
      <c r="B288" s="924">
        <v>-1</v>
      </c>
    </row>
    <row r="289" spans="1:2" x14ac:dyDescent="0.25">
      <c r="A289" s="924">
        <f t="shared" si="4"/>
        <v>289</v>
      </c>
      <c r="B289" s="924">
        <v>-1</v>
      </c>
    </row>
    <row r="290" spans="1:2" x14ac:dyDescent="0.25">
      <c r="A290" s="924">
        <f t="shared" si="4"/>
        <v>290</v>
      </c>
      <c r="B290" s="924">
        <v>-1</v>
      </c>
    </row>
    <row r="291" spans="1:2" x14ac:dyDescent="0.25">
      <c r="A291" s="924">
        <f t="shared" si="4"/>
        <v>291</v>
      </c>
      <c r="B291" s="924">
        <v>-1</v>
      </c>
    </row>
    <row r="292" spans="1:2" x14ac:dyDescent="0.25">
      <c r="A292" s="924">
        <f t="shared" si="4"/>
        <v>292</v>
      </c>
      <c r="B292" s="924">
        <v>-1</v>
      </c>
    </row>
    <row r="293" spans="1:2" x14ac:dyDescent="0.25">
      <c r="A293" s="924">
        <f t="shared" si="4"/>
        <v>293</v>
      </c>
      <c r="B293" s="924">
        <v>-1</v>
      </c>
    </row>
    <row r="294" spans="1:2" x14ac:dyDescent="0.25">
      <c r="A294" s="924">
        <f t="shared" si="4"/>
        <v>294</v>
      </c>
      <c r="B294" s="924">
        <v>-1</v>
      </c>
    </row>
    <row r="295" spans="1:2" x14ac:dyDescent="0.25">
      <c r="A295" s="924">
        <f t="shared" si="4"/>
        <v>295</v>
      </c>
      <c r="B295" s="924">
        <v>-1</v>
      </c>
    </row>
    <row r="296" spans="1:2" x14ac:dyDescent="0.25">
      <c r="A296" s="924">
        <f t="shared" si="4"/>
        <v>296</v>
      </c>
      <c r="B296" s="924">
        <v>-1</v>
      </c>
    </row>
    <row r="297" spans="1:2" x14ac:dyDescent="0.25">
      <c r="A297" s="924">
        <f t="shared" si="4"/>
        <v>297</v>
      </c>
      <c r="B297" s="924">
        <v>-1</v>
      </c>
    </row>
    <row r="298" spans="1:2" x14ac:dyDescent="0.25">
      <c r="A298" s="924">
        <f t="shared" si="4"/>
        <v>298</v>
      </c>
      <c r="B298" s="924">
        <v>-1</v>
      </c>
    </row>
    <row r="299" spans="1:2" x14ac:dyDescent="0.25">
      <c r="A299" s="924">
        <f t="shared" si="4"/>
        <v>299</v>
      </c>
      <c r="B299" s="924">
        <v>-1</v>
      </c>
    </row>
    <row r="300" spans="1:2" x14ac:dyDescent="0.25">
      <c r="A300" s="924">
        <f t="shared" si="4"/>
        <v>300</v>
      </c>
      <c r="B300" s="924">
        <v>-1</v>
      </c>
    </row>
    <row r="301" spans="1:2" x14ac:dyDescent="0.25">
      <c r="A301" s="924">
        <f t="shared" si="4"/>
        <v>301</v>
      </c>
      <c r="B301" s="924">
        <v>-1</v>
      </c>
    </row>
    <row r="302" spans="1:2" x14ac:dyDescent="0.25">
      <c r="A302" s="924">
        <f t="shared" si="4"/>
        <v>302</v>
      </c>
      <c r="B302" s="924">
        <v>-1</v>
      </c>
    </row>
    <row r="303" spans="1:2" x14ac:dyDescent="0.25">
      <c r="A303" s="924">
        <f t="shared" si="4"/>
        <v>303</v>
      </c>
      <c r="B303" s="924">
        <v>-1</v>
      </c>
    </row>
    <row r="304" spans="1:2" x14ac:dyDescent="0.25">
      <c r="A304" s="924">
        <f t="shared" si="4"/>
        <v>304</v>
      </c>
      <c r="B304" s="924">
        <v>-1</v>
      </c>
    </row>
    <row r="305" spans="1:2" x14ac:dyDescent="0.25">
      <c r="A305" s="924">
        <f t="shared" si="4"/>
        <v>305</v>
      </c>
      <c r="B305" s="924">
        <v>-0.9</v>
      </c>
    </row>
    <row r="306" spans="1:2" x14ac:dyDescent="0.25">
      <c r="A306" s="924">
        <f t="shared" si="4"/>
        <v>306</v>
      </c>
      <c r="B306" s="924">
        <v>-0.9</v>
      </c>
    </row>
    <row r="307" spans="1:2" x14ac:dyDescent="0.25">
      <c r="A307" s="924">
        <f t="shared" si="4"/>
        <v>307</v>
      </c>
      <c r="B307" s="924">
        <v>-0.9</v>
      </c>
    </row>
    <row r="308" spans="1:2" x14ac:dyDescent="0.25">
      <c r="A308" s="924">
        <f t="shared" si="4"/>
        <v>308</v>
      </c>
      <c r="B308" s="924">
        <v>-0.9</v>
      </c>
    </row>
    <row r="309" spans="1:2" x14ac:dyDescent="0.25">
      <c r="A309" s="924">
        <f t="shared" si="4"/>
        <v>309</v>
      </c>
      <c r="B309" s="924">
        <v>-0.9</v>
      </c>
    </row>
    <row r="310" spans="1:2" x14ac:dyDescent="0.25">
      <c r="A310" s="924">
        <f t="shared" si="4"/>
        <v>310</v>
      </c>
      <c r="B310" s="924">
        <v>-0.9</v>
      </c>
    </row>
    <row r="311" spans="1:2" x14ac:dyDescent="0.25">
      <c r="A311" s="924">
        <f t="shared" si="4"/>
        <v>311</v>
      </c>
      <c r="B311" s="924">
        <v>-0.9</v>
      </c>
    </row>
    <row r="312" spans="1:2" x14ac:dyDescent="0.25">
      <c r="A312" s="924">
        <f t="shared" si="4"/>
        <v>312</v>
      </c>
      <c r="B312" s="924">
        <v>-0.9</v>
      </c>
    </row>
    <row r="313" spans="1:2" x14ac:dyDescent="0.25">
      <c r="A313" s="924">
        <f t="shared" si="4"/>
        <v>313</v>
      </c>
      <c r="B313" s="924">
        <v>-0.9</v>
      </c>
    </row>
    <row r="314" spans="1:2" x14ac:dyDescent="0.25">
      <c r="A314" s="924">
        <f t="shared" si="4"/>
        <v>314</v>
      </c>
      <c r="B314" s="924">
        <v>-0.9</v>
      </c>
    </row>
    <row r="315" spans="1:2" x14ac:dyDescent="0.25">
      <c r="A315" s="924">
        <f t="shared" si="4"/>
        <v>315</v>
      </c>
      <c r="B315" s="924">
        <v>-0.9</v>
      </c>
    </row>
    <row r="316" spans="1:2" x14ac:dyDescent="0.25">
      <c r="A316" s="924">
        <f t="shared" si="4"/>
        <v>316</v>
      </c>
      <c r="B316" s="924">
        <v>-0.9</v>
      </c>
    </row>
    <row r="317" spans="1:2" x14ac:dyDescent="0.25">
      <c r="A317" s="924">
        <f t="shared" si="4"/>
        <v>317</v>
      </c>
      <c r="B317" s="924">
        <v>-0.9</v>
      </c>
    </row>
    <row r="318" spans="1:2" x14ac:dyDescent="0.25">
      <c r="A318" s="924">
        <f t="shared" si="4"/>
        <v>318</v>
      </c>
      <c r="B318" s="924">
        <v>-0.9</v>
      </c>
    </row>
    <row r="319" spans="1:2" x14ac:dyDescent="0.25">
      <c r="A319" s="924">
        <f t="shared" si="4"/>
        <v>319</v>
      </c>
      <c r="B319" s="924">
        <v>-0.9</v>
      </c>
    </row>
    <row r="320" spans="1:2" x14ac:dyDescent="0.25">
      <c r="A320" s="924">
        <f t="shared" si="4"/>
        <v>320</v>
      </c>
      <c r="B320" s="924">
        <v>-0.9</v>
      </c>
    </row>
    <row r="321" spans="1:2" x14ac:dyDescent="0.25">
      <c r="A321" s="924">
        <f t="shared" si="4"/>
        <v>321</v>
      </c>
      <c r="B321" s="924">
        <v>-0.9</v>
      </c>
    </row>
    <row r="322" spans="1:2" x14ac:dyDescent="0.25">
      <c r="A322" s="924">
        <f t="shared" si="4"/>
        <v>322</v>
      </c>
      <c r="B322" s="924">
        <v>-0.9</v>
      </c>
    </row>
    <row r="323" spans="1:2" x14ac:dyDescent="0.25">
      <c r="A323" s="924">
        <f t="shared" ref="A323:A386" si="5">A322+1</f>
        <v>323</v>
      </c>
      <c r="B323" s="924">
        <v>-0.9</v>
      </c>
    </row>
    <row r="324" spans="1:2" x14ac:dyDescent="0.25">
      <c r="A324" s="924">
        <f t="shared" si="5"/>
        <v>324</v>
      </c>
      <c r="B324" s="924">
        <v>-0.9</v>
      </c>
    </row>
    <row r="325" spans="1:2" x14ac:dyDescent="0.25">
      <c r="A325" s="924">
        <f t="shared" si="5"/>
        <v>325</v>
      </c>
      <c r="B325" s="924">
        <v>-0.9</v>
      </c>
    </row>
    <row r="326" spans="1:2" x14ac:dyDescent="0.25">
      <c r="A326" s="924">
        <f t="shared" si="5"/>
        <v>326</v>
      </c>
      <c r="B326" s="924">
        <v>-0.9</v>
      </c>
    </row>
    <row r="327" spans="1:2" x14ac:dyDescent="0.25">
      <c r="A327" s="924">
        <f t="shared" si="5"/>
        <v>327</v>
      </c>
      <c r="B327" s="924">
        <v>-0.9</v>
      </c>
    </row>
    <row r="328" spans="1:2" x14ac:dyDescent="0.25">
      <c r="A328" s="924">
        <f t="shared" si="5"/>
        <v>328</v>
      </c>
      <c r="B328" s="924">
        <v>-0.8</v>
      </c>
    </row>
    <row r="329" spans="1:2" x14ac:dyDescent="0.25">
      <c r="A329" s="924">
        <f t="shared" si="5"/>
        <v>329</v>
      </c>
      <c r="B329" s="924">
        <v>-0.8</v>
      </c>
    </row>
    <row r="330" spans="1:2" x14ac:dyDescent="0.25">
      <c r="A330" s="924">
        <f t="shared" si="5"/>
        <v>330</v>
      </c>
      <c r="B330" s="924">
        <v>-0.8</v>
      </c>
    </row>
    <row r="331" spans="1:2" x14ac:dyDescent="0.25">
      <c r="A331" s="924">
        <f t="shared" si="5"/>
        <v>331</v>
      </c>
      <c r="B331" s="924">
        <v>-0.8</v>
      </c>
    </row>
    <row r="332" spans="1:2" x14ac:dyDescent="0.25">
      <c r="A332" s="924">
        <f t="shared" si="5"/>
        <v>332</v>
      </c>
      <c r="B332" s="924">
        <v>-0.8</v>
      </c>
    </row>
    <row r="333" spans="1:2" x14ac:dyDescent="0.25">
      <c r="A333" s="924">
        <f t="shared" si="5"/>
        <v>333</v>
      </c>
      <c r="B333" s="924">
        <v>-0.8</v>
      </c>
    </row>
    <row r="334" spans="1:2" x14ac:dyDescent="0.25">
      <c r="A334" s="924">
        <f t="shared" si="5"/>
        <v>334</v>
      </c>
      <c r="B334" s="924">
        <v>-0.8</v>
      </c>
    </row>
    <row r="335" spans="1:2" x14ac:dyDescent="0.25">
      <c r="A335" s="924">
        <f t="shared" si="5"/>
        <v>335</v>
      </c>
      <c r="B335" s="924">
        <v>-0.8</v>
      </c>
    </row>
    <row r="336" spans="1:2" x14ac:dyDescent="0.25">
      <c r="A336" s="924">
        <f t="shared" si="5"/>
        <v>336</v>
      </c>
      <c r="B336" s="924">
        <v>-0.8</v>
      </c>
    </row>
    <row r="337" spans="1:2" x14ac:dyDescent="0.25">
      <c r="A337" s="924">
        <f t="shared" si="5"/>
        <v>337</v>
      </c>
      <c r="B337" s="924">
        <v>-0.8</v>
      </c>
    </row>
    <row r="338" spans="1:2" x14ac:dyDescent="0.25">
      <c r="A338" s="924">
        <f t="shared" si="5"/>
        <v>338</v>
      </c>
      <c r="B338" s="924">
        <v>-0.8</v>
      </c>
    </row>
    <row r="339" spans="1:2" x14ac:dyDescent="0.25">
      <c r="A339" s="924">
        <f t="shared" si="5"/>
        <v>339</v>
      </c>
      <c r="B339" s="924">
        <v>-0.8</v>
      </c>
    </row>
    <row r="340" spans="1:2" x14ac:dyDescent="0.25">
      <c r="A340" s="924">
        <f t="shared" si="5"/>
        <v>340</v>
      </c>
      <c r="B340" s="924">
        <v>-0.8</v>
      </c>
    </row>
    <row r="341" spans="1:2" x14ac:dyDescent="0.25">
      <c r="A341" s="924">
        <f t="shared" si="5"/>
        <v>341</v>
      </c>
      <c r="B341" s="924">
        <v>-0.8</v>
      </c>
    </row>
    <row r="342" spans="1:2" x14ac:dyDescent="0.25">
      <c r="A342" s="924">
        <f t="shared" si="5"/>
        <v>342</v>
      </c>
      <c r="B342" s="924">
        <v>-0.8</v>
      </c>
    </row>
    <row r="343" spans="1:2" x14ac:dyDescent="0.25">
      <c r="A343" s="924">
        <f t="shared" si="5"/>
        <v>343</v>
      </c>
      <c r="B343" s="924">
        <v>-0.8</v>
      </c>
    </row>
    <row r="344" spans="1:2" x14ac:dyDescent="0.25">
      <c r="A344" s="924">
        <f t="shared" si="5"/>
        <v>344</v>
      </c>
      <c r="B344" s="924">
        <v>-0.8</v>
      </c>
    </row>
    <row r="345" spans="1:2" x14ac:dyDescent="0.25">
      <c r="A345" s="924">
        <f t="shared" si="5"/>
        <v>345</v>
      </c>
      <c r="B345" s="924">
        <v>-0.8</v>
      </c>
    </row>
    <row r="346" spans="1:2" x14ac:dyDescent="0.25">
      <c r="A346" s="924">
        <f t="shared" si="5"/>
        <v>346</v>
      </c>
      <c r="B346" s="924">
        <v>-0.8</v>
      </c>
    </row>
    <row r="347" spans="1:2" x14ac:dyDescent="0.25">
      <c r="A347" s="924">
        <f t="shared" si="5"/>
        <v>347</v>
      </c>
      <c r="B347" s="924">
        <v>-0.8</v>
      </c>
    </row>
    <row r="348" spans="1:2" x14ac:dyDescent="0.25">
      <c r="A348" s="924">
        <f t="shared" si="5"/>
        <v>348</v>
      </c>
      <c r="B348" s="924">
        <v>-0.8</v>
      </c>
    </row>
    <row r="349" spans="1:2" x14ac:dyDescent="0.25">
      <c r="A349" s="924">
        <f t="shared" si="5"/>
        <v>349</v>
      </c>
      <c r="B349" s="924">
        <v>-0.8</v>
      </c>
    </row>
    <row r="350" spans="1:2" x14ac:dyDescent="0.25">
      <c r="A350" s="924">
        <f t="shared" si="5"/>
        <v>350</v>
      </c>
      <c r="B350" s="924">
        <v>-0.7</v>
      </c>
    </row>
    <row r="351" spans="1:2" x14ac:dyDescent="0.25">
      <c r="A351" s="924">
        <f t="shared" si="5"/>
        <v>351</v>
      </c>
      <c r="B351" s="924">
        <v>-0.7</v>
      </c>
    </row>
    <row r="352" spans="1:2" x14ac:dyDescent="0.25">
      <c r="A352" s="924">
        <f t="shared" si="5"/>
        <v>352</v>
      </c>
      <c r="B352" s="924">
        <v>-0.7</v>
      </c>
    </row>
    <row r="353" spans="1:2" x14ac:dyDescent="0.25">
      <c r="A353" s="924">
        <f t="shared" si="5"/>
        <v>353</v>
      </c>
      <c r="B353" s="924">
        <v>-0.7</v>
      </c>
    </row>
    <row r="354" spans="1:2" x14ac:dyDescent="0.25">
      <c r="A354" s="924">
        <f t="shared" si="5"/>
        <v>354</v>
      </c>
      <c r="B354" s="924">
        <v>-0.7</v>
      </c>
    </row>
    <row r="355" spans="1:2" x14ac:dyDescent="0.25">
      <c r="A355" s="924">
        <f t="shared" si="5"/>
        <v>355</v>
      </c>
      <c r="B355" s="924">
        <v>-0.7</v>
      </c>
    </row>
    <row r="356" spans="1:2" x14ac:dyDescent="0.25">
      <c r="A356" s="924">
        <f t="shared" si="5"/>
        <v>356</v>
      </c>
      <c r="B356" s="924">
        <v>-0.7</v>
      </c>
    </row>
    <row r="357" spans="1:2" x14ac:dyDescent="0.25">
      <c r="A357" s="924">
        <f t="shared" si="5"/>
        <v>357</v>
      </c>
      <c r="B357" s="924">
        <v>-0.7</v>
      </c>
    </row>
    <row r="358" spans="1:2" x14ac:dyDescent="0.25">
      <c r="A358" s="924">
        <f t="shared" si="5"/>
        <v>358</v>
      </c>
      <c r="B358" s="924">
        <v>-0.7</v>
      </c>
    </row>
    <row r="359" spans="1:2" x14ac:dyDescent="0.25">
      <c r="A359" s="924">
        <f t="shared" si="5"/>
        <v>359</v>
      </c>
      <c r="B359" s="924">
        <v>-0.7</v>
      </c>
    </row>
    <row r="360" spans="1:2" x14ac:dyDescent="0.25">
      <c r="A360" s="924">
        <f t="shared" si="5"/>
        <v>360</v>
      </c>
      <c r="B360" s="924">
        <v>-0.7</v>
      </c>
    </row>
    <row r="361" spans="1:2" x14ac:dyDescent="0.25">
      <c r="A361" s="924">
        <f t="shared" si="5"/>
        <v>361</v>
      </c>
      <c r="B361" s="924">
        <v>-0.7</v>
      </c>
    </row>
    <row r="362" spans="1:2" x14ac:dyDescent="0.25">
      <c r="A362" s="924">
        <f t="shared" si="5"/>
        <v>362</v>
      </c>
      <c r="B362" s="924">
        <v>-0.7</v>
      </c>
    </row>
    <row r="363" spans="1:2" x14ac:dyDescent="0.25">
      <c r="A363" s="924">
        <f t="shared" si="5"/>
        <v>363</v>
      </c>
      <c r="B363" s="924">
        <v>-0.7</v>
      </c>
    </row>
    <row r="364" spans="1:2" x14ac:dyDescent="0.25">
      <c r="A364" s="924">
        <f t="shared" si="5"/>
        <v>364</v>
      </c>
      <c r="B364" s="924">
        <v>-0.7</v>
      </c>
    </row>
    <row r="365" spans="1:2" x14ac:dyDescent="0.25">
      <c r="A365" s="924">
        <f t="shared" si="5"/>
        <v>365</v>
      </c>
      <c r="B365" s="924">
        <v>-0.7</v>
      </c>
    </row>
    <row r="366" spans="1:2" x14ac:dyDescent="0.25">
      <c r="A366" s="924">
        <f t="shared" si="5"/>
        <v>366</v>
      </c>
      <c r="B366" s="924">
        <v>-0.7</v>
      </c>
    </row>
    <row r="367" spans="1:2" x14ac:dyDescent="0.25">
      <c r="A367" s="924">
        <f t="shared" si="5"/>
        <v>367</v>
      </c>
      <c r="B367" s="924">
        <v>-0.6</v>
      </c>
    </row>
    <row r="368" spans="1:2" x14ac:dyDescent="0.25">
      <c r="A368" s="924">
        <f t="shared" si="5"/>
        <v>368</v>
      </c>
      <c r="B368" s="924">
        <v>-0.6</v>
      </c>
    </row>
    <row r="369" spans="1:2" x14ac:dyDescent="0.25">
      <c r="A369" s="924">
        <f t="shared" si="5"/>
        <v>369</v>
      </c>
      <c r="B369" s="924">
        <v>-0.6</v>
      </c>
    </row>
    <row r="370" spans="1:2" x14ac:dyDescent="0.25">
      <c r="A370" s="924">
        <f t="shared" si="5"/>
        <v>370</v>
      </c>
      <c r="B370" s="924">
        <v>-0.6</v>
      </c>
    </row>
    <row r="371" spans="1:2" x14ac:dyDescent="0.25">
      <c r="A371" s="924">
        <f t="shared" si="5"/>
        <v>371</v>
      </c>
      <c r="B371" s="924">
        <v>-0.6</v>
      </c>
    </row>
    <row r="372" spans="1:2" x14ac:dyDescent="0.25">
      <c r="A372" s="924">
        <f t="shared" si="5"/>
        <v>372</v>
      </c>
      <c r="B372" s="924">
        <v>-0.6</v>
      </c>
    </row>
    <row r="373" spans="1:2" x14ac:dyDescent="0.25">
      <c r="A373" s="924">
        <f t="shared" si="5"/>
        <v>373</v>
      </c>
      <c r="B373" s="924">
        <v>-0.6</v>
      </c>
    </row>
    <row r="374" spans="1:2" x14ac:dyDescent="0.25">
      <c r="A374" s="924">
        <f t="shared" si="5"/>
        <v>374</v>
      </c>
      <c r="B374" s="924">
        <v>-0.6</v>
      </c>
    </row>
    <row r="375" spans="1:2" x14ac:dyDescent="0.25">
      <c r="A375" s="924">
        <f t="shared" si="5"/>
        <v>375</v>
      </c>
      <c r="B375" s="924">
        <v>-0.6</v>
      </c>
    </row>
    <row r="376" spans="1:2" x14ac:dyDescent="0.25">
      <c r="A376" s="924">
        <f t="shared" si="5"/>
        <v>376</v>
      </c>
      <c r="B376" s="924">
        <v>-0.6</v>
      </c>
    </row>
    <row r="377" spans="1:2" x14ac:dyDescent="0.25">
      <c r="A377" s="924">
        <f t="shared" si="5"/>
        <v>377</v>
      </c>
      <c r="B377" s="924">
        <v>-0.6</v>
      </c>
    </row>
    <row r="378" spans="1:2" x14ac:dyDescent="0.25">
      <c r="A378" s="924">
        <f t="shared" si="5"/>
        <v>378</v>
      </c>
      <c r="B378" s="924">
        <v>-0.6</v>
      </c>
    </row>
    <row r="379" spans="1:2" x14ac:dyDescent="0.25">
      <c r="A379" s="924">
        <f t="shared" si="5"/>
        <v>379</v>
      </c>
      <c r="B379" s="924">
        <v>-0.6</v>
      </c>
    </row>
    <row r="380" spans="1:2" x14ac:dyDescent="0.25">
      <c r="A380" s="924">
        <f t="shared" si="5"/>
        <v>380</v>
      </c>
      <c r="B380" s="924">
        <v>-0.6</v>
      </c>
    </row>
    <row r="381" spans="1:2" x14ac:dyDescent="0.25">
      <c r="A381" s="924">
        <f t="shared" si="5"/>
        <v>381</v>
      </c>
      <c r="B381" s="924">
        <v>-0.6</v>
      </c>
    </row>
    <row r="382" spans="1:2" x14ac:dyDescent="0.25">
      <c r="A382" s="924">
        <f t="shared" si="5"/>
        <v>382</v>
      </c>
      <c r="B382" s="924">
        <v>-0.6</v>
      </c>
    </row>
    <row r="383" spans="1:2" x14ac:dyDescent="0.25">
      <c r="A383" s="924">
        <f t="shared" si="5"/>
        <v>383</v>
      </c>
      <c r="B383" s="924">
        <v>-0.6</v>
      </c>
    </row>
    <row r="384" spans="1:2" x14ac:dyDescent="0.25">
      <c r="A384" s="924">
        <f t="shared" si="5"/>
        <v>384</v>
      </c>
      <c r="B384" s="924">
        <v>-0.6</v>
      </c>
    </row>
    <row r="385" spans="1:2" x14ac:dyDescent="0.25">
      <c r="A385" s="924">
        <f t="shared" si="5"/>
        <v>385</v>
      </c>
      <c r="B385" s="924">
        <v>-0.6</v>
      </c>
    </row>
    <row r="386" spans="1:2" x14ac:dyDescent="0.25">
      <c r="A386" s="924">
        <f t="shared" si="5"/>
        <v>386</v>
      </c>
      <c r="B386" s="924">
        <v>-0.6</v>
      </c>
    </row>
    <row r="387" spans="1:2" x14ac:dyDescent="0.25">
      <c r="A387" s="924">
        <f t="shared" ref="A387:A450" si="6">A386+1</f>
        <v>387</v>
      </c>
      <c r="B387" s="924">
        <v>-0.6</v>
      </c>
    </row>
    <row r="388" spans="1:2" x14ac:dyDescent="0.25">
      <c r="A388" s="924">
        <f t="shared" si="6"/>
        <v>388</v>
      </c>
      <c r="B388" s="924">
        <v>-0.5</v>
      </c>
    </row>
    <row r="389" spans="1:2" x14ac:dyDescent="0.25">
      <c r="A389" s="924">
        <f t="shared" si="6"/>
        <v>389</v>
      </c>
      <c r="B389" s="924">
        <v>-0.5</v>
      </c>
    </row>
    <row r="390" spans="1:2" x14ac:dyDescent="0.25">
      <c r="A390" s="924">
        <f t="shared" si="6"/>
        <v>390</v>
      </c>
      <c r="B390" s="924">
        <v>-0.5</v>
      </c>
    </row>
    <row r="391" spans="1:2" x14ac:dyDescent="0.25">
      <c r="A391" s="924">
        <f t="shared" si="6"/>
        <v>391</v>
      </c>
      <c r="B391" s="924">
        <v>-0.5</v>
      </c>
    </row>
    <row r="392" spans="1:2" x14ac:dyDescent="0.25">
      <c r="A392" s="924">
        <f t="shared" si="6"/>
        <v>392</v>
      </c>
      <c r="B392" s="924">
        <v>-0.5</v>
      </c>
    </row>
    <row r="393" spans="1:2" x14ac:dyDescent="0.25">
      <c r="A393" s="924">
        <f t="shared" si="6"/>
        <v>393</v>
      </c>
      <c r="B393" s="924">
        <v>-0.5</v>
      </c>
    </row>
    <row r="394" spans="1:2" x14ac:dyDescent="0.25">
      <c r="A394" s="924">
        <f t="shared" si="6"/>
        <v>394</v>
      </c>
      <c r="B394" s="924">
        <v>-0.5</v>
      </c>
    </row>
    <row r="395" spans="1:2" x14ac:dyDescent="0.25">
      <c r="A395" s="924">
        <f t="shared" si="6"/>
        <v>395</v>
      </c>
      <c r="B395" s="924">
        <v>-0.5</v>
      </c>
    </row>
    <row r="396" spans="1:2" x14ac:dyDescent="0.25">
      <c r="A396" s="924">
        <f t="shared" si="6"/>
        <v>396</v>
      </c>
      <c r="B396" s="924">
        <v>-0.5</v>
      </c>
    </row>
    <row r="397" spans="1:2" x14ac:dyDescent="0.25">
      <c r="A397" s="924">
        <f t="shared" si="6"/>
        <v>397</v>
      </c>
      <c r="B397" s="924">
        <v>-0.5</v>
      </c>
    </row>
    <row r="398" spans="1:2" x14ac:dyDescent="0.25">
      <c r="A398" s="924">
        <f t="shared" si="6"/>
        <v>398</v>
      </c>
      <c r="B398" s="924">
        <v>-0.5</v>
      </c>
    </row>
    <row r="399" spans="1:2" x14ac:dyDescent="0.25">
      <c r="A399" s="924">
        <f t="shared" si="6"/>
        <v>399</v>
      </c>
      <c r="B399" s="924">
        <v>-0.5</v>
      </c>
    </row>
    <row r="400" spans="1:2" x14ac:dyDescent="0.25">
      <c r="A400" s="924">
        <f t="shared" si="6"/>
        <v>400</v>
      </c>
      <c r="B400" s="924">
        <v>-0.5</v>
      </c>
    </row>
    <row r="401" spans="1:2" x14ac:dyDescent="0.25">
      <c r="A401" s="924">
        <f t="shared" si="6"/>
        <v>401</v>
      </c>
      <c r="B401" s="924">
        <v>-0.5</v>
      </c>
    </row>
    <row r="402" spans="1:2" x14ac:dyDescent="0.25">
      <c r="A402" s="924">
        <f t="shared" si="6"/>
        <v>402</v>
      </c>
      <c r="B402" s="924">
        <v>-0.5</v>
      </c>
    </row>
    <row r="403" spans="1:2" x14ac:dyDescent="0.25">
      <c r="A403" s="924">
        <f t="shared" si="6"/>
        <v>403</v>
      </c>
      <c r="B403" s="924">
        <v>-0.5</v>
      </c>
    </row>
    <row r="404" spans="1:2" x14ac:dyDescent="0.25">
      <c r="A404" s="924">
        <f t="shared" si="6"/>
        <v>404</v>
      </c>
      <c r="B404" s="924">
        <v>-0.5</v>
      </c>
    </row>
    <row r="405" spans="1:2" x14ac:dyDescent="0.25">
      <c r="A405" s="924">
        <f t="shared" si="6"/>
        <v>405</v>
      </c>
      <c r="B405" s="924">
        <v>-0.4</v>
      </c>
    </row>
    <row r="406" spans="1:2" x14ac:dyDescent="0.25">
      <c r="A406" s="924">
        <f t="shared" si="6"/>
        <v>406</v>
      </c>
      <c r="B406" s="924">
        <v>-0.4</v>
      </c>
    </row>
    <row r="407" spans="1:2" x14ac:dyDescent="0.25">
      <c r="A407" s="924">
        <f t="shared" si="6"/>
        <v>407</v>
      </c>
      <c r="B407" s="924">
        <v>-0.4</v>
      </c>
    </row>
    <row r="408" spans="1:2" x14ac:dyDescent="0.25">
      <c r="A408" s="924">
        <f t="shared" si="6"/>
        <v>408</v>
      </c>
      <c r="B408" s="924">
        <v>-0.4</v>
      </c>
    </row>
    <row r="409" spans="1:2" x14ac:dyDescent="0.25">
      <c r="A409" s="924">
        <f t="shared" si="6"/>
        <v>409</v>
      </c>
      <c r="B409" s="924">
        <v>-0.4</v>
      </c>
    </row>
    <row r="410" spans="1:2" x14ac:dyDescent="0.25">
      <c r="A410" s="924">
        <f t="shared" si="6"/>
        <v>410</v>
      </c>
      <c r="B410" s="924">
        <v>-0.4</v>
      </c>
    </row>
    <row r="411" spans="1:2" x14ac:dyDescent="0.25">
      <c r="A411" s="924">
        <f t="shared" si="6"/>
        <v>411</v>
      </c>
      <c r="B411" s="924">
        <v>-0.4</v>
      </c>
    </row>
    <row r="412" spans="1:2" x14ac:dyDescent="0.25">
      <c r="A412" s="924">
        <f t="shared" si="6"/>
        <v>412</v>
      </c>
      <c r="B412" s="924">
        <v>-0.4</v>
      </c>
    </row>
    <row r="413" spans="1:2" x14ac:dyDescent="0.25">
      <c r="A413" s="924">
        <f t="shared" si="6"/>
        <v>413</v>
      </c>
      <c r="B413" s="924">
        <v>-0.4</v>
      </c>
    </row>
    <row r="414" spans="1:2" x14ac:dyDescent="0.25">
      <c r="A414" s="924">
        <f t="shared" si="6"/>
        <v>414</v>
      </c>
      <c r="B414" s="924">
        <v>-0.4</v>
      </c>
    </row>
    <row r="415" spans="1:2" x14ac:dyDescent="0.25">
      <c r="A415" s="924">
        <f t="shared" si="6"/>
        <v>415</v>
      </c>
      <c r="B415" s="924">
        <v>-0.4</v>
      </c>
    </row>
    <row r="416" spans="1:2" x14ac:dyDescent="0.25">
      <c r="A416" s="924">
        <f t="shared" si="6"/>
        <v>416</v>
      </c>
      <c r="B416" s="924">
        <v>-0.4</v>
      </c>
    </row>
    <row r="417" spans="1:2" x14ac:dyDescent="0.25">
      <c r="A417" s="924">
        <f t="shared" si="6"/>
        <v>417</v>
      </c>
      <c r="B417" s="924">
        <v>-0.4</v>
      </c>
    </row>
    <row r="418" spans="1:2" x14ac:dyDescent="0.25">
      <c r="A418" s="924">
        <f t="shared" si="6"/>
        <v>418</v>
      </c>
      <c r="B418" s="924">
        <v>-0.3</v>
      </c>
    </row>
    <row r="419" spans="1:2" x14ac:dyDescent="0.25">
      <c r="A419" s="924">
        <f t="shared" si="6"/>
        <v>419</v>
      </c>
      <c r="B419" s="924">
        <v>-0.3</v>
      </c>
    </row>
    <row r="420" spans="1:2" x14ac:dyDescent="0.25">
      <c r="A420" s="924">
        <f t="shared" si="6"/>
        <v>420</v>
      </c>
      <c r="B420" s="924">
        <v>-0.3</v>
      </c>
    </row>
    <row r="421" spans="1:2" x14ac:dyDescent="0.25">
      <c r="A421" s="924">
        <f t="shared" si="6"/>
        <v>421</v>
      </c>
      <c r="B421" s="924">
        <v>-0.3</v>
      </c>
    </row>
    <row r="422" spans="1:2" x14ac:dyDescent="0.25">
      <c r="A422" s="924">
        <f t="shared" si="6"/>
        <v>422</v>
      </c>
      <c r="B422" s="924">
        <v>-0.3</v>
      </c>
    </row>
    <row r="423" spans="1:2" x14ac:dyDescent="0.25">
      <c r="A423" s="924">
        <f t="shared" si="6"/>
        <v>423</v>
      </c>
      <c r="B423" s="924">
        <v>-0.3</v>
      </c>
    </row>
    <row r="424" spans="1:2" x14ac:dyDescent="0.25">
      <c r="A424" s="924">
        <f t="shared" si="6"/>
        <v>424</v>
      </c>
      <c r="B424" s="924">
        <v>-0.3</v>
      </c>
    </row>
    <row r="425" spans="1:2" x14ac:dyDescent="0.25">
      <c r="A425" s="924">
        <f t="shared" si="6"/>
        <v>425</v>
      </c>
      <c r="B425" s="924">
        <v>-0.3</v>
      </c>
    </row>
    <row r="426" spans="1:2" x14ac:dyDescent="0.25">
      <c r="A426" s="924">
        <f t="shared" si="6"/>
        <v>426</v>
      </c>
      <c r="B426" s="924">
        <v>-0.3</v>
      </c>
    </row>
    <row r="427" spans="1:2" x14ac:dyDescent="0.25">
      <c r="A427" s="924">
        <f t="shared" si="6"/>
        <v>427</v>
      </c>
      <c r="B427" s="924">
        <v>-0.3</v>
      </c>
    </row>
    <row r="428" spans="1:2" x14ac:dyDescent="0.25">
      <c r="A428" s="924">
        <f t="shared" si="6"/>
        <v>428</v>
      </c>
      <c r="B428" s="924">
        <v>-0.3</v>
      </c>
    </row>
    <row r="429" spans="1:2" x14ac:dyDescent="0.25">
      <c r="A429" s="924">
        <f t="shared" si="6"/>
        <v>429</v>
      </c>
      <c r="B429" s="924">
        <v>-0.3</v>
      </c>
    </row>
    <row r="430" spans="1:2" x14ac:dyDescent="0.25">
      <c r="A430" s="924">
        <f t="shared" si="6"/>
        <v>430</v>
      </c>
      <c r="B430" s="924">
        <v>-0.3</v>
      </c>
    </row>
    <row r="431" spans="1:2" x14ac:dyDescent="0.25">
      <c r="A431" s="924">
        <f t="shared" si="6"/>
        <v>431</v>
      </c>
      <c r="B431" s="924">
        <v>-0.3</v>
      </c>
    </row>
    <row r="432" spans="1:2" x14ac:dyDescent="0.25">
      <c r="A432" s="924">
        <f t="shared" si="6"/>
        <v>432</v>
      </c>
      <c r="B432" s="924">
        <v>-0.3</v>
      </c>
    </row>
    <row r="433" spans="1:2" x14ac:dyDescent="0.25">
      <c r="A433" s="924">
        <f t="shared" si="6"/>
        <v>433</v>
      </c>
      <c r="B433" s="924">
        <v>-0.2</v>
      </c>
    </row>
    <row r="434" spans="1:2" x14ac:dyDescent="0.25">
      <c r="A434" s="924">
        <f t="shared" si="6"/>
        <v>434</v>
      </c>
      <c r="B434" s="924">
        <v>-0.2</v>
      </c>
    </row>
    <row r="435" spans="1:2" x14ac:dyDescent="0.25">
      <c r="A435" s="924">
        <f t="shared" si="6"/>
        <v>435</v>
      </c>
      <c r="B435" s="924">
        <v>-0.2</v>
      </c>
    </row>
    <row r="436" spans="1:2" x14ac:dyDescent="0.25">
      <c r="A436" s="924">
        <f t="shared" si="6"/>
        <v>436</v>
      </c>
      <c r="B436" s="924">
        <v>-0.2</v>
      </c>
    </row>
    <row r="437" spans="1:2" x14ac:dyDescent="0.25">
      <c r="A437" s="924">
        <f t="shared" si="6"/>
        <v>437</v>
      </c>
      <c r="B437" s="924">
        <v>-0.2</v>
      </c>
    </row>
    <row r="438" spans="1:2" x14ac:dyDescent="0.25">
      <c r="A438" s="924">
        <f t="shared" si="6"/>
        <v>438</v>
      </c>
      <c r="B438" s="924">
        <v>-0.2</v>
      </c>
    </row>
    <row r="439" spans="1:2" x14ac:dyDescent="0.25">
      <c r="A439" s="924">
        <f t="shared" si="6"/>
        <v>439</v>
      </c>
      <c r="B439" s="924">
        <v>-0.2</v>
      </c>
    </row>
    <row r="440" spans="1:2" x14ac:dyDescent="0.25">
      <c r="A440" s="924">
        <f t="shared" si="6"/>
        <v>440</v>
      </c>
      <c r="B440" s="924">
        <v>-0.2</v>
      </c>
    </row>
    <row r="441" spans="1:2" x14ac:dyDescent="0.25">
      <c r="A441" s="924">
        <f t="shared" si="6"/>
        <v>441</v>
      </c>
      <c r="B441" s="924">
        <v>-0.2</v>
      </c>
    </row>
    <row r="442" spans="1:2" x14ac:dyDescent="0.25">
      <c r="A442" s="924">
        <f t="shared" si="6"/>
        <v>442</v>
      </c>
      <c r="B442" s="924">
        <v>-0.2</v>
      </c>
    </row>
    <row r="443" spans="1:2" x14ac:dyDescent="0.25">
      <c r="A443" s="924">
        <f t="shared" si="6"/>
        <v>443</v>
      </c>
      <c r="B443" s="924">
        <v>-0.2</v>
      </c>
    </row>
    <row r="444" spans="1:2" x14ac:dyDescent="0.25">
      <c r="A444" s="924">
        <f t="shared" si="6"/>
        <v>444</v>
      </c>
      <c r="B444" s="924">
        <v>-0.2</v>
      </c>
    </row>
    <row r="445" spans="1:2" x14ac:dyDescent="0.25">
      <c r="A445" s="924">
        <f t="shared" si="6"/>
        <v>445</v>
      </c>
      <c r="B445" s="924">
        <v>-0.2</v>
      </c>
    </row>
    <row r="446" spans="1:2" x14ac:dyDescent="0.25">
      <c r="A446" s="924">
        <f t="shared" si="6"/>
        <v>446</v>
      </c>
      <c r="B446" s="924">
        <v>-0.2</v>
      </c>
    </row>
    <row r="447" spans="1:2" x14ac:dyDescent="0.25">
      <c r="A447" s="924">
        <f t="shared" si="6"/>
        <v>447</v>
      </c>
      <c r="B447" s="924">
        <v>-0.2</v>
      </c>
    </row>
    <row r="448" spans="1:2" x14ac:dyDescent="0.25">
      <c r="A448" s="924">
        <f t="shared" si="6"/>
        <v>448</v>
      </c>
      <c r="B448" s="924">
        <v>-0.2</v>
      </c>
    </row>
    <row r="449" spans="1:2" x14ac:dyDescent="0.25">
      <c r="A449" s="924">
        <f t="shared" si="6"/>
        <v>449</v>
      </c>
      <c r="B449" s="924">
        <v>-0.2</v>
      </c>
    </row>
    <row r="450" spans="1:2" x14ac:dyDescent="0.25">
      <c r="A450" s="924">
        <f t="shared" si="6"/>
        <v>450</v>
      </c>
      <c r="B450" s="924">
        <v>-0.2</v>
      </c>
    </row>
    <row r="451" spans="1:2" x14ac:dyDescent="0.25">
      <c r="A451" s="924">
        <f t="shared" ref="A451:A514" si="7">A450+1</f>
        <v>451</v>
      </c>
      <c r="B451" s="924">
        <v>-0.2</v>
      </c>
    </row>
    <row r="452" spans="1:2" x14ac:dyDescent="0.25">
      <c r="A452" s="924">
        <f t="shared" si="7"/>
        <v>452</v>
      </c>
      <c r="B452" s="924">
        <v>-0.1</v>
      </c>
    </row>
    <row r="453" spans="1:2" x14ac:dyDescent="0.25">
      <c r="A453" s="924">
        <f t="shared" si="7"/>
        <v>453</v>
      </c>
      <c r="B453" s="924">
        <v>-0.1</v>
      </c>
    </row>
    <row r="454" spans="1:2" x14ac:dyDescent="0.25">
      <c r="A454" s="924">
        <f t="shared" si="7"/>
        <v>454</v>
      </c>
      <c r="B454" s="924">
        <v>-0.1</v>
      </c>
    </row>
    <row r="455" spans="1:2" x14ac:dyDescent="0.25">
      <c r="A455" s="924">
        <f t="shared" si="7"/>
        <v>455</v>
      </c>
      <c r="B455" s="924">
        <v>-0.1</v>
      </c>
    </row>
    <row r="456" spans="1:2" x14ac:dyDescent="0.25">
      <c r="A456" s="924">
        <f t="shared" si="7"/>
        <v>456</v>
      </c>
      <c r="B456" s="924">
        <v>-0.1</v>
      </c>
    </row>
    <row r="457" spans="1:2" x14ac:dyDescent="0.25">
      <c r="A457" s="924">
        <f t="shared" si="7"/>
        <v>457</v>
      </c>
      <c r="B457" s="924">
        <v>-0.1</v>
      </c>
    </row>
    <row r="458" spans="1:2" x14ac:dyDescent="0.25">
      <c r="A458" s="924">
        <f t="shared" si="7"/>
        <v>458</v>
      </c>
      <c r="B458" s="924">
        <v>-0.1</v>
      </c>
    </row>
    <row r="459" spans="1:2" x14ac:dyDescent="0.25">
      <c r="A459" s="924">
        <f t="shared" si="7"/>
        <v>459</v>
      </c>
      <c r="B459" s="924">
        <v>-0.1</v>
      </c>
    </row>
    <row r="460" spans="1:2" x14ac:dyDescent="0.25">
      <c r="A460" s="924">
        <f t="shared" si="7"/>
        <v>460</v>
      </c>
      <c r="B460" s="924">
        <v>-0.1</v>
      </c>
    </row>
    <row r="461" spans="1:2" x14ac:dyDescent="0.25">
      <c r="A461" s="924">
        <f t="shared" si="7"/>
        <v>461</v>
      </c>
      <c r="B461" s="924">
        <v>-0.1</v>
      </c>
    </row>
    <row r="462" spans="1:2" x14ac:dyDescent="0.25">
      <c r="A462" s="924">
        <f t="shared" si="7"/>
        <v>462</v>
      </c>
      <c r="B462" s="924">
        <v>-0.1</v>
      </c>
    </row>
    <row r="463" spans="1:2" x14ac:dyDescent="0.25">
      <c r="A463" s="924">
        <f t="shared" si="7"/>
        <v>463</v>
      </c>
      <c r="B463" s="924">
        <v>-0.1</v>
      </c>
    </row>
    <row r="464" spans="1:2" x14ac:dyDescent="0.25">
      <c r="A464" s="924">
        <f t="shared" si="7"/>
        <v>464</v>
      </c>
      <c r="B464" s="924">
        <v>-0.1</v>
      </c>
    </row>
    <row r="465" spans="1:2" x14ac:dyDescent="0.25">
      <c r="A465" s="924">
        <f t="shared" si="7"/>
        <v>465</v>
      </c>
      <c r="B465" s="924">
        <v>0</v>
      </c>
    </row>
    <row r="466" spans="1:2" x14ac:dyDescent="0.25">
      <c r="A466" s="924">
        <f t="shared" si="7"/>
        <v>466</v>
      </c>
      <c r="B466" s="924">
        <v>0</v>
      </c>
    </row>
    <row r="467" spans="1:2" x14ac:dyDescent="0.25">
      <c r="A467" s="924">
        <f t="shared" si="7"/>
        <v>467</v>
      </c>
      <c r="B467" s="924">
        <v>0</v>
      </c>
    </row>
    <row r="468" spans="1:2" x14ac:dyDescent="0.25">
      <c r="A468" s="924">
        <f t="shared" si="7"/>
        <v>468</v>
      </c>
      <c r="B468" s="924">
        <v>0</v>
      </c>
    </row>
    <row r="469" spans="1:2" x14ac:dyDescent="0.25">
      <c r="A469" s="924">
        <f t="shared" si="7"/>
        <v>469</v>
      </c>
      <c r="B469" s="924">
        <v>0</v>
      </c>
    </row>
    <row r="470" spans="1:2" x14ac:dyDescent="0.25">
      <c r="A470" s="924">
        <f t="shared" si="7"/>
        <v>470</v>
      </c>
      <c r="B470" s="924">
        <v>0</v>
      </c>
    </row>
    <row r="471" spans="1:2" x14ac:dyDescent="0.25">
      <c r="A471" s="924">
        <f t="shared" si="7"/>
        <v>471</v>
      </c>
      <c r="B471" s="924">
        <v>0</v>
      </c>
    </row>
    <row r="472" spans="1:2" x14ac:dyDescent="0.25">
      <c r="A472" s="924">
        <f t="shared" si="7"/>
        <v>472</v>
      </c>
      <c r="B472" s="924">
        <v>0</v>
      </c>
    </row>
    <row r="473" spans="1:2" x14ac:dyDescent="0.25">
      <c r="A473" s="924">
        <f t="shared" si="7"/>
        <v>473</v>
      </c>
      <c r="B473" s="924">
        <v>0</v>
      </c>
    </row>
    <row r="474" spans="1:2" x14ac:dyDescent="0.25">
      <c r="A474" s="924">
        <f t="shared" si="7"/>
        <v>474</v>
      </c>
      <c r="B474" s="924">
        <v>0</v>
      </c>
    </row>
    <row r="475" spans="1:2" x14ac:dyDescent="0.25">
      <c r="A475" s="924">
        <f t="shared" si="7"/>
        <v>475</v>
      </c>
      <c r="B475" s="924">
        <v>0</v>
      </c>
    </row>
    <row r="476" spans="1:2" x14ac:dyDescent="0.25">
      <c r="A476" s="924">
        <f t="shared" si="7"/>
        <v>476</v>
      </c>
      <c r="B476" s="924">
        <v>0</v>
      </c>
    </row>
    <row r="477" spans="1:2" x14ac:dyDescent="0.25">
      <c r="A477" s="924">
        <f t="shared" si="7"/>
        <v>477</v>
      </c>
      <c r="B477" s="924">
        <v>0</v>
      </c>
    </row>
    <row r="478" spans="1:2" x14ac:dyDescent="0.25">
      <c r="A478" s="924">
        <f t="shared" si="7"/>
        <v>478</v>
      </c>
      <c r="B478" s="924">
        <v>0</v>
      </c>
    </row>
    <row r="479" spans="1:2" x14ac:dyDescent="0.25">
      <c r="A479" s="924">
        <f t="shared" si="7"/>
        <v>479</v>
      </c>
      <c r="B479" s="924">
        <v>0</v>
      </c>
    </row>
    <row r="480" spans="1:2" x14ac:dyDescent="0.25">
      <c r="A480" s="924">
        <f t="shared" si="7"/>
        <v>480</v>
      </c>
      <c r="B480" s="924">
        <v>0</v>
      </c>
    </row>
    <row r="481" spans="1:2" x14ac:dyDescent="0.25">
      <c r="A481" s="924">
        <f t="shared" si="7"/>
        <v>481</v>
      </c>
      <c r="B481" s="924">
        <v>0</v>
      </c>
    </row>
    <row r="482" spans="1:2" x14ac:dyDescent="0.25">
      <c r="A482" s="924">
        <f t="shared" si="7"/>
        <v>482</v>
      </c>
      <c r="B482" s="924">
        <v>0</v>
      </c>
    </row>
    <row r="483" spans="1:2" x14ac:dyDescent="0.25">
      <c r="A483" s="924">
        <f t="shared" si="7"/>
        <v>483</v>
      </c>
      <c r="B483" s="924">
        <v>0</v>
      </c>
    </row>
    <row r="484" spans="1:2" x14ac:dyDescent="0.25">
      <c r="A484" s="924">
        <f t="shared" si="7"/>
        <v>484</v>
      </c>
      <c r="B484" s="924">
        <v>0</v>
      </c>
    </row>
    <row r="485" spans="1:2" x14ac:dyDescent="0.25">
      <c r="A485" s="924">
        <f t="shared" si="7"/>
        <v>485</v>
      </c>
      <c r="B485" s="924">
        <v>0</v>
      </c>
    </row>
    <row r="486" spans="1:2" x14ac:dyDescent="0.25">
      <c r="A486" s="924">
        <f t="shared" si="7"/>
        <v>486</v>
      </c>
      <c r="B486" s="924">
        <v>0</v>
      </c>
    </row>
    <row r="487" spans="1:2" x14ac:dyDescent="0.25">
      <c r="A487" s="924">
        <f t="shared" si="7"/>
        <v>487</v>
      </c>
      <c r="B487" s="924">
        <v>0</v>
      </c>
    </row>
    <row r="488" spans="1:2" x14ac:dyDescent="0.25">
      <c r="A488" s="924">
        <f t="shared" si="7"/>
        <v>488</v>
      </c>
      <c r="B488" s="924">
        <v>0</v>
      </c>
    </row>
    <row r="489" spans="1:2" x14ac:dyDescent="0.25">
      <c r="A489" s="924">
        <f t="shared" si="7"/>
        <v>489</v>
      </c>
      <c r="B489" s="924">
        <v>0</v>
      </c>
    </row>
    <row r="490" spans="1:2" x14ac:dyDescent="0.25">
      <c r="A490" s="924">
        <f t="shared" si="7"/>
        <v>490</v>
      </c>
      <c r="B490" s="924">
        <v>0</v>
      </c>
    </row>
    <row r="491" spans="1:2" x14ac:dyDescent="0.25">
      <c r="A491" s="924">
        <f t="shared" si="7"/>
        <v>491</v>
      </c>
      <c r="B491" s="924">
        <v>0</v>
      </c>
    </row>
    <row r="492" spans="1:2" x14ac:dyDescent="0.25">
      <c r="A492" s="924">
        <f t="shared" si="7"/>
        <v>492</v>
      </c>
      <c r="B492" s="924">
        <v>0</v>
      </c>
    </row>
    <row r="493" spans="1:2" x14ac:dyDescent="0.25">
      <c r="A493" s="924">
        <f t="shared" si="7"/>
        <v>493</v>
      </c>
      <c r="B493" s="924">
        <v>0.1</v>
      </c>
    </row>
    <row r="494" spans="1:2" x14ac:dyDescent="0.25">
      <c r="A494" s="924">
        <f t="shared" si="7"/>
        <v>494</v>
      </c>
      <c r="B494" s="924">
        <v>0.1</v>
      </c>
    </row>
    <row r="495" spans="1:2" x14ac:dyDescent="0.25">
      <c r="A495" s="924">
        <f t="shared" si="7"/>
        <v>495</v>
      </c>
      <c r="B495" s="924">
        <v>0.1</v>
      </c>
    </row>
    <row r="496" spans="1:2" x14ac:dyDescent="0.25">
      <c r="A496" s="924">
        <f t="shared" si="7"/>
        <v>496</v>
      </c>
      <c r="B496" s="924">
        <v>0.1</v>
      </c>
    </row>
    <row r="497" spans="1:2" x14ac:dyDescent="0.25">
      <c r="A497" s="924">
        <f t="shared" si="7"/>
        <v>497</v>
      </c>
      <c r="B497" s="924">
        <v>0.1</v>
      </c>
    </row>
    <row r="498" spans="1:2" x14ac:dyDescent="0.25">
      <c r="A498" s="924">
        <f t="shared" si="7"/>
        <v>498</v>
      </c>
      <c r="B498" s="924">
        <v>0.1</v>
      </c>
    </row>
    <row r="499" spans="1:2" x14ac:dyDescent="0.25">
      <c r="A499" s="924">
        <f t="shared" si="7"/>
        <v>499</v>
      </c>
      <c r="B499" s="924">
        <v>0.1</v>
      </c>
    </row>
    <row r="500" spans="1:2" x14ac:dyDescent="0.25">
      <c r="A500" s="924">
        <f t="shared" si="7"/>
        <v>500</v>
      </c>
      <c r="B500" s="924">
        <v>0.1</v>
      </c>
    </row>
    <row r="501" spans="1:2" x14ac:dyDescent="0.25">
      <c r="A501" s="924">
        <f t="shared" si="7"/>
        <v>501</v>
      </c>
      <c r="B501" s="924">
        <v>0.1</v>
      </c>
    </row>
    <row r="502" spans="1:2" x14ac:dyDescent="0.25">
      <c r="A502" s="924">
        <f t="shared" si="7"/>
        <v>502</v>
      </c>
      <c r="B502" s="924">
        <v>0.1</v>
      </c>
    </row>
    <row r="503" spans="1:2" x14ac:dyDescent="0.25">
      <c r="A503" s="924">
        <f t="shared" si="7"/>
        <v>503</v>
      </c>
      <c r="B503" s="924">
        <v>0.1</v>
      </c>
    </row>
    <row r="504" spans="1:2" x14ac:dyDescent="0.25">
      <c r="A504" s="924">
        <f t="shared" si="7"/>
        <v>504</v>
      </c>
      <c r="B504" s="924">
        <v>0.1</v>
      </c>
    </row>
    <row r="505" spans="1:2" x14ac:dyDescent="0.25">
      <c r="A505" s="924">
        <f t="shared" si="7"/>
        <v>505</v>
      </c>
      <c r="B505" s="924">
        <v>0.1</v>
      </c>
    </row>
    <row r="506" spans="1:2" x14ac:dyDescent="0.25">
      <c r="A506" s="924">
        <f t="shared" si="7"/>
        <v>506</v>
      </c>
      <c r="B506" s="924">
        <v>0.1</v>
      </c>
    </row>
    <row r="507" spans="1:2" x14ac:dyDescent="0.25">
      <c r="A507" s="924">
        <f t="shared" si="7"/>
        <v>507</v>
      </c>
      <c r="B507" s="924">
        <v>0.1</v>
      </c>
    </row>
    <row r="508" spans="1:2" x14ac:dyDescent="0.25">
      <c r="A508" s="924">
        <f t="shared" si="7"/>
        <v>508</v>
      </c>
      <c r="B508" s="924">
        <v>0.1</v>
      </c>
    </row>
    <row r="509" spans="1:2" x14ac:dyDescent="0.25">
      <c r="A509" s="924">
        <f t="shared" si="7"/>
        <v>509</v>
      </c>
      <c r="B509" s="924">
        <v>0.1</v>
      </c>
    </row>
    <row r="510" spans="1:2" x14ac:dyDescent="0.25">
      <c r="A510" s="924">
        <f t="shared" si="7"/>
        <v>510</v>
      </c>
      <c r="B510" s="924">
        <v>0.1</v>
      </c>
    </row>
    <row r="511" spans="1:2" x14ac:dyDescent="0.25">
      <c r="A511" s="924">
        <f t="shared" si="7"/>
        <v>511</v>
      </c>
      <c r="B511" s="924">
        <v>0.1</v>
      </c>
    </row>
    <row r="512" spans="1:2" x14ac:dyDescent="0.25">
      <c r="A512" s="924">
        <f t="shared" si="7"/>
        <v>512</v>
      </c>
      <c r="B512" s="924">
        <v>0.1</v>
      </c>
    </row>
    <row r="513" spans="1:2" x14ac:dyDescent="0.25">
      <c r="A513" s="924">
        <f t="shared" si="7"/>
        <v>513</v>
      </c>
      <c r="B513" s="924">
        <v>0.1</v>
      </c>
    </row>
    <row r="514" spans="1:2" x14ac:dyDescent="0.25">
      <c r="A514" s="924">
        <f t="shared" si="7"/>
        <v>514</v>
      </c>
      <c r="B514" s="924">
        <v>0.1</v>
      </c>
    </row>
    <row r="515" spans="1:2" x14ac:dyDescent="0.25">
      <c r="A515" s="924">
        <f t="shared" ref="A515:A578" si="8">A514+1</f>
        <v>515</v>
      </c>
      <c r="B515" s="924">
        <v>0.1</v>
      </c>
    </row>
    <row r="516" spans="1:2" x14ac:dyDescent="0.25">
      <c r="A516" s="924">
        <f t="shared" si="8"/>
        <v>516</v>
      </c>
      <c r="B516" s="924">
        <v>0.1</v>
      </c>
    </row>
    <row r="517" spans="1:2" x14ac:dyDescent="0.25">
      <c r="A517" s="924">
        <f t="shared" si="8"/>
        <v>517</v>
      </c>
      <c r="B517" s="924">
        <v>0.1</v>
      </c>
    </row>
    <row r="518" spans="1:2" x14ac:dyDescent="0.25">
      <c r="A518" s="924">
        <f t="shared" si="8"/>
        <v>518</v>
      </c>
      <c r="B518" s="924">
        <v>0.1</v>
      </c>
    </row>
    <row r="519" spans="1:2" x14ac:dyDescent="0.25">
      <c r="A519" s="924">
        <f t="shared" si="8"/>
        <v>519</v>
      </c>
      <c r="B519" s="924">
        <v>0.1</v>
      </c>
    </row>
    <row r="520" spans="1:2" x14ac:dyDescent="0.25">
      <c r="A520" s="924">
        <f t="shared" si="8"/>
        <v>520</v>
      </c>
      <c r="B520" s="924">
        <v>0.1</v>
      </c>
    </row>
    <row r="521" spans="1:2" x14ac:dyDescent="0.25">
      <c r="A521" s="924">
        <f t="shared" si="8"/>
        <v>521</v>
      </c>
      <c r="B521" s="924">
        <v>0.1</v>
      </c>
    </row>
    <row r="522" spans="1:2" x14ac:dyDescent="0.25">
      <c r="A522" s="924">
        <f t="shared" si="8"/>
        <v>522</v>
      </c>
      <c r="B522" s="924">
        <v>0.1</v>
      </c>
    </row>
    <row r="523" spans="1:2" x14ac:dyDescent="0.25">
      <c r="A523" s="924">
        <f t="shared" si="8"/>
        <v>523</v>
      </c>
      <c r="B523" s="924">
        <v>0.2</v>
      </c>
    </row>
    <row r="524" spans="1:2" x14ac:dyDescent="0.25">
      <c r="A524" s="924">
        <f t="shared" si="8"/>
        <v>524</v>
      </c>
      <c r="B524" s="924">
        <v>0.2</v>
      </c>
    </row>
    <row r="525" spans="1:2" x14ac:dyDescent="0.25">
      <c r="A525" s="924">
        <f t="shared" si="8"/>
        <v>525</v>
      </c>
      <c r="B525" s="924">
        <v>0.2</v>
      </c>
    </row>
    <row r="526" spans="1:2" x14ac:dyDescent="0.25">
      <c r="A526" s="924">
        <f t="shared" si="8"/>
        <v>526</v>
      </c>
      <c r="B526" s="924">
        <v>0.2</v>
      </c>
    </row>
    <row r="527" spans="1:2" x14ac:dyDescent="0.25">
      <c r="A527" s="924">
        <f t="shared" si="8"/>
        <v>527</v>
      </c>
      <c r="B527" s="924">
        <v>0.2</v>
      </c>
    </row>
    <row r="528" spans="1:2" x14ac:dyDescent="0.25">
      <c r="A528" s="924">
        <f t="shared" si="8"/>
        <v>528</v>
      </c>
      <c r="B528" s="924">
        <v>0.2</v>
      </c>
    </row>
    <row r="529" spans="1:2" x14ac:dyDescent="0.25">
      <c r="A529" s="924">
        <f t="shared" si="8"/>
        <v>529</v>
      </c>
      <c r="B529" s="924">
        <v>0.2</v>
      </c>
    </row>
    <row r="530" spans="1:2" x14ac:dyDescent="0.25">
      <c r="A530" s="924">
        <f t="shared" si="8"/>
        <v>530</v>
      </c>
      <c r="B530" s="924">
        <v>0.2</v>
      </c>
    </row>
    <row r="531" spans="1:2" x14ac:dyDescent="0.25">
      <c r="A531" s="924">
        <f t="shared" si="8"/>
        <v>531</v>
      </c>
      <c r="B531" s="924">
        <v>0.2</v>
      </c>
    </row>
    <row r="532" spans="1:2" x14ac:dyDescent="0.25">
      <c r="A532" s="924">
        <f t="shared" si="8"/>
        <v>532</v>
      </c>
      <c r="B532" s="924">
        <v>0.2</v>
      </c>
    </row>
    <row r="533" spans="1:2" x14ac:dyDescent="0.25">
      <c r="A533" s="924">
        <f t="shared" si="8"/>
        <v>533</v>
      </c>
      <c r="B533" s="924">
        <v>0.2</v>
      </c>
    </row>
    <row r="534" spans="1:2" x14ac:dyDescent="0.25">
      <c r="A534" s="924">
        <f t="shared" si="8"/>
        <v>534</v>
      </c>
      <c r="B534" s="924">
        <v>0.2</v>
      </c>
    </row>
    <row r="535" spans="1:2" x14ac:dyDescent="0.25">
      <c r="A535" s="924">
        <f t="shared" si="8"/>
        <v>535</v>
      </c>
      <c r="B535" s="924">
        <v>0.2</v>
      </c>
    </row>
    <row r="536" spans="1:2" x14ac:dyDescent="0.25">
      <c r="A536" s="924">
        <f t="shared" si="8"/>
        <v>536</v>
      </c>
      <c r="B536" s="924">
        <v>0.2</v>
      </c>
    </row>
    <row r="537" spans="1:2" x14ac:dyDescent="0.25">
      <c r="A537" s="924">
        <f t="shared" si="8"/>
        <v>537</v>
      </c>
      <c r="B537" s="924">
        <v>0.2</v>
      </c>
    </row>
    <row r="538" spans="1:2" x14ac:dyDescent="0.25">
      <c r="A538" s="924">
        <f t="shared" si="8"/>
        <v>538</v>
      </c>
      <c r="B538" s="924">
        <v>0.2</v>
      </c>
    </row>
    <row r="539" spans="1:2" x14ac:dyDescent="0.25">
      <c r="A539" s="924">
        <f t="shared" si="8"/>
        <v>539</v>
      </c>
      <c r="B539" s="924">
        <v>0.2</v>
      </c>
    </row>
    <row r="540" spans="1:2" x14ac:dyDescent="0.25">
      <c r="A540" s="924">
        <f t="shared" si="8"/>
        <v>540</v>
      </c>
      <c r="B540" s="924">
        <v>0.2</v>
      </c>
    </row>
    <row r="541" spans="1:2" x14ac:dyDescent="0.25">
      <c r="A541" s="924">
        <f t="shared" si="8"/>
        <v>541</v>
      </c>
      <c r="B541" s="924">
        <v>0.2</v>
      </c>
    </row>
    <row r="542" spans="1:2" x14ac:dyDescent="0.25">
      <c r="A542" s="924">
        <f t="shared" si="8"/>
        <v>542</v>
      </c>
      <c r="B542" s="924">
        <v>0.2</v>
      </c>
    </row>
    <row r="543" spans="1:2" x14ac:dyDescent="0.25">
      <c r="A543" s="924">
        <f t="shared" si="8"/>
        <v>543</v>
      </c>
      <c r="B543" s="924">
        <v>0.2</v>
      </c>
    </row>
    <row r="544" spans="1:2" x14ac:dyDescent="0.25">
      <c r="A544" s="924">
        <f t="shared" si="8"/>
        <v>544</v>
      </c>
      <c r="B544" s="924">
        <v>0.2</v>
      </c>
    </row>
    <row r="545" spans="1:2" x14ac:dyDescent="0.25">
      <c r="A545" s="924">
        <f t="shared" si="8"/>
        <v>545</v>
      </c>
      <c r="B545" s="924">
        <v>0.2</v>
      </c>
    </row>
    <row r="546" spans="1:2" x14ac:dyDescent="0.25">
      <c r="A546" s="924">
        <f t="shared" si="8"/>
        <v>546</v>
      </c>
      <c r="B546" s="924">
        <v>0.3</v>
      </c>
    </row>
    <row r="547" spans="1:2" x14ac:dyDescent="0.25">
      <c r="A547" s="924">
        <f t="shared" si="8"/>
        <v>547</v>
      </c>
      <c r="B547" s="924">
        <v>0.3</v>
      </c>
    </row>
    <row r="548" spans="1:2" x14ac:dyDescent="0.25">
      <c r="A548" s="924">
        <f t="shared" si="8"/>
        <v>548</v>
      </c>
      <c r="B548" s="924">
        <v>0.3</v>
      </c>
    </row>
    <row r="549" spans="1:2" x14ac:dyDescent="0.25">
      <c r="A549" s="924">
        <f t="shared" si="8"/>
        <v>549</v>
      </c>
      <c r="B549" s="924">
        <v>0.3</v>
      </c>
    </row>
    <row r="550" spans="1:2" x14ac:dyDescent="0.25">
      <c r="A550" s="924">
        <f t="shared" si="8"/>
        <v>550</v>
      </c>
      <c r="B550" s="924">
        <v>0.3</v>
      </c>
    </row>
    <row r="551" spans="1:2" x14ac:dyDescent="0.25">
      <c r="A551" s="924">
        <f t="shared" si="8"/>
        <v>551</v>
      </c>
      <c r="B551" s="924">
        <v>0.3</v>
      </c>
    </row>
    <row r="552" spans="1:2" x14ac:dyDescent="0.25">
      <c r="A552" s="924">
        <f t="shared" si="8"/>
        <v>552</v>
      </c>
      <c r="B552" s="924">
        <v>0.3</v>
      </c>
    </row>
    <row r="553" spans="1:2" x14ac:dyDescent="0.25">
      <c r="A553" s="924">
        <f t="shared" si="8"/>
        <v>553</v>
      </c>
      <c r="B553" s="924">
        <v>0.3</v>
      </c>
    </row>
    <row r="554" spans="1:2" x14ac:dyDescent="0.25">
      <c r="A554" s="924">
        <f t="shared" si="8"/>
        <v>554</v>
      </c>
      <c r="B554" s="924">
        <v>0.3</v>
      </c>
    </row>
    <row r="555" spans="1:2" x14ac:dyDescent="0.25">
      <c r="A555" s="924">
        <f t="shared" si="8"/>
        <v>555</v>
      </c>
      <c r="B555" s="924">
        <v>0.3</v>
      </c>
    </row>
    <row r="556" spans="1:2" x14ac:dyDescent="0.25">
      <c r="A556" s="924">
        <f t="shared" si="8"/>
        <v>556</v>
      </c>
      <c r="B556" s="924">
        <v>0.3</v>
      </c>
    </row>
    <row r="557" spans="1:2" x14ac:dyDescent="0.25">
      <c r="A557" s="924">
        <f t="shared" si="8"/>
        <v>557</v>
      </c>
      <c r="B557" s="924">
        <v>0.3</v>
      </c>
    </row>
    <row r="558" spans="1:2" x14ac:dyDescent="0.25">
      <c r="A558" s="924">
        <f t="shared" si="8"/>
        <v>558</v>
      </c>
      <c r="B558" s="924">
        <v>0.3</v>
      </c>
    </row>
    <row r="559" spans="1:2" x14ac:dyDescent="0.25">
      <c r="A559" s="924">
        <f t="shared" si="8"/>
        <v>559</v>
      </c>
      <c r="B559" s="924">
        <v>0.3</v>
      </c>
    </row>
    <row r="560" spans="1:2" x14ac:dyDescent="0.25">
      <c r="A560" s="924">
        <f t="shared" si="8"/>
        <v>560</v>
      </c>
      <c r="B560" s="924">
        <v>0.3</v>
      </c>
    </row>
    <row r="561" spans="1:2" x14ac:dyDescent="0.25">
      <c r="A561" s="924">
        <f t="shared" si="8"/>
        <v>561</v>
      </c>
      <c r="B561" s="924">
        <v>0.3</v>
      </c>
    </row>
    <row r="562" spans="1:2" x14ac:dyDescent="0.25">
      <c r="A562" s="924">
        <f t="shared" si="8"/>
        <v>562</v>
      </c>
      <c r="B562" s="924">
        <v>0.3</v>
      </c>
    </row>
    <row r="563" spans="1:2" x14ac:dyDescent="0.25">
      <c r="A563" s="924">
        <f t="shared" si="8"/>
        <v>563</v>
      </c>
      <c r="B563" s="924">
        <v>0.3</v>
      </c>
    </row>
    <row r="564" spans="1:2" x14ac:dyDescent="0.25">
      <c r="A564" s="924">
        <f t="shared" si="8"/>
        <v>564</v>
      </c>
      <c r="B564" s="924">
        <v>0.3</v>
      </c>
    </row>
    <row r="565" spans="1:2" x14ac:dyDescent="0.25">
      <c r="A565" s="924">
        <f t="shared" si="8"/>
        <v>565</v>
      </c>
      <c r="B565" s="924">
        <v>0.3</v>
      </c>
    </row>
    <row r="566" spans="1:2" x14ac:dyDescent="0.25">
      <c r="A566" s="924">
        <f t="shared" si="8"/>
        <v>566</v>
      </c>
      <c r="B566" s="924">
        <v>0.3</v>
      </c>
    </row>
    <row r="567" spans="1:2" x14ac:dyDescent="0.25">
      <c r="A567" s="924">
        <f t="shared" si="8"/>
        <v>567</v>
      </c>
      <c r="B567" s="924">
        <v>0.3</v>
      </c>
    </row>
    <row r="568" spans="1:2" x14ac:dyDescent="0.25">
      <c r="A568" s="924">
        <f t="shared" si="8"/>
        <v>568</v>
      </c>
      <c r="B568" s="924">
        <v>0.3</v>
      </c>
    </row>
    <row r="569" spans="1:2" x14ac:dyDescent="0.25">
      <c r="A569" s="924">
        <f t="shared" si="8"/>
        <v>569</v>
      </c>
      <c r="B569" s="924">
        <v>0.3</v>
      </c>
    </row>
    <row r="570" spans="1:2" x14ac:dyDescent="0.25">
      <c r="A570" s="924">
        <f t="shared" si="8"/>
        <v>570</v>
      </c>
      <c r="B570" s="924">
        <v>0.3</v>
      </c>
    </row>
    <row r="571" spans="1:2" x14ac:dyDescent="0.25">
      <c r="A571" s="924">
        <f t="shared" si="8"/>
        <v>571</v>
      </c>
      <c r="B571" s="924">
        <v>0.3</v>
      </c>
    </row>
    <row r="572" spans="1:2" x14ac:dyDescent="0.25">
      <c r="A572" s="924">
        <f t="shared" si="8"/>
        <v>572</v>
      </c>
      <c r="B572" s="924">
        <v>0.3</v>
      </c>
    </row>
    <row r="573" spans="1:2" x14ac:dyDescent="0.25">
      <c r="A573" s="924">
        <f t="shared" si="8"/>
        <v>573</v>
      </c>
      <c r="B573" s="924">
        <v>0.4</v>
      </c>
    </row>
    <row r="574" spans="1:2" x14ac:dyDescent="0.25">
      <c r="A574" s="924">
        <f t="shared" si="8"/>
        <v>574</v>
      </c>
      <c r="B574" s="924">
        <v>0.4</v>
      </c>
    </row>
    <row r="575" spans="1:2" x14ac:dyDescent="0.25">
      <c r="A575" s="924">
        <f t="shared" si="8"/>
        <v>575</v>
      </c>
      <c r="B575" s="924">
        <v>0.4</v>
      </c>
    </row>
    <row r="576" spans="1:2" x14ac:dyDescent="0.25">
      <c r="A576" s="924">
        <f t="shared" si="8"/>
        <v>576</v>
      </c>
      <c r="B576" s="924">
        <v>0.4</v>
      </c>
    </row>
    <row r="577" spans="1:2" x14ac:dyDescent="0.25">
      <c r="A577" s="924">
        <f t="shared" si="8"/>
        <v>577</v>
      </c>
      <c r="B577" s="924">
        <v>0.4</v>
      </c>
    </row>
    <row r="578" spans="1:2" x14ac:dyDescent="0.25">
      <c r="A578" s="924">
        <f t="shared" si="8"/>
        <v>578</v>
      </c>
      <c r="B578" s="924">
        <v>0.4</v>
      </c>
    </row>
    <row r="579" spans="1:2" x14ac:dyDescent="0.25">
      <c r="A579" s="924">
        <f t="shared" ref="A579:A642" si="9">A578+1</f>
        <v>579</v>
      </c>
      <c r="B579" s="924">
        <v>0.4</v>
      </c>
    </row>
    <row r="580" spans="1:2" x14ac:dyDescent="0.25">
      <c r="A580" s="924">
        <f t="shared" si="9"/>
        <v>580</v>
      </c>
      <c r="B580" s="924">
        <v>0.4</v>
      </c>
    </row>
    <row r="581" spans="1:2" x14ac:dyDescent="0.25">
      <c r="A581" s="924">
        <f t="shared" si="9"/>
        <v>581</v>
      </c>
      <c r="B581" s="924">
        <v>0.4</v>
      </c>
    </row>
    <row r="582" spans="1:2" x14ac:dyDescent="0.25">
      <c r="A582" s="924">
        <f t="shared" si="9"/>
        <v>582</v>
      </c>
      <c r="B582" s="924">
        <v>0.4</v>
      </c>
    </row>
    <row r="583" spans="1:2" x14ac:dyDescent="0.25">
      <c r="A583" s="924">
        <f t="shared" si="9"/>
        <v>583</v>
      </c>
      <c r="B583" s="924">
        <v>0.4</v>
      </c>
    </row>
    <row r="584" spans="1:2" x14ac:dyDescent="0.25">
      <c r="A584" s="924">
        <f t="shared" si="9"/>
        <v>584</v>
      </c>
      <c r="B584" s="924">
        <v>0.4</v>
      </c>
    </row>
    <row r="585" spans="1:2" x14ac:dyDescent="0.25">
      <c r="A585" s="924">
        <f t="shared" si="9"/>
        <v>585</v>
      </c>
      <c r="B585" s="924">
        <v>0.4</v>
      </c>
    </row>
    <row r="586" spans="1:2" x14ac:dyDescent="0.25">
      <c r="A586" s="924">
        <f t="shared" si="9"/>
        <v>586</v>
      </c>
      <c r="B586" s="924">
        <v>0.4</v>
      </c>
    </row>
    <row r="587" spans="1:2" x14ac:dyDescent="0.25">
      <c r="A587" s="924">
        <f t="shared" si="9"/>
        <v>587</v>
      </c>
      <c r="B587" s="924">
        <v>0.4</v>
      </c>
    </row>
    <row r="588" spans="1:2" x14ac:dyDescent="0.25">
      <c r="A588" s="924">
        <f t="shared" si="9"/>
        <v>588</v>
      </c>
      <c r="B588" s="924">
        <v>0.4</v>
      </c>
    </row>
    <row r="589" spans="1:2" x14ac:dyDescent="0.25">
      <c r="A589" s="924">
        <f t="shared" si="9"/>
        <v>589</v>
      </c>
      <c r="B589" s="924">
        <v>0.4</v>
      </c>
    </row>
    <row r="590" spans="1:2" x14ac:dyDescent="0.25">
      <c r="A590" s="924">
        <f t="shared" si="9"/>
        <v>590</v>
      </c>
      <c r="B590" s="924">
        <v>0.4</v>
      </c>
    </row>
    <row r="591" spans="1:2" x14ac:dyDescent="0.25">
      <c r="A591" s="924">
        <f t="shared" si="9"/>
        <v>591</v>
      </c>
      <c r="B591" s="924">
        <v>0.4</v>
      </c>
    </row>
    <row r="592" spans="1:2" x14ac:dyDescent="0.25">
      <c r="A592" s="924">
        <f t="shared" si="9"/>
        <v>592</v>
      </c>
      <c r="B592" s="924">
        <v>0.4</v>
      </c>
    </row>
    <row r="593" spans="1:2" x14ac:dyDescent="0.25">
      <c r="A593" s="924">
        <f t="shared" si="9"/>
        <v>593</v>
      </c>
      <c r="B593" s="924">
        <v>0.4</v>
      </c>
    </row>
    <row r="594" spans="1:2" x14ac:dyDescent="0.25">
      <c r="A594" s="924">
        <f t="shared" si="9"/>
        <v>594</v>
      </c>
      <c r="B594" s="924">
        <v>0.4</v>
      </c>
    </row>
    <row r="595" spans="1:2" x14ac:dyDescent="0.25">
      <c r="A595" s="924">
        <f t="shared" si="9"/>
        <v>595</v>
      </c>
      <c r="B595" s="924">
        <v>0.4</v>
      </c>
    </row>
    <row r="596" spans="1:2" x14ac:dyDescent="0.25">
      <c r="A596" s="924">
        <f t="shared" si="9"/>
        <v>596</v>
      </c>
      <c r="B596" s="924">
        <v>0.4</v>
      </c>
    </row>
    <row r="597" spans="1:2" x14ac:dyDescent="0.25">
      <c r="A597" s="924">
        <f t="shared" si="9"/>
        <v>597</v>
      </c>
      <c r="B597" s="924">
        <v>0.4</v>
      </c>
    </row>
    <row r="598" spans="1:2" x14ac:dyDescent="0.25">
      <c r="A598" s="924">
        <f t="shared" si="9"/>
        <v>598</v>
      </c>
      <c r="B598" s="924">
        <v>0.4</v>
      </c>
    </row>
    <row r="599" spans="1:2" x14ac:dyDescent="0.25">
      <c r="A599" s="924">
        <f t="shared" si="9"/>
        <v>599</v>
      </c>
      <c r="B599" s="924">
        <v>0.5</v>
      </c>
    </row>
    <row r="600" spans="1:2" x14ac:dyDescent="0.25">
      <c r="A600" s="924">
        <f t="shared" si="9"/>
        <v>600</v>
      </c>
      <c r="B600" s="924">
        <v>0.5</v>
      </c>
    </row>
    <row r="601" spans="1:2" x14ac:dyDescent="0.25">
      <c r="A601" s="924">
        <f t="shared" si="9"/>
        <v>601</v>
      </c>
      <c r="B601" s="924">
        <v>0.5</v>
      </c>
    </row>
    <row r="602" spans="1:2" x14ac:dyDescent="0.25">
      <c r="A602" s="924">
        <f t="shared" si="9"/>
        <v>602</v>
      </c>
      <c r="B602" s="924">
        <v>0.5</v>
      </c>
    </row>
    <row r="603" spans="1:2" x14ac:dyDescent="0.25">
      <c r="A603" s="924">
        <f t="shared" si="9"/>
        <v>603</v>
      </c>
      <c r="B603" s="924">
        <v>0.5</v>
      </c>
    </row>
    <row r="604" spans="1:2" x14ac:dyDescent="0.25">
      <c r="A604" s="924">
        <f t="shared" si="9"/>
        <v>604</v>
      </c>
      <c r="B604" s="924">
        <v>0.5</v>
      </c>
    </row>
    <row r="605" spans="1:2" x14ac:dyDescent="0.25">
      <c r="A605" s="924">
        <f t="shared" si="9"/>
        <v>605</v>
      </c>
      <c r="B605" s="924">
        <v>0.5</v>
      </c>
    </row>
    <row r="606" spans="1:2" x14ac:dyDescent="0.25">
      <c r="A606" s="924">
        <f t="shared" si="9"/>
        <v>606</v>
      </c>
      <c r="B606" s="924">
        <v>0.5</v>
      </c>
    </row>
    <row r="607" spans="1:2" x14ac:dyDescent="0.25">
      <c r="A607" s="924">
        <f t="shared" si="9"/>
        <v>607</v>
      </c>
      <c r="B607" s="924">
        <v>0.5</v>
      </c>
    </row>
    <row r="608" spans="1:2" x14ac:dyDescent="0.25">
      <c r="A608" s="924">
        <f t="shared" si="9"/>
        <v>608</v>
      </c>
      <c r="B608" s="924">
        <v>0.5</v>
      </c>
    </row>
    <row r="609" spans="1:2" x14ac:dyDescent="0.25">
      <c r="A609" s="924">
        <f t="shared" si="9"/>
        <v>609</v>
      </c>
      <c r="B609" s="924">
        <v>0.5</v>
      </c>
    </row>
    <row r="610" spans="1:2" x14ac:dyDescent="0.25">
      <c r="A610" s="924">
        <f t="shared" si="9"/>
        <v>610</v>
      </c>
      <c r="B610" s="924">
        <v>0.5</v>
      </c>
    </row>
    <row r="611" spans="1:2" x14ac:dyDescent="0.25">
      <c r="A611" s="924">
        <f t="shared" si="9"/>
        <v>611</v>
      </c>
      <c r="B611" s="924">
        <v>0.5</v>
      </c>
    </row>
    <row r="612" spans="1:2" x14ac:dyDescent="0.25">
      <c r="A612" s="924">
        <f t="shared" si="9"/>
        <v>612</v>
      </c>
      <c r="B612" s="924">
        <v>0.5</v>
      </c>
    </row>
    <row r="613" spans="1:2" x14ac:dyDescent="0.25">
      <c r="A613" s="924">
        <f t="shared" si="9"/>
        <v>613</v>
      </c>
      <c r="B613" s="924">
        <v>0.5</v>
      </c>
    </row>
    <row r="614" spans="1:2" x14ac:dyDescent="0.25">
      <c r="A614" s="924">
        <f t="shared" si="9"/>
        <v>614</v>
      </c>
      <c r="B614" s="924">
        <v>0.5</v>
      </c>
    </row>
    <row r="615" spans="1:2" x14ac:dyDescent="0.25">
      <c r="A615" s="924">
        <f t="shared" si="9"/>
        <v>615</v>
      </c>
      <c r="B615" s="924">
        <v>0.5</v>
      </c>
    </row>
    <row r="616" spans="1:2" x14ac:dyDescent="0.25">
      <c r="A616" s="924">
        <f t="shared" si="9"/>
        <v>616</v>
      </c>
      <c r="B616" s="924">
        <v>0.5</v>
      </c>
    </row>
    <row r="617" spans="1:2" x14ac:dyDescent="0.25">
      <c r="A617" s="924">
        <f t="shared" si="9"/>
        <v>617</v>
      </c>
      <c r="B617" s="924">
        <v>0.5</v>
      </c>
    </row>
    <row r="618" spans="1:2" x14ac:dyDescent="0.25">
      <c r="A618" s="924">
        <f t="shared" si="9"/>
        <v>618</v>
      </c>
      <c r="B618" s="924">
        <v>0.5</v>
      </c>
    </row>
    <row r="619" spans="1:2" x14ac:dyDescent="0.25">
      <c r="A619" s="924">
        <f t="shared" si="9"/>
        <v>619</v>
      </c>
      <c r="B619" s="924">
        <v>0.5</v>
      </c>
    </row>
    <row r="620" spans="1:2" x14ac:dyDescent="0.25">
      <c r="A620" s="924">
        <f t="shared" si="9"/>
        <v>620</v>
      </c>
      <c r="B620" s="924">
        <v>0.5</v>
      </c>
    </row>
    <row r="621" spans="1:2" x14ac:dyDescent="0.25">
      <c r="A621" s="924">
        <f t="shared" si="9"/>
        <v>621</v>
      </c>
      <c r="B621" s="924">
        <v>0.5</v>
      </c>
    </row>
    <row r="622" spans="1:2" x14ac:dyDescent="0.25">
      <c r="A622" s="924">
        <f t="shared" si="9"/>
        <v>622</v>
      </c>
      <c r="B622" s="924">
        <v>0.5</v>
      </c>
    </row>
    <row r="623" spans="1:2" x14ac:dyDescent="0.25">
      <c r="A623" s="924">
        <f t="shared" si="9"/>
        <v>623</v>
      </c>
      <c r="B623" s="924">
        <v>0.6</v>
      </c>
    </row>
    <row r="624" spans="1:2" x14ac:dyDescent="0.25">
      <c r="A624" s="924">
        <f t="shared" si="9"/>
        <v>624</v>
      </c>
      <c r="B624" s="924">
        <v>0.6</v>
      </c>
    </row>
    <row r="625" spans="1:2" x14ac:dyDescent="0.25">
      <c r="A625" s="924">
        <f t="shared" si="9"/>
        <v>625</v>
      </c>
      <c r="B625" s="924">
        <v>0.6</v>
      </c>
    </row>
    <row r="626" spans="1:2" x14ac:dyDescent="0.25">
      <c r="A626" s="924">
        <f t="shared" si="9"/>
        <v>626</v>
      </c>
      <c r="B626" s="924">
        <v>0.6</v>
      </c>
    </row>
    <row r="627" spans="1:2" x14ac:dyDescent="0.25">
      <c r="A627" s="924">
        <f t="shared" si="9"/>
        <v>627</v>
      </c>
      <c r="B627" s="924">
        <v>0.6</v>
      </c>
    </row>
    <row r="628" spans="1:2" x14ac:dyDescent="0.25">
      <c r="A628" s="924">
        <f t="shared" si="9"/>
        <v>628</v>
      </c>
      <c r="B628" s="924">
        <v>0.6</v>
      </c>
    </row>
    <row r="629" spans="1:2" x14ac:dyDescent="0.25">
      <c r="A629" s="924">
        <f t="shared" si="9"/>
        <v>629</v>
      </c>
      <c r="B629" s="924">
        <v>0.6</v>
      </c>
    </row>
    <row r="630" spans="1:2" x14ac:dyDescent="0.25">
      <c r="A630" s="924">
        <f t="shared" si="9"/>
        <v>630</v>
      </c>
      <c r="B630" s="924">
        <v>0.6</v>
      </c>
    </row>
    <row r="631" spans="1:2" x14ac:dyDescent="0.25">
      <c r="A631" s="924">
        <f t="shared" si="9"/>
        <v>631</v>
      </c>
      <c r="B631" s="924">
        <v>0.6</v>
      </c>
    </row>
    <row r="632" spans="1:2" x14ac:dyDescent="0.25">
      <c r="A632" s="924">
        <f t="shared" si="9"/>
        <v>632</v>
      </c>
      <c r="B632" s="924">
        <v>0.6</v>
      </c>
    </row>
    <row r="633" spans="1:2" x14ac:dyDescent="0.25">
      <c r="A633" s="924">
        <f t="shared" si="9"/>
        <v>633</v>
      </c>
      <c r="B633" s="924">
        <v>0.6</v>
      </c>
    </row>
    <row r="634" spans="1:2" x14ac:dyDescent="0.25">
      <c r="A634" s="924">
        <f t="shared" si="9"/>
        <v>634</v>
      </c>
      <c r="B634" s="924">
        <v>0.6</v>
      </c>
    </row>
    <row r="635" spans="1:2" x14ac:dyDescent="0.25">
      <c r="A635" s="924">
        <f t="shared" si="9"/>
        <v>635</v>
      </c>
      <c r="B635" s="924">
        <v>0.6</v>
      </c>
    </row>
    <row r="636" spans="1:2" x14ac:dyDescent="0.25">
      <c r="A636" s="924">
        <f t="shared" si="9"/>
        <v>636</v>
      </c>
      <c r="B636" s="924">
        <v>0.6</v>
      </c>
    </row>
    <row r="637" spans="1:2" x14ac:dyDescent="0.25">
      <c r="A637" s="924">
        <f t="shared" si="9"/>
        <v>637</v>
      </c>
      <c r="B637" s="924">
        <v>0.6</v>
      </c>
    </row>
    <row r="638" spans="1:2" x14ac:dyDescent="0.25">
      <c r="A638" s="924">
        <f t="shared" si="9"/>
        <v>638</v>
      </c>
      <c r="B638" s="924">
        <v>0.6</v>
      </c>
    </row>
    <row r="639" spans="1:2" x14ac:dyDescent="0.25">
      <c r="A639" s="924">
        <f t="shared" si="9"/>
        <v>639</v>
      </c>
      <c r="B639" s="924">
        <v>0.6</v>
      </c>
    </row>
    <row r="640" spans="1:2" x14ac:dyDescent="0.25">
      <c r="A640" s="924">
        <f t="shared" si="9"/>
        <v>640</v>
      </c>
      <c r="B640" s="924">
        <v>0.6</v>
      </c>
    </row>
    <row r="641" spans="1:2" x14ac:dyDescent="0.25">
      <c r="A641" s="924">
        <f t="shared" si="9"/>
        <v>641</v>
      </c>
      <c r="B641" s="924">
        <v>0.6</v>
      </c>
    </row>
    <row r="642" spans="1:2" x14ac:dyDescent="0.25">
      <c r="A642" s="924">
        <f t="shared" si="9"/>
        <v>642</v>
      </c>
      <c r="B642" s="924">
        <v>0.6</v>
      </c>
    </row>
    <row r="643" spans="1:2" x14ac:dyDescent="0.25">
      <c r="A643" s="924">
        <f t="shared" ref="A643:A706" si="10">A642+1</f>
        <v>643</v>
      </c>
      <c r="B643" s="924">
        <v>0.6</v>
      </c>
    </row>
    <row r="644" spans="1:2" x14ac:dyDescent="0.25">
      <c r="A644" s="924">
        <f t="shared" si="10"/>
        <v>644</v>
      </c>
      <c r="B644" s="924">
        <v>0.6</v>
      </c>
    </row>
    <row r="645" spans="1:2" x14ac:dyDescent="0.25">
      <c r="A645" s="924">
        <f t="shared" si="10"/>
        <v>645</v>
      </c>
      <c r="B645" s="924">
        <v>0.6</v>
      </c>
    </row>
    <row r="646" spans="1:2" x14ac:dyDescent="0.25">
      <c r="A646" s="924">
        <f t="shared" si="10"/>
        <v>646</v>
      </c>
      <c r="B646" s="924">
        <v>0.6</v>
      </c>
    </row>
    <row r="647" spans="1:2" x14ac:dyDescent="0.25">
      <c r="A647" s="924">
        <f t="shared" si="10"/>
        <v>647</v>
      </c>
      <c r="B647" s="924">
        <v>0.6</v>
      </c>
    </row>
    <row r="648" spans="1:2" x14ac:dyDescent="0.25">
      <c r="A648" s="924">
        <f t="shared" si="10"/>
        <v>648</v>
      </c>
      <c r="B648" s="924">
        <v>0.6</v>
      </c>
    </row>
    <row r="649" spans="1:2" x14ac:dyDescent="0.25">
      <c r="A649" s="924">
        <f t="shared" si="10"/>
        <v>649</v>
      </c>
      <c r="B649" s="924">
        <v>0.6</v>
      </c>
    </row>
    <row r="650" spans="1:2" x14ac:dyDescent="0.25">
      <c r="A650" s="924">
        <f t="shared" si="10"/>
        <v>650</v>
      </c>
      <c r="B650" s="924">
        <v>0.6</v>
      </c>
    </row>
    <row r="651" spans="1:2" x14ac:dyDescent="0.25">
      <c r="A651" s="924">
        <f t="shared" si="10"/>
        <v>651</v>
      </c>
      <c r="B651" s="924">
        <v>0.7</v>
      </c>
    </row>
    <row r="652" spans="1:2" x14ac:dyDescent="0.25">
      <c r="A652" s="924">
        <f t="shared" si="10"/>
        <v>652</v>
      </c>
      <c r="B652" s="924">
        <v>0.7</v>
      </c>
    </row>
    <row r="653" spans="1:2" x14ac:dyDescent="0.25">
      <c r="A653" s="924">
        <f t="shared" si="10"/>
        <v>653</v>
      </c>
      <c r="B653" s="924">
        <v>0.7</v>
      </c>
    </row>
    <row r="654" spans="1:2" x14ac:dyDescent="0.25">
      <c r="A654" s="924">
        <f t="shared" si="10"/>
        <v>654</v>
      </c>
      <c r="B654" s="924">
        <v>0.7</v>
      </c>
    </row>
    <row r="655" spans="1:2" x14ac:dyDescent="0.25">
      <c r="A655" s="924">
        <f t="shared" si="10"/>
        <v>655</v>
      </c>
      <c r="B655" s="924">
        <v>0.7</v>
      </c>
    </row>
    <row r="656" spans="1:2" x14ac:dyDescent="0.25">
      <c r="A656" s="924">
        <f t="shared" si="10"/>
        <v>656</v>
      </c>
      <c r="B656" s="924">
        <v>0.7</v>
      </c>
    </row>
    <row r="657" spans="1:2" x14ac:dyDescent="0.25">
      <c r="A657" s="924">
        <f t="shared" si="10"/>
        <v>657</v>
      </c>
      <c r="B657" s="924">
        <v>0.7</v>
      </c>
    </row>
    <row r="658" spans="1:2" x14ac:dyDescent="0.25">
      <c r="A658" s="924">
        <f t="shared" si="10"/>
        <v>658</v>
      </c>
      <c r="B658" s="924">
        <v>0.7</v>
      </c>
    </row>
    <row r="659" spans="1:2" x14ac:dyDescent="0.25">
      <c r="A659" s="924">
        <f t="shared" si="10"/>
        <v>659</v>
      </c>
      <c r="B659" s="924">
        <v>0.7</v>
      </c>
    </row>
    <row r="660" spans="1:2" x14ac:dyDescent="0.25">
      <c r="A660" s="924">
        <f t="shared" si="10"/>
        <v>660</v>
      </c>
      <c r="B660" s="924">
        <v>0.7</v>
      </c>
    </row>
    <row r="661" spans="1:2" x14ac:dyDescent="0.25">
      <c r="A661" s="924">
        <f t="shared" si="10"/>
        <v>661</v>
      </c>
      <c r="B661" s="924">
        <v>0.7</v>
      </c>
    </row>
    <row r="662" spans="1:2" x14ac:dyDescent="0.25">
      <c r="A662" s="924">
        <f t="shared" si="10"/>
        <v>662</v>
      </c>
      <c r="B662" s="924">
        <v>0.7</v>
      </c>
    </row>
    <row r="663" spans="1:2" x14ac:dyDescent="0.25">
      <c r="A663" s="924">
        <f t="shared" si="10"/>
        <v>663</v>
      </c>
      <c r="B663" s="924">
        <v>0.7</v>
      </c>
    </row>
    <row r="664" spans="1:2" x14ac:dyDescent="0.25">
      <c r="A664" s="924">
        <f t="shared" si="10"/>
        <v>664</v>
      </c>
      <c r="B664" s="924">
        <v>0.7</v>
      </c>
    </row>
    <row r="665" spans="1:2" x14ac:dyDescent="0.25">
      <c r="A665" s="924">
        <f t="shared" si="10"/>
        <v>665</v>
      </c>
      <c r="B665" s="924">
        <v>0.7</v>
      </c>
    </row>
    <row r="666" spans="1:2" x14ac:dyDescent="0.25">
      <c r="A666" s="924">
        <f t="shared" si="10"/>
        <v>666</v>
      </c>
      <c r="B666" s="924">
        <v>0.7</v>
      </c>
    </row>
    <row r="667" spans="1:2" x14ac:dyDescent="0.25">
      <c r="A667" s="924">
        <f t="shared" si="10"/>
        <v>667</v>
      </c>
      <c r="B667" s="924">
        <v>0.7</v>
      </c>
    </row>
    <row r="668" spans="1:2" x14ac:dyDescent="0.25">
      <c r="A668" s="924">
        <f t="shared" si="10"/>
        <v>668</v>
      </c>
      <c r="B668" s="924">
        <v>0.7</v>
      </c>
    </row>
    <row r="669" spans="1:2" x14ac:dyDescent="0.25">
      <c r="A669" s="924">
        <f t="shared" si="10"/>
        <v>669</v>
      </c>
      <c r="B669" s="924">
        <v>0.7</v>
      </c>
    </row>
    <row r="670" spans="1:2" x14ac:dyDescent="0.25">
      <c r="A670" s="924">
        <f t="shared" si="10"/>
        <v>670</v>
      </c>
      <c r="B670" s="924">
        <v>0.7</v>
      </c>
    </row>
    <row r="671" spans="1:2" x14ac:dyDescent="0.25">
      <c r="A671" s="924">
        <f t="shared" si="10"/>
        <v>671</v>
      </c>
      <c r="B671" s="924">
        <v>0.7</v>
      </c>
    </row>
    <row r="672" spans="1:2" x14ac:dyDescent="0.25">
      <c r="A672" s="924">
        <f t="shared" si="10"/>
        <v>672</v>
      </c>
      <c r="B672" s="924">
        <v>0.7</v>
      </c>
    </row>
    <row r="673" spans="1:2" x14ac:dyDescent="0.25">
      <c r="A673" s="924">
        <f t="shared" si="10"/>
        <v>673</v>
      </c>
      <c r="B673" s="924">
        <v>0.7</v>
      </c>
    </row>
    <row r="674" spans="1:2" x14ac:dyDescent="0.25">
      <c r="A674" s="924">
        <f t="shared" si="10"/>
        <v>674</v>
      </c>
      <c r="B674" s="924">
        <v>0.7</v>
      </c>
    </row>
    <row r="675" spans="1:2" x14ac:dyDescent="0.25">
      <c r="A675" s="924">
        <f t="shared" si="10"/>
        <v>675</v>
      </c>
      <c r="B675" s="924">
        <v>0.7</v>
      </c>
    </row>
    <row r="676" spans="1:2" x14ac:dyDescent="0.25">
      <c r="A676" s="924">
        <f t="shared" si="10"/>
        <v>676</v>
      </c>
      <c r="B676" s="924">
        <v>0.7</v>
      </c>
    </row>
    <row r="677" spans="1:2" x14ac:dyDescent="0.25">
      <c r="A677" s="924">
        <f t="shared" si="10"/>
        <v>677</v>
      </c>
      <c r="B677" s="924">
        <v>0.7</v>
      </c>
    </row>
    <row r="678" spans="1:2" x14ac:dyDescent="0.25">
      <c r="A678" s="924">
        <f t="shared" si="10"/>
        <v>678</v>
      </c>
      <c r="B678" s="924">
        <v>0.7</v>
      </c>
    </row>
    <row r="679" spans="1:2" x14ac:dyDescent="0.25">
      <c r="A679" s="924">
        <f t="shared" si="10"/>
        <v>679</v>
      </c>
      <c r="B679" s="924">
        <v>0.7</v>
      </c>
    </row>
    <row r="680" spans="1:2" x14ac:dyDescent="0.25">
      <c r="A680" s="924">
        <f t="shared" si="10"/>
        <v>680</v>
      </c>
      <c r="B680" s="924">
        <v>0.7</v>
      </c>
    </row>
    <row r="681" spans="1:2" x14ac:dyDescent="0.25">
      <c r="A681" s="924">
        <f t="shared" si="10"/>
        <v>681</v>
      </c>
      <c r="B681" s="924">
        <v>0.7</v>
      </c>
    </row>
    <row r="682" spans="1:2" x14ac:dyDescent="0.25">
      <c r="A682" s="924">
        <f t="shared" si="10"/>
        <v>682</v>
      </c>
      <c r="B682" s="924">
        <v>0.8</v>
      </c>
    </row>
    <row r="683" spans="1:2" x14ac:dyDescent="0.25">
      <c r="A683" s="924">
        <f t="shared" si="10"/>
        <v>683</v>
      </c>
      <c r="B683" s="924">
        <v>0.8</v>
      </c>
    </row>
    <row r="684" spans="1:2" x14ac:dyDescent="0.25">
      <c r="A684" s="924">
        <f t="shared" si="10"/>
        <v>684</v>
      </c>
      <c r="B684" s="924">
        <v>0.8</v>
      </c>
    </row>
    <row r="685" spans="1:2" x14ac:dyDescent="0.25">
      <c r="A685" s="924">
        <f t="shared" si="10"/>
        <v>685</v>
      </c>
      <c r="B685" s="924">
        <v>0.8</v>
      </c>
    </row>
    <row r="686" spans="1:2" x14ac:dyDescent="0.25">
      <c r="A686" s="924">
        <f t="shared" si="10"/>
        <v>686</v>
      </c>
      <c r="B686" s="924">
        <v>0.8</v>
      </c>
    </row>
    <row r="687" spans="1:2" x14ac:dyDescent="0.25">
      <c r="A687" s="924">
        <f t="shared" si="10"/>
        <v>687</v>
      </c>
      <c r="B687" s="924">
        <v>0.8</v>
      </c>
    </row>
    <row r="688" spans="1:2" x14ac:dyDescent="0.25">
      <c r="A688" s="924">
        <f t="shared" si="10"/>
        <v>688</v>
      </c>
      <c r="B688" s="924">
        <v>0.8</v>
      </c>
    </row>
    <row r="689" spans="1:2" x14ac:dyDescent="0.25">
      <c r="A689" s="924">
        <f t="shared" si="10"/>
        <v>689</v>
      </c>
      <c r="B689" s="924">
        <v>0.8</v>
      </c>
    </row>
    <row r="690" spans="1:2" x14ac:dyDescent="0.25">
      <c r="A690" s="924">
        <f t="shared" si="10"/>
        <v>690</v>
      </c>
      <c r="B690" s="924">
        <v>0.8</v>
      </c>
    </row>
    <row r="691" spans="1:2" x14ac:dyDescent="0.25">
      <c r="A691" s="924">
        <f t="shared" si="10"/>
        <v>691</v>
      </c>
      <c r="B691" s="924">
        <v>0.8</v>
      </c>
    </row>
    <row r="692" spans="1:2" x14ac:dyDescent="0.25">
      <c r="A692" s="924">
        <f t="shared" si="10"/>
        <v>692</v>
      </c>
      <c r="B692" s="924">
        <v>0.8</v>
      </c>
    </row>
    <row r="693" spans="1:2" x14ac:dyDescent="0.25">
      <c r="A693" s="924">
        <f t="shared" si="10"/>
        <v>693</v>
      </c>
      <c r="B693" s="924">
        <v>0.8</v>
      </c>
    </row>
    <row r="694" spans="1:2" x14ac:dyDescent="0.25">
      <c r="A694" s="924">
        <f t="shared" si="10"/>
        <v>694</v>
      </c>
      <c r="B694" s="924">
        <v>0.8</v>
      </c>
    </row>
    <row r="695" spans="1:2" x14ac:dyDescent="0.25">
      <c r="A695" s="924">
        <f t="shared" si="10"/>
        <v>695</v>
      </c>
      <c r="B695" s="924">
        <v>0.8</v>
      </c>
    </row>
    <row r="696" spans="1:2" x14ac:dyDescent="0.25">
      <c r="A696" s="924">
        <f t="shared" si="10"/>
        <v>696</v>
      </c>
      <c r="B696" s="924">
        <v>0.8</v>
      </c>
    </row>
    <row r="697" spans="1:2" x14ac:dyDescent="0.25">
      <c r="A697" s="924">
        <f t="shared" si="10"/>
        <v>697</v>
      </c>
      <c r="B697" s="924">
        <v>0.8</v>
      </c>
    </row>
    <row r="698" spans="1:2" x14ac:dyDescent="0.25">
      <c r="A698" s="924">
        <f t="shared" si="10"/>
        <v>698</v>
      </c>
      <c r="B698" s="924">
        <v>0.8</v>
      </c>
    </row>
    <row r="699" spans="1:2" x14ac:dyDescent="0.25">
      <c r="A699" s="924">
        <f t="shared" si="10"/>
        <v>699</v>
      </c>
      <c r="B699" s="924">
        <v>0.8</v>
      </c>
    </row>
    <row r="700" spans="1:2" x14ac:dyDescent="0.25">
      <c r="A700" s="924">
        <f t="shared" si="10"/>
        <v>700</v>
      </c>
      <c r="B700" s="924">
        <v>0.8</v>
      </c>
    </row>
    <row r="701" spans="1:2" x14ac:dyDescent="0.25">
      <c r="A701" s="924">
        <f t="shared" si="10"/>
        <v>701</v>
      </c>
      <c r="B701" s="924">
        <v>0.8</v>
      </c>
    </row>
    <row r="702" spans="1:2" x14ac:dyDescent="0.25">
      <c r="A702" s="924">
        <f t="shared" si="10"/>
        <v>702</v>
      </c>
      <c r="B702" s="924">
        <v>0.8</v>
      </c>
    </row>
    <row r="703" spans="1:2" x14ac:dyDescent="0.25">
      <c r="A703" s="924">
        <f t="shared" si="10"/>
        <v>703</v>
      </c>
      <c r="B703" s="924">
        <v>0.8</v>
      </c>
    </row>
    <row r="704" spans="1:2" x14ac:dyDescent="0.25">
      <c r="A704" s="924">
        <f t="shared" si="10"/>
        <v>704</v>
      </c>
      <c r="B704" s="924">
        <v>0.8</v>
      </c>
    </row>
    <row r="705" spans="1:2" x14ac:dyDescent="0.25">
      <c r="A705" s="924">
        <f t="shared" si="10"/>
        <v>705</v>
      </c>
      <c r="B705" s="924">
        <v>0.8</v>
      </c>
    </row>
    <row r="706" spans="1:2" x14ac:dyDescent="0.25">
      <c r="A706" s="924">
        <f t="shared" si="10"/>
        <v>706</v>
      </c>
      <c r="B706" s="924">
        <v>0.8</v>
      </c>
    </row>
    <row r="707" spans="1:2" x14ac:dyDescent="0.25">
      <c r="A707" s="924">
        <f t="shared" ref="A707:A770" si="11">A706+1</f>
        <v>707</v>
      </c>
      <c r="B707" s="924">
        <v>0.8</v>
      </c>
    </row>
    <row r="708" spans="1:2" x14ac:dyDescent="0.25">
      <c r="A708" s="924">
        <f t="shared" si="11"/>
        <v>708</v>
      </c>
      <c r="B708" s="924">
        <v>0.8</v>
      </c>
    </row>
    <row r="709" spans="1:2" x14ac:dyDescent="0.25">
      <c r="A709" s="924">
        <f t="shared" si="11"/>
        <v>709</v>
      </c>
      <c r="B709" s="924">
        <v>0.8</v>
      </c>
    </row>
    <row r="710" spans="1:2" x14ac:dyDescent="0.25">
      <c r="A710" s="924">
        <f t="shared" si="11"/>
        <v>710</v>
      </c>
      <c r="B710" s="924">
        <v>0.8</v>
      </c>
    </row>
    <row r="711" spans="1:2" x14ac:dyDescent="0.25">
      <c r="A711" s="924">
        <f t="shared" si="11"/>
        <v>711</v>
      </c>
      <c r="B711" s="924">
        <v>0.8</v>
      </c>
    </row>
    <row r="712" spans="1:2" x14ac:dyDescent="0.25">
      <c r="A712" s="924">
        <f t="shared" si="11"/>
        <v>712</v>
      </c>
      <c r="B712" s="924">
        <v>0.8</v>
      </c>
    </row>
    <row r="713" spans="1:2" x14ac:dyDescent="0.25">
      <c r="A713" s="924">
        <f t="shared" si="11"/>
        <v>713</v>
      </c>
      <c r="B713" s="924">
        <v>0.8</v>
      </c>
    </row>
    <row r="714" spans="1:2" x14ac:dyDescent="0.25">
      <c r="A714" s="924">
        <f t="shared" si="11"/>
        <v>714</v>
      </c>
      <c r="B714" s="924">
        <v>0.8</v>
      </c>
    </row>
    <row r="715" spans="1:2" x14ac:dyDescent="0.25">
      <c r="A715" s="924">
        <f t="shared" si="11"/>
        <v>715</v>
      </c>
      <c r="B715" s="924">
        <v>0.8</v>
      </c>
    </row>
    <row r="716" spans="1:2" x14ac:dyDescent="0.25">
      <c r="A716" s="924">
        <f t="shared" si="11"/>
        <v>716</v>
      </c>
      <c r="B716" s="924">
        <v>0.8</v>
      </c>
    </row>
    <row r="717" spans="1:2" x14ac:dyDescent="0.25">
      <c r="A717" s="924">
        <f t="shared" si="11"/>
        <v>717</v>
      </c>
      <c r="B717" s="924">
        <v>0.8</v>
      </c>
    </row>
    <row r="718" spans="1:2" x14ac:dyDescent="0.25">
      <c r="A718" s="924">
        <f t="shared" si="11"/>
        <v>718</v>
      </c>
      <c r="B718" s="924">
        <v>0.8</v>
      </c>
    </row>
    <row r="719" spans="1:2" x14ac:dyDescent="0.25">
      <c r="A719" s="924">
        <f t="shared" si="11"/>
        <v>719</v>
      </c>
      <c r="B719" s="924">
        <v>0.8</v>
      </c>
    </row>
    <row r="720" spans="1:2" x14ac:dyDescent="0.25">
      <c r="A720" s="924">
        <f t="shared" si="11"/>
        <v>720</v>
      </c>
      <c r="B720" s="924">
        <v>0.9</v>
      </c>
    </row>
    <row r="721" spans="1:2" x14ac:dyDescent="0.25">
      <c r="A721" s="924">
        <f t="shared" si="11"/>
        <v>721</v>
      </c>
      <c r="B721" s="924">
        <v>0.9</v>
      </c>
    </row>
    <row r="722" spans="1:2" x14ac:dyDescent="0.25">
      <c r="A722" s="924">
        <f t="shared" si="11"/>
        <v>722</v>
      </c>
      <c r="B722" s="924">
        <v>0.9</v>
      </c>
    </row>
    <row r="723" spans="1:2" x14ac:dyDescent="0.25">
      <c r="A723" s="924">
        <f t="shared" si="11"/>
        <v>723</v>
      </c>
      <c r="B723" s="924">
        <v>0.9</v>
      </c>
    </row>
    <row r="724" spans="1:2" x14ac:dyDescent="0.25">
      <c r="A724" s="924">
        <f t="shared" si="11"/>
        <v>724</v>
      </c>
      <c r="B724" s="924">
        <v>0.9</v>
      </c>
    </row>
    <row r="725" spans="1:2" x14ac:dyDescent="0.25">
      <c r="A725" s="924">
        <f t="shared" si="11"/>
        <v>725</v>
      </c>
      <c r="B725" s="924">
        <v>0.9</v>
      </c>
    </row>
    <row r="726" spans="1:2" x14ac:dyDescent="0.25">
      <c r="A726" s="924">
        <f t="shared" si="11"/>
        <v>726</v>
      </c>
      <c r="B726" s="924">
        <v>0.9</v>
      </c>
    </row>
    <row r="727" spans="1:2" x14ac:dyDescent="0.25">
      <c r="A727" s="924">
        <f t="shared" si="11"/>
        <v>727</v>
      </c>
      <c r="B727" s="924">
        <v>0.9</v>
      </c>
    </row>
    <row r="728" spans="1:2" x14ac:dyDescent="0.25">
      <c r="A728" s="924">
        <f t="shared" si="11"/>
        <v>728</v>
      </c>
      <c r="B728" s="924">
        <v>0.9</v>
      </c>
    </row>
    <row r="729" spans="1:2" x14ac:dyDescent="0.25">
      <c r="A729" s="924">
        <f t="shared" si="11"/>
        <v>729</v>
      </c>
      <c r="B729" s="924">
        <v>0.9</v>
      </c>
    </row>
    <row r="730" spans="1:2" x14ac:dyDescent="0.25">
      <c r="A730" s="924">
        <f t="shared" si="11"/>
        <v>730</v>
      </c>
      <c r="B730" s="924">
        <v>0.9</v>
      </c>
    </row>
    <row r="731" spans="1:2" x14ac:dyDescent="0.25">
      <c r="A731" s="924">
        <f t="shared" si="11"/>
        <v>731</v>
      </c>
      <c r="B731" s="924">
        <v>0.9</v>
      </c>
    </row>
    <row r="732" spans="1:2" x14ac:dyDescent="0.25">
      <c r="A732" s="924">
        <f t="shared" si="11"/>
        <v>732</v>
      </c>
      <c r="B732" s="924">
        <v>0.9</v>
      </c>
    </row>
    <row r="733" spans="1:2" x14ac:dyDescent="0.25">
      <c r="A733" s="924">
        <f t="shared" si="11"/>
        <v>733</v>
      </c>
      <c r="B733" s="924">
        <v>0.9</v>
      </c>
    </row>
    <row r="734" spans="1:2" x14ac:dyDescent="0.25">
      <c r="A734" s="924">
        <f t="shared" si="11"/>
        <v>734</v>
      </c>
      <c r="B734" s="924">
        <v>0.9</v>
      </c>
    </row>
    <row r="735" spans="1:2" x14ac:dyDescent="0.25">
      <c r="A735" s="924">
        <f t="shared" si="11"/>
        <v>735</v>
      </c>
      <c r="B735" s="924">
        <v>0.9</v>
      </c>
    </row>
    <row r="736" spans="1:2" x14ac:dyDescent="0.25">
      <c r="A736" s="924">
        <f t="shared" si="11"/>
        <v>736</v>
      </c>
      <c r="B736" s="924">
        <v>0.9</v>
      </c>
    </row>
    <row r="737" spans="1:2" x14ac:dyDescent="0.25">
      <c r="A737" s="924">
        <f t="shared" si="11"/>
        <v>737</v>
      </c>
      <c r="B737" s="924">
        <v>0.9</v>
      </c>
    </row>
    <row r="738" spans="1:2" x14ac:dyDescent="0.25">
      <c r="A738" s="924">
        <f t="shared" si="11"/>
        <v>738</v>
      </c>
      <c r="B738" s="924">
        <v>0.9</v>
      </c>
    </row>
    <row r="739" spans="1:2" x14ac:dyDescent="0.25">
      <c r="A739" s="924">
        <f t="shared" si="11"/>
        <v>739</v>
      </c>
      <c r="B739" s="924">
        <v>0.9</v>
      </c>
    </row>
    <row r="740" spans="1:2" x14ac:dyDescent="0.25">
      <c r="A740" s="924">
        <f t="shared" si="11"/>
        <v>740</v>
      </c>
      <c r="B740" s="924">
        <v>0.9</v>
      </c>
    </row>
    <row r="741" spans="1:2" x14ac:dyDescent="0.25">
      <c r="A741" s="924">
        <f t="shared" si="11"/>
        <v>741</v>
      </c>
      <c r="B741" s="924">
        <v>0.9</v>
      </c>
    </row>
    <row r="742" spans="1:2" x14ac:dyDescent="0.25">
      <c r="A742" s="924">
        <f t="shared" si="11"/>
        <v>742</v>
      </c>
      <c r="B742" s="924">
        <v>0.9</v>
      </c>
    </row>
    <row r="743" spans="1:2" x14ac:dyDescent="0.25">
      <c r="A743" s="924">
        <f t="shared" si="11"/>
        <v>743</v>
      </c>
      <c r="B743" s="924">
        <v>0.9</v>
      </c>
    </row>
    <row r="744" spans="1:2" x14ac:dyDescent="0.25">
      <c r="A744" s="924">
        <f t="shared" si="11"/>
        <v>744</v>
      </c>
      <c r="B744" s="924">
        <v>0.9</v>
      </c>
    </row>
    <row r="745" spans="1:2" x14ac:dyDescent="0.25">
      <c r="A745" s="924">
        <f t="shared" si="11"/>
        <v>745</v>
      </c>
      <c r="B745" s="924">
        <v>0.9</v>
      </c>
    </row>
    <row r="746" spans="1:2" x14ac:dyDescent="0.25">
      <c r="A746" s="924">
        <f t="shared" si="11"/>
        <v>746</v>
      </c>
      <c r="B746" s="924">
        <v>0.9</v>
      </c>
    </row>
    <row r="747" spans="1:2" x14ac:dyDescent="0.25">
      <c r="A747" s="924">
        <f t="shared" si="11"/>
        <v>747</v>
      </c>
      <c r="B747" s="924">
        <v>0.9</v>
      </c>
    </row>
    <row r="748" spans="1:2" x14ac:dyDescent="0.25">
      <c r="A748" s="924">
        <f t="shared" si="11"/>
        <v>748</v>
      </c>
      <c r="B748" s="924">
        <v>0.9</v>
      </c>
    </row>
    <row r="749" spans="1:2" x14ac:dyDescent="0.25">
      <c r="A749" s="924">
        <f t="shared" si="11"/>
        <v>749</v>
      </c>
      <c r="B749" s="924">
        <v>0.9</v>
      </c>
    </row>
    <row r="750" spans="1:2" x14ac:dyDescent="0.25">
      <c r="A750" s="924">
        <f t="shared" si="11"/>
        <v>750</v>
      </c>
      <c r="B750" s="924">
        <v>0.9</v>
      </c>
    </row>
    <row r="751" spans="1:2" x14ac:dyDescent="0.25">
      <c r="A751" s="924">
        <f t="shared" si="11"/>
        <v>751</v>
      </c>
      <c r="B751" s="924">
        <v>0.9</v>
      </c>
    </row>
    <row r="752" spans="1:2" x14ac:dyDescent="0.25">
      <c r="A752" s="924">
        <f t="shared" si="11"/>
        <v>752</v>
      </c>
      <c r="B752" s="924">
        <v>0.9</v>
      </c>
    </row>
    <row r="753" spans="1:2" x14ac:dyDescent="0.25">
      <c r="A753" s="924">
        <f t="shared" si="11"/>
        <v>753</v>
      </c>
      <c r="B753" s="924">
        <v>0.9</v>
      </c>
    </row>
    <row r="754" spans="1:2" x14ac:dyDescent="0.25">
      <c r="A754" s="924">
        <f t="shared" si="11"/>
        <v>754</v>
      </c>
      <c r="B754" s="924">
        <v>0.9</v>
      </c>
    </row>
    <row r="755" spans="1:2" x14ac:dyDescent="0.25">
      <c r="A755" s="924">
        <f t="shared" si="11"/>
        <v>755</v>
      </c>
      <c r="B755" s="924">
        <v>0.9</v>
      </c>
    </row>
    <row r="756" spans="1:2" x14ac:dyDescent="0.25">
      <c r="A756" s="924">
        <f t="shared" si="11"/>
        <v>756</v>
      </c>
      <c r="B756" s="924">
        <v>0.9</v>
      </c>
    </row>
    <row r="757" spans="1:2" x14ac:dyDescent="0.25">
      <c r="A757" s="924">
        <f t="shared" si="11"/>
        <v>757</v>
      </c>
      <c r="B757" s="924">
        <v>0.9</v>
      </c>
    </row>
    <row r="758" spans="1:2" x14ac:dyDescent="0.25">
      <c r="A758" s="924">
        <f t="shared" si="11"/>
        <v>758</v>
      </c>
      <c r="B758" s="924">
        <v>1</v>
      </c>
    </row>
    <row r="759" spans="1:2" x14ac:dyDescent="0.25">
      <c r="A759" s="924">
        <f t="shared" si="11"/>
        <v>759</v>
      </c>
      <c r="B759" s="924">
        <v>1</v>
      </c>
    </row>
    <row r="760" spans="1:2" x14ac:dyDescent="0.25">
      <c r="A760" s="924">
        <f t="shared" si="11"/>
        <v>760</v>
      </c>
      <c r="B760" s="924">
        <v>1</v>
      </c>
    </row>
    <row r="761" spans="1:2" x14ac:dyDescent="0.25">
      <c r="A761" s="924">
        <f t="shared" si="11"/>
        <v>761</v>
      </c>
      <c r="B761" s="924">
        <v>1</v>
      </c>
    </row>
    <row r="762" spans="1:2" x14ac:dyDescent="0.25">
      <c r="A762" s="924">
        <f t="shared" si="11"/>
        <v>762</v>
      </c>
      <c r="B762" s="924">
        <v>1</v>
      </c>
    </row>
    <row r="763" spans="1:2" x14ac:dyDescent="0.25">
      <c r="A763" s="924">
        <f t="shared" si="11"/>
        <v>763</v>
      </c>
      <c r="B763" s="924">
        <v>1</v>
      </c>
    </row>
    <row r="764" spans="1:2" x14ac:dyDescent="0.25">
      <c r="A764" s="924">
        <f t="shared" si="11"/>
        <v>764</v>
      </c>
      <c r="B764" s="924">
        <v>1</v>
      </c>
    </row>
    <row r="765" spans="1:2" x14ac:dyDescent="0.25">
      <c r="A765" s="924">
        <f t="shared" si="11"/>
        <v>765</v>
      </c>
      <c r="B765" s="924">
        <v>1</v>
      </c>
    </row>
    <row r="766" spans="1:2" x14ac:dyDescent="0.25">
      <c r="A766" s="924">
        <f t="shared" si="11"/>
        <v>766</v>
      </c>
      <c r="B766" s="924">
        <v>1</v>
      </c>
    </row>
    <row r="767" spans="1:2" x14ac:dyDescent="0.25">
      <c r="A767" s="924">
        <f t="shared" si="11"/>
        <v>767</v>
      </c>
      <c r="B767" s="924">
        <v>1</v>
      </c>
    </row>
    <row r="768" spans="1:2" x14ac:dyDescent="0.25">
      <c r="A768" s="924">
        <f t="shared" si="11"/>
        <v>768</v>
      </c>
      <c r="B768" s="924">
        <v>1</v>
      </c>
    </row>
    <row r="769" spans="1:2" x14ac:dyDescent="0.25">
      <c r="A769" s="924">
        <f t="shared" si="11"/>
        <v>769</v>
      </c>
      <c r="B769" s="924">
        <v>1</v>
      </c>
    </row>
    <row r="770" spans="1:2" x14ac:dyDescent="0.25">
      <c r="A770" s="924">
        <f t="shared" si="11"/>
        <v>770</v>
      </c>
      <c r="B770" s="924">
        <v>1</v>
      </c>
    </row>
    <row r="771" spans="1:2" x14ac:dyDescent="0.25">
      <c r="A771" s="924">
        <f t="shared" ref="A771:A834" si="12">A770+1</f>
        <v>771</v>
      </c>
      <c r="B771" s="924">
        <v>1</v>
      </c>
    </row>
    <row r="772" spans="1:2" x14ac:dyDescent="0.25">
      <c r="A772" s="924">
        <f t="shared" si="12"/>
        <v>772</v>
      </c>
      <c r="B772" s="924">
        <v>1</v>
      </c>
    </row>
    <row r="773" spans="1:2" x14ac:dyDescent="0.25">
      <c r="A773" s="924">
        <f t="shared" si="12"/>
        <v>773</v>
      </c>
      <c r="B773" s="924">
        <v>1</v>
      </c>
    </row>
    <row r="774" spans="1:2" x14ac:dyDescent="0.25">
      <c r="A774" s="924">
        <f t="shared" si="12"/>
        <v>774</v>
      </c>
      <c r="B774" s="924">
        <v>1</v>
      </c>
    </row>
    <row r="775" spans="1:2" x14ac:dyDescent="0.25">
      <c r="A775" s="924">
        <f t="shared" si="12"/>
        <v>775</v>
      </c>
      <c r="B775" s="924">
        <v>1</v>
      </c>
    </row>
    <row r="776" spans="1:2" x14ac:dyDescent="0.25">
      <c r="A776" s="924">
        <f t="shared" si="12"/>
        <v>776</v>
      </c>
      <c r="B776" s="924">
        <v>1</v>
      </c>
    </row>
    <row r="777" spans="1:2" x14ac:dyDescent="0.25">
      <c r="A777" s="924">
        <f t="shared" si="12"/>
        <v>777</v>
      </c>
      <c r="B777" s="924">
        <v>1</v>
      </c>
    </row>
    <row r="778" spans="1:2" x14ac:dyDescent="0.25">
      <c r="A778" s="924">
        <f t="shared" si="12"/>
        <v>778</v>
      </c>
      <c r="B778" s="924">
        <v>1</v>
      </c>
    </row>
    <row r="779" spans="1:2" x14ac:dyDescent="0.25">
      <c r="A779" s="924">
        <f t="shared" si="12"/>
        <v>779</v>
      </c>
      <c r="B779" s="924">
        <v>1</v>
      </c>
    </row>
    <row r="780" spans="1:2" x14ac:dyDescent="0.25">
      <c r="A780" s="924">
        <f t="shared" si="12"/>
        <v>780</v>
      </c>
      <c r="B780" s="924">
        <v>1</v>
      </c>
    </row>
    <row r="781" spans="1:2" x14ac:dyDescent="0.25">
      <c r="A781" s="924">
        <f t="shared" si="12"/>
        <v>781</v>
      </c>
      <c r="B781" s="924">
        <v>1</v>
      </c>
    </row>
    <row r="782" spans="1:2" x14ac:dyDescent="0.25">
      <c r="A782" s="924">
        <f t="shared" si="12"/>
        <v>782</v>
      </c>
      <c r="B782" s="924">
        <v>1</v>
      </c>
    </row>
    <row r="783" spans="1:2" x14ac:dyDescent="0.25">
      <c r="A783" s="924">
        <f t="shared" si="12"/>
        <v>783</v>
      </c>
      <c r="B783" s="924">
        <v>1.1000000000000001</v>
      </c>
    </row>
    <row r="784" spans="1:2" x14ac:dyDescent="0.25">
      <c r="A784" s="924">
        <f t="shared" si="12"/>
        <v>784</v>
      </c>
      <c r="B784" s="924">
        <v>1.1000000000000001</v>
      </c>
    </row>
    <row r="785" spans="1:2" x14ac:dyDescent="0.25">
      <c r="A785" s="924">
        <f t="shared" si="12"/>
        <v>785</v>
      </c>
      <c r="B785" s="924">
        <v>1.1000000000000001</v>
      </c>
    </row>
    <row r="786" spans="1:2" x14ac:dyDescent="0.25">
      <c r="A786" s="924">
        <f t="shared" si="12"/>
        <v>786</v>
      </c>
      <c r="B786" s="924">
        <v>1.1000000000000001</v>
      </c>
    </row>
    <row r="787" spans="1:2" x14ac:dyDescent="0.25">
      <c r="A787" s="924">
        <f t="shared" si="12"/>
        <v>787</v>
      </c>
      <c r="B787" s="924">
        <v>1.1000000000000001</v>
      </c>
    </row>
    <row r="788" spans="1:2" x14ac:dyDescent="0.25">
      <c r="A788" s="924">
        <f t="shared" si="12"/>
        <v>788</v>
      </c>
      <c r="B788" s="924">
        <v>1.1000000000000001</v>
      </c>
    </row>
    <row r="789" spans="1:2" x14ac:dyDescent="0.25">
      <c r="A789" s="924">
        <f t="shared" si="12"/>
        <v>789</v>
      </c>
      <c r="B789" s="924">
        <v>1.1000000000000001</v>
      </c>
    </row>
    <row r="790" spans="1:2" x14ac:dyDescent="0.25">
      <c r="A790" s="924">
        <f t="shared" si="12"/>
        <v>790</v>
      </c>
      <c r="B790" s="924">
        <v>1.1000000000000001</v>
      </c>
    </row>
    <row r="791" spans="1:2" x14ac:dyDescent="0.25">
      <c r="A791" s="924">
        <f t="shared" si="12"/>
        <v>791</v>
      </c>
      <c r="B791" s="924">
        <v>1.1000000000000001</v>
      </c>
    </row>
    <row r="792" spans="1:2" x14ac:dyDescent="0.25">
      <c r="A792" s="924">
        <f t="shared" si="12"/>
        <v>792</v>
      </c>
      <c r="B792" s="924">
        <v>1.1000000000000001</v>
      </c>
    </row>
    <row r="793" spans="1:2" x14ac:dyDescent="0.25">
      <c r="A793" s="924">
        <f t="shared" si="12"/>
        <v>793</v>
      </c>
      <c r="B793" s="924">
        <v>1.1000000000000001</v>
      </c>
    </row>
    <row r="794" spans="1:2" x14ac:dyDescent="0.25">
      <c r="A794" s="924">
        <f t="shared" si="12"/>
        <v>794</v>
      </c>
      <c r="B794" s="924">
        <v>1.1000000000000001</v>
      </c>
    </row>
    <row r="795" spans="1:2" x14ac:dyDescent="0.25">
      <c r="A795" s="924">
        <f t="shared" si="12"/>
        <v>795</v>
      </c>
      <c r="B795" s="924">
        <v>1.1000000000000001</v>
      </c>
    </row>
    <row r="796" spans="1:2" x14ac:dyDescent="0.25">
      <c r="A796" s="924">
        <f t="shared" si="12"/>
        <v>796</v>
      </c>
      <c r="B796" s="924">
        <v>1.1000000000000001</v>
      </c>
    </row>
    <row r="797" spans="1:2" x14ac:dyDescent="0.25">
      <c r="A797" s="924">
        <f t="shared" si="12"/>
        <v>797</v>
      </c>
      <c r="B797" s="924">
        <v>1.1000000000000001</v>
      </c>
    </row>
    <row r="798" spans="1:2" x14ac:dyDescent="0.25">
      <c r="A798" s="924">
        <f t="shared" si="12"/>
        <v>798</v>
      </c>
      <c r="B798" s="924">
        <v>1.1000000000000001</v>
      </c>
    </row>
    <row r="799" spans="1:2" x14ac:dyDescent="0.25">
      <c r="A799" s="924">
        <f t="shared" si="12"/>
        <v>799</v>
      </c>
      <c r="B799" s="924">
        <v>1.1000000000000001</v>
      </c>
    </row>
    <row r="800" spans="1:2" x14ac:dyDescent="0.25">
      <c r="A800" s="924">
        <f t="shared" si="12"/>
        <v>800</v>
      </c>
      <c r="B800" s="924">
        <v>1.1000000000000001</v>
      </c>
    </row>
    <row r="801" spans="1:2" x14ac:dyDescent="0.25">
      <c r="A801" s="924">
        <f t="shared" si="12"/>
        <v>801</v>
      </c>
      <c r="B801" s="924">
        <v>1.1000000000000001</v>
      </c>
    </row>
    <row r="802" spans="1:2" x14ac:dyDescent="0.25">
      <c r="A802" s="924">
        <f t="shared" si="12"/>
        <v>802</v>
      </c>
      <c r="B802" s="924">
        <v>1.1000000000000001</v>
      </c>
    </row>
    <row r="803" spans="1:2" x14ac:dyDescent="0.25">
      <c r="A803" s="924">
        <f t="shared" si="12"/>
        <v>803</v>
      </c>
      <c r="B803" s="924">
        <v>1.1000000000000001</v>
      </c>
    </row>
    <row r="804" spans="1:2" x14ac:dyDescent="0.25">
      <c r="A804" s="924">
        <f t="shared" si="12"/>
        <v>804</v>
      </c>
      <c r="B804" s="924">
        <v>1.1000000000000001</v>
      </c>
    </row>
    <row r="805" spans="1:2" x14ac:dyDescent="0.25">
      <c r="A805" s="924">
        <f t="shared" si="12"/>
        <v>805</v>
      </c>
      <c r="B805" s="924">
        <v>1.1000000000000001</v>
      </c>
    </row>
    <row r="806" spans="1:2" x14ac:dyDescent="0.25">
      <c r="A806" s="924">
        <f t="shared" si="12"/>
        <v>806</v>
      </c>
      <c r="B806" s="924">
        <v>1.1000000000000001</v>
      </c>
    </row>
    <row r="807" spans="1:2" x14ac:dyDescent="0.25">
      <c r="A807" s="924">
        <f t="shared" si="12"/>
        <v>807</v>
      </c>
      <c r="B807" s="924">
        <v>1.1000000000000001</v>
      </c>
    </row>
    <row r="808" spans="1:2" x14ac:dyDescent="0.25">
      <c r="A808" s="924">
        <f t="shared" si="12"/>
        <v>808</v>
      </c>
      <c r="B808" s="924">
        <v>1.2</v>
      </c>
    </row>
    <row r="809" spans="1:2" x14ac:dyDescent="0.25">
      <c r="A809" s="924">
        <f t="shared" si="12"/>
        <v>809</v>
      </c>
      <c r="B809" s="924">
        <v>1.2</v>
      </c>
    </row>
    <row r="810" spans="1:2" x14ac:dyDescent="0.25">
      <c r="A810" s="924">
        <f t="shared" si="12"/>
        <v>810</v>
      </c>
      <c r="B810" s="924">
        <v>1.2</v>
      </c>
    </row>
    <row r="811" spans="1:2" x14ac:dyDescent="0.25">
      <c r="A811" s="924">
        <f t="shared" si="12"/>
        <v>811</v>
      </c>
      <c r="B811" s="924">
        <v>1.2</v>
      </c>
    </row>
    <row r="812" spans="1:2" x14ac:dyDescent="0.25">
      <c r="A812" s="924">
        <f t="shared" si="12"/>
        <v>812</v>
      </c>
      <c r="B812" s="924">
        <v>1.2</v>
      </c>
    </row>
    <row r="813" spans="1:2" x14ac:dyDescent="0.25">
      <c r="A813" s="924">
        <f t="shared" si="12"/>
        <v>813</v>
      </c>
      <c r="B813" s="924">
        <v>1.2</v>
      </c>
    </row>
    <row r="814" spans="1:2" x14ac:dyDescent="0.25">
      <c r="A814" s="924">
        <f t="shared" si="12"/>
        <v>814</v>
      </c>
      <c r="B814" s="924">
        <v>1.2</v>
      </c>
    </row>
    <row r="815" spans="1:2" x14ac:dyDescent="0.25">
      <c r="A815" s="924">
        <f t="shared" si="12"/>
        <v>815</v>
      </c>
      <c r="B815" s="924">
        <v>1.2</v>
      </c>
    </row>
    <row r="816" spans="1:2" x14ac:dyDescent="0.25">
      <c r="A816" s="924">
        <f t="shared" si="12"/>
        <v>816</v>
      </c>
      <c r="B816" s="924">
        <v>1.2</v>
      </c>
    </row>
    <row r="817" spans="1:2" x14ac:dyDescent="0.25">
      <c r="A817" s="924">
        <f t="shared" si="12"/>
        <v>817</v>
      </c>
      <c r="B817" s="924">
        <v>1.2</v>
      </c>
    </row>
    <row r="818" spans="1:2" x14ac:dyDescent="0.25">
      <c r="A818" s="924">
        <f t="shared" si="12"/>
        <v>818</v>
      </c>
      <c r="B818" s="924">
        <v>1.2</v>
      </c>
    </row>
    <row r="819" spans="1:2" x14ac:dyDescent="0.25">
      <c r="A819" s="924">
        <f t="shared" si="12"/>
        <v>819</v>
      </c>
      <c r="B819" s="924">
        <v>1.2</v>
      </c>
    </row>
    <row r="820" spans="1:2" x14ac:dyDescent="0.25">
      <c r="A820" s="924">
        <f t="shared" si="12"/>
        <v>820</v>
      </c>
      <c r="B820" s="924">
        <v>1.2</v>
      </c>
    </row>
    <row r="821" spans="1:2" x14ac:dyDescent="0.25">
      <c r="A821" s="924">
        <f t="shared" si="12"/>
        <v>821</v>
      </c>
      <c r="B821" s="924">
        <v>1.2</v>
      </c>
    </row>
    <row r="822" spans="1:2" x14ac:dyDescent="0.25">
      <c r="A822" s="924">
        <f t="shared" si="12"/>
        <v>822</v>
      </c>
      <c r="B822" s="924">
        <v>1.2</v>
      </c>
    </row>
    <row r="823" spans="1:2" x14ac:dyDescent="0.25">
      <c r="A823" s="924">
        <f t="shared" si="12"/>
        <v>823</v>
      </c>
      <c r="B823" s="924">
        <v>1.2</v>
      </c>
    </row>
    <row r="824" spans="1:2" x14ac:dyDescent="0.25">
      <c r="A824" s="924">
        <f t="shared" si="12"/>
        <v>824</v>
      </c>
      <c r="B824" s="924">
        <v>1.2</v>
      </c>
    </row>
    <row r="825" spans="1:2" x14ac:dyDescent="0.25">
      <c r="A825" s="924">
        <f t="shared" si="12"/>
        <v>825</v>
      </c>
      <c r="B825" s="924">
        <v>1.2</v>
      </c>
    </row>
    <row r="826" spans="1:2" x14ac:dyDescent="0.25">
      <c r="A826" s="924">
        <f t="shared" si="12"/>
        <v>826</v>
      </c>
      <c r="B826" s="924">
        <v>1.2</v>
      </c>
    </row>
    <row r="827" spans="1:2" x14ac:dyDescent="0.25">
      <c r="A827" s="924">
        <f t="shared" si="12"/>
        <v>827</v>
      </c>
      <c r="B827" s="924">
        <v>1.2</v>
      </c>
    </row>
    <row r="828" spans="1:2" x14ac:dyDescent="0.25">
      <c r="A828" s="924">
        <f t="shared" si="12"/>
        <v>828</v>
      </c>
      <c r="B828" s="924">
        <v>1.2</v>
      </c>
    </row>
    <row r="829" spans="1:2" x14ac:dyDescent="0.25">
      <c r="A829" s="924">
        <f t="shared" si="12"/>
        <v>829</v>
      </c>
      <c r="B829" s="924">
        <v>1.2</v>
      </c>
    </row>
    <row r="830" spans="1:2" x14ac:dyDescent="0.25">
      <c r="A830" s="924">
        <f t="shared" si="12"/>
        <v>830</v>
      </c>
      <c r="B830" s="924">
        <v>1.2</v>
      </c>
    </row>
    <row r="831" spans="1:2" x14ac:dyDescent="0.25">
      <c r="A831" s="924">
        <f t="shared" si="12"/>
        <v>831</v>
      </c>
      <c r="B831" s="924">
        <v>1.2</v>
      </c>
    </row>
    <row r="832" spans="1:2" x14ac:dyDescent="0.25">
      <c r="A832" s="924">
        <f t="shared" si="12"/>
        <v>832</v>
      </c>
      <c r="B832" s="924">
        <v>1.2</v>
      </c>
    </row>
    <row r="833" spans="1:2" x14ac:dyDescent="0.25">
      <c r="A833" s="924">
        <f t="shared" si="12"/>
        <v>833</v>
      </c>
      <c r="B833" s="924">
        <v>1.2</v>
      </c>
    </row>
    <row r="834" spans="1:2" x14ac:dyDescent="0.25">
      <c r="A834" s="924">
        <f t="shared" si="12"/>
        <v>834</v>
      </c>
      <c r="B834" s="924">
        <v>1.2</v>
      </c>
    </row>
    <row r="835" spans="1:2" x14ac:dyDescent="0.25">
      <c r="A835" s="924">
        <f t="shared" ref="A835:A898" si="13">A834+1</f>
        <v>835</v>
      </c>
      <c r="B835" s="924">
        <v>1.2</v>
      </c>
    </row>
    <row r="836" spans="1:2" x14ac:dyDescent="0.25">
      <c r="A836" s="924">
        <f t="shared" si="13"/>
        <v>836</v>
      </c>
      <c r="B836" s="924">
        <v>1.2</v>
      </c>
    </row>
    <row r="837" spans="1:2" x14ac:dyDescent="0.25">
      <c r="A837" s="924">
        <f t="shared" si="13"/>
        <v>837</v>
      </c>
      <c r="B837" s="924">
        <v>1.2</v>
      </c>
    </row>
    <row r="838" spans="1:2" x14ac:dyDescent="0.25">
      <c r="A838" s="924">
        <f t="shared" si="13"/>
        <v>838</v>
      </c>
      <c r="B838" s="924">
        <v>1.2</v>
      </c>
    </row>
    <row r="839" spans="1:2" x14ac:dyDescent="0.25">
      <c r="A839" s="924">
        <f t="shared" si="13"/>
        <v>839</v>
      </c>
      <c r="B839" s="924">
        <v>1.2</v>
      </c>
    </row>
    <row r="840" spans="1:2" x14ac:dyDescent="0.25">
      <c r="A840" s="924">
        <f t="shared" si="13"/>
        <v>840</v>
      </c>
      <c r="B840" s="924">
        <v>1.2</v>
      </c>
    </row>
    <row r="841" spans="1:2" x14ac:dyDescent="0.25">
      <c r="A841" s="924">
        <f t="shared" si="13"/>
        <v>841</v>
      </c>
      <c r="B841" s="924">
        <v>1.2</v>
      </c>
    </row>
    <row r="842" spans="1:2" x14ac:dyDescent="0.25">
      <c r="A842" s="924">
        <f t="shared" si="13"/>
        <v>842</v>
      </c>
      <c r="B842" s="924">
        <v>1.3</v>
      </c>
    </row>
    <row r="843" spans="1:2" x14ac:dyDescent="0.25">
      <c r="A843" s="924">
        <f t="shared" si="13"/>
        <v>843</v>
      </c>
      <c r="B843" s="924">
        <v>1.3</v>
      </c>
    </row>
    <row r="844" spans="1:2" x14ac:dyDescent="0.25">
      <c r="A844" s="924">
        <f t="shared" si="13"/>
        <v>844</v>
      </c>
      <c r="B844" s="924">
        <v>1.3</v>
      </c>
    </row>
    <row r="845" spans="1:2" x14ac:dyDescent="0.25">
      <c r="A845" s="924">
        <f t="shared" si="13"/>
        <v>845</v>
      </c>
      <c r="B845" s="924">
        <v>1.3</v>
      </c>
    </row>
    <row r="846" spans="1:2" x14ac:dyDescent="0.25">
      <c r="A846" s="924">
        <f t="shared" si="13"/>
        <v>846</v>
      </c>
      <c r="B846" s="924">
        <v>1.3</v>
      </c>
    </row>
    <row r="847" spans="1:2" x14ac:dyDescent="0.25">
      <c r="A847" s="924">
        <f t="shared" si="13"/>
        <v>847</v>
      </c>
      <c r="B847" s="924">
        <v>1.3</v>
      </c>
    </row>
    <row r="848" spans="1:2" x14ac:dyDescent="0.25">
      <c r="A848" s="924">
        <f t="shared" si="13"/>
        <v>848</v>
      </c>
      <c r="B848" s="924">
        <v>1.3</v>
      </c>
    </row>
    <row r="849" spans="1:2" x14ac:dyDescent="0.25">
      <c r="A849" s="924">
        <f t="shared" si="13"/>
        <v>849</v>
      </c>
      <c r="B849" s="924">
        <v>1.3</v>
      </c>
    </row>
    <row r="850" spans="1:2" x14ac:dyDescent="0.25">
      <c r="A850" s="924">
        <f t="shared" si="13"/>
        <v>850</v>
      </c>
      <c r="B850" s="924">
        <v>1.3</v>
      </c>
    </row>
    <row r="851" spans="1:2" x14ac:dyDescent="0.25">
      <c r="A851" s="924">
        <f t="shared" si="13"/>
        <v>851</v>
      </c>
      <c r="B851" s="924">
        <v>1.3</v>
      </c>
    </row>
    <row r="852" spans="1:2" x14ac:dyDescent="0.25">
      <c r="A852" s="924">
        <f t="shared" si="13"/>
        <v>852</v>
      </c>
      <c r="B852" s="924">
        <v>1.3</v>
      </c>
    </row>
    <row r="853" spans="1:2" x14ac:dyDescent="0.25">
      <c r="A853" s="924">
        <f t="shared" si="13"/>
        <v>853</v>
      </c>
      <c r="B853" s="924">
        <v>1.3</v>
      </c>
    </row>
    <row r="854" spans="1:2" x14ac:dyDescent="0.25">
      <c r="A854" s="924">
        <f t="shared" si="13"/>
        <v>854</v>
      </c>
      <c r="B854" s="924">
        <v>1.3</v>
      </c>
    </row>
    <row r="855" spans="1:2" x14ac:dyDescent="0.25">
      <c r="A855" s="924">
        <f t="shared" si="13"/>
        <v>855</v>
      </c>
      <c r="B855" s="924">
        <v>1.3</v>
      </c>
    </row>
    <row r="856" spans="1:2" x14ac:dyDescent="0.25">
      <c r="A856" s="924">
        <f t="shared" si="13"/>
        <v>856</v>
      </c>
      <c r="B856" s="924">
        <v>1.3</v>
      </c>
    </row>
    <row r="857" spans="1:2" x14ac:dyDescent="0.25">
      <c r="A857" s="924">
        <f t="shared" si="13"/>
        <v>857</v>
      </c>
      <c r="B857" s="924">
        <v>1.3</v>
      </c>
    </row>
    <row r="858" spans="1:2" x14ac:dyDescent="0.25">
      <c r="A858" s="924">
        <f t="shared" si="13"/>
        <v>858</v>
      </c>
      <c r="B858" s="924">
        <v>1.3</v>
      </c>
    </row>
    <row r="859" spans="1:2" x14ac:dyDescent="0.25">
      <c r="A859" s="924">
        <f t="shared" si="13"/>
        <v>859</v>
      </c>
      <c r="B859" s="924">
        <v>1.3</v>
      </c>
    </row>
    <row r="860" spans="1:2" x14ac:dyDescent="0.25">
      <c r="A860" s="924">
        <f t="shared" si="13"/>
        <v>860</v>
      </c>
      <c r="B860" s="924">
        <v>1.3</v>
      </c>
    </row>
    <row r="861" spans="1:2" x14ac:dyDescent="0.25">
      <c r="A861" s="924">
        <f t="shared" si="13"/>
        <v>861</v>
      </c>
      <c r="B861" s="924">
        <v>1.3</v>
      </c>
    </row>
    <row r="862" spans="1:2" x14ac:dyDescent="0.25">
      <c r="A862" s="924">
        <f t="shared" si="13"/>
        <v>862</v>
      </c>
      <c r="B862" s="924">
        <v>1.3</v>
      </c>
    </row>
    <row r="863" spans="1:2" x14ac:dyDescent="0.25">
      <c r="A863" s="924">
        <f t="shared" si="13"/>
        <v>863</v>
      </c>
      <c r="B863" s="924">
        <v>1.3</v>
      </c>
    </row>
    <row r="864" spans="1:2" x14ac:dyDescent="0.25">
      <c r="A864" s="924">
        <f t="shared" si="13"/>
        <v>864</v>
      </c>
      <c r="B864" s="924">
        <v>1.3</v>
      </c>
    </row>
    <row r="865" spans="1:2" x14ac:dyDescent="0.25">
      <c r="A865" s="924">
        <f t="shared" si="13"/>
        <v>865</v>
      </c>
      <c r="B865" s="924">
        <v>1.3</v>
      </c>
    </row>
    <row r="866" spans="1:2" x14ac:dyDescent="0.25">
      <c r="A866" s="924">
        <f t="shared" si="13"/>
        <v>866</v>
      </c>
      <c r="B866" s="924">
        <v>1.3</v>
      </c>
    </row>
    <row r="867" spans="1:2" x14ac:dyDescent="0.25">
      <c r="A867" s="924">
        <f t="shared" si="13"/>
        <v>867</v>
      </c>
      <c r="B867" s="924">
        <v>1.3</v>
      </c>
    </row>
    <row r="868" spans="1:2" x14ac:dyDescent="0.25">
      <c r="A868" s="924">
        <f t="shared" si="13"/>
        <v>868</v>
      </c>
      <c r="B868" s="924">
        <v>1.3</v>
      </c>
    </row>
    <row r="869" spans="1:2" x14ac:dyDescent="0.25">
      <c r="A869" s="924">
        <f t="shared" si="13"/>
        <v>869</v>
      </c>
      <c r="B869" s="924">
        <v>1.3</v>
      </c>
    </row>
    <row r="870" spans="1:2" x14ac:dyDescent="0.25">
      <c r="A870" s="924">
        <f t="shared" si="13"/>
        <v>870</v>
      </c>
      <c r="B870" s="924">
        <v>1.3</v>
      </c>
    </row>
    <row r="871" spans="1:2" x14ac:dyDescent="0.25">
      <c r="A871" s="924">
        <f t="shared" si="13"/>
        <v>871</v>
      </c>
      <c r="B871" s="924">
        <v>1.3</v>
      </c>
    </row>
    <row r="872" spans="1:2" x14ac:dyDescent="0.25">
      <c r="A872" s="924">
        <f t="shared" si="13"/>
        <v>872</v>
      </c>
      <c r="B872" s="924">
        <v>1.3</v>
      </c>
    </row>
    <row r="873" spans="1:2" x14ac:dyDescent="0.25">
      <c r="A873" s="924">
        <f t="shared" si="13"/>
        <v>873</v>
      </c>
      <c r="B873" s="924">
        <v>1.4</v>
      </c>
    </row>
    <row r="874" spans="1:2" x14ac:dyDescent="0.25">
      <c r="A874" s="924">
        <f t="shared" si="13"/>
        <v>874</v>
      </c>
      <c r="B874" s="924">
        <v>1.4</v>
      </c>
    </row>
    <row r="875" spans="1:2" x14ac:dyDescent="0.25">
      <c r="A875" s="924">
        <f t="shared" si="13"/>
        <v>875</v>
      </c>
      <c r="B875" s="924">
        <v>1.4</v>
      </c>
    </row>
    <row r="876" spans="1:2" x14ac:dyDescent="0.25">
      <c r="A876" s="924">
        <f t="shared" si="13"/>
        <v>876</v>
      </c>
      <c r="B876" s="924">
        <v>1.4</v>
      </c>
    </row>
    <row r="877" spans="1:2" x14ac:dyDescent="0.25">
      <c r="A877" s="924">
        <f t="shared" si="13"/>
        <v>877</v>
      </c>
      <c r="B877" s="924">
        <v>1.4</v>
      </c>
    </row>
    <row r="878" spans="1:2" x14ac:dyDescent="0.25">
      <c r="A878" s="924">
        <f t="shared" si="13"/>
        <v>878</v>
      </c>
      <c r="B878" s="924">
        <v>1.4</v>
      </c>
    </row>
    <row r="879" spans="1:2" x14ac:dyDescent="0.25">
      <c r="A879" s="924">
        <f t="shared" si="13"/>
        <v>879</v>
      </c>
      <c r="B879" s="924">
        <v>1.4</v>
      </c>
    </row>
    <row r="880" spans="1:2" x14ac:dyDescent="0.25">
      <c r="A880" s="924">
        <f t="shared" si="13"/>
        <v>880</v>
      </c>
      <c r="B880" s="924">
        <v>1.4</v>
      </c>
    </row>
    <row r="881" spans="1:2" x14ac:dyDescent="0.25">
      <c r="A881" s="924">
        <f t="shared" si="13"/>
        <v>881</v>
      </c>
      <c r="B881" s="924">
        <v>1.4</v>
      </c>
    </row>
    <row r="882" spans="1:2" x14ac:dyDescent="0.25">
      <c r="A882" s="924">
        <f t="shared" si="13"/>
        <v>882</v>
      </c>
      <c r="B882" s="924">
        <v>1.4</v>
      </c>
    </row>
    <row r="883" spans="1:2" x14ac:dyDescent="0.25">
      <c r="A883" s="924">
        <f t="shared" si="13"/>
        <v>883</v>
      </c>
      <c r="B883" s="924">
        <v>1.4</v>
      </c>
    </row>
    <row r="884" spans="1:2" x14ac:dyDescent="0.25">
      <c r="A884" s="924">
        <f t="shared" si="13"/>
        <v>884</v>
      </c>
      <c r="B884" s="924">
        <v>1.4</v>
      </c>
    </row>
    <row r="885" spans="1:2" x14ac:dyDescent="0.25">
      <c r="A885" s="924">
        <f t="shared" si="13"/>
        <v>885</v>
      </c>
      <c r="B885" s="924">
        <v>1.4</v>
      </c>
    </row>
    <row r="886" spans="1:2" x14ac:dyDescent="0.25">
      <c r="A886" s="924">
        <f t="shared" si="13"/>
        <v>886</v>
      </c>
      <c r="B886" s="924">
        <v>1.4</v>
      </c>
    </row>
    <row r="887" spans="1:2" x14ac:dyDescent="0.25">
      <c r="A887" s="924">
        <f t="shared" si="13"/>
        <v>887</v>
      </c>
      <c r="B887" s="924">
        <v>1.4</v>
      </c>
    </row>
    <row r="888" spans="1:2" x14ac:dyDescent="0.25">
      <c r="A888" s="924">
        <f t="shared" si="13"/>
        <v>888</v>
      </c>
      <c r="B888" s="924">
        <v>1.4</v>
      </c>
    </row>
    <row r="889" spans="1:2" x14ac:dyDescent="0.25">
      <c r="A889" s="924">
        <f t="shared" si="13"/>
        <v>889</v>
      </c>
      <c r="B889" s="924">
        <v>1.4</v>
      </c>
    </row>
    <row r="890" spans="1:2" x14ac:dyDescent="0.25">
      <c r="A890" s="924">
        <f t="shared" si="13"/>
        <v>890</v>
      </c>
      <c r="B890" s="924">
        <v>1.4</v>
      </c>
    </row>
    <row r="891" spans="1:2" x14ac:dyDescent="0.25">
      <c r="A891" s="924">
        <f t="shared" si="13"/>
        <v>891</v>
      </c>
      <c r="B891" s="924">
        <v>1.4</v>
      </c>
    </row>
    <row r="892" spans="1:2" x14ac:dyDescent="0.25">
      <c r="A892" s="924">
        <f t="shared" si="13"/>
        <v>892</v>
      </c>
      <c r="B892" s="924">
        <v>1.4</v>
      </c>
    </row>
    <row r="893" spans="1:2" x14ac:dyDescent="0.25">
      <c r="A893" s="924">
        <f t="shared" si="13"/>
        <v>893</v>
      </c>
      <c r="B893" s="924">
        <v>1.4</v>
      </c>
    </row>
    <row r="894" spans="1:2" x14ac:dyDescent="0.25">
      <c r="A894" s="924">
        <f t="shared" si="13"/>
        <v>894</v>
      </c>
      <c r="B894" s="924">
        <v>1.4</v>
      </c>
    </row>
    <row r="895" spans="1:2" x14ac:dyDescent="0.25">
      <c r="A895" s="924">
        <f t="shared" si="13"/>
        <v>895</v>
      </c>
      <c r="B895" s="924">
        <v>1.4</v>
      </c>
    </row>
    <row r="896" spans="1:2" x14ac:dyDescent="0.25">
      <c r="A896" s="924">
        <f t="shared" si="13"/>
        <v>896</v>
      </c>
      <c r="B896" s="924">
        <v>1.4</v>
      </c>
    </row>
    <row r="897" spans="1:2" x14ac:dyDescent="0.25">
      <c r="A897" s="924">
        <f t="shared" si="13"/>
        <v>897</v>
      </c>
      <c r="B897" s="924">
        <v>1.4</v>
      </c>
    </row>
    <row r="898" spans="1:2" x14ac:dyDescent="0.25">
      <c r="A898" s="924">
        <f t="shared" si="13"/>
        <v>898</v>
      </c>
      <c r="B898" s="924">
        <v>1.4</v>
      </c>
    </row>
    <row r="899" spans="1:2" x14ac:dyDescent="0.25">
      <c r="A899" s="924">
        <f t="shared" ref="A899:A962" si="14">A898+1</f>
        <v>899</v>
      </c>
      <c r="B899" s="924">
        <v>1.4</v>
      </c>
    </row>
    <row r="900" spans="1:2" x14ac:dyDescent="0.25">
      <c r="A900" s="924">
        <f t="shared" si="14"/>
        <v>900</v>
      </c>
      <c r="B900" s="924">
        <v>1.5</v>
      </c>
    </row>
    <row r="901" spans="1:2" x14ac:dyDescent="0.25">
      <c r="A901" s="924">
        <f t="shared" si="14"/>
        <v>901</v>
      </c>
      <c r="B901" s="924">
        <v>1.5</v>
      </c>
    </row>
    <row r="902" spans="1:2" x14ac:dyDescent="0.25">
      <c r="A902" s="924">
        <f t="shared" si="14"/>
        <v>902</v>
      </c>
      <c r="B902" s="924">
        <v>1.5</v>
      </c>
    </row>
    <row r="903" spans="1:2" x14ac:dyDescent="0.25">
      <c r="A903" s="924">
        <f t="shared" si="14"/>
        <v>903</v>
      </c>
      <c r="B903" s="924">
        <v>1.5</v>
      </c>
    </row>
    <row r="904" spans="1:2" x14ac:dyDescent="0.25">
      <c r="A904" s="924">
        <f t="shared" si="14"/>
        <v>904</v>
      </c>
      <c r="B904" s="924">
        <v>1.5</v>
      </c>
    </row>
    <row r="905" spans="1:2" x14ac:dyDescent="0.25">
      <c r="A905" s="924">
        <f t="shared" si="14"/>
        <v>905</v>
      </c>
      <c r="B905" s="924">
        <v>1.5</v>
      </c>
    </row>
    <row r="906" spans="1:2" x14ac:dyDescent="0.25">
      <c r="A906" s="924">
        <f t="shared" si="14"/>
        <v>906</v>
      </c>
      <c r="B906" s="924">
        <v>1.5</v>
      </c>
    </row>
    <row r="907" spans="1:2" x14ac:dyDescent="0.25">
      <c r="A907" s="924">
        <f t="shared" si="14"/>
        <v>907</v>
      </c>
      <c r="B907" s="924">
        <v>1.5</v>
      </c>
    </row>
    <row r="908" spans="1:2" x14ac:dyDescent="0.25">
      <c r="A908" s="924">
        <f t="shared" si="14"/>
        <v>908</v>
      </c>
      <c r="B908" s="924">
        <v>1.5</v>
      </c>
    </row>
    <row r="909" spans="1:2" x14ac:dyDescent="0.25">
      <c r="A909" s="924">
        <f t="shared" si="14"/>
        <v>909</v>
      </c>
      <c r="B909" s="924">
        <v>1.5</v>
      </c>
    </row>
    <row r="910" spans="1:2" x14ac:dyDescent="0.25">
      <c r="A910" s="924">
        <f t="shared" si="14"/>
        <v>910</v>
      </c>
      <c r="B910" s="924">
        <v>1.5</v>
      </c>
    </row>
    <row r="911" spans="1:2" x14ac:dyDescent="0.25">
      <c r="A911" s="924">
        <f t="shared" si="14"/>
        <v>911</v>
      </c>
      <c r="B911" s="924">
        <v>1.5</v>
      </c>
    </row>
    <row r="912" spans="1:2" x14ac:dyDescent="0.25">
      <c r="A912" s="924">
        <f t="shared" si="14"/>
        <v>912</v>
      </c>
      <c r="B912" s="924">
        <v>1.5</v>
      </c>
    </row>
    <row r="913" spans="1:2" x14ac:dyDescent="0.25">
      <c r="A913" s="924">
        <f t="shared" si="14"/>
        <v>913</v>
      </c>
      <c r="B913" s="924">
        <v>1.5</v>
      </c>
    </row>
    <row r="914" spans="1:2" x14ac:dyDescent="0.25">
      <c r="A914" s="924">
        <f t="shared" si="14"/>
        <v>914</v>
      </c>
      <c r="B914" s="924">
        <v>1.5</v>
      </c>
    </row>
    <row r="915" spans="1:2" x14ac:dyDescent="0.25">
      <c r="A915" s="924">
        <f t="shared" si="14"/>
        <v>915</v>
      </c>
      <c r="B915" s="924">
        <v>1.5</v>
      </c>
    </row>
    <row r="916" spans="1:2" x14ac:dyDescent="0.25">
      <c r="A916" s="924">
        <f t="shared" si="14"/>
        <v>916</v>
      </c>
      <c r="B916" s="924">
        <v>1.5</v>
      </c>
    </row>
    <row r="917" spans="1:2" x14ac:dyDescent="0.25">
      <c r="A917" s="924">
        <f t="shared" si="14"/>
        <v>917</v>
      </c>
      <c r="B917" s="924">
        <v>1.5</v>
      </c>
    </row>
    <row r="918" spans="1:2" x14ac:dyDescent="0.25">
      <c r="A918" s="924">
        <f t="shared" si="14"/>
        <v>918</v>
      </c>
      <c r="B918" s="924">
        <v>1.5</v>
      </c>
    </row>
    <row r="919" spans="1:2" x14ac:dyDescent="0.25">
      <c r="A919" s="924">
        <f t="shared" si="14"/>
        <v>919</v>
      </c>
      <c r="B919" s="924">
        <v>1.5</v>
      </c>
    </row>
    <row r="920" spans="1:2" x14ac:dyDescent="0.25">
      <c r="A920" s="924">
        <f t="shared" si="14"/>
        <v>920</v>
      </c>
      <c r="B920" s="924">
        <v>1.5</v>
      </c>
    </row>
    <row r="921" spans="1:2" x14ac:dyDescent="0.25">
      <c r="A921" s="924">
        <f t="shared" si="14"/>
        <v>921</v>
      </c>
      <c r="B921" s="924">
        <v>1.5</v>
      </c>
    </row>
    <row r="922" spans="1:2" x14ac:dyDescent="0.25">
      <c r="A922" s="924">
        <f t="shared" si="14"/>
        <v>922</v>
      </c>
      <c r="B922" s="924">
        <v>1.5</v>
      </c>
    </row>
    <row r="923" spans="1:2" x14ac:dyDescent="0.25">
      <c r="A923" s="924">
        <f t="shared" si="14"/>
        <v>923</v>
      </c>
      <c r="B923" s="924">
        <v>1.5</v>
      </c>
    </row>
    <row r="924" spans="1:2" x14ac:dyDescent="0.25">
      <c r="A924" s="924">
        <f t="shared" si="14"/>
        <v>924</v>
      </c>
      <c r="B924" s="924">
        <v>1.5</v>
      </c>
    </row>
    <row r="925" spans="1:2" x14ac:dyDescent="0.25">
      <c r="A925" s="924">
        <f t="shared" si="14"/>
        <v>925</v>
      </c>
      <c r="B925" s="924">
        <v>1.5</v>
      </c>
    </row>
    <row r="926" spans="1:2" x14ac:dyDescent="0.25">
      <c r="A926" s="924">
        <f t="shared" si="14"/>
        <v>926</v>
      </c>
      <c r="B926" s="924">
        <v>1.5</v>
      </c>
    </row>
    <row r="927" spans="1:2" x14ac:dyDescent="0.25">
      <c r="A927" s="924">
        <f t="shared" si="14"/>
        <v>927</v>
      </c>
      <c r="B927" s="924">
        <v>1.5</v>
      </c>
    </row>
    <row r="928" spans="1:2" x14ac:dyDescent="0.25">
      <c r="A928" s="924">
        <f t="shared" si="14"/>
        <v>928</v>
      </c>
      <c r="B928" s="924">
        <v>1.5</v>
      </c>
    </row>
    <row r="929" spans="1:2" x14ac:dyDescent="0.25">
      <c r="A929" s="924">
        <f t="shared" si="14"/>
        <v>929</v>
      </c>
      <c r="B929" s="924">
        <v>1.5</v>
      </c>
    </row>
    <row r="930" spans="1:2" x14ac:dyDescent="0.25">
      <c r="A930" s="924">
        <f t="shared" si="14"/>
        <v>930</v>
      </c>
      <c r="B930" s="924">
        <v>1.5</v>
      </c>
    </row>
    <row r="931" spans="1:2" x14ac:dyDescent="0.25">
      <c r="A931" s="924">
        <f t="shared" si="14"/>
        <v>931</v>
      </c>
      <c r="B931" s="924">
        <v>1.5</v>
      </c>
    </row>
    <row r="932" spans="1:2" x14ac:dyDescent="0.25">
      <c r="A932" s="924">
        <f t="shared" si="14"/>
        <v>932</v>
      </c>
      <c r="B932" s="924">
        <v>1.5</v>
      </c>
    </row>
    <row r="933" spans="1:2" x14ac:dyDescent="0.25">
      <c r="A933" s="924">
        <f t="shared" si="14"/>
        <v>933</v>
      </c>
      <c r="B933" s="924">
        <v>1.5</v>
      </c>
    </row>
    <row r="934" spans="1:2" x14ac:dyDescent="0.25">
      <c r="A934" s="924">
        <f t="shared" si="14"/>
        <v>934</v>
      </c>
      <c r="B934" s="924">
        <v>1.5</v>
      </c>
    </row>
    <row r="935" spans="1:2" x14ac:dyDescent="0.25">
      <c r="A935" s="924">
        <f t="shared" si="14"/>
        <v>935</v>
      </c>
      <c r="B935" s="924">
        <v>1.5</v>
      </c>
    </row>
    <row r="936" spans="1:2" x14ac:dyDescent="0.25">
      <c r="A936" s="924">
        <f t="shared" si="14"/>
        <v>936</v>
      </c>
      <c r="B936" s="924">
        <v>1.5</v>
      </c>
    </row>
    <row r="937" spans="1:2" x14ac:dyDescent="0.25">
      <c r="A937" s="924">
        <f t="shared" si="14"/>
        <v>937</v>
      </c>
      <c r="B937" s="924">
        <v>1.5</v>
      </c>
    </row>
    <row r="938" spans="1:2" x14ac:dyDescent="0.25">
      <c r="A938" s="924">
        <f t="shared" si="14"/>
        <v>938</v>
      </c>
      <c r="B938" s="924">
        <v>1.5</v>
      </c>
    </row>
    <row r="939" spans="1:2" x14ac:dyDescent="0.25">
      <c r="A939" s="924">
        <f t="shared" si="14"/>
        <v>939</v>
      </c>
      <c r="B939" s="924">
        <v>1.5</v>
      </c>
    </row>
    <row r="940" spans="1:2" x14ac:dyDescent="0.25">
      <c r="A940" s="924">
        <f t="shared" si="14"/>
        <v>940</v>
      </c>
      <c r="B940" s="924">
        <v>1.5</v>
      </c>
    </row>
    <row r="941" spans="1:2" x14ac:dyDescent="0.25">
      <c r="A941" s="924">
        <f t="shared" si="14"/>
        <v>941</v>
      </c>
      <c r="B941" s="924">
        <v>1.5</v>
      </c>
    </row>
    <row r="942" spans="1:2" x14ac:dyDescent="0.25">
      <c r="A942" s="924">
        <f t="shared" si="14"/>
        <v>942</v>
      </c>
      <c r="B942" s="924">
        <v>1.5</v>
      </c>
    </row>
    <row r="943" spans="1:2" x14ac:dyDescent="0.25">
      <c r="A943" s="924">
        <f t="shared" si="14"/>
        <v>943</v>
      </c>
      <c r="B943" s="924">
        <v>1.5</v>
      </c>
    </row>
    <row r="944" spans="1:2" x14ac:dyDescent="0.25">
      <c r="A944" s="924">
        <f t="shared" si="14"/>
        <v>944</v>
      </c>
      <c r="B944" s="924">
        <v>1.5</v>
      </c>
    </row>
    <row r="945" spans="1:2" x14ac:dyDescent="0.25">
      <c r="A945" s="924">
        <f t="shared" si="14"/>
        <v>945</v>
      </c>
      <c r="B945" s="924">
        <v>1.6</v>
      </c>
    </row>
    <row r="946" spans="1:2" x14ac:dyDescent="0.25">
      <c r="A946" s="924">
        <f t="shared" si="14"/>
        <v>946</v>
      </c>
      <c r="B946" s="924">
        <v>1.6</v>
      </c>
    </row>
    <row r="947" spans="1:2" x14ac:dyDescent="0.25">
      <c r="A947" s="924">
        <f t="shared" si="14"/>
        <v>947</v>
      </c>
      <c r="B947" s="924">
        <v>1.6</v>
      </c>
    </row>
    <row r="948" spans="1:2" x14ac:dyDescent="0.25">
      <c r="A948" s="924">
        <f t="shared" si="14"/>
        <v>948</v>
      </c>
      <c r="B948" s="924">
        <v>1.6</v>
      </c>
    </row>
    <row r="949" spans="1:2" x14ac:dyDescent="0.25">
      <c r="A949" s="924">
        <f t="shared" si="14"/>
        <v>949</v>
      </c>
      <c r="B949" s="924">
        <v>1.6</v>
      </c>
    </row>
    <row r="950" spans="1:2" x14ac:dyDescent="0.25">
      <c r="A950" s="924">
        <f t="shared" si="14"/>
        <v>950</v>
      </c>
      <c r="B950" s="924">
        <v>1.6</v>
      </c>
    </row>
    <row r="951" spans="1:2" x14ac:dyDescent="0.25">
      <c r="A951" s="924">
        <f t="shared" si="14"/>
        <v>951</v>
      </c>
      <c r="B951" s="924">
        <v>1.6</v>
      </c>
    </row>
    <row r="952" spans="1:2" x14ac:dyDescent="0.25">
      <c r="A952" s="924">
        <f t="shared" si="14"/>
        <v>952</v>
      </c>
      <c r="B952" s="924">
        <v>1.6</v>
      </c>
    </row>
    <row r="953" spans="1:2" x14ac:dyDescent="0.25">
      <c r="A953" s="924">
        <f t="shared" si="14"/>
        <v>953</v>
      </c>
      <c r="B953" s="924">
        <v>1.6</v>
      </c>
    </row>
    <row r="954" spans="1:2" x14ac:dyDescent="0.25">
      <c r="A954" s="924">
        <f t="shared" si="14"/>
        <v>954</v>
      </c>
      <c r="B954" s="924">
        <v>1.6</v>
      </c>
    </row>
    <row r="955" spans="1:2" x14ac:dyDescent="0.25">
      <c r="A955" s="924">
        <f t="shared" si="14"/>
        <v>955</v>
      </c>
      <c r="B955" s="924">
        <v>1.6</v>
      </c>
    </row>
    <row r="956" spans="1:2" x14ac:dyDescent="0.25">
      <c r="A956" s="924">
        <f t="shared" si="14"/>
        <v>956</v>
      </c>
      <c r="B956" s="924">
        <v>1.6</v>
      </c>
    </row>
    <row r="957" spans="1:2" x14ac:dyDescent="0.25">
      <c r="A957" s="924">
        <f t="shared" si="14"/>
        <v>957</v>
      </c>
      <c r="B957" s="924">
        <v>1.6</v>
      </c>
    </row>
    <row r="958" spans="1:2" x14ac:dyDescent="0.25">
      <c r="A958" s="924">
        <f t="shared" si="14"/>
        <v>958</v>
      </c>
      <c r="B958" s="924">
        <v>1.6</v>
      </c>
    </row>
    <row r="959" spans="1:2" x14ac:dyDescent="0.25">
      <c r="A959" s="924">
        <f t="shared" si="14"/>
        <v>959</v>
      </c>
      <c r="B959" s="924">
        <v>1.6</v>
      </c>
    </row>
    <row r="960" spans="1:2" x14ac:dyDescent="0.25">
      <c r="A960" s="924">
        <f t="shared" si="14"/>
        <v>960</v>
      </c>
      <c r="B960" s="924">
        <v>1.6</v>
      </c>
    </row>
    <row r="961" spans="1:2" x14ac:dyDescent="0.25">
      <c r="A961" s="924">
        <f t="shared" si="14"/>
        <v>961</v>
      </c>
      <c r="B961" s="924">
        <v>1.6</v>
      </c>
    </row>
    <row r="962" spans="1:2" x14ac:dyDescent="0.25">
      <c r="A962" s="924">
        <f t="shared" si="14"/>
        <v>962</v>
      </c>
      <c r="B962" s="924">
        <v>1.6</v>
      </c>
    </row>
    <row r="963" spans="1:2" x14ac:dyDescent="0.25">
      <c r="A963" s="924">
        <f t="shared" ref="A963:A1026" si="15">A962+1</f>
        <v>963</v>
      </c>
      <c r="B963" s="924">
        <v>1.6</v>
      </c>
    </row>
    <row r="964" spans="1:2" x14ac:dyDescent="0.25">
      <c r="A964" s="924">
        <f t="shared" si="15"/>
        <v>964</v>
      </c>
      <c r="B964" s="924">
        <v>1.6</v>
      </c>
    </row>
    <row r="965" spans="1:2" x14ac:dyDescent="0.25">
      <c r="A965" s="924">
        <f t="shared" si="15"/>
        <v>965</v>
      </c>
      <c r="B965" s="924">
        <v>1.6</v>
      </c>
    </row>
    <row r="966" spans="1:2" x14ac:dyDescent="0.25">
      <c r="A966" s="924">
        <f t="shared" si="15"/>
        <v>966</v>
      </c>
      <c r="B966" s="924">
        <v>1.6</v>
      </c>
    </row>
    <row r="967" spans="1:2" x14ac:dyDescent="0.25">
      <c r="A967" s="924">
        <f t="shared" si="15"/>
        <v>967</v>
      </c>
      <c r="B967" s="924">
        <v>1.6</v>
      </c>
    </row>
    <row r="968" spans="1:2" x14ac:dyDescent="0.25">
      <c r="A968" s="924">
        <f t="shared" si="15"/>
        <v>968</v>
      </c>
      <c r="B968" s="924">
        <v>1.6</v>
      </c>
    </row>
    <row r="969" spans="1:2" x14ac:dyDescent="0.25">
      <c r="A969" s="924">
        <f t="shared" si="15"/>
        <v>969</v>
      </c>
      <c r="B969" s="924">
        <v>1.6</v>
      </c>
    </row>
    <row r="970" spans="1:2" x14ac:dyDescent="0.25">
      <c r="A970" s="924">
        <f t="shared" si="15"/>
        <v>970</v>
      </c>
      <c r="B970" s="924">
        <v>1.6</v>
      </c>
    </row>
    <row r="971" spans="1:2" x14ac:dyDescent="0.25">
      <c r="A971" s="924">
        <f t="shared" si="15"/>
        <v>971</v>
      </c>
      <c r="B971" s="924">
        <v>1.6</v>
      </c>
    </row>
    <row r="972" spans="1:2" x14ac:dyDescent="0.25">
      <c r="A972" s="924">
        <f t="shared" si="15"/>
        <v>972</v>
      </c>
      <c r="B972" s="924">
        <v>1.6</v>
      </c>
    </row>
    <row r="973" spans="1:2" x14ac:dyDescent="0.25">
      <c r="A973" s="924">
        <f t="shared" si="15"/>
        <v>973</v>
      </c>
      <c r="B973" s="924">
        <v>1.6</v>
      </c>
    </row>
    <row r="974" spans="1:2" x14ac:dyDescent="0.25">
      <c r="A974" s="924">
        <f t="shared" si="15"/>
        <v>974</v>
      </c>
      <c r="B974" s="924">
        <v>1.6</v>
      </c>
    </row>
    <row r="975" spans="1:2" x14ac:dyDescent="0.25">
      <c r="A975" s="924">
        <f t="shared" si="15"/>
        <v>975</v>
      </c>
      <c r="B975" s="924">
        <v>1.6</v>
      </c>
    </row>
    <row r="976" spans="1:2" x14ac:dyDescent="0.25">
      <c r="A976" s="924">
        <f t="shared" si="15"/>
        <v>976</v>
      </c>
      <c r="B976" s="924">
        <v>1.6</v>
      </c>
    </row>
    <row r="977" spans="1:2" x14ac:dyDescent="0.25">
      <c r="A977" s="924">
        <f t="shared" si="15"/>
        <v>977</v>
      </c>
      <c r="B977" s="924">
        <v>1.6</v>
      </c>
    </row>
    <row r="978" spans="1:2" x14ac:dyDescent="0.25">
      <c r="A978" s="924">
        <f t="shared" si="15"/>
        <v>978</v>
      </c>
      <c r="B978" s="924">
        <v>1.6</v>
      </c>
    </row>
    <row r="979" spans="1:2" x14ac:dyDescent="0.25">
      <c r="A979" s="924">
        <f t="shared" si="15"/>
        <v>979</v>
      </c>
      <c r="B979" s="924">
        <v>1.6</v>
      </c>
    </row>
    <row r="980" spans="1:2" x14ac:dyDescent="0.25">
      <c r="A980" s="924">
        <f t="shared" si="15"/>
        <v>980</v>
      </c>
      <c r="B980" s="924">
        <v>1.6</v>
      </c>
    </row>
    <row r="981" spans="1:2" x14ac:dyDescent="0.25">
      <c r="A981" s="924">
        <f t="shared" si="15"/>
        <v>981</v>
      </c>
      <c r="B981" s="924">
        <v>1.6</v>
      </c>
    </row>
    <row r="982" spans="1:2" x14ac:dyDescent="0.25">
      <c r="A982" s="924">
        <f t="shared" si="15"/>
        <v>982</v>
      </c>
      <c r="B982" s="924">
        <v>1.7</v>
      </c>
    </row>
    <row r="983" spans="1:2" x14ac:dyDescent="0.25">
      <c r="A983" s="924">
        <f t="shared" si="15"/>
        <v>983</v>
      </c>
      <c r="B983" s="924">
        <v>1.7</v>
      </c>
    </row>
    <row r="984" spans="1:2" x14ac:dyDescent="0.25">
      <c r="A984" s="924">
        <f t="shared" si="15"/>
        <v>984</v>
      </c>
      <c r="B984" s="924">
        <v>1.7</v>
      </c>
    </row>
    <row r="985" spans="1:2" x14ac:dyDescent="0.25">
      <c r="A985" s="924">
        <f t="shared" si="15"/>
        <v>985</v>
      </c>
      <c r="B985" s="924">
        <v>1.7</v>
      </c>
    </row>
    <row r="986" spans="1:2" x14ac:dyDescent="0.25">
      <c r="A986" s="924">
        <f t="shared" si="15"/>
        <v>986</v>
      </c>
      <c r="B986" s="924">
        <v>1.7</v>
      </c>
    </row>
    <row r="987" spans="1:2" x14ac:dyDescent="0.25">
      <c r="A987" s="924">
        <f t="shared" si="15"/>
        <v>987</v>
      </c>
      <c r="B987" s="924">
        <v>1.7</v>
      </c>
    </row>
    <row r="988" spans="1:2" x14ac:dyDescent="0.25">
      <c r="A988" s="924">
        <f t="shared" si="15"/>
        <v>988</v>
      </c>
      <c r="B988" s="924">
        <v>1.7</v>
      </c>
    </row>
    <row r="989" spans="1:2" x14ac:dyDescent="0.25">
      <c r="A989" s="924">
        <f t="shared" si="15"/>
        <v>989</v>
      </c>
      <c r="B989" s="924">
        <v>1.7</v>
      </c>
    </row>
    <row r="990" spans="1:2" x14ac:dyDescent="0.25">
      <c r="A990" s="924">
        <f t="shared" si="15"/>
        <v>990</v>
      </c>
      <c r="B990" s="924">
        <v>1.7</v>
      </c>
    </row>
    <row r="991" spans="1:2" x14ac:dyDescent="0.25">
      <c r="A991" s="924">
        <f t="shared" si="15"/>
        <v>991</v>
      </c>
      <c r="B991" s="924">
        <v>1.7</v>
      </c>
    </row>
    <row r="992" spans="1:2" x14ac:dyDescent="0.25">
      <c r="A992" s="924">
        <f t="shared" si="15"/>
        <v>992</v>
      </c>
      <c r="B992" s="924">
        <v>1.7</v>
      </c>
    </row>
    <row r="993" spans="1:2" x14ac:dyDescent="0.25">
      <c r="A993" s="924">
        <f t="shared" si="15"/>
        <v>993</v>
      </c>
      <c r="B993" s="924">
        <v>1.7</v>
      </c>
    </row>
    <row r="994" spans="1:2" x14ac:dyDescent="0.25">
      <c r="A994" s="924">
        <f t="shared" si="15"/>
        <v>994</v>
      </c>
      <c r="B994" s="924">
        <v>1.7</v>
      </c>
    </row>
    <row r="995" spans="1:2" x14ac:dyDescent="0.25">
      <c r="A995" s="924">
        <f t="shared" si="15"/>
        <v>995</v>
      </c>
      <c r="B995" s="924">
        <v>1.7</v>
      </c>
    </row>
    <row r="996" spans="1:2" x14ac:dyDescent="0.25">
      <c r="A996" s="924">
        <f t="shared" si="15"/>
        <v>996</v>
      </c>
      <c r="B996" s="924">
        <v>1.7</v>
      </c>
    </row>
    <row r="997" spans="1:2" x14ac:dyDescent="0.25">
      <c r="A997" s="924">
        <f t="shared" si="15"/>
        <v>997</v>
      </c>
      <c r="B997" s="924">
        <v>1.7</v>
      </c>
    </row>
    <row r="998" spans="1:2" x14ac:dyDescent="0.25">
      <c r="A998" s="924">
        <f t="shared" si="15"/>
        <v>998</v>
      </c>
      <c r="B998" s="924">
        <v>1.7</v>
      </c>
    </row>
    <row r="999" spans="1:2" x14ac:dyDescent="0.25">
      <c r="A999" s="924">
        <f t="shared" si="15"/>
        <v>999</v>
      </c>
      <c r="B999" s="924">
        <v>1.7</v>
      </c>
    </row>
    <row r="1000" spans="1:2" x14ac:dyDescent="0.25">
      <c r="A1000" s="924">
        <f t="shared" si="15"/>
        <v>1000</v>
      </c>
      <c r="B1000" s="924">
        <v>1.7</v>
      </c>
    </row>
    <row r="1001" spans="1:2" x14ac:dyDescent="0.25">
      <c r="A1001" s="924">
        <f t="shared" si="15"/>
        <v>1001</v>
      </c>
      <c r="B1001" s="924">
        <v>1.7</v>
      </c>
    </row>
    <row r="1002" spans="1:2" x14ac:dyDescent="0.25">
      <c r="A1002" s="924">
        <f t="shared" si="15"/>
        <v>1002</v>
      </c>
      <c r="B1002" s="924">
        <v>1.7</v>
      </c>
    </row>
    <row r="1003" spans="1:2" x14ac:dyDescent="0.25">
      <c r="A1003" s="924">
        <f t="shared" si="15"/>
        <v>1003</v>
      </c>
      <c r="B1003" s="924">
        <v>1.7</v>
      </c>
    </row>
    <row r="1004" spans="1:2" x14ac:dyDescent="0.25">
      <c r="A1004" s="924">
        <f t="shared" si="15"/>
        <v>1004</v>
      </c>
      <c r="B1004" s="924">
        <v>1.7</v>
      </c>
    </row>
    <row r="1005" spans="1:2" x14ac:dyDescent="0.25">
      <c r="A1005" s="924">
        <f t="shared" si="15"/>
        <v>1005</v>
      </c>
      <c r="B1005" s="924">
        <v>1.7</v>
      </c>
    </row>
    <row r="1006" spans="1:2" x14ac:dyDescent="0.25">
      <c r="A1006" s="924">
        <f t="shared" si="15"/>
        <v>1006</v>
      </c>
      <c r="B1006" s="924">
        <v>1.8</v>
      </c>
    </row>
    <row r="1007" spans="1:2" x14ac:dyDescent="0.25">
      <c r="A1007" s="924">
        <f t="shared" si="15"/>
        <v>1007</v>
      </c>
      <c r="B1007" s="924">
        <v>1.8</v>
      </c>
    </row>
    <row r="1008" spans="1:2" x14ac:dyDescent="0.25">
      <c r="A1008" s="924">
        <f t="shared" si="15"/>
        <v>1008</v>
      </c>
      <c r="B1008" s="924">
        <v>1.8</v>
      </c>
    </row>
    <row r="1009" spans="1:2" x14ac:dyDescent="0.25">
      <c r="A1009" s="924">
        <f t="shared" si="15"/>
        <v>1009</v>
      </c>
      <c r="B1009" s="924">
        <v>1.8</v>
      </c>
    </row>
    <row r="1010" spans="1:2" x14ac:dyDescent="0.25">
      <c r="A1010" s="924">
        <f t="shared" si="15"/>
        <v>1010</v>
      </c>
      <c r="B1010" s="924">
        <v>1.8</v>
      </c>
    </row>
    <row r="1011" spans="1:2" x14ac:dyDescent="0.25">
      <c r="A1011" s="924">
        <f t="shared" si="15"/>
        <v>1011</v>
      </c>
      <c r="B1011" s="924">
        <v>1.8</v>
      </c>
    </row>
    <row r="1012" spans="1:2" x14ac:dyDescent="0.25">
      <c r="A1012" s="924">
        <f t="shared" si="15"/>
        <v>1012</v>
      </c>
      <c r="B1012" s="924">
        <v>1.8</v>
      </c>
    </row>
    <row r="1013" spans="1:2" x14ac:dyDescent="0.25">
      <c r="A1013" s="924">
        <f t="shared" si="15"/>
        <v>1013</v>
      </c>
      <c r="B1013" s="924">
        <v>1.8</v>
      </c>
    </row>
    <row r="1014" spans="1:2" x14ac:dyDescent="0.25">
      <c r="A1014" s="924">
        <f t="shared" si="15"/>
        <v>1014</v>
      </c>
      <c r="B1014" s="924">
        <v>1.8</v>
      </c>
    </row>
    <row r="1015" spans="1:2" x14ac:dyDescent="0.25">
      <c r="A1015" s="924">
        <f t="shared" si="15"/>
        <v>1015</v>
      </c>
      <c r="B1015" s="924">
        <v>1.8</v>
      </c>
    </row>
    <row r="1016" spans="1:2" x14ac:dyDescent="0.25">
      <c r="A1016" s="924">
        <f t="shared" si="15"/>
        <v>1016</v>
      </c>
      <c r="B1016" s="924">
        <v>1.8</v>
      </c>
    </row>
    <row r="1017" spans="1:2" x14ac:dyDescent="0.25">
      <c r="A1017" s="924">
        <f t="shared" si="15"/>
        <v>1017</v>
      </c>
      <c r="B1017" s="924">
        <v>1.8</v>
      </c>
    </row>
    <row r="1018" spans="1:2" x14ac:dyDescent="0.25">
      <c r="A1018" s="924">
        <f t="shared" si="15"/>
        <v>1018</v>
      </c>
      <c r="B1018" s="924">
        <v>1.9</v>
      </c>
    </row>
    <row r="1019" spans="1:2" x14ac:dyDescent="0.25">
      <c r="A1019" s="924">
        <f t="shared" si="15"/>
        <v>1019</v>
      </c>
      <c r="B1019" s="924">
        <v>1.9</v>
      </c>
    </row>
    <row r="1020" spans="1:2" x14ac:dyDescent="0.25">
      <c r="A1020" s="924">
        <f t="shared" si="15"/>
        <v>1020</v>
      </c>
      <c r="B1020" s="924">
        <v>1.9</v>
      </c>
    </row>
    <row r="1021" spans="1:2" x14ac:dyDescent="0.25">
      <c r="A1021" s="924">
        <f t="shared" si="15"/>
        <v>1021</v>
      </c>
      <c r="B1021" s="924">
        <v>1.9</v>
      </c>
    </row>
    <row r="1022" spans="1:2" x14ac:dyDescent="0.25">
      <c r="A1022" s="924">
        <f t="shared" si="15"/>
        <v>1022</v>
      </c>
      <c r="B1022" s="924">
        <v>1.9</v>
      </c>
    </row>
    <row r="1023" spans="1:2" x14ac:dyDescent="0.25">
      <c r="A1023" s="924">
        <f t="shared" si="15"/>
        <v>1023</v>
      </c>
      <c r="B1023" s="924">
        <v>1.9</v>
      </c>
    </row>
    <row r="1024" spans="1:2" x14ac:dyDescent="0.25">
      <c r="A1024" s="924">
        <f t="shared" si="15"/>
        <v>1024</v>
      </c>
      <c r="B1024" s="924">
        <v>1.9</v>
      </c>
    </row>
    <row r="1025" spans="1:2" x14ac:dyDescent="0.25">
      <c r="A1025" s="924">
        <f t="shared" si="15"/>
        <v>1025</v>
      </c>
      <c r="B1025" s="924">
        <v>1.9</v>
      </c>
    </row>
    <row r="1026" spans="1:2" x14ac:dyDescent="0.25">
      <c r="A1026" s="924">
        <f t="shared" si="15"/>
        <v>1026</v>
      </c>
      <c r="B1026" s="924">
        <v>1.9</v>
      </c>
    </row>
    <row r="1027" spans="1:2" x14ac:dyDescent="0.25">
      <c r="A1027" s="924">
        <f t="shared" ref="A1027:A1090" si="16">A1026+1</f>
        <v>1027</v>
      </c>
      <c r="B1027" s="924">
        <v>1.9</v>
      </c>
    </row>
    <row r="1028" spans="1:2" x14ac:dyDescent="0.25">
      <c r="A1028" s="924">
        <f t="shared" si="16"/>
        <v>1028</v>
      </c>
      <c r="B1028" s="924">
        <v>1.9</v>
      </c>
    </row>
    <row r="1029" spans="1:2" x14ac:dyDescent="0.25">
      <c r="A1029" s="924">
        <f t="shared" si="16"/>
        <v>1029</v>
      </c>
      <c r="B1029" s="924">
        <v>1.9</v>
      </c>
    </row>
    <row r="1030" spans="1:2" x14ac:dyDescent="0.25">
      <c r="A1030" s="924">
        <f t="shared" si="16"/>
        <v>1030</v>
      </c>
      <c r="B1030" s="924">
        <v>1.9</v>
      </c>
    </row>
    <row r="1031" spans="1:2" x14ac:dyDescent="0.25">
      <c r="A1031" s="924">
        <f t="shared" si="16"/>
        <v>1031</v>
      </c>
      <c r="B1031" s="924">
        <v>1.9</v>
      </c>
    </row>
    <row r="1032" spans="1:2" x14ac:dyDescent="0.25">
      <c r="A1032" s="924">
        <f t="shared" si="16"/>
        <v>1032</v>
      </c>
      <c r="B1032" s="924">
        <v>1.9</v>
      </c>
    </row>
    <row r="1033" spans="1:2" x14ac:dyDescent="0.25">
      <c r="A1033" s="924">
        <f t="shared" si="16"/>
        <v>1033</v>
      </c>
      <c r="B1033" s="924">
        <v>1.9</v>
      </c>
    </row>
    <row r="1034" spans="1:2" x14ac:dyDescent="0.25">
      <c r="A1034" s="924">
        <f t="shared" si="16"/>
        <v>1034</v>
      </c>
      <c r="B1034" s="924">
        <v>1.9</v>
      </c>
    </row>
    <row r="1035" spans="1:2" x14ac:dyDescent="0.25">
      <c r="A1035" s="924">
        <f t="shared" si="16"/>
        <v>1035</v>
      </c>
      <c r="B1035" s="924">
        <v>1.9</v>
      </c>
    </row>
    <row r="1036" spans="1:2" x14ac:dyDescent="0.25">
      <c r="A1036" s="924">
        <f t="shared" si="16"/>
        <v>1036</v>
      </c>
      <c r="B1036" s="924">
        <v>1.9</v>
      </c>
    </row>
    <row r="1037" spans="1:2" x14ac:dyDescent="0.25">
      <c r="A1037" s="924">
        <f t="shared" si="16"/>
        <v>1037</v>
      </c>
      <c r="B1037" s="924">
        <v>1.9</v>
      </c>
    </row>
    <row r="1038" spans="1:2" x14ac:dyDescent="0.25">
      <c r="A1038" s="924">
        <f t="shared" si="16"/>
        <v>1038</v>
      </c>
      <c r="B1038" s="924">
        <v>1.9</v>
      </c>
    </row>
    <row r="1039" spans="1:2" x14ac:dyDescent="0.25">
      <c r="A1039" s="924">
        <f t="shared" si="16"/>
        <v>1039</v>
      </c>
      <c r="B1039" s="924">
        <v>1.9</v>
      </c>
    </row>
    <row r="1040" spans="1:2" x14ac:dyDescent="0.25">
      <c r="A1040" s="924">
        <f t="shared" si="16"/>
        <v>1040</v>
      </c>
      <c r="B1040" s="924">
        <v>1.9</v>
      </c>
    </row>
    <row r="1041" spans="1:2" x14ac:dyDescent="0.25">
      <c r="A1041" s="924">
        <f t="shared" si="16"/>
        <v>1041</v>
      </c>
      <c r="B1041" s="924">
        <v>1.9</v>
      </c>
    </row>
    <row r="1042" spans="1:2" x14ac:dyDescent="0.25">
      <c r="A1042" s="924">
        <f t="shared" si="16"/>
        <v>1042</v>
      </c>
      <c r="B1042" s="924">
        <v>1.9</v>
      </c>
    </row>
    <row r="1043" spans="1:2" x14ac:dyDescent="0.25">
      <c r="A1043" s="924">
        <f t="shared" si="16"/>
        <v>1043</v>
      </c>
      <c r="B1043" s="924">
        <v>1.9</v>
      </c>
    </row>
    <row r="1044" spans="1:2" x14ac:dyDescent="0.25">
      <c r="A1044" s="924">
        <f t="shared" si="16"/>
        <v>1044</v>
      </c>
      <c r="B1044" s="924">
        <v>1.9</v>
      </c>
    </row>
    <row r="1045" spans="1:2" x14ac:dyDescent="0.25">
      <c r="A1045" s="924">
        <f t="shared" si="16"/>
        <v>1045</v>
      </c>
      <c r="B1045" s="924">
        <v>1.9</v>
      </c>
    </row>
    <row r="1046" spans="1:2" x14ac:dyDescent="0.25">
      <c r="A1046" s="924">
        <f t="shared" si="16"/>
        <v>1046</v>
      </c>
      <c r="B1046" s="924">
        <v>1.9</v>
      </c>
    </row>
    <row r="1047" spans="1:2" x14ac:dyDescent="0.25">
      <c r="A1047" s="924">
        <f t="shared" si="16"/>
        <v>1047</v>
      </c>
      <c r="B1047" s="924">
        <v>1.9</v>
      </c>
    </row>
    <row r="1048" spans="1:2" x14ac:dyDescent="0.25">
      <c r="A1048" s="924">
        <f t="shared" si="16"/>
        <v>1048</v>
      </c>
      <c r="B1048" s="924">
        <v>1.9</v>
      </c>
    </row>
    <row r="1049" spans="1:2" x14ac:dyDescent="0.25">
      <c r="A1049" s="924">
        <f t="shared" si="16"/>
        <v>1049</v>
      </c>
      <c r="B1049" s="924">
        <v>1.9</v>
      </c>
    </row>
    <row r="1050" spans="1:2" x14ac:dyDescent="0.25">
      <c r="A1050" s="924">
        <f t="shared" si="16"/>
        <v>1050</v>
      </c>
      <c r="B1050" s="924">
        <v>1.9</v>
      </c>
    </row>
    <row r="1051" spans="1:2" x14ac:dyDescent="0.25">
      <c r="A1051" s="924">
        <f t="shared" si="16"/>
        <v>1051</v>
      </c>
      <c r="B1051" s="924">
        <v>1.9</v>
      </c>
    </row>
    <row r="1052" spans="1:2" x14ac:dyDescent="0.25">
      <c r="A1052" s="924">
        <f t="shared" si="16"/>
        <v>1052</v>
      </c>
      <c r="B1052" s="924">
        <v>2</v>
      </c>
    </row>
    <row r="1053" spans="1:2" x14ac:dyDescent="0.25">
      <c r="A1053" s="924">
        <f t="shared" si="16"/>
        <v>1053</v>
      </c>
      <c r="B1053" s="924">
        <v>2</v>
      </c>
    </row>
    <row r="1054" spans="1:2" x14ac:dyDescent="0.25">
      <c r="A1054" s="924">
        <f t="shared" si="16"/>
        <v>1054</v>
      </c>
      <c r="B1054" s="924">
        <v>2</v>
      </c>
    </row>
    <row r="1055" spans="1:2" x14ac:dyDescent="0.25">
      <c r="A1055" s="924">
        <f t="shared" si="16"/>
        <v>1055</v>
      </c>
      <c r="B1055" s="924">
        <v>2</v>
      </c>
    </row>
    <row r="1056" spans="1:2" x14ac:dyDescent="0.25">
      <c r="A1056" s="924">
        <f t="shared" si="16"/>
        <v>1056</v>
      </c>
      <c r="B1056" s="924">
        <v>2</v>
      </c>
    </row>
    <row r="1057" spans="1:2" x14ac:dyDescent="0.25">
      <c r="A1057" s="924">
        <f t="shared" si="16"/>
        <v>1057</v>
      </c>
      <c r="B1057" s="924">
        <v>2</v>
      </c>
    </row>
    <row r="1058" spans="1:2" x14ac:dyDescent="0.25">
      <c r="A1058" s="924">
        <f t="shared" si="16"/>
        <v>1058</v>
      </c>
      <c r="B1058" s="924">
        <v>2</v>
      </c>
    </row>
    <row r="1059" spans="1:2" x14ac:dyDescent="0.25">
      <c r="A1059" s="924">
        <f t="shared" si="16"/>
        <v>1059</v>
      </c>
      <c r="B1059" s="924">
        <v>2</v>
      </c>
    </row>
    <row r="1060" spans="1:2" x14ac:dyDescent="0.25">
      <c r="A1060" s="924">
        <f t="shared" si="16"/>
        <v>1060</v>
      </c>
      <c r="B1060" s="924">
        <v>2</v>
      </c>
    </row>
    <row r="1061" spans="1:2" x14ac:dyDescent="0.25">
      <c r="A1061" s="924">
        <f t="shared" si="16"/>
        <v>1061</v>
      </c>
      <c r="B1061" s="924">
        <v>2</v>
      </c>
    </row>
    <row r="1062" spans="1:2" x14ac:dyDescent="0.25">
      <c r="A1062" s="924">
        <f t="shared" si="16"/>
        <v>1062</v>
      </c>
      <c r="B1062" s="924">
        <v>2</v>
      </c>
    </row>
    <row r="1063" spans="1:2" x14ac:dyDescent="0.25">
      <c r="A1063" s="924">
        <f t="shared" si="16"/>
        <v>1063</v>
      </c>
      <c r="B1063" s="924">
        <v>2</v>
      </c>
    </row>
    <row r="1064" spans="1:2" x14ac:dyDescent="0.25">
      <c r="A1064" s="924">
        <f t="shared" si="16"/>
        <v>1064</v>
      </c>
      <c r="B1064" s="924">
        <v>2</v>
      </c>
    </row>
    <row r="1065" spans="1:2" x14ac:dyDescent="0.25">
      <c r="A1065" s="924">
        <f t="shared" si="16"/>
        <v>1065</v>
      </c>
      <c r="B1065" s="924">
        <v>2</v>
      </c>
    </row>
    <row r="1066" spans="1:2" x14ac:dyDescent="0.25">
      <c r="A1066" s="924">
        <f t="shared" si="16"/>
        <v>1066</v>
      </c>
      <c r="B1066" s="924">
        <v>2</v>
      </c>
    </row>
    <row r="1067" spans="1:2" x14ac:dyDescent="0.25">
      <c r="A1067" s="924">
        <f t="shared" si="16"/>
        <v>1067</v>
      </c>
      <c r="B1067" s="924">
        <v>2</v>
      </c>
    </row>
    <row r="1068" spans="1:2" x14ac:dyDescent="0.25">
      <c r="A1068" s="924">
        <f t="shared" si="16"/>
        <v>1068</v>
      </c>
      <c r="B1068" s="924">
        <v>2</v>
      </c>
    </row>
    <row r="1069" spans="1:2" x14ac:dyDescent="0.25">
      <c r="A1069" s="924">
        <f t="shared" si="16"/>
        <v>1069</v>
      </c>
      <c r="B1069" s="924">
        <v>2</v>
      </c>
    </row>
    <row r="1070" spans="1:2" x14ac:dyDescent="0.25">
      <c r="A1070" s="924">
        <f t="shared" si="16"/>
        <v>1070</v>
      </c>
      <c r="B1070" s="924">
        <v>2</v>
      </c>
    </row>
    <row r="1071" spans="1:2" x14ac:dyDescent="0.25">
      <c r="A1071" s="924">
        <f t="shared" si="16"/>
        <v>1071</v>
      </c>
      <c r="B1071" s="924">
        <v>2</v>
      </c>
    </row>
    <row r="1072" spans="1:2" x14ac:dyDescent="0.25">
      <c r="A1072" s="924">
        <f t="shared" si="16"/>
        <v>1072</v>
      </c>
      <c r="B1072" s="924">
        <v>2</v>
      </c>
    </row>
    <row r="1073" spans="1:2" x14ac:dyDescent="0.25">
      <c r="A1073" s="924">
        <f t="shared" si="16"/>
        <v>1073</v>
      </c>
      <c r="B1073" s="924">
        <v>2</v>
      </c>
    </row>
    <row r="1074" spans="1:2" x14ac:dyDescent="0.25">
      <c r="A1074" s="924">
        <f t="shared" si="16"/>
        <v>1074</v>
      </c>
      <c r="B1074" s="924">
        <v>2</v>
      </c>
    </row>
    <row r="1075" spans="1:2" x14ac:dyDescent="0.25">
      <c r="A1075" s="924">
        <f t="shared" si="16"/>
        <v>1075</v>
      </c>
      <c r="B1075" s="924">
        <v>2</v>
      </c>
    </row>
    <row r="1076" spans="1:2" x14ac:dyDescent="0.25">
      <c r="A1076" s="924">
        <f t="shared" si="16"/>
        <v>1076</v>
      </c>
      <c r="B1076" s="924">
        <v>2</v>
      </c>
    </row>
    <row r="1077" spans="1:2" x14ac:dyDescent="0.25">
      <c r="A1077" s="924">
        <f t="shared" si="16"/>
        <v>1077</v>
      </c>
      <c r="B1077" s="924">
        <v>2</v>
      </c>
    </row>
    <row r="1078" spans="1:2" x14ac:dyDescent="0.25">
      <c r="A1078" s="924">
        <f t="shared" si="16"/>
        <v>1078</v>
      </c>
      <c r="B1078" s="924">
        <v>2</v>
      </c>
    </row>
    <row r="1079" spans="1:2" x14ac:dyDescent="0.25">
      <c r="A1079" s="924">
        <f t="shared" si="16"/>
        <v>1079</v>
      </c>
      <c r="B1079" s="924">
        <v>2</v>
      </c>
    </row>
    <row r="1080" spans="1:2" x14ac:dyDescent="0.25">
      <c r="A1080" s="924">
        <f t="shared" si="16"/>
        <v>1080</v>
      </c>
      <c r="B1080" s="924">
        <v>2</v>
      </c>
    </row>
    <row r="1081" spans="1:2" x14ac:dyDescent="0.25">
      <c r="A1081" s="924">
        <f t="shared" si="16"/>
        <v>1081</v>
      </c>
      <c r="B1081" s="924">
        <v>2</v>
      </c>
    </row>
    <row r="1082" spans="1:2" x14ac:dyDescent="0.25">
      <c r="A1082" s="924">
        <f t="shared" si="16"/>
        <v>1082</v>
      </c>
      <c r="B1082" s="924">
        <v>2</v>
      </c>
    </row>
    <row r="1083" spans="1:2" x14ac:dyDescent="0.25">
      <c r="A1083" s="924">
        <f t="shared" si="16"/>
        <v>1083</v>
      </c>
      <c r="B1083" s="924">
        <v>2.1</v>
      </c>
    </row>
    <row r="1084" spans="1:2" x14ac:dyDescent="0.25">
      <c r="A1084" s="924">
        <f t="shared" si="16"/>
        <v>1084</v>
      </c>
      <c r="B1084" s="924">
        <v>2.1</v>
      </c>
    </row>
    <row r="1085" spans="1:2" x14ac:dyDescent="0.25">
      <c r="A1085" s="924">
        <f t="shared" si="16"/>
        <v>1085</v>
      </c>
      <c r="B1085" s="924">
        <v>2.1</v>
      </c>
    </row>
    <row r="1086" spans="1:2" x14ac:dyDescent="0.25">
      <c r="A1086" s="924">
        <f t="shared" si="16"/>
        <v>1086</v>
      </c>
      <c r="B1086" s="924">
        <v>2.1</v>
      </c>
    </row>
    <row r="1087" spans="1:2" x14ac:dyDescent="0.25">
      <c r="A1087" s="924">
        <f t="shared" si="16"/>
        <v>1087</v>
      </c>
      <c r="B1087" s="924">
        <v>2.1</v>
      </c>
    </row>
    <row r="1088" spans="1:2" x14ac:dyDescent="0.25">
      <c r="A1088" s="924">
        <f t="shared" si="16"/>
        <v>1088</v>
      </c>
      <c r="B1088" s="924">
        <v>2.1</v>
      </c>
    </row>
    <row r="1089" spans="1:2" x14ac:dyDescent="0.25">
      <c r="A1089" s="924">
        <f t="shared" si="16"/>
        <v>1089</v>
      </c>
      <c r="B1089" s="924">
        <v>2.1</v>
      </c>
    </row>
    <row r="1090" spans="1:2" x14ac:dyDescent="0.25">
      <c r="A1090" s="924">
        <f t="shared" si="16"/>
        <v>1090</v>
      </c>
      <c r="B1090" s="924">
        <v>2.1</v>
      </c>
    </row>
    <row r="1091" spans="1:2" x14ac:dyDescent="0.25">
      <c r="A1091" s="924">
        <f t="shared" ref="A1091:A1154" si="17">A1090+1</f>
        <v>1091</v>
      </c>
      <c r="B1091" s="924">
        <v>2.1</v>
      </c>
    </row>
    <row r="1092" spans="1:2" x14ac:dyDescent="0.25">
      <c r="A1092" s="924">
        <f t="shared" si="17"/>
        <v>1092</v>
      </c>
      <c r="B1092" s="924">
        <v>2.1</v>
      </c>
    </row>
    <row r="1093" spans="1:2" x14ac:dyDescent="0.25">
      <c r="A1093" s="924">
        <f t="shared" si="17"/>
        <v>1093</v>
      </c>
      <c r="B1093" s="924">
        <v>2.1</v>
      </c>
    </row>
    <row r="1094" spans="1:2" x14ac:dyDescent="0.25">
      <c r="A1094" s="924">
        <f t="shared" si="17"/>
        <v>1094</v>
      </c>
      <c r="B1094" s="924">
        <v>2.1</v>
      </c>
    </row>
    <row r="1095" spans="1:2" x14ac:dyDescent="0.25">
      <c r="A1095" s="924">
        <f t="shared" si="17"/>
        <v>1095</v>
      </c>
      <c r="B1095" s="924">
        <v>2.1</v>
      </c>
    </row>
    <row r="1096" spans="1:2" x14ac:dyDescent="0.25">
      <c r="A1096" s="924">
        <f t="shared" si="17"/>
        <v>1096</v>
      </c>
      <c r="B1096" s="924">
        <v>2.1</v>
      </c>
    </row>
    <row r="1097" spans="1:2" x14ac:dyDescent="0.25">
      <c r="A1097" s="924">
        <f t="shared" si="17"/>
        <v>1097</v>
      </c>
      <c r="B1097" s="924">
        <v>2.1</v>
      </c>
    </row>
    <row r="1098" spans="1:2" x14ac:dyDescent="0.25">
      <c r="A1098" s="924">
        <f t="shared" si="17"/>
        <v>1098</v>
      </c>
      <c r="B1098" s="924">
        <v>2.1</v>
      </c>
    </row>
    <row r="1099" spans="1:2" x14ac:dyDescent="0.25">
      <c r="A1099" s="924">
        <f t="shared" si="17"/>
        <v>1099</v>
      </c>
      <c r="B1099" s="924">
        <v>2.1</v>
      </c>
    </row>
    <row r="1100" spans="1:2" x14ac:dyDescent="0.25">
      <c r="A1100" s="924">
        <f t="shared" si="17"/>
        <v>1100</v>
      </c>
      <c r="B1100" s="924">
        <v>2.1</v>
      </c>
    </row>
    <row r="1101" spans="1:2" x14ac:dyDescent="0.25">
      <c r="A1101" s="924">
        <f t="shared" si="17"/>
        <v>1101</v>
      </c>
      <c r="B1101" s="924">
        <v>2.1</v>
      </c>
    </row>
    <row r="1102" spans="1:2" x14ac:dyDescent="0.25">
      <c r="A1102" s="924">
        <f t="shared" si="17"/>
        <v>1102</v>
      </c>
      <c r="B1102" s="924">
        <v>2.1</v>
      </c>
    </row>
    <row r="1103" spans="1:2" x14ac:dyDescent="0.25">
      <c r="A1103" s="924">
        <f t="shared" si="17"/>
        <v>1103</v>
      </c>
      <c r="B1103" s="924">
        <v>2.1</v>
      </c>
    </row>
    <row r="1104" spans="1:2" x14ac:dyDescent="0.25">
      <c r="A1104" s="924">
        <f t="shared" si="17"/>
        <v>1104</v>
      </c>
      <c r="B1104" s="924">
        <v>2.1</v>
      </c>
    </row>
    <row r="1105" spans="1:2" x14ac:dyDescent="0.25">
      <c r="A1105" s="924">
        <f t="shared" si="17"/>
        <v>1105</v>
      </c>
      <c r="B1105" s="924">
        <v>2.1</v>
      </c>
    </row>
    <row r="1106" spans="1:2" x14ac:dyDescent="0.25">
      <c r="A1106" s="924">
        <f t="shared" si="17"/>
        <v>1106</v>
      </c>
      <c r="B1106" s="924">
        <v>2.1</v>
      </c>
    </row>
    <row r="1107" spans="1:2" x14ac:dyDescent="0.25">
      <c r="A1107" s="924">
        <f t="shared" si="17"/>
        <v>1107</v>
      </c>
      <c r="B1107" s="924">
        <v>2.1</v>
      </c>
    </row>
    <row r="1108" spans="1:2" x14ac:dyDescent="0.25">
      <c r="A1108" s="924">
        <f t="shared" si="17"/>
        <v>1108</v>
      </c>
      <c r="B1108" s="924">
        <v>2.1</v>
      </c>
    </row>
    <row r="1109" spans="1:2" x14ac:dyDescent="0.25">
      <c r="A1109" s="924">
        <f t="shared" si="17"/>
        <v>1109</v>
      </c>
      <c r="B1109" s="924">
        <v>2.1</v>
      </c>
    </row>
    <row r="1110" spans="1:2" x14ac:dyDescent="0.25">
      <c r="A1110" s="924">
        <f t="shared" si="17"/>
        <v>1110</v>
      </c>
      <c r="B1110" s="924">
        <v>2.1</v>
      </c>
    </row>
    <row r="1111" spans="1:2" x14ac:dyDescent="0.25">
      <c r="A1111" s="924">
        <f t="shared" si="17"/>
        <v>1111</v>
      </c>
      <c r="B1111" s="924">
        <v>2.1</v>
      </c>
    </row>
    <row r="1112" spans="1:2" x14ac:dyDescent="0.25">
      <c r="A1112" s="924">
        <f t="shared" si="17"/>
        <v>1112</v>
      </c>
      <c r="B1112" s="924">
        <v>2.1</v>
      </c>
    </row>
    <row r="1113" spans="1:2" x14ac:dyDescent="0.25">
      <c r="A1113" s="924">
        <f t="shared" si="17"/>
        <v>1113</v>
      </c>
      <c r="B1113" s="924">
        <v>2.1</v>
      </c>
    </row>
    <row r="1114" spans="1:2" x14ac:dyDescent="0.25">
      <c r="A1114" s="924">
        <f t="shared" si="17"/>
        <v>1114</v>
      </c>
      <c r="B1114" s="924">
        <v>2.1</v>
      </c>
    </row>
    <row r="1115" spans="1:2" x14ac:dyDescent="0.25">
      <c r="A1115" s="924">
        <f t="shared" si="17"/>
        <v>1115</v>
      </c>
      <c r="B1115" s="924">
        <v>2.1</v>
      </c>
    </row>
    <row r="1116" spans="1:2" x14ac:dyDescent="0.25">
      <c r="A1116" s="924">
        <f t="shared" si="17"/>
        <v>1116</v>
      </c>
      <c r="B1116" s="924">
        <v>2.1</v>
      </c>
    </row>
    <row r="1117" spans="1:2" x14ac:dyDescent="0.25">
      <c r="A1117" s="924">
        <f t="shared" si="17"/>
        <v>1117</v>
      </c>
      <c r="B1117" s="924">
        <v>2.1</v>
      </c>
    </row>
    <row r="1118" spans="1:2" x14ac:dyDescent="0.25">
      <c r="A1118" s="924">
        <f t="shared" si="17"/>
        <v>1118</v>
      </c>
      <c r="B1118" s="924">
        <v>2.1</v>
      </c>
    </row>
    <row r="1119" spans="1:2" x14ac:dyDescent="0.25">
      <c r="A1119" s="924">
        <f t="shared" si="17"/>
        <v>1119</v>
      </c>
      <c r="B1119" s="924">
        <v>2.1</v>
      </c>
    </row>
    <row r="1120" spans="1:2" x14ac:dyDescent="0.25">
      <c r="A1120" s="924">
        <f t="shared" si="17"/>
        <v>1120</v>
      </c>
      <c r="B1120" s="924">
        <v>2.1</v>
      </c>
    </row>
    <row r="1121" spans="1:2" x14ac:dyDescent="0.25">
      <c r="A1121" s="924">
        <f t="shared" si="17"/>
        <v>1121</v>
      </c>
      <c r="B1121" s="924">
        <v>2.1</v>
      </c>
    </row>
    <row r="1122" spans="1:2" x14ac:dyDescent="0.25">
      <c r="A1122" s="924">
        <f t="shared" si="17"/>
        <v>1122</v>
      </c>
      <c r="B1122" s="924">
        <v>2.2000000000000002</v>
      </c>
    </row>
    <row r="1123" spans="1:2" x14ac:dyDescent="0.25">
      <c r="A1123" s="924">
        <f t="shared" si="17"/>
        <v>1123</v>
      </c>
      <c r="B1123" s="924">
        <v>2.2000000000000002</v>
      </c>
    </row>
    <row r="1124" spans="1:2" x14ac:dyDescent="0.25">
      <c r="A1124" s="924">
        <f t="shared" si="17"/>
        <v>1124</v>
      </c>
      <c r="B1124" s="924">
        <v>2.2000000000000002</v>
      </c>
    </row>
    <row r="1125" spans="1:2" x14ac:dyDescent="0.25">
      <c r="A1125" s="924">
        <f t="shared" si="17"/>
        <v>1125</v>
      </c>
      <c r="B1125" s="924">
        <v>2.2000000000000002</v>
      </c>
    </row>
    <row r="1126" spans="1:2" x14ac:dyDescent="0.25">
      <c r="A1126" s="924">
        <f t="shared" si="17"/>
        <v>1126</v>
      </c>
      <c r="B1126" s="924">
        <v>2.2000000000000002</v>
      </c>
    </row>
    <row r="1127" spans="1:2" x14ac:dyDescent="0.25">
      <c r="A1127" s="924">
        <f t="shared" si="17"/>
        <v>1127</v>
      </c>
      <c r="B1127" s="924">
        <v>2.2000000000000002</v>
      </c>
    </row>
    <row r="1128" spans="1:2" x14ac:dyDescent="0.25">
      <c r="A1128" s="924">
        <f t="shared" si="17"/>
        <v>1128</v>
      </c>
      <c r="B1128" s="924">
        <v>2.2000000000000002</v>
      </c>
    </row>
    <row r="1129" spans="1:2" x14ac:dyDescent="0.25">
      <c r="A1129" s="924">
        <f t="shared" si="17"/>
        <v>1129</v>
      </c>
      <c r="B1129" s="924">
        <v>2.2000000000000002</v>
      </c>
    </row>
    <row r="1130" spans="1:2" x14ac:dyDescent="0.25">
      <c r="A1130" s="924">
        <f t="shared" si="17"/>
        <v>1130</v>
      </c>
      <c r="B1130" s="924">
        <v>2.2000000000000002</v>
      </c>
    </row>
    <row r="1131" spans="1:2" x14ac:dyDescent="0.25">
      <c r="A1131" s="924">
        <f t="shared" si="17"/>
        <v>1131</v>
      </c>
      <c r="B1131" s="924">
        <v>2.2000000000000002</v>
      </c>
    </row>
    <row r="1132" spans="1:2" x14ac:dyDescent="0.25">
      <c r="A1132" s="924">
        <f t="shared" si="17"/>
        <v>1132</v>
      </c>
      <c r="B1132" s="924">
        <v>2.2000000000000002</v>
      </c>
    </row>
    <row r="1133" spans="1:2" x14ac:dyDescent="0.25">
      <c r="A1133" s="924">
        <f t="shared" si="17"/>
        <v>1133</v>
      </c>
      <c r="B1133" s="924">
        <v>2.2000000000000002</v>
      </c>
    </row>
    <row r="1134" spans="1:2" x14ac:dyDescent="0.25">
      <c r="A1134" s="924">
        <f t="shared" si="17"/>
        <v>1134</v>
      </c>
      <c r="B1134" s="924">
        <v>2.2000000000000002</v>
      </c>
    </row>
    <row r="1135" spans="1:2" x14ac:dyDescent="0.25">
      <c r="A1135" s="924">
        <f t="shared" si="17"/>
        <v>1135</v>
      </c>
      <c r="B1135" s="924">
        <v>2.2000000000000002</v>
      </c>
    </row>
    <row r="1136" spans="1:2" x14ac:dyDescent="0.25">
      <c r="A1136" s="924">
        <f t="shared" si="17"/>
        <v>1136</v>
      </c>
      <c r="B1136" s="924">
        <v>2.2000000000000002</v>
      </c>
    </row>
    <row r="1137" spans="1:2" x14ac:dyDescent="0.25">
      <c r="A1137" s="924">
        <f t="shared" si="17"/>
        <v>1137</v>
      </c>
      <c r="B1137" s="924">
        <v>2.2000000000000002</v>
      </c>
    </row>
    <row r="1138" spans="1:2" x14ac:dyDescent="0.25">
      <c r="A1138" s="924">
        <f t="shared" si="17"/>
        <v>1138</v>
      </c>
      <c r="B1138" s="924">
        <v>2.2000000000000002</v>
      </c>
    </row>
    <row r="1139" spans="1:2" x14ac:dyDescent="0.25">
      <c r="A1139" s="924">
        <f t="shared" si="17"/>
        <v>1139</v>
      </c>
      <c r="B1139" s="924">
        <v>2.2000000000000002</v>
      </c>
    </row>
    <row r="1140" spans="1:2" x14ac:dyDescent="0.25">
      <c r="A1140" s="924">
        <f t="shared" si="17"/>
        <v>1140</v>
      </c>
      <c r="B1140" s="924">
        <v>2.2000000000000002</v>
      </c>
    </row>
    <row r="1141" spans="1:2" x14ac:dyDescent="0.25">
      <c r="A1141" s="924">
        <f t="shared" si="17"/>
        <v>1141</v>
      </c>
      <c r="B1141" s="924">
        <v>2.2000000000000002</v>
      </c>
    </row>
    <row r="1142" spans="1:2" x14ac:dyDescent="0.25">
      <c r="A1142" s="924">
        <f t="shared" si="17"/>
        <v>1142</v>
      </c>
      <c r="B1142" s="924">
        <v>2.2000000000000002</v>
      </c>
    </row>
    <row r="1143" spans="1:2" x14ac:dyDescent="0.25">
      <c r="A1143" s="924">
        <f t="shared" si="17"/>
        <v>1143</v>
      </c>
      <c r="B1143" s="924">
        <v>2.2000000000000002</v>
      </c>
    </row>
    <row r="1144" spans="1:2" x14ac:dyDescent="0.25">
      <c r="A1144" s="924">
        <f t="shared" si="17"/>
        <v>1144</v>
      </c>
      <c r="B1144" s="924">
        <v>2.2000000000000002</v>
      </c>
    </row>
    <row r="1145" spans="1:2" x14ac:dyDescent="0.25">
      <c r="A1145" s="924">
        <f t="shared" si="17"/>
        <v>1145</v>
      </c>
      <c r="B1145" s="924">
        <v>2.2000000000000002</v>
      </c>
    </row>
    <row r="1146" spans="1:2" x14ac:dyDescent="0.25">
      <c r="A1146" s="924">
        <f t="shared" si="17"/>
        <v>1146</v>
      </c>
      <c r="B1146" s="924">
        <v>2.2000000000000002</v>
      </c>
    </row>
    <row r="1147" spans="1:2" x14ac:dyDescent="0.25">
      <c r="A1147" s="924">
        <f t="shared" si="17"/>
        <v>1147</v>
      </c>
      <c r="B1147" s="924">
        <v>2.2999999999999998</v>
      </c>
    </row>
    <row r="1148" spans="1:2" x14ac:dyDescent="0.25">
      <c r="A1148" s="924">
        <f t="shared" si="17"/>
        <v>1148</v>
      </c>
      <c r="B1148" s="924">
        <v>2.2999999999999998</v>
      </c>
    </row>
    <row r="1149" spans="1:2" x14ac:dyDescent="0.25">
      <c r="A1149" s="924">
        <f t="shared" si="17"/>
        <v>1149</v>
      </c>
      <c r="B1149" s="924">
        <v>2.2999999999999998</v>
      </c>
    </row>
    <row r="1150" spans="1:2" x14ac:dyDescent="0.25">
      <c r="A1150" s="924">
        <f t="shared" si="17"/>
        <v>1150</v>
      </c>
      <c r="B1150" s="924">
        <v>2.2999999999999998</v>
      </c>
    </row>
    <row r="1151" spans="1:2" x14ac:dyDescent="0.25">
      <c r="A1151" s="924">
        <f t="shared" si="17"/>
        <v>1151</v>
      </c>
      <c r="B1151" s="924">
        <v>2.2999999999999998</v>
      </c>
    </row>
    <row r="1152" spans="1:2" x14ac:dyDescent="0.25">
      <c r="A1152" s="924">
        <f t="shared" si="17"/>
        <v>1152</v>
      </c>
      <c r="B1152" s="924">
        <v>2.2999999999999998</v>
      </c>
    </row>
    <row r="1153" spans="1:2" x14ac:dyDescent="0.25">
      <c r="A1153" s="924">
        <f t="shared" si="17"/>
        <v>1153</v>
      </c>
      <c r="B1153" s="924">
        <v>2.2999999999999998</v>
      </c>
    </row>
    <row r="1154" spans="1:2" x14ac:dyDescent="0.25">
      <c r="A1154" s="924">
        <f t="shared" si="17"/>
        <v>1154</v>
      </c>
      <c r="B1154" s="924">
        <v>2.2999999999999998</v>
      </c>
    </row>
    <row r="1155" spans="1:2" x14ac:dyDescent="0.25">
      <c r="A1155" s="924">
        <f t="shared" ref="A1155:A1218" si="18">A1154+1</f>
        <v>1155</v>
      </c>
      <c r="B1155" s="924">
        <v>2.2999999999999998</v>
      </c>
    </row>
    <row r="1156" spans="1:2" x14ac:dyDescent="0.25">
      <c r="A1156" s="924">
        <f t="shared" si="18"/>
        <v>1156</v>
      </c>
      <c r="B1156" s="924">
        <v>2.2999999999999998</v>
      </c>
    </row>
    <row r="1157" spans="1:2" x14ac:dyDescent="0.25">
      <c r="A1157" s="924">
        <f t="shared" si="18"/>
        <v>1157</v>
      </c>
      <c r="B1157" s="924">
        <v>2.2999999999999998</v>
      </c>
    </row>
    <row r="1158" spans="1:2" x14ac:dyDescent="0.25">
      <c r="A1158" s="924">
        <f t="shared" si="18"/>
        <v>1158</v>
      </c>
      <c r="B1158" s="924">
        <v>2.2999999999999998</v>
      </c>
    </row>
    <row r="1159" spans="1:2" x14ac:dyDescent="0.25">
      <c r="A1159" s="924">
        <f t="shared" si="18"/>
        <v>1159</v>
      </c>
      <c r="B1159" s="924">
        <v>2.2999999999999998</v>
      </c>
    </row>
    <row r="1160" spans="1:2" x14ac:dyDescent="0.25">
      <c r="A1160" s="924">
        <f t="shared" si="18"/>
        <v>1160</v>
      </c>
      <c r="B1160" s="924">
        <v>2.2999999999999998</v>
      </c>
    </row>
    <row r="1161" spans="1:2" x14ac:dyDescent="0.25">
      <c r="A1161" s="924">
        <f t="shared" si="18"/>
        <v>1161</v>
      </c>
      <c r="B1161" s="924">
        <v>2.2999999999999998</v>
      </c>
    </row>
    <row r="1162" spans="1:2" x14ac:dyDescent="0.25">
      <c r="A1162" s="924">
        <f t="shared" si="18"/>
        <v>1162</v>
      </c>
      <c r="B1162" s="924">
        <v>2.2999999999999998</v>
      </c>
    </row>
    <row r="1163" spans="1:2" x14ac:dyDescent="0.25">
      <c r="A1163" s="924">
        <f t="shared" si="18"/>
        <v>1163</v>
      </c>
      <c r="B1163" s="924">
        <v>2.2999999999999998</v>
      </c>
    </row>
    <row r="1164" spans="1:2" x14ac:dyDescent="0.25">
      <c r="A1164" s="924">
        <f t="shared" si="18"/>
        <v>1164</v>
      </c>
      <c r="B1164" s="924">
        <v>2.2999999999999998</v>
      </c>
    </row>
    <row r="1165" spans="1:2" x14ac:dyDescent="0.25">
      <c r="A1165" s="924">
        <f t="shared" si="18"/>
        <v>1165</v>
      </c>
      <c r="B1165" s="924">
        <v>2.2999999999999998</v>
      </c>
    </row>
    <row r="1166" spans="1:2" x14ac:dyDescent="0.25">
      <c r="A1166" s="924">
        <f t="shared" si="18"/>
        <v>1166</v>
      </c>
      <c r="B1166" s="924">
        <v>2.2999999999999998</v>
      </c>
    </row>
    <row r="1167" spans="1:2" x14ac:dyDescent="0.25">
      <c r="A1167" s="924">
        <f t="shared" si="18"/>
        <v>1167</v>
      </c>
      <c r="B1167" s="924">
        <v>2.2999999999999998</v>
      </c>
    </row>
    <row r="1168" spans="1:2" x14ac:dyDescent="0.25">
      <c r="A1168" s="924">
        <f t="shared" si="18"/>
        <v>1168</v>
      </c>
      <c r="B1168" s="924">
        <v>2.2999999999999998</v>
      </c>
    </row>
    <row r="1169" spans="1:2" x14ac:dyDescent="0.25">
      <c r="A1169" s="924">
        <f t="shared" si="18"/>
        <v>1169</v>
      </c>
      <c r="B1169" s="924">
        <v>2.2999999999999998</v>
      </c>
    </row>
    <row r="1170" spans="1:2" x14ac:dyDescent="0.25">
      <c r="A1170" s="924">
        <f t="shared" si="18"/>
        <v>1170</v>
      </c>
      <c r="B1170" s="924">
        <v>2.2999999999999998</v>
      </c>
    </row>
    <row r="1171" spans="1:2" x14ac:dyDescent="0.25">
      <c r="A1171" s="924">
        <f t="shared" si="18"/>
        <v>1171</v>
      </c>
      <c r="B1171" s="924">
        <v>2.2999999999999998</v>
      </c>
    </row>
    <row r="1172" spans="1:2" x14ac:dyDescent="0.25">
      <c r="A1172" s="924">
        <f t="shared" si="18"/>
        <v>1172</v>
      </c>
      <c r="B1172" s="924">
        <v>2.2999999999999998</v>
      </c>
    </row>
    <row r="1173" spans="1:2" x14ac:dyDescent="0.25">
      <c r="A1173" s="924">
        <f t="shared" si="18"/>
        <v>1173</v>
      </c>
      <c r="B1173" s="924">
        <v>2.2999999999999998</v>
      </c>
    </row>
    <row r="1174" spans="1:2" x14ac:dyDescent="0.25">
      <c r="A1174" s="924">
        <f t="shared" si="18"/>
        <v>1174</v>
      </c>
      <c r="B1174" s="924">
        <v>2.2999999999999998</v>
      </c>
    </row>
    <row r="1175" spans="1:2" x14ac:dyDescent="0.25">
      <c r="A1175" s="924">
        <f t="shared" si="18"/>
        <v>1175</v>
      </c>
      <c r="B1175" s="924">
        <v>2.2999999999999998</v>
      </c>
    </row>
    <row r="1176" spans="1:2" x14ac:dyDescent="0.25">
      <c r="A1176" s="924">
        <f t="shared" si="18"/>
        <v>1176</v>
      </c>
      <c r="B1176" s="924">
        <v>2.4</v>
      </c>
    </row>
    <row r="1177" spans="1:2" x14ac:dyDescent="0.25">
      <c r="A1177" s="924">
        <f t="shared" si="18"/>
        <v>1177</v>
      </c>
      <c r="B1177" s="924">
        <v>2.4</v>
      </c>
    </row>
    <row r="1178" spans="1:2" x14ac:dyDescent="0.25">
      <c r="A1178" s="924">
        <f t="shared" si="18"/>
        <v>1178</v>
      </c>
      <c r="B1178" s="924">
        <v>2.4</v>
      </c>
    </row>
    <row r="1179" spans="1:2" x14ac:dyDescent="0.25">
      <c r="A1179" s="924">
        <f t="shared" si="18"/>
        <v>1179</v>
      </c>
      <c r="B1179" s="924">
        <v>2.4</v>
      </c>
    </row>
    <row r="1180" spans="1:2" x14ac:dyDescent="0.25">
      <c r="A1180" s="924">
        <f t="shared" si="18"/>
        <v>1180</v>
      </c>
      <c r="B1180" s="924">
        <v>2.4</v>
      </c>
    </row>
    <row r="1181" spans="1:2" x14ac:dyDescent="0.25">
      <c r="A1181" s="924">
        <f t="shared" si="18"/>
        <v>1181</v>
      </c>
      <c r="B1181" s="924">
        <v>2.4</v>
      </c>
    </row>
    <row r="1182" spans="1:2" x14ac:dyDescent="0.25">
      <c r="A1182" s="924">
        <f t="shared" si="18"/>
        <v>1182</v>
      </c>
      <c r="B1182" s="924">
        <v>2.4</v>
      </c>
    </row>
    <row r="1183" spans="1:2" x14ac:dyDescent="0.25">
      <c r="A1183" s="924">
        <f t="shared" si="18"/>
        <v>1183</v>
      </c>
      <c r="B1183" s="924">
        <v>2.4</v>
      </c>
    </row>
    <row r="1184" spans="1:2" x14ac:dyDescent="0.25">
      <c r="A1184" s="924">
        <f t="shared" si="18"/>
        <v>1184</v>
      </c>
      <c r="B1184" s="924">
        <v>2.4</v>
      </c>
    </row>
    <row r="1185" spans="1:2" x14ac:dyDescent="0.25">
      <c r="A1185" s="924">
        <f t="shared" si="18"/>
        <v>1185</v>
      </c>
      <c r="B1185" s="924">
        <v>2.4</v>
      </c>
    </row>
    <row r="1186" spans="1:2" x14ac:dyDescent="0.25">
      <c r="A1186" s="924">
        <f t="shared" si="18"/>
        <v>1186</v>
      </c>
      <c r="B1186" s="924">
        <v>2.4</v>
      </c>
    </row>
    <row r="1187" spans="1:2" x14ac:dyDescent="0.25">
      <c r="A1187" s="924">
        <f t="shared" si="18"/>
        <v>1187</v>
      </c>
      <c r="B1187" s="924">
        <v>2.4</v>
      </c>
    </row>
    <row r="1188" spans="1:2" x14ac:dyDescent="0.25">
      <c r="A1188" s="924">
        <f t="shared" si="18"/>
        <v>1188</v>
      </c>
      <c r="B1188" s="924">
        <v>2.4</v>
      </c>
    </row>
    <row r="1189" spans="1:2" x14ac:dyDescent="0.25">
      <c r="A1189" s="924">
        <f t="shared" si="18"/>
        <v>1189</v>
      </c>
      <c r="B1189" s="924">
        <v>2.4</v>
      </c>
    </row>
    <row r="1190" spans="1:2" x14ac:dyDescent="0.25">
      <c r="A1190" s="924">
        <f t="shared" si="18"/>
        <v>1190</v>
      </c>
      <c r="B1190" s="924">
        <v>2.4</v>
      </c>
    </row>
    <row r="1191" spans="1:2" x14ac:dyDescent="0.25">
      <c r="A1191" s="924">
        <f t="shared" si="18"/>
        <v>1191</v>
      </c>
      <c r="B1191" s="924">
        <v>2.4</v>
      </c>
    </row>
    <row r="1192" spans="1:2" x14ac:dyDescent="0.25">
      <c r="A1192" s="924">
        <f t="shared" si="18"/>
        <v>1192</v>
      </c>
      <c r="B1192" s="924">
        <v>2.4</v>
      </c>
    </row>
    <row r="1193" spans="1:2" x14ac:dyDescent="0.25">
      <c r="A1193" s="924">
        <f t="shared" si="18"/>
        <v>1193</v>
      </c>
      <c r="B1193" s="924">
        <v>2.4</v>
      </c>
    </row>
    <row r="1194" spans="1:2" x14ac:dyDescent="0.25">
      <c r="A1194" s="924">
        <f t="shared" si="18"/>
        <v>1194</v>
      </c>
      <c r="B1194" s="924">
        <v>2.4</v>
      </c>
    </row>
    <row r="1195" spans="1:2" x14ac:dyDescent="0.25">
      <c r="A1195" s="924">
        <f t="shared" si="18"/>
        <v>1195</v>
      </c>
      <c r="B1195" s="924">
        <v>2.5</v>
      </c>
    </row>
    <row r="1196" spans="1:2" x14ac:dyDescent="0.25">
      <c r="A1196" s="924">
        <f t="shared" si="18"/>
        <v>1196</v>
      </c>
      <c r="B1196" s="924">
        <v>2.5</v>
      </c>
    </row>
    <row r="1197" spans="1:2" x14ac:dyDescent="0.25">
      <c r="A1197" s="924">
        <f t="shared" si="18"/>
        <v>1197</v>
      </c>
      <c r="B1197" s="924">
        <v>2.5</v>
      </c>
    </row>
    <row r="1198" spans="1:2" x14ac:dyDescent="0.25">
      <c r="A1198" s="924">
        <f t="shared" si="18"/>
        <v>1198</v>
      </c>
      <c r="B1198" s="924">
        <v>2.5</v>
      </c>
    </row>
    <row r="1199" spans="1:2" x14ac:dyDescent="0.25">
      <c r="A1199" s="924">
        <f t="shared" si="18"/>
        <v>1199</v>
      </c>
      <c r="B1199" s="924">
        <v>2.5</v>
      </c>
    </row>
    <row r="1200" spans="1:2" x14ac:dyDescent="0.25">
      <c r="A1200" s="924">
        <f t="shared" si="18"/>
        <v>1200</v>
      </c>
      <c r="B1200" s="924">
        <v>2.5</v>
      </c>
    </row>
    <row r="1201" spans="1:2" x14ac:dyDescent="0.25">
      <c r="A1201" s="924">
        <f t="shared" si="18"/>
        <v>1201</v>
      </c>
      <c r="B1201" s="924">
        <v>2.5</v>
      </c>
    </row>
    <row r="1202" spans="1:2" x14ac:dyDescent="0.25">
      <c r="A1202" s="924">
        <f t="shared" si="18"/>
        <v>1202</v>
      </c>
      <c r="B1202" s="924">
        <v>2.5</v>
      </c>
    </row>
    <row r="1203" spans="1:2" x14ac:dyDescent="0.25">
      <c r="A1203" s="924">
        <f t="shared" si="18"/>
        <v>1203</v>
      </c>
      <c r="B1203" s="924">
        <v>2.5</v>
      </c>
    </row>
    <row r="1204" spans="1:2" x14ac:dyDescent="0.25">
      <c r="A1204" s="924">
        <f t="shared" si="18"/>
        <v>1204</v>
      </c>
      <c r="B1204" s="924">
        <v>2.5</v>
      </c>
    </row>
    <row r="1205" spans="1:2" x14ac:dyDescent="0.25">
      <c r="A1205" s="924">
        <f t="shared" si="18"/>
        <v>1205</v>
      </c>
      <c r="B1205" s="924">
        <v>2.5</v>
      </c>
    </row>
    <row r="1206" spans="1:2" x14ac:dyDescent="0.25">
      <c r="A1206" s="924">
        <f t="shared" si="18"/>
        <v>1206</v>
      </c>
      <c r="B1206" s="924">
        <v>2.5</v>
      </c>
    </row>
    <row r="1207" spans="1:2" x14ac:dyDescent="0.25">
      <c r="A1207" s="924">
        <f t="shared" si="18"/>
        <v>1207</v>
      </c>
      <c r="B1207" s="924">
        <v>2.5</v>
      </c>
    </row>
    <row r="1208" spans="1:2" x14ac:dyDescent="0.25">
      <c r="A1208" s="924">
        <f t="shared" si="18"/>
        <v>1208</v>
      </c>
      <c r="B1208" s="924">
        <v>2.5</v>
      </c>
    </row>
    <row r="1209" spans="1:2" x14ac:dyDescent="0.25">
      <c r="A1209" s="924">
        <f t="shared" si="18"/>
        <v>1209</v>
      </c>
      <c r="B1209" s="924">
        <v>2.5</v>
      </c>
    </row>
    <row r="1210" spans="1:2" x14ac:dyDescent="0.25">
      <c r="A1210" s="924">
        <f t="shared" si="18"/>
        <v>1210</v>
      </c>
      <c r="B1210" s="924">
        <v>2.5</v>
      </c>
    </row>
    <row r="1211" spans="1:2" x14ac:dyDescent="0.25">
      <c r="A1211" s="924">
        <f t="shared" si="18"/>
        <v>1211</v>
      </c>
      <c r="B1211" s="924">
        <v>2.5</v>
      </c>
    </row>
    <row r="1212" spans="1:2" x14ac:dyDescent="0.25">
      <c r="A1212" s="924">
        <f t="shared" si="18"/>
        <v>1212</v>
      </c>
      <c r="B1212" s="924">
        <v>2.5</v>
      </c>
    </row>
    <row r="1213" spans="1:2" x14ac:dyDescent="0.25">
      <c r="A1213" s="924">
        <f t="shared" si="18"/>
        <v>1213</v>
      </c>
      <c r="B1213" s="924">
        <v>2.5</v>
      </c>
    </row>
    <row r="1214" spans="1:2" x14ac:dyDescent="0.25">
      <c r="A1214" s="924">
        <f t="shared" si="18"/>
        <v>1214</v>
      </c>
      <c r="B1214" s="924">
        <v>2.5</v>
      </c>
    </row>
    <row r="1215" spans="1:2" x14ac:dyDescent="0.25">
      <c r="A1215" s="924">
        <f t="shared" si="18"/>
        <v>1215</v>
      </c>
      <c r="B1215" s="924">
        <v>2.5</v>
      </c>
    </row>
    <row r="1216" spans="1:2" x14ac:dyDescent="0.25">
      <c r="A1216" s="924">
        <f t="shared" si="18"/>
        <v>1216</v>
      </c>
      <c r="B1216" s="924">
        <v>2.6</v>
      </c>
    </row>
    <row r="1217" spans="1:2" x14ac:dyDescent="0.25">
      <c r="A1217" s="924">
        <f t="shared" si="18"/>
        <v>1217</v>
      </c>
      <c r="B1217" s="924">
        <v>2.6</v>
      </c>
    </row>
    <row r="1218" spans="1:2" x14ac:dyDescent="0.25">
      <c r="A1218" s="924">
        <f t="shared" si="18"/>
        <v>1218</v>
      </c>
      <c r="B1218" s="924">
        <v>2.6</v>
      </c>
    </row>
    <row r="1219" spans="1:2" x14ac:dyDescent="0.25">
      <c r="A1219" s="924">
        <f t="shared" ref="A1219:A1282" si="19">A1218+1</f>
        <v>1219</v>
      </c>
      <c r="B1219" s="924">
        <v>2.6</v>
      </c>
    </row>
    <row r="1220" spans="1:2" x14ac:dyDescent="0.25">
      <c r="A1220" s="924">
        <f t="shared" si="19"/>
        <v>1220</v>
      </c>
      <c r="B1220" s="924">
        <v>2.6</v>
      </c>
    </row>
    <row r="1221" spans="1:2" x14ac:dyDescent="0.25">
      <c r="A1221" s="924">
        <f t="shared" si="19"/>
        <v>1221</v>
      </c>
      <c r="B1221" s="924">
        <v>2.6</v>
      </c>
    </row>
    <row r="1222" spans="1:2" x14ac:dyDescent="0.25">
      <c r="A1222" s="924">
        <f t="shared" si="19"/>
        <v>1222</v>
      </c>
      <c r="B1222" s="924">
        <v>2.6</v>
      </c>
    </row>
    <row r="1223" spans="1:2" x14ac:dyDescent="0.25">
      <c r="A1223" s="924">
        <f t="shared" si="19"/>
        <v>1223</v>
      </c>
      <c r="B1223" s="924">
        <v>2.6</v>
      </c>
    </row>
    <row r="1224" spans="1:2" x14ac:dyDescent="0.25">
      <c r="A1224" s="924">
        <f t="shared" si="19"/>
        <v>1224</v>
      </c>
      <c r="B1224" s="924">
        <v>2.6</v>
      </c>
    </row>
    <row r="1225" spans="1:2" x14ac:dyDescent="0.25">
      <c r="A1225" s="924">
        <f t="shared" si="19"/>
        <v>1225</v>
      </c>
      <c r="B1225" s="924">
        <v>2.6</v>
      </c>
    </row>
    <row r="1226" spans="1:2" x14ac:dyDescent="0.25">
      <c r="A1226" s="924">
        <f t="shared" si="19"/>
        <v>1226</v>
      </c>
      <c r="B1226" s="924">
        <v>2.6</v>
      </c>
    </row>
    <row r="1227" spans="1:2" x14ac:dyDescent="0.25">
      <c r="A1227" s="924">
        <f t="shared" si="19"/>
        <v>1227</v>
      </c>
      <c r="B1227" s="924">
        <v>2.6</v>
      </c>
    </row>
    <row r="1228" spans="1:2" x14ac:dyDescent="0.25">
      <c r="A1228" s="924">
        <f t="shared" si="19"/>
        <v>1228</v>
      </c>
      <c r="B1228" s="924">
        <v>2.6</v>
      </c>
    </row>
    <row r="1229" spans="1:2" x14ac:dyDescent="0.25">
      <c r="A1229" s="924">
        <f t="shared" si="19"/>
        <v>1229</v>
      </c>
      <c r="B1229" s="924">
        <v>2.6</v>
      </c>
    </row>
    <row r="1230" spans="1:2" x14ac:dyDescent="0.25">
      <c r="A1230" s="924">
        <f t="shared" si="19"/>
        <v>1230</v>
      </c>
      <c r="B1230" s="924">
        <v>2.6</v>
      </c>
    </row>
    <row r="1231" spans="1:2" x14ac:dyDescent="0.25">
      <c r="A1231" s="924">
        <f t="shared" si="19"/>
        <v>1231</v>
      </c>
      <c r="B1231" s="924">
        <v>2.6</v>
      </c>
    </row>
    <row r="1232" spans="1:2" x14ac:dyDescent="0.25">
      <c r="A1232" s="924">
        <f t="shared" si="19"/>
        <v>1232</v>
      </c>
      <c r="B1232" s="924">
        <v>2.6</v>
      </c>
    </row>
    <row r="1233" spans="1:2" x14ac:dyDescent="0.25">
      <c r="A1233" s="924">
        <f t="shared" si="19"/>
        <v>1233</v>
      </c>
      <c r="B1233" s="924">
        <v>2.6</v>
      </c>
    </row>
    <row r="1234" spans="1:2" x14ac:dyDescent="0.25">
      <c r="A1234" s="924">
        <f t="shared" si="19"/>
        <v>1234</v>
      </c>
      <c r="B1234" s="924">
        <v>2.6</v>
      </c>
    </row>
    <row r="1235" spans="1:2" x14ac:dyDescent="0.25">
      <c r="A1235" s="924">
        <f t="shared" si="19"/>
        <v>1235</v>
      </c>
      <c r="B1235" s="924">
        <v>2.6</v>
      </c>
    </row>
    <row r="1236" spans="1:2" x14ac:dyDescent="0.25">
      <c r="A1236" s="924">
        <f t="shared" si="19"/>
        <v>1236</v>
      </c>
      <c r="B1236" s="924">
        <v>2.6</v>
      </c>
    </row>
    <row r="1237" spans="1:2" x14ac:dyDescent="0.25">
      <c r="A1237" s="924">
        <f t="shared" si="19"/>
        <v>1237</v>
      </c>
      <c r="B1237" s="924">
        <v>2.6</v>
      </c>
    </row>
    <row r="1238" spans="1:2" x14ac:dyDescent="0.25">
      <c r="A1238" s="924">
        <f t="shared" si="19"/>
        <v>1238</v>
      </c>
      <c r="B1238" s="924">
        <v>2.7</v>
      </c>
    </row>
    <row r="1239" spans="1:2" x14ac:dyDescent="0.25">
      <c r="A1239" s="924">
        <f t="shared" si="19"/>
        <v>1239</v>
      </c>
      <c r="B1239" s="924">
        <v>2.7</v>
      </c>
    </row>
    <row r="1240" spans="1:2" x14ac:dyDescent="0.25">
      <c r="A1240" s="924">
        <f t="shared" si="19"/>
        <v>1240</v>
      </c>
      <c r="B1240" s="924">
        <v>2.7</v>
      </c>
    </row>
    <row r="1241" spans="1:2" x14ac:dyDescent="0.25">
      <c r="A1241" s="924">
        <f t="shared" si="19"/>
        <v>1241</v>
      </c>
      <c r="B1241" s="924">
        <v>2.7</v>
      </c>
    </row>
    <row r="1242" spans="1:2" x14ac:dyDescent="0.25">
      <c r="A1242" s="924">
        <f t="shared" si="19"/>
        <v>1242</v>
      </c>
      <c r="B1242" s="924">
        <v>2.7</v>
      </c>
    </row>
    <row r="1243" spans="1:2" x14ac:dyDescent="0.25">
      <c r="A1243" s="924">
        <f t="shared" si="19"/>
        <v>1243</v>
      </c>
      <c r="B1243" s="924">
        <v>2.7</v>
      </c>
    </row>
    <row r="1244" spans="1:2" x14ac:dyDescent="0.25">
      <c r="A1244" s="924">
        <f t="shared" si="19"/>
        <v>1244</v>
      </c>
      <c r="B1244" s="924">
        <v>2.7</v>
      </c>
    </row>
    <row r="1245" spans="1:2" x14ac:dyDescent="0.25">
      <c r="A1245" s="924">
        <f t="shared" si="19"/>
        <v>1245</v>
      </c>
      <c r="B1245" s="924">
        <v>2.7</v>
      </c>
    </row>
    <row r="1246" spans="1:2" x14ac:dyDescent="0.25">
      <c r="A1246" s="924">
        <f t="shared" si="19"/>
        <v>1246</v>
      </c>
      <c r="B1246" s="924">
        <v>2.7</v>
      </c>
    </row>
    <row r="1247" spans="1:2" x14ac:dyDescent="0.25">
      <c r="A1247" s="924">
        <f t="shared" si="19"/>
        <v>1247</v>
      </c>
      <c r="B1247" s="924">
        <v>2.7</v>
      </c>
    </row>
    <row r="1248" spans="1:2" x14ac:dyDescent="0.25">
      <c r="A1248" s="924">
        <f t="shared" si="19"/>
        <v>1248</v>
      </c>
      <c r="B1248" s="924">
        <v>2.7</v>
      </c>
    </row>
    <row r="1249" spans="1:2" x14ac:dyDescent="0.25">
      <c r="A1249" s="924">
        <f t="shared" si="19"/>
        <v>1249</v>
      </c>
      <c r="B1249" s="924">
        <v>2.7</v>
      </c>
    </row>
    <row r="1250" spans="1:2" x14ac:dyDescent="0.25">
      <c r="A1250" s="924">
        <f t="shared" si="19"/>
        <v>1250</v>
      </c>
      <c r="B1250" s="924">
        <v>2.7</v>
      </c>
    </row>
    <row r="1251" spans="1:2" x14ac:dyDescent="0.25">
      <c r="A1251" s="924">
        <f t="shared" si="19"/>
        <v>1251</v>
      </c>
      <c r="B1251" s="924">
        <v>2.7</v>
      </c>
    </row>
    <row r="1252" spans="1:2" x14ac:dyDescent="0.25">
      <c r="A1252" s="924">
        <f t="shared" si="19"/>
        <v>1252</v>
      </c>
      <c r="B1252" s="924">
        <v>2.7</v>
      </c>
    </row>
    <row r="1253" spans="1:2" x14ac:dyDescent="0.25">
      <c r="A1253" s="924">
        <f t="shared" si="19"/>
        <v>1253</v>
      </c>
      <c r="B1253" s="924">
        <v>2.7</v>
      </c>
    </row>
    <row r="1254" spans="1:2" x14ac:dyDescent="0.25">
      <c r="A1254" s="924">
        <f t="shared" si="19"/>
        <v>1254</v>
      </c>
      <c r="B1254" s="924">
        <v>2.7</v>
      </c>
    </row>
    <row r="1255" spans="1:2" x14ac:dyDescent="0.25">
      <c r="A1255" s="924">
        <f t="shared" si="19"/>
        <v>1255</v>
      </c>
      <c r="B1255" s="924">
        <v>2.7</v>
      </c>
    </row>
    <row r="1256" spans="1:2" x14ac:dyDescent="0.25">
      <c r="A1256" s="924">
        <f t="shared" si="19"/>
        <v>1256</v>
      </c>
      <c r="B1256" s="924">
        <v>2.7</v>
      </c>
    </row>
    <row r="1257" spans="1:2" x14ac:dyDescent="0.25">
      <c r="A1257" s="924">
        <f t="shared" si="19"/>
        <v>1257</v>
      </c>
      <c r="B1257" s="924">
        <v>2.7</v>
      </c>
    </row>
    <row r="1258" spans="1:2" x14ac:dyDescent="0.25">
      <c r="A1258" s="924">
        <f t="shared" si="19"/>
        <v>1258</v>
      </c>
      <c r="B1258" s="924">
        <v>2.7</v>
      </c>
    </row>
    <row r="1259" spans="1:2" x14ac:dyDescent="0.25">
      <c r="A1259" s="924">
        <f t="shared" si="19"/>
        <v>1259</v>
      </c>
      <c r="B1259" s="924">
        <v>2.7</v>
      </c>
    </row>
    <row r="1260" spans="1:2" x14ac:dyDescent="0.25">
      <c r="A1260" s="924">
        <f t="shared" si="19"/>
        <v>1260</v>
      </c>
      <c r="B1260" s="924">
        <v>2.7</v>
      </c>
    </row>
    <row r="1261" spans="1:2" x14ac:dyDescent="0.25">
      <c r="A1261" s="924">
        <f t="shared" si="19"/>
        <v>1261</v>
      </c>
      <c r="B1261" s="924">
        <v>2.7</v>
      </c>
    </row>
    <row r="1262" spans="1:2" x14ac:dyDescent="0.25">
      <c r="A1262" s="924">
        <f t="shared" si="19"/>
        <v>1262</v>
      </c>
      <c r="B1262" s="924">
        <v>2.7</v>
      </c>
    </row>
    <row r="1263" spans="1:2" x14ac:dyDescent="0.25">
      <c r="A1263" s="924">
        <f t="shared" si="19"/>
        <v>1263</v>
      </c>
      <c r="B1263" s="924">
        <v>2.7</v>
      </c>
    </row>
    <row r="1264" spans="1:2" x14ac:dyDescent="0.25">
      <c r="A1264" s="924">
        <f t="shared" si="19"/>
        <v>1264</v>
      </c>
      <c r="B1264" s="924">
        <v>2.7</v>
      </c>
    </row>
    <row r="1265" spans="1:2" x14ac:dyDescent="0.25">
      <c r="A1265" s="924">
        <f t="shared" si="19"/>
        <v>1265</v>
      </c>
      <c r="B1265" s="924">
        <v>2.7</v>
      </c>
    </row>
    <row r="1266" spans="1:2" x14ac:dyDescent="0.25">
      <c r="A1266" s="924">
        <f t="shared" si="19"/>
        <v>1266</v>
      </c>
      <c r="B1266" s="924">
        <v>2.7</v>
      </c>
    </row>
    <row r="1267" spans="1:2" x14ac:dyDescent="0.25">
      <c r="A1267" s="924">
        <f t="shared" si="19"/>
        <v>1267</v>
      </c>
      <c r="B1267" s="924">
        <v>2.7</v>
      </c>
    </row>
    <row r="1268" spans="1:2" x14ac:dyDescent="0.25">
      <c r="A1268" s="924">
        <f t="shared" si="19"/>
        <v>1268</v>
      </c>
      <c r="B1268" s="924">
        <v>2.7</v>
      </c>
    </row>
    <row r="1269" spans="1:2" x14ac:dyDescent="0.25">
      <c r="A1269" s="924">
        <f t="shared" si="19"/>
        <v>1269</v>
      </c>
      <c r="B1269" s="924">
        <v>2.7</v>
      </c>
    </row>
    <row r="1270" spans="1:2" x14ac:dyDescent="0.25">
      <c r="A1270" s="924">
        <f t="shared" si="19"/>
        <v>1270</v>
      </c>
      <c r="B1270" s="924">
        <v>2.7</v>
      </c>
    </row>
    <row r="1271" spans="1:2" x14ac:dyDescent="0.25">
      <c r="A1271" s="924">
        <f t="shared" si="19"/>
        <v>1271</v>
      </c>
      <c r="B1271" s="924">
        <v>2.7</v>
      </c>
    </row>
    <row r="1272" spans="1:2" x14ac:dyDescent="0.25">
      <c r="A1272" s="924">
        <f t="shared" si="19"/>
        <v>1272</v>
      </c>
      <c r="B1272" s="924">
        <v>2.7</v>
      </c>
    </row>
    <row r="1273" spans="1:2" x14ac:dyDescent="0.25">
      <c r="A1273" s="924">
        <f t="shared" si="19"/>
        <v>1273</v>
      </c>
      <c r="B1273" s="924">
        <v>2.7</v>
      </c>
    </row>
    <row r="1274" spans="1:2" x14ac:dyDescent="0.25">
      <c r="A1274" s="924">
        <f t="shared" si="19"/>
        <v>1274</v>
      </c>
      <c r="B1274" s="924">
        <v>2.7</v>
      </c>
    </row>
    <row r="1275" spans="1:2" x14ac:dyDescent="0.25">
      <c r="A1275" s="924">
        <f t="shared" si="19"/>
        <v>1275</v>
      </c>
      <c r="B1275" s="924">
        <v>2.7</v>
      </c>
    </row>
    <row r="1276" spans="1:2" x14ac:dyDescent="0.25">
      <c r="A1276" s="924">
        <f t="shared" si="19"/>
        <v>1276</v>
      </c>
      <c r="B1276" s="924">
        <v>2.7</v>
      </c>
    </row>
    <row r="1277" spans="1:2" x14ac:dyDescent="0.25">
      <c r="A1277" s="924">
        <f t="shared" si="19"/>
        <v>1277</v>
      </c>
      <c r="B1277" s="924">
        <v>2.7</v>
      </c>
    </row>
    <row r="1278" spans="1:2" x14ac:dyDescent="0.25">
      <c r="A1278" s="924">
        <f t="shared" si="19"/>
        <v>1278</v>
      </c>
      <c r="B1278" s="924">
        <v>2.7</v>
      </c>
    </row>
    <row r="1279" spans="1:2" x14ac:dyDescent="0.25">
      <c r="A1279" s="924">
        <f t="shared" si="19"/>
        <v>1279</v>
      </c>
      <c r="B1279" s="924">
        <v>2.7</v>
      </c>
    </row>
    <row r="1280" spans="1:2" x14ac:dyDescent="0.25">
      <c r="A1280" s="924">
        <f t="shared" si="19"/>
        <v>1280</v>
      </c>
      <c r="B1280" s="924">
        <v>2.8</v>
      </c>
    </row>
    <row r="1281" spans="1:2" x14ac:dyDescent="0.25">
      <c r="A1281" s="924">
        <f t="shared" si="19"/>
        <v>1281</v>
      </c>
      <c r="B1281" s="924">
        <v>2.8</v>
      </c>
    </row>
    <row r="1282" spans="1:2" x14ac:dyDescent="0.25">
      <c r="A1282" s="924">
        <f t="shared" si="19"/>
        <v>1282</v>
      </c>
      <c r="B1282" s="924">
        <v>2.8</v>
      </c>
    </row>
    <row r="1283" spans="1:2" x14ac:dyDescent="0.25">
      <c r="A1283" s="924">
        <f t="shared" ref="A1283:A1346" si="20">A1282+1</f>
        <v>1283</v>
      </c>
      <c r="B1283" s="924">
        <v>2.8</v>
      </c>
    </row>
    <row r="1284" spans="1:2" x14ac:dyDescent="0.25">
      <c r="A1284" s="924">
        <f t="shared" si="20"/>
        <v>1284</v>
      </c>
      <c r="B1284" s="924">
        <v>2.8</v>
      </c>
    </row>
    <row r="1285" spans="1:2" x14ac:dyDescent="0.25">
      <c r="A1285" s="924">
        <f t="shared" si="20"/>
        <v>1285</v>
      </c>
      <c r="B1285" s="924">
        <v>2.8</v>
      </c>
    </row>
    <row r="1286" spans="1:2" x14ac:dyDescent="0.25">
      <c r="A1286" s="924">
        <f t="shared" si="20"/>
        <v>1286</v>
      </c>
      <c r="B1286" s="924">
        <v>2.8</v>
      </c>
    </row>
    <row r="1287" spans="1:2" x14ac:dyDescent="0.25">
      <c r="A1287" s="924">
        <f t="shared" si="20"/>
        <v>1287</v>
      </c>
      <c r="B1287" s="924">
        <v>2.8</v>
      </c>
    </row>
    <row r="1288" spans="1:2" x14ac:dyDescent="0.25">
      <c r="A1288" s="924">
        <f t="shared" si="20"/>
        <v>1288</v>
      </c>
      <c r="B1288" s="924">
        <v>2.8</v>
      </c>
    </row>
    <row r="1289" spans="1:2" x14ac:dyDescent="0.25">
      <c r="A1289" s="924">
        <f t="shared" si="20"/>
        <v>1289</v>
      </c>
      <c r="B1289" s="924">
        <v>2.8</v>
      </c>
    </row>
    <row r="1290" spans="1:2" x14ac:dyDescent="0.25">
      <c r="A1290" s="924">
        <f t="shared" si="20"/>
        <v>1290</v>
      </c>
      <c r="B1290" s="924">
        <v>2.8</v>
      </c>
    </row>
    <row r="1291" spans="1:2" x14ac:dyDescent="0.25">
      <c r="A1291" s="924">
        <f t="shared" si="20"/>
        <v>1291</v>
      </c>
      <c r="B1291" s="924">
        <v>2.8</v>
      </c>
    </row>
    <row r="1292" spans="1:2" x14ac:dyDescent="0.25">
      <c r="A1292" s="924">
        <f t="shared" si="20"/>
        <v>1292</v>
      </c>
      <c r="B1292" s="924">
        <v>2.8</v>
      </c>
    </row>
    <row r="1293" spans="1:2" x14ac:dyDescent="0.25">
      <c r="A1293" s="924">
        <f t="shared" si="20"/>
        <v>1293</v>
      </c>
      <c r="B1293" s="924">
        <v>2.8</v>
      </c>
    </row>
    <row r="1294" spans="1:2" x14ac:dyDescent="0.25">
      <c r="A1294" s="924">
        <f t="shared" si="20"/>
        <v>1294</v>
      </c>
      <c r="B1294" s="924">
        <v>2.8</v>
      </c>
    </row>
    <row r="1295" spans="1:2" x14ac:dyDescent="0.25">
      <c r="A1295" s="924">
        <f t="shared" si="20"/>
        <v>1295</v>
      </c>
      <c r="B1295" s="924">
        <v>2.8</v>
      </c>
    </row>
    <row r="1296" spans="1:2" x14ac:dyDescent="0.25">
      <c r="A1296" s="924">
        <f t="shared" si="20"/>
        <v>1296</v>
      </c>
      <c r="B1296" s="924">
        <v>2.8</v>
      </c>
    </row>
    <row r="1297" spans="1:2" x14ac:dyDescent="0.25">
      <c r="A1297" s="924">
        <f t="shared" si="20"/>
        <v>1297</v>
      </c>
      <c r="B1297" s="924">
        <v>2.8</v>
      </c>
    </row>
    <row r="1298" spans="1:2" x14ac:dyDescent="0.25">
      <c r="A1298" s="924">
        <f t="shared" si="20"/>
        <v>1298</v>
      </c>
      <c r="B1298" s="924">
        <v>2.8</v>
      </c>
    </row>
    <row r="1299" spans="1:2" x14ac:dyDescent="0.25">
      <c r="A1299" s="924">
        <f t="shared" si="20"/>
        <v>1299</v>
      </c>
      <c r="B1299" s="924">
        <v>2.8</v>
      </c>
    </row>
    <row r="1300" spans="1:2" x14ac:dyDescent="0.25">
      <c r="A1300" s="924">
        <f t="shared" si="20"/>
        <v>1300</v>
      </c>
      <c r="B1300" s="924">
        <v>2.8</v>
      </c>
    </row>
    <row r="1301" spans="1:2" x14ac:dyDescent="0.25">
      <c r="A1301" s="924">
        <f t="shared" si="20"/>
        <v>1301</v>
      </c>
      <c r="B1301" s="924">
        <v>2.8</v>
      </c>
    </row>
    <row r="1302" spans="1:2" x14ac:dyDescent="0.25">
      <c r="A1302" s="924">
        <f t="shared" si="20"/>
        <v>1302</v>
      </c>
      <c r="B1302" s="924">
        <v>2.8</v>
      </c>
    </row>
    <row r="1303" spans="1:2" x14ac:dyDescent="0.25">
      <c r="A1303" s="924">
        <f t="shared" si="20"/>
        <v>1303</v>
      </c>
      <c r="B1303" s="924">
        <v>2.8</v>
      </c>
    </row>
    <row r="1304" spans="1:2" x14ac:dyDescent="0.25">
      <c r="A1304" s="924">
        <f t="shared" si="20"/>
        <v>1304</v>
      </c>
      <c r="B1304" s="924">
        <v>2.8</v>
      </c>
    </row>
    <row r="1305" spans="1:2" x14ac:dyDescent="0.25">
      <c r="A1305" s="924">
        <f t="shared" si="20"/>
        <v>1305</v>
      </c>
      <c r="B1305" s="924">
        <v>2.8</v>
      </c>
    </row>
    <row r="1306" spans="1:2" x14ac:dyDescent="0.25">
      <c r="A1306" s="924">
        <f t="shared" si="20"/>
        <v>1306</v>
      </c>
      <c r="B1306" s="924">
        <v>2.8</v>
      </c>
    </row>
    <row r="1307" spans="1:2" x14ac:dyDescent="0.25">
      <c r="A1307" s="924">
        <f t="shared" si="20"/>
        <v>1307</v>
      </c>
      <c r="B1307" s="924">
        <v>2.8</v>
      </c>
    </row>
    <row r="1308" spans="1:2" x14ac:dyDescent="0.25">
      <c r="A1308" s="924">
        <f t="shared" si="20"/>
        <v>1308</v>
      </c>
      <c r="B1308" s="924">
        <v>2.8</v>
      </c>
    </row>
    <row r="1309" spans="1:2" x14ac:dyDescent="0.25">
      <c r="A1309" s="924">
        <f t="shared" si="20"/>
        <v>1309</v>
      </c>
      <c r="B1309" s="924">
        <v>2.8</v>
      </c>
    </row>
    <row r="1310" spans="1:2" x14ac:dyDescent="0.25">
      <c r="A1310" s="924">
        <f t="shared" si="20"/>
        <v>1310</v>
      </c>
      <c r="B1310" s="924">
        <v>2.8</v>
      </c>
    </row>
    <row r="1311" spans="1:2" x14ac:dyDescent="0.25">
      <c r="A1311" s="924">
        <f t="shared" si="20"/>
        <v>1311</v>
      </c>
      <c r="B1311" s="924">
        <v>2.8</v>
      </c>
    </row>
    <row r="1312" spans="1:2" x14ac:dyDescent="0.25">
      <c r="A1312" s="924">
        <f t="shared" si="20"/>
        <v>1312</v>
      </c>
      <c r="B1312" s="924">
        <v>2.8</v>
      </c>
    </row>
    <row r="1313" spans="1:2" x14ac:dyDescent="0.25">
      <c r="A1313" s="924">
        <f t="shared" si="20"/>
        <v>1313</v>
      </c>
      <c r="B1313" s="924">
        <v>2.8</v>
      </c>
    </row>
    <row r="1314" spans="1:2" x14ac:dyDescent="0.25">
      <c r="A1314" s="924">
        <f t="shared" si="20"/>
        <v>1314</v>
      </c>
      <c r="B1314" s="924">
        <v>2.8</v>
      </c>
    </row>
    <row r="1315" spans="1:2" x14ac:dyDescent="0.25">
      <c r="A1315" s="924">
        <f t="shared" si="20"/>
        <v>1315</v>
      </c>
      <c r="B1315" s="924">
        <v>2.9</v>
      </c>
    </row>
    <row r="1316" spans="1:2" x14ac:dyDescent="0.25">
      <c r="A1316" s="924">
        <f t="shared" si="20"/>
        <v>1316</v>
      </c>
      <c r="B1316" s="924">
        <v>2.9</v>
      </c>
    </row>
    <row r="1317" spans="1:2" x14ac:dyDescent="0.25">
      <c r="A1317" s="924">
        <f t="shared" si="20"/>
        <v>1317</v>
      </c>
      <c r="B1317" s="924">
        <v>2.9</v>
      </c>
    </row>
    <row r="1318" spans="1:2" x14ac:dyDescent="0.25">
      <c r="A1318" s="924">
        <f t="shared" si="20"/>
        <v>1318</v>
      </c>
      <c r="B1318" s="924">
        <v>2.9</v>
      </c>
    </row>
    <row r="1319" spans="1:2" x14ac:dyDescent="0.25">
      <c r="A1319" s="924">
        <f t="shared" si="20"/>
        <v>1319</v>
      </c>
      <c r="B1319" s="924">
        <v>2.9</v>
      </c>
    </row>
    <row r="1320" spans="1:2" x14ac:dyDescent="0.25">
      <c r="A1320" s="924">
        <f t="shared" si="20"/>
        <v>1320</v>
      </c>
      <c r="B1320" s="924">
        <v>2.9</v>
      </c>
    </row>
    <row r="1321" spans="1:2" x14ac:dyDescent="0.25">
      <c r="A1321" s="924">
        <f t="shared" si="20"/>
        <v>1321</v>
      </c>
      <c r="B1321" s="924">
        <v>2.9</v>
      </c>
    </row>
    <row r="1322" spans="1:2" x14ac:dyDescent="0.25">
      <c r="A1322" s="924">
        <f t="shared" si="20"/>
        <v>1322</v>
      </c>
      <c r="B1322" s="924">
        <v>2.9</v>
      </c>
    </row>
    <row r="1323" spans="1:2" x14ac:dyDescent="0.25">
      <c r="A1323" s="924">
        <f t="shared" si="20"/>
        <v>1323</v>
      </c>
      <c r="B1323" s="924">
        <v>2.9</v>
      </c>
    </row>
    <row r="1324" spans="1:2" x14ac:dyDescent="0.25">
      <c r="A1324" s="924">
        <f t="shared" si="20"/>
        <v>1324</v>
      </c>
      <c r="B1324" s="924">
        <v>2.9</v>
      </c>
    </row>
    <row r="1325" spans="1:2" x14ac:dyDescent="0.25">
      <c r="A1325" s="924">
        <f t="shared" si="20"/>
        <v>1325</v>
      </c>
      <c r="B1325" s="924">
        <v>2.9</v>
      </c>
    </row>
    <row r="1326" spans="1:2" x14ac:dyDescent="0.25">
      <c r="A1326" s="924">
        <f t="shared" si="20"/>
        <v>1326</v>
      </c>
      <c r="B1326" s="924">
        <v>2.9</v>
      </c>
    </row>
    <row r="1327" spans="1:2" x14ac:dyDescent="0.25">
      <c r="A1327" s="924">
        <f t="shared" si="20"/>
        <v>1327</v>
      </c>
      <c r="B1327" s="924">
        <v>2.9</v>
      </c>
    </row>
    <row r="1328" spans="1:2" x14ac:dyDescent="0.25">
      <c r="A1328" s="924">
        <f t="shared" si="20"/>
        <v>1328</v>
      </c>
      <c r="B1328" s="924">
        <v>2.9</v>
      </c>
    </row>
    <row r="1329" spans="1:2" x14ac:dyDescent="0.25">
      <c r="A1329" s="924">
        <f t="shared" si="20"/>
        <v>1329</v>
      </c>
      <c r="B1329" s="924">
        <v>2.9</v>
      </c>
    </row>
    <row r="1330" spans="1:2" x14ac:dyDescent="0.25">
      <c r="A1330" s="924">
        <f t="shared" si="20"/>
        <v>1330</v>
      </c>
      <c r="B1330" s="924">
        <v>2.9</v>
      </c>
    </row>
    <row r="1331" spans="1:2" x14ac:dyDescent="0.25">
      <c r="A1331" s="924">
        <f t="shared" si="20"/>
        <v>1331</v>
      </c>
      <c r="B1331" s="924">
        <v>2.9</v>
      </c>
    </row>
    <row r="1332" spans="1:2" x14ac:dyDescent="0.25">
      <c r="A1332" s="924">
        <f t="shared" si="20"/>
        <v>1332</v>
      </c>
      <c r="B1332" s="924">
        <v>2.9</v>
      </c>
    </row>
    <row r="1333" spans="1:2" x14ac:dyDescent="0.25">
      <c r="A1333" s="924">
        <f t="shared" si="20"/>
        <v>1333</v>
      </c>
      <c r="B1333" s="924">
        <v>2.9</v>
      </c>
    </row>
    <row r="1334" spans="1:2" x14ac:dyDescent="0.25">
      <c r="A1334" s="924">
        <f t="shared" si="20"/>
        <v>1334</v>
      </c>
      <c r="B1334" s="924">
        <v>2.9</v>
      </c>
    </row>
    <row r="1335" spans="1:2" x14ac:dyDescent="0.25">
      <c r="A1335" s="924">
        <f t="shared" si="20"/>
        <v>1335</v>
      </c>
      <c r="B1335" s="924">
        <v>2.9</v>
      </c>
    </row>
    <row r="1336" spans="1:2" x14ac:dyDescent="0.25">
      <c r="A1336" s="924">
        <f t="shared" si="20"/>
        <v>1336</v>
      </c>
      <c r="B1336" s="924">
        <v>2.9</v>
      </c>
    </row>
    <row r="1337" spans="1:2" x14ac:dyDescent="0.25">
      <c r="A1337" s="924">
        <f t="shared" si="20"/>
        <v>1337</v>
      </c>
      <c r="B1337" s="924">
        <v>2.9</v>
      </c>
    </row>
    <row r="1338" spans="1:2" x14ac:dyDescent="0.25">
      <c r="A1338" s="924">
        <f t="shared" si="20"/>
        <v>1338</v>
      </c>
      <c r="B1338" s="924">
        <v>2.9</v>
      </c>
    </row>
    <row r="1339" spans="1:2" x14ac:dyDescent="0.25">
      <c r="A1339" s="924">
        <f t="shared" si="20"/>
        <v>1339</v>
      </c>
      <c r="B1339" s="924">
        <v>2.9</v>
      </c>
    </row>
    <row r="1340" spans="1:2" x14ac:dyDescent="0.25">
      <c r="A1340" s="924">
        <f t="shared" si="20"/>
        <v>1340</v>
      </c>
      <c r="B1340" s="924">
        <v>2.9</v>
      </c>
    </row>
    <row r="1341" spans="1:2" x14ac:dyDescent="0.25">
      <c r="A1341" s="924">
        <f t="shared" si="20"/>
        <v>1341</v>
      </c>
      <c r="B1341" s="924">
        <v>2.9</v>
      </c>
    </row>
    <row r="1342" spans="1:2" x14ac:dyDescent="0.25">
      <c r="A1342" s="924">
        <f t="shared" si="20"/>
        <v>1342</v>
      </c>
      <c r="B1342" s="924">
        <v>2.9</v>
      </c>
    </row>
    <row r="1343" spans="1:2" x14ac:dyDescent="0.25">
      <c r="A1343" s="924">
        <f t="shared" si="20"/>
        <v>1343</v>
      </c>
      <c r="B1343" s="924">
        <v>2.9</v>
      </c>
    </row>
    <row r="1344" spans="1:2" x14ac:dyDescent="0.25">
      <c r="A1344" s="924">
        <f t="shared" si="20"/>
        <v>1344</v>
      </c>
      <c r="B1344" s="924">
        <v>3</v>
      </c>
    </row>
    <row r="1345" spans="1:2" x14ac:dyDescent="0.25">
      <c r="A1345" s="924">
        <f t="shared" si="20"/>
        <v>1345</v>
      </c>
      <c r="B1345" s="924">
        <v>3</v>
      </c>
    </row>
    <row r="1346" spans="1:2" x14ac:dyDescent="0.25">
      <c r="A1346" s="924">
        <f t="shared" si="20"/>
        <v>1346</v>
      </c>
      <c r="B1346" s="924">
        <v>3</v>
      </c>
    </row>
    <row r="1347" spans="1:2" x14ac:dyDescent="0.25">
      <c r="A1347" s="924">
        <f t="shared" ref="A1347:A1410" si="21">A1346+1</f>
        <v>1347</v>
      </c>
      <c r="B1347" s="924">
        <v>3</v>
      </c>
    </row>
    <row r="1348" spans="1:2" x14ac:dyDescent="0.25">
      <c r="A1348" s="924">
        <f t="shared" si="21"/>
        <v>1348</v>
      </c>
      <c r="B1348" s="924">
        <v>3</v>
      </c>
    </row>
    <row r="1349" spans="1:2" x14ac:dyDescent="0.25">
      <c r="A1349" s="924">
        <f t="shared" si="21"/>
        <v>1349</v>
      </c>
      <c r="B1349" s="924">
        <v>3</v>
      </c>
    </row>
    <row r="1350" spans="1:2" x14ac:dyDescent="0.25">
      <c r="A1350" s="924">
        <f t="shared" si="21"/>
        <v>1350</v>
      </c>
      <c r="B1350" s="924">
        <v>3</v>
      </c>
    </row>
    <row r="1351" spans="1:2" x14ac:dyDescent="0.25">
      <c r="A1351" s="924">
        <f t="shared" si="21"/>
        <v>1351</v>
      </c>
      <c r="B1351" s="924">
        <v>3</v>
      </c>
    </row>
    <row r="1352" spans="1:2" x14ac:dyDescent="0.25">
      <c r="A1352" s="924">
        <f t="shared" si="21"/>
        <v>1352</v>
      </c>
      <c r="B1352" s="924">
        <v>3</v>
      </c>
    </row>
    <row r="1353" spans="1:2" x14ac:dyDescent="0.25">
      <c r="A1353" s="924">
        <f t="shared" si="21"/>
        <v>1353</v>
      </c>
      <c r="B1353" s="924">
        <v>3</v>
      </c>
    </row>
    <row r="1354" spans="1:2" x14ac:dyDescent="0.25">
      <c r="A1354" s="924">
        <f t="shared" si="21"/>
        <v>1354</v>
      </c>
      <c r="B1354" s="924">
        <v>3</v>
      </c>
    </row>
    <row r="1355" spans="1:2" x14ac:dyDescent="0.25">
      <c r="A1355" s="924">
        <f t="shared" si="21"/>
        <v>1355</v>
      </c>
      <c r="B1355" s="924">
        <v>3</v>
      </c>
    </row>
    <row r="1356" spans="1:2" x14ac:dyDescent="0.25">
      <c r="A1356" s="924">
        <f t="shared" si="21"/>
        <v>1356</v>
      </c>
      <c r="B1356" s="924">
        <v>3</v>
      </c>
    </row>
    <row r="1357" spans="1:2" x14ac:dyDescent="0.25">
      <c r="A1357" s="924">
        <f t="shared" si="21"/>
        <v>1357</v>
      </c>
      <c r="B1357" s="924">
        <v>3</v>
      </c>
    </row>
    <row r="1358" spans="1:2" x14ac:dyDescent="0.25">
      <c r="A1358" s="924">
        <f t="shared" si="21"/>
        <v>1358</v>
      </c>
      <c r="B1358" s="924">
        <v>3</v>
      </c>
    </row>
    <row r="1359" spans="1:2" x14ac:dyDescent="0.25">
      <c r="A1359" s="924">
        <f t="shared" si="21"/>
        <v>1359</v>
      </c>
      <c r="B1359" s="924">
        <v>3</v>
      </c>
    </row>
    <row r="1360" spans="1:2" x14ac:dyDescent="0.25">
      <c r="A1360" s="924">
        <f t="shared" si="21"/>
        <v>1360</v>
      </c>
      <c r="B1360" s="924">
        <v>3</v>
      </c>
    </row>
    <row r="1361" spans="1:2" x14ac:dyDescent="0.25">
      <c r="A1361" s="924">
        <f t="shared" si="21"/>
        <v>1361</v>
      </c>
      <c r="B1361" s="924">
        <v>3</v>
      </c>
    </row>
    <row r="1362" spans="1:2" x14ac:dyDescent="0.25">
      <c r="A1362" s="924">
        <f t="shared" si="21"/>
        <v>1362</v>
      </c>
      <c r="B1362" s="924">
        <v>3</v>
      </c>
    </row>
    <row r="1363" spans="1:2" x14ac:dyDescent="0.25">
      <c r="A1363" s="924">
        <f t="shared" si="21"/>
        <v>1363</v>
      </c>
      <c r="B1363" s="924">
        <v>3</v>
      </c>
    </row>
    <row r="1364" spans="1:2" x14ac:dyDescent="0.25">
      <c r="A1364" s="924">
        <f t="shared" si="21"/>
        <v>1364</v>
      </c>
      <c r="B1364" s="924">
        <v>3</v>
      </c>
    </row>
    <row r="1365" spans="1:2" x14ac:dyDescent="0.25">
      <c r="A1365" s="924">
        <f t="shared" si="21"/>
        <v>1365</v>
      </c>
      <c r="B1365" s="924">
        <v>3</v>
      </c>
    </row>
    <row r="1366" spans="1:2" x14ac:dyDescent="0.25">
      <c r="A1366" s="924">
        <f t="shared" si="21"/>
        <v>1366</v>
      </c>
      <c r="B1366" s="924">
        <v>3</v>
      </c>
    </row>
    <row r="1367" spans="1:2" x14ac:dyDescent="0.25">
      <c r="A1367" s="924">
        <f t="shared" si="21"/>
        <v>1367</v>
      </c>
      <c r="B1367" s="924">
        <v>3</v>
      </c>
    </row>
    <row r="1368" spans="1:2" x14ac:dyDescent="0.25">
      <c r="A1368" s="924">
        <f t="shared" si="21"/>
        <v>1368</v>
      </c>
      <c r="B1368" s="924">
        <v>3</v>
      </c>
    </row>
    <row r="1369" spans="1:2" x14ac:dyDescent="0.25">
      <c r="A1369" s="924">
        <f t="shared" si="21"/>
        <v>1369</v>
      </c>
      <c r="B1369" s="924">
        <v>3</v>
      </c>
    </row>
    <row r="1370" spans="1:2" x14ac:dyDescent="0.25">
      <c r="A1370" s="924">
        <f t="shared" si="21"/>
        <v>1370</v>
      </c>
      <c r="B1370" s="924">
        <v>3</v>
      </c>
    </row>
    <row r="1371" spans="1:2" x14ac:dyDescent="0.25">
      <c r="A1371" s="924">
        <f t="shared" si="21"/>
        <v>1371</v>
      </c>
      <c r="B1371" s="924">
        <v>3</v>
      </c>
    </row>
    <row r="1372" spans="1:2" x14ac:dyDescent="0.25">
      <c r="A1372" s="924">
        <f t="shared" si="21"/>
        <v>1372</v>
      </c>
      <c r="B1372" s="924">
        <v>3</v>
      </c>
    </row>
    <row r="1373" spans="1:2" x14ac:dyDescent="0.25">
      <c r="A1373" s="924">
        <f t="shared" si="21"/>
        <v>1373</v>
      </c>
      <c r="B1373" s="924">
        <v>3</v>
      </c>
    </row>
    <row r="1374" spans="1:2" x14ac:dyDescent="0.25">
      <c r="A1374" s="924">
        <f t="shared" si="21"/>
        <v>1374</v>
      </c>
      <c r="B1374" s="924">
        <v>3</v>
      </c>
    </row>
    <row r="1375" spans="1:2" x14ac:dyDescent="0.25">
      <c r="A1375" s="924">
        <f t="shared" si="21"/>
        <v>1375</v>
      </c>
      <c r="B1375" s="924">
        <v>3.1</v>
      </c>
    </row>
    <row r="1376" spans="1:2" x14ac:dyDescent="0.25">
      <c r="A1376" s="924">
        <f t="shared" si="21"/>
        <v>1376</v>
      </c>
      <c r="B1376" s="924">
        <v>3.1</v>
      </c>
    </row>
    <row r="1377" spans="1:2" x14ac:dyDescent="0.25">
      <c r="A1377" s="924">
        <f t="shared" si="21"/>
        <v>1377</v>
      </c>
      <c r="B1377" s="924">
        <v>3.1</v>
      </c>
    </row>
    <row r="1378" spans="1:2" x14ac:dyDescent="0.25">
      <c r="A1378" s="924">
        <f t="shared" si="21"/>
        <v>1378</v>
      </c>
      <c r="B1378" s="924">
        <v>3.1</v>
      </c>
    </row>
    <row r="1379" spans="1:2" x14ac:dyDescent="0.25">
      <c r="A1379" s="924">
        <f t="shared" si="21"/>
        <v>1379</v>
      </c>
      <c r="B1379" s="924">
        <v>3.1</v>
      </c>
    </row>
    <row r="1380" spans="1:2" x14ac:dyDescent="0.25">
      <c r="A1380" s="924">
        <f t="shared" si="21"/>
        <v>1380</v>
      </c>
      <c r="B1380" s="924">
        <v>3.1</v>
      </c>
    </row>
    <row r="1381" spans="1:2" x14ac:dyDescent="0.25">
      <c r="A1381" s="924">
        <f t="shared" si="21"/>
        <v>1381</v>
      </c>
      <c r="B1381" s="924">
        <v>3.1</v>
      </c>
    </row>
    <row r="1382" spans="1:2" x14ac:dyDescent="0.25">
      <c r="A1382" s="924">
        <f t="shared" si="21"/>
        <v>1382</v>
      </c>
      <c r="B1382" s="924">
        <v>3.1</v>
      </c>
    </row>
    <row r="1383" spans="1:2" x14ac:dyDescent="0.25">
      <c r="A1383" s="924">
        <f t="shared" si="21"/>
        <v>1383</v>
      </c>
      <c r="B1383" s="924">
        <v>3.1</v>
      </c>
    </row>
    <row r="1384" spans="1:2" x14ac:dyDescent="0.25">
      <c r="A1384" s="924">
        <f t="shared" si="21"/>
        <v>1384</v>
      </c>
      <c r="B1384" s="924">
        <v>3.1</v>
      </c>
    </row>
    <row r="1385" spans="1:2" x14ac:dyDescent="0.25">
      <c r="A1385" s="924">
        <f t="shared" si="21"/>
        <v>1385</v>
      </c>
      <c r="B1385" s="924">
        <v>3.1</v>
      </c>
    </row>
    <row r="1386" spans="1:2" x14ac:dyDescent="0.25">
      <c r="A1386" s="924">
        <f t="shared" si="21"/>
        <v>1386</v>
      </c>
      <c r="B1386" s="924">
        <v>3.1</v>
      </c>
    </row>
    <row r="1387" spans="1:2" x14ac:dyDescent="0.25">
      <c r="A1387" s="924">
        <f t="shared" si="21"/>
        <v>1387</v>
      </c>
      <c r="B1387" s="924">
        <v>3.1</v>
      </c>
    </row>
    <row r="1388" spans="1:2" x14ac:dyDescent="0.25">
      <c r="A1388" s="924">
        <f t="shared" si="21"/>
        <v>1388</v>
      </c>
      <c r="B1388" s="924">
        <v>3.1</v>
      </c>
    </row>
    <row r="1389" spans="1:2" x14ac:dyDescent="0.25">
      <c r="A1389" s="924">
        <f t="shared" si="21"/>
        <v>1389</v>
      </c>
      <c r="B1389" s="924">
        <v>3.1</v>
      </c>
    </row>
    <row r="1390" spans="1:2" x14ac:dyDescent="0.25">
      <c r="A1390" s="924">
        <f t="shared" si="21"/>
        <v>1390</v>
      </c>
      <c r="B1390" s="924">
        <v>3.1</v>
      </c>
    </row>
    <row r="1391" spans="1:2" x14ac:dyDescent="0.25">
      <c r="A1391" s="924">
        <f t="shared" si="21"/>
        <v>1391</v>
      </c>
      <c r="B1391" s="924">
        <v>3.1</v>
      </c>
    </row>
    <row r="1392" spans="1:2" x14ac:dyDescent="0.25">
      <c r="A1392" s="924">
        <f t="shared" si="21"/>
        <v>1392</v>
      </c>
      <c r="B1392" s="924">
        <v>3.1</v>
      </c>
    </row>
    <row r="1393" spans="1:2" x14ac:dyDescent="0.25">
      <c r="A1393" s="924">
        <f t="shared" si="21"/>
        <v>1393</v>
      </c>
      <c r="B1393" s="924">
        <v>3.1</v>
      </c>
    </row>
    <row r="1394" spans="1:2" x14ac:dyDescent="0.25">
      <c r="A1394" s="924">
        <f t="shared" si="21"/>
        <v>1394</v>
      </c>
      <c r="B1394" s="924">
        <v>3.1</v>
      </c>
    </row>
    <row r="1395" spans="1:2" x14ac:dyDescent="0.25">
      <c r="A1395" s="924">
        <f t="shared" si="21"/>
        <v>1395</v>
      </c>
      <c r="B1395" s="924">
        <v>3.1</v>
      </c>
    </row>
    <row r="1396" spans="1:2" x14ac:dyDescent="0.25">
      <c r="A1396" s="924">
        <f t="shared" si="21"/>
        <v>1396</v>
      </c>
      <c r="B1396" s="924">
        <v>3.1</v>
      </c>
    </row>
    <row r="1397" spans="1:2" x14ac:dyDescent="0.25">
      <c r="A1397" s="924">
        <f t="shared" si="21"/>
        <v>1397</v>
      </c>
      <c r="B1397" s="924">
        <v>3.1</v>
      </c>
    </row>
    <row r="1398" spans="1:2" x14ac:dyDescent="0.25">
      <c r="A1398" s="924">
        <f t="shared" si="21"/>
        <v>1398</v>
      </c>
      <c r="B1398" s="924">
        <v>3.2</v>
      </c>
    </row>
    <row r="1399" spans="1:2" x14ac:dyDescent="0.25">
      <c r="A1399" s="924">
        <f t="shared" si="21"/>
        <v>1399</v>
      </c>
      <c r="B1399" s="924">
        <v>3.2</v>
      </c>
    </row>
    <row r="1400" spans="1:2" x14ac:dyDescent="0.25">
      <c r="A1400" s="924">
        <f t="shared" si="21"/>
        <v>1400</v>
      </c>
      <c r="B1400" s="924">
        <v>3.2</v>
      </c>
    </row>
    <row r="1401" spans="1:2" x14ac:dyDescent="0.25">
      <c r="A1401" s="924">
        <f t="shared" si="21"/>
        <v>1401</v>
      </c>
      <c r="B1401" s="924">
        <v>3.2</v>
      </c>
    </row>
    <row r="1402" spans="1:2" x14ac:dyDescent="0.25">
      <c r="A1402" s="924">
        <f t="shared" si="21"/>
        <v>1402</v>
      </c>
      <c r="B1402" s="924">
        <v>3.2</v>
      </c>
    </row>
    <row r="1403" spans="1:2" x14ac:dyDescent="0.25">
      <c r="A1403" s="924">
        <f t="shared" si="21"/>
        <v>1403</v>
      </c>
      <c r="B1403" s="924">
        <v>3.2</v>
      </c>
    </row>
    <row r="1404" spans="1:2" x14ac:dyDescent="0.25">
      <c r="A1404" s="924">
        <f t="shared" si="21"/>
        <v>1404</v>
      </c>
      <c r="B1404" s="924">
        <v>3.2</v>
      </c>
    </row>
    <row r="1405" spans="1:2" x14ac:dyDescent="0.25">
      <c r="A1405" s="924">
        <f t="shared" si="21"/>
        <v>1405</v>
      </c>
      <c r="B1405" s="924">
        <v>3.2</v>
      </c>
    </row>
    <row r="1406" spans="1:2" x14ac:dyDescent="0.25">
      <c r="A1406" s="924">
        <f t="shared" si="21"/>
        <v>1406</v>
      </c>
      <c r="B1406" s="924">
        <v>3.2</v>
      </c>
    </row>
    <row r="1407" spans="1:2" x14ac:dyDescent="0.25">
      <c r="A1407" s="924">
        <f t="shared" si="21"/>
        <v>1407</v>
      </c>
      <c r="B1407" s="924">
        <v>3.2</v>
      </c>
    </row>
    <row r="1408" spans="1:2" x14ac:dyDescent="0.25">
      <c r="A1408" s="924">
        <f t="shared" si="21"/>
        <v>1408</v>
      </c>
      <c r="B1408" s="924">
        <v>3.2</v>
      </c>
    </row>
    <row r="1409" spans="1:2" x14ac:dyDescent="0.25">
      <c r="A1409" s="924">
        <f t="shared" si="21"/>
        <v>1409</v>
      </c>
      <c r="B1409" s="924">
        <v>3.2</v>
      </c>
    </row>
    <row r="1410" spans="1:2" x14ac:dyDescent="0.25">
      <c r="A1410" s="924">
        <f t="shared" si="21"/>
        <v>1410</v>
      </c>
      <c r="B1410" s="924">
        <v>3.2</v>
      </c>
    </row>
    <row r="1411" spans="1:2" x14ac:dyDescent="0.25">
      <c r="A1411" s="924">
        <f t="shared" ref="A1411:A1474" si="22">A1410+1</f>
        <v>1411</v>
      </c>
      <c r="B1411" s="924">
        <v>3.2</v>
      </c>
    </row>
    <row r="1412" spans="1:2" x14ac:dyDescent="0.25">
      <c r="A1412" s="924">
        <f t="shared" si="22"/>
        <v>1412</v>
      </c>
      <c r="B1412" s="924">
        <v>3.2</v>
      </c>
    </row>
    <row r="1413" spans="1:2" x14ac:dyDescent="0.25">
      <c r="A1413" s="924">
        <f t="shared" si="22"/>
        <v>1413</v>
      </c>
      <c r="B1413" s="924">
        <v>3.2</v>
      </c>
    </row>
    <row r="1414" spans="1:2" x14ac:dyDescent="0.25">
      <c r="A1414" s="924">
        <f t="shared" si="22"/>
        <v>1414</v>
      </c>
      <c r="B1414" s="924">
        <v>3.2</v>
      </c>
    </row>
    <row r="1415" spans="1:2" x14ac:dyDescent="0.25">
      <c r="A1415" s="924">
        <f t="shared" si="22"/>
        <v>1415</v>
      </c>
      <c r="B1415" s="924">
        <v>3.2</v>
      </c>
    </row>
    <row r="1416" spans="1:2" x14ac:dyDescent="0.25">
      <c r="A1416" s="924">
        <f t="shared" si="22"/>
        <v>1416</v>
      </c>
      <c r="B1416" s="924">
        <v>3.2</v>
      </c>
    </row>
    <row r="1417" spans="1:2" x14ac:dyDescent="0.25">
      <c r="A1417" s="924">
        <f t="shared" si="22"/>
        <v>1417</v>
      </c>
      <c r="B1417" s="924">
        <v>3.2</v>
      </c>
    </row>
    <row r="1418" spans="1:2" x14ac:dyDescent="0.25">
      <c r="A1418" s="924">
        <f t="shared" si="22"/>
        <v>1418</v>
      </c>
      <c r="B1418" s="924">
        <v>3.2</v>
      </c>
    </row>
    <row r="1419" spans="1:2" x14ac:dyDescent="0.25">
      <c r="A1419" s="924">
        <f t="shared" si="22"/>
        <v>1419</v>
      </c>
      <c r="B1419" s="924">
        <v>3.2</v>
      </c>
    </row>
    <row r="1420" spans="1:2" x14ac:dyDescent="0.25">
      <c r="A1420" s="924">
        <f t="shared" si="22"/>
        <v>1420</v>
      </c>
      <c r="B1420" s="924">
        <v>3.2</v>
      </c>
    </row>
    <row r="1421" spans="1:2" x14ac:dyDescent="0.25">
      <c r="A1421" s="924">
        <f t="shared" si="22"/>
        <v>1421</v>
      </c>
      <c r="B1421" s="924">
        <v>3.2</v>
      </c>
    </row>
    <row r="1422" spans="1:2" x14ac:dyDescent="0.25">
      <c r="A1422" s="924">
        <f t="shared" si="22"/>
        <v>1422</v>
      </c>
      <c r="B1422" s="924">
        <v>3.2</v>
      </c>
    </row>
    <row r="1423" spans="1:2" x14ac:dyDescent="0.25">
      <c r="A1423" s="924">
        <f t="shared" si="22"/>
        <v>1423</v>
      </c>
      <c r="B1423" s="924">
        <v>3.2</v>
      </c>
    </row>
    <row r="1424" spans="1:2" x14ac:dyDescent="0.25">
      <c r="A1424" s="924">
        <f t="shared" si="22"/>
        <v>1424</v>
      </c>
      <c r="B1424" s="924">
        <v>3.2</v>
      </c>
    </row>
    <row r="1425" spans="1:2" x14ac:dyDescent="0.25">
      <c r="A1425" s="924">
        <f t="shared" si="22"/>
        <v>1425</v>
      </c>
      <c r="B1425" s="924">
        <v>3.2</v>
      </c>
    </row>
    <row r="1426" spans="1:2" x14ac:dyDescent="0.25">
      <c r="A1426" s="924">
        <f t="shared" si="22"/>
        <v>1426</v>
      </c>
      <c r="B1426" s="924">
        <v>3.2</v>
      </c>
    </row>
    <row r="1427" spans="1:2" x14ac:dyDescent="0.25">
      <c r="A1427" s="924">
        <f t="shared" si="22"/>
        <v>1427</v>
      </c>
      <c r="B1427" s="924">
        <v>3.3</v>
      </c>
    </row>
    <row r="1428" spans="1:2" x14ac:dyDescent="0.25">
      <c r="A1428" s="924">
        <f t="shared" si="22"/>
        <v>1428</v>
      </c>
      <c r="B1428" s="924">
        <v>3.3</v>
      </c>
    </row>
    <row r="1429" spans="1:2" x14ac:dyDescent="0.25">
      <c r="A1429" s="924">
        <f t="shared" si="22"/>
        <v>1429</v>
      </c>
      <c r="B1429" s="924">
        <v>3.3</v>
      </c>
    </row>
    <row r="1430" spans="1:2" x14ac:dyDescent="0.25">
      <c r="A1430" s="924">
        <f t="shared" si="22"/>
        <v>1430</v>
      </c>
      <c r="B1430" s="924">
        <v>3.3</v>
      </c>
    </row>
    <row r="1431" spans="1:2" x14ac:dyDescent="0.25">
      <c r="A1431" s="924">
        <f t="shared" si="22"/>
        <v>1431</v>
      </c>
      <c r="B1431" s="924">
        <v>3.3</v>
      </c>
    </row>
    <row r="1432" spans="1:2" x14ac:dyDescent="0.25">
      <c r="A1432" s="924">
        <f t="shared" si="22"/>
        <v>1432</v>
      </c>
      <c r="B1432" s="924">
        <v>3.3</v>
      </c>
    </row>
    <row r="1433" spans="1:2" x14ac:dyDescent="0.25">
      <c r="A1433" s="924">
        <f t="shared" si="22"/>
        <v>1433</v>
      </c>
      <c r="B1433" s="924">
        <v>3.3</v>
      </c>
    </row>
    <row r="1434" spans="1:2" x14ac:dyDescent="0.25">
      <c r="A1434" s="924">
        <f t="shared" si="22"/>
        <v>1434</v>
      </c>
      <c r="B1434" s="924">
        <v>3.3</v>
      </c>
    </row>
    <row r="1435" spans="1:2" x14ac:dyDescent="0.25">
      <c r="A1435" s="924">
        <f t="shared" si="22"/>
        <v>1435</v>
      </c>
      <c r="B1435" s="924">
        <v>3.3</v>
      </c>
    </row>
    <row r="1436" spans="1:2" x14ac:dyDescent="0.25">
      <c r="A1436" s="924">
        <f t="shared" si="22"/>
        <v>1436</v>
      </c>
      <c r="B1436" s="924">
        <v>3.3</v>
      </c>
    </row>
    <row r="1437" spans="1:2" x14ac:dyDescent="0.25">
      <c r="A1437" s="924">
        <f t="shared" si="22"/>
        <v>1437</v>
      </c>
      <c r="B1437" s="924">
        <v>3.3</v>
      </c>
    </row>
    <row r="1438" spans="1:2" x14ac:dyDescent="0.25">
      <c r="A1438" s="924">
        <f t="shared" si="22"/>
        <v>1438</v>
      </c>
      <c r="B1438" s="924">
        <v>3.3</v>
      </c>
    </row>
    <row r="1439" spans="1:2" x14ac:dyDescent="0.25">
      <c r="A1439" s="924">
        <f t="shared" si="22"/>
        <v>1439</v>
      </c>
      <c r="B1439" s="924">
        <v>3.3</v>
      </c>
    </row>
    <row r="1440" spans="1:2" x14ac:dyDescent="0.25">
      <c r="A1440" s="924">
        <f t="shared" si="22"/>
        <v>1440</v>
      </c>
      <c r="B1440" s="924">
        <v>3.3</v>
      </c>
    </row>
    <row r="1441" spans="1:2" x14ac:dyDescent="0.25">
      <c r="A1441" s="924">
        <f t="shared" si="22"/>
        <v>1441</v>
      </c>
      <c r="B1441" s="924">
        <v>3.3</v>
      </c>
    </row>
    <row r="1442" spans="1:2" x14ac:dyDescent="0.25">
      <c r="A1442" s="924">
        <f t="shared" si="22"/>
        <v>1442</v>
      </c>
      <c r="B1442" s="924">
        <v>3.3</v>
      </c>
    </row>
    <row r="1443" spans="1:2" x14ac:dyDescent="0.25">
      <c r="A1443" s="924">
        <f t="shared" si="22"/>
        <v>1443</v>
      </c>
      <c r="B1443" s="924">
        <v>3.3</v>
      </c>
    </row>
    <row r="1444" spans="1:2" x14ac:dyDescent="0.25">
      <c r="A1444" s="924">
        <f t="shared" si="22"/>
        <v>1444</v>
      </c>
      <c r="B1444" s="924">
        <v>3.3</v>
      </c>
    </row>
    <row r="1445" spans="1:2" x14ac:dyDescent="0.25">
      <c r="A1445" s="924">
        <f t="shared" si="22"/>
        <v>1445</v>
      </c>
      <c r="B1445" s="924">
        <v>3.3</v>
      </c>
    </row>
    <row r="1446" spans="1:2" x14ac:dyDescent="0.25">
      <c r="A1446" s="924">
        <f t="shared" si="22"/>
        <v>1446</v>
      </c>
      <c r="B1446" s="924">
        <v>3.3</v>
      </c>
    </row>
    <row r="1447" spans="1:2" x14ac:dyDescent="0.25">
      <c r="A1447" s="924">
        <f t="shared" si="22"/>
        <v>1447</v>
      </c>
      <c r="B1447" s="924">
        <v>3.3</v>
      </c>
    </row>
    <row r="1448" spans="1:2" x14ac:dyDescent="0.25">
      <c r="A1448" s="924">
        <f t="shared" si="22"/>
        <v>1448</v>
      </c>
      <c r="B1448" s="924">
        <v>3.3</v>
      </c>
    </row>
    <row r="1449" spans="1:2" x14ac:dyDescent="0.25">
      <c r="A1449" s="924">
        <f t="shared" si="22"/>
        <v>1449</v>
      </c>
      <c r="B1449" s="924">
        <v>3.3</v>
      </c>
    </row>
    <row r="1450" spans="1:2" x14ac:dyDescent="0.25">
      <c r="A1450" s="924">
        <f t="shared" si="22"/>
        <v>1450</v>
      </c>
      <c r="B1450" s="924">
        <v>3.3</v>
      </c>
    </row>
    <row r="1451" spans="1:2" x14ac:dyDescent="0.25">
      <c r="A1451" s="924">
        <f t="shared" si="22"/>
        <v>1451</v>
      </c>
      <c r="B1451" s="924">
        <v>3.3</v>
      </c>
    </row>
    <row r="1452" spans="1:2" x14ac:dyDescent="0.25">
      <c r="A1452" s="924">
        <f t="shared" si="22"/>
        <v>1452</v>
      </c>
      <c r="B1452" s="924">
        <v>3.3</v>
      </c>
    </row>
    <row r="1453" spans="1:2" x14ac:dyDescent="0.25">
      <c r="A1453" s="924">
        <f t="shared" si="22"/>
        <v>1453</v>
      </c>
      <c r="B1453" s="924">
        <v>3.3</v>
      </c>
    </row>
    <row r="1454" spans="1:2" x14ac:dyDescent="0.25">
      <c r="A1454" s="924">
        <f t="shared" si="22"/>
        <v>1454</v>
      </c>
      <c r="B1454" s="924">
        <v>3.3</v>
      </c>
    </row>
    <row r="1455" spans="1:2" x14ac:dyDescent="0.25">
      <c r="A1455" s="924">
        <f t="shared" si="22"/>
        <v>1455</v>
      </c>
      <c r="B1455" s="924">
        <v>3.3</v>
      </c>
    </row>
    <row r="1456" spans="1:2" x14ac:dyDescent="0.25">
      <c r="A1456" s="924">
        <f t="shared" si="22"/>
        <v>1456</v>
      </c>
      <c r="B1456" s="924">
        <v>3.3</v>
      </c>
    </row>
    <row r="1457" spans="1:2" x14ac:dyDescent="0.25">
      <c r="A1457" s="924">
        <f t="shared" si="22"/>
        <v>1457</v>
      </c>
      <c r="B1457" s="924">
        <v>3.3</v>
      </c>
    </row>
    <row r="1458" spans="1:2" x14ac:dyDescent="0.25">
      <c r="A1458" s="924">
        <f t="shared" si="22"/>
        <v>1458</v>
      </c>
      <c r="B1458" s="924">
        <v>3.3</v>
      </c>
    </row>
    <row r="1459" spans="1:2" x14ac:dyDescent="0.25">
      <c r="A1459" s="924">
        <f t="shared" si="22"/>
        <v>1459</v>
      </c>
      <c r="B1459" s="924">
        <v>3.3</v>
      </c>
    </row>
    <row r="1460" spans="1:2" x14ac:dyDescent="0.25">
      <c r="A1460" s="924">
        <f t="shared" si="22"/>
        <v>1460</v>
      </c>
      <c r="B1460" s="924">
        <v>3.3</v>
      </c>
    </row>
    <row r="1461" spans="1:2" x14ac:dyDescent="0.25">
      <c r="A1461" s="924">
        <f t="shared" si="22"/>
        <v>1461</v>
      </c>
      <c r="B1461" s="924">
        <v>3.3</v>
      </c>
    </row>
    <row r="1462" spans="1:2" x14ac:dyDescent="0.25">
      <c r="A1462" s="924">
        <f t="shared" si="22"/>
        <v>1462</v>
      </c>
      <c r="B1462" s="924">
        <v>3.3</v>
      </c>
    </row>
    <row r="1463" spans="1:2" x14ac:dyDescent="0.25">
      <c r="A1463" s="924">
        <f t="shared" si="22"/>
        <v>1463</v>
      </c>
      <c r="B1463" s="924">
        <v>3.3</v>
      </c>
    </row>
    <row r="1464" spans="1:2" x14ac:dyDescent="0.25">
      <c r="A1464" s="924">
        <f t="shared" si="22"/>
        <v>1464</v>
      </c>
      <c r="B1464" s="924">
        <v>3.3</v>
      </c>
    </row>
    <row r="1465" spans="1:2" x14ac:dyDescent="0.25">
      <c r="A1465" s="924">
        <f t="shared" si="22"/>
        <v>1465</v>
      </c>
      <c r="B1465" s="924">
        <v>3.3</v>
      </c>
    </row>
    <row r="1466" spans="1:2" x14ac:dyDescent="0.25">
      <c r="A1466" s="924">
        <f t="shared" si="22"/>
        <v>1466</v>
      </c>
      <c r="B1466" s="924">
        <v>3.3</v>
      </c>
    </row>
    <row r="1467" spans="1:2" x14ac:dyDescent="0.25">
      <c r="A1467" s="924">
        <f t="shared" si="22"/>
        <v>1467</v>
      </c>
      <c r="B1467" s="924">
        <v>3.3</v>
      </c>
    </row>
    <row r="1468" spans="1:2" x14ac:dyDescent="0.25">
      <c r="A1468" s="924">
        <f t="shared" si="22"/>
        <v>1468</v>
      </c>
      <c r="B1468" s="924">
        <v>3.3</v>
      </c>
    </row>
    <row r="1469" spans="1:2" x14ac:dyDescent="0.25">
      <c r="A1469" s="924">
        <f t="shared" si="22"/>
        <v>1469</v>
      </c>
      <c r="B1469" s="924">
        <v>3.4</v>
      </c>
    </row>
    <row r="1470" spans="1:2" x14ac:dyDescent="0.25">
      <c r="A1470" s="924">
        <f t="shared" si="22"/>
        <v>1470</v>
      </c>
      <c r="B1470" s="924">
        <v>3.4</v>
      </c>
    </row>
    <row r="1471" spans="1:2" x14ac:dyDescent="0.25">
      <c r="A1471" s="924">
        <f t="shared" si="22"/>
        <v>1471</v>
      </c>
      <c r="B1471" s="924">
        <v>3.4</v>
      </c>
    </row>
    <row r="1472" spans="1:2" x14ac:dyDescent="0.25">
      <c r="A1472" s="924">
        <f t="shared" si="22"/>
        <v>1472</v>
      </c>
      <c r="B1472" s="924">
        <v>3.4</v>
      </c>
    </row>
    <row r="1473" spans="1:2" x14ac:dyDescent="0.25">
      <c r="A1473" s="924">
        <f t="shared" si="22"/>
        <v>1473</v>
      </c>
      <c r="B1473" s="924">
        <v>3.4</v>
      </c>
    </row>
    <row r="1474" spans="1:2" x14ac:dyDescent="0.25">
      <c r="A1474" s="924">
        <f t="shared" si="22"/>
        <v>1474</v>
      </c>
      <c r="B1474" s="924">
        <v>3.4</v>
      </c>
    </row>
    <row r="1475" spans="1:2" x14ac:dyDescent="0.25">
      <c r="A1475" s="924">
        <f t="shared" ref="A1475:A1538" si="23">A1474+1</f>
        <v>1475</v>
      </c>
      <c r="B1475" s="924">
        <v>3.4</v>
      </c>
    </row>
    <row r="1476" spans="1:2" x14ac:dyDescent="0.25">
      <c r="A1476" s="924">
        <f t="shared" si="23"/>
        <v>1476</v>
      </c>
      <c r="B1476" s="924">
        <v>3.4</v>
      </c>
    </row>
    <row r="1477" spans="1:2" x14ac:dyDescent="0.25">
      <c r="A1477" s="924">
        <f t="shared" si="23"/>
        <v>1477</v>
      </c>
      <c r="B1477" s="924">
        <v>3.4</v>
      </c>
    </row>
    <row r="1478" spans="1:2" x14ac:dyDescent="0.25">
      <c r="A1478" s="924">
        <f t="shared" si="23"/>
        <v>1478</v>
      </c>
      <c r="B1478" s="924">
        <v>3.4</v>
      </c>
    </row>
    <row r="1479" spans="1:2" x14ac:dyDescent="0.25">
      <c r="A1479" s="924">
        <f t="shared" si="23"/>
        <v>1479</v>
      </c>
      <c r="B1479" s="924">
        <v>3.4</v>
      </c>
    </row>
    <row r="1480" spans="1:2" x14ac:dyDescent="0.25">
      <c r="A1480" s="924">
        <f t="shared" si="23"/>
        <v>1480</v>
      </c>
      <c r="B1480" s="924">
        <v>3.4</v>
      </c>
    </row>
    <row r="1481" spans="1:2" x14ac:dyDescent="0.25">
      <c r="A1481" s="924">
        <f t="shared" si="23"/>
        <v>1481</v>
      </c>
      <c r="B1481" s="924">
        <v>3.4</v>
      </c>
    </row>
    <row r="1482" spans="1:2" x14ac:dyDescent="0.25">
      <c r="A1482" s="924">
        <f t="shared" si="23"/>
        <v>1482</v>
      </c>
      <c r="B1482" s="924">
        <v>3.4</v>
      </c>
    </row>
    <row r="1483" spans="1:2" x14ac:dyDescent="0.25">
      <c r="A1483" s="924">
        <f t="shared" si="23"/>
        <v>1483</v>
      </c>
      <c r="B1483" s="924">
        <v>3.4</v>
      </c>
    </row>
    <row r="1484" spans="1:2" x14ac:dyDescent="0.25">
      <c r="A1484" s="924">
        <f t="shared" si="23"/>
        <v>1484</v>
      </c>
      <c r="B1484" s="924">
        <v>3.4</v>
      </c>
    </row>
    <row r="1485" spans="1:2" x14ac:dyDescent="0.25">
      <c r="A1485" s="924">
        <f t="shared" si="23"/>
        <v>1485</v>
      </c>
      <c r="B1485" s="924">
        <v>3.4</v>
      </c>
    </row>
    <row r="1486" spans="1:2" x14ac:dyDescent="0.25">
      <c r="A1486" s="924">
        <f t="shared" si="23"/>
        <v>1486</v>
      </c>
      <c r="B1486" s="924">
        <v>3.4</v>
      </c>
    </row>
    <row r="1487" spans="1:2" x14ac:dyDescent="0.25">
      <c r="A1487" s="924">
        <f t="shared" si="23"/>
        <v>1487</v>
      </c>
      <c r="B1487" s="924">
        <v>3.4</v>
      </c>
    </row>
    <row r="1488" spans="1:2" x14ac:dyDescent="0.25">
      <c r="A1488" s="924">
        <f t="shared" si="23"/>
        <v>1488</v>
      </c>
      <c r="B1488" s="924">
        <v>3.4</v>
      </c>
    </row>
    <row r="1489" spans="1:2" x14ac:dyDescent="0.25">
      <c r="A1489" s="924">
        <f t="shared" si="23"/>
        <v>1489</v>
      </c>
      <c r="B1489" s="924">
        <v>3.4</v>
      </c>
    </row>
    <row r="1490" spans="1:2" x14ac:dyDescent="0.25">
      <c r="A1490" s="924">
        <f t="shared" si="23"/>
        <v>1490</v>
      </c>
      <c r="B1490" s="924">
        <v>3.4</v>
      </c>
    </row>
    <row r="1491" spans="1:2" x14ac:dyDescent="0.25">
      <c r="A1491" s="924">
        <f t="shared" si="23"/>
        <v>1491</v>
      </c>
      <c r="B1491" s="924">
        <v>3.4</v>
      </c>
    </row>
    <row r="1492" spans="1:2" x14ac:dyDescent="0.25">
      <c r="A1492" s="924">
        <f t="shared" si="23"/>
        <v>1492</v>
      </c>
      <c r="B1492" s="924">
        <v>3.4</v>
      </c>
    </row>
    <row r="1493" spans="1:2" x14ac:dyDescent="0.25">
      <c r="A1493" s="924">
        <f t="shared" si="23"/>
        <v>1493</v>
      </c>
      <c r="B1493" s="924">
        <v>3.4</v>
      </c>
    </row>
    <row r="1494" spans="1:2" x14ac:dyDescent="0.25">
      <c r="A1494" s="924">
        <f t="shared" si="23"/>
        <v>1494</v>
      </c>
      <c r="B1494" s="924">
        <v>3.4</v>
      </c>
    </row>
    <row r="1495" spans="1:2" x14ac:dyDescent="0.25">
      <c r="A1495" s="924">
        <f t="shared" si="23"/>
        <v>1495</v>
      </c>
      <c r="B1495" s="924">
        <v>3.4</v>
      </c>
    </row>
    <row r="1496" spans="1:2" x14ac:dyDescent="0.25">
      <c r="A1496" s="924">
        <f t="shared" si="23"/>
        <v>1496</v>
      </c>
      <c r="B1496" s="924">
        <v>3.4</v>
      </c>
    </row>
    <row r="1497" spans="1:2" x14ac:dyDescent="0.25">
      <c r="A1497" s="924">
        <f t="shared" si="23"/>
        <v>1497</v>
      </c>
      <c r="B1497" s="924">
        <v>3.4</v>
      </c>
    </row>
    <row r="1498" spans="1:2" x14ac:dyDescent="0.25">
      <c r="A1498" s="924">
        <f t="shared" si="23"/>
        <v>1498</v>
      </c>
      <c r="B1498" s="924">
        <v>3.4</v>
      </c>
    </row>
    <row r="1499" spans="1:2" x14ac:dyDescent="0.25">
      <c r="A1499" s="924">
        <f t="shared" si="23"/>
        <v>1499</v>
      </c>
      <c r="B1499" s="924">
        <v>3.4</v>
      </c>
    </row>
    <row r="1500" spans="1:2" x14ac:dyDescent="0.25">
      <c r="A1500" s="924">
        <f t="shared" si="23"/>
        <v>1500</v>
      </c>
      <c r="B1500" s="924">
        <v>3.5</v>
      </c>
    </row>
    <row r="1501" spans="1:2" x14ac:dyDescent="0.25">
      <c r="A1501" s="924">
        <f t="shared" si="23"/>
        <v>1501</v>
      </c>
      <c r="B1501" s="924">
        <v>3.5</v>
      </c>
    </row>
    <row r="1502" spans="1:2" x14ac:dyDescent="0.25">
      <c r="A1502" s="924">
        <f t="shared" si="23"/>
        <v>1502</v>
      </c>
      <c r="B1502" s="924">
        <v>3.5</v>
      </c>
    </row>
    <row r="1503" spans="1:2" x14ac:dyDescent="0.25">
      <c r="A1503" s="924">
        <f t="shared" si="23"/>
        <v>1503</v>
      </c>
      <c r="B1503" s="924">
        <v>3.5</v>
      </c>
    </row>
    <row r="1504" spans="1:2" x14ac:dyDescent="0.25">
      <c r="A1504" s="924">
        <f t="shared" si="23"/>
        <v>1504</v>
      </c>
      <c r="B1504" s="924">
        <v>3.5</v>
      </c>
    </row>
    <row r="1505" spans="1:2" x14ac:dyDescent="0.25">
      <c r="A1505" s="924">
        <f t="shared" si="23"/>
        <v>1505</v>
      </c>
      <c r="B1505" s="924">
        <v>3.5</v>
      </c>
    </row>
    <row r="1506" spans="1:2" x14ac:dyDescent="0.25">
      <c r="A1506" s="924">
        <f t="shared" si="23"/>
        <v>1506</v>
      </c>
      <c r="B1506" s="924">
        <v>3.5</v>
      </c>
    </row>
    <row r="1507" spans="1:2" x14ac:dyDescent="0.25">
      <c r="A1507" s="924">
        <f t="shared" si="23"/>
        <v>1507</v>
      </c>
      <c r="B1507" s="924">
        <v>3.5</v>
      </c>
    </row>
    <row r="1508" spans="1:2" x14ac:dyDescent="0.25">
      <c r="A1508" s="924">
        <f t="shared" si="23"/>
        <v>1508</v>
      </c>
      <c r="B1508" s="924">
        <v>3.5</v>
      </c>
    </row>
    <row r="1509" spans="1:2" x14ac:dyDescent="0.25">
      <c r="A1509" s="924">
        <f t="shared" si="23"/>
        <v>1509</v>
      </c>
      <c r="B1509" s="924">
        <v>3.5</v>
      </c>
    </row>
    <row r="1510" spans="1:2" x14ac:dyDescent="0.25">
      <c r="A1510" s="924">
        <f t="shared" si="23"/>
        <v>1510</v>
      </c>
      <c r="B1510" s="924">
        <v>3.5</v>
      </c>
    </row>
    <row r="1511" spans="1:2" x14ac:dyDescent="0.25">
      <c r="A1511" s="924">
        <f t="shared" si="23"/>
        <v>1511</v>
      </c>
      <c r="B1511" s="924">
        <v>3.5</v>
      </c>
    </row>
    <row r="1512" spans="1:2" x14ac:dyDescent="0.25">
      <c r="A1512" s="924">
        <f t="shared" si="23"/>
        <v>1512</v>
      </c>
      <c r="B1512" s="924">
        <v>3.5</v>
      </c>
    </row>
    <row r="1513" spans="1:2" x14ac:dyDescent="0.25">
      <c r="A1513" s="924">
        <f t="shared" si="23"/>
        <v>1513</v>
      </c>
      <c r="B1513" s="924">
        <v>3.5</v>
      </c>
    </row>
    <row r="1514" spans="1:2" x14ac:dyDescent="0.25">
      <c r="A1514" s="924">
        <f t="shared" si="23"/>
        <v>1514</v>
      </c>
      <c r="B1514" s="924">
        <v>3.5</v>
      </c>
    </row>
    <row r="1515" spans="1:2" x14ac:dyDescent="0.25">
      <c r="A1515" s="924">
        <f t="shared" si="23"/>
        <v>1515</v>
      </c>
      <c r="B1515" s="924">
        <v>3.5</v>
      </c>
    </row>
    <row r="1516" spans="1:2" x14ac:dyDescent="0.25">
      <c r="A1516" s="924">
        <f t="shared" si="23"/>
        <v>1516</v>
      </c>
      <c r="B1516" s="924">
        <v>3.5</v>
      </c>
    </row>
    <row r="1517" spans="1:2" x14ac:dyDescent="0.25">
      <c r="A1517" s="924">
        <f t="shared" si="23"/>
        <v>1517</v>
      </c>
      <c r="B1517" s="924">
        <v>3.5</v>
      </c>
    </row>
    <row r="1518" spans="1:2" x14ac:dyDescent="0.25">
      <c r="A1518" s="924">
        <f t="shared" si="23"/>
        <v>1518</v>
      </c>
      <c r="B1518" s="924">
        <v>3.5</v>
      </c>
    </row>
    <row r="1519" spans="1:2" x14ac:dyDescent="0.25">
      <c r="A1519" s="924">
        <f t="shared" si="23"/>
        <v>1519</v>
      </c>
      <c r="B1519" s="924">
        <v>3.5</v>
      </c>
    </row>
    <row r="1520" spans="1:2" x14ac:dyDescent="0.25">
      <c r="A1520" s="924">
        <f t="shared" si="23"/>
        <v>1520</v>
      </c>
      <c r="B1520" s="924">
        <v>3.5</v>
      </c>
    </row>
    <row r="1521" spans="1:2" x14ac:dyDescent="0.25">
      <c r="A1521" s="924">
        <f t="shared" si="23"/>
        <v>1521</v>
      </c>
      <c r="B1521" s="924">
        <v>3.5</v>
      </c>
    </row>
    <row r="1522" spans="1:2" x14ac:dyDescent="0.25">
      <c r="A1522" s="924">
        <f t="shared" si="23"/>
        <v>1522</v>
      </c>
      <c r="B1522" s="924">
        <v>3.5</v>
      </c>
    </row>
    <row r="1523" spans="1:2" x14ac:dyDescent="0.25">
      <c r="A1523" s="924">
        <f t="shared" si="23"/>
        <v>1523</v>
      </c>
      <c r="B1523" s="924">
        <v>3.5</v>
      </c>
    </row>
    <row r="1524" spans="1:2" x14ac:dyDescent="0.25">
      <c r="A1524" s="924">
        <f t="shared" si="23"/>
        <v>1524</v>
      </c>
      <c r="B1524" s="924">
        <v>3.5</v>
      </c>
    </row>
    <row r="1525" spans="1:2" x14ac:dyDescent="0.25">
      <c r="A1525" s="924">
        <f t="shared" si="23"/>
        <v>1525</v>
      </c>
      <c r="B1525" s="924">
        <v>3.5</v>
      </c>
    </row>
    <row r="1526" spans="1:2" x14ac:dyDescent="0.25">
      <c r="A1526" s="924">
        <f t="shared" si="23"/>
        <v>1526</v>
      </c>
      <c r="B1526" s="924">
        <v>3.5</v>
      </c>
    </row>
    <row r="1527" spans="1:2" x14ac:dyDescent="0.25">
      <c r="A1527" s="924">
        <f t="shared" si="23"/>
        <v>1527</v>
      </c>
      <c r="B1527" s="924">
        <v>3.5</v>
      </c>
    </row>
    <row r="1528" spans="1:2" x14ac:dyDescent="0.25">
      <c r="A1528" s="924">
        <f t="shared" si="23"/>
        <v>1528</v>
      </c>
      <c r="B1528" s="924">
        <v>3.5</v>
      </c>
    </row>
    <row r="1529" spans="1:2" x14ac:dyDescent="0.25">
      <c r="A1529" s="924">
        <f t="shared" si="23"/>
        <v>1529</v>
      </c>
      <c r="B1529" s="924">
        <v>3.5</v>
      </c>
    </row>
    <row r="1530" spans="1:2" x14ac:dyDescent="0.25">
      <c r="A1530" s="924">
        <f t="shared" si="23"/>
        <v>1530</v>
      </c>
      <c r="B1530" s="924">
        <v>3.5</v>
      </c>
    </row>
    <row r="1531" spans="1:2" x14ac:dyDescent="0.25">
      <c r="A1531" s="924">
        <f t="shared" si="23"/>
        <v>1531</v>
      </c>
      <c r="B1531" s="924">
        <v>3.5</v>
      </c>
    </row>
    <row r="1532" spans="1:2" x14ac:dyDescent="0.25">
      <c r="A1532" s="924">
        <f t="shared" si="23"/>
        <v>1532</v>
      </c>
      <c r="B1532" s="924">
        <v>3.5</v>
      </c>
    </row>
    <row r="1533" spans="1:2" x14ac:dyDescent="0.25">
      <c r="A1533" s="924">
        <f t="shared" si="23"/>
        <v>1533</v>
      </c>
      <c r="B1533" s="924">
        <v>3.6</v>
      </c>
    </row>
    <row r="1534" spans="1:2" x14ac:dyDescent="0.25">
      <c r="A1534" s="924">
        <f t="shared" si="23"/>
        <v>1534</v>
      </c>
      <c r="B1534" s="924">
        <v>3.6</v>
      </c>
    </row>
    <row r="1535" spans="1:2" x14ac:dyDescent="0.25">
      <c r="A1535" s="924">
        <f t="shared" si="23"/>
        <v>1535</v>
      </c>
      <c r="B1535" s="924">
        <v>3.6</v>
      </c>
    </row>
    <row r="1536" spans="1:2" x14ac:dyDescent="0.25">
      <c r="A1536" s="924">
        <f t="shared" si="23"/>
        <v>1536</v>
      </c>
      <c r="B1536" s="924">
        <v>3.6</v>
      </c>
    </row>
    <row r="1537" spans="1:2" x14ac:dyDescent="0.25">
      <c r="A1537" s="924">
        <f t="shared" si="23"/>
        <v>1537</v>
      </c>
      <c r="B1537" s="924">
        <v>3.6</v>
      </c>
    </row>
    <row r="1538" spans="1:2" x14ac:dyDescent="0.25">
      <c r="A1538" s="924">
        <f t="shared" si="23"/>
        <v>1538</v>
      </c>
      <c r="B1538" s="924">
        <v>3.6</v>
      </c>
    </row>
    <row r="1539" spans="1:2" x14ac:dyDescent="0.25">
      <c r="A1539" s="924">
        <f t="shared" ref="A1539:A1602" si="24">A1538+1</f>
        <v>1539</v>
      </c>
      <c r="B1539" s="924">
        <v>3.6</v>
      </c>
    </row>
    <row r="1540" spans="1:2" x14ac:dyDescent="0.25">
      <c r="A1540" s="924">
        <f t="shared" si="24"/>
        <v>1540</v>
      </c>
      <c r="B1540" s="924">
        <v>3.6</v>
      </c>
    </row>
    <row r="1541" spans="1:2" x14ac:dyDescent="0.25">
      <c r="A1541" s="924">
        <f t="shared" si="24"/>
        <v>1541</v>
      </c>
      <c r="B1541" s="924">
        <v>3.6</v>
      </c>
    </row>
    <row r="1542" spans="1:2" x14ac:dyDescent="0.25">
      <c r="A1542" s="924">
        <f t="shared" si="24"/>
        <v>1542</v>
      </c>
      <c r="B1542" s="924">
        <v>3.6</v>
      </c>
    </row>
    <row r="1543" spans="1:2" x14ac:dyDescent="0.25">
      <c r="A1543" s="924">
        <f t="shared" si="24"/>
        <v>1543</v>
      </c>
      <c r="B1543" s="924">
        <v>3.6</v>
      </c>
    </row>
    <row r="1544" spans="1:2" x14ac:dyDescent="0.25">
      <c r="A1544" s="924">
        <f t="shared" si="24"/>
        <v>1544</v>
      </c>
      <c r="B1544" s="924">
        <v>3.6</v>
      </c>
    </row>
    <row r="1545" spans="1:2" x14ac:dyDescent="0.25">
      <c r="A1545" s="924">
        <f t="shared" si="24"/>
        <v>1545</v>
      </c>
      <c r="B1545" s="924">
        <v>3.6</v>
      </c>
    </row>
    <row r="1546" spans="1:2" x14ac:dyDescent="0.25">
      <c r="A1546" s="924">
        <f t="shared" si="24"/>
        <v>1546</v>
      </c>
      <c r="B1546" s="924">
        <v>3.6</v>
      </c>
    </row>
    <row r="1547" spans="1:2" x14ac:dyDescent="0.25">
      <c r="A1547" s="924">
        <f t="shared" si="24"/>
        <v>1547</v>
      </c>
      <c r="B1547" s="924">
        <v>3.6</v>
      </c>
    </row>
    <row r="1548" spans="1:2" x14ac:dyDescent="0.25">
      <c r="A1548" s="924">
        <f t="shared" si="24"/>
        <v>1548</v>
      </c>
      <c r="B1548" s="924">
        <v>3.6</v>
      </c>
    </row>
    <row r="1549" spans="1:2" x14ac:dyDescent="0.25">
      <c r="A1549" s="924">
        <f t="shared" si="24"/>
        <v>1549</v>
      </c>
      <c r="B1549" s="924">
        <v>3.6</v>
      </c>
    </row>
    <row r="1550" spans="1:2" x14ac:dyDescent="0.25">
      <c r="A1550" s="924">
        <f t="shared" si="24"/>
        <v>1550</v>
      </c>
      <c r="B1550" s="924">
        <v>3.6</v>
      </c>
    </row>
    <row r="1551" spans="1:2" x14ac:dyDescent="0.25">
      <c r="A1551" s="924">
        <f t="shared" si="24"/>
        <v>1551</v>
      </c>
      <c r="B1551" s="924">
        <v>3.6</v>
      </c>
    </row>
    <row r="1552" spans="1:2" x14ac:dyDescent="0.25">
      <c r="A1552" s="924">
        <f t="shared" si="24"/>
        <v>1552</v>
      </c>
      <c r="B1552" s="924">
        <v>3.6</v>
      </c>
    </row>
    <row r="1553" spans="1:2" x14ac:dyDescent="0.25">
      <c r="A1553" s="924">
        <f t="shared" si="24"/>
        <v>1553</v>
      </c>
      <c r="B1553" s="924">
        <v>3.6</v>
      </c>
    </row>
    <row r="1554" spans="1:2" x14ac:dyDescent="0.25">
      <c r="A1554" s="924">
        <f t="shared" si="24"/>
        <v>1554</v>
      </c>
      <c r="B1554" s="924">
        <v>3.6</v>
      </c>
    </row>
    <row r="1555" spans="1:2" x14ac:dyDescent="0.25">
      <c r="A1555" s="924">
        <f t="shared" si="24"/>
        <v>1555</v>
      </c>
      <c r="B1555" s="924">
        <v>3.6</v>
      </c>
    </row>
    <row r="1556" spans="1:2" x14ac:dyDescent="0.25">
      <c r="A1556" s="924">
        <f t="shared" si="24"/>
        <v>1556</v>
      </c>
      <c r="B1556" s="924">
        <v>3.6</v>
      </c>
    </row>
    <row r="1557" spans="1:2" x14ac:dyDescent="0.25">
      <c r="A1557" s="924">
        <f t="shared" si="24"/>
        <v>1557</v>
      </c>
      <c r="B1557" s="924">
        <v>3.6</v>
      </c>
    </row>
    <row r="1558" spans="1:2" x14ac:dyDescent="0.25">
      <c r="A1558" s="924">
        <f t="shared" si="24"/>
        <v>1558</v>
      </c>
      <c r="B1558" s="924">
        <v>3.6</v>
      </c>
    </row>
    <row r="1559" spans="1:2" x14ac:dyDescent="0.25">
      <c r="A1559" s="924">
        <f t="shared" si="24"/>
        <v>1559</v>
      </c>
      <c r="B1559" s="924">
        <v>3.6</v>
      </c>
    </row>
    <row r="1560" spans="1:2" x14ac:dyDescent="0.25">
      <c r="A1560" s="924">
        <f t="shared" si="24"/>
        <v>1560</v>
      </c>
      <c r="B1560" s="924">
        <v>3.6</v>
      </c>
    </row>
    <row r="1561" spans="1:2" x14ac:dyDescent="0.25">
      <c r="A1561" s="924">
        <f t="shared" si="24"/>
        <v>1561</v>
      </c>
      <c r="B1561" s="924">
        <v>3.7</v>
      </c>
    </row>
    <row r="1562" spans="1:2" x14ac:dyDescent="0.25">
      <c r="A1562" s="924">
        <f t="shared" si="24"/>
        <v>1562</v>
      </c>
      <c r="B1562" s="924">
        <v>3.7</v>
      </c>
    </row>
    <row r="1563" spans="1:2" x14ac:dyDescent="0.25">
      <c r="A1563" s="924">
        <f t="shared" si="24"/>
        <v>1563</v>
      </c>
      <c r="B1563" s="924">
        <v>3.7</v>
      </c>
    </row>
    <row r="1564" spans="1:2" x14ac:dyDescent="0.25">
      <c r="A1564" s="924">
        <f t="shared" si="24"/>
        <v>1564</v>
      </c>
      <c r="B1564" s="924">
        <v>3.7</v>
      </c>
    </row>
    <row r="1565" spans="1:2" x14ac:dyDescent="0.25">
      <c r="A1565" s="924">
        <f t="shared" si="24"/>
        <v>1565</v>
      </c>
      <c r="B1565" s="924">
        <v>3.7</v>
      </c>
    </row>
    <row r="1566" spans="1:2" x14ac:dyDescent="0.25">
      <c r="A1566" s="924">
        <f t="shared" si="24"/>
        <v>1566</v>
      </c>
      <c r="B1566" s="924">
        <v>3.7</v>
      </c>
    </row>
    <row r="1567" spans="1:2" x14ac:dyDescent="0.25">
      <c r="A1567" s="924">
        <f t="shared" si="24"/>
        <v>1567</v>
      </c>
      <c r="B1567" s="924">
        <v>3.7</v>
      </c>
    </row>
    <row r="1568" spans="1:2" x14ac:dyDescent="0.25">
      <c r="A1568" s="924">
        <f t="shared" si="24"/>
        <v>1568</v>
      </c>
      <c r="B1568" s="924">
        <v>3.7</v>
      </c>
    </row>
    <row r="1569" spans="1:2" x14ac:dyDescent="0.25">
      <c r="A1569" s="924">
        <f t="shared" si="24"/>
        <v>1569</v>
      </c>
      <c r="B1569" s="924">
        <v>3.7</v>
      </c>
    </row>
    <row r="1570" spans="1:2" x14ac:dyDescent="0.25">
      <c r="A1570" s="924">
        <f t="shared" si="24"/>
        <v>1570</v>
      </c>
      <c r="B1570" s="924">
        <v>3.7</v>
      </c>
    </row>
    <row r="1571" spans="1:2" x14ac:dyDescent="0.25">
      <c r="A1571" s="924">
        <f t="shared" si="24"/>
        <v>1571</v>
      </c>
      <c r="B1571" s="924">
        <v>3.7</v>
      </c>
    </row>
    <row r="1572" spans="1:2" x14ac:dyDescent="0.25">
      <c r="A1572" s="924">
        <f t="shared" si="24"/>
        <v>1572</v>
      </c>
      <c r="B1572" s="924">
        <v>3.7</v>
      </c>
    </row>
    <row r="1573" spans="1:2" x14ac:dyDescent="0.25">
      <c r="A1573" s="924">
        <f t="shared" si="24"/>
        <v>1573</v>
      </c>
      <c r="B1573" s="924">
        <v>3.7</v>
      </c>
    </row>
    <row r="1574" spans="1:2" x14ac:dyDescent="0.25">
      <c r="A1574" s="924">
        <f t="shared" si="24"/>
        <v>1574</v>
      </c>
      <c r="B1574" s="924">
        <v>3.7</v>
      </c>
    </row>
    <row r="1575" spans="1:2" x14ac:dyDescent="0.25">
      <c r="A1575" s="924">
        <f t="shared" si="24"/>
        <v>1575</v>
      </c>
      <c r="B1575" s="924">
        <v>3.7</v>
      </c>
    </row>
    <row r="1576" spans="1:2" x14ac:dyDescent="0.25">
      <c r="A1576" s="924">
        <f t="shared" si="24"/>
        <v>1576</v>
      </c>
      <c r="B1576" s="924">
        <v>3.7</v>
      </c>
    </row>
    <row r="1577" spans="1:2" x14ac:dyDescent="0.25">
      <c r="A1577" s="924">
        <f t="shared" si="24"/>
        <v>1577</v>
      </c>
      <c r="B1577" s="924">
        <v>3.7</v>
      </c>
    </row>
    <row r="1578" spans="1:2" x14ac:dyDescent="0.25">
      <c r="A1578" s="924">
        <f t="shared" si="24"/>
        <v>1578</v>
      </c>
      <c r="B1578" s="924">
        <v>3.7</v>
      </c>
    </row>
    <row r="1579" spans="1:2" x14ac:dyDescent="0.25">
      <c r="A1579" s="924">
        <f t="shared" si="24"/>
        <v>1579</v>
      </c>
      <c r="B1579" s="924">
        <v>3.7</v>
      </c>
    </row>
    <row r="1580" spans="1:2" x14ac:dyDescent="0.25">
      <c r="A1580" s="924">
        <f t="shared" si="24"/>
        <v>1580</v>
      </c>
      <c r="B1580" s="924">
        <v>3.7</v>
      </c>
    </row>
    <row r="1581" spans="1:2" x14ac:dyDescent="0.25">
      <c r="A1581" s="924">
        <f t="shared" si="24"/>
        <v>1581</v>
      </c>
      <c r="B1581" s="924">
        <v>3.8</v>
      </c>
    </row>
    <row r="1582" spans="1:2" x14ac:dyDescent="0.25">
      <c r="A1582" s="924">
        <f t="shared" si="24"/>
        <v>1582</v>
      </c>
      <c r="B1582" s="924">
        <v>3.8</v>
      </c>
    </row>
    <row r="1583" spans="1:2" x14ac:dyDescent="0.25">
      <c r="A1583" s="924">
        <f t="shared" si="24"/>
        <v>1583</v>
      </c>
      <c r="B1583" s="924">
        <v>3.8</v>
      </c>
    </row>
    <row r="1584" spans="1:2" x14ac:dyDescent="0.25">
      <c r="A1584" s="924">
        <f t="shared" si="24"/>
        <v>1584</v>
      </c>
      <c r="B1584" s="924">
        <v>3.8</v>
      </c>
    </row>
    <row r="1585" spans="1:2" x14ac:dyDescent="0.25">
      <c r="A1585" s="924">
        <f t="shared" si="24"/>
        <v>1585</v>
      </c>
      <c r="B1585" s="924">
        <v>3.8</v>
      </c>
    </row>
    <row r="1586" spans="1:2" x14ac:dyDescent="0.25">
      <c r="A1586" s="924">
        <f t="shared" si="24"/>
        <v>1586</v>
      </c>
      <c r="B1586" s="924">
        <v>3.8</v>
      </c>
    </row>
    <row r="1587" spans="1:2" x14ac:dyDescent="0.25">
      <c r="A1587" s="924">
        <f t="shared" si="24"/>
        <v>1587</v>
      </c>
      <c r="B1587" s="924">
        <v>3.8</v>
      </c>
    </row>
    <row r="1588" spans="1:2" x14ac:dyDescent="0.25">
      <c r="A1588" s="924">
        <f t="shared" si="24"/>
        <v>1588</v>
      </c>
      <c r="B1588" s="924">
        <v>3.8</v>
      </c>
    </row>
    <row r="1589" spans="1:2" x14ac:dyDescent="0.25">
      <c r="A1589" s="924">
        <f t="shared" si="24"/>
        <v>1589</v>
      </c>
      <c r="B1589" s="924">
        <v>3.8</v>
      </c>
    </row>
    <row r="1590" spans="1:2" x14ac:dyDescent="0.25">
      <c r="A1590" s="924">
        <f t="shared" si="24"/>
        <v>1590</v>
      </c>
      <c r="B1590" s="924">
        <v>3.8</v>
      </c>
    </row>
    <row r="1591" spans="1:2" x14ac:dyDescent="0.25">
      <c r="A1591" s="924">
        <f t="shared" si="24"/>
        <v>1591</v>
      </c>
      <c r="B1591" s="924">
        <v>3.8</v>
      </c>
    </row>
    <row r="1592" spans="1:2" x14ac:dyDescent="0.25">
      <c r="A1592" s="924">
        <f t="shared" si="24"/>
        <v>1592</v>
      </c>
      <c r="B1592" s="924">
        <v>3.8</v>
      </c>
    </row>
    <row r="1593" spans="1:2" x14ac:dyDescent="0.25">
      <c r="A1593" s="924">
        <f t="shared" si="24"/>
        <v>1593</v>
      </c>
      <c r="B1593" s="924">
        <v>3.8</v>
      </c>
    </row>
    <row r="1594" spans="1:2" x14ac:dyDescent="0.25">
      <c r="A1594" s="924">
        <f t="shared" si="24"/>
        <v>1594</v>
      </c>
      <c r="B1594" s="924">
        <v>3.8</v>
      </c>
    </row>
    <row r="1595" spans="1:2" x14ac:dyDescent="0.25">
      <c r="A1595" s="924">
        <f t="shared" si="24"/>
        <v>1595</v>
      </c>
      <c r="B1595" s="924">
        <v>3.8</v>
      </c>
    </row>
    <row r="1596" spans="1:2" x14ac:dyDescent="0.25">
      <c r="A1596" s="924">
        <f t="shared" si="24"/>
        <v>1596</v>
      </c>
      <c r="B1596" s="924">
        <v>3.8</v>
      </c>
    </row>
    <row r="1597" spans="1:2" x14ac:dyDescent="0.25">
      <c r="A1597" s="924">
        <f t="shared" si="24"/>
        <v>1597</v>
      </c>
      <c r="B1597" s="924">
        <v>3.8</v>
      </c>
    </row>
    <row r="1598" spans="1:2" x14ac:dyDescent="0.25">
      <c r="A1598" s="924">
        <f t="shared" si="24"/>
        <v>1598</v>
      </c>
      <c r="B1598" s="924">
        <v>3.8</v>
      </c>
    </row>
    <row r="1599" spans="1:2" x14ac:dyDescent="0.25">
      <c r="A1599" s="924">
        <f t="shared" si="24"/>
        <v>1599</v>
      </c>
      <c r="B1599" s="924">
        <v>3.8</v>
      </c>
    </row>
    <row r="1600" spans="1:2" x14ac:dyDescent="0.25">
      <c r="A1600" s="924">
        <f t="shared" si="24"/>
        <v>1600</v>
      </c>
      <c r="B1600" s="924">
        <v>3.8</v>
      </c>
    </row>
    <row r="1601" spans="1:2" x14ac:dyDescent="0.25">
      <c r="A1601" s="924">
        <f t="shared" si="24"/>
        <v>1601</v>
      </c>
      <c r="B1601" s="924">
        <v>3.8</v>
      </c>
    </row>
    <row r="1602" spans="1:2" x14ac:dyDescent="0.25">
      <c r="A1602" s="924">
        <f t="shared" si="24"/>
        <v>1602</v>
      </c>
      <c r="B1602" s="924">
        <v>3.8</v>
      </c>
    </row>
    <row r="1603" spans="1:2" x14ac:dyDescent="0.25">
      <c r="A1603" s="924">
        <f t="shared" ref="A1603:A1666" si="25">A1602+1</f>
        <v>1603</v>
      </c>
      <c r="B1603" s="924">
        <v>3.8</v>
      </c>
    </row>
    <row r="1604" spans="1:2" x14ac:dyDescent="0.25">
      <c r="A1604" s="924">
        <f t="shared" si="25"/>
        <v>1604</v>
      </c>
      <c r="B1604" s="924">
        <v>3.8</v>
      </c>
    </row>
    <row r="1605" spans="1:2" x14ac:dyDescent="0.25">
      <c r="A1605" s="924">
        <f t="shared" si="25"/>
        <v>1605</v>
      </c>
      <c r="B1605" s="924">
        <v>3.9</v>
      </c>
    </row>
    <row r="1606" spans="1:2" x14ac:dyDescent="0.25">
      <c r="A1606" s="924">
        <f t="shared" si="25"/>
        <v>1606</v>
      </c>
      <c r="B1606" s="924">
        <v>3.9</v>
      </c>
    </row>
    <row r="1607" spans="1:2" x14ac:dyDescent="0.25">
      <c r="A1607" s="924">
        <f t="shared" si="25"/>
        <v>1607</v>
      </c>
      <c r="B1607" s="924">
        <v>3.9</v>
      </c>
    </row>
    <row r="1608" spans="1:2" x14ac:dyDescent="0.25">
      <c r="A1608" s="924">
        <f t="shared" si="25"/>
        <v>1608</v>
      </c>
      <c r="B1608" s="924">
        <v>3.9</v>
      </c>
    </row>
    <row r="1609" spans="1:2" x14ac:dyDescent="0.25">
      <c r="A1609" s="924">
        <f t="shared" si="25"/>
        <v>1609</v>
      </c>
      <c r="B1609" s="924">
        <v>3.9</v>
      </c>
    </row>
    <row r="1610" spans="1:2" x14ac:dyDescent="0.25">
      <c r="A1610" s="924">
        <f t="shared" si="25"/>
        <v>1610</v>
      </c>
      <c r="B1610" s="924">
        <v>3.9</v>
      </c>
    </row>
    <row r="1611" spans="1:2" x14ac:dyDescent="0.25">
      <c r="A1611" s="924">
        <f t="shared" si="25"/>
        <v>1611</v>
      </c>
      <c r="B1611" s="924">
        <v>3.9</v>
      </c>
    </row>
    <row r="1612" spans="1:2" x14ac:dyDescent="0.25">
      <c r="A1612" s="924">
        <f t="shared" si="25"/>
        <v>1612</v>
      </c>
      <c r="B1612" s="924">
        <v>3.9</v>
      </c>
    </row>
    <row r="1613" spans="1:2" x14ac:dyDescent="0.25">
      <c r="A1613" s="924">
        <f t="shared" si="25"/>
        <v>1613</v>
      </c>
      <c r="B1613" s="924">
        <v>3.9</v>
      </c>
    </row>
    <row r="1614" spans="1:2" x14ac:dyDescent="0.25">
      <c r="A1614" s="924">
        <f t="shared" si="25"/>
        <v>1614</v>
      </c>
      <c r="B1614" s="924">
        <v>3.9</v>
      </c>
    </row>
    <row r="1615" spans="1:2" x14ac:dyDescent="0.25">
      <c r="A1615" s="924">
        <f t="shared" si="25"/>
        <v>1615</v>
      </c>
      <c r="B1615" s="924">
        <v>3.9</v>
      </c>
    </row>
    <row r="1616" spans="1:2" x14ac:dyDescent="0.25">
      <c r="A1616" s="924">
        <f t="shared" si="25"/>
        <v>1616</v>
      </c>
      <c r="B1616" s="924">
        <v>3.9</v>
      </c>
    </row>
    <row r="1617" spans="1:2" x14ac:dyDescent="0.25">
      <c r="A1617" s="924">
        <f t="shared" si="25"/>
        <v>1617</v>
      </c>
      <c r="B1617" s="924">
        <v>3.9</v>
      </c>
    </row>
    <row r="1618" spans="1:2" x14ac:dyDescent="0.25">
      <c r="A1618" s="924">
        <f t="shared" si="25"/>
        <v>1618</v>
      </c>
      <c r="B1618" s="924">
        <v>3.9</v>
      </c>
    </row>
    <row r="1619" spans="1:2" x14ac:dyDescent="0.25">
      <c r="A1619" s="924">
        <f t="shared" si="25"/>
        <v>1619</v>
      </c>
      <c r="B1619" s="924">
        <v>3.9</v>
      </c>
    </row>
    <row r="1620" spans="1:2" x14ac:dyDescent="0.25">
      <c r="A1620" s="924">
        <f t="shared" si="25"/>
        <v>1620</v>
      </c>
      <c r="B1620" s="924">
        <v>3.9</v>
      </c>
    </row>
    <row r="1621" spans="1:2" x14ac:dyDescent="0.25">
      <c r="A1621" s="924">
        <f t="shared" si="25"/>
        <v>1621</v>
      </c>
      <c r="B1621" s="924">
        <v>3.9</v>
      </c>
    </row>
    <row r="1622" spans="1:2" x14ac:dyDescent="0.25">
      <c r="A1622" s="924">
        <f t="shared" si="25"/>
        <v>1622</v>
      </c>
      <c r="B1622" s="924">
        <v>3.9</v>
      </c>
    </row>
    <row r="1623" spans="1:2" x14ac:dyDescent="0.25">
      <c r="A1623" s="924">
        <f t="shared" si="25"/>
        <v>1623</v>
      </c>
      <c r="B1623" s="924">
        <v>3.9</v>
      </c>
    </row>
    <row r="1624" spans="1:2" x14ac:dyDescent="0.25">
      <c r="A1624" s="924">
        <f t="shared" si="25"/>
        <v>1624</v>
      </c>
      <c r="B1624" s="924">
        <v>3.9</v>
      </c>
    </row>
    <row r="1625" spans="1:2" x14ac:dyDescent="0.25">
      <c r="A1625" s="924">
        <f t="shared" si="25"/>
        <v>1625</v>
      </c>
      <c r="B1625" s="924">
        <v>3.9</v>
      </c>
    </row>
    <row r="1626" spans="1:2" x14ac:dyDescent="0.25">
      <c r="A1626" s="924">
        <f t="shared" si="25"/>
        <v>1626</v>
      </c>
      <c r="B1626" s="924">
        <v>3.9</v>
      </c>
    </row>
    <row r="1627" spans="1:2" x14ac:dyDescent="0.25">
      <c r="A1627" s="924">
        <f t="shared" si="25"/>
        <v>1627</v>
      </c>
      <c r="B1627" s="924">
        <v>3.9</v>
      </c>
    </row>
    <row r="1628" spans="1:2" x14ac:dyDescent="0.25">
      <c r="A1628" s="924">
        <f t="shared" si="25"/>
        <v>1628</v>
      </c>
      <c r="B1628" s="924">
        <v>3.9</v>
      </c>
    </row>
    <row r="1629" spans="1:2" x14ac:dyDescent="0.25">
      <c r="A1629" s="924">
        <f t="shared" si="25"/>
        <v>1629</v>
      </c>
      <c r="B1629" s="924">
        <v>3.9</v>
      </c>
    </row>
    <row r="1630" spans="1:2" x14ac:dyDescent="0.25">
      <c r="A1630" s="924">
        <f t="shared" si="25"/>
        <v>1630</v>
      </c>
      <c r="B1630" s="924">
        <v>3.9</v>
      </c>
    </row>
    <row r="1631" spans="1:2" x14ac:dyDescent="0.25">
      <c r="A1631" s="924">
        <f t="shared" si="25"/>
        <v>1631</v>
      </c>
      <c r="B1631" s="924">
        <v>3.9</v>
      </c>
    </row>
    <row r="1632" spans="1:2" x14ac:dyDescent="0.25">
      <c r="A1632" s="924">
        <f t="shared" si="25"/>
        <v>1632</v>
      </c>
      <c r="B1632" s="924">
        <v>3.9</v>
      </c>
    </row>
    <row r="1633" spans="1:2" x14ac:dyDescent="0.25">
      <c r="A1633" s="924">
        <f t="shared" si="25"/>
        <v>1633</v>
      </c>
      <c r="B1633" s="924">
        <v>3.9</v>
      </c>
    </row>
    <row r="1634" spans="1:2" x14ac:dyDescent="0.25">
      <c r="A1634" s="924">
        <f t="shared" si="25"/>
        <v>1634</v>
      </c>
      <c r="B1634" s="924">
        <v>3.9</v>
      </c>
    </row>
    <row r="1635" spans="1:2" x14ac:dyDescent="0.25">
      <c r="A1635" s="924">
        <f t="shared" si="25"/>
        <v>1635</v>
      </c>
      <c r="B1635" s="924">
        <v>3.9</v>
      </c>
    </row>
    <row r="1636" spans="1:2" x14ac:dyDescent="0.25">
      <c r="A1636" s="924">
        <f t="shared" si="25"/>
        <v>1636</v>
      </c>
      <c r="B1636" s="924">
        <v>3.9</v>
      </c>
    </row>
    <row r="1637" spans="1:2" x14ac:dyDescent="0.25">
      <c r="A1637" s="924">
        <f t="shared" si="25"/>
        <v>1637</v>
      </c>
      <c r="B1637" s="924">
        <v>3.9</v>
      </c>
    </row>
    <row r="1638" spans="1:2" x14ac:dyDescent="0.25">
      <c r="A1638" s="924">
        <f t="shared" si="25"/>
        <v>1638</v>
      </c>
      <c r="B1638" s="924">
        <v>3.9</v>
      </c>
    </row>
    <row r="1639" spans="1:2" x14ac:dyDescent="0.25">
      <c r="A1639" s="924">
        <f t="shared" si="25"/>
        <v>1639</v>
      </c>
      <c r="B1639" s="924">
        <v>3.9</v>
      </c>
    </row>
    <row r="1640" spans="1:2" x14ac:dyDescent="0.25">
      <c r="A1640" s="924">
        <f t="shared" si="25"/>
        <v>1640</v>
      </c>
      <c r="B1640" s="924">
        <v>3.9</v>
      </c>
    </row>
    <row r="1641" spans="1:2" x14ac:dyDescent="0.25">
      <c r="A1641" s="924">
        <f t="shared" si="25"/>
        <v>1641</v>
      </c>
      <c r="B1641" s="924">
        <v>3.9</v>
      </c>
    </row>
    <row r="1642" spans="1:2" x14ac:dyDescent="0.25">
      <c r="A1642" s="924">
        <f t="shared" si="25"/>
        <v>1642</v>
      </c>
      <c r="B1642" s="924">
        <v>3.9</v>
      </c>
    </row>
    <row r="1643" spans="1:2" x14ac:dyDescent="0.25">
      <c r="A1643" s="924">
        <f t="shared" si="25"/>
        <v>1643</v>
      </c>
      <c r="B1643" s="924">
        <v>3.9</v>
      </c>
    </row>
    <row r="1644" spans="1:2" x14ac:dyDescent="0.25">
      <c r="A1644" s="924">
        <f t="shared" si="25"/>
        <v>1644</v>
      </c>
      <c r="B1644" s="924">
        <v>3.9</v>
      </c>
    </row>
    <row r="1645" spans="1:2" x14ac:dyDescent="0.25">
      <c r="A1645" s="924">
        <f t="shared" si="25"/>
        <v>1645</v>
      </c>
      <c r="B1645" s="924">
        <v>4</v>
      </c>
    </row>
    <row r="1646" spans="1:2" x14ac:dyDescent="0.25">
      <c r="A1646" s="924">
        <f t="shared" si="25"/>
        <v>1646</v>
      </c>
      <c r="B1646" s="924">
        <v>4</v>
      </c>
    </row>
    <row r="1647" spans="1:2" x14ac:dyDescent="0.25">
      <c r="A1647" s="924">
        <f t="shared" si="25"/>
        <v>1647</v>
      </c>
      <c r="B1647" s="924">
        <v>4</v>
      </c>
    </row>
    <row r="1648" spans="1:2" x14ac:dyDescent="0.25">
      <c r="A1648" s="924">
        <f t="shared" si="25"/>
        <v>1648</v>
      </c>
      <c r="B1648" s="924">
        <v>4</v>
      </c>
    </row>
    <row r="1649" spans="1:2" x14ac:dyDescent="0.25">
      <c r="A1649" s="924">
        <f t="shared" si="25"/>
        <v>1649</v>
      </c>
      <c r="B1649" s="924">
        <v>4</v>
      </c>
    </row>
    <row r="1650" spans="1:2" x14ac:dyDescent="0.25">
      <c r="A1650" s="924">
        <f t="shared" si="25"/>
        <v>1650</v>
      </c>
      <c r="B1650" s="924">
        <v>4</v>
      </c>
    </row>
    <row r="1651" spans="1:2" x14ac:dyDescent="0.25">
      <c r="A1651" s="924">
        <f t="shared" si="25"/>
        <v>1651</v>
      </c>
      <c r="B1651" s="924">
        <v>4</v>
      </c>
    </row>
    <row r="1652" spans="1:2" x14ac:dyDescent="0.25">
      <c r="A1652" s="924">
        <f t="shared" si="25"/>
        <v>1652</v>
      </c>
      <c r="B1652" s="924">
        <v>4</v>
      </c>
    </row>
    <row r="1653" spans="1:2" x14ac:dyDescent="0.25">
      <c r="A1653" s="924">
        <f t="shared" si="25"/>
        <v>1653</v>
      </c>
      <c r="B1653" s="924">
        <v>4</v>
      </c>
    </row>
    <row r="1654" spans="1:2" x14ac:dyDescent="0.25">
      <c r="A1654" s="924">
        <f t="shared" si="25"/>
        <v>1654</v>
      </c>
      <c r="B1654" s="924">
        <v>4</v>
      </c>
    </row>
    <row r="1655" spans="1:2" x14ac:dyDescent="0.25">
      <c r="A1655" s="924">
        <f t="shared" si="25"/>
        <v>1655</v>
      </c>
      <c r="B1655" s="924">
        <v>4</v>
      </c>
    </row>
    <row r="1656" spans="1:2" x14ac:dyDescent="0.25">
      <c r="A1656" s="924">
        <f t="shared" si="25"/>
        <v>1656</v>
      </c>
      <c r="B1656" s="924">
        <v>4</v>
      </c>
    </row>
    <row r="1657" spans="1:2" x14ac:dyDescent="0.25">
      <c r="A1657" s="924">
        <f t="shared" si="25"/>
        <v>1657</v>
      </c>
      <c r="B1657" s="924">
        <v>4</v>
      </c>
    </row>
    <row r="1658" spans="1:2" x14ac:dyDescent="0.25">
      <c r="A1658" s="924">
        <f t="shared" si="25"/>
        <v>1658</v>
      </c>
      <c r="B1658" s="924">
        <v>4</v>
      </c>
    </row>
    <row r="1659" spans="1:2" x14ac:dyDescent="0.25">
      <c r="A1659" s="924">
        <f t="shared" si="25"/>
        <v>1659</v>
      </c>
      <c r="B1659" s="924">
        <v>4</v>
      </c>
    </row>
    <row r="1660" spans="1:2" x14ac:dyDescent="0.25">
      <c r="A1660" s="924">
        <f t="shared" si="25"/>
        <v>1660</v>
      </c>
      <c r="B1660" s="924">
        <v>4</v>
      </c>
    </row>
    <row r="1661" spans="1:2" x14ac:dyDescent="0.25">
      <c r="A1661" s="924">
        <f t="shared" si="25"/>
        <v>1661</v>
      </c>
      <c r="B1661" s="924">
        <v>4</v>
      </c>
    </row>
    <row r="1662" spans="1:2" x14ac:dyDescent="0.25">
      <c r="A1662" s="924">
        <f t="shared" si="25"/>
        <v>1662</v>
      </c>
      <c r="B1662" s="924">
        <v>4</v>
      </c>
    </row>
    <row r="1663" spans="1:2" x14ac:dyDescent="0.25">
      <c r="A1663" s="924">
        <f t="shared" si="25"/>
        <v>1663</v>
      </c>
      <c r="B1663" s="924">
        <v>4</v>
      </c>
    </row>
    <row r="1664" spans="1:2" x14ac:dyDescent="0.25">
      <c r="A1664" s="924">
        <f t="shared" si="25"/>
        <v>1664</v>
      </c>
      <c r="B1664" s="924">
        <v>4</v>
      </c>
    </row>
    <row r="1665" spans="1:2" x14ac:dyDescent="0.25">
      <c r="A1665" s="924">
        <f t="shared" si="25"/>
        <v>1665</v>
      </c>
      <c r="B1665" s="924">
        <v>4</v>
      </c>
    </row>
    <row r="1666" spans="1:2" x14ac:dyDescent="0.25">
      <c r="A1666" s="924">
        <f t="shared" si="25"/>
        <v>1666</v>
      </c>
      <c r="B1666" s="924">
        <v>4</v>
      </c>
    </row>
    <row r="1667" spans="1:2" x14ac:dyDescent="0.25">
      <c r="A1667" s="924">
        <f t="shared" ref="A1667:A1730" si="26">A1666+1</f>
        <v>1667</v>
      </c>
      <c r="B1667" s="924">
        <v>4</v>
      </c>
    </row>
    <row r="1668" spans="1:2" x14ac:dyDescent="0.25">
      <c r="A1668" s="924">
        <f t="shared" si="26"/>
        <v>1668</v>
      </c>
      <c r="B1668" s="924">
        <v>4</v>
      </c>
    </row>
    <row r="1669" spans="1:2" x14ac:dyDescent="0.25">
      <c r="A1669" s="924">
        <f t="shared" si="26"/>
        <v>1669</v>
      </c>
      <c r="B1669" s="924">
        <v>4</v>
      </c>
    </row>
    <row r="1670" spans="1:2" x14ac:dyDescent="0.25">
      <c r="A1670" s="924">
        <f t="shared" si="26"/>
        <v>1670</v>
      </c>
      <c r="B1670" s="924">
        <v>4</v>
      </c>
    </row>
    <row r="1671" spans="1:2" x14ac:dyDescent="0.25">
      <c r="A1671" s="924">
        <f t="shared" si="26"/>
        <v>1671</v>
      </c>
      <c r="B1671" s="924">
        <v>4</v>
      </c>
    </row>
    <row r="1672" spans="1:2" x14ac:dyDescent="0.25">
      <c r="A1672" s="924">
        <f t="shared" si="26"/>
        <v>1672</v>
      </c>
      <c r="B1672" s="924">
        <v>4</v>
      </c>
    </row>
    <row r="1673" spans="1:2" x14ac:dyDescent="0.25">
      <c r="A1673" s="924">
        <f t="shared" si="26"/>
        <v>1673</v>
      </c>
      <c r="B1673" s="924">
        <v>4</v>
      </c>
    </row>
    <row r="1674" spans="1:2" x14ac:dyDescent="0.25">
      <c r="A1674" s="924">
        <f t="shared" si="26"/>
        <v>1674</v>
      </c>
      <c r="B1674" s="924">
        <v>4</v>
      </c>
    </row>
    <row r="1675" spans="1:2" x14ac:dyDescent="0.25">
      <c r="A1675" s="924">
        <f t="shared" si="26"/>
        <v>1675</v>
      </c>
      <c r="B1675" s="924">
        <v>4</v>
      </c>
    </row>
    <row r="1676" spans="1:2" x14ac:dyDescent="0.25">
      <c r="A1676" s="924">
        <f t="shared" si="26"/>
        <v>1676</v>
      </c>
      <c r="B1676" s="924">
        <v>4</v>
      </c>
    </row>
    <row r="1677" spans="1:2" x14ac:dyDescent="0.25">
      <c r="A1677" s="924">
        <f t="shared" si="26"/>
        <v>1677</v>
      </c>
      <c r="B1677" s="924">
        <v>4</v>
      </c>
    </row>
    <row r="1678" spans="1:2" x14ac:dyDescent="0.25">
      <c r="A1678" s="924">
        <f t="shared" si="26"/>
        <v>1678</v>
      </c>
      <c r="B1678" s="924">
        <v>4</v>
      </c>
    </row>
    <row r="1679" spans="1:2" x14ac:dyDescent="0.25">
      <c r="A1679" s="924">
        <f t="shared" si="26"/>
        <v>1679</v>
      </c>
      <c r="B1679" s="924">
        <v>4</v>
      </c>
    </row>
    <row r="1680" spans="1:2" x14ac:dyDescent="0.25">
      <c r="A1680" s="924">
        <f t="shared" si="26"/>
        <v>1680</v>
      </c>
      <c r="B1680" s="924">
        <v>4</v>
      </c>
    </row>
    <row r="1681" spans="1:2" x14ac:dyDescent="0.25">
      <c r="A1681" s="924">
        <f t="shared" si="26"/>
        <v>1681</v>
      </c>
      <c r="B1681" s="924">
        <v>4</v>
      </c>
    </row>
    <row r="1682" spans="1:2" x14ac:dyDescent="0.25">
      <c r="A1682" s="924">
        <f t="shared" si="26"/>
        <v>1682</v>
      </c>
      <c r="B1682" s="924">
        <v>4</v>
      </c>
    </row>
    <row r="1683" spans="1:2" x14ac:dyDescent="0.25">
      <c r="A1683" s="924">
        <f t="shared" si="26"/>
        <v>1683</v>
      </c>
      <c r="B1683" s="924">
        <v>4</v>
      </c>
    </row>
    <row r="1684" spans="1:2" x14ac:dyDescent="0.25">
      <c r="A1684" s="924">
        <f t="shared" si="26"/>
        <v>1684</v>
      </c>
      <c r="B1684" s="924">
        <v>4.0999999999999996</v>
      </c>
    </row>
    <row r="1685" spans="1:2" x14ac:dyDescent="0.25">
      <c r="A1685" s="924">
        <f t="shared" si="26"/>
        <v>1685</v>
      </c>
      <c r="B1685" s="924">
        <v>4.0999999999999996</v>
      </c>
    </row>
    <row r="1686" spans="1:2" x14ac:dyDescent="0.25">
      <c r="A1686" s="924">
        <f t="shared" si="26"/>
        <v>1686</v>
      </c>
      <c r="B1686" s="924">
        <v>4.0999999999999996</v>
      </c>
    </row>
    <row r="1687" spans="1:2" x14ac:dyDescent="0.25">
      <c r="A1687" s="924">
        <f t="shared" si="26"/>
        <v>1687</v>
      </c>
      <c r="B1687" s="924">
        <v>4.0999999999999996</v>
      </c>
    </row>
    <row r="1688" spans="1:2" x14ac:dyDescent="0.25">
      <c r="A1688" s="924">
        <f t="shared" si="26"/>
        <v>1688</v>
      </c>
      <c r="B1688" s="924">
        <v>4.0999999999999996</v>
      </c>
    </row>
    <row r="1689" spans="1:2" x14ac:dyDescent="0.25">
      <c r="A1689" s="924">
        <f t="shared" si="26"/>
        <v>1689</v>
      </c>
      <c r="B1689" s="924">
        <v>4.0999999999999996</v>
      </c>
    </row>
    <row r="1690" spans="1:2" x14ac:dyDescent="0.25">
      <c r="A1690" s="924">
        <f t="shared" si="26"/>
        <v>1690</v>
      </c>
      <c r="B1690" s="924">
        <v>4.0999999999999996</v>
      </c>
    </row>
    <row r="1691" spans="1:2" x14ac:dyDescent="0.25">
      <c r="A1691" s="924">
        <f t="shared" si="26"/>
        <v>1691</v>
      </c>
      <c r="B1691" s="924">
        <v>4.0999999999999996</v>
      </c>
    </row>
    <row r="1692" spans="1:2" x14ac:dyDescent="0.25">
      <c r="A1692" s="924">
        <f t="shared" si="26"/>
        <v>1692</v>
      </c>
      <c r="B1692" s="924">
        <v>4.0999999999999996</v>
      </c>
    </row>
    <row r="1693" spans="1:2" x14ac:dyDescent="0.25">
      <c r="A1693" s="924">
        <f t="shared" si="26"/>
        <v>1693</v>
      </c>
      <c r="B1693" s="924">
        <v>4.0999999999999996</v>
      </c>
    </row>
    <row r="1694" spans="1:2" x14ac:dyDescent="0.25">
      <c r="A1694" s="924">
        <f t="shared" si="26"/>
        <v>1694</v>
      </c>
      <c r="B1694" s="924">
        <v>4.0999999999999996</v>
      </c>
    </row>
    <row r="1695" spans="1:2" x14ac:dyDescent="0.25">
      <c r="A1695" s="924">
        <f t="shared" si="26"/>
        <v>1695</v>
      </c>
      <c r="B1695" s="924">
        <v>4.0999999999999996</v>
      </c>
    </row>
    <row r="1696" spans="1:2" x14ac:dyDescent="0.25">
      <c r="A1696" s="924">
        <f t="shared" si="26"/>
        <v>1696</v>
      </c>
      <c r="B1696" s="924">
        <v>4.0999999999999996</v>
      </c>
    </row>
    <row r="1697" spans="1:2" x14ac:dyDescent="0.25">
      <c r="A1697" s="924">
        <f t="shared" si="26"/>
        <v>1697</v>
      </c>
      <c r="B1697" s="924">
        <v>4.0999999999999996</v>
      </c>
    </row>
    <row r="1698" spans="1:2" x14ac:dyDescent="0.25">
      <c r="A1698" s="924">
        <f t="shared" si="26"/>
        <v>1698</v>
      </c>
      <c r="B1698" s="924">
        <v>4.0999999999999996</v>
      </c>
    </row>
    <row r="1699" spans="1:2" x14ac:dyDescent="0.25">
      <c r="A1699" s="924">
        <f t="shared" si="26"/>
        <v>1699</v>
      </c>
      <c r="B1699" s="924">
        <v>4.0999999999999996</v>
      </c>
    </row>
    <row r="1700" spans="1:2" x14ac:dyDescent="0.25">
      <c r="A1700" s="924">
        <f t="shared" si="26"/>
        <v>1700</v>
      </c>
      <c r="B1700" s="924">
        <v>4.0999999999999996</v>
      </c>
    </row>
    <row r="1701" spans="1:2" x14ac:dyDescent="0.25">
      <c r="A1701" s="924">
        <f t="shared" si="26"/>
        <v>1701</v>
      </c>
      <c r="B1701" s="924">
        <v>4.0999999999999996</v>
      </c>
    </row>
    <row r="1702" spans="1:2" x14ac:dyDescent="0.25">
      <c r="A1702" s="924">
        <f t="shared" si="26"/>
        <v>1702</v>
      </c>
      <c r="B1702" s="924">
        <v>4.0999999999999996</v>
      </c>
    </row>
    <row r="1703" spans="1:2" x14ac:dyDescent="0.25">
      <c r="A1703" s="924">
        <f t="shared" si="26"/>
        <v>1703</v>
      </c>
      <c r="B1703" s="924">
        <v>4.0999999999999996</v>
      </c>
    </row>
    <row r="1704" spans="1:2" x14ac:dyDescent="0.25">
      <c r="A1704" s="924">
        <f t="shared" si="26"/>
        <v>1704</v>
      </c>
      <c r="B1704" s="924">
        <v>4.0999999999999996</v>
      </c>
    </row>
    <row r="1705" spans="1:2" x14ac:dyDescent="0.25">
      <c r="A1705" s="924">
        <f t="shared" si="26"/>
        <v>1705</v>
      </c>
      <c r="B1705" s="924">
        <v>4.0999999999999996</v>
      </c>
    </row>
    <row r="1706" spans="1:2" x14ac:dyDescent="0.25">
      <c r="A1706" s="924">
        <f t="shared" si="26"/>
        <v>1706</v>
      </c>
      <c r="B1706" s="924">
        <v>4.0999999999999996</v>
      </c>
    </row>
    <row r="1707" spans="1:2" x14ac:dyDescent="0.25">
      <c r="A1707" s="924">
        <f t="shared" si="26"/>
        <v>1707</v>
      </c>
      <c r="B1707" s="924">
        <v>4.0999999999999996</v>
      </c>
    </row>
    <row r="1708" spans="1:2" x14ac:dyDescent="0.25">
      <c r="A1708" s="924">
        <f t="shared" si="26"/>
        <v>1708</v>
      </c>
      <c r="B1708" s="924">
        <v>4.0999999999999996</v>
      </c>
    </row>
    <row r="1709" spans="1:2" x14ac:dyDescent="0.25">
      <c r="A1709" s="924">
        <f t="shared" si="26"/>
        <v>1709</v>
      </c>
      <c r="B1709" s="924">
        <v>4.0999999999999996</v>
      </c>
    </row>
    <row r="1710" spans="1:2" x14ac:dyDescent="0.25">
      <c r="A1710" s="924">
        <f t="shared" si="26"/>
        <v>1710</v>
      </c>
      <c r="B1710" s="924">
        <v>4.0999999999999996</v>
      </c>
    </row>
    <row r="1711" spans="1:2" x14ac:dyDescent="0.25">
      <c r="A1711" s="924">
        <f t="shared" si="26"/>
        <v>1711</v>
      </c>
      <c r="B1711" s="924">
        <v>4.0999999999999996</v>
      </c>
    </row>
    <row r="1712" spans="1:2" x14ac:dyDescent="0.25">
      <c r="A1712" s="924">
        <f t="shared" si="26"/>
        <v>1712</v>
      </c>
      <c r="B1712" s="924">
        <v>4.0999999999999996</v>
      </c>
    </row>
    <row r="1713" spans="1:2" x14ac:dyDescent="0.25">
      <c r="A1713" s="924">
        <f t="shared" si="26"/>
        <v>1713</v>
      </c>
      <c r="B1713" s="924">
        <v>4.0999999999999996</v>
      </c>
    </row>
    <row r="1714" spans="1:2" x14ac:dyDescent="0.25">
      <c r="A1714" s="924">
        <f t="shared" si="26"/>
        <v>1714</v>
      </c>
      <c r="B1714" s="924">
        <v>4.0999999999999996</v>
      </c>
    </row>
    <row r="1715" spans="1:2" x14ac:dyDescent="0.25">
      <c r="A1715" s="924">
        <f t="shared" si="26"/>
        <v>1715</v>
      </c>
      <c r="B1715" s="924">
        <v>4.0999999999999996</v>
      </c>
    </row>
    <row r="1716" spans="1:2" x14ac:dyDescent="0.25">
      <c r="A1716" s="924">
        <f t="shared" si="26"/>
        <v>1716</v>
      </c>
      <c r="B1716" s="924">
        <v>4.2</v>
      </c>
    </row>
    <row r="1717" spans="1:2" x14ac:dyDescent="0.25">
      <c r="A1717" s="924">
        <f t="shared" si="26"/>
        <v>1717</v>
      </c>
      <c r="B1717" s="924">
        <v>4.2</v>
      </c>
    </row>
    <row r="1718" spans="1:2" x14ac:dyDescent="0.25">
      <c r="A1718" s="924">
        <f t="shared" si="26"/>
        <v>1718</v>
      </c>
      <c r="B1718" s="924">
        <v>4.2</v>
      </c>
    </row>
    <row r="1719" spans="1:2" x14ac:dyDescent="0.25">
      <c r="A1719" s="924">
        <f t="shared" si="26"/>
        <v>1719</v>
      </c>
      <c r="B1719" s="924">
        <v>4.2</v>
      </c>
    </row>
    <row r="1720" spans="1:2" x14ac:dyDescent="0.25">
      <c r="A1720" s="924">
        <f t="shared" si="26"/>
        <v>1720</v>
      </c>
      <c r="B1720" s="924">
        <v>4.2</v>
      </c>
    </row>
    <row r="1721" spans="1:2" x14ac:dyDescent="0.25">
      <c r="A1721" s="924">
        <f t="shared" si="26"/>
        <v>1721</v>
      </c>
      <c r="B1721" s="924">
        <v>4.2</v>
      </c>
    </row>
    <row r="1722" spans="1:2" x14ac:dyDescent="0.25">
      <c r="A1722" s="924">
        <f t="shared" si="26"/>
        <v>1722</v>
      </c>
      <c r="B1722" s="924">
        <v>4.2</v>
      </c>
    </row>
    <row r="1723" spans="1:2" x14ac:dyDescent="0.25">
      <c r="A1723" s="924">
        <f t="shared" si="26"/>
        <v>1723</v>
      </c>
      <c r="B1723" s="924">
        <v>4.2</v>
      </c>
    </row>
    <row r="1724" spans="1:2" x14ac:dyDescent="0.25">
      <c r="A1724" s="924">
        <f t="shared" si="26"/>
        <v>1724</v>
      </c>
      <c r="B1724" s="924">
        <v>4.2</v>
      </c>
    </row>
    <row r="1725" spans="1:2" x14ac:dyDescent="0.25">
      <c r="A1725" s="924">
        <f t="shared" si="26"/>
        <v>1725</v>
      </c>
      <c r="B1725" s="924">
        <v>4.2</v>
      </c>
    </row>
    <row r="1726" spans="1:2" x14ac:dyDescent="0.25">
      <c r="A1726" s="924">
        <f t="shared" si="26"/>
        <v>1726</v>
      </c>
      <c r="B1726" s="924">
        <v>4.2</v>
      </c>
    </row>
    <row r="1727" spans="1:2" x14ac:dyDescent="0.25">
      <c r="A1727" s="924">
        <f t="shared" si="26"/>
        <v>1727</v>
      </c>
      <c r="B1727" s="924">
        <v>4.2</v>
      </c>
    </row>
    <row r="1728" spans="1:2" x14ac:dyDescent="0.25">
      <c r="A1728" s="924">
        <f t="shared" si="26"/>
        <v>1728</v>
      </c>
      <c r="B1728" s="924">
        <v>4.2</v>
      </c>
    </row>
    <row r="1729" spans="1:2" x14ac:dyDescent="0.25">
      <c r="A1729" s="924">
        <f t="shared" si="26"/>
        <v>1729</v>
      </c>
      <c r="B1729" s="924">
        <v>4.2</v>
      </c>
    </row>
    <row r="1730" spans="1:2" x14ac:dyDescent="0.25">
      <c r="A1730" s="924">
        <f t="shared" si="26"/>
        <v>1730</v>
      </c>
      <c r="B1730" s="924">
        <v>4.2</v>
      </c>
    </row>
    <row r="1731" spans="1:2" x14ac:dyDescent="0.25">
      <c r="A1731" s="924">
        <f t="shared" ref="A1731:A1794" si="27">A1730+1</f>
        <v>1731</v>
      </c>
      <c r="B1731" s="924">
        <v>4.2</v>
      </c>
    </row>
    <row r="1732" spans="1:2" x14ac:dyDescent="0.25">
      <c r="A1732" s="924">
        <f t="shared" si="27"/>
        <v>1732</v>
      </c>
      <c r="B1732" s="924">
        <v>4.2</v>
      </c>
    </row>
    <row r="1733" spans="1:2" x14ac:dyDescent="0.25">
      <c r="A1733" s="924">
        <f t="shared" si="27"/>
        <v>1733</v>
      </c>
      <c r="B1733" s="924">
        <v>4.2</v>
      </c>
    </row>
    <row r="1734" spans="1:2" x14ac:dyDescent="0.25">
      <c r="A1734" s="924">
        <f t="shared" si="27"/>
        <v>1734</v>
      </c>
      <c r="B1734" s="924">
        <v>4.2</v>
      </c>
    </row>
    <row r="1735" spans="1:2" x14ac:dyDescent="0.25">
      <c r="A1735" s="924">
        <f t="shared" si="27"/>
        <v>1735</v>
      </c>
      <c r="B1735" s="924">
        <v>4.2</v>
      </c>
    </row>
    <row r="1736" spans="1:2" x14ac:dyDescent="0.25">
      <c r="A1736" s="924">
        <f t="shared" si="27"/>
        <v>1736</v>
      </c>
      <c r="B1736" s="924">
        <v>4.2</v>
      </c>
    </row>
    <row r="1737" spans="1:2" x14ac:dyDescent="0.25">
      <c r="A1737" s="924">
        <f t="shared" si="27"/>
        <v>1737</v>
      </c>
      <c r="B1737" s="924">
        <v>4.2</v>
      </c>
    </row>
    <row r="1738" spans="1:2" x14ac:dyDescent="0.25">
      <c r="A1738" s="924">
        <f t="shared" si="27"/>
        <v>1738</v>
      </c>
      <c r="B1738" s="924">
        <v>4.2</v>
      </c>
    </row>
    <row r="1739" spans="1:2" x14ac:dyDescent="0.25">
      <c r="A1739" s="924">
        <f t="shared" si="27"/>
        <v>1739</v>
      </c>
      <c r="B1739" s="924">
        <v>4.2</v>
      </c>
    </row>
    <row r="1740" spans="1:2" x14ac:dyDescent="0.25">
      <c r="A1740" s="924">
        <f t="shared" si="27"/>
        <v>1740</v>
      </c>
      <c r="B1740" s="924">
        <v>4.2</v>
      </c>
    </row>
    <row r="1741" spans="1:2" x14ac:dyDescent="0.25">
      <c r="A1741" s="924">
        <f t="shared" si="27"/>
        <v>1741</v>
      </c>
      <c r="B1741" s="924">
        <v>4.2</v>
      </c>
    </row>
    <row r="1742" spans="1:2" x14ac:dyDescent="0.25">
      <c r="A1742" s="924">
        <f t="shared" si="27"/>
        <v>1742</v>
      </c>
      <c r="B1742" s="924">
        <v>4.2</v>
      </c>
    </row>
    <row r="1743" spans="1:2" x14ac:dyDescent="0.25">
      <c r="A1743" s="924">
        <f t="shared" si="27"/>
        <v>1743</v>
      </c>
      <c r="B1743" s="924">
        <v>4.2</v>
      </c>
    </row>
    <row r="1744" spans="1:2" x14ac:dyDescent="0.25">
      <c r="A1744" s="924">
        <f t="shared" si="27"/>
        <v>1744</v>
      </c>
      <c r="B1744" s="924">
        <v>4.2</v>
      </c>
    </row>
    <row r="1745" spans="1:2" x14ac:dyDescent="0.25">
      <c r="A1745" s="924">
        <f t="shared" si="27"/>
        <v>1745</v>
      </c>
      <c r="B1745" s="924">
        <v>4.3</v>
      </c>
    </row>
    <row r="1746" spans="1:2" x14ac:dyDescent="0.25">
      <c r="A1746" s="924">
        <f t="shared" si="27"/>
        <v>1746</v>
      </c>
      <c r="B1746" s="924">
        <v>4.3</v>
      </c>
    </row>
    <row r="1747" spans="1:2" x14ac:dyDescent="0.25">
      <c r="A1747" s="924">
        <f t="shared" si="27"/>
        <v>1747</v>
      </c>
      <c r="B1747" s="924">
        <v>4.3</v>
      </c>
    </row>
    <row r="1748" spans="1:2" x14ac:dyDescent="0.25">
      <c r="A1748" s="924">
        <f t="shared" si="27"/>
        <v>1748</v>
      </c>
      <c r="B1748" s="924">
        <v>4.3</v>
      </c>
    </row>
    <row r="1749" spans="1:2" x14ac:dyDescent="0.25">
      <c r="A1749" s="924">
        <f t="shared" si="27"/>
        <v>1749</v>
      </c>
      <c r="B1749" s="924">
        <v>4.3</v>
      </c>
    </row>
    <row r="1750" spans="1:2" x14ac:dyDescent="0.25">
      <c r="A1750" s="924">
        <f t="shared" si="27"/>
        <v>1750</v>
      </c>
      <c r="B1750" s="924">
        <v>4.3</v>
      </c>
    </row>
    <row r="1751" spans="1:2" x14ac:dyDescent="0.25">
      <c r="A1751" s="924">
        <f t="shared" si="27"/>
        <v>1751</v>
      </c>
      <c r="B1751" s="924">
        <v>4.3</v>
      </c>
    </row>
    <row r="1752" spans="1:2" x14ac:dyDescent="0.25">
      <c r="A1752" s="924">
        <f t="shared" si="27"/>
        <v>1752</v>
      </c>
      <c r="B1752" s="924">
        <v>4.3</v>
      </c>
    </row>
    <row r="1753" spans="1:2" x14ac:dyDescent="0.25">
      <c r="A1753" s="924">
        <f t="shared" si="27"/>
        <v>1753</v>
      </c>
      <c r="B1753" s="924">
        <v>4.3</v>
      </c>
    </row>
    <row r="1754" spans="1:2" x14ac:dyDescent="0.25">
      <c r="A1754" s="924">
        <f t="shared" si="27"/>
        <v>1754</v>
      </c>
      <c r="B1754" s="924">
        <v>4.3</v>
      </c>
    </row>
    <row r="1755" spans="1:2" x14ac:dyDescent="0.25">
      <c r="A1755" s="924">
        <f t="shared" si="27"/>
        <v>1755</v>
      </c>
      <c r="B1755" s="924">
        <v>4.3</v>
      </c>
    </row>
    <row r="1756" spans="1:2" x14ac:dyDescent="0.25">
      <c r="A1756" s="924">
        <f t="shared" si="27"/>
        <v>1756</v>
      </c>
      <c r="B1756" s="924">
        <v>4.3</v>
      </c>
    </row>
    <row r="1757" spans="1:2" x14ac:dyDescent="0.25">
      <c r="A1757" s="924">
        <f t="shared" si="27"/>
        <v>1757</v>
      </c>
      <c r="B1757" s="924">
        <v>4.3</v>
      </c>
    </row>
    <row r="1758" spans="1:2" x14ac:dyDescent="0.25">
      <c r="A1758" s="924">
        <f t="shared" si="27"/>
        <v>1758</v>
      </c>
      <c r="B1758" s="924">
        <v>4.3</v>
      </c>
    </row>
    <row r="1759" spans="1:2" x14ac:dyDescent="0.25">
      <c r="A1759" s="924">
        <f t="shared" si="27"/>
        <v>1759</v>
      </c>
      <c r="B1759" s="924">
        <v>4.3</v>
      </c>
    </row>
    <row r="1760" spans="1:2" x14ac:dyDescent="0.25">
      <c r="A1760" s="924">
        <f t="shared" si="27"/>
        <v>1760</v>
      </c>
      <c r="B1760" s="924">
        <v>4.3</v>
      </c>
    </row>
    <row r="1761" spans="1:2" x14ac:dyDescent="0.25">
      <c r="A1761" s="924">
        <f t="shared" si="27"/>
        <v>1761</v>
      </c>
      <c r="B1761" s="924">
        <v>4.3</v>
      </c>
    </row>
    <row r="1762" spans="1:2" x14ac:dyDescent="0.25">
      <c r="A1762" s="924">
        <f t="shared" si="27"/>
        <v>1762</v>
      </c>
      <c r="B1762" s="924">
        <v>4.3</v>
      </c>
    </row>
    <row r="1763" spans="1:2" x14ac:dyDescent="0.25">
      <c r="A1763" s="924">
        <f t="shared" si="27"/>
        <v>1763</v>
      </c>
      <c r="B1763" s="924">
        <v>4.3</v>
      </c>
    </row>
    <row r="1764" spans="1:2" x14ac:dyDescent="0.25">
      <c r="A1764" s="924">
        <f t="shared" si="27"/>
        <v>1764</v>
      </c>
      <c r="B1764" s="924">
        <v>4.3</v>
      </c>
    </row>
    <row r="1765" spans="1:2" x14ac:dyDescent="0.25">
      <c r="A1765" s="924">
        <f t="shared" si="27"/>
        <v>1765</v>
      </c>
      <c r="B1765" s="924">
        <v>4.3</v>
      </c>
    </row>
    <row r="1766" spans="1:2" x14ac:dyDescent="0.25">
      <c r="A1766" s="924">
        <f t="shared" si="27"/>
        <v>1766</v>
      </c>
      <c r="B1766" s="924">
        <v>4.3</v>
      </c>
    </row>
    <row r="1767" spans="1:2" x14ac:dyDescent="0.25">
      <c r="A1767" s="924">
        <f t="shared" si="27"/>
        <v>1767</v>
      </c>
      <c r="B1767" s="924">
        <v>4.3</v>
      </c>
    </row>
    <row r="1768" spans="1:2" x14ac:dyDescent="0.25">
      <c r="A1768" s="924">
        <f t="shared" si="27"/>
        <v>1768</v>
      </c>
      <c r="B1768" s="924">
        <v>4.3</v>
      </c>
    </row>
    <row r="1769" spans="1:2" x14ac:dyDescent="0.25">
      <c r="A1769" s="924">
        <f t="shared" si="27"/>
        <v>1769</v>
      </c>
      <c r="B1769" s="924">
        <v>4.3</v>
      </c>
    </row>
    <row r="1770" spans="1:2" x14ac:dyDescent="0.25">
      <c r="A1770" s="924">
        <f t="shared" si="27"/>
        <v>1770</v>
      </c>
      <c r="B1770" s="924">
        <v>4.3</v>
      </c>
    </row>
    <row r="1771" spans="1:2" x14ac:dyDescent="0.25">
      <c r="A1771" s="924">
        <f t="shared" si="27"/>
        <v>1771</v>
      </c>
      <c r="B1771" s="924">
        <v>4.3</v>
      </c>
    </row>
    <row r="1772" spans="1:2" x14ac:dyDescent="0.25">
      <c r="A1772" s="924">
        <f t="shared" si="27"/>
        <v>1772</v>
      </c>
      <c r="B1772" s="924">
        <v>4.3</v>
      </c>
    </row>
    <row r="1773" spans="1:2" x14ac:dyDescent="0.25">
      <c r="A1773" s="924">
        <f t="shared" si="27"/>
        <v>1773</v>
      </c>
      <c r="B1773" s="924">
        <v>4.3</v>
      </c>
    </row>
    <row r="1774" spans="1:2" x14ac:dyDescent="0.25">
      <c r="A1774" s="924">
        <f t="shared" si="27"/>
        <v>1774</v>
      </c>
      <c r="B1774" s="924">
        <v>4.3</v>
      </c>
    </row>
    <row r="1775" spans="1:2" x14ac:dyDescent="0.25">
      <c r="A1775" s="924">
        <f t="shared" si="27"/>
        <v>1775</v>
      </c>
      <c r="B1775" s="924">
        <v>4.3</v>
      </c>
    </row>
    <row r="1776" spans="1:2" x14ac:dyDescent="0.25">
      <c r="A1776" s="924">
        <f t="shared" si="27"/>
        <v>1776</v>
      </c>
      <c r="B1776" s="924">
        <v>4.3</v>
      </c>
    </row>
    <row r="1777" spans="1:2" x14ac:dyDescent="0.25">
      <c r="A1777" s="924">
        <f t="shared" si="27"/>
        <v>1777</v>
      </c>
      <c r="B1777" s="924">
        <v>4.3</v>
      </c>
    </row>
    <row r="1778" spans="1:2" x14ac:dyDescent="0.25">
      <c r="A1778" s="924">
        <f t="shared" si="27"/>
        <v>1778</v>
      </c>
      <c r="B1778" s="924">
        <v>4.3</v>
      </c>
    </row>
    <row r="1779" spans="1:2" x14ac:dyDescent="0.25">
      <c r="A1779" s="924">
        <f t="shared" si="27"/>
        <v>1779</v>
      </c>
      <c r="B1779" s="924">
        <v>4.3</v>
      </c>
    </row>
    <row r="1780" spans="1:2" x14ac:dyDescent="0.25">
      <c r="A1780" s="924">
        <f t="shared" si="27"/>
        <v>1780</v>
      </c>
      <c r="B1780" s="924">
        <v>4.3</v>
      </c>
    </row>
    <row r="1781" spans="1:2" x14ac:dyDescent="0.25">
      <c r="A1781" s="924">
        <f t="shared" si="27"/>
        <v>1781</v>
      </c>
      <c r="B1781" s="924">
        <v>4.3</v>
      </c>
    </row>
    <row r="1782" spans="1:2" x14ac:dyDescent="0.25">
      <c r="A1782" s="924">
        <f t="shared" si="27"/>
        <v>1782</v>
      </c>
      <c r="B1782" s="924">
        <v>4.3</v>
      </c>
    </row>
    <row r="1783" spans="1:2" x14ac:dyDescent="0.25">
      <c r="A1783" s="924">
        <f t="shared" si="27"/>
        <v>1783</v>
      </c>
      <c r="B1783" s="924">
        <v>4.3</v>
      </c>
    </row>
    <row r="1784" spans="1:2" x14ac:dyDescent="0.25">
      <c r="A1784" s="924">
        <f t="shared" si="27"/>
        <v>1784</v>
      </c>
      <c r="B1784" s="924">
        <v>4.3</v>
      </c>
    </row>
    <row r="1785" spans="1:2" x14ac:dyDescent="0.25">
      <c r="A1785" s="924">
        <f t="shared" si="27"/>
        <v>1785</v>
      </c>
      <c r="B1785" s="924">
        <v>4.3</v>
      </c>
    </row>
    <row r="1786" spans="1:2" x14ac:dyDescent="0.25">
      <c r="A1786" s="924">
        <f t="shared" si="27"/>
        <v>1786</v>
      </c>
      <c r="B1786" s="924">
        <v>4.4000000000000004</v>
      </c>
    </row>
    <row r="1787" spans="1:2" x14ac:dyDescent="0.25">
      <c r="A1787" s="924">
        <f t="shared" si="27"/>
        <v>1787</v>
      </c>
      <c r="B1787" s="924">
        <v>4.4000000000000004</v>
      </c>
    </row>
    <row r="1788" spans="1:2" x14ac:dyDescent="0.25">
      <c r="A1788" s="924">
        <f t="shared" si="27"/>
        <v>1788</v>
      </c>
      <c r="B1788" s="924">
        <v>4.4000000000000004</v>
      </c>
    </row>
    <row r="1789" spans="1:2" x14ac:dyDescent="0.25">
      <c r="A1789" s="924">
        <f t="shared" si="27"/>
        <v>1789</v>
      </c>
      <c r="B1789" s="924">
        <v>4.4000000000000004</v>
      </c>
    </row>
    <row r="1790" spans="1:2" x14ac:dyDescent="0.25">
      <c r="A1790" s="924">
        <f t="shared" si="27"/>
        <v>1790</v>
      </c>
      <c r="B1790" s="924">
        <v>4.4000000000000004</v>
      </c>
    </row>
    <row r="1791" spans="1:2" x14ac:dyDescent="0.25">
      <c r="A1791" s="924">
        <f t="shared" si="27"/>
        <v>1791</v>
      </c>
      <c r="B1791" s="924">
        <v>4.4000000000000004</v>
      </c>
    </row>
    <row r="1792" spans="1:2" x14ac:dyDescent="0.25">
      <c r="A1792" s="924">
        <f t="shared" si="27"/>
        <v>1792</v>
      </c>
      <c r="B1792" s="924">
        <v>4.4000000000000004</v>
      </c>
    </row>
    <row r="1793" spans="1:2" x14ac:dyDescent="0.25">
      <c r="A1793" s="924">
        <f t="shared" si="27"/>
        <v>1793</v>
      </c>
      <c r="B1793" s="924">
        <v>4.4000000000000004</v>
      </c>
    </row>
    <row r="1794" spans="1:2" x14ac:dyDescent="0.25">
      <c r="A1794" s="924">
        <f t="shared" si="27"/>
        <v>1794</v>
      </c>
      <c r="B1794" s="924">
        <v>4.4000000000000004</v>
      </c>
    </row>
    <row r="1795" spans="1:2" x14ac:dyDescent="0.25">
      <c r="A1795" s="924">
        <f t="shared" ref="A1795:A1858" si="28">A1794+1</f>
        <v>1795</v>
      </c>
      <c r="B1795" s="924">
        <v>4.4000000000000004</v>
      </c>
    </row>
    <row r="1796" spans="1:2" x14ac:dyDescent="0.25">
      <c r="A1796" s="924">
        <f t="shared" si="28"/>
        <v>1796</v>
      </c>
      <c r="B1796" s="924">
        <v>4.4000000000000004</v>
      </c>
    </row>
    <row r="1797" spans="1:2" x14ac:dyDescent="0.25">
      <c r="A1797" s="924">
        <f t="shared" si="28"/>
        <v>1797</v>
      </c>
      <c r="B1797" s="924">
        <v>4.4000000000000004</v>
      </c>
    </row>
    <row r="1798" spans="1:2" x14ac:dyDescent="0.25">
      <c r="A1798" s="924">
        <f t="shared" si="28"/>
        <v>1798</v>
      </c>
      <c r="B1798" s="924">
        <v>4.4000000000000004</v>
      </c>
    </row>
    <row r="1799" spans="1:2" x14ac:dyDescent="0.25">
      <c r="A1799" s="924">
        <f t="shared" si="28"/>
        <v>1799</v>
      </c>
      <c r="B1799" s="924">
        <v>4.4000000000000004</v>
      </c>
    </row>
    <row r="1800" spans="1:2" x14ac:dyDescent="0.25">
      <c r="A1800" s="924">
        <f t="shared" si="28"/>
        <v>1800</v>
      </c>
      <c r="B1800" s="924">
        <v>4.4000000000000004</v>
      </c>
    </row>
    <row r="1801" spans="1:2" x14ac:dyDescent="0.25">
      <c r="A1801" s="924">
        <f t="shared" si="28"/>
        <v>1801</v>
      </c>
      <c r="B1801" s="924">
        <v>4.4000000000000004</v>
      </c>
    </row>
    <row r="1802" spans="1:2" x14ac:dyDescent="0.25">
      <c r="A1802" s="924">
        <f t="shared" si="28"/>
        <v>1802</v>
      </c>
      <c r="B1802" s="924">
        <v>4.4000000000000004</v>
      </c>
    </row>
    <row r="1803" spans="1:2" x14ac:dyDescent="0.25">
      <c r="A1803" s="924">
        <f t="shared" si="28"/>
        <v>1803</v>
      </c>
      <c r="B1803" s="924">
        <v>4.4000000000000004</v>
      </c>
    </row>
    <row r="1804" spans="1:2" x14ac:dyDescent="0.25">
      <c r="A1804" s="924">
        <f t="shared" si="28"/>
        <v>1804</v>
      </c>
      <c r="B1804" s="924">
        <v>4.4000000000000004</v>
      </c>
    </row>
    <row r="1805" spans="1:2" x14ac:dyDescent="0.25">
      <c r="A1805" s="924">
        <f t="shared" si="28"/>
        <v>1805</v>
      </c>
      <c r="B1805" s="924">
        <v>4.4000000000000004</v>
      </c>
    </row>
    <row r="1806" spans="1:2" x14ac:dyDescent="0.25">
      <c r="A1806" s="924">
        <f t="shared" si="28"/>
        <v>1806</v>
      </c>
      <c r="B1806" s="924">
        <v>4.4000000000000004</v>
      </c>
    </row>
    <row r="1807" spans="1:2" x14ac:dyDescent="0.25">
      <c r="A1807" s="924">
        <f t="shared" si="28"/>
        <v>1807</v>
      </c>
      <c r="B1807" s="924">
        <v>4.4000000000000004</v>
      </c>
    </row>
    <row r="1808" spans="1:2" x14ac:dyDescent="0.25">
      <c r="A1808" s="924">
        <f t="shared" si="28"/>
        <v>1808</v>
      </c>
      <c r="B1808" s="924">
        <v>4.4000000000000004</v>
      </c>
    </row>
    <row r="1809" spans="1:2" x14ac:dyDescent="0.25">
      <c r="A1809" s="924">
        <f t="shared" si="28"/>
        <v>1809</v>
      </c>
      <c r="B1809" s="924">
        <v>4.4000000000000004</v>
      </c>
    </row>
    <row r="1810" spans="1:2" x14ac:dyDescent="0.25">
      <c r="A1810" s="924">
        <f t="shared" si="28"/>
        <v>1810</v>
      </c>
      <c r="B1810" s="924">
        <v>4.4000000000000004</v>
      </c>
    </row>
    <row r="1811" spans="1:2" x14ac:dyDescent="0.25">
      <c r="A1811" s="924">
        <f t="shared" si="28"/>
        <v>1811</v>
      </c>
      <c r="B1811" s="924">
        <v>4.4000000000000004</v>
      </c>
    </row>
    <row r="1812" spans="1:2" x14ac:dyDescent="0.25">
      <c r="A1812" s="924">
        <f t="shared" si="28"/>
        <v>1812</v>
      </c>
      <c r="B1812" s="924">
        <v>4.4000000000000004</v>
      </c>
    </row>
    <row r="1813" spans="1:2" x14ac:dyDescent="0.25">
      <c r="A1813" s="924">
        <f t="shared" si="28"/>
        <v>1813</v>
      </c>
      <c r="B1813" s="924">
        <v>4.4000000000000004</v>
      </c>
    </row>
    <row r="1814" spans="1:2" x14ac:dyDescent="0.25">
      <c r="A1814" s="924">
        <f t="shared" si="28"/>
        <v>1814</v>
      </c>
      <c r="B1814" s="924">
        <v>4.4000000000000004</v>
      </c>
    </row>
    <row r="1815" spans="1:2" x14ac:dyDescent="0.25">
      <c r="A1815" s="924">
        <f t="shared" si="28"/>
        <v>1815</v>
      </c>
      <c r="B1815" s="924">
        <v>4.4000000000000004</v>
      </c>
    </row>
    <row r="1816" spans="1:2" x14ac:dyDescent="0.25">
      <c r="A1816" s="924">
        <f t="shared" si="28"/>
        <v>1816</v>
      </c>
      <c r="B1816" s="924">
        <v>4.4000000000000004</v>
      </c>
    </row>
    <row r="1817" spans="1:2" x14ac:dyDescent="0.25">
      <c r="A1817" s="924">
        <f t="shared" si="28"/>
        <v>1817</v>
      </c>
      <c r="B1817" s="924">
        <v>4.4000000000000004</v>
      </c>
    </row>
    <row r="1818" spans="1:2" x14ac:dyDescent="0.25">
      <c r="A1818" s="924">
        <f t="shared" si="28"/>
        <v>1818</v>
      </c>
      <c r="B1818" s="924">
        <v>4.4000000000000004</v>
      </c>
    </row>
    <row r="1819" spans="1:2" x14ac:dyDescent="0.25">
      <c r="A1819" s="924">
        <f t="shared" si="28"/>
        <v>1819</v>
      </c>
      <c r="B1819" s="924">
        <v>4.4000000000000004</v>
      </c>
    </row>
    <row r="1820" spans="1:2" x14ac:dyDescent="0.25">
      <c r="A1820" s="924">
        <f t="shared" si="28"/>
        <v>1820</v>
      </c>
      <c r="B1820" s="924">
        <v>4.4000000000000004</v>
      </c>
    </row>
    <row r="1821" spans="1:2" x14ac:dyDescent="0.25">
      <c r="A1821" s="924">
        <f t="shared" si="28"/>
        <v>1821</v>
      </c>
      <c r="B1821" s="924">
        <v>4.4000000000000004</v>
      </c>
    </row>
    <row r="1822" spans="1:2" x14ac:dyDescent="0.25">
      <c r="A1822" s="924">
        <f t="shared" si="28"/>
        <v>1822</v>
      </c>
      <c r="B1822" s="924">
        <v>4.4000000000000004</v>
      </c>
    </row>
    <row r="1823" spans="1:2" x14ac:dyDescent="0.25">
      <c r="A1823" s="924">
        <f t="shared" si="28"/>
        <v>1823</v>
      </c>
      <c r="B1823" s="924">
        <v>4.4000000000000004</v>
      </c>
    </row>
    <row r="1824" spans="1:2" x14ac:dyDescent="0.25">
      <c r="A1824" s="924">
        <f t="shared" si="28"/>
        <v>1824</v>
      </c>
      <c r="B1824" s="924">
        <v>4.4000000000000004</v>
      </c>
    </row>
    <row r="1825" spans="1:2" x14ac:dyDescent="0.25">
      <c r="A1825" s="924">
        <f t="shared" si="28"/>
        <v>1825</v>
      </c>
      <c r="B1825" s="924">
        <v>4.4000000000000004</v>
      </c>
    </row>
    <row r="1826" spans="1:2" x14ac:dyDescent="0.25">
      <c r="A1826" s="924">
        <f t="shared" si="28"/>
        <v>1826</v>
      </c>
      <c r="B1826" s="924">
        <v>4.5</v>
      </c>
    </row>
    <row r="1827" spans="1:2" x14ac:dyDescent="0.25">
      <c r="A1827" s="924">
        <f t="shared" si="28"/>
        <v>1827</v>
      </c>
      <c r="B1827" s="924">
        <v>4.5</v>
      </c>
    </row>
    <row r="1828" spans="1:2" x14ac:dyDescent="0.25">
      <c r="A1828" s="924">
        <f t="shared" si="28"/>
        <v>1828</v>
      </c>
      <c r="B1828" s="924">
        <v>4.5</v>
      </c>
    </row>
    <row r="1829" spans="1:2" x14ac:dyDescent="0.25">
      <c r="A1829" s="924">
        <f t="shared" si="28"/>
        <v>1829</v>
      </c>
      <c r="B1829" s="924">
        <v>4.5</v>
      </c>
    </row>
    <row r="1830" spans="1:2" x14ac:dyDescent="0.25">
      <c r="A1830" s="924">
        <f t="shared" si="28"/>
        <v>1830</v>
      </c>
      <c r="B1830" s="924">
        <v>4.5</v>
      </c>
    </row>
    <row r="1831" spans="1:2" x14ac:dyDescent="0.25">
      <c r="A1831" s="924">
        <f t="shared" si="28"/>
        <v>1831</v>
      </c>
      <c r="B1831" s="924">
        <v>4.5</v>
      </c>
    </row>
    <row r="1832" spans="1:2" x14ac:dyDescent="0.25">
      <c r="A1832" s="924">
        <f t="shared" si="28"/>
        <v>1832</v>
      </c>
      <c r="B1832" s="924">
        <v>4.5</v>
      </c>
    </row>
    <row r="1833" spans="1:2" x14ac:dyDescent="0.25">
      <c r="A1833" s="924">
        <f t="shared" si="28"/>
        <v>1833</v>
      </c>
      <c r="B1833" s="924">
        <v>4.5</v>
      </c>
    </row>
    <row r="1834" spans="1:2" x14ac:dyDescent="0.25">
      <c r="A1834" s="924">
        <f t="shared" si="28"/>
        <v>1834</v>
      </c>
      <c r="B1834" s="924">
        <v>4.5</v>
      </c>
    </row>
    <row r="1835" spans="1:2" x14ac:dyDescent="0.25">
      <c r="A1835" s="924">
        <f t="shared" si="28"/>
        <v>1835</v>
      </c>
      <c r="B1835" s="924">
        <v>4.5</v>
      </c>
    </row>
    <row r="1836" spans="1:2" x14ac:dyDescent="0.25">
      <c r="A1836" s="924">
        <f t="shared" si="28"/>
        <v>1836</v>
      </c>
      <c r="B1836" s="924">
        <v>4.5</v>
      </c>
    </row>
    <row r="1837" spans="1:2" x14ac:dyDescent="0.25">
      <c r="A1837" s="924">
        <f t="shared" si="28"/>
        <v>1837</v>
      </c>
      <c r="B1837" s="924">
        <v>4.5</v>
      </c>
    </row>
    <row r="1838" spans="1:2" x14ac:dyDescent="0.25">
      <c r="A1838" s="924">
        <f t="shared" si="28"/>
        <v>1838</v>
      </c>
      <c r="B1838" s="924">
        <v>4.5</v>
      </c>
    </row>
    <row r="1839" spans="1:2" x14ac:dyDescent="0.25">
      <c r="A1839" s="924">
        <f t="shared" si="28"/>
        <v>1839</v>
      </c>
      <c r="B1839" s="924">
        <v>4.5</v>
      </c>
    </row>
    <row r="1840" spans="1:2" x14ac:dyDescent="0.25">
      <c r="A1840" s="924">
        <f t="shared" si="28"/>
        <v>1840</v>
      </c>
      <c r="B1840" s="924">
        <v>4.5</v>
      </c>
    </row>
    <row r="1841" spans="1:2" x14ac:dyDescent="0.25">
      <c r="A1841" s="924">
        <f t="shared" si="28"/>
        <v>1841</v>
      </c>
      <c r="B1841" s="924">
        <v>4.5</v>
      </c>
    </row>
    <row r="1842" spans="1:2" x14ac:dyDescent="0.25">
      <c r="A1842" s="924">
        <f t="shared" si="28"/>
        <v>1842</v>
      </c>
      <c r="B1842" s="924">
        <v>4.5</v>
      </c>
    </row>
    <row r="1843" spans="1:2" x14ac:dyDescent="0.25">
      <c r="A1843" s="924">
        <f t="shared" si="28"/>
        <v>1843</v>
      </c>
      <c r="B1843" s="924">
        <v>4.5</v>
      </c>
    </row>
    <row r="1844" spans="1:2" x14ac:dyDescent="0.25">
      <c r="A1844" s="924">
        <f t="shared" si="28"/>
        <v>1844</v>
      </c>
      <c r="B1844" s="924">
        <v>4.5</v>
      </c>
    </row>
    <row r="1845" spans="1:2" x14ac:dyDescent="0.25">
      <c r="A1845" s="924">
        <f t="shared" si="28"/>
        <v>1845</v>
      </c>
      <c r="B1845" s="924">
        <v>4.5</v>
      </c>
    </row>
    <row r="1846" spans="1:2" x14ac:dyDescent="0.25">
      <c r="A1846" s="924">
        <f t="shared" si="28"/>
        <v>1846</v>
      </c>
      <c r="B1846" s="924">
        <v>4.5</v>
      </c>
    </row>
    <row r="1847" spans="1:2" x14ac:dyDescent="0.25">
      <c r="A1847" s="924">
        <f t="shared" si="28"/>
        <v>1847</v>
      </c>
      <c r="B1847" s="924">
        <v>4.5</v>
      </c>
    </row>
    <row r="1848" spans="1:2" x14ac:dyDescent="0.25">
      <c r="A1848" s="924">
        <f t="shared" si="28"/>
        <v>1848</v>
      </c>
      <c r="B1848" s="924">
        <v>4.5</v>
      </c>
    </row>
    <row r="1849" spans="1:2" x14ac:dyDescent="0.25">
      <c r="A1849" s="924">
        <f t="shared" si="28"/>
        <v>1849</v>
      </c>
      <c r="B1849" s="924">
        <v>4.5</v>
      </c>
    </row>
    <row r="1850" spans="1:2" x14ac:dyDescent="0.25">
      <c r="A1850" s="924">
        <f t="shared" si="28"/>
        <v>1850</v>
      </c>
      <c r="B1850" s="924">
        <v>4.5</v>
      </c>
    </row>
    <row r="1851" spans="1:2" x14ac:dyDescent="0.25">
      <c r="A1851" s="924">
        <f t="shared" si="28"/>
        <v>1851</v>
      </c>
      <c r="B1851" s="924">
        <v>4.5</v>
      </c>
    </row>
    <row r="1852" spans="1:2" x14ac:dyDescent="0.25">
      <c r="A1852" s="924">
        <f t="shared" si="28"/>
        <v>1852</v>
      </c>
      <c r="B1852" s="924">
        <v>4.5</v>
      </c>
    </row>
    <row r="1853" spans="1:2" x14ac:dyDescent="0.25">
      <c r="A1853" s="924">
        <f t="shared" si="28"/>
        <v>1853</v>
      </c>
      <c r="B1853" s="924">
        <v>4.5</v>
      </c>
    </row>
    <row r="1854" spans="1:2" x14ac:dyDescent="0.25">
      <c r="A1854" s="924">
        <f t="shared" si="28"/>
        <v>1854</v>
      </c>
      <c r="B1854" s="924">
        <v>4.5</v>
      </c>
    </row>
    <row r="1855" spans="1:2" x14ac:dyDescent="0.25">
      <c r="A1855" s="924">
        <f t="shared" si="28"/>
        <v>1855</v>
      </c>
      <c r="B1855" s="924">
        <v>4.5</v>
      </c>
    </row>
    <row r="1856" spans="1:2" x14ac:dyDescent="0.25">
      <c r="A1856" s="924">
        <f t="shared" si="28"/>
        <v>1856</v>
      </c>
      <c r="B1856" s="924">
        <v>4.5</v>
      </c>
    </row>
    <row r="1857" spans="1:2" x14ac:dyDescent="0.25">
      <c r="A1857" s="924">
        <f t="shared" si="28"/>
        <v>1857</v>
      </c>
      <c r="B1857" s="924">
        <v>4.5</v>
      </c>
    </row>
    <row r="1858" spans="1:2" x14ac:dyDescent="0.25">
      <c r="A1858" s="924">
        <f t="shared" si="28"/>
        <v>1858</v>
      </c>
      <c r="B1858" s="924">
        <v>4.5</v>
      </c>
    </row>
    <row r="1859" spans="1:2" x14ac:dyDescent="0.25">
      <c r="A1859" s="924">
        <f t="shared" ref="A1859:A1922" si="29">A1858+1</f>
        <v>1859</v>
      </c>
      <c r="B1859" s="924">
        <v>4.5</v>
      </c>
    </row>
    <row r="1860" spans="1:2" x14ac:dyDescent="0.25">
      <c r="A1860" s="924">
        <f t="shared" si="29"/>
        <v>1860</v>
      </c>
      <c r="B1860" s="924">
        <v>4.5</v>
      </c>
    </row>
    <row r="1861" spans="1:2" x14ac:dyDescent="0.25">
      <c r="A1861" s="924">
        <f t="shared" si="29"/>
        <v>1861</v>
      </c>
      <c r="B1861" s="924">
        <v>4.5</v>
      </c>
    </row>
    <row r="1862" spans="1:2" x14ac:dyDescent="0.25">
      <c r="A1862" s="924">
        <f t="shared" si="29"/>
        <v>1862</v>
      </c>
      <c r="B1862" s="924">
        <v>4.5</v>
      </c>
    </row>
    <row r="1863" spans="1:2" x14ac:dyDescent="0.25">
      <c r="A1863" s="924">
        <f t="shared" si="29"/>
        <v>1863</v>
      </c>
      <c r="B1863" s="924">
        <v>4.5</v>
      </c>
    </row>
    <row r="1864" spans="1:2" x14ac:dyDescent="0.25">
      <c r="A1864" s="924">
        <f t="shared" si="29"/>
        <v>1864</v>
      </c>
      <c r="B1864" s="924">
        <v>4.5</v>
      </c>
    </row>
    <row r="1865" spans="1:2" x14ac:dyDescent="0.25">
      <c r="A1865" s="924">
        <f t="shared" si="29"/>
        <v>1865</v>
      </c>
      <c r="B1865" s="924">
        <v>4.5</v>
      </c>
    </row>
    <row r="1866" spans="1:2" x14ac:dyDescent="0.25">
      <c r="A1866" s="924">
        <f t="shared" si="29"/>
        <v>1866</v>
      </c>
      <c r="B1866" s="924">
        <v>4.5</v>
      </c>
    </row>
    <row r="1867" spans="1:2" x14ac:dyDescent="0.25">
      <c r="A1867" s="924">
        <f t="shared" si="29"/>
        <v>1867</v>
      </c>
      <c r="B1867" s="924">
        <v>4.5999999999999996</v>
      </c>
    </row>
    <row r="1868" spans="1:2" x14ac:dyDescent="0.25">
      <c r="A1868" s="924">
        <f t="shared" si="29"/>
        <v>1868</v>
      </c>
      <c r="B1868" s="924">
        <v>4.5999999999999996</v>
      </c>
    </row>
    <row r="1869" spans="1:2" x14ac:dyDescent="0.25">
      <c r="A1869" s="924">
        <f t="shared" si="29"/>
        <v>1869</v>
      </c>
      <c r="B1869" s="924">
        <v>4.5999999999999996</v>
      </c>
    </row>
    <row r="1870" spans="1:2" x14ac:dyDescent="0.25">
      <c r="A1870" s="924">
        <f t="shared" si="29"/>
        <v>1870</v>
      </c>
      <c r="B1870" s="924">
        <v>4.5999999999999996</v>
      </c>
    </row>
    <row r="1871" spans="1:2" x14ac:dyDescent="0.25">
      <c r="A1871" s="924">
        <f t="shared" si="29"/>
        <v>1871</v>
      </c>
      <c r="B1871" s="924">
        <v>4.5999999999999996</v>
      </c>
    </row>
    <row r="1872" spans="1:2" x14ac:dyDescent="0.25">
      <c r="A1872" s="924">
        <f t="shared" si="29"/>
        <v>1872</v>
      </c>
      <c r="B1872" s="924">
        <v>4.5999999999999996</v>
      </c>
    </row>
    <row r="1873" spans="1:2" x14ac:dyDescent="0.25">
      <c r="A1873" s="924">
        <f t="shared" si="29"/>
        <v>1873</v>
      </c>
      <c r="B1873" s="924">
        <v>4.5999999999999996</v>
      </c>
    </row>
    <row r="1874" spans="1:2" x14ac:dyDescent="0.25">
      <c r="A1874" s="924">
        <f t="shared" si="29"/>
        <v>1874</v>
      </c>
      <c r="B1874" s="924">
        <v>4.5999999999999996</v>
      </c>
    </row>
    <row r="1875" spans="1:2" x14ac:dyDescent="0.25">
      <c r="A1875" s="924">
        <f t="shared" si="29"/>
        <v>1875</v>
      </c>
      <c r="B1875" s="924">
        <v>4.5999999999999996</v>
      </c>
    </row>
    <row r="1876" spans="1:2" x14ac:dyDescent="0.25">
      <c r="A1876" s="924">
        <f t="shared" si="29"/>
        <v>1876</v>
      </c>
      <c r="B1876" s="924">
        <v>4.5999999999999996</v>
      </c>
    </row>
    <row r="1877" spans="1:2" x14ac:dyDescent="0.25">
      <c r="A1877" s="924">
        <f t="shared" si="29"/>
        <v>1877</v>
      </c>
      <c r="B1877" s="924">
        <v>4.5999999999999996</v>
      </c>
    </row>
    <row r="1878" spans="1:2" x14ac:dyDescent="0.25">
      <c r="A1878" s="924">
        <f t="shared" si="29"/>
        <v>1878</v>
      </c>
      <c r="B1878" s="924">
        <v>4.5999999999999996</v>
      </c>
    </row>
    <row r="1879" spans="1:2" x14ac:dyDescent="0.25">
      <c r="A1879" s="924">
        <f t="shared" si="29"/>
        <v>1879</v>
      </c>
      <c r="B1879" s="924">
        <v>4.5999999999999996</v>
      </c>
    </row>
    <row r="1880" spans="1:2" x14ac:dyDescent="0.25">
      <c r="A1880" s="924">
        <f t="shared" si="29"/>
        <v>1880</v>
      </c>
      <c r="B1880" s="924">
        <v>4.5999999999999996</v>
      </c>
    </row>
    <row r="1881" spans="1:2" x14ac:dyDescent="0.25">
      <c r="A1881" s="924">
        <f t="shared" si="29"/>
        <v>1881</v>
      </c>
      <c r="B1881" s="924">
        <v>4.5999999999999996</v>
      </c>
    </row>
    <row r="1882" spans="1:2" x14ac:dyDescent="0.25">
      <c r="A1882" s="924">
        <f t="shared" si="29"/>
        <v>1882</v>
      </c>
      <c r="B1882" s="924">
        <v>4.5999999999999996</v>
      </c>
    </row>
    <row r="1883" spans="1:2" x14ac:dyDescent="0.25">
      <c r="A1883" s="924">
        <f t="shared" si="29"/>
        <v>1883</v>
      </c>
      <c r="B1883" s="924">
        <v>4.5999999999999996</v>
      </c>
    </row>
    <row r="1884" spans="1:2" x14ac:dyDescent="0.25">
      <c r="A1884" s="924">
        <f t="shared" si="29"/>
        <v>1884</v>
      </c>
      <c r="B1884" s="924">
        <v>4.5999999999999996</v>
      </c>
    </row>
    <row r="1885" spans="1:2" x14ac:dyDescent="0.25">
      <c r="A1885" s="924">
        <f t="shared" si="29"/>
        <v>1885</v>
      </c>
      <c r="B1885" s="924">
        <v>4.5999999999999996</v>
      </c>
    </row>
    <row r="1886" spans="1:2" x14ac:dyDescent="0.25">
      <c r="A1886" s="924">
        <f t="shared" si="29"/>
        <v>1886</v>
      </c>
      <c r="B1886" s="924">
        <v>4.5999999999999996</v>
      </c>
    </row>
    <row r="1887" spans="1:2" x14ac:dyDescent="0.25">
      <c r="A1887" s="924">
        <f t="shared" si="29"/>
        <v>1887</v>
      </c>
      <c r="B1887" s="924">
        <v>4.5999999999999996</v>
      </c>
    </row>
    <row r="1888" spans="1:2" x14ac:dyDescent="0.25">
      <c r="A1888" s="924">
        <f t="shared" si="29"/>
        <v>1888</v>
      </c>
      <c r="B1888" s="924">
        <v>4.5999999999999996</v>
      </c>
    </row>
    <row r="1889" spans="1:2" x14ac:dyDescent="0.25">
      <c r="A1889" s="924">
        <f t="shared" si="29"/>
        <v>1889</v>
      </c>
      <c r="B1889" s="924">
        <v>4.5999999999999996</v>
      </c>
    </row>
    <row r="1890" spans="1:2" x14ac:dyDescent="0.25">
      <c r="A1890" s="924">
        <f t="shared" si="29"/>
        <v>1890</v>
      </c>
      <c r="B1890" s="924">
        <v>4.5999999999999996</v>
      </c>
    </row>
    <row r="1891" spans="1:2" x14ac:dyDescent="0.25">
      <c r="A1891" s="924">
        <f t="shared" si="29"/>
        <v>1891</v>
      </c>
      <c r="B1891" s="924">
        <v>4.5999999999999996</v>
      </c>
    </row>
    <row r="1892" spans="1:2" x14ac:dyDescent="0.25">
      <c r="A1892" s="924">
        <f t="shared" si="29"/>
        <v>1892</v>
      </c>
      <c r="B1892" s="924">
        <v>4.5999999999999996</v>
      </c>
    </row>
    <row r="1893" spans="1:2" x14ac:dyDescent="0.25">
      <c r="A1893" s="924">
        <f t="shared" si="29"/>
        <v>1893</v>
      </c>
      <c r="B1893" s="924">
        <v>4.5999999999999996</v>
      </c>
    </row>
    <row r="1894" spans="1:2" x14ac:dyDescent="0.25">
      <c r="A1894" s="924">
        <f t="shared" si="29"/>
        <v>1894</v>
      </c>
      <c r="B1894" s="924">
        <v>4.5999999999999996</v>
      </c>
    </row>
    <row r="1895" spans="1:2" x14ac:dyDescent="0.25">
      <c r="A1895" s="924">
        <f t="shared" si="29"/>
        <v>1895</v>
      </c>
      <c r="B1895" s="924">
        <v>4.5999999999999996</v>
      </c>
    </row>
    <row r="1896" spans="1:2" x14ac:dyDescent="0.25">
      <c r="A1896" s="924">
        <f t="shared" si="29"/>
        <v>1896</v>
      </c>
      <c r="B1896" s="924">
        <v>4.5999999999999996</v>
      </c>
    </row>
    <row r="1897" spans="1:2" x14ac:dyDescent="0.25">
      <c r="A1897" s="924">
        <f t="shared" si="29"/>
        <v>1897</v>
      </c>
      <c r="B1897" s="924">
        <v>4.5999999999999996</v>
      </c>
    </row>
    <row r="1898" spans="1:2" x14ac:dyDescent="0.25">
      <c r="A1898" s="924">
        <f t="shared" si="29"/>
        <v>1898</v>
      </c>
      <c r="B1898" s="924">
        <v>4.5999999999999996</v>
      </c>
    </row>
    <row r="1899" spans="1:2" x14ac:dyDescent="0.25">
      <c r="A1899" s="924">
        <f t="shared" si="29"/>
        <v>1899</v>
      </c>
      <c r="B1899" s="924">
        <v>4.5999999999999996</v>
      </c>
    </row>
    <row r="1900" spans="1:2" x14ac:dyDescent="0.25">
      <c r="A1900" s="924">
        <f t="shared" si="29"/>
        <v>1900</v>
      </c>
      <c r="B1900" s="924">
        <v>4.5999999999999996</v>
      </c>
    </row>
    <row r="1901" spans="1:2" x14ac:dyDescent="0.25">
      <c r="A1901" s="924">
        <f t="shared" si="29"/>
        <v>1901</v>
      </c>
      <c r="B1901" s="924">
        <v>4.5999999999999996</v>
      </c>
    </row>
    <row r="1902" spans="1:2" x14ac:dyDescent="0.25">
      <c r="A1902" s="924">
        <f t="shared" si="29"/>
        <v>1902</v>
      </c>
      <c r="B1902" s="924">
        <v>4.7</v>
      </c>
    </row>
    <row r="1903" spans="1:2" x14ac:dyDescent="0.25">
      <c r="A1903" s="924">
        <f t="shared" si="29"/>
        <v>1903</v>
      </c>
      <c r="B1903" s="924">
        <v>4.7</v>
      </c>
    </row>
    <row r="1904" spans="1:2" x14ac:dyDescent="0.25">
      <c r="A1904" s="924">
        <f t="shared" si="29"/>
        <v>1904</v>
      </c>
      <c r="B1904" s="924">
        <v>4.7</v>
      </c>
    </row>
    <row r="1905" spans="1:2" x14ac:dyDescent="0.25">
      <c r="A1905" s="924">
        <f t="shared" si="29"/>
        <v>1905</v>
      </c>
      <c r="B1905" s="924">
        <v>4.7</v>
      </c>
    </row>
    <row r="1906" spans="1:2" x14ac:dyDescent="0.25">
      <c r="A1906" s="924">
        <f t="shared" si="29"/>
        <v>1906</v>
      </c>
      <c r="B1906" s="924">
        <v>4.7</v>
      </c>
    </row>
    <row r="1907" spans="1:2" x14ac:dyDescent="0.25">
      <c r="A1907" s="924">
        <f t="shared" si="29"/>
        <v>1907</v>
      </c>
      <c r="B1907" s="924">
        <v>4.7</v>
      </c>
    </row>
    <row r="1908" spans="1:2" x14ac:dyDescent="0.25">
      <c r="A1908" s="924">
        <f t="shared" si="29"/>
        <v>1908</v>
      </c>
      <c r="B1908" s="924">
        <v>4.7</v>
      </c>
    </row>
    <row r="1909" spans="1:2" x14ac:dyDescent="0.25">
      <c r="A1909" s="924">
        <f t="shared" si="29"/>
        <v>1909</v>
      </c>
      <c r="B1909" s="924">
        <v>4.7</v>
      </c>
    </row>
    <row r="1910" spans="1:2" x14ac:dyDescent="0.25">
      <c r="A1910" s="924">
        <f t="shared" si="29"/>
        <v>1910</v>
      </c>
      <c r="B1910" s="924">
        <v>4.7</v>
      </c>
    </row>
    <row r="1911" spans="1:2" x14ac:dyDescent="0.25">
      <c r="A1911" s="924">
        <f t="shared" si="29"/>
        <v>1911</v>
      </c>
      <c r="B1911" s="924">
        <v>4.7</v>
      </c>
    </row>
    <row r="1912" spans="1:2" x14ac:dyDescent="0.25">
      <c r="A1912" s="924">
        <f t="shared" si="29"/>
        <v>1912</v>
      </c>
      <c r="B1912" s="924">
        <v>4.7</v>
      </c>
    </row>
    <row r="1913" spans="1:2" x14ac:dyDescent="0.25">
      <c r="A1913" s="924">
        <f t="shared" si="29"/>
        <v>1913</v>
      </c>
      <c r="B1913" s="924">
        <v>4.7</v>
      </c>
    </row>
    <row r="1914" spans="1:2" x14ac:dyDescent="0.25">
      <c r="A1914" s="924">
        <f t="shared" si="29"/>
        <v>1914</v>
      </c>
      <c r="B1914" s="924">
        <v>4.7</v>
      </c>
    </row>
    <row r="1915" spans="1:2" x14ac:dyDescent="0.25">
      <c r="A1915" s="924">
        <f t="shared" si="29"/>
        <v>1915</v>
      </c>
      <c r="B1915" s="924">
        <v>4.7</v>
      </c>
    </row>
    <row r="1916" spans="1:2" x14ac:dyDescent="0.25">
      <c r="A1916" s="924">
        <f t="shared" si="29"/>
        <v>1916</v>
      </c>
      <c r="B1916" s="924">
        <v>4.7</v>
      </c>
    </row>
    <row r="1917" spans="1:2" x14ac:dyDescent="0.25">
      <c r="A1917" s="924">
        <f t="shared" si="29"/>
        <v>1917</v>
      </c>
      <c r="B1917" s="924">
        <v>4.7</v>
      </c>
    </row>
    <row r="1918" spans="1:2" x14ac:dyDescent="0.25">
      <c r="A1918" s="924">
        <f t="shared" si="29"/>
        <v>1918</v>
      </c>
      <c r="B1918" s="924">
        <v>4.7</v>
      </c>
    </row>
    <row r="1919" spans="1:2" x14ac:dyDescent="0.25">
      <c r="A1919" s="924">
        <f t="shared" si="29"/>
        <v>1919</v>
      </c>
      <c r="B1919" s="924">
        <v>4.7</v>
      </c>
    </row>
    <row r="1920" spans="1:2" x14ac:dyDescent="0.25">
      <c r="A1920" s="924">
        <f t="shared" si="29"/>
        <v>1920</v>
      </c>
      <c r="B1920" s="924">
        <v>4.7</v>
      </c>
    </row>
    <row r="1921" spans="1:2" x14ac:dyDescent="0.25">
      <c r="A1921" s="924">
        <f t="shared" si="29"/>
        <v>1921</v>
      </c>
      <c r="B1921" s="924">
        <v>4.7</v>
      </c>
    </row>
    <row r="1922" spans="1:2" x14ac:dyDescent="0.25">
      <c r="A1922" s="924">
        <f t="shared" si="29"/>
        <v>1922</v>
      </c>
      <c r="B1922" s="924">
        <v>4.7</v>
      </c>
    </row>
    <row r="1923" spans="1:2" x14ac:dyDescent="0.25">
      <c r="A1923" s="924">
        <f t="shared" ref="A1923:A1986" si="30">A1922+1</f>
        <v>1923</v>
      </c>
      <c r="B1923" s="924">
        <v>4.7</v>
      </c>
    </row>
    <row r="1924" spans="1:2" x14ac:dyDescent="0.25">
      <c r="A1924" s="924">
        <f t="shared" si="30"/>
        <v>1924</v>
      </c>
      <c r="B1924" s="924">
        <v>4.7</v>
      </c>
    </row>
    <row r="1925" spans="1:2" x14ac:dyDescent="0.25">
      <c r="A1925" s="924">
        <f t="shared" si="30"/>
        <v>1925</v>
      </c>
      <c r="B1925" s="924">
        <v>4.7</v>
      </c>
    </row>
    <row r="1926" spans="1:2" x14ac:dyDescent="0.25">
      <c r="A1926" s="924">
        <f t="shared" si="30"/>
        <v>1926</v>
      </c>
      <c r="B1926" s="924">
        <v>4.7</v>
      </c>
    </row>
    <row r="1927" spans="1:2" x14ac:dyDescent="0.25">
      <c r="A1927" s="924">
        <f t="shared" si="30"/>
        <v>1927</v>
      </c>
      <c r="B1927" s="924">
        <v>4.7</v>
      </c>
    </row>
    <row r="1928" spans="1:2" x14ac:dyDescent="0.25">
      <c r="A1928" s="924">
        <f t="shared" si="30"/>
        <v>1928</v>
      </c>
      <c r="B1928" s="924">
        <v>4.7</v>
      </c>
    </row>
    <row r="1929" spans="1:2" x14ac:dyDescent="0.25">
      <c r="A1929" s="924">
        <f t="shared" si="30"/>
        <v>1929</v>
      </c>
      <c r="B1929" s="924">
        <v>4.7</v>
      </c>
    </row>
    <row r="1930" spans="1:2" x14ac:dyDescent="0.25">
      <c r="A1930" s="924">
        <f t="shared" si="30"/>
        <v>1930</v>
      </c>
      <c r="B1930" s="924">
        <v>4.7</v>
      </c>
    </row>
    <row r="1931" spans="1:2" x14ac:dyDescent="0.25">
      <c r="A1931" s="924">
        <f t="shared" si="30"/>
        <v>1931</v>
      </c>
      <c r="B1931" s="924">
        <v>4.7</v>
      </c>
    </row>
    <row r="1932" spans="1:2" x14ac:dyDescent="0.25">
      <c r="A1932" s="924">
        <f t="shared" si="30"/>
        <v>1932</v>
      </c>
      <c r="B1932" s="924">
        <v>4.7</v>
      </c>
    </row>
    <row r="1933" spans="1:2" x14ac:dyDescent="0.25">
      <c r="A1933" s="924">
        <f t="shared" si="30"/>
        <v>1933</v>
      </c>
      <c r="B1933" s="924">
        <v>4.7</v>
      </c>
    </row>
    <row r="1934" spans="1:2" x14ac:dyDescent="0.25">
      <c r="A1934" s="924">
        <f t="shared" si="30"/>
        <v>1934</v>
      </c>
      <c r="B1934" s="924">
        <v>4.7</v>
      </c>
    </row>
    <row r="1935" spans="1:2" x14ac:dyDescent="0.25">
      <c r="A1935" s="924">
        <f t="shared" si="30"/>
        <v>1935</v>
      </c>
      <c r="B1935" s="924">
        <v>4.8</v>
      </c>
    </row>
    <row r="1936" spans="1:2" x14ac:dyDescent="0.25">
      <c r="A1936" s="924">
        <f t="shared" si="30"/>
        <v>1936</v>
      </c>
      <c r="B1936" s="924">
        <v>4.8</v>
      </c>
    </row>
    <row r="1937" spans="1:2" x14ac:dyDescent="0.25">
      <c r="A1937" s="924">
        <f t="shared" si="30"/>
        <v>1937</v>
      </c>
      <c r="B1937" s="924">
        <v>4.8</v>
      </c>
    </row>
    <row r="1938" spans="1:2" x14ac:dyDescent="0.25">
      <c r="A1938" s="924">
        <f t="shared" si="30"/>
        <v>1938</v>
      </c>
      <c r="B1938" s="924">
        <v>4.8</v>
      </c>
    </row>
    <row r="1939" spans="1:2" x14ac:dyDescent="0.25">
      <c r="A1939" s="924">
        <f t="shared" si="30"/>
        <v>1939</v>
      </c>
      <c r="B1939" s="924">
        <v>4.8</v>
      </c>
    </row>
    <row r="1940" spans="1:2" x14ac:dyDescent="0.25">
      <c r="A1940" s="924">
        <f t="shared" si="30"/>
        <v>1940</v>
      </c>
      <c r="B1940" s="924">
        <v>4.8</v>
      </c>
    </row>
    <row r="1941" spans="1:2" x14ac:dyDescent="0.25">
      <c r="A1941" s="924">
        <f t="shared" si="30"/>
        <v>1941</v>
      </c>
      <c r="B1941" s="924">
        <v>4.8</v>
      </c>
    </row>
    <row r="1942" spans="1:2" x14ac:dyDescent="0.25">
      <c r="A1942" s="924">
        <f t="shared" si="30"/>
        <v>1942</v>
      </c>
      <c r="B1942" s="924">
        <v>4.8</v>
      </c>
    </row>
    <row r="1943" spans="1:2" x14ac:dyDescent="0.25">
      <c r="A1943" s="924">
        <f t="shared" si="30"/>
        <v>1943</v>
      </c>
      <c r="B1943" s="924">
        <v>4.8</v>
      </c>
    </row>
    <row r="1944" spans="1:2" x14ac:dyDescent="0.25">
      <c r="A1944" s="924">
        <f t="shared" si="30"/>
        <v>1944</v>
      </c>
      <c r="B1944" s="924">
        <v>4.8</v>
      </c>
    </row>
    <row r="1945" spans="1:2" x14ac:dyDescent="0.25">
      <c r="A1945" s="924">
        <f t="shared" si="30"/>
        <v>1945</v>
      </c>
      <c r="B1945" s="924">
        <v>4.8</v>
      </c>
    </row>
    <row r="1946" spans="1:2" x14ac:dyDescent="0.25">
      <c r="A1946" s="924">
        <f t="shared" si="30"/>
        <v>1946</v>
      </c>
      <c r="B1946" s="924">
        <v>4.8</v>
      </c>
    </row>
    <row r="1947" spans="1:2" x14ac:dyDescent="0.25">
      <c r="A1947" s="924">
        <f t="shared" si="30"/>
        <v>1947</v>
      </c>
      <c r="B1947" s="924">
        <v>4.8</v>
      </c>
    </row>
    <row r="1948" spans="1:2" x14ac:dyDescent="0.25">
      <c r="A1948" s="924">
        <f t="shared" si="30"/>
        <v>1948</v>
      </c>
      <c r="B1948" s="924">
        <v>4.8</v>
      </c>
    </row>
    <row r="1949" spans="1:2" x14ac:dyDescent="0.25">
      <c r="A1949" s="924">
        <f t="shared" si="30"/>
        <v>1949</v>
      </c>
      <c r="B1949" s="924">
        <v>4.8</v>
      </c>
    </row>
    <row r="1950" spans="1:2" x14ac:dyDescent="0.25">
      <c r="A1950" s="924">
        <f t="shared" si="30"/>
        <v>1950</v>
      </c>
      <c r="B1950" s="924">
        <v>4.8</v>
      </c>
    </row>
    <row r="1951" spans="1:2" x14ac:dyDescent="0.25">
      <c r="A1951" s="924">
        <f t="shared" si="30"/>
        <v>1951</v>
      </c>
      <c r="B1951" s="924">
        <v>4.8</v>
      </c>
    </row>
    <row r="1952" spans="1:2" x14ac:dyDescent="0.25">
      <c r="A1952" s="924">
        <f t="shared" si="30"/>
        <v>1952</v>
      </c>
      <c r="B1952" s="924">
        <v>4.8</v>
      </c>
    </row>
    <row r="1953" spans="1:2" x14ac:dyDescent="0.25">
      <c r="A1953" s="924">
        <f t="shared" si="30"/>
        <v>1953</v>
      </c>
      <c r="B1953" s="924">
        <v>4.8</v>
      </c>
    </row>
    <row r="1954" spans="1:2" x14ac:dyDescent="0.25">
      <c r="A1954" s="924">
        <f t="shared" si="30"/>
        <v>1954</v>
      </c>
      <c r="B1954" s="924">
        <v>4.8</v>
      </c>
    </row>
    <row r="1955" spans="1:2" x14ac:dyDescent="0.25">
      <c r="A1955" s="924">
        <f t="shared" si="30"/>
        <v>1955</v>
      </c>
      <c r="B1955" s="924">
        <v>4.8</v>
      </c>
    </row>
    <row r="1956" spans="1:2" x14ac:dyDescent="0.25">
      <c r="A1956" s="924">
        <f t="shared" si="30"/>
        <v>1956</v>
      </c>
      <c r="B1956" s="924">
        <v>4.8</v>
      </c>
    </row>
    <row r="1957" spans="1:2" x14ac:dyDescent="0.25">
      <c r="A1957" s="924">
        <f t="shared" si="30"/>
        <v>1957</v>
      </c>
      <c r="B1957" s="924">
        <v>4.8</v>
      </c>
    </row>
    <row r="1958" spans="1:2" x14ac:dyDescent="0.25">
      <c r="A1958" s="924">
        <f t="shared" si="30"/>
        <v>1958</v>
      </c>
      <c r="B1958" s="924">
        <v>4.8</v>
      </c>
    </row>
    <row r="1959" spans="1:2" x14ac:dyDescent="0.25">
      <c r="A1959" s="924">
        <f t="shared" si="30"/>
        <v>1959</v>
      </c>
      <c r="B1959" s="924">
        <v>4.8</v>
      </c>
    </row>
    <row r="1960" spans="1:2" x14ac:dyDescent="0.25">
      <c r="A1960" s="924">
        <f t="shared" si="30"/>
        <v>1960</v>
      </c>
      <c r="B1960" s="924">
        <v>4.8</v>
      </c>
    </row>
    <row r="1961" spans="1:2" x14ac:dyDescent="0.25">
      <c r="A1961" s="924">
        <f t="shared" si="30"/>
        <v>1961</v>
      </c>
      <c r="B1961" s="924">
        <v>4.8</v>
      </c>
    </row>
    <row r="1962" spans="1:2" x14ac:dyDescent="0.25">
      <c r="A1962" s="924">
        <f t="shared" si="30"/>
        <v>1962</v>
      </c>
      <c r="B1962" s="924">
        <v>4.8</v>
      </c>
    </row>
    <row r="1963" spans="1:2" x14ac:dyDescent="0.25">
      <c r="A1963" s="924">
        <f t="shared" si="30"/>
        <v>1963</v>
      </c>
      <c r="B1963" s="924">
        <v>4.8</v>
      </c>
    </row>
    <row r="1964" spans="1:2" x14ac:dyDescent="0.25">
      <c r="A1964" s="924">
        <f t="shared" si="30"/>
        <v>1964</v>
      </c>
      <c r="B1964" s="924">
        <v>4.8</v>
      </c>
    </row>
    <row r="1965" spans="1:2" x14ac:dyDescent="0.25">
      <c r="A1965" s="924">
        <f t="shared" si="30"/>
        <v>1965</v>
      </c>
      <c r="B1965" s="924">
        <v>4.8</v>
      </c>
    </row>
    <row r="1966" spans="1:2" x14ac:dyDescent="0.25">
      <c r="A1966" s="924">
        <f t="shared" si="30"/>
        <v>1966</v>
      </c>
      <c r="B1966" s="924">
        <v>4.9000000000000004</v>
      </c>
    </row>
    <row r="1967" spans="1:2" x14ac:dyDescent="0.25">
      <c r="A1967" s="924">
        <f t="shared" si="30"/>
        <v>1967</v>
      </c>
      <c r="B1967" s="924">
        <v>4.9000000000000004</v>
      </c>
    </row>
    <row r="1968" spans="1:2" x14ac:dyDescent="0.25">
      <c r="A1968" s="924">
        <f t="shared" si="30"/>
        <v>1968</v>
      </c>
      <c r="B1968" s="924">
        <v>4.9000000000000004</v>
      </c>
    </row>
    <row r="1969" spans="1:2" x14ac:dyDescent="0.25">
      <c r="A1969" s="924">
        <f t="shared" si="30"/>
        <v>1969</v>
      </c>
      <c r="B1969" s="924">
        <v>4.9000000000000004</v>
      </c>
    </row>
    <row r="1970" spans="1:2" x14ac:dyDescent="0.25">
      <c r="A1970" s="924">
        <f t="shared" si="30"/>
        <v>1970</v>
      </c>
      <c r="B1970" s="924">
        <v>4.9000000000000004</v>
      </c>
    </row>
    <row r="1971" spans="1:2" x14ac:dyDescent="0.25">
      <c r="A1971" s="924">
        <f t="shared" si="30"/>
        <v>1971</v>
      </c>
      <c r="B1971" s="924">
        <v>4.9000000000000004</v>
      </c>
    </row>
    <row r="1972" spans="1:2" x14ac:dyDescent="0.25">
      <c r="A1972" s="924">
        <f t="shared" si="30"/>
        <v>1972</v>
      </c>
      <c r="B1972" s="924">
        <v>4.9000000000000004</v>
      </c>
    </row>
    <row r="1973" spans="1:2" x14ac:dyDescent="0.25">
      <c r="A1973" s="924">
        <f t="shared" si="30"/>
        <v>1973</v>
      </c>
      <c r="B1973" s="924">
        <v>4.9000000000000004</v>
      </c>
    </row>
    <row r="1974" spans="1:2" x14ac:dyDescent="0.25">
      <c r="A1974" s="924">
        <f t="shared" si="30"/>
        <v>1974</v>
      </c>
      <c r="B1974" s="924">
        <v>4.9000000000000004</v>
      </c>
    </row>
    <row r="1975" spans="1:2" x14ac:dyDescent="0.25">
      <c r="A1975" s="924">
        <f t="shared" si="30"/>
        <v>1975</v>
      </c>
      <c r="B1975" s="924">
        <v>4.9000000000000004</v>
      </c>
    </row>
    <row r="1976" spans="1:2" x14ac:dyDescent="0.25">
      <c r="A1976" s="924">
        <f t="shared" si="30"/>
        <v>1976</v>
      </c>
      <c r="B1976" s="924">
        <v>4.9000000000000004</v>
      </c>
    </row>
    <row r="1977" spans="1:2" x14ac:dyDescent="0.25">
      <c r="A1977" s="924">
        <f t="shared" si="30"/>
        <v>1977</v>
      </c>
      <c r="B1977" s="924">
        <v>4.9000000000000004</v>
      </c>
    </row>
    <row r="1978" spans="1:2" x14ac:dyDescent="0.25">
      <c r="A1978" s="924">
        <f t="shared" si="30"/>
        <v>1978</v>
      </c>
      <c r="B1978" s="924">
        <v>4.9000000000000004</v>
      </c>
    </row>
    <row r="1979" spans="1:2" x14ac:dyDescent="0.25">
      <c r="A1979" s="924">
        <f t="shared" si="30"/>
        <v>1979</v>
      </c>
      <c r="B1979" s="924">
        <v>4.9000000000000004</v>
      </c>
    </row>
    <row r="1980" spans="1:2" x14ac:dyDescent="0.25">
      <c r="A1980" s="924">
        <f t="shared" si="30"/>
        <v>1980</v>
      </c>
      <c r="B1980" s="924">
        <v>4.9000000000000004</v>
      </c>
    </row>
    <row r="1981" spans="1:2" x14ac:dyDescent="0.25">
      <c r="A1981" s="924">
        <f t="shared" si="30"/>
        <v>1981</v>
      </c>
      <c r="B1981" s="924">
        <v>4.9000000000000004</v>
      </c>
    </row>
    <row r="1982" spans="1:2" x14ac:dyDescent="0.25">
      <c r="A1982" s="924">
        <f t="shared" si="30"/>
        <v>1982</v>
      </c>
      <c r="B1982" s="924">
        <v>4.9000000000000004</v>
      </c>
    </row>
    <row r="1983" spans="1:2" x14ac:dyDescent="0.25">
      <c r="A1983" s="924">
        <f t="shared" si="30"/>
        <v>1983</v>
      </c>
      <c r="B1983" s="924">
        <v>4.9000000000000004</v>
      </c>
    </row>
    <row r="1984" spans="1:2" x14ac:dyDescent="0.25">
      <c r="A1984" s="924">
        <f t="shared" si="30"/>
        <v>1984</v>
      </c>
      <c r="B1984" s="924">
        <v>4.9000000000000004</v>
      </c>
    </row>
    <row r="1985" spans="1:2" x14ac:dyDescent="0.25">
      <c r="A1985" s="924">
        <f t="shared" si="30"/>
        <v>1985</v>
      </c>
      <c r="B1985" s="924">
        <v>4.9000000000000004</v>
      </c>
    </row>
    <row r="1986" spans="1:2" x14ac:dyDescent="0.25">
      <c r="A1986" s="924">
        <f t="shared" si="30"/>
        <v>1986</v>
      </c>
      <c r="B1986" s="924">
        <v>4.9000000000000004</v>
      </c>
    </row>
    <row r="1987" spans="1:2" x14ac:dyDescent="0.25">
      <c r="A1987" s="924">
        <f t="shared" ref="A1987:A2050" si="31">A1986+1</f>
        <v>1987</v>
      </c>
      <c r="B1987" s="924">
        <v>4.9000000000000004</v>
      </c>
    </row>
    <row r="1988" spans="1:2" x14ac:dyDescent="0.25">
      <c r="A1988" s="924">
        <f t="shared" si="31"/>
        <v>1988</v>
      </c>
      <c r="B1988" s="924">
        <v>4.9000000000000004</v>
      </c>
    </row>
    <row r="1989" spans="1:2" x14ac:dyDescent="0.25">
      <c r="A1989" s="924">
        <f t="shared" si="31"/>
        <v>1989</v>
      </c>
      <c r="B1989" s="924">
        <v>4.9000000000000004</v>
      </c>
    </row>
    <row r="1990" spans="1:2" x14ac:dyDescent="0.25">
      <c r="A1990" s="924">
        <f t="shared" si="31"/>
        <v>1990</v>
      </c>
      <c r="B1990" s="924">
        <v>4.9000000000000004</v>
      </c>
    </row>
    <row r="1991" spans="1:2" x14ac:dyDescent="0.25">
      <c r="A1991" s="924">
        <f t="shared" si="31"/>
        <v>1991</v>
      </c>
      <c r="B1991" s="924">
        <v>4.9000000000000004</v>
      </c>
    </row>
    <row r="1992" spans="1:2" x14ac:dyDescent="0.25">
      <c r="A1992" s="924">
        <f t="shared" si="31"/>
        <v>1992</v>
      </c>
      <c r="B1992" s="924">
        <v>4.9000000000000004</v>
      </c>
    </row>
    <row r="1993" spans="1:2" x14ac:dyDescent="0.25">
      <c r="A1993" s="924">
        <f t="shared" si="31"/>
        <v>1993</v>
      </c>
      <c r="B1993" s="924">
        <v>4.9000000000000004</v>
      </c>
    </row>
    <row r="1994" spans="1:2" x14ac:dyDescent="0.25">
      <c r="A1994" s="924">
        <f t="shared" si="31"/>
        <v>1994</v>
      </c>
      <c r="B1994" s="924">
        <v>4.9000000000000004</v>
      </c>
    </row>
    <row r="1995" spans="1:2" x14ac:dyDescent="0.25">
      <c r="A1995" s="924">
        <f t="shared" si="31"/>
        <v>1995</v>
      </c>
      <c r="B1995" s="924">
        <v>4.9000000000000004</v>
      </c>
    </row>
    <row r="1996" spans="1:2" x14ac:dyDescent="0.25">
      <c r="A1996" s="924">
        <f t="shared" si="31"/>
        <v>1996</v>
      </c>
      <c r="B1996" s="924">
        <v>4.9000000000000004</v>
      </c>
    </row>
    <row r="1997" spans="1:2" x14ac:dyDescent="0.25">
      <c r="A1997" s="924">
        <f t="shared" si="31"/>
        <v>1997</v>
      </c>
      <c r="B1997" s="924">
        <v>4.9000000000000004</v>
      </c>
    </row>
    <row r="1998" spans="1:2" x14ac:dyDescent="0.25">
      <c r="A1998" s="924">
        <f t="shared" si="31"/>
        <v>1998</v>
      </c>
      <c r="B1998" s="924">
        <v>4.9000000000000004</v>
      </c>
    </row>
    <row r="1999" spans="1:2" x14ac:dyDescent="0.25">
      <c r="A1999" s="924">
        <f t="shared" si="31"/>
        <v>1999</v>
      </c>
      <c r="B1999" s="924">
        <v>5</v>
      </c>
    </row>
    <row r="2000" spans="1:2" x14ac:dyDescent="0.25">
      <c r="A2000" s="924">
        <f t="shared" si="31"/>
        <v>2000</v>
      </c>
      <c r="B2000" s="924">
        <v>5</v>
      </c>
    </row>
    <row r="2001" spans="1:2" x14ac:dyDescent="0.25">
      <c r="A2001" s="924">
        <f t="shared" si="31"/>
        <v>2001</v>
      </c>
      <c r="B2001" s="924">
        <v>5</v>
      </c>
    </row>
    <row r="2002" spans="1:2" x14ac:dyDescent="0.25">
      <c r="A2002" s="924">
        <f t="shared" si="31"/>
        <v>2002</v>
      </c>
      <c r="B2002" s="924">
        <v>5</v>
      </c>
    </row>
    <row r="2003" spans="1:2" x14ac:dyDescent="0.25">
      <c r="A2003" s="924">
        <f t="shared" si="31"/>
        <v>2003</v>
      </c>
      <c r="B2003" s="924">
        <v>5</v>
      </c>
    </row>
    <row r="2004" spans="1:2" x14ac:dyDescent="0.25">
      <c r="A2004" s="924">
        <f t="shared" si="31"/>
        <v>2004</v>
      </c>
      <c r="B2004" s="924">
        <v>5</v>
      </c>
    </row>
    <row r="2005" spans="1:2" x14ac:dyDescent="0.25">
      <c r="A2005" s="924">
        <f t="shared" si="31"/>
        <v>2005</v>
      </c>
      <c r="B2005" s="924">
        <v>5</v>
      </c>
    </row>
    <row r="2006" spans="1:2" x14ac:dyDescent="0.25">
      <c r="A2006" s="924">
        <f t="shared" si="31"/>
        <v>2006</v>
      </c>
      <c r="B2006" s="924">
        <v>5</v>
      </c>
    </row>
    <row r="2007" spans="1:2" x14ac:dyDescent="0.25">
      <c r="A2007" s="924">
        <f t="shared" si="31"/>
        <v>2007</v>
      </c>
      <c r="B2007" s="924">
        <v>5</v>
      </c>
    </row>
    <row r="2008" spans="1:2" x14ac:dyDescent="0.25">
      <c r="A2008" s="924">
        <f t="shared" si="31"/>
        <v>2008</v>
      </c>
      <c r="B2008" s="924">
        <v>5</v>
      </c>
    </row>
    <row r="2009" spans="1:2" x14ac:dyDescent="0.25">
      <c r="A2009" s="924">
        <f t="shared" si="31"/>
        <v>2009</v>
      </c>
      <c r="B2009" s="924">
        <v>5</v>
      </c>
    </row>
    <row r="2010" spans="1:2" x14ac:dyDescent="0.25">
      <c r="A2010" s="924">
        <f t="shared" si="31"/>
        <v>2010</v>
      </c>
      <c r="B2010" s="924">
        <v>5</v>
      </c>
    </row>
    <row r="2011" spans="1:2" x14ac:dyDescent="0.25">
      <c r="A2011" s="924">
        <f t="shared" si="31"/>
        <v>2011</v>
      </c>
      <c r="B2011" s="924">
        <v>5</v>
      </c>
    </row>
    <row r="2012" spans="1:2" x14ac:dyDescent="0.25">
      <c r="A2012" s="924">
        <f t="shared" si="31"/>
        <v>2012</v>
      </c>
      <c r="B2012" s="924">
        <v>5</v>
      </c>
    </row>
    <row r="2013" spans="1:2" x14ac:dyDescent="0.25">
      <c r="A2013" s="924">
        <f t="shared" si="31"/>
        <v>2013</v>
      </c>
      <c r="B2013" s="924">
        <v>5</v>
      </c>
    </row>
    <row r="2014" spans="1:2" x14ac:dyDescent="0.25">
      <c r="A2014" s="924">
        <f t="shared" si="31"/>
        <v>2014</v>
      </c>
      <c r="B2014" s="924">
        <v>5</v>
      </c>
    </row>
    <row r="2015" spans="1:2" x14ac:dyDescent="0.25">
      <c r="A2015" s="924">
        <f t="shared" si="31"/>
        <v>2015</v>
      </c>
      <c r="B2015" s="924">
        <v>5</v>
      </c>
    </row>
    <row r="2016" spans="1:2" x14ac:dyDescent="0.25">
      <c r="A2016" s="924">
        <f t="shared" si="31"/>
        <v>2016</v>
      </c>
      <c r="B2016" s="924">
        <v>5</v>
      </c>
    </row>
    <row r="2017" spans="1:2" x14ac:dyDescent="0.25">
      <c r="A2017" s="924">
        <f t="shared" si="31"/>
        <v>2017</v>
      </c>
      <c r="B2017" s="924">
        <v>5</v>
      </c>
    </row>
    <row r="2018" spans="1:2" x14ac:dyDescent="0.25">
      <c r="A2018" s="924">
        <f t="shared" si="31"/>
        <v>2018</v>
      </c>
      <c r="B2018" s="924">
        <v>5</v>
      </c>
    </row>
    <row r="2019" spans="1:2" x14ac:dyDescent="0.25">
      <c r="A2019" s="924">
        <f t="shared" si="31"/>
        <v>2019</v>
      </c>
      <c r="B2019" s="924">
        <v>5</v>
      </c>
    </row>
    <row r="2020" spans="1:2" x14ac:dyDescent="0.25">
      <c r="A2020" s="924">
        <f t="shared" si="31"/>
        <v>2020</v>
      </c>
      <c r="B2020" s="924">
        <v>5</v>
      </c>
    </row>
    <row r="2021" spans="1:2" x14ac:dyDescent="0.25">
      <c r="A2021" s="924">
        <f t="shared" si="31"/>
        <v>2021</v>
      </c>
      <c r="B2021" s="924">
        <v>5</v>
      </c>
    </row>
    <row r="2022" spans="1:2" x14ac:dyDescent="0.25">
      <c r="A2022" s="924">
        <f t="shared" si="31"/>
        <v>2022</v>
      </c>
      <c r="B2022" s="924">
        <v>5</v>
      </c>
    </row>
    <row r="2023" spans="1:2" x14ac:dyDescent="0.25">
      <c r="A2023" s="924">
        <f t="shared" si="31"/>
        <v>2023</v>
      </c>
      <c r="B2023" s="924">
        <v>5</v>
      </c>
    </row>
    <row r="2024" spans="1:2" x14ac:dyDescent="0.25">
      <c r="A2024" s="924">
        <f t="shared" si="31"/>
        <v>2024</v>
      </c>
      <c r="B2024" s="924">
        <v>5</v>
      </c>
    </row>
    <row r="2025" spans="1:2" x14ac:dyDescent="0.25">
      <c r="A2025" s="924">
        <f t="shared" si="31"/>
        <v>2025</v>
      </c>
      <c r="B2025" s="924">
        <v>5</v>
      </c>
    </row>
    <row r="2026" spans="1:2" x14ac:dyDescent="0.25">
      <c r="A2026" s="924">
        <f t="shared" si="31"/>
        <v>2026</v>
      </c>
      <c r="B2026" s="924">
        <v>5</v>
      </c>
    </row>
    <row r="2027" spans="1:2" x14ac:dyDescent="0.25">
      <c r="A2027" s="924">
        <f t="shared" si="31"/>
        <v>2027</v>
      </c>
      <c r="B2027" s="924">
        <v>5</v>
      </c>
    </row>
    <row r="2028" spans="1:2" x14ac:dyDescent="0.25">
      <c r="A2028" s="924">
        <f t="shared" si="31"/>
        <v>2028</v>
      </c>
      <c r="B2028" s="924">
        <v>5</v>
      </c>
    </row>
    <row r="2029" spans="1:2" x14ac:dyDescent="0.25">
      <c r="A2029" s="924">
        <f t="shared" si="31"/>
        <v>2029</v>
      </c>
      <c r="B2029" s="924">
        <v>5</v>
      </c>
    </row>
    <row r="2030" spans="1:2" x14ac:dyDescent="0.25">
      <c r="A2030" s="924">
        <f t="shared" si="31"/>
        <v>2030</v>
      </c>
      <c r="B2030" s="924">
        <v>5</v>
      </c>
    </row>
    <row r="2031" spans="1:2" x14ac:dyDescent="0.25">
      <c r="A2031" s="924">
        <f t="shared" si="31"/>
        <v>2031</v>
      </c>
      <c r="B2031" s="924">
        <v>5</v>
      </c>
    </row>
    <row r="2032" spans="1:2" x14ac:dyDescent="0.25">
      <c r="A2032" s="924">
        <f t="shared" si="31"/>
        <v>2032</v>
      </c>
      <c r="B2032" s="924">
        <v>5</v>
      </c>
    </row>
    <row r="2033" spans="1:2" x14ac:dyDescent="0.25">
      <c r="A2033" s="924">
        <f t="shared" si="31"/>
        <v>2033</v>
      </c>
      <c r="B2033" s="924">
        <v>5</v>
      </c>
    </row>
    <row r="2034" spans="1:2" x14ac:dyDescent="0.25">
      <c r="A2034" s="924">
        <f t="shared" si="31"/>
        <v>2034</v>
      </c>
      <c r="B2034" s="924">
        <v>5</v>
      </c>
    </row>
    <row r="2035" spans="1:2" x14ac:dyDescent="0.25">
      <c r="A2035" s="924">
        <f t="shared" si="31"/>
        <v>2035</v>
      </c>
      <c r="B2035" s="924">
        <v>5</v>
      </c>
    </row>
    <row r="2036" spans="1:2" x14ac:dyDescent="0.25">
      <c r="A2036" s="924">
        <f t="shared" si="31"/>
        <v>2036</v>
      </c>
      <c r="B2036" s="924">
        <v>5</v>
      </c>
    </row>
    <row r="2037" spans="1:2" x14ac:dyDescent="0.25">
      <c r="A2037" s="924">
        <f t="shared" si="31"/>
        <v>2037</v>
      </c>
      <c r="B2037" s="924">
        <v>5</v>
      </c>
    </row>
    <row r="2038" spans="1:2" x14ac:dyDescent="0.25">
      <c r="A2038" s="924">
        <f t="shared" si="31"/>
        <v>2038</v>
      </c>
      <c r="B2038" s="924">
        <v>5</v>
      </c>
    </row>
    <row r="2039" spans="1:2" x14ac:dyDescent="0.25">
      <c r="A2039" s="924">
        <f t="shared" si="31"/>
        <v>2039</v>
      </c>
      <c r="B2039" s="924">
        <v>5</v>
      </c>
    </row>
    <row r="2040" spans="1:2" x14ac:dyDescent="0.25">
      <c r="A2040" s="924">
        <f t="shared" si="31"/>
        <v>2040</v>
      </c>
      <c r="B2040" s="924">
        <v>5</v>
      </c>
    </row>
    <row r="2041" spans="1:2" x14ac:dyDescent="0.25">
      <c r="A2041" s="924">
        <f t="shared" si="31"/>
        <v>2041</v>
      </c>
      <c r="B2041" s="924">
        <v>5</v>
      </c>
    </row>
    <row r="2042" spans="1:2" x14ac:dyDescent="0.25">
      <c r="A2042" s="924">
        <f t="shared" si="31"/>
        <v>2042</v>
      </c>
      <c r="B2042" s="924">
        <v>5</v>
      </c>
    </row>
    <row r="2043" spans="1:2" x14ac:dyDescent="0.25">
      <c r="A2043" s="924">
        <f t="shared" si="31"/>
        <v>2043</v>
      </c>
      <c r="B2043" s="924">
        <v>5</v>
      </c>
    </row>
    <row r="2044" spans="1:2" x14ac:dyDescent="0.25">
      <c r="A2044" s="924">
        <f t="shared" si="31"/>
        <v>2044</v>
      </c>
      <c r="B2044" s="924">
        <v>5</v>
      </c>
    </row>
    <row r="2045" spans="1:2" x14ac:dyDescent="0.25">
      <c r="A2045" s="924">
        <f t="shared" si="31"/>
        <v>2045</v>
      </c>
      <c r="B2045" s="924">
        <v>5</v>
      </c>
    </row>
    <row r="2046" spans="1:2" x14ac:dyDescent="0.25">
      <c r="A2046" s="924">
        <f t="shared" si="31"/>
        <v>2046</v>
      </c>
      <c r="B2046" s="924">
        <v>5</v>
      </c>
    </row>
    <row r="2047" spans="1:2" x14ac:dyDescent="0.25">
      <c r="A2047" s="924">
        <f t="shared" si="31"/>
        <v>2047</v>
      </c>
      <c r="B2047" s="924">
        <v>5</v>
      </c>
    </row>
    <row r="2048" spans="1:2" x14ac:dyDescent="0.25">
      <c r="A2048" s="924">
        <f t="shared" si="31"/>
        <v>2048</v>
      </c>
      <c r="B2048" s="924">
        <v>5</v>
      </c>
    </row>
    <row r="2049" spans="1:2" x14ac:dyDescent="0.25">
      <c r="A2049" s="924">
        <f t="shared" si="31"/>
        <v>2049</v>
      </c>
      <c r="B2049" s="924">
        <v>5</v>
      </c>
    </row>
    <row r="2050" spans="1:2" x14ac:dyDescent="0.25">
      <c r="A2050" s="924">
        <f t="shared" si="31"/>
        <v>2050</v>
      </c>
      <c r="B2050" s="924">
        <v>5.0999999999999996</v>
      </c>
    </row>
    <row r="2051" spans="1:2" x14ac:dyDescent="0.25">
      <c r="A2051" s="924">
        <f t="shared" ref="A2051:A2114" si="32">A2050+1</f>
        <v>2051</v>
      </c>
      <c r="B2051" s="924">
        <v>5.0999999999999996</v>
      </c>
    </row>
    <row r="2052" spans="1:2" x14ac:dyDescent="0.25">
      <c r="A2052" s="924">
        <f t="shared" si="32"/>
        <v>2052</v>
      </c>
      <c r="B2052" s="924">
        <v>5.0999999999999996</v>
      </c>
    </row>
    <row r="2053" spans="1:2" x14ac:dyDescent="0.25">
      <c r="A2053" s="924">
        <f t="shared" si="32"/>
        <v>2053</v>
      </c>
      <c r="B2053" s="924">
        <v>5.0999999999999996</v>
      </c>
    </row>
    <row r="2054" spans="1:2" x14ac:dyDescent="0.25">
      <c r="A2054" s="924">
        <f t="shared" si="32"/>
        <v>2054</v>
      </c>
      <c r="B2054" s="924">
        <v>5.0999999999999996</v>
      </c>
    </row>
    <row r="2055" spans="1:2" x14ac:dyDescent="0.25">
      <c r="A2055" s="924">
        <f t="shared" si="32"/>
        <v>2055</v>
      </c>
      <c r="B2055" s="924">
        <v>5.0999999999999996</v>
      </c>
    </row>
    <row r="2056" spans="1:2" x14ac:dyDescent="0.25">
      <c r="A2056" s="924">
        <f t="shared" si="32"/>
        <v>2056</v>
      </c>
      <c r="B2056" s="924">
        <v>5.0999999999999996</v>
      </c>
    </row>
    <row r="2057" spans="1:2" x14ac:dyDescent="0.25">
      <c r="A2057" s="924">
        <f t="shared" si="32"/>
        <v>2057</v>
      </c>
      <c r="B2057" s="924">
        <v>5.0999999999999996</v>
      </c>
    </row>
    <row r="2058" spans="1:2" x14ac:dyDescent="0.25">
      <c r="A2058" s="924">
        <f t="shared" si="32"/>
        <v>2058</v>
      </c>
      <c r="B2058" s="924">
        <v>5.0999999999999996</v>
      </c>
    </row>
    <row r="2059" spans="1:2" x14ac:dyDescent="0.25">
      <c r="A2059" s="924">
        <f t="shared" si="32"/>
        <v>2059</v>
      </c>
      <c r="B2059" s="924">
        <v>5.0999999999999996</v>
      </c>
    </row>
    <row r="2060" spans="1:2" x14ac:dyDescent="0.25">
      <c r="A2060" s="924">
        <f t="shared" si="32"/>
        <v>2060</v>
      </c>
      <c r="B2060" s="924">
        <v>5.0999999999999996</v>
      </c>
    </row>
    <row r="2061" spans="1:2" x14ac:dyDescent="0.25">
      <c r="A2061" s="924">
        <f t="shared" si="32"/>
        <v>2061</v>
      </c>
      <c r="B2061" s="924">
        <v>5.0999999999999996</v>
      </c>
    </row>
    <row r="2062" spans="1:2" x14ac:dyDescent="0.25">
      <c r="A2062" s="924">
        <f t="shared" si="32"/>
        <v>2062</v>
      </c>
      <c r="B2062" s="924">
        <v>5.0999999999999996</v>
      </c>
    </row>
    <row r="2063" spans="1:2" x14ac:dyDescent="0.25">
      <c r="A2063" s="924">
        <f t="shared" si="32"/>
        <v>2063</v>
      </c>
      <c r="B2063" s="924">
        <v>5.0999999999999996</v>
      </c>
    </row>
    <row r="2064" spans="1:2" x14ac:dyDescent="0.25">
      <c r="A2064" s="924">
        <f t="shared" si="32"/>
        <v>2064</v>
      </c>
      <c r="B2064" s="924">
        <v>5.0999999999999996</v>
      </c>
    </row>
    <row r="2065" spans="1:2" x14ac:dyDescent="0.25">
      <c r="A2065" s="924">
        <f t="shared" si="32"/>
        <v>2065</v>
      </c>
      <c r="B2065" s="924">
        <v>5.0999999999999996</v>
      </c>
    </row>
    <row r="2066" spans="1:2" x14ac:dyDescent="0.25">
      <c r="A2066" s="924">
        <f t="shared" si="32"/>
        <v>2066</v>
      </c>
      <c r="B2066" s="924">
        <v>5.0999999999999996</v>
      </c>
    </row>
    <row r="2067" spans="1:2" x14ac:dyDescent="0.25">
      <c r="A2067" s="924">
        <f t="shared" si="32"/>
        <v>2067</v>
      </c>
      <c r="B2067" s="924">
        <v>5.0999999999999996</v>
      </c>
    </row>
    <row r="2068" spans="1:2" x14ac:dyDescent="0.25">
      <c r="A2068" s="924">
        <f t="shared" si="32"/>
        <v>2068</v>
      </c>
      <c r="B2068" s="924">
        <v>5.0999999999999996</v>
      </c>
    </row>
    <row r="2069" spans="1:2" x14ac:dyDescent="0.25">
      <c r="A2069" s="924">
        <f t="shared" si="32"/>
        <v>2069</v>
      </c>
      <c r="B2069" s="924">
        <v>5.0999999999999996</v>
      </c>
    </row>
    <row r="2070" spans="1:2" x14ac:dyDescent="0.25">
      <c r="A2070" s="924">
        <f t="shared" si="32"/>
        <v>2070</v>
      </c>
      <c r="B2070" s="924">
        <v>5.0999999999999996</v>
      </c>
    </row>
    <row r="2071" spans="1:2" x14ac:dyDescent="0.25">
      <c r="A2071" s="924">
        <f t="shared" si="32"/>
        <v>2071</v>
      </c>
      <c r="B2071" s="924">
        <v>5.0999999999999996</v>
      </c>
    </row>
    <row r="2072" spans="1:2" x14ac:dyDescent="0.25">
      <c r="A2072" s="924">
        <f t="shared" si="32"/>
        <v>2072</v>
      </c>
      <c r="B2072" s="924">
        <v>5.0999999999999996</v>
      </c>
    </row>
    <row r="2073" spans="1:2" x14ac:dyDescent="0.25">
      <c r="A2073" s="924">
        <f t="shared" si="32"/>
        <v>2073</v>
      </c>
      <c r="B2073" s="924">
        <v>5.0999999999999996</v>
      </c>
    </row>
    <row r="2074" spans="1:2" x14ac:dyDescent="0.25">
      <c r="A2074" s="924">
        <f t="shared" si="32"/>
        <v>2074</v>
      </c>
      <c r="B2074" s="924">
        <v>5.0999999999999996</v>
      </c>
    </row>
    <row r="2075" spans="1:2" x14ac:dyDescent="0.25">
      <c r="A2075" s="924">
        <f t="shared" si="32"/>
        <v>2075</v>
      </c>
      <c r="B2075" s="924">
        <v>5.0999999999999996</v>
      </c>
    </row>
    <row r="2076" spans="1:2" x14ac:dyDescent="0.25">
      <c r="A2076" s="924">
        <f t="shared" si="32"/>
        <v>2076</v>
      </c>
      <c r="B2076" s="924">
        <v>5.0999999999999996</v>
      </c>
    </row>
    <row r="2077" spans="1:2" x14ac:dyDescent="0.25">
      <c r="A2077" s="924">
        <f t="shared" si="32"/>
        <v>2077</v>
      </c>
      <c r="B2077" s="924">
        <v>5.0999999999999996</v>
      </c>
    </row>
    <row r="2078" spans="1:2" x14ac:dyDescent="0.25">
      <c r="A2078" s="924">
        <f t="shared" si="32"/>
        <v>2078</v>
      </c>
      <c r="B2078" s="924">
        <v>5.0999999999999996</v>
      </c>
    </row>
    <row r="2079" spans="1:2" x14ac:dyDescent="0.25">
      <c r="A2079" s="924">
        <f t="shared" si="32"/>
        <v>2079</v>
      </c>
      <c r="B2079" s="924">
        <v>5.0999999999999996</v>
      </c>
    </row>
    <row r="2080" spans="1:2" x14ac:dyDescent="0.25">
      <c r="A2080" s="924">
        <f t="shared" si="32"/>
        <v>2080</v>
      </c>
      <c r="B2080" s="924">
        <v>5.0999999999999996</v>
      </c>
    </row>
    <row r="2081" spans="1:2" x14ac:dyDescent="0.25">
      <c r="A2081" s="924">
        <f t="shared" si="32"/>
        <v>2081</v>
      </c>
      <c r="B2081" s="924">
        <v>5.0999999999999996</v>
      </c>
    </row>
    <row r="2082" spans="1:2" x14ac:dyDescent="0.25">
      <c r="A2082" s="924">
        <f t="shared" si="32"/>
        <v>2082</v>
      </c>
      <c r="B2082" s="924">
        <v>5.0999999999999996</v>
      </c>
    </row>
    <row r="2083" spans="1:2" x14ac:dyDescent="0.25">
      <c r="A2083" s="924">
        <f t="shared" si="32"/>
        <v>2083</v>
      </c>
      <c r="B2083" s="924">
        <v>5.0999999999999996</v>
      </c>
    </row>
    <row r="2084" spans="1:2" x14ac:dyDescent="0.25">
      <c r="A2084" s="924">
        <f t="shared" si="32"/>
        <v>2084</v>
      </c>
      <c r="B2084" s="924">
        <v>5.0999999999999996</v>
      </c>
    </row>
    <row r="2085" spans="1:2" x14ac:dyDescent="0.25">
      <c r="A2085" s="924">
        <f t="shared" si="32"/>
        <v>2085</v>
      </c>
      <c r="B2085" s="924">
        <v>5.0999999999999996</v>
      </c>
    </row>
    <row r="2086" spans="1:2" x14ac:dyDescent="0.25">
      <c r="A2086" s="924">
        <f t="shared" si="32"/>
        <v>2086</v>
      </c>
      <c r="B2086" s="924">
        <v>5.0999999999999996</v>
      </c>
    </row>
    <row r="2087" spans="1:2" x14ac:dyDescent="0.25">
      <c r="A2087" s="924">
        <f t="shared" si="32"/>
        <v>2087</v>
      </c>
      <c r="B2087" s="924">
        <v>5.0999999999999996</v>
      </c>
    </row>
    <row r="2088" spans="1:2" x14ac:dyDescent="0.25">
      <c r="A2088" s="924">
        <f t="shared" si="32"/>
        <v>2088</v>
      </c>
      <c r="B2088" s="924">
        <v>5.0999999999999996</v>
      </c>
    </row>
    <row r="2089" spans="1:2" x14ac:dyDescent="0.25">
      <c r="A2089" s="924">
        <f t="shared" si="32"/>
        <v>2089</v>
      </c>
      <c r="B2089" s="924">
        <v>5.0999999999999996</v>
      </c>
    </row>
    <row r="2090" spans="1:2" x14ac:dyDescent="0.25">
      <c r="A2090" s="924">
        <f t="shared" si="32"/>
        <v>2090</v>
      </c>
      <c r="B2090" s="924">
        <v>5.0999999999999996</v>
      </c>
    </row>
    <row r="2091" spans="1:2" x14ac:dyDescent="0.25">
      <c r="A2091" s="924">
        <f t="shared" si="32"/>
        <v>2091</v>
      </c>
      <c r="B2091" s="924">
        <v>5.0999999999999996</v>
      </c>
    </row>
    <row r="2092" spans="1:2" x14ac:dyDescent="0.25">
      <c r="A2092" s="924">
        <f t="shared" si="32"/>
        <v>2092</v>
      </c>
      <c r="B2092" s="924">
        <v>5.0999999999999996</v>
      </c>
    </row>
    <row r="2093" spans="1:2" x14ac:dyDescent="0.25">
      <c r="A2093" s="924">
        <f t="shared" si="32"/>
        <v>2093</v>
      </c>
      <c r="B2093" s="924">
        <v>5.0999999999999996</v>
      </c>
    </row>
    <row r="2094" spans="1:2" x14ac:dyDescent="0.25">
      <c r="A2094" s="924">
        <f t="shared" si="32"/>
        <v>2094</v>
      </c>
      <c r="B2094" s="924">
        <v>5.0999999999999996</v>
      </c>
    </row>
    <row r="2095" spans="1:2" x14ac:dyDescent="0.25">
      <c r="A2095" s="924">
        <f t="shared" si="32"/>
        <v>2095</v>
      </c>
      <c r="B2095" s="924">
        <v>5.0999999999999996</v>
      </c>
    </row>
    <row r="2096" spans="1:2" x14ac:dyDescent="0.25">
      <c r="A2096" s="924">
        <f t="shared" si="32"/>
        <v>2096</v>
      </c>
      <c r="B2096" s="924">
        <v>5.0999999999999996</v>
      </c>
    </row>
    <row r="2097" spans="1:2" x14ac:dyDescent="0.25">
      <c r="A2097" s="924">
        <f t="shared" si="32"/>
        <v>2097</v>
      </c>
      <c r="B2097" s="924">
        <v>5.0999999999999996</v>
      </c>
    </row>
    <row r="2098" spans="1:2" x14ac:dyDescent="0.25">
      <c r="A2098" s="924">
        <f t="shared" si="32"/>
        <v>2098</v>
      </c>
      <c r="B2098" s="924">
        <v>5.0999999999999996</v>
      </c>
    </row>
    <row r="2099" spans="1:2" x14ac:dyDescent="0.25">
      <c r="A2099" s="924">
        <f t="shared" si="32"/>
        <v>2099</v>
      </c>
      <c r="B2099" s="924">
        <v>5.0999999999999996</v>
      </c>
    </row>
    <row r="2100" spans="1:2" x14ac:dyDescent="0.25">
      <c r="A2100" s="924">
        <f t="shared" si="32"/>
        <v>2100</v>
      </c>
      <c r="B2100" s="924">
        <v>5.0999999999999996</v>
      </c>
    </row>
    <row r="2101" spans="1:2" x14ac:dyDescent="0.25">
      <c r="A2101" s="924">
        <f t="shared" si="32"/>
        <v>2101</v>
      </c>
      <c r="B2101" s="924">
        <v>5.0999999999999996</v>
      </c>
    </row>
    <row r="2102" spans="1:2" x14ac:dyDescent="0.25">
      <c r="A2102" s="924">
        <f t="shared" si="32"/>
        <v>2102</v>
      </c>
      <c r="B2102" s="924">
        <v>5.0999999999999996</v>
      </c>
    </row>
    <row r="2103" spans="1:2" x14ac:dyDescent="0.25">
      <c r="A2103" s="924">
        <f t="shared" si="32"/>
        <v>2103</v>
      </c>
      <c r="B2103" s="924">
        <v>5.0999999999999996</v>
      </c>
    </row>
    <row r="2104" spans="1:2" x14ac:dyDescent="0.25">
      <c r="A2104" s="924">
        <f t="shared" si="32"/>
        <v>2104</v>
      </c>
      <c r="B2104" s="924">
        <v>5.0999999999999996</v>
      </c>
    </row>
    <row r="2105" spans="1:2" x14ac:dyDescent="0.25">
      <c r="A2105" s="924">
        <f t="shared" si="32"/>
        <v>2105</v>
      </c>
      <c r="B2105" s="924">
        <v>5.2</v>
      </c>
    </row>
    <row r="2106" spans="1:2" x14ac:dyDescent="0.25">
      <c r="A2106" s="924">
        <f t="shared" si="32"/>
        <v>2106</v>
      </c>
      <c r="B2106" s="924">
        <v>5.2</v>
      </c>
    </row>
    <row r="2107" spans="1:2" x14ac:dyDescent="0.25">
      <c r="A2107" s="924">
        <f t="shared" si="32"/>
        <v>2107</v>
      </c>
      <c r="B2107" s="924">
        <v>5.2</v>
      </c>
    </row>
    <row r="2108" spans="1:2" x14ac:dyDescent="0.25">
      <c r="A2108" s="924">
        <f t="shared" si="32"/>
        <v>2108</v>
      </c>
      <c r="B2108" s="924">
        <v>5.2</v>
      </c>
    </row>
    <row r="2109" spans="1:2" x14ac:dyDescent="0.25">
      <c r="A2109" s="924">
        <f t="shared" si="32"/>
        <v>2109</v>
      </c>
      <c r="B2109" s="924">
        <v>5.2</v>
      </c>
    </row>
    <row r="2110" spans="1:2" x14ac:dyDescent="0.25">
      <c r="A2110" s="924">
        <f t="shared" si="32"/>
        <v>2110</v>
      </c>
      <c r="B2110" s="924">
        <v>5.2</v>
      </c>
    </row>
    <row r="2111" spans="1:2" x14ac:dyDescent="0.25">
      <c r="A2111" s="924">
        <f t="shared" si="32"/>
        <v>2111</v>
      </c>
      <c r="B2111" s="924">
        <v>5.2</v>
      </c>
    </row>
    <row r="2112" spans="1:2" x14ac:dyDescent="0.25">
      <c r="A2112" s="924">
        <f t="shared" si="32"/>
        <v>2112</v>
      </c>
      <c r="B2112" s="924">
        <v>5.2</v>
      </c>
    </row>
    <row r="2113" spans="1:2" x14ac:dyDescent="0.25">
      <c r="A2113" s="924">
        <f t="shared" si="32"/>
        <v>2113</v>
      </c>
      <c r="B2113" s="924">
        <v>5.2</v>
      </c>
    </row>
    <row r="2114" spans="1:2" x14ac:dyDescent="0.25">
      <c r="A2114" s="924">
        <f t="shared" si="32"/>
        <v>2114</v>
      </c>
      <c r="B2114" s="924">
        <v>5.2</v>
      </c>
    </row>
    <row r="2115" spans="1:2" x14ac:dyDescent="0.25">
      <c r="A2115" s="924">
        <f t="shared" ref="A2115:A2178" si="33">A2114+1</f>
        <v>2115</v>
      </c>
      <c r="B2115" s="924">
        <v>5.2</v>
      </c>
    </row>
    <row r="2116" spans="1:2" x14ac:dyDescent="0.25">
      <c r="A2116" s="924">
        <f t="shared" si="33"/>
        <v>2116</v>
      </c>
      <c r="B2116" s="924">
        <v>5.2</v>
      </c>
    </row>
    <row r="2117" spans="1:2" x14ac:dyDescent="0.25">
      <c r="A2117" s="924">
        <f t="shared" si="33"/>
        <v>2117</v>
      </c>
      <c r="B2117" s="924">
        <v>5.2</v>
      </c>
    </row>
    <row r="2118" spans="1:2" x14ac:dyDescent="0.25">
      <c r="A2118" s="924">
        <f t="shared" si="33"/>
        <v>2118</v>
      </c>
      <c r="B2118" s="924">
        <v>5.2</v>
      </c>
    </row>
    <row r="2119" spans="1:2" x14ac:dyDescent="0.25">
      <c r="A2119" s="924">
        <f t="shared" si="33"/>
        <v>2119</v>
      </c>
      <c r="B2119" s="924">
        <v>5.2</v>
      </c>
    </row>
    <row r="2120" spans="1:2" x14ac:dyDescent="0.25">
      <c r="A2120" s="924">
        <f t="shared" si="33"/>
        <v>2120</v>
      </c>
      <c r="B2120" s="924">
        <v>5.2</v>
      </c>
    </row>
    <row r="2121" spans="1:2" x14ac:dyDescent="0.25">
      <c r="A2121" s="924">
        <f t="shared" si="33"/>
        <v>2121</v>
      </c>
      <c r="B2121" s="924">
        <v>5.2</v>
      </c>
    </row>
    <row r="2122" spans="1:2" x14ac:dyDescent="0.25">
      <c r="A2122" s="924">
        <f t="shared" si="33"/>
        <v>2122</v>
      </c>
      <c r="B2122" s="924">
        <v>5.2</v>
      </c>
    </row>
    <row r="2123" spans="1:2" x14ac:dyDescent="0.25">
      <c r="A2123" s="924">
        <f t="shared" si="33"/>
        <v>2123</v>
      </c>
      <c r="B2123" s="924">
        <v>5.2</v>
      </c>
    </row>
    <row r="2124" spans="1:2" x14ac:dyDescent="0.25">
      <c r="A2124" s="924">
        <f t="shared" si="33"/>
        <v>2124</v>
      </c>
      <c r="B2124" s="924">
        <v>5.2</v>
      </c>
    </row>
    <row r="2125" spans="1:2" x14ac:dyDescent="0.25">
      <c r="A2125" s="924">
        <f t="shared" si="33"/>
        <v>2125</v>
      </c>
      <c r="B2125" s="924">
        <v>5.2</v>
      </c>
    </row>
    <row r="2126" spans="1:2" x14ac:dyDescent="0.25">
      <c r="A2126" s="924">
        <f t="shared" si="33"/>
        <v>2126</v>
      </c>
      <c r="B2126" s="924">
        <v>5.2</v>
      </c>
    </row>
    <row r="2127" spans="1:2" x14ac:dyDescent="0.25">
      <c r="A2127" s="924">
        <f t="shared" si="33"/>
        <v>2127</v>
      </c>
      <c r="B2127" s="924">
        <v>5.2</v>
      </c>
    </row>
    <row r="2128" spans="1:2" x14ac:dyDescent="0.25">
      <c r="A2128" s="924">
        <f t="shared" si="33"/>
        <v>2128</v>
      </c>
      <c r="B2128" s="924">
        <v>5.2</v>
      </c>
    </row>
    <row r="2129" spans="1:2" x14ac:dyDescent="0.25">
      <c r="A2129" s="924">
        <f t="shared" si="33"/>
        <v>2129</v>
      </c>
      <c r="B2129" s="924">
        <v>5.2</v>
      </c>
    </row>
    <row r="2130" spans="1:2" x14ac:dyDescent="0.25">
      <c r="A2130" s="924">
        <f t="shared" si="33"/>
        <v>2130</v>
      </c>
      <c r="B2130" s="924">
        <v>5.2</v>
      </c>
    </row>
    <row r="2131" spans="1:2" x14ac:dyDescent="0.25">
      <c r="A2131" s="924">
        <f t="shared" si="33"/>
        <v>2131</v>
      </c>
      <c r="B2131" s="924">
        <v>5.2</v>
      </c>
    </row>
    <row r="2132" spans="1:2" x14ac:dyDescent="0.25">
      <c r="A2132" s="924">
        <f t="shared" si="33"/>
        <v>2132</v>
      </c>
      <c r="B2132" s="924">
        <v>5.2</v>
      </c>
    </row>
    <row r="2133" spans="1:2" x14ac:dyDescent="0.25">
      <c r="A2133" s="924">
        <f t="shared" si="33"/>
        <v>2133</v>
      </c>
      <c r="B2133" s="924">
        <v>5.2</v>
      </c>
    </row>
    <row r="2134" spans="1:2" x14ac:dyDescent="0.25">
      <c r="A2134" s="924">
        <f t="shared" si="33"/>
        <v>2134</v>
      </c>
      <c r="B2134" s="924">
        <v>5.2</v>
      </c>
    </row>
    <row r="2135" spans="1:2" x14ac:dyDescent="0.25">
      <c r="A2135" s="924">
        <f t="shared" si="33"/>
        <v>2135</v>
      </c>
      <c r="B2135" s="924">
        <v>5.2</v>
      </c>
    </row>
    <row r="2136" spans="1:2" x14ac:dyDescent="0.25">
      <c r="A2136" s="924">
        <f t="shared" si="33"/>
        <v>2136</v>
      </c>
      <c r="B2136" s="924">
        <v>5.2</v>
      </c>
    </row>
    <row r="2137" spans="1:2" x14ac:dyDescent="0.25">
      <c r="A2137" s="924">
        <f t="shared" si="33"/>
        <v>2137</v>
      </c>
      <c r="B2137" s="924">
        <v>5.2</v>
      </c>
    </row>
    <row r="2138" spans="1:2" x14ac:dyDescent="0.25">
      <c r="A2138" s="924">
        <f t="shared" si="33"/>
        <v>2138</v>
      </c>
      <c r="B2138" s="924">
        <v>5.3</v>
      </c>
    </row>
    <row r="2139" spans="1:2" x14ac:dyDescent="0.25">
      <c r="A2139" s="924">
        <f t="shared" si="33"/>
        <v>2139</v>
      </c>
      <c r="B2139" s="924">
        <v>5.3</v>
      </c>
    </row>
    <row r="2140" spans="1:2" x14ac:dyDescent="0.25">
      <c r="A2140" s="924">
        <f t="shared" si="33"/>
        <v>2140</v>
      </c>
      <c r="B2140" s="924">
        <v>5.3</v>
      </c>
    </row>
    <row r="2141" spans="1:2" x14ac:dyDescent="0.25">
      <c r="A2141" s="924">
        <f t="shared" si="33"/>
        <v>2141</v>
      </c>
      <c r="B2141" s="924">
        <v>5.3</v>
      </c>
    </row>
    <row r="2142" spans="1:2" x14ac:dyDescent="0.25">
      <c r="A2142" s="924">
        <f t="shared" si="33"/>
        <v>2142</v>
      </c>
      <c r="B2142" s="924">
        <v>5.3</v>
      </c>
    </row>
    <row r="2143" spans="1:2" x14ac:dyDescent="0.25">
      <c r="A2143" s="924">
        <f t="shared" si="33"/>
        <v>2143</v>
      </c>
      <c r="B2143" s="924">
        <v>5.3</v>
      </c>
    </row>
    <row r="2144" spans="1:2" x14ac:dyDescent="0.25">
      <c r="A2144" s="924">
        <f t="shared" si="33"/>
        <v>2144</v>
      </c>
      <c r="B2144" s="924">
        <v>5.3</v>
      </c>
    </row>
    <row r="2145" spans="1:2" x14ac:dyDescent="0.25">
      <c r="A2145" s="924">
        <f t="shared" si="33"/>
        <v>2145</v>
      </c>
      <c r="B2145" s="924">
        <v>5.3</v>
      </c>
    </row>
    <row r="2146" spans="1:2" x14ac:dyDescent="0.25">
      <c r="A2146" s="924">
        <f t="shared" si="33"/>
        <v>2146</v>
      </c>
      <c r="B2146" s="924">
        <v>5.3</v>
      </c>
    </row>
    <row r="2147" spans="1:2" x14ac:dyDescent="0.25">
      <c r="A2147" s="924">
        <f t="shared" si="33"/>
        <v>2147</v>
      </c>
      <c r="B2147" s="924">
        <v>5.3</v>
      </c>
    </row>
    <row r="2148" spans="1:2" x14ac:dyDescent="0.25">
      <c r="A2148" s="924">
        <f t="shared" si="33"/>
        <v>2148</v>
      </c>
      <c r="B2148" s="924">
        <v>5.3</v>
      </c>
    </row>
    <row r="2149" spans="1:2" x14ac:dyDescent="0.25">
      <c r="A2149" s="924">
        <f t="shared" si="33"/>
        <v>2149</v>
      </c>
      <c r="B2149" s="924">
        <v>5.3</v>
      </c>
    </row>
    <row r="2150" spans="1:2" x14ac:dyDescent="0.25">
      <c r="A2150" s="924">
        <f t="shared" si="33"/>
        <v>2150</v>
      </c>
      <c r="B2150" s="924">
        <v>5.3</v>
      </c>
    </row>
    <row r="2151" spans="1:2" x14ac:dyDescent="0.25">
      <c r="A2151" s="924">
        <f t="shared" si="33"/>
        <v>2151</v>
      </c>
      <c r="B2151" s="924">
        <v>5.3</v>
      </c>
    </row>
    <row r="2152" spans="1:2" x14ac:dyDescent="0.25">
      <c r="A2152" s="924">
        <f t="shared" si="33"/>
        <v>2152</v>
      </c>
      <c r="B2152" s="924">
        <v>5.3</v>
      </c>
    </row>
    <row r="2153" spans="1:2" x14ac:dyDescent="0.25">
      <c r="A2153" s="924">
        <f t="shared" si="33"/>
        <v>2153</v>
      </c>
      <c r="B2153" s="924">
        <v>5.3</v>
      </c>
    </row>
    <row r="2154" spans="1:2" x14ac:dyDescent="0.25">
      <c r="A2154" s="924">
        <f t="shared" si="33"/>
        <v>2154</v>
      </c>
      <c r="B2154" s="924">
        <v>5.3</v>
      </c>
    </row>
    <row r="2155" spans="1:2" x14ac:dyDescent="0.25">
      <c r="A2155" s="924">
        <f t="shared" si="33"/>
        <v>2155</v>
      </c>
      <c r="B2155" s="924">
        <v>5.3</v>
      </c>
    </row>
    <row r="2156" spans="1:2" x14ac:dyDescent="0.25">
      <c r="A2156" s="924">
        <f t="shared" si="33"/>
        <v>2156</v>
      </c>
      <c r="B2156" s="924">
        <v>5.3</v>
      </c>
    </row>
    <row r="2157" spans="1:2" x14ac:dyDescent="0.25">
      <c r="A2157" s="924">
        <f t="shared" si="33"/>
        <v>2157</v>
      </c>
      <c r="B2157" s="924">
        <v>5.3</v>
      </c>
    </row>
    <row r="2158" spans="1:2" x14ac:dyDescent="0.25">
      <c r="A2158" s="924">
        <f t="shared" si="33"/>
        <v>2158</v>
      </c>
      <c r="B2158" s="924">
        <v>5.3</v>
      </c>
    </row>
    <row r="2159" spans="1:2" x14ac:dyDescent="0.25">
      <c r="A2159" s="924">
        <f t="shared" si="33"/>
        <v>2159</v>
      </c>
      <c r="B2159" s="924">
        <v>5.3</v>
      </c>
    </row>
    <row r="2160" spans="1:2" x14ac:dyDescent="0.25">
      <c r="A2160" s="924">
        <f t="shared" si="33"/>
        <v>2160</v>
      </c>
      <c r="B2160" s="924">
        <v>5.3</v>
      </c>
    </row>
    <row r="2161" spans="1:2" x14ac:dyDescent="0.25">
      <c r="A2161" s="924">
        <f t="shared" si="33"/>
        <v>2161</v>
      </c>
      <c r="B2161" s="924">
        <v>5.3</v>
      </c>
    </row>
    <row r="2162" spans="1:2" x14ac:dyDescent="0.25">
      <c r="A2162" s="924">
        <f t="shared" si="33"/>
        <v>2162</v>
      </c>
      <c r="B2162" s="924">
        <v>5.3</v>
      </c>
    </row>
    <row r="2163" spans="1:2" x14ac:dyDescent="0.25">
      <c r="A2163" s="924">
        <f t="shared" si="33"/>
        <v>2163</v>
      </c>
      <c r="B2163" s="924">
        <v>5.3</v>
      </c>
    </row>
    <row r="2164" spans="1:2" x14ac:dyDescent="0.25">
      <c r="A2164" s="924">
        <f t="shared" si="33"/>
        <v>2164</v>
      </c>
      <c r="B2164" s="924">
        <v>5.3</v>
      </c>
    </row>
    <row r="2165" spans="1:2" x14ac:dyDescent="0.25">
      <c r="A2165" s="924">
        <f t="shared" si="33"/>
        <v>2165</v>
      </c>
      <c r="B2165" s="924">
        <v>5.3</v>
      </c>
    </row>
    <row r="2166" spans="1:2" x14ac:dyDescent="0.25">
      <c r="A2166" s="924">
        <f t="shared" si="33"/>
        <v>2166</v>
      </c>
      <c r="B2166" s="924">
        <v>5.3</v>
      </c>
    </row>
    <row r="2167" spans="1:2" x14ac:dyDescent="0.25">
      <c r="A2167" s="924">
        <f t="shared" si="33"/>
        <v>2167</v>
      </c>
      <c r="B2167" s="924">
        <v>5.3</v>
      </c>
    </row>
    <row r="2168" spans="1:2" x14ac:dyDescent="0.25">
      <c r="A2168" s="924">
        <f t="shared" si="33"/>
        <v>2168</v>
      </c>
      <c r="B2168" s="924">
        <v>5.3</v>
      </c>
    </row>
    <row r="2169" spans="1:2" x14ac:dyDescent="0.25">
      <c r="A2169" s="924">
        <f t="shared" si="33"/>
        <v>2169</v>
      </c>
      <c r="B2169" s="924">
        <v>5.3</v>
      </c>
    </row>
    <row r="2170" spans="1:2" x14ac:dyDescent="0.25">
      <c r="A2170" s="924">
        <f t="shared" si="33"/>
        <v>2170</v>
      </c>
      <c r="B2170" s="924">
        <v>5.4</v>
      </c>
    </row>
    <row r="2171" spans="1:2" x14ac:dyDescent="0.25">
      <c r="A2171" s="924">
        <f t="shared" si="33"/>
        <v>2171</v>
      </c>
      <c r="B2171" s="924">
        <v>5.4</v>
      </c>
    </row>
    <row r="2172" spans="1:2" x14ac:dyDescent="0.25">
      <c r="A2172" s="924">
        <f t="shared" si="33"/>
        <v>2172</v>
      </c>
      <c r="B2172" s="924">
        <v>5.4</v>
      </c>
    </row>
    <row r="2173" spans="1:2" x14ac:dyDescent="0.25">
      <c r="A2173" s="924">
        <f t="shared" si="33"/>
        <v>2173</v>
      </c>
      <c r="B2173" s="924">
        <v>5.4</v>
      </c>
    </row>
    <row r="2174" spans="1:2" x14ac:dyDescent="0.25">
      <c r="A2174" s="924">
        <f t="shared" si="33"/>
        <v>2174</v>
      </c>
      <c r="B2174" s="924">
        <v>5.4</v>
      </c>
    </row>
    <row r="2175" spans="1:2" x14ac:dyDescent="0.25">
      <c r="A2175" s="924">
        <f t="shared" si="33"/>
        <v>2175</v>
      </c>
      <c r="B2175" s="924">
        <v>5.4</v>
      </c>
    </row>
    <row r="2176" spans="1:2" x14ac:dyDescent="0.25">
      <c r="A2176" s="924">
        <f t="shared" si="33"/>
        <v>2176</v>
      </c>
      <c r="B2176" s="924">
        <v>5.4</v>
      </c>
    </row>
    <row r="2177" spans="1:2" x14ac:dyDescent="0.25">
      <c r="A2177" s="924">
        <f t="shared" si="33"/>
        <v>2177</v>
      </c>
      <c r="B2177" s="924">
        <v>5.4</v>
      </c>
    </row>
    <row r="2178" spans="1:2" x14ac:dyDescent="0.25">
      <c r="A2178" s="924">
        <f t="shared" si="33"/>
        <v>2178</v>
      </c>
      <c r="B2178" s="924">
        <v>5.4</v>
      </c>
    </row>
    <row r="2179" spans="1:2" x14ac:dyDescent="0.25">
      <c r="A2179" s="924">
        <f t="shared" ref="A2179:A2242" si="34">A2178+1</f>
        <v>2179</v>
      </c>
      <c r="B2179" s="924">
        <v>5.4</v>
      </c>
    </row>
    <row r="2180" spans="1:2" x14ac:dyDescent="0.25">
      <c r="A2180" s="924">
        <f t="shared" si="34"/>
        <v>2180</v>
      </c>
      <c r="B2180" s="924">
        <v>5.4</v>
      </c>
    </row>
    <row r="2181" spans="1:2" x14ac:dyDescent="0.25">
      <c r="A2181" s="924">
        <f t="shared" si="34"/>
        <v>2181</v>
      </c>
      <c r="B2181" s="924">
        <v>5.4</v>
      </c>
    </row>
    <row r="2182" spans="1:2" x14ac:dyDescent="0.25">
      <c r="A2182" s="924">
        <f t="shared" si="34"/>
        <v>2182</v>
      </c>
      <c r="B2182" s="924">
        <v>5.4</v>
      </c>
    </row>
    <row r="2183" spans="1:2" x14ac:dyDescent="0.25">
      <c r="A2183" s="924">
        <f t="shared" si="34"/>
        <v>2183</v>
      </c>
      <c r="B2183" s="924">
        <v>5.4</v>
      </c>
    </row>
    <row r="2184" spans="1:2" x14ac:dyDescent="0.25">
      <c r="A2184" s="924">
        <f t="shared" si="34"/>
        <v>2184</v>
      </c>
      <c r="B2184" s="924">
        <v>5.4</v>
      </c>
    </row>
    <row r="2185" spans="1:2" x14ac:dyDescent="0.25">
      <c r="A2185" s="924">
        <f t="shared" si="34"/>
        <v>2185</v>
      </c>
      <c r="B2185" s="924">
        <v>5.4</v>
      </c>
    </row>
    <row r="2186" spans="1:2" x14ac:dyDescent="0.25">
      <c r="A2186" s="924">
        <f t="shared" si="34"/>
        <v>2186</v>
      </c>
      <c r="B2186" s="924">
        <v>5.4</v>
      </c>
    </row>
    <row r="2187" spans="1:2" x14ac:dyDescent="0.25">
      <c r="A2187" s="924">
        <f t="shared" si="34"/>
        <v>2187</v>
      </c>
      <c r="B2187" s="924">
        <v>5.4</v>
      </c>
    </row>
    <row r="2188" spans="1:2" x14ac:dyDescent="0.25">
      <c r="A2188" s="924">
        <f t="shared" si="34"/>
        <v>2188</v>
      </c>
      <c r="B2188" s="924">
        <v>5.4</v>
      </c>
    </row>
    <row r="2189" spans="1:2" x14ac:dyDescent="0.25">
      <c r="A2189" s="924">
        <f t="shared" si="34"/>
        <v>2189</v>
      </c>
      <c r="B2189" s="924">
        <v>5.4</v>
      </c>
    </row>
    <row r="2190" spans="1:2" x14ac:dyDescent="0.25">
      <c r="A2190" s="924">
        <f t="shared" si="34"/>
        <v>2190</v>
      </c>
      <c r="B2190" s="924">
        <v>5.4</v>
      </c>
    </row>
    <row r="2191" spans="1:2" x14ac:dyDescent="0.25">
      <c r="A2191" s="924">
        <f t="shared" si="34"/>
        <v>2191</v>
      </c>
      <c r="B2191" s="924">
        <v>5.4</v>
      </c>
    </row>
    <row r="2192" spans="1:2" x14ac:dyDescent="0.25">
      <c r="A2192" s="924">
        <f t="shared" si="34"/>
        <v>2192</v>
      </c>
      <c r="B2192" s="924">
        <v>5.4</v>
      </c>
    </row>
    <row r="2193" spans="1:2" x14ac:dyDescent="0.25">
      <c r="A2193" s="924">
        <f t="shared" si="34"/>
        <v>2193</v>
      </c>
      <c r="B2193" s="924">
        <v>5.4</v>
      </c>
    </row>
    <row r="2194" spans="1:2" x14ac:dyDescent="0.25">
      <c r="A2194" s="924">
        <f t="shared" si="34"/>
        <v>2194</v>
      </c>
      <c r="B2194" s="924">
        <v>5.4</v>
      </c>
    </row>
    <row r="2195" spans="1:2" x14ac:dyDescent="0.25">
      <c r="A2195" s="924">
        <f t="shared" si="34"/>
        <v>2195</v>
      </c>
      <c r="B2195" s="924">
        <v>5.4</v>
      </c>
    </row>
    <row r="2196" spans="1:2" x14ac:dyDescent="0.25">
      <c r="A2196" s="924">
        <f t="shared" si="34"/>
        <v>2196</v>
      </c>
      <c r="B2196" s="924">
        <v>5.4</v>
      </c>
    </row>
    <row r="2197" spans="1:2" x14ac:dyDescent="0.25">
      <c r="A2197" s="924">
        <f t="shared" si="34"/>
        <v>2197</v>
      </c>
      <c r="B2197" s="924">
        <v>5.4</v>
      </c>
    </row>
    <row r="2198" spans="1:2" x14ac:dyDescent="0.25">
      <c r="A2198" s="924">
        <f t="shared" si="34"/>
        <v>2198</v>
      </c>
      <c r="B2198" s="924">
        <v>5.4</v>
      </c>
    </row>
    <row r="2199" spans="1:2" x14ac:dyDescent="0.25">
      <c r="A2199" s="924">
        <f t="shared" si="34"/>
        <v>2199</v>
      </c>
      <c r="B2199" s="924">
        <v>5.4</v>
      </c>
    </row>
    <row r="2200" spans="1:2" x14ac:dyDescent="0.25">
      <c r="A2200" s="924">
        <f t="shared" si="34"/>
        <v>2200</v>
      </c>
      <c r="B2200" s="924">
        <v>5.4</v>
      </c>
    </row>
    <row r="2201" spans="1:2" x14ac:dyDescent="0.25">
      <c r="A2201" s="924">
        <f t="shared" si="34"/>
        <v>2201</v>
      </c>
      <c r="B2201" s="924">
        <v>5.4</v>
      </c>
    </row>
    <row r="2202" spans="1:2" x14ac:dyDescent="0.25">
      <c r="A2202" s="924">
        <f t="shared" si="34"/>
        <v>2202</v>
      </c>
      <c r="B2202" s="924">
        <v>5.4</v>
      </c>
    </row>
    <row r="2203" spans="1:2" x14ac:dyDescent="0.25">
      <c r="A2203" s="924">
        <f t="shared" si="34"/>
        <v>2203</v>
      </c>
      <c r="B2203" s="924">
        <v>5.4</v>
      </c>
    </row>
    <row r="2204" spans="1:2" x14ac:dyDescent="0.25">
      <c r="A2204" s="924">
        <f t="shared" si="34"/>
        <v>2204</v>
      </c>
      <c r="B2204" s="924">
        <v>5.4</v>
      </c>
    </row>
    <row r="2205" spans="1:2" x14ac:dyDescent="0.25">
      <c r="A2205" s="924">
        <f t="shared" si="34"/>
        <v>2205</v>
      </c>
      <c r="B2205" s="924">
        <v>5.4</v>
      </c>
    </row>
    <row r="2206" spans="1:2" x14ac:dyDescent="0.25">
      <c r="A2206" s="924">
        <f t="shared" si="34"/>
        <v>2206</v>
      </c>
      <c r="B2206" s="924">
        <v>5.4</v>
      </c>
    </row>
    <row r="2207" spans="1:2" x14ac:dyDescent="0.25">
      <c r="A2207" s="924">
        <f t="shared" si="34"/>
        <v>2207</v>
      </c>
      <c r="B2207" s="924">
        <v>5.5</v>
      </c>
    </row>
    <row r="2208" spans="1:2" x14ac:dyDescent="0.25">
      <c r="A2208" s="924">
        <f t="shared" si="34"/>
        <v>2208</v>
      </c>
      <c r="B2208" s="924">
        <v>5.5</v>
      </c>
    </row>
    <row r="2209" spans="1:2" x14ac:dyDescent="0.25">
      <c r="A2209" s="924">
        <f t="shared" si="34"/>
        <v>2209</v>
      </c>
      <c r="B2209" s="924">
        <v>5.5</v>
      </c>
    </row>
    <row r="2210" spans="1:2" x14ac:dyDescent="0.25">
      <c r="A2210" s="924">
        <f t="shared" si="34"/>
        <v>2210</v>
      </c>
      <c r="B2210" s="924">
        <v>5.5</v>
      </c>
    </row>
    <row r="2211" spans="1:2" x14ac:dyDescent="0.25">
      <c r="A2211" s="924">
        <f t="shared" si="34"/>
        <v>2211</v>
      </c>
      <c r="B2211" s="924">
        <v>5.5</v>
      </c>
    </row>
    <row r="2212" spans="1:2" x14ac:dyDescent="0.25">
      <c r="A2212" s="924">
        <f t="shared" si="34"/>
        <v>2212</v>
      </c>
      <c r="B2212" s="924">
        <v>5.5</v>
      </c>
    </row>
    <row r="2213" spans="1:2" x14ac:dyDescent="0.25">
      <c r="A2213" s="924">
        <f t="shared" si="34"/>
        <v>2213</v>
      </c>
      <c r="B2213" s="924">
        <v>5.5</v>
      </c>
    </row>
    <row r="2214" spans="1:2" x14ac:dyDescent="0.25">
      <c r="A2214" s="924">
        <f t="shared" si="34"/>
        <v>2214</v>
      </c>
      <c r="B2214" s="924">
        <v>5.5</v>
      </c>
    </row>
    <row r="2215" spans="1:2" x14ac:dyDescent="0.25">
      <c r="A2215" s="924">
        <f t="shared" si="34"/>
        <v>2215</v>
      </c>
      <c r="B2215" s="924">
        <v>5.5</v>
      </c>
    </row>
    <row r="2216" spans="1:2" x14ac:dyDescent="0.25">
      <c r="A2216" s="924">
        <f t="shared" si="34"/>
        <v>2216</v>
      </c>
      <c r="B2216" s="924">
        <v>5.5</v>
      </c>
    </row>
    <row r="2217" spans="1:2" x14ac:dyDescent="0.25">
      <c r="A2217" s="924">
        <f t="shared" si="34"/>
        <v>2217</v>
      </c>
      <c r="B2217" s="924">
        <v>5.5</v>
      </c>
    </row>
    <row r="2218" spans="1:2" x14ac:dyDescent="0.25">
      <c r="A2218" s="924">
        <f t="shared" si="34"/>
        <v>2218</v>
      </c>
      <c r="B2218" s="924">
        <v>5.5</v>
      </c>
    </row>
    <row r="2219" spans="1:2" x14ac:dyDescent="0.25">
      <c r="A2219" s="924">
        <f t="shared" si="34"/>
        <v>2219</v>
      </c>
      <c r="B2219" s="924">
        <v>5.5</v>
      </c>
    </row>
    <row r="2220" spans="1:2" x14ac:dyDescent="0.25">
      <c r="A2220" s="924">
        <f t="shared" si="34"/>
        <v>2220</v>
      </c>
      <c r="B2220" s="924">
        <v>5.5</v>
      </c>
    </row>
    <row r="2221" spans="1:2" x14ac:dyDescent="0.25">
      <c r="A2221" s="924">
        <f t="shared" si="34"/>
        <v>2221</v>
      </c>
      <c r="B2221" s="924">
        <v>5.5</v>
      </c>
    </row>
    <row r="2222" spans="1:2" x14ac:dyDescent="0.25">
      <c r="A2222" s="924">
        <f t="shared" si="34"/>
        <v>2222</v>
      </c>
      <c r="B2222" s="924">
        <v>5.5</v>
      </c>
    </row>
    <row r="2223" spans="1:2" x14ac:dyDescent="0.25">
      <c r="A2223" s="924">
        <f t="shared" si="34"/>
        <v>2223</v>
      </c>
      <c r="B2223" s="924">
        <v>5.5</v>
      </c>
    </row>
    <row r="2224" spans="1:2" x14ac:dyDescent="0.25">
      <c r="A2224" s="924">
        <f t="shared" si="34"/>
        <v>2224</v>
      </c>
      <c r="B2224" s="924">
        <v>5.5</v>
      </c>
    </row>
    <row r="2225" spans="1:2" x14ac:dyDescent="0.25">
      <c r="A2225" s="924">
        <f t="shared" si="34"/>
        <v>2225</v>
      </c>
      <c r="B2225" s="924">
        <v>5.5</v>
      </c>
    </row>
    <row r="2226" spans="1:2" x14ac:dyDescent="0.25">
      <c r="A2226" s="924">
        <f t="shared" si="34"/>
        <v>2226</v>
      </c>
      <c r="B2226" s="924">
        <v>5.5</v>
      </c>
    </row>
    <row r="2227" spans="1:2" x14ac:dyDescent="0.25">
      <c r="A2227" s="924">
        <f t="shared" si="34"/>
        <v>2227</v>
      </c>
      <c r="B2227" s="924">
        <v>5.5</v>
      </c>
    </row>
    <row r="2228" spans="1:2" x14ac:dyDescent="0.25">
      <c r="A2228" s="924">
        <f t="shared" si="34"/>
        <v>2228</v>
      </c>
      <c r="B2228" s="924">
        <v>5.5</v>
      </c>
    </row>
    <row r="2229" spans="1:2" x14ac:dyDescent="0.25">
      <c r="A2229" s="924">
        <f t="shared" si="34"/>
        <v>2229</v>
      </c>
      <c r="B2229" s="924">
        <v>5.5</v>
      </c>
    </row>
    <row r="2230" spans="1:2" x14ac:dyDescent="0.25">
      <c r="A2230" s="924">
        <f t="shared" si="34"/>
        <v>2230</v>
      </c>
      <c r="B2230" s="924">
        <v>5.5</v>
      </c>
    </row>
    <row r="2231" spans="1:2" x14ac:dyDescent="0.25">
      <c r="A2231" s="924">
        <f t="shared" si="34"/>
        <v>2231</v>
      </c>
      <c r="B2231" s="924">
        <v>5.5</v>
      </c>
    </row>
    <row r="2232" spans="1:2" x14ac:dyDescent="0.25">
      <c r="A2232" s="924">
        <f t="shared" si="34"/>
        <v>2232</v>
      </c>
      <c r="B2232" s="924">
        <v>5.5</v>
      </c>
    </row>
    <row r="2233" spans="1:2" x14ac:dyDescent="0.25">
      <c r="A2233" s="924">
        <f t="shared" si="34"/>
        <v>2233</v>
      </c>
      <c r="B2233" s="924">
        <v>5.5</v>
      </c>
    </row>
    <row r="2234" spans="1:2" x14ac:dyDescent="0.25">
      <c r="A2234" s="924">
        <f t="shared" si="34"/>
        <v>2234</v>
      </c>
      <c r="B2234" s="924">
        <v>5.5</v>
      </c>
    </row>
    <row r="2235" spans="1:2" x14ac:dyDescent="0.25">
      <c r="A2235" s="924">
        <f t="shared" si="34"/>
        <v>2235</v>
      </c>
      <c r="B2235" s="924">
        <v>5.5</v>
      </c>
    </row>
    <row r="2236" spans="1:2" x14ac:dyDescent="0.25">
      <c r="A2236" s="924">
        <f t="shared" si="34"/>
        <v>2236</v>
      </c>
      <c r="B2236" s="924">
        <v>5.5</v>
      </c>
    </row>
    <row r="2237" spans="1:2" x14ac:dyDescent="0.25">
      <c r="A2237" s="924">
        <f t="shared" si="34"/>
        <v>2237</v>
      </c>
      <c r="B2237" s="924">
        <v>5.5</v>
      </c>
    </row>
    <row r="2238" spans="1:2" x14ac:dyDescent="0.25">
      <c r="A2238" s="924">
        <f t="shared" si="34"/>
        <v>2238</v>
      </c>
      <c r="B2238" s="924">
        <v>5.5</v>
      </c>
    </row>
    <row r="2239" spans="1:2" x14ac:dyDescent="0.25">
      <c r="A2239" s="924">
        <f t="shared" si="34"/>
        <v>2239</v>
      </c>
      <c r="B2239" s="924">
        <v>5.5</v>
      </c>
    </row>
    <row r="2240" spans="1:2" x14ac:dyDescent="0.25">
      <c r="A2240" s="924">
        <f t="shared" si="34"/>
        <v>2240</v>
      </c>
      <c r="B2240" s="924">
        <v>5.5</v>
      </c>
    </row>
    <row r="2241" spans="1:2" x14ac:dyDescent="0.25">
      <c r="A2241" s="924">
        <f t="shared" si="34"/>
        <v>2241</v>
      </c>
      <c r="B2241" s="924">
        <v>5.5</v>
      </c>
    </row>
    <row r="2242" spans="1:2" x14ac:dyDescent="0.25">
      <c r="A2242" s="924">
        <f t="shared" si="34"/>
        <v>2242</v>
      </c>
      <c r="B2242" s="924">
        <v>5.5</v>
      </c>
    </row>
    <row r="2243" spans="1:2" x14ac:dyDescent="0.25">
      <c r="A2243" s="924">
        <f t="shared" ref="A2243:A2306" si="35">A2242+1</f>
        <v>2243</v>
      </c>
      <c r="B2243" s="924">
        <v>5.5</v>
      </c>
    </row>
    <row r="2244" spans="1:2" x14ac:dyDescent="0.25">
      <c r="A2244" s="924">
        <f t="shared" si="35"/>
        <v>2244</v>
      </c>
      <c r="B2244" s="924">
        <v>5.5</v>
      </c>
    </row>
    <row r="2245" spans="1:2" x14ac:dyDescent="0.25">
      <c r="A2245" s="924">
        <f t="shared" si="35"/>
        <v>2245</v>
      </c>
      <c r="B2245" s="924">
        <v>5.5</v>
      </c>
    </row>
    <row r="2246" spans="1:2" x14ac:dyDescent="0.25">
      <c r="A2246" s="924">
        <f t="shared" si="35"/>
        <v>2246</v>
      </c>
      <c r="B2246" s="924">
        <v>5.6</v>
      </c>
    </row>
    <row r="2247" spans="1:2" x14ac:dyDescent="0.25">
      <c r="A2247" s="924">
        <f t="shared" si="35"/>
        <v>2247</v>
      </c>
      <c r="B2247" s="924">
        <v>5.6</v>
      </c>
    </row>
    <row r="2248" spans="1:2" x14ac:dyDescent="0.25">
      <c r="A2248" s="924">
        <f t="shared" si="35"/>
        <v>2248</v>
      </c>
      <c r="B2248" s="924">
        <v>5.6</v>
      </c>
    </row>
    <row r="2249" spans="1:2" x14ac:dyDescent="0.25">
      <c r="A2249" s="924">
        <f t="shared" si="35"/>
        <v>2249</v>
      </c>
      <c r="B2249" s="924">
        <v>5.6</v>
      </c>
    </row>
    <row r="2250" spans="1:2" x14ac:dyDescent="0.25">
      <c r="A2250" s="924">
        <f t="shared" si="35"/>
        <v>2250</v>
      </c>
      <c r="B2250" s="924">
        <v>5.6</v>
      </c>
    </row>
    <row r="2251" spans="1:2" x14ac:dyDescent="0.25">
      <c r="A2251" s="924">
        <f t="shared" si="35"/>
        <v>2251</v>
      </c>
      <c r="B2251" s="924">
        <v>5.6</v>
      </c>
    </row>
    <row r="2252" spans="1:2" x14ac:dyDescent="0.25">
      <c r="A2252" s="924">
        <f t="shared" si="35"/>
        <v>2252</v>
      </c>
      <c r="B2252" s="924">
        <v>5.6</v>
      </c>
    </row>
    <row r="2253" spans="1:2" x14ac:dyDescent="0.25">
      <c r="A2253" s="924">
        <f t="shared" si="35"/>
        <v>2253</v>
      </c>
      <c r="B2253" s="924">
        <v>5.6</v>
      </c>
    </row>
    <row r="2254" spans="1:2" x14ac:dyDescent="0.25">
      <c r="A2254" s="924">
        <f t="shared" si="35"/>
        <v>2254</v>
      </c>
      <c r="B2254" s="924">
        <v>5.6</v>
      </c>
    </row>
    <row r="2255" spans="1:2" x14ac:dyDescent="0.25">
      <c r="A2255" s="924">
        <f t="shared" si="35"/>
        <v>2255</v>
      </c>
      <c r="B2255" s="924">
        <v>5.6</v>
      </c>
    </row>
    <row r="2256" spans="1:2" x14ac:dyDescent="0.25">
      <c r="A2256" s="924">
        <f t="shared" si="35"/>
        <v>2256</v>
      </c>
      <c r="B2256" s="924">
        <v>5.6</v>
      </c>
    </row>
    <row r="2257" spans="1:2" x14ac:dyDescent="0.25">
      <c r="A2257" s="924">
        <f t="shared" si="35"/>
        <v>2257</v>
      </c>
      <c r="B2257" s="924">
        <v>5.6</v>
      </c>
    </row>
    <row r="2258" spans="1:2" x14ac:dyDescent="0.25">
      <c r="A2258" s="924">
        <f t="shared" si="35"/>
        <v>2258</v>
      </c>
      <c r="B2258" s="924">
        <v>5.6</v>
      </c>
    </row>
    <row r="2259" spans="1:2" x14ac:dyDescent="0.25">
      <c r="A2259" s="924">
        <f t="shared" si="35"/>
        <v>2259</v>
      </c>
      <c r="B2259" s="924">
        <v>5.6</v>
      </c>
    </row>
    <row r="2260" spans="1:2" x14ac:dyDescent="0.25">
      <c r="A2260" s="924">
        <f t="shared" si="35"/>
        <v>2260</v>
      </c>
      <c r="B2260" s="924">
        <v>5.6</v>
      </c>
    </row>
    <row r="2261" spans="1:2" x14ac:dyDescent="0.25">
      <c r="A2261" s="924">
        <f t="shared" si="35"/>
        <v>2261</v>
      </c>
      <c r="B2261" s="924">
        <v>5.6</v>
      </c>
    </row>
    <row r="2262" spans="1:2" x14ac:dyDescent="0.25">
      <c r="A2262" s="924">
        <f t="shared" si="35"/>
        <v>2262</v>
      </c>
      <c r="B2262" s="924">
        <v>5.6</v>
      </c>
    </row>
    <row r="2263" spans="1:2" x14ac:dyDescent="0.25">
      <c r="A2263" s="924">
        <f t="shared" si="35"/>
        <v>2263</v>
      </c>
      <c r="B2263" s="924">
        <v>5.6</v>
      </c>
    </row>
    <row r="2264" spans="1:2" x14ac:dyDescent="0.25">
      <c r="A2264" s="924">
        <f t="shared" si="35"/>
        <v>2264</v>
      </c>
      <c r="B2264" s="924">
        <v>5.6</v>
      </c>
    </row>
    <row r="2265" spans="1:2" x14ac:dyDescent="0.25">
      <c r="A2265" s="924">
        <f t="shared" si="35"/>
        <v>2265</v>
      </c>
      <c r="B2265" s="924">
        <v>5.6</v>
      </c>
    </row>
    <row r="2266" spans="1:2" x14ac:dyDescent="0.25">
      <c r="A2266" s="924">
        <f t="shared" si="35"/>
        <v>2266</v>
      </c>
      <c r="B2266" s="924">
        <v>5.6</v>
      </c>
    </row>
    <row r="2267" spans="1:2" x14ac:dyDescent="0.25">
      <c r="A2267" s="924">
        <f t="shared" si="35"/>
        <v>2267</v>
      </c>
      <c r="B2267" s="924">
        <v>5.6</v>
      </c>
    </row>
    <row r="2268" spans="1:2" x14ac:dyDescent="0.25">
      <c r="A2268" s="924">
        <f t="shared" si="35"/>
        <v>2268</v>
      </c>
      <c r="B2268" s="924">
        <v>5.6</v>
      </c>
    </row>
    <row r="2269" spans="1:2" x14ac:dyDescent="0.25">
      <c r="A2269" s="924">
        <f t="shared" si="35"/>
        <v>2269</v>
      </c>
      <c r="B2269" s="924">
        <v>5.6</v>
      </c>
    </row>
    <row r="2270" spans="1:2" x14ac:dyDescent="0.25">
      <c r="A2270" s="924">
        <f t="shared" si="35"/>
        <v>2270</v>
      </c>
      <c r="B2270" s="924">
        <v>5.6</v>
      </c>
    </row>
    <row r="2271" spans="1:2" x14ac:dyDescent="0.25">
      <c r="A2271" s="924">
        <f t="shared" si="35"/>
        <v>2271</v>
      </c>
      <c r="B2271" s="924">
        <v>5.6</v>
      </c>
    </row>
    <row r="2272" spans="1:2" x14ac:dyDescent="0.25">
      <c r="A2272" s="924">
        <f t="shared" si="35"/>
        <v>2272</v>
      </c>
      <c r="B2272" s="924">
        <v>5.6</v>
      </c>
    </row>
    <row r="2273" spans="1:2" x14ac:dyDescent="0.25">
      <c r="A2273" s="924">
        <f t="shared" si="35"/>
        <v>2273</v>
      </c>
      <c r="B2273" s="924">
        <v>5.6</v>
      </c>
    </row>
    <row r="2274" spans="1:2" x14ac:dyDescent="0.25">
      <c r="A2274" s="924">
        <f t="shared" si="35"/>
        <v>2274</v>
      </c>
      <c r="B2274" s="924">
        <v>5.6</v>
      </c>
    </row>
    <row r="2275" spans="1:2" x14ac:dyDescent="0.25">
      <c r="A2275" s="924">
        <f t="shared" si="35"/>
        <v>2275</v>
      </c>
      <c r="B2275" s="924">
        <v>5.6</v>
      </c>
    </row>
    <row r="2276" spans="1:2" x14ac:dyDescent="0.25">
      <c r="A2276" s="924">
        <f t="shared" si="35"/>
        <v>2276</v>
      </c>
      <c r="B2276" s="924">
        <v>5.6</v>
      </c>
    </row>
    <row r="2277" spans="1:2" x14ac:dyDescent="0.25">
      <c r="A2277" s="924">
        <f t="shared" si="35"/>
        <v>2277</v>
      </c>
      <c r="B2277" s="924">
        <v>5.6</v>
      </c>
    </row>
    <row r="2278" spans="1:2" x14ac:dyDescent="0.25">
      <c r="A2278" s="924">
        <f t="shared" si="35"/>
        <v>2278</v>
      </c>
      <c r="B2278" s="924">
        <v>5.6</v>
      </c>
    </row>
    <row r="2279" spans="1:2" x14ac:dyDescent="0.25">
      <c r="A2279" s="924">
        <f t="shared" si="35"/>
        <v>2279</v>
      </c>
      <c r="B2279" s="924">
        <v>5.6</v>
      </c>
    </row>
    <row r="2280" spans="1:2" x14ac:dyDescent="0.25">
      <c r="A2280" s="924">
        <f t="shared" si="35"/>
        <v>2280</v>
      </c>
      <c r="B2280" s="924">
        <v>5.6</v>
      </c>
    </row>
    <row r="2281" spans="1:2" x14ac:dyDescent="0.25">
      <c r="A2281" s="924">
        <f t="shared" si="35"/>
        <v>2281</v>
      </c>
      <c r="B2281" s="924">
        <v>5.6</v>
      </c>
    </row>
    <row r="2282" spans="1:2" x14ac:dyDescent="0.25">
      <c r="A2282" s="924">
        <f t="shared" si="35"/>
        <v>2282</v>
      </c>
      <c r="B2282" s="924">
        <v>5.6</v>
      </c>
    </row>
    <row r="2283" spans="1:2" x14ac:dyDescent="0.25">
      <c r="A2283" s="924">
        <f t="shared" si="35"/>
        <v>2283</v>
      </c>
      <c r="B2283" s="924">
        <v>5.6</v>
      </c>
    </row>
    <row r="2284" spans="1:2" x14ac:dyDescent="0.25">
      <c r="A2284" s="924">
        <f t="shared" si="35"/>
        <v>2284</v>
      </c>
      <c r="B2284" s="924">
        <v>5.6</v>
      </c>
    </row>
    <row r="2285" spans="1:2" x14ac:dyDescent="0.25">
      <c r="A2285" s="924">
        <f t="shared" si="35"/>
        <v>2285</v>
      </c>
      <c r="B2285" s="924">
        <v>5.6</v>
      </c>
    </row>
    <row r="2286" spans="1:2" x14ac:dyDescent="0.25">
      <c r="A2286" s="924">
        <f t="shared" si="35"/>
        <v>2286</v>
      </c>
      <c r="B2286" s="924">
        <v>5.6</v>
      </c>
    </row>
    <row r="2287" spans="1:2" x14ac:dyDescent="0.25">
      <c r="A2287" s="924">
        <f t="shared" si="35"/>
        <v>2287</v>
      </c>
      <c r="B2287" s="924">
        <v>5.6</v>
      </c>
    </row>
    <row r="2288" spans="1:2" x14ac:dyDescent="0.25">
      <c r="A2288" s="924">
        <f t="shared" si="35"/>
        <v>2288</v>
      </c>
      <c r="B2288" s="924">
        <v>5.6</v>
      </c>
    </row>
    <row r="2289" spans="1:2" x14ac:dyDescent="0.25">
      <c r="A2289" s="924">
        <f t="shared" si="35"/>
        <v>2289</v>
      </c>
      <c r="B2289" s="924">
        <v>5.6</v>
      </c>
    </row>
    <row r="2290" spans="1:2" x14ac:dyDescent="0.25">
      <c r="A2290" s="924">
        <f t="shared" si="35"/>
        <v>2290</v>
      </c>
      <c r="B2290" s="924">
        <v>5.6</v>
      </c>
    </row>
    <row r="2291" spans="1:2" x14ac:dyDescent="0.25">
      <c r="A2291" s="924">
        <f t="shared" si="35"/>
        <v>2291</v>
      </c>
      <c r="B2291" s="924">
        <v>5.6</v>
      </c>
    </row>
    <row r="2292" spans="1:2" x14ac:dyDescent="0.25">
      <c r="A2292" s="924">
        <f t="shared" si="35"/>
        <v>2292</v>
      </c>
      <c r="B2292" s="924">
        <v>5.6</v>
      </c>
    </row>
    <row r="2293" spans="1:2" x14ac:dyDescent="0.25">
      <c r="A2293" s="924">
        <f t="shared" si="35"/>
        <v>2293</v>
      </c>
      <c r="B2293" s="924">
        <v>5.6</v>
      </c>
    </row>
    <row r="2294" spans="1:2" x14ac:dyDescent="0.25">
      <c r="A2294" s="924">
        <f t="shared" si="35"/>
        <v>2294</v>
      </c>
      <c r="B2294" s="924">
        <v>5.6</v>
      </c>
    </row>
    <row r="2295" spans="1:2" x14ac:dyDescent="0.25">
      <c r="A2295" s="924">
        <f t="shared" si="35"/>
        <v>2295</v>
      </c>
      <c r="B2295" s="924">
        <v>5.6</v>
      </c>
    </row>
    <row r="2296" spans="1:2" x14ac:dyDescent="0.25">
      <c r="A2296" s="924">
        <f t="shared" si="35"/>
        <v>2296</v>
      </c>
      <c r="B2296" s="924">
        <v>5.7</v>
      </c>
    </row>
    <row r="2297" spans="1:2" x14ac:dyDescent="0.25">
      <c r="A2297" s="924">
        <f t="shared" si="35"/>
        <v>2297</v>
      </c>
      <c r="B2297" s="924">
        <v>5.7</v>
      </c>
    </row>
    <row r="2298" spans="1:2" x14ac:dyDescent="0.25">
      <c r="A2298" s="924">
        <f t="shared" si="35"/>
        <v>2298</v>
      </c>
      <c r="B2298" s="924">
        <v>5.7</v>
      </c>
    </row>
    <row r="2299" spans="1:2" x14ac:dyDescent="0.25">
      <c r="A2299" s="924">
        <f t="shared" si="35"/>
        <v>2299</v>
      </c>
      <c r="B2299" s="924">
        <v>5.7</v>
      </c>
    </row>
    <row r="2300" spans="1:2" x14ac:dyDescent="0.25">
      <c r="A2300" s="924">
        <f t="shared" si="35"/>
        <v>2300</v>
      </c>
      <c r="B2300" s="924">
        <v>5.7</v>
      </c>
    </row>
    <row r="2301" spans="1:2" x14ac:dyDescent="0.25">
      <c r="A2301" s="924">
        <f t="shared" si="35"/>
        <v>2301</v>
      </c>
      <c r="B2301" s="924">
        <v>5.7</v>
      </c>
    </row>
    <row r="2302" spans="1:2" x14ac:dyDescent="0.25">
      <c r="A2302" s="924">
        <f t="shared" si="35"/>
        <v>2302</v>
      </c>
      <c r="B2302" s="924">
        <v>5.7</v>
      </c>
    </row>
    <row r="2303" spans="1:2" x14ac:dyDescent="0.25">
      <c r="A2303" s="924">
        <f t="shared" si="35"/>
        <v>2303</v>
      </c>
      <c r="B2303" s="924">
        <v>5.7</v>
      </c>
    </row>
    <row r="2304" spans="1:2" x14ac:dyDescent="0.25">
      <c r="A2304" s="924">
        <f t="shared" si="35"/>
        <v>2304</v>
      </c>
      <c r="B2304" s="924">
        <v>5.7</v>
      </c>
    </row>
    <row r="2305" spans="1:2" x14ac:dyDescent="0.25">
      <c r="A2305" s="924">
        <f t="shared" si="35"/>
        <v>2305</v>
      </c>
      <c r="B2305" s="924">
        <v>5.7</v>
      </c>
    </row>
    <row r="2306" spans="1:2" x14ac:dyDescent="0.25">
      <c r="A2306" s="924">
        <f t="shared" si="35"/>
        <v>2306</v>
      </c>
      <c r="B2306" s="924">
        <v>5.7</v>
      </c>
    </row>
    <row r="2307" spans="1:2" x14ac:dyDescent="0.25">
      <c r="A2307" s="924">
        <f t="shared" ref="A2307:A2370" si="36">A2306+1</f>
        <v>2307</v>
      </c>
      <c r="B2307" s="924">
        <v>5.7</v>
      </c>
    </row>
    <row r="2308" spans="1:2" x14ac:dyDescent="0.25">
      <c r="A2308" s="924">
        <f t="shared" si="36"/>
        <v>2308</v>
      </c>
      <c r="B2308" s="924">
        <v>5.7</v>
      </c>
    </row>
    <row r="2309" spans="1:2" x14ac:dyDescent="0.25">
      <c r="A2309" s="924">
        <f t="shared" si="36"/>
        <v>2309</v>
      </c>
      <c r="B2309" s="924">
        <v>5.7</v>
      </c>
    </row>
    <row r="2310" spans="1:2" x14ac:dyDescent="0.25">
      <c r="A2310" s="924">
        <f t="shared" si="36"/>
        <v>2310</v>
      </c>
      <c r="B2310" s="924">
        <v>5.7</v>
      </c>
    </row>
    <row r="2311" spans="1:2" x14ac:dyDescent="0.25">
      <c r="A2311" s="924">
        <f t="shared" si="36"/>
        <v>2311</v>
      </c>
      <c r="B2311" s="924">
        <v>5.7</v>
      </c>
    </row>
    <row r="2312" spans="1:2" x14ac:dyDescent="0.25">
      <c r="A2312" s="924">
        <f t="shared" si="36"/>
        <v>2312</v>
      </c>
      <c r="B2312" s="924">
        <v>5.7</v>
      </c>
    </row>
    <row r="2313" spans="1:2" x14ac:dyDescent="0.25">
      <c r="A2313" s="924">
        <f t="shared" si="36"/>
        <v>2313</v>
      </c>
      <c r="B2313" s="924">
        <v>5.7</v>
      </c>
    </row>
    <row r="2314" spans="1:2" x14ac:dyDescent="0.25">
      <c r="A2314" s="924">
        <f t="shared" si="36"/>
        <v>2314</v>
      </c>
      <c r="B2314" s="924">
        <v>5.7</v>
      </c>
    </row>
    <row r="2315" spans="1:2" x14ac:dyDescent="0.25">
      <c r="A2315" s="924">
        <f t="shared" si="36"/>
        <v>2315</v>
      </c>
      <c r="B2315" s="924">
        <v>5.7</v>
      </c>
    </row>
    <row r="2316" spans="1:2" x14ac:dyDescent="0.25">
      <c r="A2316" s="924">
        <f t="shared" si="36"/>
        <v>2316</v>
      </c>
      <c r="B2316" s="924">
        <v>5.7</v>
      </c>
    </row>
    <row r="2317" spans="1:2" x14ac:dyDescent="0.25">
      <c r="A2317" s="924">
        <f t="shared" si="36"/>
        <v>2317</v>
      </c>
      <c r="B2317" s="924">
        <v>5.7</v>
      </c>
    </row>
    <row r="2318" spans="1:2" x14ac:dyDescent="0.25">
      <c r="A2318" s="924">
        <f t="shared" si="36"/>
        <v>2318</v>
      </c>
      <c r="B2318" s="924">
        <v>5.7</v>
      </c>
    </row>
    <row r="2319" spans="1:2" x14ac:dyDescent="0.25">
      <c r="A2319" s="924">
        <f t="shared" si="36"/>
        <v>2319</v>
      </c>
      <c r="B2319" s="924">
        <v>5.7</v>
      </c>
    </row>
    <row r="2320" spans="1:2" x14ac:dyDescent="0.25">
      <c r="A2320" s="924">
        <f t="shared" si="36"/>
        <v>2320</v>
      </c>
      <c r="B2320" s="924">
        <v>5.7</v>
      </c>
    </row>
    <row r="2321" spans="1:2" x14ac:dyDescent="0.25">
      <c r="A2321" s="924">
        <f t="shared" si="36"/>
        <v>2321</v>
      </c>
      <c r="B2321" s="924">
        <v>5.7</v>
      </c>
    </row>
    <row r="2322" spans="1:2" x14ac:dyDescent="0.25">
      <c r="A2322" s="924">
        <f t="shared" si="36"/>
        <v>2322</v>
      </c>
      <c r="B2322" s="924">
        <v>5.7</v>
      </c>
    </row>
    <row r="2323" spans="1:2" x14ac:dyDescent="0.25">
      <c r="A2323" s="924">
        <f t="shared" si="36"/>
        <v>2323</v>
      </c>
      <c r="B2323" s="924">
        <v>5.7</v>
      </c>
    </row>
    <row r="2324" spans="1:2" x14ac:dyDescent="0.25">
      <c r="A2324" s="924">
        <f t="shared" si="36"/>
        <v>2324</v>
      </c>
      <c r="B2324" s="924">
        <v>5.7</v>
      </c>
    </row>
    <row r="2325" spans="1:2" x14ac:dyDescent="0.25">
      <c r="A2325" s="924">
        <f t="shared" si="36"/>
        <v>2325</v>
      </c>
      <c r="B2325" s="924">
        <v>5.7</v>
      </c>
    </row>
    <row r="2326" spans="1:2" x14ac:dyDescent="0.25">
      <c r="A2326" s="924">
        <f t="shared" si="36"/>
        <v>2326</v>
      </c>
      <c r="B2326" s="924">
        <v>5.7</v>
      </c>
    </row>
    <row r="2327" spans="1:2" x14ac:dyDescent="0.25">
      <c r="A2327" s="924">
        <f t="shared" si="36"/>
        <v>2327</v>
      </c>
      <c r="B2327" s="924">
        <v>5.7</v>
      </c>
    </row>
    <row r="2328" spans="1:2" x14ac:dyDescent="0.25">
      <c r="A2328" s="924">
        <f t="shared" si="36"/>
        <v>2328</v>
      </c>
      <c r="B2328" s="924">
        <v>5.7</v>
      </c>
    </row>
    <row r="2329" spans="1:2" x14ac:dyDescent="0.25">
      <c r="A2329" s="924">
        <f t="shared" si="36"/>
        <v>2329</v>
      </c>
      <c r="B2329" s="924">
        <v>5.7</v>
      </c>
    </row>
    <row r="2330" spans="1:2" x14ac:dyDescent="0.25">
      <c r="A2330" s="924">
        <f t="shared" si="36"/>
        <v>2330</v>
      </c>
      <c r="B2330" s="924">
        <v>5.7</v>
      </c>
    </row>
    <row r="2331" spans="1:2" x14ac:dyDescent="0.25">
      <c r="A2331" s="924">
        <f t="shared" si="36"/>
        <v>2331</v>
      </c>
      <c r="B2331" s="924">
        <v>5.7</v>
      </c>
    </row>
    <row r="2332" spans="1:2" x14ac:dyDescent="0.25">
      <c r="A2332" s="924">
        <f t="shared" si="36"/>
        <v>2332</v>
      </c>
      <c r="B2332" s="924">
        <v>5.7</v>
      </c>
    </row>
    <row r="2333" spans="1:2" x14ac:dyDescent="0.25">
      <c r="A2333" s="924">
        <f t="shared" si="36"/>
        <v>2333</v>
      </c>
      <c r="B2333" s="924">
        <v>5.7</v>
      </c>
    </row>
    <row r="2334" spans="1:2" x14ac:dyDescent="0.25">
      <c r="A2334" s="924">
        <f t="shared" si="36"/>
        <v>2334</v>
      </c>
      <c r="B2334" s="924">
        <v>5.7</v>
      </c>
    </row>
    <row r="2335" spans="1:2" x14ac:dyDescent="0.25">
      <c r="A2335" s="924">
        <f t="shared" si="36"/>
        <v>2335</v>
      </c>
      <c r="B2335" s="924">
        <v>5.7</v>
      </c>
    </row>
    <row r="2336" spans="1:2" x14ac:dyDescent="0.25">
      <c r="A2336" s="924">
        <f t="shared" si="36"/>
        <v>2336</v>
      </c>
      <c r="B2336" s="924">
        <v>5.7</v>
      </c>
    </row>
    <row r="2337" spans="1:2" x14ac:dyDescent="0.25">
      <c r="A2337" s="924">
        <f t="shared" si="36"/>
        <v>2337</v>
      </c>
      <c r="B2337" s="924">
        <v>5.7</v>
      </c>
    </row>
    <row r="2338" spans="1:2" x14ac:dyDescent="0.25">
      <c r="A2338" s="924">
        <f t="shared" si="36"/>
        <v>2338</v>
      </c>
      <c r="B2338" s="924">
        <v>5.7</v>
      </c>
    </row>
    <row r="2339" spans="1:2" x14ac:dyDescent="0.25">
      <c r="A2339" s="924">
        <f t="shared" si="36"/>
        <v>2339</v>
      </c>
      <c r="B2339" s="924">
        <v>5.7</v>
      </c>
    </row>
    <row r="2340" spans="1:2" x14ac:dyDescent="0.25">
      <c r="A2340" s="924">
        <f t="shared" si="36"/>
        <v>2340</v>
      </c>
      <c r="B2340" s="924">
        <v>5.7</v>
      </c>
    </row>
    <row r="2341" spans="1:2" x14ac:dyDescent="0.25">
      <c r="A2341" s="924">
        <f t="shared" si="36"/>
        <v>2341</v>
      </c>
      <c r="B2341" s="924">
        <v>5.7</v>
      </c>
    </row>
    <row r="2342" spans="1:2" x14ac:dyDescent="0.25">
      <c r="A2342" s="924">
        <f t="shared" si="36"/>
        <v>2342</v>
      </c>
      <c r="B2342" s="924">
        <v>5.7</v>
      </c>
    </row>
    <row r="2343" spans="1:2" x14ac:dyDescent="0.25">
      <c r="A2343" s="924">
        <f t="shared" si="36"/>
        <v>2343</v>
      </c>
      <c r="B2343" s="924">
        <v>5.7</v>
      </c>
    </row>
    <row r="2344" spans="1:2" x14ac:dyDescent="0.25">
      <c r="A2344" s="924">
        <f t="shared" si="36"/>
        <v>2344</v>
      </c>
      <c r="B2344" s="924">
        <v>5.7</v>
      </c>
    </row>
    <row r="2345" spans="1:2" x14ac:dyDescent="0.25">
      <c r="A2345" s="924">
        <f t="shared" si="36"/>
        <v>2345</v>
      </c>
      <c r="B2345" s="924">
        <v>5.7</v>
      </c>
    </row>
    <row r="2346" spans="1:2" x14ac:dyDescent="0.25">
      <c r="A2346" s="924">
        <f t="shared" si="36"/>
        <v>2346</v>
      </c>
      <c r="B2346" s="924">
        <v>5.7</v>
      </c>
    </row>
    <row r="2347" spans="1:2" x14ac:dyDescent="0.25">
      <c r="A2347" s="924">
        <f t="shared" si="36"/>
        <v>2347</v>
      </c>
      <c r="B2347" s="924">
        <v>5.8</v>
      </c>
    </row>
    <row r="2348" spans="1:2" x14ac:dyDescent="0.25">
      <c r="A2348" s="924">
        <f t="shared" si="36"/>
        <v>2348</v>
      </c>
      <c r="B2348" s="924">
        <v>5.8</v>
      </c>
    </row>
    <row r="2349" spans="1:2" x14ac:dyDescent="0.25">
      <c r="A2349" s="924">
        <f t="shared" si="36"/>
        <v>2349</v>
      </c>
      <c r="B2349" s="924">
        <v>5.8</v>
      </c>
    </row>
    <row r="2350" spans="1:2" x14ac:dyDescent="0.25">
      <c r="A2350" s="924">
        <f t="shared" si="36"/>
        <v>2350</v>
      </c>
      <c r="B2350" s="924">
        <v>5.8</v>
      </c>
    </row>
    <row r="2351" spans="1:2" x14ac:dyDescent="0.25">
      <c r="A2351" s="924">
        <f t="shared" si="36"/>
        <v>2351</v>
      </c>
      <c r="B2351" s="924">
        <v>5.8</v>
      </c>
    </row>
    <row r="2352" spans="1:2" x14ac:dyDescent="0.25">
      <c r="A2352" s="924">
        <f t="shared" si="36"/>
        <v>2352</v>
      </c>
      <c r="B2352" s="924">
        <v>5.8</v>
      </c>
    </row>
    <row r="2353" spans="1:2" x14ac:dyDescent="0.25">
      <c r="A2353" s="924">
        <f t="shared" si="36"/>
        <v>2353</v>
      </c>
      <c r="B2353" s="924">
        <v>5.8</v>
      </c>
    </row>
    <row r="2354" spans="1:2" x14ac:dyDescent="0.25">
      <c r="A2354" s="924">
        <f t="shared" si="36"/>
        <v>2354</v>
      </c>
      <c r="B2354" s="924">
        <v>5.8</v>
      </c>
    </row>
    <row r="2355" spans="1:2" x14ac:dyDescent="0.25">
      <c r="A2355" s="924">
        <f t="shared" si="36"/>
        <v>2355</v>
      </c>
      <c r="B2355" s="924">
        <v>5.8</v>
      </c>
    </row>
    <row r="2356" spans="1:2" x14ac:dyDescent="0.25">
      <c r="A2356" s="924">
        <f t="shared" si="36"/>
        <v>2356</v>
      </c>
      <c r="B2356" s="924">
        <v>5.8</v>
      </c>
    </row>
    <row r="2357" spans="1:2" x14ac:dyDescent="0.25">
      <c r="A2357" s="924">
        <f t="shared" si="36"/>
        <v>2357</v>
      </c>
      <c r="B2357" s="924">
        <v>5.8</v>
      </c>
    </row>
    <row r="2358" spans="1:2" x14ac:dyDescent="0.25">
      <c r="A2358" s="924">
        <f t="shared" si="36"/>
        <v>2358</v>
      </c>
      <c r="B2358" s="924">
        <v>5.8</v>
      </c>
    </row>
    <row r="2359" spans="1:2" x14ac:dyDescent="0.25">
      <c r="A2359" s="924">
        <f t="shared" si="36"/>
        <v>2359</v>
      </c>
      <c r="B2359" s="924">
        <v>5.8</v>
      </c>
    </row>
    <row r="2360" spans="1:2" x14ac:dyDescent="0.25">
      <c r="A2360" s="924">
        <f t="shared" si="36"/>
        <v>2360</v>
      </c>
      <c r="B2360" s="924">
        <v>5.8</v>
      </c>
    </row>
    <row r="2361" spans="1:2" x14ac:dyDescent="0.25">
      <c r="A2361" s="924">
        <f t="shared" si="36"/>
        <v>2361</v>
      </c>
      <c r="B2361" s="924">
        <v>5.8</v>
      </c>
    </row>
    <row r="2362" spans="1:2" x14ac:dyDescent="0.25">
      <c r="A2362" s="924">
        <f t="shared" si="36"/>
        <v>2362</v>
      </c>
      <c r="B2362" s="924">
        <v>5.8</v>
      </c>
    </row>
    <row r="2363" spans="1:2" x14ac:dyDescent="0.25">
      <c r="A2363" s="924">
        <f t="shared" si="36"/>
        <v>2363</v>
      </c>
      <c r="B2363" s="924">
        <v>5.8</v>
      </c>
    </row>
    <row r="2364" spans="1:2" x14ac:dyDescent="0.25">
      <c r="A2364" s="924">
        <f t="shared" si="36"/>
        <v>2364</v>
      </c>
      <c r="B2364" s="924">
        <v>5.8</v>
      </c>
    </row>
    <row r="2365" spans="1:2" x14ac:dyDescent="0.25">
      <c r="A2365" s="924">
        <f t="shared" si="36"/>
        <v>2365</v>
      </c>
      <c r="B2365" s="924">
        <v>5.8</v>
      </c>
    </row>
    <row r="2366" spans="1:2" x14ac:dyDescent="0.25">
      <c r="A2366" s="924">
        <f t="shared" si="36"/>
        <v>2366</v>
      </c>
      <c r="B2366" s="924">
        <v>5.8</v>
      </c>
    </row>
    <row r="2367" spans="1:2" x14ac:dyDescent="0.25">
      <c r="A2367" s="924">
        <f t="shared" si="36"/>
        <v>2367</v>
      </c>
      <c r="B2367" s="924">
        <v>5.8</v>
      </c>
    </row>
    <row r="2368" spans="1:2" x14ac:dyDescent="0.25">
      <c r="A2368" s="924">
        <f t="shared" si="36"/>
        <v>2368</v>
      </c>
      <c r="B2368" s="924">
        <v>5.8</v>
      </c>
    </row>
    <row r="2369" spans="1:2" x14ac:dyDescent="0.25">
      <c r="A2369" s="924">
        <f t="shared" si="36"/>
        <v>2369</v>
      </c>
      <c r="B2369" s="924">
        <v>5.8</v>
      </c>
    </row>
    <row r="2370" spans="1:2" x14ac:dyDescent="0.25">
      <c r="A2370" s="924">
        <f t="shared" si="36"/>
        <v>2370</v>
      </c>
      <c r="B2370" s="924">
        <v>5.8</v>
      </c>
    </row>
    <row r="2371" spans="1:2" x14ac:dyDescent="0.25">
      <c r="A2371" s="924">
        <f t="shared" ref="A2371:A2434" si="37">A2370+1</f>
        <v>2371</v>
      </c>
      <c r="B2371" s="924">
        <v>5.8</v>
      </c>
    </row>
    <row r="2372" spans="1:2" x14ac:dyDescent="0.25">
      <c r="A2372" s="924">
        <f t="shared" si="37"/>
        <v>2372</v>
      </c>
      <c r="B2372" s="924">
        <v>5.8</v>
      </c>
    </row>
    <row r="2373" spans="1:2" x14ac:dyDescent="0.25">
      <c r="A2373" s="924">
        <f t="shared" si="37"/>
        <v>2373</v>
      </c>
      <c r="B2373" s="924">
        <v>5.8</v>
      </c>
    </row>
    <row r="2374" spans="1:2" x14ac:dyDescent="0.25">
      <c r="A2374" s="924">
        <f t="shared" si="37"/>
        <v>2374</v>
      </c>
      <c r="B2374" s="924">
        <v>5.8</v>
      </c>
    </row>
    <row r="2375" spans="1:2" x14ac:dyDescent="0.25">
      <c r="A2375" s="924">
        <f t="shared" si="37"/>
        <v>2375</v>
      </c>
      <c r="B2375" s="924">
        <v>5.8</v>
      </c>
    </row>
    <row r="2376" spans="1:2" x14ac:dyDescent="0.25">
      <c r="A2376" s="924">
        <f t="shared" si="37"/>
        <v>2376</v>
      </c>
      <c r="B2376" s="924">
        <v>5.8</v>
      </c>
    </row>
    <row r="2377" spans="1:2" x14ac:dyDescent="0.25">
      <c r="A2377" s="924">
        <f t="shared" si="37"/>
        <v>2377</v>
      </c>
      <c r="B2377" s="924">
        <v>5.8</v>
      </c>
    </row>
    <row r="2378" spans="1:2" x14ac:dyDescent="0.25">
      <c r="A2378" s="924">
        <f t="shared" si="37"/>
        <v>2378</v>
      </c>
      <c r="B2378" s="924">
        <v>5.8</v>
      </c>
    </row>
    <row r="2379" spans="1:2" x14ac:dyDescent="0.25">
      <c r="A2379" s="924">
        <f t="shared" si="37"/>
        <v>2379</v>
      </c>
      <c r="B2379" s="924">
        <v>5.8</v>
      </c>
    </row>
    <row r="2380" spans="1:2" x14ac:dyDescent="0.25">
      <c r="A2380" s="924">
        <f t="shared" si="37"/>
        <v>2380</v>
      </c>
      <c r="B2380" s="924">
        <v>5.9</v>
      </c>
    </row>
    <row r="2381" spans="1:2" x14ac:dyDescent="0.25">
      <c r="A2381" s="924">
        <f t="shared" si="37"/>
        <v>2381</v>
      </c>
      <c r="B2381" s="924">
        <v>5.9</v>
      </c>
    </row>
    <row r="2382" spans="1:2" x14ac:dyDescent="0.25">
      <c r="A2382" s="924">
        <f t="shared" si="37"/>
        <v>2382</v>
      </c>
      <c r="B2382" s="924">
        <v>5.9</v>
      </c>
    </row>
    <row r="2383" spans="1:2" x14ac:dyDescent="0.25">
      <c r="A2383" s="924">
        <f t="shared" si="37"/>
        <v>2383</v>
      </c>
      <c r="B2383" s="924">
        <v>5.9</v>
      </c>
    </row>
    <row r="2384" spans="1:2" x14ac:dyDescent="0.25">
      <c r="A2384" s="924">
        <f t="shared" si="37"/>
        <v>2384</v>
      </c>
      <c r="B2384" s="924">
        <v>5.9</v>
      </c>
    </row>
    <row r="2385" spans="1:2" x14ac:dyDescent="0.25">
      <c r="A2385" s="924">
        <f t="shared" si="37"/>
        <v>2385</v>
      </c>
      <c r="B2385" s="924">
        <v>5.9</v>
      </c>
    </row>
    <row r="2386" spans="1:2" x14ac:dyDescent="0.25">
      <c r="A2386" s="924">
        <f t="shared" si="37"/>
        <v>2386</v>
      </c>
      <c r="B2386" s="924">
        <v>5.9</v>
      </c>
    </row>
    <row r="2387" spans="1:2" x14ac:dyDescent="0.25">
      <c r="A2387" s="924">
        <f t="shared" si="37"/>
        <v>2387</v>
      </c>
      <c r="B2387" s="924">
        <v>5.9</v>
      </c>
    </row>
    <row r="2388" spans="1:2" x14ac:dyDescent="0.25">
      <c r="A2388" s="924">
        <f t="shared" si="37"/>
        <v>2388</v>
      </c>
      <c r="B2388" s="924">
        <v>5.9</v>
      </c>
    </row>
    <row r="2389" spans="1:2" x14ac:dyDescent="0.25">
      <c r="A2389" s="924">
        <f t="shared" si="37"/>
        <v>2389</v>
      </c>
      <c r="B2389" s="924">
        <v>5.9</v>
      </c>
    </row>
    <row r="2390" spans="1:2" x14ac:dyDescent="0.25">
      <c r="A2390" s="924">
        <f t="shared" si="37"/>
        <v>2390</v>
      </c>
      <c r="B2390" s="924">
        <v>5.9</v>
      </c>
    </row>
    <row r="2391" spans="1:2" x14ac:dyDescent="0.25">
      <c r="A2391" s="924">
        <f t="shared" si="37"/>
        <v>2391</v>
      </c>
      <c r="B2391" s="924">
        <v>5.9</v>
      </c>
    </row>
    <row r="2392" spans="1:2" x14ac:dyDescent="0.25">
      <c r="A2392" s="924">
        <f t="shared" si="37"/>
        <v>2392</v>
      </c>
      <c r="B2392" s="924">
        <v>5.9</v>
      </c>
    </row>
    <row r="2393" spans="1:2" x14ac:dyDescent="0.25">
      <c r="A2393" s="924">
        <f t="shared" si="37"/>
        <v>2393</v>
      </c>
      <c r="B2393" s="924">
        <v>5.9</v>
      </c>
    </row>
    <row r="2394" spans="1:2" x14ac:dyDescent="0.25">
      <c r="A2394" s="924">
        <f t="shared" si="37"/>
        <v>2394</v>
      </c>
      <c r="B2394" s="924">
        <v>5.9</v>
      </c>
    </row>
    <row r="2395" spans="1:2" x14ac:dyDescent="0.25">
      <c r="A2395" s="924">
        <f t="shared" si="37"/>
        <v>2395</v>
      </c>
      <c r="B2395" s="924">
        <v>5.9</v>
      </c>
    </row>
    <row r="2396" spans="1:2" x14ac:dyDescent="0.25">
      <c r="A2396" s="924">
        <f t="shared" si="37"/>
        <v>2396</v>
      </c>
      <c r="B2396" s="924">
        <v>5.9</v>
      </c>
    </row>
    <row r="2397" spans="1:2" x14ac:dyDescent="0.25">
      <c r="A2397" s="924">
        <f t="shared" si="37"/>
        <v>2397</v>
      </c>
      <c r="B2397" s="924">
        <v>5.9</v>
      </c>
    </row>
    <row r="2398" spans="1:2" x14ac:dyDescent="0.25">
      <c r="A2398" s="924">
        <f t="shared" si="37"/>
        <v>2398</v>
      </c>
      <c r="B2398" s="924">
        <v>5.9</v>
      </c>
    </row>
    <row r="2399" spans="1:2" x14ac:dyDescent="0.25">
      <c r="A2399" s="924">
        <f t="shared" si="37"/>
        <v>2399</v>
      </c>
      <c r="B2399" s="924">
        <v>5.9</v>
      </c>
    </row>
    <row r="2400" spans="1:2" x14ac:dyDescent="0.25">
      <c r="A2400" s="924">
        <f t="shared" si="37"/>
        <v>2400</v>
      </c>
      <c r="B2400" s="924">
        <v>5.9</v>
      </c>
    </row>
    <row r="2401" spans="1:2" x14ac:dyDescent="0.25">
      <c r="A2401" s="924">
        <f t="shared" si="37"/>
        <v>2401</v>
      </c>
      <c r="B2401" s="924">
        <v>5.9</v>
      </c>
    </row>
    <row r="2402" spans="1:2" x14ac:dyDescent="0.25">
      <c r="A2402" s="924">
        <f t="shared" si="37"/>
        <v>2402</v>
      </c>
      <c r="B2402" s="924">
        <v>5.9</v>
      </c>
    </row>
    <row r="2403" spans="1:2" x14ac:dyDescent="0.25">
      <c r="A2403" s="924">
        <f t="shared" si="37"/>
        <v>2403</v>
      </c>
      <c r="B2403" s="924">
        <v>5.9</v>
      </c>
    </row>
    <row r="2404" spans="1:2" x14ac:dyDescent="0.25">
      <c r="A2404" s="924">
        <f t="shared" si="37"/>
        <v>2404</v>
      </c>
      <c r="B2404" s="924">
        <v>5.9</v>
      </c>
    </row>
    <row r="2405" spans="1:2" x14ac:dyDescent="0.25">
      <c r="A2405" s="924">
        <f t="shared" si="37"/>
        <v>2405</v>
      </c>
      <c r="B2405" s="924">
        <v>5.9</v>
      </c>
    </row>
    <row r="2406" spans="1:2" x14ac:dyDescent="0.25">
      <c r="A2406" s="924">
        <f t="shared" si="37"/>
        <v>2406</v>
      </c>
      <c r="B2406" s="924">
        <v>5.9</v>
      </c>
    </row>
    <row r="2407" spans="1:2" x14ac:dyDescent="0.25">
      <c r="A2407" s="924">
        <f t="shared" si="37"/>
        <v>2407</v>
      </c>
      <c r="B2407" s="924">
        <v>5.9</v>
      </c>
    </row>
    <row r="2408" spans="1:2" x14ac:dyDescent="0.25">
      <c r="A2408" s="924">
        <f t="shared" si="37"/>
        <v>2408</v>
      </c>
      <c r="B2408" s="924">
        <v>5.9</v>
      </c>
    </row>
    <row r="2409" spans="1:2" x14ac:dyDescent="0.25">
      <c r="A2409" s="924">
        <f t="shared" si="37"/>
        <v>2409</v>
      </c>
      <c r="B2409" s="924">
        <v>5.9</v>
      </c>
    </row>
    <row r="2410" spans="1:2" x14ac:dyDescent="0.25">
      <c r="A2410" s="924">
        <f t="shared" si="37"/>
        <v>2410</v>
      </c>
      <c r="B2410" s="924">
        <v>5.9</v>
      </c>
    </row>
    <row r="2411" spans="1:2" x14ac:dyDescent="0.25">
      <c r="A2411" s="924">
        <f t="shared" si="37"/>
        <v>2411</v>
      </c>
      <c r="B2411" s="924">
        <v>5.9</v>
      </c>
    </row>
    <row r="2412" spans="1:2" x14ac:dyDescent="0.25">
      <c r="A2412" s="924">
        <f t="shared" si="37"/>
        <v>2412</v>
      </c>
      <c r="B2412" s="924">
        <v>5.9</v>
      </c>
    </row>
    <row r="2413" spans="1:2" x14ac:dyDescent="0.25">
      <c r="A2413" s="924">
        <f t="shared" si="37"/>
        <v>2413</v>
      </c>
      <c r="B2413" s="924">
        <v>5.9</v>
      </c>
    </row>
    <row r="2414" spans="1:2" x14ac:dyDescent="0.25">
      <c r="A2414" s="924">
        <f t="shared" si="37"/>
        <v>2414</v>
      </c>
      <c r="B2414" s="924">
        <v>5.9</v>
      </c>
    </row>
    <row r="2415" spans="1:2" x14ac:dyDescent="0.25">
      <c r="A2415" s="924">
        <f t="shared" si="37"/>
        <v>2415</v>
      </c>
      <c r="B2415" s="924">
        <v>6</v>
      </c>
    </row>
    <row r="2416" spans="1:2" x14ac:dyDescent="0.25">
      <c r="A2416" s="924">
        <f t="shared" si="37"/>
        <v>2416</v>
      </c>
      <c r="B2416" s="924">
        <v>6</v>
      </c>
    </row>
    <row r="2417" spans="1:2" x14ac:dyDescent="0.25">
      <c r="A2417" s="924">
        <f t="shared" si="37"/>
        <v>2417</v>
      </c>
      <c r="B2417" s="924">
        <v>6</v>
      </c>
    </row>
    <row r="2418" spans="1:2" x14ac:dyDescent="0.25">
      <c r="A2418" s="924">
        <f t="shared" si="37"/>
        <v>2418</v>
      </c>
      <c r="B2418" s="924">
        <v>6</v>
      </c>
    </row>
    <row r="2419" spans="1:2" x14ac:dyDescent="0.25">
      <c r="A2419" s="924">
        <f t="shared" si="37"/>
        <v>2419</v>
      </c>
      <c r="B2419" s="924">
        <v>6</v>
      </c>
    </row>
    <row r="2420" spans="1:2" x14ac:dyDescent="0.25">
      <c r="A2420" s="924">
        <f t="shared" si="37"/>
        <v>2420</v>
      </c>
      <c r="B2420" s="924">
        <v>6</v>
      </c>
    </row>
    <row r="2421" spans="1:2" x14ac:dyDescent="0.25">
      <c r="A2421" s="924">
        <f t="shared" si="37"/>
        <v>2421</v>
      </c>
      <c r="B2421" s="924">
        <v>6</v>
      </c>
    </row>
    <row r="2422" spans="1:2" x14ac:dyDescent="0.25">
      <c r="A2422" s="924">
        <f t="shared" si="37"/>
        <v>2422</v>
      </c>
      <c r="B2422" s="924">
        <v>6</v>
      </c>
    </row>
    <row r="2423" spans="1:2" x14ac:dyDescent="0.25">
      <c r="A2423" s="924">
        <f t="shared" si="37"/>
        <v>2423</v>
      </c>
      <c r="B2423" s="924">
        <v>6</v>
      </c>
    </row>
    <row r="2424" spans="1:2" x14ac:dyDescent="0.25">
      <c r="A2424" s="924">
        <f t="shared" si="37"/>
        <v>2424</v>
      </c>
      <c r="B2424" s="924">
        <v>6</v>
      </c>
    </row>
    <row r="2425" spans="1:2" x14ac:dyDescent="0.25">
      <c r="A2425" s="924">
        <f t="shared" si="37"/>
        <v>2425</v>
      </c>
      <c r="B2425" s="924">
        <v>6</v>
      </c>
    </row>
    <row r="2426" spans="1:2" x14ac:dyDescent="0.25">
      <c r="A2426" s="924">
        <f t="shared" si="37"/>
        <v>2426</v>
      </c>
      <c r="B2426" s="924">
        <v>6</v>
      </c>
    </row>
    <row r="2427" spans="1:2" x14ac:dyDescent="0.25">
      <c r="A2427" s="924">
        <f t="shared" si="37"/>
        <v>2427</v>
      </c>
      <c r="B2427" s="924">
        <v>6</v>
      </c>
    </row>
    <row r="2428" spans="1:2" x14ac:dyDescent="0.25">
      <c r="A2428" s="924">
        <f t="shared" si="37"/>
        <v>2428</v>
      </c>
      <c r="B2428" s="924">
        <v>6</v>
      </c>
    </row>
    <row r="2429" spans="1:2" x14ac:dyDescent="0.25">
      <c r="A2429" s="924">
        <f t="shared" si="37"/>
        <v>2429</v>
      </c>
      <c r="B2429" s="924">
        <v>6</v>
      </c>
    </row>
    <row r="2430" spans="1:2" x14ac:dyDescent="0.25">
      <c r="A2430" s="924">
        <f t="shared" si="37"/>
        <v>2430</v>
      </c>
      <c r="B2430" s="924">
        <v>6</v>
      </c>
    </row>
    <row r="2431" spans="1:2" x14ac:dyDescent="0.25">
      <c r="A2431" s="924">
        <f t="shared" si="37"/>
        <v>2431</v>
      </c>
      <c r="B2431" s="924">
        <v>6</v>
      </c>
    </row>
    <row r="2432" spans="1:2" x14ac:dyDescent="0.25">
      <c r="A2432" s="924">
        <f t="shared" si="37"/>
        <v>2432</v>
      </c>
      <c r="B2432" s="924">
        <v>6</v>
      </c>
    </row>
    <row r="2433" spans="1:2" x14ac:dyDescent="0.25">
      <c r="A2433" s="924">
        <f t="shared" si="37"/>
        <v>2433</v>
      </c>
      <c r="B2433" s="924">
        <v>6</v>
      </c>
    </row>
    <row r="2434" spans="1:2" x14ac:dyDescent="0.25">
      <c r="A2434" s="924">
        <f t="shared" si="37"/>
        <v>2434</v>
      </c>
      <c r="B2434" s="924">
        <v>6</v>
      </c>
    </row>
    <row r="2435" spans="1:2" x14ac:dyDescent="0.25">
      <c r="A2435" s="924">
        <f t="shared" ref="A2435:A2498" si="38">A2434+1</f>
        <v>2435</v>
      </c>
      <c r="B2435" s="924">
        <v>6</v>
      </c>
    </row>
    <row r="2436" spans="1:2" x14ac:dyDescent="0.25">
      <c r="A2436" s="924">
        <f t="shared" si="38"/>
        <v>2436</v>
      </c>
      <c r="B2436" s="924">
        <v>6</v>
      </c>
    </row>
    <row r="2437" spans="1:2" x14ac:dyDescent="0.25">
      <c r="A2437" s="924">
        <f t="shared" si="38"/>
        <v>2437</v>
      </c>
      <c r="B2437" s="924">
        <v>6</v>
      </c>
    </row>
    <row r="2438" spans="1:2" x14ac:dyDescent="0.25">
      <c r="A2438" s="924">
        <f t="shared" si="38"/>
        <v>2438</v>
      </c>
      <c r="B2438" s="924">
        <v>6</v>
      </c>
    </row>
    <row r="2439" spans="1:2" x14ac:dyDescent="0.25">
      <c r="A2439" s="924">
        <f t="shared" si="38"/>
        <v>2439</v>
      </c>
      <c r="B2439" s="924">
        <v>6</v>
      </c>
    </row>
    <row r="2440" spans="1:2" x14ac:dyDescent="0.25">
      <c r="A2440" s="924">
        <f t="shared" si="38"/>
        <v>2440</v>
      </c>
      <c r="B2440" s="924">
        <v>6</v>
      </c>
    </row>
    <row r="2441" spans="1:2" x14ac:dyDescent="0.25">
      <c r="A2441" s="924">
        <f t="shared" si="38"/>
        <v>2441</v>
      </c>
      <c r="B2441" s="924">
        <v>6</v>
      </c>
    </row>
    <row r="2442" spans="1:2" x14ac:dyDescent="0.25">
      <c r="A2442" s="924">
        <f t="shared" si="38"/>
        <v>2442</v>
      </c>
      <c r="B2442" s="924">
        <v>6</v>
      </c>
    </row>
    <row r="2443" spans="1:2" x14ac:dyDescent="0.25">
      <c r="A2443" s="924">
        <f t="shared" si="38"/>
        <v>2443</v>
      </c>
      <c r="B2443" s="924">
        <v>6</v>
      </c>
    </row>
    <row r="2444" spans="1:2" x14ac:dyDescent="0.25">
      <c r="A2444" s="924">
        <f t="shared" si="38"/>
        <v>2444</v>
      </c>
      <c r="B2444" s="924">
        <v>6</v>
      </c>
    </row>
    <row r="2445" spans="1:2" x14ac:dyDescent="0.25">
      <c r="A2445" s="924">
        <f t="shared" si="38"/>
        <v>2445</v>
      </c>
      <c r="B2445" s="924">
        <v>6</v>
      </c>
    </row>
    <row r="2446" spans="1:2" x14ac:dyDescent="0.25">
      <c r="A2446" s="924">
        <f t="shared" si="38"/>
        <v>2446</v>
      </c>
      <c r="B2446" s="924">
        <v>6</v>
      </c>
    </row>
    <row r="2447" spans="1:2" x14ac:dyDescent="0.25">
      <c r="A2447" s="924">
        <f t="shared" si="38"/>
        <v>2447</v>
      </c>
      <c r="B2447" s="924">
        <v>6</v>
      </c>
    </row>
    <row r="2448" spans="1:2" x14ac:dyDescent="0.25">
      <c r="A2448" s="924">
        <f t="shared" si="38"/>
        <v>2448</v>
      </c>
      <c r="B2448" s="924">
        <v>6</v>
      </c>
    </row>
    <row r="2449" spans="1:2" x14ac:dyDescent="0.25">
      <c r="A2449" s="924">
        <f t="shared" si="38"/>
        <v>2449</v>
      </c>
      <c r="B2449" s="924">
        <v>6</v>
      </c>
    </row>
    <row r="2450" spans="1:2" x14ac:dyDescent="0.25">
      <c r="A2450" s="924">
        <f t="shared" si="38"/>
        <v>2450</v>
      </c>
      <c r="B2450" s="924">
        <v>6</v>
      </c>
    </row>
    <row r="2451" spans="1:2" x14ac:dyDescent="0.25">
      <c r="A2451" s="924">
        <f t="shared" si="38"/>
        <v>2451</v>
      </c>
      <c r="B2451" s="924">
        <v>6</v>
      </c>
    </row>
    <row r="2452" spans="1:2" x14ac:dyDescent="0.25">
      <c r="A2452" s="924">
        <f t="shared" si="38"/>
        <v>2452</v>
      </c>
      <c r="B2452" s="924">
        <v>6</v>
      </c>
    </row>
    <row r="2453" spans="1:2" x14ac:dyDescent="0.25">
      <c r="A2453" s="924">
        <f t="shared" si="38"/>
        <v>2453</v>
      </c>
      <c r="B2453" s="924">
        <v>6</v>
      </c>
    </row>
    <row r="2454" spans="1:2" x14ac:dyDescent="0.25">
      <c r="A2454" s="924">
        <f t="shared" si="38"/>
        <v>2454</v>
      </c>
      <c r="B2454" s="924">
        <v>6</v>
      </c>
    </row>
    <row r="2455" spans="1:2" x14ac:dyDescent="0.25">
      <c r="A2455" s="924">
        <f t="shared" si="38"/>
        <v>2455</v>
      </c>
      <c r="B2455" s="924">
        <v>6</v>
      </c>
    </row>
    <row r="2456" spans="1:2" x14ac:dyDescent="0.25">
      <c r="A2456" s="924">
        <f t="shared" si="38"/>
        <v>2456</v>
      </c>
      <c r="B2456" s="924">
        <v>6</v>
      </c>
    </row>
    <row r="2457" spans="1:2" x14ac:dyDescent="0.25">
      <c r="A2457" s="924">
        <f t="shared" si="38"/>
        <v>2457</v>
      </c>
      <c r="B2457" s="924">
        <v>6</v>
      </c>
    </row>
    <row r="2458" spans="1:2" x14ac:dyDescent="0.25">
      <c r="A2458" s="924">
        <f t="shared" si="38"/>
        <v>2458</v>
      </c>
      <c r="B2458" s="924">
        <v>6</v>
      </c>
    </row>
    <row r="2459" spans="1:2" x14ac:dyDescent="0.25">
      <c r="A2459" s="924">
        <f t="shared" si="38"/>
        <v>2459</v>
      </c>
      <c r="B2459" s="924">
        <v>6</v>
      </c>
    </row>
    <row r="2460" spans="1:2" x14ac:dyDescent="0.25">
      <c r="A2460" s="924">
        <f t="shared" si="38"/>
        <v>2460</v>
      </c>
      <c r="B2460" s="924">
        <v>6</v>
      </c>
    </row>
    <row r="2461" spans="1:2" x14ac:dyDescent="0.25">
      <c r="A2461" s="924">
        <f t="shared" si="38"/>
        <v>2461</v>
      </c>
      <c r="B2461" s="924">
        <v>6</v>
      </c>
    </row>
    <row r="2462" spans="1:2" x14ac:dyDescent="0.25">
      <c r="A2462" s="924">
        <f t="shared" si="38"/>
        <v>2462</v>
      </c>
      <c r="B2462" s="924">
        <v>6</v>
      </c>
    </row>
    <row r="2463" spans="1:2" x14ac:dyDescent="0.25">
      <c r="A2463" s="924">
        <f t="shared" si="38"/>
        <v>2463</v>
      </c>
      <c r="B2463" s="924">
        <v>6</v>
      </c>
    </row>
    <row r="2464" spans="1:2" x14ac:dyDescent="0.25">
      <c r="A2464" s="924">
        <f t="shared" si="38"/>
        <v>2464</v>
      </c>
      <c r="B2464" s="924">
        <v>6</v>
      </c>
    </row>
    <row r="2465" spans="1:2" x14ac:dyDescent="0.25">
      <c r="A2465" s="924">
        <f t="shared" si="38"/>
        <v>2465</v>
      </c>
      <c r="B2465" s="924">
        <v>6</v>
      </c>
    </row>
    <row r="2466" spans="1:2" x14ac:dyDescent="0.25">
      <c r="A2466" s="924">
        <f t="shared" si="38"/>
        <v>2466</v>
      </c>
      <c r="B2466" s="924">
        <v>6</v>
      </c>
    </row>
    <row r="2467" spans="1:2" x14ac:dyDescent="0.25">
      <c r="A2467" s="924">
        <f t="shared" si="38"/>
        <v>2467</v>
      </c>
      <c r="B2467" s="924">
        <v>6</v>
      </c>
    </row>
    <row r="2468" spans="1:2" x14ac:dyDescent="0.25">
      <c r="A2468" s="924">
        <f t="shared" si="38"/>
        <v>2468</v>
      </c>
      <c r="B2468" s="924">
        <v>6</v>
      </c>
    </row>
    <row r="2469" spans="1:2" x14ac:dyDescent="0.25">
      <c r="A2469" s="924">
        <f t="shared" si="38"/>
        <v>2469</v>
      </c>
      <c r="B2469" s="924">
        <v>6</v>
      </c>
    </row>
    <row r="2470" spans="1:2" x14ac:dyDescent="0.25">
      <c r="A2470" s="924">
        <f t="shared" si="38"/>
        <v>2470</v>
      </c>
      <c r="B2470" s="924">
        <v>6</v>
      </c>
    </row>
    <row r="2471" spans="1:2" x14ac:dyDescent="0.25">
      <c r="A2471" s="924">
        <f t="shared" si="38"/>
        <v>2471</v>
      </c>
      <c r="B2471" s="924">
        <v>6</v>
      </c>
    </row>
    <row r="2472" spans="1:2" x14ac:dyDescent="0.25">
      <c r="A2472" s="924">
        <f t="shared" si="38"/>
        <v>2472</v>
      </c>
      <c r="B2472" s="924">
        <v>6</v>
      </c>
    </row>
    <row r="2473" spans="1:2" x14ac:dyDescent="0.25">
      <c r="A2473" s="924">
        <f t="shared" si="38"/>
        <v>2473</v>
      </c>
      <c r="B2473" s="924">
        <v>6</v>
      </c>
    </row>
    <row r="2474" spans="1:2" x14ac:dyDescent="0.25">
      <c r="A2474" s="924">
        <f t="shared" si="38"/>
        <v>2474</v>
      </c>
      <c r="B2474" s="924">
        <v>6</v>
      </c>
    </row>
    <row r="2475" spans="1:2" x14ac:dyDescent="0.25">
      <c r="A2475" s="924">
        <f t="shared" si="38"/>
        <v>2475</v>
      </c>
      <c r="B2475" s="924">
        <v>6</v>
      </c>
    </row>
    <row r="2476" spans="1:2" x14ac:dyDescent="0.25">
      <c r="A2476" s="924">
        <f t="shared" si="38"/>
        <v>2476</v>
      </c>
      <c r="B2476" s="924">
        <v>6</v>
      </c>
    </row>
    <row r="2477" spans="1:2" x14ac:dyDescent="0.25">
      <c r="A2477" s="924">
        <f t="shared" si="38"/>
        <v>2477</v>
      </c>
      <c r="B2477" s="924">
        <v>6.1</v>
      </c>
    </row>
    <row r="2478" spans="1:2" x14ac:dyDescent="0.25">
      <c r="A2478" s="924">
        <f t="shared" si="38"/>
        <v>2478</v>
      </c>
      <c r="B2478" s="924">
        <v>6.1</v>
      </c>
    </row>
    <row r="2479" spans="1:2" x14ac:dyDescent="0.25">
      <c r="A2479" s="924">
        <f t="shared" si="38"/>
        <v>2479</v>
      </c>
      <c r="B2479" s="924">
        <v>6.1</v>
      </c>
    </row>
    <row r="2480" spans="1:2" x14ac:dyDescent="0.25">
      <c r="A2480" s="924">
        <f t="shared" si="38"/>
        <v>2480</v>
      </c>
      <c r="B2480" s="924">
        <v>6.1</v>
      </c>
    </row>
    <row r="2481" spans="1:2" x14ac:dyDescent="0.25">
      <c r="A2481" s="924">
        <f t="shared" si="38"/>
        <v>2481</v>
      </c>
      <c r="B2481" s="924">
        <v>6.1</v>
      </c>
    </row>
    <row r="2482" spans="1:2" x14ac:dyDescent="0.25">
      <c r="A2482" s="924">
        <f t="shared" si="38"/>
        <v>2482</v>
      </c>
      <c r="B2482" s="924">
        <v>6.1</v>
      </c>
    </row>
    <row r="2483" spans="1:2" x14ac:dyDescent="0.25">
      <c r="A2483" s="924">
        <f t="shared" si="38"/>
        <v>2483</v>
      </c>
      <c r="B2483" s="924">
        <v>6.1</v>
      </c>
    </row>
    <row r="2484" spans="1:2" x14ac:dyDescent="0.25">
      <c r="A2484" s="924">
        <f t="shared" si="38"/>
        <v>2484</v>
      </c>
      <c r="B2484" s="924">
        <v>6.1</v>
      </c>
    </row>
    <row r="2485" spans="1:2" x14ac:dyDescent="0.25">
      <c r="A2485" s="924">
        <f t="shared" si="38"/>
        <v>2485</v>
      </c>
      <c r="B2485" s="924">
        <v>6.1</v>
      </c>
    </row>
    <row r="2486" spans="1:2" x14ac:dyDescent="0.25">
      <c r="A2486" s="924">
        <f t="shared" si="38"/>
        <v>2486</v>
      </c>
      <c r="B2486" s="924">
        <v>6.1</v>
      </c>
    </row>
    <row r="2487" spans="1:2" x14ac:dyDescent="0.25">
      <c r="A2487" s="924">
        <f t="shared" si="38"/>
        <v>2487</v>
      </c>
      <c r="B2487" s="924">
        <v>6.1</v>
      </c>
    </row>
    <row r="2488" spans="1:2" x14ac:dyDescent="0.25">
      <c r="A2488" s="924">
        <f t="shared" si="38"/>
        <v>2488</v>
      </c>
      <c r="B2488" s="924">
        <v>6.1</v>
      </c>
    </row>
    <row r="2489" spans="1:2" x14ac:dyDescent="0.25">
      <c r="A2489" s="924">
        <f t="shared" si="38"/>
        <v>2489</v>
      </c>
      <c r="B2489" s="924">
        <v>6.1</v>
      </c>
    </row>
    <row r="2490" spans="1:2" x14ac:dyDescent="0.25">
      <c r="A2490" s="924">
        <f t="shared" si="38"/>
        <v>2490</v>
      </c>
      <c r="B2490" s="924">
        <v>6.1</v>
      </c>
    </row>
    <row r="2491" spans="1:2" x14ac:dyDescent="0.25">
      <c r="A2491" s="924">
        <f t="shared" si="38"/>
        <v>2491</v>
      </c>
      <c r="B2491" s="924">
        <v>6.1</v>
      </c>
    </row>
    <row r="2492" spans="1:2" x14ac:dyDescent="0.25">
      <c r="A2492" s="924">
        <f t="shared" si="38"/>
        <v>2492</v>
      </c>
      <c r="B2492" s="924">
        <v>6.1</v>
      </c>
    </row>
    <row r="2493" spans="1:2" x14ac:dyDescent="0.25">
      <c r="A2493" s="924">
        <f t="shared" si="38"/>
        <v>2493</v>
      </c>
      <c r="B2493" s="924">
        <v>6.1</v>
      </c>
    </row>
    <row r="2494" spans="1:2" x14ac:dyDescent="0.25">
      <c r="A2494" s="924">
        <f t="shared" si="38"/>
        <v>2494</v>
      </c>
      <c r="B2494" s="924">
        <v>6.1</v>
      </c>
    </row>
    <row r="2495" spans="1:2" x14ac:dyDescent="0.25">
      <c r="A2495" s="924">
        <f t="shared" si="38"/>
        <v>2495</v>
      </c>
      <c r="B2495" s="924">
        <v>6.1</v>
      </c>
    </row>
    <row r="2496" spans="1:2" x14ac:dyDescent="0.25">
      <c r="A2496" s="924">
        <f t="shared" si="38"/>
        <v>2496</v>
      </c>
      <c r="B2496" s="924">
        <v>6.1</v>
      </c>
    </row>
    <row r="2497" spans="1:2" x14ac:dyDescent="0.25">
      <c r="A2497" s="924">
        <f t="shared" si="38"/>
        <v>2497</v>
      </c>
      <c r="B2497" s="924">
        <v>6.1</v>
      </c>
    </row>
    <row r="2498" spans="1:2" x14ac:dyDescent="0.25">
      <c r="A2498" s="924">
        <f t="shared" si="38"/>
        <v>2498</v>
      </c>
      <c r="B2498" s="924">
        <v>6.1</v>
      </c>
    </row>
    <row r="2499" spans="1:2" x14ac:dyDescent="0.25">
      <c r="A2499" s="924">
        <f t="shared" ref="A2499:A2562" si="39">A2498+1</f>
        <v>2499</v>
      </c>
      <c r="B2499" s="924">
        <v>6.1</v>
      </c>
    </row>
    <row r="2500" spans="1:2" x14ac:dyDescent="0.25">
      <c r="A2500" s="924">
        <f t="shared" si="39"/>
        <v>2500</v>
      </c>
      <c r="B2500" s="924">
        <v>6.1</v>
      </c>
    </row>
    <row r="2501" spans="1:2" x14ac:dyDescent="0.25">
      <c r="A2501" s="924">
        <f t="shared" si="39"/>
        <v>2501</v>
      </c>
      <c r="B2501" s="924">
        <v>6.1</v>
      </c>
    </row>
    <row r="2502" spans="1:2" x14ac:dyDescent="0.25">
      <c r="A2502" s="924">
        <f t="shared" si="39"/>
        <v>2502</v>
      </c>
      <c r="B2502" s="924">
        <v>6.1</v>
      </c>
    </row>
    <row r="2503" spans="1:2" x14ac:dyDescent="0.25">
      <c r="A2503" s="924">
        <f t="shared" si="39"/>
        <v>2503</v>
      </c>
      <c r="B2503" s="924">
        <v>6.1</v>
      </c>
    </row>
    <row r="2504" spans="1:2" x14ac:dyDescent="0.25">
      <c r="A2504" s="924">
        <f t="shared" si="39"/>
        <v>2504</v>
      </c>
      <c r="B2504" s="924">
        <v>6.1</v>
      </c>
    </row>
    <row r="2505" spans="1:2" x14ac:dyDescent="0.25">
      <c r="A2505" s="924">
        <f t="shared" si="39"/>
        <v>2505</v>
      </c>
      <c r="B2505" s="924">
        <v>6.1</v>
      </c>
    </row>
    <row r="2506" spans="1:2" x14ac:dyDescent="0.25">
      <c r="A2506" s="924">
        <f t="shared" si="39"/>
        <v>2506</v>
      </c>
      <c r="B2506" s="924">
        <v>6.1</v>
      </c>
    </row>
    <row r="2507" spans="1:2" x14ac:dyDescent="0.25">
      <c r="A2507" s="924">
        <f t="shared" si="39"/>
        <v>2507</v>
      </c>
      <c r="B2507" s="924">
        <v>6.1</v>
      </c>
    </row>
    <row r="2508" spans="1:2" x14ac:dyDescent="0.25">
      <c r="A2508" s="924">
        <f t="shared" si="39"/>
        <v>2508</v>
      </c>
      <c r="B2508" s="924">
        <v>6.1</v>
      </c>
    </row>
    <row r="2509" spans="1:2" x14ac:dyDescent="0.25">
      <c r="A2509" s="924">
        <f t="shared" si="39"/>
        <v>2509</v>
      </c>
      <c r="B2509" s="924">
        <v>6.1</v>
      </c>
    </row>
    <row r="2510" spans="1:2" x14ac:dyDescent="0.25">
      <c r="A2510" s="924">
        <f t="shared" si="39"/>
        <v>2510</v>
      </c>
      <c r="B2510" s="924">
        <v>6.1</v>
      </c>
    </row>
    <row r="2511" spans="1:2" x14ac:dyDescent="0.25">
      <c r="A2511" s="924">
        <f t="shared" si="39"/>
        <v>2511</v>
      </c>
      <c r="B2511" s="924">
        <v>6.1</v>
      </c>
    </row>
    <row r="2512" spans="1:2" x14ac:dyDescent="0.25">
      <c r="A2512" s="924">
        <f t="shared" si="39"/>
        <v>2512</v>
      </c>
      <c r="B2512" s="924">
        <v>6.1</v>
      </c>
    </row>
    <row r="2513" spans="1:2" x14ac:dyDescent="0.25">
      <c r="A2513" s="924">
        <f t="shared" si="39"/>
        <v>2513</v>
      </c>
      <c r="B2513" s="924">
        <v>6.1</v>
      </c>
    </row>
    <row r="2514" spans="1:2" x14ac:dyDescent="0.25">
      <c r="A2514" s="924">
        <f t="shared" si="39"/>
        <v>2514</v>
      </c>
      <c r="B2514" s="924">
        <v>6.1</v>
      </c>
    </row>
    <row r="2515" spans="1:2" x14ac:dyDescent="0.25">
      <c r="A2515" s="924">
        <f t="shared" si="39"/>
        <v>2515</v>
      </c>
      <c r="B2515" s="924">
        <v>6.1</v>
      </c>
    </row>
    <row r="2516" spans="1:2" x14ac:dyDescent="0.25">
      <c r="A2516" s="924">
        <f t="shared" si="39"/>
        <v>2516</v>
      </c>
      <c r="B2516" s="924">
        <v>6.1</v>
      </c>
    </row>
    <row r="2517" spans="1:2" x14ac:dyDescent="0.25">
      <c r="A2517" s="924">
        <f t="shared" si="39"/>
        <v>2517</v>
      </c>
      <c r="B2517" s="924">
        <v>6.1</v>
      </c>
    </row>
    <row r="2518" spans="1:2" x14ac:dyDescent="0.25">
      <c r="A2518" s="924">
        <f t="shared" si="39"/>
        <v>2518</v>
      </c>
      <c r="B2518" s="924">
        <v>6.1</v>
      </c>
    </row>
    <row r="2519" spans="1:2" x14ac:dyDescent="0.25">
      <c r="A2519" s="924">
        <f t="shared" si="39"/>
        <v>2519</v>
      </c>
      <c r="B2519" s="924">
        <v>6.1</v>
      </c>
    </row>
    <row r="2520" spans="1:2" x14ac:dyDescent="0.25">
      <c r="A2520" s="924">
        <f t="shared" si="39"/>
        <v>2520</v>
      </c>
      <c r="B2520" s="924">
        <v>6.1</v>
      </c>
    </row>
    <row r="2521" spans="1:2" x14ac:dyDescent="0.25">
      <c r="A2521" s="924">
        <f t="shared" si="39"/>
        <v>2521</v>
      </c>
      <c r="B2521" s="924">
        <v>6.1</v>
      </c>
    </row>
    <row r="2522" spans="1:2" x14ac:dyDescent="0.25">
      <c r="A2522" s="924">
        <f t="shared" si="39"/>
        <v>2522</v>
      </c>
      <c r="B2522" s="924">
        <v>6.1</v>
      </c>
    </row>
    <row r="2523" spans="1:2" x14ac:dyDescent="0.25">
      <c r="A2523" s="924">
        <f t="shared" si="39"/>
        <v>2523</v>
      </c>
      <c r="B2523" s="924">
        <v>6.1</v>
      </c>
    </row>
    <row r="2524" spans="1:2" x14ac:dyDescent="0.25">
      <c r="A2524" s="924">
        <f t="shared" si="39"/>
        <v>2524</v>
      </c>
      <c r="B2524" s="924">
        <v>6.1</v>
      </c>
    </row>
    <row r="2525" spans="1:2" x14ac:dyDescent="0.25">
      <c r="A2525" s="924">
        <f t="shared" si="39"/>
        <v>2525</v>
      </c>
      <c r="B2525" s="924">
        <v>6.1</v>
      </c>
    </row>
    <row r="2526" spans="1:2" x14ac:dyDescent="0.25">
      <c r="A2526" s="924">
        <f t="shared" si="39"/>
        <v>2526</v>
      </c>
      <c r="B2526" s="924">
        <v>6.1</v>
      </c>
    </row>
    <row r="2527" spans="1:2" x14ac:dyDescent="0.25">
      <c r="A2527" s="924">
        <f t="shared" si="39"/>
        <v>2527</v>
      </c>
      <c r="B2527" s="924">
        <v>6.2</v>
      </c>
    </row>
    <row r="2528" spans="1:2" x14ac:dyDescent="0.25">
      <c r="A2528" s="924">
        <f t="shared" si="39"/>
        <v>2528</v>
      </c>
      <c r="B2528" s="924">
        <v>6.2</v>
      </c>
    </row>
    <row r="2529" spans="1:2" x14ac:dyDescent="0.25">
      <c r="A2529" s="924">
        <f t="shared" si="39"/>
        <v>2529</v>
      </c>
      <c r="B2529" s="924">
        <v>6.2</v>
      </c>
    </row>
    <row r="2530" spans="1:2" x14ac:dyDescent="0.25">
      <c r="A2530" s="924">
        <f t="shared" si="39"/>
        <v>2530</v>
      </c>
      <c r="B2530" s="924">
        <v>6.2</v>
      </c>
    </row>
    <row r="2531" spans="1:2" x14ac:dyDescent="0.25">
      <c r="A2531" s="924">
        <f t="shared" si="39"/>
        <v>2531</v>
      </c>
      <c r="B2531" s="924">
        <v>6.2</v>
      </c>
    </row>
    <row r="2532" spans="1:2" x14ac:dyDescent="0.25">
      <c r="A2532" s="924">
        <f t="shared" si="39"/>
        <v>2532</v>
      </c>
      <c r="B2532" s="924">
        <v>6.2</v>
      </c>
    </row>
    <row r="2533" spans="1:2" x14ac:dyDescent="0.25">
      <c r="A2533" s="924">
        <f t="shared" si="39"/>
        <v>2533</v>
      </c>
      <c r="B2533" s="924">
        <v>6.2</v>
      </c>
    </row>
    <row r="2534" spans="1:2" x14ac:dyDescent="0.25">
      <c r="A2534" s="924">
        <f t="shared" si="39"/>
        <v>2534</v>
      </c>
      <c r="B2534" s="924">
        <v>6.2</v>
      </c>
    </row>
    <row r="2535" spans="1:2" x14ac:dyDescent="0.25">
      <c r="A2535" s="924">
        <f t="shared" si="39"/>
        <v>2535</v>
      </c>
      <c r="B2535" s="924">
        <v>6.2</v>
      </c>
    </row>
    <row r="2536" spans="1:2" x14ac:dyDescent="0.25">
      <c r="A2536" s="924">
        <f t="shared" si="39"/>
        <v>2536</v>
      </c>
      <c r="B2536" s="924">
        <v>6.2</v>
      </c>
    </row>
    <row r="2537" spans="1:2" x14ac:dyDescent="0.25">
      <c r="A2537" s="924">
        <f t="shared" si="39"/>
        <v>2537</v>
      </c>
      <c r="B2537" s="924">
        <v>6.2</v>
      </c>
    </row>
    <row r="2538" spans="1:2" x14ac:dyDescent="0.25">
      <c r="A2538" s="924">
        <f t="shared" si="39"/>
        <v>2538</v>
      </c>
      <c r="B2538" s="924">
        <v>6.2</v>
      </c>
    </row>
    <row r="2539" spans="1:2" x14ac:dyDescent="0.25">
      <c r="A2539" s="924">
        <f t="shared" si="39"/>
        <v>2539</v>
      </c>
      <c r="B2539" s="924">
        <v>6.2</v>
      </c>
    </row>
    <row r="2540" spans="1:2" x14ac:dyDescent="0.25">
      <c r="A2540" s="924">
        <f t="shared" si="39"/>
        <v>2540</v>
      </c>
      <c r="B2540" s="924">
        <v>6.2</v>
      </c>
    </row>
    <row r="2541" spans="1:2" x14ac:dyDescent="0.25">
      <c r="A2541" s="924">
        <f t="shared" si="39"/>
        <v>2541</v>
      </c>
      <c r="B2541" s="924">
        <v>6.2</v>
      </c>
    </row>
    <row r="2542" spans="1:2" x14ac:dyDescent="0.25">
      <c r="A2542" s="924">
        <f t="shared" si="39"/>
        <v>2542</v>
      </c>
      <c r="B2542" s="924">
        <v>6.2</v>
      </c>
    </row>
    <row r="2543" spans="1:2" x14ac:dyDescent="0.25">
      <c r="A2543" s="924">
        <f t="shared" si="39"/>
        <v>2543</v>
      </c>
      <c r="B2543" s="924">
        <v>6.2</v>
      </c>
    </row>
    <row r="2544" spans="1:2" x14ac:dyDescent="0.25">
      <c r="A2544" s="924">
        <f t="shared" si="39"/>
        <v>2544</v>
      </c>
      <c r="B2544" s="924">
        <v>6.2</v>
      </c>
    </row>
    <row r="2545" spans="1:2" x14ac:dyDescent="0.25">
      <c r="A2545" s="924">
        <f t="shared" si="39"/>
        <v>2545</v>
      </c>
      <c r="B2545" s="924">
        <v>6.2</v>
      </c>
    </row>
    <row r="2546" spans="1:2" x14ac:dyDescent="0.25">
      <c r="A2546" s="924">
        <f t="shared" si="39"/>
        <v>2546</v>
      </c>
      <c r="B2546" s="924">
        <v>6.2</v>
      </c>
    </row>
    <row r="2547" spans="1:2" x14ac:dyDescent="0.25">
      <c r="A2547" s="924">
        <f t="shared" si="39"/>
        <v>2547</v>
      </c>
      <c r="B2547" s="924">
        <v>6.2</v>
      </c>
    </row>
    <row r="2548" spans="1:2" x14ac:dyDescent="0.25">
      <c r="A2548" s="924">
        <f t="shared" si="39"/>
        <v>2548</v>
      </c>
      <c r="B2548" s="924">
        <v>6.2</v>
      </c>
    </row>
    <row r="2549" spans="1:2" x14ac:dyDescent="0.25">
      <c r="A2549" s="924">
        <f t="shared" si="39"/>
        <v>2549</v>
      </c>
      <c r="B2549" s="924">
        <v>6.2</v>
      </c>
    </row>
    <row r="2550" spans="1:2" x14ac:dyDescent="0.25">
      <c r="A2550" s="924">
        <f t="shared" si="39"/>
        <v>2550</v>
      </c>
      <c r="B2550" s="924">
        <v>6.2</v>
      </c>
    </row>
    <row r="2551" spans="1:2" x14ac:dyDescent="0.25">
      <c r="A2551" s="924">
        <f t="shared" si="39"/>
        <v>2551</v>
      </c>
      <c r="B2551" s="924">
        <v>6.2</v>
      </c>
    </row>
    <row r="2552" spans="1:2" x14ac:dyDescent="0.25">
      <c r="A2552" s="924">
        <f t="shared" si="39"/>
        <v>2552</v>
      </c>
      <c r="B2552" s="924">
        <v>6.2</v>
      </c>
    </row>
    <row r="2553" spans="1:2" x14ac:dyDescent="0.25">
      <c r="A2553" s="924">
        <f t="shared" si="39"/>
        <v>2553</v>
      </c>
      <c r="B2553" s="924">
        <v>6.2</v>
      </c>
    </row>
    <row r="2554" spans="1:2" x14ac:dyDescent="0.25">
      <c r="A2554" s="924">
        <f t="shared" si="39"/>
        <v>2554</v>
      </c>
      <c r="B2554" s="924">
        <v>6.2</v>
      </c>
    </row>
    <row r="2555" spans="1:2" x14ac:dyDescent="0.25">
      <c r="A2555" s="924">
        <f t="shared" si="39"/>
        <v>2555</v>
      </c>
      <c r="B2555" s="924">
        <v>6.2</v>
      </c>
    </row>
    <row r="2556" spans="1:2" x14ac:dyDescent="0.25">
      <c r="A2556" s="924">
        <f t="shared" si="39"/>
        <v>2556</v>
      </c>
      <c r="B2556" s="924">
        <v>6.2</v>
      </c>
    </row>
    <row r="2557" spans="1:2" x14ac:dyDescent="0.25">
      <c r="A2557" s="924">
        <f t="shared" si="39"/>
        <v>2557</v>
      </c>
      <c r="B2557" s="924">
        <v>6.2</v>
      </c>
    </row>
    <row r="2558" spans="1:2" x14ac:dyDescent="0.25">
      <c r="A2558" s="924">
        <f t="shared" si="39"/>
        <v>2558</v>
      </c>
      <c r="B2558" s="924">
        <v>6.2</v>
      </c>
    </row>
    <row r="2559" spans="1:2" x14ac:dyDescent="0.25">
      <c r="A2559" s="924">
        <f t="shared" si="39"/>
        <v>2559</v>
      </c>
      <c r="B2559" s="924">
        <v>6.2</v>
      </c>
    </row>
    <row r="2560" spans="1:2" x14ac:dyDescent="0.25">
      <c r="A2560" s="924">
        <f t="shared" si="39"/>
        <v>2560</v>
      </c>
      <c r="B2560" s="924">
        <v>6.2</v>
      </c>
    </row>
    <row r="2561" spans="1:2" x14ac:dyDescent="0.25">
      <c r="A2561" s="924">
        <f t="shared" si="39"/>
        <v>2561</v>
      </c>
      <c r="B2561" s="924">
        <v>6.2</v>
      </c>
    </row>
    <row r="2562" spans="1:2" x14ac:dyDescent="0.25">
      <c r="A2562" s="924">
        <f t="shared" si="39"/>
        <v>2562</v>
      </c>
      <c r="B2562" s="924">
        <v>6.2</v>
      </c>
    </row>
    <row r="2563" spans="1:2" x14ac:dyDescent="0.25">
      <c r="A2563" s="924">
        <f t="shared" ref="A2563:A2626" si="40">A2562+1</f>
        <v>2563</v>
      </c>
      <c r="B2563" s="924">
        <v>6.2</v>
      </c>
    </row>
    <row r="2564" spans="1:2" x14ac:dyDescent="0.25">
      <c r="A2564" s="924">
        <f t="shared" si="40"/>
        <v>2564</v>
      </c>
      <c r="B2564" s="924">
        <v>6.2</v>
      </c>
    </row>
    <row r="2565" spans="1:2" x14ac:dyDescent="0.25">
      <c r="A2565" s="924">
        <f t="shared" si="40"/>
        <v>2565</v>
      </c>
      <c r="B2565" s="924">
        <v>6.2</v>
      </c>
    </row>
    <row r="2566" spans="1:2" x14ac:dyDescent="0.25">
      <c r="A2566" s="924">
        <f t="shared" si="40"/>
        <v>2566</v>
      </c>
      <c r="B2566" s="924">
        <v>6.2</v>
      </c>
    </row>
    <row r="2567" spans="1:2" x14ac:dyDescent="0.25">
      <c r="A2567" s="924">
        <f t="shared" si="40"/>
        <v>2567</v>
      </c>
      <c r="B2567" s="924">
        <v>6.2</v>
      </c>
    </row>
    <row r="2568" spans="1:2" x14ac:dyDescent="0.25">
      <c r="A2568" s="924">
        <f t="shared" si="40"/>
        <v>2568</v>
      </c>
      <c r="B2568" s="924">
        <v>6.2</v>
      </c>
    </row>
    <row r="2569" spans="1:2" x14ac:dyDescent="0.25">
      <c r="A2569" s="924">
        <f t="shared" si="40"/>
        <v>2569</v>
      </c>
      <c r="B2569" s="924">
        <v>6.2</v>
      </c>
    </row>
    <row r="2570" spans="1:2" x14ac:dyDescent="0.25">
      <c r="A2570" s="924">
        <f t="shared" si="40"/>
        <v>2570</v>
      </c>
      <c r="B2570" s="924">
        <v>6.3</v>
      </c>
    </row>
    <row r="2571" spans="1:2" x14ac:dyDescent="0.25">
      <c r="A2571" s="924">
        <f t="shared" si="40"/>
        <v>2571</v>
      </c>
      <c r="B2571" s="924">
        <v>6.3</v>
      </c>
    </row>
    <row r="2572" spans="1:2" x14ac:dyDescent="0.25">
      <c r="A2572" s="924">
        <f t="shared" si="40"/>
        <v>2572</v>
      </c>
      <c r="B2572" s="924">
        <v>6.3</v>
      </c>
    </row>
    <row r="2573" spans="1:2" x14ac:dyDescent="0.25">
      <c r="A2573" s="924">
        <f t="shared" si="40"/>
        <v>2573</v>
      </c>
      <c r="B2573" s="924">
        <v>6.3</v>
      </c>
    </row>
    <row r="2574" spans="1:2" x14ac:dyDescent="0.25">
      <c r="A2574" s="924">
        <f t="shared" si="40"/>
        <v>2574</v>
      </c>
      <c r="B2574" s="924">
        <v>6.3</v>
      </c>
    </row>
    <row r="2575" spans="1:2" x14ac:dyDescent="0.25">
      <c r="A2575" s="924">
        <f t="shared" si="40"/>
        <v>2575</v>
      </c>
      <c r="B2575" s="924">
        <v>6.3</v>
      </c>
    </row>
    <row r="2576" spans="1:2" x14ac:dyDescent="0.25">
      <c r="A2576" s="924">
        <f t="shared" si="40"/>
        <v>2576</v>
      </c>
      <c r="B2576" s="924">
        <v>6.3</v>
      </c>
    </row>
    <row r="2577" spans="1:2" x14ac:dyDescent="0.25">
      <c r="A2577" s="924">
        <f t="shared" si="40"/>
        <v>2577</v>
      </c>
      <c r="B2577" s="924">
        <v>6.3</v>
      </c>
    </row>
    <row r="2578" spans="1:2" x14ac:dyDescent="0.25">
      <c r="A2578" s="924">
        <f t="shared" si="40"/>
        <v>2578</v>
      </c>
      <c r="B2578" s="924">
        <v>6.3</v>
      </c>
    </row>
    <row r="2579" spans="1:2" x14ac:dyDescent="0.25">
      <c r="A2579" s="924">
        <f t="shared" si="40"/>
        <v>2579</v>
      </c>
      <c r="B2579" s="924">
        <v>6.3</v>
      </c>
    </row>
    <row r="2580" spans="1:2" x14ac:dyDescent="0.25">
      <c r="A2580" s="924">
        <f t="shared" si="40"/>
        <v>2580</v>
      </c>
      <c r="B2580" s="924">
        <v>6.3</v>
      </c>
    </row>
    <row r="2581" spans="1:2" x14ac:dyDescent="0.25">
      <c r="A2581" s="924">
        <f t="shared" si="40"/>
        <v>2581</v>
      </c>
      <c r="B2581" s="924">
        <v>6.3</v>
      </c>
    </row>
    <row r="2582" spans="1:2" x14ac:dyDescent="0.25">
      <c r="A2582" s="924">
        <f t="shared" si="40"/>
        <v>2582</v>
      </c>
      <c r="B2582" s="924">
        <v>6.3</v>
      </c>
    </row>
    <row r="2583" spans="1:2" x14ac:dyDescent="0.25">
      <c r="A2583" s="924">
        <f t="shared" si="40"/>
        <v>2583</v>
      </c>
      <c r="B2583" s="924">
        <v>6.3</v>
      </c>
    </row>
    <row r="2584" spans="1:2" x14ac:dyDescent="0.25">
      <c r="A2584" s="924">
        <f t="shared" si="40"/>
        <v>2584</v>
      </c>
      <c r="B2584" s="924">
        <v>6.3</v>
      </c>
    </row>
    <row r="2585" spans="1:2" x14ac:dyDescent="0.25">
      <c r="A2585" s="924">
        <f t="shared" si="40"/>
        <v>2585</v>
      </c>
      <c r="B2585" s="924">
        <v>6.3</v>
      </c>
    </row>
    <row r="2586" spans="1:2" x14ac:dyDescent="0.25">
      <c r="A2586" s="924">
        <f t="shared" si="40"/>
        <v>2586</v>
      </c>
      <c r="B2586" s="924">
        <v>6.3</v>
      </c>
    </row>
    <row r="2587" spans="1:2" x14ac:dyDescent="0.25">
      <c r="A2587" s="924">
        <f t="shared" si="40"/>
        <v>2587</v>
      </c>
      <c r="B2587" s="924">
        <v>6.3</v>
      </c>
    </row>
    <row r="2588" spans="1:2" x14ac:dyDescent="0.25">
      <c r="A2588" s="924">
        <f t="shared" si="40"/>
        <v>2588</v>
      </c>
      <c r="B2588" s="924">
        <v>6.3</v>
      </c>
    </row>
    <row r="2589" spans="1:2" x14ac:dyDescent="0.25">
      <c r="A2589" s="924">
        <f t="shared" si="40"/>
        <v>2589</v>
      </c>
      <c r="B2589" s="924">
        <v>6.3</v>
      </c>
    </row>
    <row r="2590" spans="1:2" x14ac:dyDescent="0.25">
      <c r="A2590" s="924">
        <f t="shared" si="40"/>
        <v>2590</v>
      </c>
      <c r="B2590" s="924">
        <v>6.3</v>
      </c>
    </row>
    <row r="2591" spans="1:2" x14ac:dyDescent="0.25">
      <c r="A2591" s="924">
        <f t="shared" si="40"/>
        <v>2591</v>
      </c>
      <c r="B2591" s="924">
        <v>6.3</v>
      </c>
    </row>
    <row r="2592" spans="1:2" x14ac:dyDescent="0.25">
      <c r="A2592" s="924">
        <f t="shared" si="40"/>
        <v>2592</v>
      </c>
      <c r="B2592" s="924">
        <v>6.3</v>
      </c>
    </row>
    <row r="2593" spans="1:2" x14ac:dyDescent="0.25">
      <c r="A2593" s="924">
        <f t="shared" si="40"/>
        <v>2593</v>
      </c>
      <c r="B2593" s="924">
        <v>6.3</v>
      </c>
    </row>
    <row r="2594" spans="1:2" x14ac:dyDescent="0.25">
      <c r="A2594" s="924">
        <f t="shared" si="40"/>
        <v>2594</v>
      </c>
      <c r="B2594" s="924">
        <v>6.3</v>
      </c>
    </row>
    <row r="2595" spans="1:2" x14ac:dyDescent="0.25">
      <c r="A2595" s="924">
        <f t="shared" si="40"/>
        <v>2595</v>
      </c>
      <c r="B2595" s="924">
        <v>6.3</v>
      </c>
    </row>
    <row r="2596" spans="1:2" x14ac:dyDescent="0.25">
      <c r="A2596" s="924">
        <f t="shared" si="40"/>
        <v>2596</v>
      </c>
      <c r="B2596" s="924">
        <v>6.3</v>
      </c>
    </row>
    <row r="2597" spans="1:2" x14ac:dyDescent="0.25">
      <c r="A2597" s="924">
        <f t="shared" si="40"/>
        <v>2597</v>
      </c>
      <c r="B2597" s="924">
        <v>6.3</v>
      </c>
    </row>
    <row r="2598" spans="1:2" x14ac:dyDescent="0.25">
      <c r="A2598" s="924">
        <f t="shared" si="40"/>
        <v>2598</v>
      </c>
      <c r="B2598" s="924">
        <v>6.3</v>
      </c>
    </row>
    <row r="2599" spans="1:2" x14ac:dyDescent="0.25">
      <c r="A2599" s="924">
        <f t="shared" si="40"/>
        <v>2599</v>
      </c>
      <c r="B2599" s="924">
        <v>6.3</v>
      </c>
    </row>
    <row r="2600" spans="1:2" x14ac:dyDescent="0.25">
      <c r="A2600" s="924">
        <f t="shared" si="40"/>
        <v>2600</v>
      </c>
      <c r="B2600" s="924">
        <v>6.3</v>
      </c>
    </row>
    <row r="2601" spans="1:2" x14ac:dyDescent="0.25">
      <c r="A2601" s="924">
        <f t="shared" si="40"/>
        <v>2601</v>
      </c>
      <c r="B2601" s="924">
        <v>6.3</v>
      </c>
    </row>
    <row r="2602" spans="1:2" x14ac:dyDescent="0.25">
      <c r="A2602" s="924">
        <f t="shared" si="40"/>
        <v>2602</v>
      </c>
      <c r="B2602" s="924">
        <v>6.3</v>
      </c>
    </row>
    <row r="2603" spans="1:2" x14ac:dyDescent="0.25">
      <c r="A2603" s="924">
        <f t="shared" si="40"/>
        <v>2603</v>
      </c>
      <c r="B2603" s="924">
        <v>6.3</v>
      </c>
    </row>
    <row r="2604" spans="1:2" x14ac:dyDescent="0.25">
      <c r="A2604" s="924">
        <f t="shared" si="40"/>
        <v>2604</v>
      </c>
      <c r="B2604" s="924">
        <v>6.4</v>
      </c>
    </row>
    <row r="2605" spans="1:2" x14ac:dyDescent="0.25">
      <c r="A2605" s="924">
        <f t="shared" si="40"/>
        <v>2605</v>
      </c>
      <c r="B2605" s="924">
        <v>6.4</v>
      </c>
    </row>
    <row r="2606" spans="1:2" x14ac:dyDescent="0.25">
      <c r="A2606" s="924">
        <f t="shared" si="40"/>
        <v>2606</v>
      </c>
      <c r="B2606" s="924">
        <v>6.4</v>
      </c>
    </row>
    <row r="2607" spans="1:2" x14ac:dyDescent="0.25">
      <c r="A2607" s="924">
        <f t="shared" si="40"/>
        <v>2607</v>
      </c>
      <c r="B2607" s="924">
        <v>6.4</v>
      </c>
    </row>
    <row r="2608" spans="1:2" x14ac:dyDescent="0.25">
      <c r="A2608" s="924">
        <f t="shared" si="40"/>
        <v>2608</v>
      </c>
      <c r="B2608" s="924">
        <v>6.4</v>
      </c>
    </row>
    <row r="2609" spans="1:2" x14ac:dyDescent="0.25">
      <c r="A2609" s="924">
        <f t="shared" si="40"/>
        <v>2609</v>
      </c>
      <c r="B2609" s="924">
        <v>6.4</v>
      </c>
    </row>
    <row r="2610" spans="1:2" x14ac:dyDescent="0.25">
      <c r="A2610" s="924">
        <f t="shared" si="40"/>
        <v>2610</v>
      </c>
      <c r="B2610" s="924">
        <v>6.4</v>
      </c>
    </row>
    <row r="2611" spans="1:2" x14ac:dyDescent="0.25">
      <c r="A2611" s="924">
        <f t="shared" si="40"/>
        <v>2611</v>
      </c>
      <c r="B2611" s="924">
        <v>6.4</v>
      </c>
    </row>
    <row r="2612" spans="1:2" x14ac:dyDescent="0.25">
      <c r="A2612" s="924">
        <f t="shared" si="40"/>
        <v>2612</v>
      </c>
      <c r="B2612" s="924">
        <v>6.4</v>
      </c>
    </row>
    <row r="2613" spans="1:2" x14ac:dyDescent="0.25">
      <c r="A2613" s="924">
        <f t="shared" si="40"/>
        <v>2613</v>
      </c>
      <c r="B2613" s="924">
        <v>6.4</v>
      </c>
    </row>
    <row r="2614" spans="1:2" x14ac:dyDescent="0.25">
      <c r="A2614" s="924">
        <f t="shared" si="40"/>
        <v>2614</v>
      </c>
      <c r="B2614" s="924">
        <v>6.4</v>
      </c>
    </row>
    <row r="2615" spans="1:2" x14ac:dyDescent="0.25">
      <c r="A2615" s="924">
        <f t="shared" si="40"/>
        <v>2615</v>
      </c>
      <c r="B2615" s="924">
        <v>6.4</v>
      </c>
    </row>
    <row r="2616" spans="1:2" x14ac:dyDescent="0.25">
      <c r="A2616" s="924">
        <f t="shared" si="40"/>
        <v>2616</v>
      </c>
      <c r="B2616" s="924">
        <v>6.4</v>
      </c>
    </row>
    <row r="2617" spans="1:2" x14ac:dyDescent="0.25">
      <c r="A2617" s="924">
        <f t="shared" si="40"/>
        <v>2617</v>
      </c>
      <c r="B2617" s="924">
        <v>6.4</v>
      </c>
    </row>
    <row r="2618" spans="1:2" x14ac:dyDescent="0.25">
      <c r="A2618" s="924">
        <f t="shared" si="40"/>
        <v>2618</v>
      </c>
      <c r="B2618" s="924">
        <v>6.4</v>
      </c>
    </row>
    <row r="2619" spans="1:2" x14ac:dyDescent="0.25">
      <c r="A2619" s="924">
        <f t="shared" si="40"/>
        <v>2619</v>
      </c>
      <c r="B2619" s="924">
        <v>6.4</v>
      </c>
    </row>
    <row r="2620" spans="1:2" x14ac:dyDescent="0.25">
      <c r="A2620" s="924">
        <f t="shared" si="40"/>
        <v>2620</v>
      </c>
      <c r="B2620" s="924">
        <v>6.4</v>
      </c>
    </row>
    <row r="2621" spans="1:2" x14ac:dyDescent="0.25">
      <c r="A2621" s="924">
        <f t="shared" si="40"/>
        <v>2621</v>
      </c>
      <c r="B2621" s="924">
        <v>6.4</v>
      </c>
    </row>
    <row r="2622" spans="1:2" x14ac:dyDescent="0.25">
      <c r="A2622" s="924">
        <f t="shared" si="40"/>
        <v>2622</v>
      </c>
      <c r="B2622" s="924">
        <v>6.4</v>
      </c>
    </row>
    <row r="2623" spans="1:2" x14ac:dyDescent="0.25">
      <c r="A2623" s="924">
        <f t="shared" si="40"/>
        <v>2623</v>
      </c>
      <c r="B2623" s="924">
        <v>6.4</v>
      </c>
    </row>
    <row r="2624" spans="1:2" x14ac:dyDescent="0.25">
      <c r="A2624" s="924">
        <f t="shared" si="40"/>
        <v>2624</v>
      </c>
      <c r="B2624" s="924">
        <v>6.4</v>
      </c>
    </row>
    <row r="2625" spans="1:2" x14ac:dyDescent="0.25">
      <c r="A2625" s="924">
        <f t="shared" si="40"/>
        <v>2625</v>
      </c>
      <c r="B2625" s="924">
        <v>6.4</v>
      </c>
    </row>
    <row r="2626" spans="1:2" x14ac:dyDescent="0.25">
      <c r="A2626" s="924">
        <f t="shared" si="40"/>
        <v>2626</v>
      </c>
      <c r="B2626" s="924">
        <v>6.4</v>
      </c>
    </row>
    <row r="2627" spans="1:2" x14ac:dyDescent="0.25">
      <c r="A2627" s="924">
        <f t="shared" ref="A2627:A2690" si="41">A2626+1</f>
        <v>2627</v>
      </c>
      <c r="B2627" s="924">
        <v>6.4</v>
      </c>
    </row>
    <row r="2628" spans="1:2" x14ac:dyDescent="0.25">
      <c r="A2628" s="924">
        <f t="shared" si="41"/>
        <v>2628</v>
      </c>
      <c r="B2628" s="924">
        <v>6.4</v>
      </c>
    </row>
    <row r="2629" spans="1:2" x14ac:dyDescent="0.25">
      <c r="A2629" s="924">
        <f t="shared" si="41"/>
        <v>2629</v>
      </c>
      <c r="B2629" s="924">
        <v>6.4</v>
      </c>
    </row>
    <row r="2630" spans="1:2" x14ac:dyDescent="0.25">
      <c r="A2630" s="924">
        <f t="shared" si="41"/>
        <v>2630</v>
      </c>
      <c r="B2630" s="924">
        <v>6.4</v>
      </c>
    </row>
    <row r="2631" spans="1:2" x14ac:dyDescent="0.25">
      <c r="A2631" s="924">
        <f t="shared" si="41"/>
        <v>2631</v>
      </c>
      <c r="B2631" s="924">
        <v>6.4</v>
      </c>
    </row>
    <row r="2632" spans="1:2" x14ac:dyDescent="0.25">
      <c r="A2632" s="924">
        <f t="shared" si="41"/>
        <v>2632</v>
      </c>
      <c r="B2632" s="924">
        <v>6.4</v>
      </c>
    </row>
    <row r="2633" spans="1:2" x14ac:dyDescent="0.25">
      <c r="A2633" s="924">
        <f t="shared" si="41"/>
        <v>2633</v>
      </c>
      <c r="B2633" s="924">
        <v>6.4</v>
      </c>
    </row>
    <row r="2634" spans="1:2" x14ac:dyDescent="0.25">
      <c r="A2634" s="924">
        <f t="shared" si="41"/>
        <v>2634</v>
      </c>
      <c r="B2634" s="924">
        <v>6.4</v>
      </c>
    </row>
    <row r="2635" spans="1:2" x14ac:dyDescent="0.25">
      <c r="A2635" s="924">
        <f t="shared" si="41"/>
        <v>2635</v>
      </c>
      <c r="B2635" s="924">
        <v>6.4</v>
      </c>
    </row>
    <row r="2636" spans="1:2" x14ac:dyDescent="0.25">
      <c r="A2636" s="924">
        <f t="shared" si="41"/>
        <v>2636</v>
      </c>
      <c r="B2636" s="924">
        <v>6.4</v>
      </c>
    </row>
    <row r="2637" spans="1:2" x14ac:dyDescent="0.25">
      <c r="A2637" s="924">
        <f t="shared" si="41"/>
        <v>2637</v>
      </c>
      <c r="B2637" s="924">
        <v>6.4</v>
      </c>
    </row>
    <row r="2638" spans="1:2" x14ac:dyDescent="0.25">
      <c r="A2638" s="924">
        <f t="shared" si="41"/>
        <v>2638</v>
      </c>
      <c r="B2638" s="924">
        <v>6.4</v>
      </c>
    </row>
    <row r="2639" spans="1:2" x14ac:dyDescent="0.25">
      <c r="A2639" s="924">
        <f t="shared" si="41"/>
        <v>2639</v>
      </c>
      <c r="B2639" s="924">
        <v>6.4</v>
      </c>
    </row>
    <row r="2640" spans="1:2" x14ac:dyDescent="0.25">
      <c r="A2640" s="924">
        <f t="shared" si="41"/>
        <v>2640</v>
      </c>
      <c r="B2640" s="924">
        <v>6.4</v>
      </c>
    </row>
    <row r="2641" spans="1:2" x14ac:dyDescent="0.25">
      <c r="A2641" s="924">
        <f t="shared" si="41"/>
        <v>2641</v>
      </c>
      <c r="B2641" s="924">
        <v>6.4</v>
      </c>
    </row>
    <row r="2642" spans="1:2" x14ac:dyDescent="0.25">
      <c r="A2642" s="924">
        <f t="shared" si="41"/>
        <v>2642</v>
      </c>
      <c r="B2642" s="924">
        <v>6.5</v>
      </c>
    </row>
    <row r="2643" spans="1:2" x14ac:dyDescent="0.25">
      <c r="A2643" s="924">
        <f t="shared" si="41"/>
        <v>2643</v>
      </c>
      <c r="B2643" s="924">
        <v>6.5</v>
      </c>
    </row>
    <row r="2644" spans="1:2" x14ac:dyDescent="0.25">
      <c r="A2644" s="924">
        <f t="shared" si="41"/>
        <v>2644</v>
      </c>
      <c r="B2644" s="924">
        <v>6.5</v>
      </c>
    </row>
    <row r="2645" spans="1:2" x14ac:dyDescent="0.25">
      <c r="A2645" s="924">
        <f t="shared" si="41"/>
        <v>2645</v>
      </c>
      <c r="B2645" s="924">
        <v>6.5</v>
      </c>
    </row>
    <row r="2646" spans="1:2" x14ac:dyDescent="0.25">
      <c r="A2646" s="924">
        <f t="shared" si="41"/>
        <v>2646</v>
      </c>
      <c r="B2646" s="924">
        <v>6.5</v>
      </c>
    </row>
    <row r="2647" spans="1:2" x14ac:dyDescent="0.25">
      <c r="A2647" s="924">
        <f t="shared" si="41"/>
        <v>2647</v>
      </c>
      <c r="B2647" s="924">
        <v>6.5</v>
      </c>
    </row>
    <row r="2648" spans="1:2" x14ac:dyDescent="0.25">
      <c r="A2648" s="924">
        <f t="shared" si="41"/>
        <v>2648</v>
      </c>
      <c r="B2648" s="924">
        <v>6.5</v>
      </c>
    </row>
    <row r="2649" spans="1:2" x14ac:dyDescent="0.25">
      <c r="A2649" s="924">
        <f t="shared" si="41"/>
        <v>2649</v>
      </c>
      <c r="B2649" s="924">
        <v>6.5</v>
      </c>
    </row>
    <row r="2650" spans="1:2" x14ac:dyDescent="0.25">
      <c r="A2650" s="924">
        <f t="shared" si="41"/>
        <v>2650</v>
      </c>
      <c r="B2650" s="924">
        <v>6.5</v>
      </c>
    </row>
    <row r="2651" spans="1:2" x14ac:dyDescent="0.25">
      <c r="A2651" s="924">
        <f t="shared" si="41"/>
        <v>2651</v>
      </c>
      <c r="B2651" s="924">
        <v>6.5</v>
      </c>
    </row>
    <row r="2652" spans="1:2" x14ac:dyDescent="0.25">
      <c r="A2652" s="924">
        <f t="shared" si="41"/>
        <v>2652</v>
      </c>
      <c r="B2652" s="924">
        <v>6.5</v>
      </c>
    </row>
    <row r="2653" spans="1:2" x14ac:dyDescent="0.25">
      <c r="A2653" s="924">
        <f t="shared" si="41"/>
        <v>2653</v>
      </c>
      <c r="B2653" s="924">
        <v>6.5</v>
      </c>
    </row>
    <row r="2654" spans="1:2" x14ac:dyDescent="0.25">
      <c r="A2654" s="924">
        <f t="shared" si="41"/>
        <v>2654</v>
      </c>
      <c r="B2654" s="924">
        <v>6.5</v>
      </c>
    </row>
    <row r="2655" spans="1:2" x14ac:dyDescent="0.25">
      <c r="A2655" s="924">
        <f t="shared" si="41"/>
        <v>2655</v>
      </c>
      <c r="B2655" s="924">
        <v>6.5</v>
      </c>
    </row>
    <row r="2656" spans="1:2" x14ac:dyDescent="0.25">
      <c r="A2656" s="924">
        <f t="shared" si="41"/>
        <v>2656</v>
      </c>
      <c r="B2656" s="924">
        <v>6.5</v>
      </c>
    </row>
    <row r="2657" spans="1:2" x14ac:dyDescent="0.25">
      <c r="A2657" s="924">
        <f t="shared" si="41"/>
        <v>2657</v>
      </c>
      <c r="B2657" s="924">
        <v>6.5</v>
      </c>
    </row>
    <row r="2658" spans="1:2" x14ac:dyDescent="0.25">
      <c r="A2658" s="924">
        <f t="shared" si="41"/>
        <v>2658</v>
      </c>
      <c r="B2658" s="924">
        <v>6.5</v>
      </c>
    </row>
    <row r="2659" spans="1:2" x14ac:dyDescent="0.25">
      <c r="A2659" s="924">
        <f t="shared" si="41"/>
        <v>2659</v>
      </c>
      <c r="B2659" s="924">
        <v>6.5</v>
      </c>
    </row>
    <row r="2660" spans="1:2" x14ac:dyDescent="0.25">
      <c r="A2660" s="924">
        <f t="shared" si="41"/>
        <v>2660</v>
      </c>
      <c r="B2660" s="924">
        <v>6.5</v>
      </c>
    </row>
    <row r="2661" spans="1:2" x14ac:dyDescent="0.25">
      <c r="A2661" s="924">
        <f t="shared" si="41"/>
        <v>2661</v>
      </c>
      <c r="B2661" s="924">
        <v>6.5</v>
      </c>
    </row>
    <row r="2662" spans="1:2" x14ac:dyDescent="0.25">
      <c r="A2662" s="924">
        <f t="shared" si="41"/>
        <v>2662</v>
      </c>
      <c r="B2662" s="924">
        <v>6.5</v>
      </c>
    </row>
    <row r="2663" spans="1:2" x14ac:dyDescent="0.25">
      <c r="A2663" s="924">
        <f t="shared" si="41"/>
        <v>2663</v>
      </c>
      <c r="B2663" s="924">
        <v>6.5</v>
      </c>
    </row>
    <row r="2664" spans="1:2" x14ac:dyDescent="0.25">
      <c r="A2664" s="924">
        <f t="shared" si="41"/>
        <v>2664</v>
      </c>
      <c r="B2664" s="924">
        <v>6.5</v>
      </c>
    </row>
    <row r="2665" spans="1:2" x14ac:dyDescent="0.25">
      <c r="A2665" s="924">
        <f t="shared" si="41"/>
        <v>2665</v>
      </c>
      <c r="B2665" s="924">
        <v>6.5</v>
      </c>
    </row>
    <row r="2666" spans="1:2" x14ac:dyDescent="0.25">
      <c r="A2666" s="924">
        <f t="shared" si="41"/>
        <v>2666</v>
      </c>
      <c r="B2666" s="924">
        <v>6.5</v>
      </c>
    </row>
    <row r="2667" spans="1:2" x14ac:dyDescent="0.25">
      <c r="A2667" s="924">
        <f t="shared" si="41"/>
        <v>2667</v>
      </c>
      <c r="B2667" s="924">
        <v>6.5</v>
      </c>
    </row>
    <row r="2668" spans="1:2" x14ac:dyDescent="0.25">
      <c r="A2668" s="924">
        <f t="shared" si="41"/>
        <v>2668</v>
      </c>
      <c r="B2668" s="924">
        <v>6.5</v>
      </c>
    </row>
    <row r="2669" spans="1:2" x14ac:dyDescent="0.25">
      <c r="A2669" s="924">
        <f t="shared" si="41"/>
        <v>2669</v>
      </c>
      <c r="B2669" s="924">
        <v>6.5</v>
      </c>
    </row>
    <row r="2670" spans="1:2" x14ac:dyDescent="0.25">
      <c r="A2670" s="924">
        <f t="shared" si="41"/>
        <v>2670</v>
      </c>
      <c r="B2670" s="924">
        <v>6.5</v>
      </c>
    </row>
    <row r="2671" spans="1:2" x14ac:dyDescent="0.25">
      <c r="A2671" s="924">
        <f t="shared" si="41"/>
        <v>2671</v>
      </c>
      <c r="B2671" s="924">
        <v>6.5</v>
      </c>
    </row>
    <row r="2672" spans="1:2" x14ac:dyDescent="0.25">
      <c r="A2672" s="924">
        <f t="shared" si="41"/>
        <v>2672</v>
      </c>
      <c r="B2672" s="924">
        <v>6.5</v>
      </c>
    </row>
    <row r="2673" spans="1:2" x14ac:dyDescent="0.25">
      <c r="A2673" s="924">
        <f t="shared" si="41"/>
        <v>2673</v>
      </c>
      <c r="B2673" s="924">
        <v>6.5</v>
      </c>
    </row>
    <row r="2674" spans="1:2" x14ac:dyDescent="0.25">
      <c r="A2674" s="924">
        <f t="shared" si="41"/>
        <v>2674</v>
      </c>
      <c r="B2674" s="924">
        <v>6.6</v>
      </c>
    </row>
    <row r="2675" spans="1:2" x14ac:dyDescent="0.25">
      <c r="A2675" s="924">
        <f t="shared" si="41"/>
        <v>2675</v>
      </c>
      <c r="B2675" s="924">
        <v>6.6</v>
      </c>
    </row>
    <row r="2676" spans="1:2" x14ac:dyDescent="0.25">
      <c r="A2676" s="924">
        <f t="shared" si="41"/>
        <v>2676</v>
      </c>
      <c r="B2676" s="924">
        <v>6.6</v>
      </c>
    </row>
    <row r="2677" spans="1:2" x14ac:dyDescent="0.25">
      <c r="A2677" s="924">
        <f t="shared" si="41"/>
        <v>2677</v>
      </c>
      <c r="B2677" s="924">
        <v>6.6</v>
      </c>
    </row>
    <row r="2678" spans="1:2" x14ac:dyDescent="0.25">
      <c r="A2678" s="924">
        <f t="shared" si="41"/>
        <v>2678</v>
      </c>
      <c r="B2678" s="924">
        <v>6.6</v>
      </c>
    </row>
    <row r="2679" spans="1:2" x14ac:dyDescent="0.25">
      <c r="A2679" s="924">
        <f t="shared" si="41"/>
        <v>2679</v>
      </c>
      <c r="B2679" s="924">
        <v>6.6</v>
      </c>
    </row>
    <row r="2680" spans="1:2" x14ac:dyDescent="0.25">
      <c r="A2680" s="924">
        <f t="shared" si="41"/>
        <v>2680</v>
      </c>
      <c r="B2680" s="924">
        <v>6.6</v>
      </c>
    </row>
    <row r="2681" spans="1:2" x14ac:dyDescent="0.25">
      <c r="A2681" s="924">
        <f t="shared" si="41"/>
        <v>2681</v>
      </c>
      <c r="B2681" s="924">
        <v>6.6</v>
      </c>
    </row>
    <row r="2682" spans="1:2" x14ac:dyDescent="0.25">
      <c r="A2682" s="924">
        <f t="shared" si="41"/>
        <v>2682</v>
      </c>
      <c r="B2682" s="924">
        <v>6.6</v>
      </c>
    </row>
    <row r="2683" spans="1:2" x14ac:dyDescent="0.25">
      <c r="A2683" s="924">
        <f t="shared" si="41"/>
        <v>2683</v>
      </c>
      <c r="B2683" s="924">
        <v>6.6</v>
      </c>
    </row>
    <row r="2684" spans="1:2" x14ac:dyDescent="0.25">
      <c r="A2684" s="924">
        <f t="shared" si="41"/>
        <v>2684</v>
      </c>
      <c r="B2684" s="924">
        <v>6.6</v>
      </c>
    </row>
    <row r="2685" spans="1:2" x14ac:dyDescent="0.25">
      <c r="A2685" s="924">
        <f t="shared" si="41"/>
        <v>2685</v>
      </c>
      <c r="B2685" s="924">
        <v>6.6</v>
      </c>
    </row>
    <row r="2686" spans="1:2" x14ac:dyDescent="0.25">
      <c r="A2686" s="924">
        <f t="shared" si="41"/>
        <v>2686</v>
      </c>
      <c r="B2686" s="924">
        <v>6.6</v>
      </c>
    </row>
    <row r="2687" spans="1:2" x14ac:dyDescent="0.25">
      <c r="A2687" s="924">
        <f t="shared" si="41"/>
        <v>2687</v>
      </c>
      <c r="B2687" s="924">
        <v>6.6</v>
      </c>
    </row>
    <row r="2688" spans="1:2" x14ac:dyDescent="0.25">
      <c r="A2688" s="924">
        <f t="shared" si="41"/>
        <v>2688</v>
      </c>
      <c r="B2688" s="924">
        <v>6.6</v>
      </c>
    </row>
    <row r="2689" spans="1:2" x14ac:dyDescent="0.25">
      <c r="A2689" s="924">
        <f t="shared" si="41"/>
        <v>2689</v>
      </c>
      <c r="B2689" s="924">
        <v>6.6</v>
      </c>
    </row>
    <row r="2690" spans="1:2" x14ac:dyDescent="0.25">
      <c r="A2690" s="924">
        <f t="shared" si="41"/>
        <v>2690</v>
      </c>
      <c r="B2690" s="924">
        <v>6.6</v>
      </c>
    </row>
    <row r="2691" spans="1:2" x14ac:dyDescent="0.25">
      <c r="A2691" s="924">
        <f t="shared" ref="A2691:A2754" si="42">A2690+1</f>
        <v>2691</v>
      </c>
      <c r="B2691" s="924">
        <v>6.6</v>
      </c>
    </row>
    <row r="2692" spans="1:2" x14ac:dyDescent="0.25">
      <c r="A2692" s="924">
        <f t="shared" si="42"/>
        <v>2692</v>
      </c>
      <c r="B2692" s="924">
        <v>6.6</v>
      </c>
    </row>
    <row r="2693" spans="1:2" x14ac:dyDescent="0.25">
      <c r="A2693" s="924">
        <f t="shared" si="42"/>
        <v>2693</v>
      </c>
      <c r="B2693" s="924">
        <v>6.6</v>
      </c>
    </row>
    <row r="2694" spans="1:2" x14ac:dyDescent="0.25">
      <c r="A2694" s="924">
        <f t="shared" si="42"/>
        <v>2694</v>
      </c>
      <c r="B2694" s="924">
        <v>6.6</v>
      </c>
    </row>
    <row r="2695" spans="1:2" x14ac:dyDescent="0.25">
      <c r="A2695" s="924">
        <f t="shared" si="42"/>
        <v>2695</v>
      </c>
      <c r="B2695" s="924">
        <v>6.6</v>
      </c>
    </row>
    <row r="2696" spans="1:2" x14ac:dyDescent="0.25">
      <c r="A2696" s="924">
        <f t="shared" si="42"/>
        <v>2696</v>
      </c>
      <c r="B2696" s="924">
        <v>6.6</v>
      </c>
    </row>
    <row r="2697" spans="1:2" x14ac:dyDescent="0.25">
      <c r="A2697" s="924">
        <f t="shared" si="42"/>
        <v>2697</v>
      </c>
      <c r="B2697" s="924">
        <v>6.6</v>
      </c>
    </row>
    <row r="2698" spans="1:2" x14ac:dyDescent="0.25">
      <c r="A2698" s="924">
        <f t="shared" si="42"/>
        <v>2698</v>
      </c>
      <c r="B2698" s="924">
        <v>6.6</v>
      </c>
    </row>
    <row r="2699" spans="1:2" x14ac:dyDescent="0.25">
      <c r="A2699" s="924">
        <f t="shared" si="42"/>
        <v>2699</v>
      </c>
      <c r="B2699" s="924">
        <v>6.6</v>
      </c>
    </row>
    <row r="2700" spans="1:2" x14ac:dyDescent="0.25">
      <c r="A2700" s="924">
        <f t="shared" si="42"/>
        <v>2700</v>
      </c>
      <c r="B2700" s="924">
        <v>6.6</v>
      </c>
    </row>
    <row r="2701" spans="1:2" x14ac:dyDescent="0.25">
      <c r="A2701" s="924">
        <f t="shared" si="42"/>
        <v>2701</v>
      </c>
      <c r="B2701" s="924">
        <v>6.6</v>
      </c>
    </row>
    <row r="2702" spans="1:2" x14ac:dyDescent="0.25">
      <c r="A2702" s="924">
        <f t="shared" si="42"/>
        <v>2702</v>
      </c>
      <c r="B2702" s="924">
        <v>6.6</v>
      </c>
    </row>
    <row r="2703" spans="1:2" x14ac:dyDescent="0.25">
      <c r="A2703" s="924">
        <f t="shared" si="42"/>
        <v>2703</v>
      </c>
      <c r="B2703" s="924">
        <v>6.6</v>
      </c>
    </row>
    <row r="2704" spans="1:2" x14ac:dyDescent="0.25">
      <c r="A2704" s="924">
        <f t="shared" si="42"/>
        <v>2704</v>
      </c>
      <c r="B2704" s="924">
        <v>6.6</v>
      </c>
    </row>
    <row r="2705" spans="1:2" x14ac:dyDescent="0.25">
      <c r="A2705" s="924">
        <f t="shared" si="42"/>
        <v>2705</v>
      </c>
      <c r="B2705" s="924">
        <v>6.6</v>
      </c>
    </row>
    <row r="2706" spans="1:2" x14ac:dyDescent="0.25">
      <c r="A2706" s="924">
        <f t="shared" si="42"/>
        <v>2706</v>
      </c>
      <c r="B2706" s="924">
        <v>6.6</v>
      </c>
    </row>
    <row r="2707" spans="1:2" x14ac:dyDescent="0.25">
      <c r="A2707" s="924">
        <f t="shared" si="42"/>
        <v>2707</v>
      </c>
      <c r="B2707" s="924">
        <v>6.6</v>
      </c>
    </row>
    <row r="2708" spans="1:2" x14ac:dyDescent="0.25">
      <c r="A2708" s="924">
        <f t="shared" si="42"/>
        <v>2708</v>
      </c>
      <c r="B2708" s="924">
        <v>6.6</v>
      </c>
    </row>
    <row r="2709" spans="1:2" x14ac:dyDescent="0.25">
      <c r="A2709" s="924">
        <f t="shared" si="42"/>
        <v>2709</v>
      </c>
      <c r="B2709" s="924">
        <v>6.6</v>
      </c>
    </row>
    <row r="2710" spans="1:2" x14ac:dyDescent="0.25">
      <c r="A2710" s="924">
        <f t="shared" si="42"/>
        <v>2710</v>
      </c>
      <c r="B2710" s="924">
        <v>6.6</v>
      </c>
    </row>
    <row r="2711" spans="1:2" x14ac:dyDescent="0.25">
      <c r="A2711" s="924">
        <f t="shared" si="42"/>
        <v>2711</v>
      </c>
      <c r="B2711" s="924">
        <v>6.6</v>
      </c>
    </row>
    <row r="2712" spans="1:2" x14ac:dyDescent="0.25">
      <c r="A2712" s="924">
        <f t="shared" si="42"/>
        <v>2712</v>
      </c>
      <c r="B2712" s="924">
        <v>6.6</v>
      </c>
    </row>
    <row r="2713" spans="1:2" x14ac:dyDescent="0.25">
      <c r="A2713" s="924">
        <f t="shared" si="42"/>
        <v>2713</v>
      </c>
      <c r="B2713" s="924">
        <v>6.6</v>
      </c>
    </row>
    <row r="2714" spans="1:2" x14ac:dyDescent="0.25">
      <c r="A2714" s="924">
        <f t="shared" si="42"/>
        <v>2714</v>
      </c>
      <c r="B2714" s="924">
        <v>6.6</v>
      </c>
    </row>
    <row r="2715" spans="1:2" x14ac:dyDescent="0.25">
      <c r="A2715" s="924">
        <f t="shared" si="42"/>
        <v>2715</v>
      </c>
      <c r="B2715" s="924">
        <v>6.6</v>
      </c>
    </row>
    <row r="2716" spans="1:2" x14ac:dyDescent="0.25">
      <c r="A2716" s="924">
        <f t="shared" si="42"/>
        <v>2716</v>
      </c>
      <c r="B2716" s="924">
        <v>6.6</v>
      </c>
    </row>
    <row r="2717" spans="1:2" x14ac:dyDescent="0.25">
      <c r="A2717" s="924">
        <f t="shared" si="42"/>
        <v>2717</v>
      </c>
      <c r="B2717" s="924">
        <v>6.6</v>
      </c>
    </row>
    <row r="2718" spans="1:2" x14ac:dyDescent="0.25">
      <c r="A2718" s="924">
        <f t="shared" si="42"/>
        <v>2718</v>
      </c>
      <c r="B2718" s="924">
        <v>6.6</v>
      </c>
    </row>
    <row r="2719" spans="1:2" x14ac:dyDescent="0.25">
      <c r="A2719" s="924">
        <f t="shared" si="42"/>
        <v>2719</v>
      </c>
      <c r="B2719" s="924">
        <v>6.6</v>
      </c>
    </row>
    <row r="2720" spans="1:2" x14ac:dyDescent="0.25">
      <c r="A2720" s="924">
        <f t="shared" si="42"/>
        <v>2720</v>
      </c>
      <c r="B2720" s="924">
        <v>6.6</v>
      </c>
    </row>
    <row r="2721" spans="1:2" x14ac:dyDescent="0.25">
      <c r="A2721" s="924">
        <f t="shared" si="42"/>
        <v>2721</v>
      </c>
      <c r="B2721" s="924">
        <v>6.6</v>
      </c>
    </row>
    <row r="2722" spans="1:2" x14ac:dyDescent="0.25">
      <c r="A2722" s="924">
        <f t="shared" si="42"/>
        <v>2722</v>
      </c>
      <c r="B2722" s="924">
        <v>6.7</v>
      </c>
    </row>
    <row r="2723" spans="1:2" x14ac:dyDescent="0.25">
      <c r="A2723" s="924">
        <f t="shared" si="42"/>
        <v>2723</v>
      </c>
      <c r="B2723" s="924">
        <v>6.7</v>
      </c>
    </row>
    <row r="2724" spans="1:2" x14ac:dyDescent="0.25">
      <c r="A2724" s="924">
        <f t="shared" si="42"/>
        <v>2724</v>
      </c>
      <c r="B2724" s="924">
        <v>6.7</v>
      </c>
    </row>
    <row r="2725" spans="1:2" x14ac:dyDescent="0.25">
      <c r="A2725" s="924">
        <f t="shared" si="42"/>
        <v>2725</v>
      </c>
      <c r="B2725" s="924">
        <v>6.7</v>
      </c>
    </row>
    <row r="2726" spans="1:2" x14ac:dyDescent="0.25">
      <c r="A2726" s="924">
        <f t="shared" si="42"/>
        <v>2726</v>
      </c>
      <c r="B2726" s="924">
        <v>6.7</v>
      </c>
    </row>
    <row r="2727" spans="1:2" x14ac:dyDescent="0.25">
      <c r="A2727" s="924">
        <f t="shared" si="42"/>
        <v>2727</v>
      </c>
      <c r="B2727" s="924">
        <v>6.7</v>
      </c>
    </row>
    <row r="2728" spans="1:2" x14ac:dyDescent="0.25">
      <c r="A2728" s="924">
        <f t="shared" si="42"/>
        <v>2728</v>
      </c>
      <c r="B2728" s="924">
        <v>6.7</v>
      </c>
    </row>
    <row r="2729" spans="1:2" x14ac:dyDescent="0.25">
      <c r="A2729" s="924">
        <f t="shared" si="42"/>
        <v>2729</v>
      </c>
      <c r="B2729" s="924">
        <v>6.7</v>
      </c>
    </row>
    <row r="2730" spans="1:2" x14ac:dyDescent="0.25">
      <c r="A2730" s="924">
        <f t="shared" si="42"/>
        <v>2730</v>
      </c>
      <c r="B2730" s="924">
        <v>6.7</v>
      </c>
    </row>
    <row r="2731" spans="1:2" x14ac:dyDescent="0.25">
      <c r="A2731" s="924">
        <f t="shared" si="42"/>
        <v>2731</v>
      </c>
      <c r="B2731" s="924">
        <v>6.7</v>
      </c>
    </row>
    <row r="2732" spans="1:2" x14ac:dyDescent="0.25">
      <c r="A2732" s="924">
        <f t="shared" si="42"/>
        <v>2732</v>
      </c>
      <c r="B2732" s="924">
        <v>6.7</v>
      </c>
    </row>
    <row r="2733" spans="1:2" x14ac:dyDescent="0.25">
      <c r="A2733" s="924">
        <f t="shared" si="42"/>
        <v>2733</v>
      </c>
      <c r="B2733" s="924">
        <v>6.7</v>
      </c>
    </row>
    <row r="2734" spans="1:2" x14ac:dyDescent="0.25">
      <c r="A2734" s="924">
        <f t="shared" si="42"/>
        <v>2734</v>
      </c>
      <c r="B2734" s="924">
        <v>6.7</v>
      </c>
    </row>
    <row r="2735" spans="1:2" x14ac:dyDescent="0.25">
      <c r="A2735" s="924">
        <f t="shared" si="42"/>
        <v>2735</v>
      </c>
      <c r="B2735" s="924">
        <v>6.7</v>
      </c>
    </row>
    <row r="2736" spans="1:2" x14ac:dyDescent="0.25">
      <c r="A2736" s="924">
        <f t="shared" si="42"/>
        <v>2736</v>
      </c>
      <c r="B2736" s="924">
        <v>6.7</v>
      </c>
    </row>
    <row r="2737" spans="1:2" x14ac:dyDescent="0.25">
      <c r="A2737" s="924">
        <f t="shared" si="42"/>
        <v>2737</v>
      </c>
      <c r="B2737" s="924">
        <v>6.7</v>
      </c>
    </row>
    <row r="2738" spans="1:2" x14ac:dyDescent="0.25">
      <c r="A2738" s="924">
        <f t="shared" si="42"/>
        <v>2738</v>
      </c>
      <c r="B2738" s="924">
        <v>6.7</v>
      </c>
    </row>
    <row r="2739" spans="1:2" x14ac:dyDescent="0.25">
      <c r="A2739" s="924">
        <f t="shared" si="42"/>
        <v>2739</v>
      </c>
      <c r="B2739" s="924">
        <v>6.7</v>
      </c>
    </row>
    <row r="2740" spans="1:2" x14ac:dyDescent="0.25">
      <c r="A2740" s="924">
        <f t="shared" si="42"/>
        <v>2740</v>
      </c>
      <c r="B2740" s="924">
        <v>6.7</v>
      </c>
    </row>
    <row r="2741" spans="1:2" x14ac:dyDescent="0.25">
      <c r="A2741" s="924">
        <f t="shared" si="42"/>
        <v>2741</v>
      </c>
      <c r="B2741" s="924">
        <v>6.7</v>
      </c>
    </row>
    <row r="2742" spans="1:2" x14ac:dyDescent="0.25">
      <c r="A2742" s="924">
        <f t="shared" si="42"/>
        <v>2742</v>
      </c>
      <c r="B2742" s="924">
        <v>6.7</v>
      </c>
    </row>
    <row r="2743" spans="1:2" x14ac:dyDescent="0.25">
      <c r="A2743" s="924">
        <f t="shared" si="42"/>
        <v>2743</v>
      </c>
      <c r="B2743" s="924">
        <v>6.7</v>
      </c>
    </row>
    <row r="2744" spans="1:2" x14ac:dyDescent="0.25">
      <c r="A2744" s="924">
        <f t="shared" si="42"/>
        <v>2744</v>
      </c>
      <c r="B2744" s="924">
        <v>6.7</v>
      </c>
    </row>
    <row r="2745" spans="1:2" x14ac:dyDescent="0.25">
      <c r="A2745" s="924">
        <f t="shared" si="42"/>
        <v>2745</v>
      </c>
      <c r="B2745" s="924">
        <v>6.7</v>
      </c>
    </row>
    <row r="2746" spans="1:2" x14ac:dyDescent="0.25">
      <c r="A2746" s="924">
        <f t="shared" si="42"/>
        <v>2746</v>
      </c>
      <c r="B2746" s="924">
        <v>6.7</v>
      </c>
    </row>
    <row r="2747" spans="1:2" x14ac:dyDescent="0.25">
      <c r="A2747" s="924">
        <f t="shared" si="42"/>
        <v>2747</v>
      </c>
      <c r="B2747" s="924">
        <v>6.7</v>
      </c>
    </row>
    <row r="2748" spans="1:2" x14ac:dyDescent="0.25">
      <c r="A2748" s="924">
        <f t="shared" si="42"/>
        <v>2748</v>
      </c>
      <c r="B2748" s="924">
        <v>6.7</v>
      </c>
    </row>
    <row r="2749" spans="1:2" x14ac:dyDescent="0.25">
      <c r="A2749" s="924">
        <f t="shared" si="42"/>
        <v>2749</v>
      </c>
      <c r="B2749" s="924">
        <v>6.7</v>
      </c>
    </row>
    <row r="2750" spans="1:2" x14ac:dyDescent="0.25">
      <c r="A2750" s="924">
        <f t="shared" si="42"/>
        <v>2750</v>
      </c>
      <c r="B2750" s="924">
        <v>6.7</v>
      </c>
    </row>
    <row r="2751" spans="1:2" x14ac:dyDescent="0.25">
      <c r="A2751" s="924">
        <f t="shared" si="42"/>
        <v>2751</v>
      </c>
      <c r="B2751" s="924">
        <v>6.7</v>
      </c>
    </row>
    <row r="2752" spans="1:2" x14ac:dyDescent="0.25">
      <c r="A2752" s="924">
        <f t="shared" si="42"/>
        <v>2752</v>
      </c>
      <c r="B2752" s="924">
        <v>6.7</v>
      </c>
    </row>
    <row r="2753" spans="1:2" x14ac:dyDescent="0.25">
      <c r="A2753" s="924">
        <f t="shared" si="42"/>
        <v>2753</v>
      </c>
      <c r="B2753" s="924">
        <v>6.7</v>
      </c>
    </row>
    <row r="2754" spans="1:2" x14ac:dyDescent="0.25">
      <c r="A2754" s="924">
        <f t="shared" si="42"/>
        <v>2754</v>
      </c>
      <c r="B2754" s="924">
        <v>6.7</v>
      </c>
    </row>
    <row r="2755" spans="1:2" x14ac:dyDescent="0.25">
      <c r="A2755" s="924">
        <f t="shared" ref="A2755:A2818" si="43">A2754+1</f>
        <v>2755</v>
      </c>
      <c r="B2755" s="924">
        <v>6.7</v>
      </c>
    </row>
    <row r="2756" spans="1:2" x14ac:dyDescent="0.25">
      <c r="A2756" s="924">
        <f t="shared" si="43"/>
        <v>2756</v>
      </c>
      <c r="B2756" s="924">
        <v>6.7</v>
      </c>
    </row>
    <row r="2757" spans="1:2" x14ac:dyDescent="0.25">
      <c r="A2757" s="924">
        <f t="shared" si="43"/>
        <v>2757</v>
      </c>
      <c r="B2757" s="924">
        <v>6.7</v>
      </c>
    </row>
    <row r="2758" spans="1:2" x14ac:dyDescent="0.25">
      <c r="A2758" s="924">
        <f t="shared" si="43"/>
        <v>2758</v>
      </c>
      <c r="B2758" s="924">
        <v>6.7</v>
      </c>
    </row>
    <row r="2759" spans="1:2" x14ac:dyDescent="0.25">
      <c r="A2759" s="924">
        <f t="shared" si="43"/>
        <v>2759</v>
      </c>
      <c r="B2759" s="924">
        <v>6.7</v>
      </c>
    </row>
    <row r="2760" spans="1:2" x14ac:dyDescent="0.25">
      <c r="A2760" s="924">
        <f t="shared" si="43"/>
        <v>2760</v>
      </c>
      <c r="B2760" s="924">
        <v>6.7</v>
      </c>
    </row>
    <row r="2761" spans="1:2" x14ac:dyDescent="0.25">
      <c r="A2761" s="924">
        <f t="shared" si="43"/>
        <v>2761</v>
      </c>
      <c r="B2761" s="924">
        <v>6.7</v>
      </c>
    </row>
    <row r="2762" spans="1:2" x14ac:dyDescent="0.25">
      <c r="A2762" s="924">
        <f t="shared" si="43"/>
        <v>2762</v>
      </c>
      <c r="B2762" s="924">
        <v>6.7</v>
      </c>
    </row>
    <row r="2763" spans="1:2" x14ac:dyDescent="0.25">
      <c r="A2763" s="924">
        <f t="shared" si="43"/>
        <v>2763</v>
      </c>
      <c r="B2763" s="924">
        <v>6.7</v>
      </c>
    </row>
    <row r="2764" spans="1:2" x14ac:dyDescent="0.25">
      <c r="A2764" s="924">
        <f t="shared" si="43"/>
        <v>2764</v>
      </c>
      <c r="B2764" s="924">
        <v>6.7</v>
      </c>
    </row>
    <row r="2765" spans="1:2" x14ac:dyDescent="0.25">
      <c r="A2765" s="924">
        <f t="shared" si="43"/>
        <v>2765</v>
      </c>
      <c r="B2765" s="924">
        <v>6.7</v>
      </c>
    </row>
    <row r="2766" spans="1:2" x14ac:dyDescent="0.25">
      <c r="A2766" s="924">
        <f t="shared" si="43"/>
        <v>2766</v>
      </c>
      <c r="B2766" s="924">
        <v>6.7</v>
      </c>
    </row>
    <row r="2767" spans="1:2" x14ac:dyDescent="0.25">
      <c r="A2767" s="924">
        <f t="shared" si="43"/>
        <v>2767</v>
      </c>
      <c r="B2767" s="924">
        <v>6.7</v>
      </c>
    </row>
    <row r="2768" spans="1:2" x14ac:dyDescent="0.25">
      <c r="A2768" s="924">
        <f t="shared" si="43"/>
        <v>2768</v>
      </c>
      <c r="B2768" s="924">
        <v>6.7</v>
      </c>
    </row>
    <row r="2769" spans="1:2" x14ac:dyDescent="0.25">
      <c r="A2769" s="924">
        <f t="shared" si="43"/>
        <v>2769</v>
      </c>
      <c r="B2769" s="924">
        <v>6.7</v>
      </c>
    </row>
    <row r="2770" spans="1:2" x14ac:dyDescent="0.25">
      <c r="A2770" s="924">
        <f t="shared" si="43"/>
        <v>2770</v>
      </c>
      <c r="B2770" s="924">
        <v>6.7</v>
      </c>
    </row>
    <row r="2771" spans="1:2" x14ac:dyDescent="0.25">
      <c r="A2771" s="924">
        <f t="shared" si="43"/>
        <v>2771</v>
      </c>
      <c r="B2771" s="924">
        <v>6.7</v>
      </c>
    </row>
    <row r="2772" spans="1:2" x14ac:dyDescent="0.25">
      <c r="A2772" s="924">
        <f t="shared" si="43"/>
        <v>2772</v>
      </c>
      <c r="B2772" s="924">
        <v>6.7</v>
      </c>
    </row>
    <row r="2773" spans="1:2" x14ac:dyDescent="0.25">
      <c r="A2773" s="924">
        <f t="shared" si="43"/>
        <v>2773</v>
      </c>
      <c r="B2773" s="924">
        <v>6.8</v>
      </c>
    </row>
    <row r="2774" spans="1:2" x14ac:dyDescent="0.25">
      <c r="A2774" s="924">
        <f t="shared" si="43"/>
        <v>2774</v>
      </c>
      <c r="B2774" s="924">
        <v>6.8</v>
      </c>
    </row>
    <row r="2775" spans="1:2" x14ac:dyDescent="0.25">
      <c r="A2775" s="924">
        <f t="shared" si="43"/>
        <v>2775</v>
      </c>
      <c r="B2775" s="924">
        <v>6.8</v>
      </c>
    </row>
    <row r="2776" spans="1:2" x14ac:dyDescent="0.25">
      <c r="A2776" s="924">
        <f t="shared" si="43"/>
        <v>2776</v>
      </c>
      <c r="B2776" s="924">
        <v>6.8</v>
      </c>
    </row>
    <row r="2777" spans="1:2" x14ac:dyDescent="0.25">
      <c r="A2777" s="924">
        <f t="shared" si="43"/>
        <v>2777</v>
      </c>
      <c r="B2777" s="924">
        <v>6.8</v>
      </c>
    </row>
    <row r="2778" spans="1:2" x14ac:dyDescent="0.25">
      <c r="A2778" s="924">
        <f t="shared" si="43"/>
        <v>2778</v>
      </c>
      <c r="B2778" s="924">
        <v>6.8</v>
      </c>
    </row>
    <row r="2779" spans="1:2" x14ac:dyDescent="0.25">
      <c r="A2779" s="924">
        <f t="shared" si="43"/>
        <v>2779</v>
      </c>
      <c r="B2779" s="924">
        <v>6.8</v>
      </c>
    </row>
    <row r="2780" spans="1:2" x14ac:dyDescent="0.25">
      <c r="A2780" s="924">
        <f t="shared" si="43"/>
        <v>2780</v>
      </c>
      <c r="B2780" s="924">
        <v>6.8</v>
      </c>
    </row>
    <row r="2781" spans="1:2" x14ac:dyDescent="0.25">
      <c r="A2781" s="924">
        <f t="shared" si="43"/>
        <v>2781</v>
      </c>
      <c r="B2781" s="924">
        <v>6.8</v>
      </c>
    </row>
    <row r="2782" spans="1:2" x14ac:dyDescent="0.25">
      <c r="A2782" s="924">
        <f t="shared" si="43"/>
        <v>2782</v>
      </c>
      <c r="B2782" s="924">
        <v>6.8</v>
      </c>
    </row>
    <row r="2783" spans="1:2" x14ac:dyDescent="0.25">
      <c r="A2783" s="924">
        <f t="shared" si="43"/>
        <v>2783</v>
      </c>
      <c r="B2783" s="924">
        <v>6.8</v>
      </c>
    </row>
    <row r="2784" spans="1:2" x14ac:dyDescent="0.25">
      <c r="A2784" s="924">
        <f t="shared" si="43"/>
        <v>2784</v>
      </c>
      <c r="B2784" s="924">
        <v>6.8</v>
      </c>
    </row>
    <row r="2785" spans="1:2" x14ac:dyDescent="0.25">
      <c r="A2785" s="924">
        <f t="shared" si="43"/>
        <v>2785</v>
      </c>
      <c r="B2785" s="924">
        <v>6.8</v>
      </c>
    </row>
    <row r="2786" spans="1:2" x14ac:dyDescent="0.25">
      <c r="A2786" s="924">
        <f t="shared" si="43"/>
        <v>2786</v>
      </c>
      <c r="B2786" s="924">
        <v>6.8</v>
      </c>
    </row>
    <row r="2787" spans="1:2" x14ac:dyDescent="0.25">
      <c r="A2787" s="924">
        <f t="shared" si="43"/>
        <v>2787</v>
      </c>
      <c r="B2787" s="924">
        <v>6.8</v>
      </c>
    </row>
    <row r="2788" spans="1:2" x14ac:dyDescent="0.25">
      <c r="A2788" s="924">
        <f t="shared" si="43"/>
        <v>2788</v>
      </c>
      <c r="B2788" s="924">
        <v>6.8</v>
      </c>
    </row>
    <row r="2789" spans="1:2" x14ac:dyDescent="0.25">
      <c r="A2789" s="924">
        <f t="shared" si="43"/>
        <v>2789</v>
      </c>
      <c r="B2789" s="924">
        <v>6.8</v>
      </c>
    </row>
    <row r="2790" spans="1:2" x14ac:dyDescent="0.25">
      <c r="A2790" s="924">
        <f t="shared" si="43"/>
        <v>2790</v>
      </c>
      <c r="B2790" s="924">
        <v>6.8</v>
      </c>
    </row>
    <row r="2791" spans="1:2" x14ac:dyDescent="0.25">
      <c r="A2791" s="924">
        <f t="shared" si="43"/>
        <v>2791</v>
      </c>
      <c r="B2791" s="924">
        <v>6.8</v>
      </c>
    </row>
    <row r="2792" spans="1:2" x14ac:dyDescent="0.25">
      <c r="A2792" s="924">
        <f t="shared" si="43"/>
        <v>2792</v>
      </c>
      <c r="B2792" s="924">
        <v>6.8</v>
      </c>
    </row>
    <row r="2793" spans="1:2" x14ac:dyDescent="0.25">
      <c r="A2793" s="924">
        <f t="shared" si="43"/>
        <v>2793</v>
      </c>
      <c r="B2793" s="924">
        <v>6.8</v>
      </c>
    </row>
    <row r="2794" spans="1:2" x14ac:dyDescent="0.25">
      <c r="A2794" s="924">
        <f t="shared" si="43"/>
        <v>2794</v>
      </c>
      <c r="B2794" s="924">
        <v>6.8</v>
      </c>
    </row>
    <row r="2795" spans="1:2" x14ac:dyDescent="0.25">
      <c r="A2795" s="924">
        <f t="shared" si="43"/>
        <v>2795</v>
      </c>
      <c r="B2795" s="924">
        <v>6.8</v>
      </c>
    </row>
    <row r="2796" spans="1:2" x14ac:dyDescent="0.25">
      <c r="A2796" s="924">
        <f t="shared" si="43"/>
        <v>2796</v>
      </c>
      <c r="B2796" s="924">
        <v>6.8</v>
      </c>
    </row>
    <row r="2797" spans="1:2" x14ac:dyDescent="0.25">
      <c r="A2797" s="924">
        <f t="shared" si="43"/>
        <v>2797</v>
      </c>
      <c r="B2797" s="924">
        <v>6.8</v>
      </c>
    </row>
    <row r="2798" spans="1:2" x14ac:dyDescent="0.25">
      <c r="A2798" s="924">
        <f t="shared" si="43"/>
        <v>2798</v>
      </c>
      <c r="B2798" s="924">
        <v>6.8</v>
      </c>
    </row>
    <row r="2799" spans="1:2" x14ac:dyDescent="0.25">
      <c r="A2799" s="924">
        <f t="shared" si="43"/>
        <v>2799</v>
      </c>
      <c r="B2799" s="924">
        <v>6.8</v>
      </c>
    </row>
    <row r="2800" spans="1:2" x14ac:dyDescent="0.25">
      <c r="A2800" s="924">
        <f t="shared" si="43"/>
        <v>2800</v>
      </c>
      <c r="B2800" s="924">
        <v>6.8</v>
      </c>
    </row>
    <row r="2801" spans="1:2" x14ac:dyDescent="0.25">
      <c r="A2801" s="924">
        <f t="shared" si="43"/>
        <v>2801</v>
      </c>
      <c r="B2801" s="924">
        <v>6.8</v>
      </c>
    </row>
    <row r="2802" spans="1:2" x14ac:dyDescent="0.25">
      <c r="A2802" s="924">
        <f t="shared" si="43"/>
        <v>2802</v>
      </c>
      <c r="B2802" s="924">
        <v>6.8</v>
      </c>
    </row>
    <row r="2803" spans="1:2" x14ac:dyDescent="0.25">
      <c r="A2803" s="924">
        <f t="shared" si="43"/>
        <v>2803</v>
      </c>
      <c r="B2803" s="924">
        <v>6.8</v>
      </c>
    </row>
    <row r="2804" spans="1:2" x14ac:dyDescent="0.25">
      <c r="A2804" s="924">
        <f t="shared" si="43"/>
        <v>2804</v>
      </c>
      <c r="B2804" s="924">
        <v>6.8</v>
      </c>
    </row>
    <row r="2805" spans="1:2" x14ac:dyDescent="0.25">
      <c r="A2805" s="924">
        <f t="shared" si="43"/>
        <v>2805</v>
      </c>
      <c r="B2805" s="924">
        <v>6.8</v>
      </c>
    </row>
    <row r="2806" spans="1:2" x14ac:dyDescent="0.25">
      <c r="A2806" s="924">
        <f t="shared" si="43"/>
        <v>2806</v>
      </c>
      <c r="B2806" s="924">
        <v>6.8</v>
      </c>
    </row>
    <row r="2807" spans="1:2" x14ac:dyDescent="0.25">
      <c r="A2807" s="924">
        <f t="shared" si="43"/>
        <v>2807</v>
      </c>
      <c r="B2807" s="924">
        <v>6.8</v>
      </c>
    </row>
    <row r="2808" spans="1:2" x14ac:dyDescent="0.25">
      <c r="A2808" s="924">
        <f t="shared" si="43"/>
        <v>2808</v>
      </c>
      <c r="B2808" s="924">
        <v>6.8</v>
      </c>
    </row>
    <row r="2809" spans="1:2" x14ac:dyDescent="0.25">
      <c r="A2809" s="924">
        <f t="shared" si="43"/>
        <v>2809</v>
      </c>
      <c r="B2809" s="924">
        <v>6.8</v>
      </c>
    </row>
    <row r="2810" spans="1:2" x14ac:dyDescent="0.25">
      <c r="A2810" s="924">
        <f t="shared" si="43"/>
        <v>2810</v>
      </c>
      <c r="B2810" s="924">
        <v>6.8</v>
      </c>
    </row>
    <row r="2811" spans="1:2" x14ac:dyDescent="0.25">
      <c r="A2811" s="924">
        <f t="shared" si="43"/>
        <v>2811</v>
      </c>
      <c r="B2811" s="924">
        <v>6.8</v>
      </c>
    </row>
    <row r="2812" spans="1:2" x14ac:dyDescent="0.25">
      <c r="A2812" s="924">
        <f t="shared" si="43"/>
        <v>2812</v>
      </c>
      <c r="B2812" s="924">
        <v>6.8</v>
      </c>
    </row>
    <row r="2813" spans="1:2" x14ac:dyDescent="0.25">
      <c r="A2813" s="924">
        <f t="shared" si="43"/>
        <v>2813</v>
      </c>
      <c r="B2813" s="924">
        <v>6.8</v>
      </c>
    </row>
    <row r="2814" spans="1:2" x14ac:dyDescent="0.25">
      <c r="A2814" s="924">
        <f t="shared" si="43"/>
        <v>2814</v>
      </c>
      <c r="B2814" s="924">
        <v>6.8</v>
      </c>
    </row>
    <row r="2815" spans="1:2" x14ac:dyDescent="0.25">
      <c r="A2815" s="924">
        <f t="shared" si="43"/>
        <v>2815</v>
      </c>
      <c r="B2815" s="924">
        <v>6.8</v>
      </c>
    </row>
    <row r="2816" spans="1:2" x14ac:dyDescent="0.25">
      <c r="A2816" s="924">
        <f t="shared" si="43"/>
        <v>2816</v>
      </c>
      <c r="B2816" s="924">
        <v>6.8</v>
      </c>
    </row>
    <row r="2817" spans="1:2" x14ac:dyDescent="0.25">
      <c r="A2817" s="924">
        <f t="shared" si="43"/>
        <v>2817</v>
      </c>
      <c r="B2817" s="924">
        <v>6.8</v>
      </c>
    </row>
    <row r="2818" spans="1:2" x14ac:dyDescent="0.25">
      <c r="A2818" s="924">
        <f t="shared" si="43"/>
        <v>2818</v>
      </c>
      <c r="B2818" s="924">
        <v>6.8</v>
      </c>
    </row>
    <row r="2819" spans="1:2" x14ac:dyDescent="0.25">
      <c r="A2819" s="924">
        <f t="shared" ref="A2819:A2882" si="44">A2818+1</f>
        <v>2819</v>
      </c>
      <c r="B2819" s="924">
        <v>6.8</v>
      </c>
    </row>
    <row r="2820" spans="1:2" x14ac:dyDescent="0.25">
      <c r="A2820" s="924">
        <f t="shared" si="44"/>
        <v>2820</v>
      </c>
      <c r="B2820" s="924">
        <v>6.8</v>
      </c>
    </row>
    <row r="2821" spans="1:2" x14ac:dyDescent="0.25">
      <c r="A2821" s="924">
        <f t="shared" si="44"/>
        <v>2821</v>
      </c>
      <c r="B2821" s="924">
        <v>6.8</v>
      </c>
    </row>
    <row r="2822" spans="1:2" x14ac:dyDescent="0.25">
      <c r="A2822" s="924">
        <f t="shared" si="44"/>
        <v>2822</v>
      </c>
      <c r="B2822" s="924">
        <v>6.8</v>
      </c>
    </row>
    <row r="2823" spans="1:2" x14ac:dyDescent="0.25">
      <c r="A2823" s="924">
        <f t="shared" si="44"/>
        <v>2823</v>
      </c>
      <c r="B2823" s="924">
        <v>6.8</v>
      </c>
    </row>
    <row r="2824" spans="1:2" x14ac:dyDescent="0.25">
      <c r="A2824" s="924">
        <f t="shared" si="44"/>
        <v>2824</v>
      </c>
      <c r="B2824" s="924">
        <v>6.8</v>
      </c>
    </row>
    <row r="2825" spans="1:2" x14ac:dyDescent="0.25">
      <c r="A2825" s="924">
        <f t="shared" si="44"/>
        <v>2825</v>
      </c>
      <c r="B2825" s="924">
        <v>6.8</v>
      </c>
    </row>
    <row r="2826" spans="1:2" x14ac:dyDescent="0.25">
      <c r="A2826" s="924">
        <f t="shared" si="44"/>
        <v>2826</v>
      </c>
      <c r="B2826" s="924">
        <v>6.8</v>
      </c>
    </row>
    <row r="2827" spans="1:2" x14ac:dyDescent="0.25">
      <c r="A2827" s="924">
        <f t="shared" si="44"/>
        <v>2827</v>
      </c>
      <c r="B2827" s="924">
        <v>6.8</v>
      </c>
    </row>
    <row r="2828" spans="1:2" x14ac:dyDescent="0.25">
      <c r="A2828" s="924">
        <f t="shared" si="44"/>
        <v>2828</v>
      </c>
      <c r="B2828" s="924">
        <v>6.8</v>
      </c>
    </row>
    <row r="2829" spans="1:2" x14ac:dyDescent="0.25">
      <c r="A2829" s="924">
        <f t="shared" si="44"/>
        <v>2829</v>
      </c>
      <c r="B2829" s="924">
        <v>6.8</v>
      </c>
    </row>
    <row r="2830" spans="1:2" x14ac:dyDescent="0.25">
      <c r="A2830" s="924">
        <f t="shared" si="44"/>
        <v>2830</v>
      </c>
      <c r="B2830" s="924">
        <v>6.9</v>
      </c>
    </row>
    <row r="2831" spans="1:2" x14ac:dyDescent="0.25">
      <c r="A2831" s="924">
        <f t="shared" si="44"/>
        <v>2831</v>
      </c>
      <c r="B2831" s="924">
        <v>6.9</v>
      </c>
    </row>
    <row r="2832" spans="1:2" x14ac:dyDescent="0.25">
      <c r="A2832" s="924">
        <f t="shared" si="44"/>
        <v>2832</v>
      </c>
      <c r="B2832" s="924">
        <v>6.9</v>
      </c>
    </row>
    <row r="2833" spans="1:2" x14ac:dyDescent="0.25">
      <c r="A2833" s="924">
        <f t="shared" si="44"/>
        <v>2833</v>
      </c>
      <c r="B2833" s="924">
        <v>6.9</v>
      </c>
    </row>
    <row r="2834" spans="1:2" x14ac:dyDescent="0.25">
      <c r="A2834" s="924">
        <f t="shared" si="44"/>
        <v>2834</v>
      </c>
      <c r="B2834" s="924">
        <v>6.9</v>
      </c>
    </row>
    <row r="2835" spans="1:2" x14ac:dyDescent="0.25">
      <c r="A2835" s="924">
        <f t="shared" si="44"/>
        <v>2835</v>
      </c>
      <c r="B2835" s="924">
        <v>6.9</v>
      </c>
    </row>
    <row r="2836" spans="1:2" x14ac:dyDescent="0.25">
      <c r="A2836" s="924">
        <f t="shared" si="44"/>
        <v>2836</v>
      </c>
      <c r="B2836" s="924">
        <v>6.9</v>
      </c>
    </row>
    <row r="2837" spans="1:2" x14ac:dyDescent="0.25">
      <c r="A2837" s="924">
        <f t="shared" si="44"/>
        <v>2837</v>
      </c>
      <c r="B2837" s="924">
        <v>6.9</v>
      </c>
    </row>
    <row r="2838" spans="1:2" x14ac:dyDescent="0.25">
      <c r="A2838" s="924">
        <f t="shared" si="44"/>
        <v>2838</v>
      </c>
      <c r="B2838" s="924">
        <v>6.9</v>
      </c>
    </row>
    <row r="2839" spans="1:2" x14ac:dyDescent="0.25">
      <c r="A2839" s="924">
        <f t="shared" si="44"/>
        <v>2839</v>
      </c>
      <c r="B2839" s="924">
        <v>6.9</v>
      </c>
    </row>
    <row r="2840" spans="1:2" x14ac:dyDescent="0.25">
      <c r="A2840" s="924">
        <f t="shared" si="44"/>
        <v>2840</v>
      </c>
      <c r="B2840" s="924">
        <v>6.9</v>
      </c>
    </row>
    <row r="2841" spans="1:2" x14ac:dyDescent="0.25">
      <c r="A2841" s="924">
        <f t="shared" si="44"/>
        <v>2841</v>
      </c>
      <c r="B2841" s="924">
        <v>6.9</v>
      </c>
    </row>
    <row r="2842" spans="1:2" x14ac:dyDescent="0.25">
      <c r="A2842" s="924">
        <f t="shared" si="44"/>
        <v>2842</v>
      </c>
      <c r="B2842" s="924">
        <v>6.9</v>
      </c>
    </row>
    <row r="2843" spans="1:2" x14ac:dyDescent="0.25">
      <c r="A2843" s="924">
        <f t="shared" si="44"/>
        <v>2843</v>
      </c>
      <c r="B2843" s="924">
        <v>6.9</v>
      </c>
    </row>
    <row r="2844" spans="1:2" x14ac:dyDescent="0.25">
      <c r="A2844" s="924">
        <f t="shared" si="44"/>
        <v>2844</v>
      </c>
      <c r="B2844" s="924">
        <v>6.9</v>
      </c>
    </row>
    <row r="2845" spans="1:2" x14ac:dyDescent="0.25">
      <c r="A2845" s="924">
        <f t="shared" si="44"/>
        <v>2845</v>
      </c>
      <c r="B2845" s="924">
        <v>6.9</v>
      </c>
    </row>
    <row r="2846" spans="1:2" x14ac:dyDescent="0.25">
      <c r="A2846" s="924">
        <f t="shared" si="44"/>
        <v>2846</v>
      </c>
      <c r="B2846" s="924">
        <v>6.9</v>
      </c>
    </row>
    <row r="2847" spans="1:2" x14ac:dyDescent="0.25">
      <c r="A2847" s="924">
        <f t="shared" si="44"/>
        <v>2847</v>
      </c>
      <c r="B2847" s="924">
        <v>6.9</v>
      </c>
    </row>
    <row r="2848" spans="1:2" x14ac:dyDescent="0.25">
      <c r="A2848" s="924">
        <f t="shared" si="44"/>
        <v>2848</v>
      </c>
      <c r="B2848" s="924">
        <v>6.9</v>
      </c>
    </row>
    <row r="2849" spans="1:2" x14ac:dyDescent="0.25">
      <c r="A2849" s="924">
        <f t="shared" si="44"/>
        <v>2849</v>
      </c>
      <c r="B2849" s="924">
        <v>6.9</v>
      </c>
    </row>
    <row r="2850" spans="1:2" x14ac:dyDescent="0.25">
      <c r="A2850" s="924">
        <f t="shared" si="44"/>
        <v>2850</v>
      </c>
      <c r="B2850" s="924">
        <v>6.9</v>
      </c>
    </row>
    <row r="2851" spans="1:2" x14ac:dyDescent="0.25">
      <c r="A2851" s="924">
        <f t="shared" si="44"/>
        <v>2851</v>
      </c>
      <c r="B2851" s="924">
        <v>6.9</v>
      </c>
    </row>
    <row r="2852" spans="1:2" x14ac:dyDescent="0.25">
      <c r="A2852" s="924">
        <f t="shared" si="44"/>
        <v>2852</v>
      </c>
      <c r="B2852" s="924">
        <v>6.9</v>
      </c>
    </row>
    <row r="2853" spans="1:2" x14ac:dyDescent="0.25">
      <c r="A2853" s="924">
        <f t="shared" si="44"/>
        <v>2853</v>
      </c>
      <c r="B2853" s="924">
        <v>6.9</v>
      </c>
    </row>
    <row r="2854" spans="1:2" x14ac:dyDescent="0.25">
      <c r="A2854" s="924">
        <f t="shared" si="44"/>
        <v>2854</v>
      </c>
      <c r="B2854" s="924">
        <v>6.9</v>
      </c>
    </row>
    <row r="2855" spans="1:2" x14ac:dyDescent="0.25">
      <c r="A2855" s="924">
        <f t="shared" si="44"/>
        <v>2855</v>
      </c>
      <c r="B2855" s="924">
        <v>6.9</v>
      </c>
    </row>
    <row r="2856" spans="1:2" x14ac:dyDescent="0.25">
      <c r="A2856" s="924">
        <f t="shared" si="44"/>
        <v>2856</v>
      </c>
      <c r="B2856" s="924">
        <v>6.9</v>
      </c>
    </row>
    <row r="2857" spans="1:2" x14ac:dyDescent="0.25">
      <c r="A2857" s="924">
        <f t="shared" si="44"/>
        <v>2857</v>
      </c>
      <c r="B2857" s="924">
        <v>6.9</v>
      </c>
    </row>
    <row r="2858" spans="1:2" x14ac:dyDescent="0.25">
      <c r="A2858" s="924">
        <f t="shared" si="44"/>
        <v>2858</v>
      </c>
      <c r="B2858" s="924">
        <v>6.9</v>
      </c>
    </row>
    <row r="2859" spans="1:2" x14ac:dyDescent="0.25">
      <c r="A2859" s="924">
        <f t="shared" si="44"/>
        <v>2859</v>
      </c>
      <c r="B2859" s="924">
        <v>6.9</v>
      </c>
    </row>
    <row r="2860" spans="1:2" x14ac:dyDescent="0.25">
      <c r="A2860" s="924">
        <f t="shared" si="44"/>
        <v>2860</v>
      </c>
      <c r="B2860" s="924">
        <v>6.9</v>
      </c>
    </row>
    <row r="2861" spans="1:2" x14ac:dyDescent="0.25">
      <c r="A2861" s="924">
        <f t="shared" si="44"/>
        <v>2861</v>
      </c>
      <c r="B2861" s="924">
        <v>6.9</v>
      </c>
    </row>
    <row r="2862" spans="1:2" x14ac:dyDescent="0.25">
      <c r="A2862" s="924">
        <f t="shared" si="44"/>
        <v>2862</v>
      </c>
      <c r="B2862" s="924">
        <v>6.9</v>
      </c>
    </row>
    <row r="2863" spans="1:2" x14ac:dyDescent="0.25">
      <c r="A2863" s="924">
        <f t="shared" si="44"/>
        <v>2863</v>
      </c>
      <c r="B2863" s="924">
        <v>6.9</v>
      </c>
    </row>
    <row r="2864" spans="1:2" x14ac:dyDescent="0.25">
      <c r="A2864" s="924">
        <f t="shared" si="44"/>
        <v>2864</v>
      </c>
      <c r="B2864" s="924">
        <v>6.9</v>
      </c>
    </row>
    <row r="2865" spans="1:2" x14ac:dyDescent="0.25">
      <c r="A2865" s="924">
        <f t="shared" si="44"/>
        <v>2865</v>
      </c>
      <c r="B2865" s="924">
        <v>6.9</v>
      </c>
    </row>
    <row r="2866" spans="1:2" x14ac:dyDescent="0.25">
      <c r="A2866" s="924">
        <f t="shared" si="44"/>
        <v>2866</v>
      </c>
      <c r="B2866" s="924">
        <v>6.9</v>
      </c>
    </row>
    <row r="2867" spans="1:2" x14ac:dyDescent="0.25">
      <c r="A2867" s="924">
        <f t="shared" si="44"/>
        <v>2867</v>
      </c>
      <c r="B2867" s="924">
        <v>6.9</v>
      </c>
    </row>
    <row r="2868" spans="1:2" x14ac:dyDescent="0.25">
      <c r="A2868" s="924">
        <f t="shared" si="44"/>
        <v>2868</v>
      </c>
      <c r="B2868" s="924">
        <v>6.9</v>
      </c>
    </row>
    <row r="2869" spans="1:2" x14ac:dyDescent="0.25">
      <c r="A2869" s="924">
        <f t="shared" si="44"/>
        <v>2869</v>
      </c>
      <c r="B2869" s="924">
        <v>6.9</v>
      </c>
    </row>
    <row r="2870" spans="1:2" x14ac:dyDescent="0.25">
      <c r="A2870" s="924">
        <f t="shared" si="44"/>
        <v>2870</v>
      </c>
      <c r="B2870" s="924">
        <v>6.9</v>
      </c>
    </row>
    <row r="2871" spans="1:2" x14ac:dyDescent="0.25">
      <c r="A2871" s="924">
        <f t="shared" si="44"/>
        <v>2871</v>
      </c>
      <c r="B2871" s="924">
        <v>7</v>
      </c>
    </row>
    <row r="2872" spans="1:2" x14ac:dyDescent="0.25">
      <c r="A2872" s="924">
        <f t="shared" si="44"/>
        <v>2872</v>
      </c>
      <c r="B2872" s="924">
        <v>7</v>
      </c>
    </row>
    <row r="2873" spans="1:2" x14ac:dyDescent="0.25">
      <c r="A2873" s="924">
        <f t="shared" si="44"/>
        <v>2873</v>
      </c>
      <c r="B2873" s="924">
        <v>7</v>
      </c>
    </row>
    <row r="2874" spans="1:2" x14ac:dyDescent="0.25">
      <c r="A2874" s="924">
        <f t="shared" si="44"/>
        <v>2874</v>
      </c>
      <c r="B2874" s="924">
        <v>7</v>
      </c>
    </row>
    <row r="2875" spans="1:2" x14ac:dyDescent="0.25">
      <c r="A2875" s="924">
        <f t="shared" si="44"/>
        <v>2875</v>
      </c>
      <c r="B2875" s="924">
        <v>7</v>
      </c>
    </row>
    <row r="2876" spans="1:2" x14ac:dyDescent="0.25">
      <c r="A2876" s="924">
        <f t="shared" si="44"/>
        <v>2876</v>
      </c>
      <c r="B2876" s="924">
        <v>7</v>
      </c>
    </row>
    <row r="2877" spans="1:2" x14ac:dyDescent="0.25">
      <c r="A2877" s="924">
        <f t="shared" si="44"/>
        <v>2877</v>
      </c>
      <c r="B2877" s="924">
        <v>7</v>
      </c>
    </row>
    <row r="2878" spans="1:2" x14ac:dyDescent="0.25">
      <c r="A2878" s="924">
        <f t="shared" si="44"/>
        <v>2878</v>
      </c>
      <c r="B2878" s="924">
        <v>7</v>
      </c>
    </row>
    <row r="2879" spans="1:2" x14ac:dyDescent="0.25">
      <c r="A2879" s="924">
        <f t="shared" si="44"/>
        <v>2879</v>
      </c>
      <c r="B2879" s="924">
        <v>7</v>
      </c>
    </row>
    <row r="2880" spans="1:2" x14ac:dyDescent="0.25">
      <c r="A2880" s="924">
        <f t="shared" si="44"/>
        <v>2880</v>
      </c>
      <c r="B2880" s="924">
        <v>7</v>
      </c>
    </row>
    <row r="2881" spans="1:2" x14ac:dyDescent="0.25">
      <c r="A2881" s="924">
        <f t="shared" si="44"/>
        <v>2881</v>
      </c>
      <c r="B2881" s="924">
        <v>7</v>
      </c>
    </row>
    <row r="2882" spans="1:2" x14ac:dyDescent="0.25">
      <c r="A2882" s="924">
        <f t="shared" si="44"/>
        <v>2882</v>
      </c>
      <c r="B2882" s="924">
        <v>7</v>
      </c>
    </row>
    <row r="2883" spans="1:2" x14ac:dyDescent="0.25">
      <c r="A2883" s="924">
        <f t="shared" ref="A2883:A2946" si="45">A2882+1</f>
        <v>2883</v>
      </c>
      <c r="B2883" s="924">
        <v>7</v>
      </c>
    </row>
    <row r="2884" spans="1:2" x14ac:dyDescent="0.25">
      <c r="A2884" s="924">
        <f t="shared" si="45"/>
        <v>2884</v>
      </c>
      <c r="B2884" s="924">
        <v>7</v>
      </c>
    </row>
    <row r="2885" spans="1:2" x14ac:dyDescent="0.25">
      <c r="A2885" s="924">
        <f t="shared" si="45"/>
        <v>2885</v>
      </c>
      <c r="B2885" s="924">
        <v>7</v>
      </c>
    </row>
    <row r="2886" spans="1:2" x14ac:dyDescent="0.25">
      <c r="A2886" s="924">
        <f t="shared" si="45"/>
        <v>2886</v>
      </c>
      <c r="B2886" s="924">
        <v>7</v>
      </c>
    </row>
    <row r="2887" spans="1:2" x14ac:dyDescent="0.25">
      <c r="A2887" s="924">
        <f t="shared" si="45"/>
        <v>2887</v>
      </c>
      <c r="B2887" s="924">
        <v>7</v>
      </c>
    </row>
    <row r="2888" spans="1:2" x14ac:dyDescent="0.25">
      <c r="A2888" s="924">
        <f t="shared" si="45"/>
        <v>2888</v>
      </c>
      <c r="B2888" s="924">
        <v>7</v>
      </c>
    </row>
    <row r="2889" spans="1:2" x14ac:dyDescent="0.25">
      <c r="A2889" s="924">
        <f t="shared" si="45"/>
        <v>2889</v>
      </c>
      <c r="B2889" s="924">
        <v>7</v>
      </c>
    </row>
    <row r="2890" spans="1:2" x14ac:dyDescent="0.25">
      <c r="A2890" s="924">
        <f t="shared" si="45"/>
        <v>2890</v>
      </c>
      <c r="B2890" s="924">
        <v>7</v>
      </c>
    </row>
    <row r="2891" spans="1:2" x14ac:dyDescent="0.25">
      <c r="A2891" s="924">
        <f t="shared" si="45"/>
        <v>2891</v>
      </c>
      <c r="B2891" s="924">
        <v>7</v>
      </c>
    </row>
    <row r="2892" spans="1:2" x14ac:dyDescent="0.25">
      <c r="A2892" s="924">
        <f t="shared" si="45"/>
        <v>2892</v>
      </c>
      <c r="B2892" s="924">
        <v>7</v>
      </c>
    </row>
    <row r="2893" spans="1:2" x14ac:dyDescent="0.25">
      <c r="A2893" s="924">
        <f t="shared" si="45"/>
        <v>2893</v>
      </c>
      <c r="B2893" s="924">
        <v>7</v>
      </c>
    </row>
    <row r="2894" spans="1:2" x14ac:dyDescent="0.25">
      <c r="A2894" s="924">
        <f t="shared" si="45"/>
        <v>2894</v>
      </c>
      <c r="B2894" s="924">
        <v>7</v>
      </c>
    </row>
    <row r="2895" spans="1:2" x14ac:dyDescent="0.25">
      <c r="A2895" s="924">
        <f t="shared" si="45"/>
        <v>2895</v>
      </c>
      <c r="B2895" s="924">
        <v>7</v>
      </c>
    </row>
    <row r="2896" spans="1:2" x14ac:dyDescent="0.25">
      <c r="A2896" s="924">
        <f t="shared" si="45"/>
        <v>2896</v>
      </c>
      <c r="B2896" s="924">
        <v>7</v>
      </c>
    </row>
    <row r="2897" spans="1:2" x14ac:dyDescent="0.25">
      <c r="A2897" s="924">
        <f t="shared" si="45"/>
        <v>2897</v>
      </c>
      <c r="B2897" s="924">
        <v>7</v>
      </c>
    </row>
    <row r="2898" spans="1:2" x14ac:dyDescent="0.25">
      <c r="A2898" s="924">
        <f t="shared" si="45"/>
        <v>2898</v>
      </c>
      <c r="B2898" s="924">
        <v>7</v>
      </c>
    </row>
    <row r="2899" spans="1:2" x14ac:dyDescent="0.25">
      <c r="A2899" s="924">
        <f t="shared" si="45"/>
        <v>2899</v>
      </c>
      <c r="B2899" s="924">
        <v>7</v>
      </c>
    </row>
    <row r="2900" spans="1:2" x14ac:dyDescent="0.25">
      <c r="A2900" s="924">
        <f t="shared" si="45"/>
        <v>2900</v>
      </c>
      <c r="B2900" s="924">
        <v>7</v>
      </c>
    </row>
    <row r="2901" spans="1:2" x14ac:dyDescent="0.25">
      <c r="A2901" s="924">
        <f t="shared" si="45"/>
        <v>2901</v>
      </c>
      <c r="B2901" s="924">
        <v>7</v>
      </c>
    </row>
    <row r="2902" spans="1:2" x14ac:dyDescent="0.25">
      <c r="A2902" s="924">
        <f t="shared" si="45"/>
        <v>2902</v>
      </c>
      <c r="B2902" s="924">
        <v>7</v>
      </c>
    </row>
    <row r="2903" spans="1:2" x14ac:dyDescent="0.25">
      <c r="A2903" s="924">
        <f t="shared" si="45"/>
        <v>2903</v>
      </c>
      <c r="B2903" s="924">
        <v>7</v>
      </c>
    </row>
    <row r="2904" spans="1:2" x14ac:dyDescent="0.25">
      <c r="A2904" s="924">
        <f t="shared" si="45"/>
        <v>2904</v>
      </c>
      <c r="B2904" s="924">
        <v>7</v>
      </c>
    </row>
    <row r="2905" spans="1:2" x14ac:dyDescent="0.25">
      <c r="A2905" s="924">
        <f t="shared" si="45"/>
        <v>2905</v>
      </c>
      <c r="B2905" s="924">
        <v>7</v>
      </c>
    </row>
    <row r="2906" spans="1:2" x14ac:dyDescent="0.25">
      <c r="A2906" s="924">
        <f t="shared" si="45"/>
        <v>2906</v>
      </c>
      <c r="B2906" s="924">
        <v>7</v>
      </c>
    </row>
    <row r="2907" spans="1:2" x14ac:dyDescent="0.25">
      <c r="A2907" s="924">
        <f t="shared" si="45"/>
        <v>2907</v>
      </c>
      <c r="B2907" s="924">
        <v>7</v>
      </c>
    </row>
    <row r="2908" spans="1:2" x14ac:dyDescent="0.25">
      <c r="A2908" s="924">
        <f t="shared" si="45"/>
        <v>2908</v>
      </c>
      <c r="B2908" s="924">
        <v>7</v>
      </c>
    </row>
    <row r="2909" spans="1:2" x14ac:dyDescent="0.25">
      <c r="A2909" s="924">
        <f t="shared" si="45"/>
        <v>2909</v>
      </c>
      <c r="B2909" s="924">
        <v>7</v>
      </c>
    </row>
    <row r="2910" spans="1:2" x14ac:dyDescent="0.25">
      <c r="A2910" s="924">
        <f t="shared" si="45"/>
        <v>2910</v>
      </c>
      <c r="B2910" s="924">
        <v>7</v>
      </c>
    </row>
    <row r="2911" spans="1:2" x14ac:dyDescent="0.25">
      <c r="A2911" s="924">
        <f t="shared" si="45"/>
        <v>2911</v>
      </c>
      <c r="B2911" s="924">
        <v>7</v>
      </c>
    </row>
    <row r="2912" spans="1:2" x14ac:dyDescent="0.25">
      <c r="A2912" s="924">
        <f t="shared" si="45"/>
        <v>2912</v>
      </c>
      <c r="B2912" s="924">
        <v>7</v>
      </c>
    </row>
    <row r="2913" spans="1:2" x14ac:dyDescent="0.25">
      <c r="A2913" s="924">
        <f t="shared" si="45"/>
        <v>2913</v>
      </c>
      <c r="B2913" s="924">
        <v>7</v>
      </c>
    </row>
    <row r="2914" spans="1:2" x14ac:dyDescent="0.25">
      <c r="A2914" s="924">
        <f t="shared" si="45"/>
        <v>2914</v>
      </c>
      <c r="B2914" s="924">
        <v>7</v>
      </c>
    </row>
    <row r="2915" spans="1:2" x14ac:dyDescent="0.25">
      <c r="A2915" s="924">
        <f t="shared" si="45"/>
        <v>2915</v>
      </c>
      <c r="B2915" s="924">
        <v>7</v>
      </c>
    </row>
    <row r="2916" spans="1:2" x14ac:dyDescent="0.25">
      <c r="A2916" s="924">
        <f t="shared" si="45"/>
        <v>2916</v>
      </c>
      <c r="B2916" s="924">
        <v>7</v>
      </c>
    </row>
    <row r="2917" spans="1:2" x14ac:dyDescent="0.25">
      <c r="A2917" s="924">
        <f t="shared" si="45"/>
        <v>2917</v>
      </c>
      <c r="B2917" s="924">
        <v>7</v>
      </c>
    </row>
    <row r="2918" spans="1:2" x14ac:dyDescent="0.25">
      <c r="A2918" s="924">
        <f t="shared" si="45"/>
        <v>2918</v>
      </c>
      <c r="B2918" s="924">
        <v>7</v>
      </c>
    </row>
    <row r="2919" spans="1:2" x14ac:dyDescent="0.25">
      <c r="A2919" s="924">
        <f t="shared" si="45"/>
        <v>2919</v>
      </c>
      <c r="B2919" s="924">
        <v>7</v>
      </c>
    </row>
    <row r="2920" spans="1:2" x14ac:dyDescent="0.25">
      <c r="A2920" s="924">
        <f t="shared" si="45"/>
        <v>2920</v>
      </c>
      <c r="B2920" s="924">
        <v>7</v>
      </c>
    </row>
    <row r="2921" spans="1:2" x14ac:dyDescent="0.25">
      <c r="A2921" s="924">
        <f t="shared" si="45"/>
        <v>2921</v>
      </c>
      <c r="B2921" s="924">
        <v>7</v>
      </c>
    </row>
    <row r="2922" spans="1:2" x14ac:dyDescent="0.25">
      <c r="A2922" s="924">
        <f t="shared" si="45"/>
        <v>2922</v>
      </c>
      <c r="B2922" s="924">
        <v>7</v>
      </c>
    </row>
    <row r="2923" spans="1:2" x14ac:dyDescent="0.25">
      <c r="A2923" s="924">
        <f t="shared" si="45"/>
        <v>2923</v>
      </c>
      <c r="B2923" s="924">
        <v>7</v>
      </c>
    </row>
    <row r="2924" spans="1:2" x14ac:dyDescent="0.25">
      <c r="A2924" s="924">
        <f t="shared" si="45"/>
        <v>2924</v>
      </c>
      <c r="B2924" s="924">
        <v>7</v>
      </c>
    </row>
    <row r="2925" spans="1:2" x14ac:dyDescent="0.25">
      <c r="A2925" s="924">
        <f t="shared" si="45"/>
        <v>2925</v>
      </c>
      <c r="B2925" s="924">
        <v>7</v>
      </c>
    </row>
    <row r="2926" spans="1:2" x14ac:dyDescent="0.25">
      <c r="A2926" s="924">
        <f t="shared" si="45"/>
        <v>2926</v>
      </c>
      <c r="B2926" s="924">
        <v>7.1</v>
      </c>
    </row>
    <row r="2927" spans="1:2" x14ac:dyDescent="0.25">
      <c r="A2927" s="924">
        <f t="shared" si="45"/>
        <v>2927</v>
      </c>
      <c r="B2927" s="924">
        <v>7.1</v>
      </c>
    </row>
    <row r="2928" spans="1:2" x14ac:dyDescent="0.25">
      <c r="A2928" s="924">
        <f t="shared" si="45"/>
        <v>2928</v>
      </c>
      <c r="B2928" s="924">
        <v>7.1</v>
      </c>
    </row>
    <row r="2929" spans="1:2" x14ac:dyDescent="0.25">
      <c r="A2929" s="924">
        <f t="shared" si="45"/>
        <v>2929</v>
      </c>
      <c r="B2929" s="924">
        <v>7.1</v>
      </c>
    </row>
    <row r="2930" spans="1:2" x14ac:dyDescent="0.25">
      <c r="A2930" s="924">
        <f t="shared" si="45"/>
        <v>2930</v>
      </c>
      <c r="B2930" s="924">
        <v>7.1</v>
      </c>
    </row>
    <row r="2931" spans="1:2" x14ac:dyDescent="0.25">
      <c r="A2931" s="924">
        <f t="shared" si="45"/>
        <v>2931</v>
      </c>
      <c r="B2931" s="924">
        <v>7.1</v>
      </c>
    </row>
    <row r="2932" spans="1:2" x14ac:dyDescent="0.25">
      <c r="A2932" s="924">
        <f t="shared" si="45"/>
        <v>2932</v>
      </c>
      <c r="B2932" s="924">
        <v>7.1</v>
      </c>
    </row>
    <row r="2933" spans="1:2" x14ac:dyDescent="0.25">
      <c r="A2933" s="924">
        <f t="shared" si="45"/>
        <v>2933</v>
      </c>
      <c r="B2933" s="924">
        <v>7.1</v>
      </c>
    </row>
    <row r="2934" spans="1:2" x14ac:dyDescent="0.25">
      <c r="A2934" s="924">
        <f t="shared" si="45"/>
        <v>2934</v>
      </c>
      <c r="B2934" s="924">
        <v>7.1</v>
      </c>
    </row>
    <row r="2935" spans="1:2" x14ac:dyDescent="0.25">
      <c r="A2935" s="924">
        <f t="shared" si="45"/>
        <v>2935</v>
      </c>
      <c r="B2935" s="924">
        <v>7.1</v>
      </c>
    </row>
    <row r="2936" spans="1:2" x14ac:dyDescent="0.25">
      <c r="A2936" s="924">
        <f t="shared" si="45"/>
        <v>2936</v>
      </c>
      <c r="B2936" s="924">
        <v>7.1</v>
      </c>
    </row>
    <row r="2937" spans="1:2" x14ac:dyDescent="0.25">
      <c r="A2937" s="924">
        <f t="shared" si="45"/>
        <v>2937</v>
      </c>
      <c r="B2937" s="924">
        <v>7.1</v>
      </c>
    </row>
    <row r="2938" spans="1:2" x14ac:dyDescent="0.25">
      <c r="A2938" s="924">
        <f t="shared" si="45"/>
        <v>2938</v>
      </c>
      <c r="B2938" s="924">
        <v>7.1</v>
      </c>
    </row>
    <row r="2939" spans="1:2" x14ac:dyDescent="0.25">
      <c r="A2939" s="924">
        <f t="shared" si="45"/>
        <v>2939</v>
      </c>
      <c r="B2939" s="924">
        <v>7.1</v>
      </c>
    </row>
    <row r="2940" spans="1:2" x14ac:dyDescent="0.25">
      <c r="A2940" s="924">
        <f t="shared" si="45"/>
        <v>2940</v>
      </c>
      <c r="B2940" s="924">
        <v>7.1</v>
      </c>
    </row>
    <row r="2941" spans="1:2" x14ac:dyDescent="0.25">
      <c r="A2941" s="924">
        <f t="shared" si="45"/>
        <v>2941</v>
      </c>
      <c r="B2941" s="924">
        <v>7.1</v>
      </c>
    </row>
    <row r="2942" spans="1:2" x14ac:dyDescent="0.25">
      <c r="A2942" s="924">
        <f t="shared" si="45"/>
        <v>2942</v>
      </c>
      <c r="B2942" s="924">
        <v>7.1</v>
      </c>
    </row>
    <row r="2943" spans="1:2" x14ac:dyDescent="0.25">
      <c r="A2943" s="924">
        <f t="shared" si="45"/>
        <v>2943</v>
      </c>
      <c r="B2943" s="924">
        <v>7.1</v>
      </c>
    </row>
    <row r="2944" spans="1:2" x14ac:dyDescent="0.25">
      <c r="A2944" s="924">
        <f t="shared" si="45"/>
        <v>2944</v>
      </c>
      <c r="B2944" s="924">
        <v>7.1</v>
      </c>
    </row>
    <row r="2945" spans="1:2" x14ac:dyDescent="0.25">
      <c r="A2945" s="924">
        <f t="shared" si="45"/>
        <v>2945</v>
      </c>
      <c r="B2945" s="924">
        <v>7.1</v>
      </c>
    </row>
    <row r="2946" spans="1:2" x14ac:dyDescent="0.25">
      <c r="A2946" s="924">
        <f t="shared" si="45"/>
        <v>2946</v>
      </c>
      <c r="B2946" s="924">
        <v>7.1</v>
      </c>
    </row>
    <row r="2947" spans="1:2" x14ac:dyDescent="0.25">
      <c r="A2947" s="924">
        <f t="shared" ref="A2947:A3010" si="46">A2946+1</f>
        <v>2947</v>
      </c>
      <c r="B2947" s="924">
        <v>7.1</v>
      </c>
    </row>
    <row r="2948" spans="1:2" x14ac:dyDescent="0.25">
      <c r="A2948" s="924">
        <f t="shared" si="46"/>
        <v>2948</v>
      </c>
      <c r="B2948" s="924">
        <v>7.1</v>
      </c>
    </row>
    <row r="2949" spans="1:2" x14ac:dyDescent="0.25">
      <c r="A2949" s="924">
        <f t="shared" si="46"/>
        <v>2949</v>
      </c>
      <c r="B2949" s="924">
        <v>7.1</v>
      </c>
    </row>
    <row r="2950" spans="1:2" x14ac:dyDescent="0.25">
      <c r="A2950" s="924">
        <f t="shared" si="46"/>
        <v>2950</v>
      </c>
      <c r="B2950" s="924">
        <v>7.1</v>
      </c>
    </row>
    <row r="2951" spans="1:2" x14ac:dyDescent="0.25">
      <c r="A2951" s="924">
        <f t="shared" si="46"/>
        <v>2951</v>
      </c>
      <c r="B2951" s="924">
        <v>7.1</v>
      </c>
    </row>
    <row r="2952" spans="1:2" x14ac:dyDescent="0.25">
      <c r="A2952" s="924">
        <f t="shared" si="46"/>
        <v>2952</v>
      </c>
      <c r="B2952" s="924">
        <v>7.1</v>
      </c>
    </row>
    <row r="2953" spans="1:2" x14ac:dyDescent="0.25">
      <c r="A2953" s="924">
        <f t="shared" si="46"/>
        <v>2953</v>
      </c>
      <c r="B2953" s="924">
        <v>7.1</v>
      </c>
    </row>
    <row r="2954" spans="1:2" x14ac:dyDescent="0.25">
      <c r="A2954" s="924">
        <f t="shared" si="46"/>
        <v>2954</v>
      </c>
      <c r="B2954" s="924">
        <v>7.1</v>
      </c>
    </row>
    <row r="2955" spans="1:2" x14ac:dyDescent="0.25">
      <c r="A2955" s="924">
        <f t="shared" si="46"/>
        <v>2955</v>
      </c>
      <c r="B2955" s="924">
        <v>7.1</v>
      </c>
    </row>
    <row r="2956" spans="1:2" x14ac:dyDescent="0.25">
      <c r="A2956" s="924">
        <f t="shared" si="46"/>
        <v>2956</v>
      </c>
      <c r="B2956" s="924">
        <v>7.1</v>
      </c>
    </row>
    <row r="2957" spans="1:2" x14ac:dyDescent="0.25">
      <c r="A2957" s="924">
        <f t="shared" si="46"/>
        <v>2957</v>
      </c>
      <c r="B2957" s="924">
        <v>7.1</v>
      </c>
    </row>
    <row r="2958" spans="1:2" x14ac:dyDescent="0.25">
      <c r="A2958" s="924">
        <f t="shared" si="46"/>
        <v>2958</v>
      </c>
      <c r="B2958" s="924">
        <v>7.1</v>
      </c>
    </row>
    <row r="2959" spans="1:2" x14ac:dyDescent="0.25">
      <c r="A2959" s="924">
        <f t="shared" si="46"/>
        <v>2959</v>
      </c>
      <c r="B2959" s="924">
        <v>7.1</v>
      </c>
    </row>
    <row r="2960" spans="1:2" x14ac:dyDescent="0.25">
      <c r="A2960" s="924">
        <f t="shared" si="46"/>
        <v>2960</v>
      </c>
      <c r="B2960" s="924">
        <v>7.1</v>
      </c>
    </row>
    <row r="2961" spans="1:2" x14ac:dyDescent="0.25">
      <c r="A2961" s="924">
        <f t="shared" si="46"/>
        <v>2961</v>
      </c>
      <c r="B2961" s="924">
        <v>7.1</v>
      </c>
    </row>
    <row r="2962" spans="1:2" x14ac:dyDescent="0.25">
      <c r="A2962" s="924">
        <f t="shared" si="46"/>
        <v>2962</v>
      </c>
      <c r="B2962" s="924">
        <v>7.1</v>
      </c>
    </row>
    <row r="2963" spans="1:2" x14ac:dyDescent="0.25">
      <c r="A2963" s="924">
        <f t="shared" si="46"/>
        <v>2963</v>
      </c>
      <c r="B2963" s="924">
        <v>7.1</v>
      </c>
    </row>
    <row r="2964" spans="1:2" x14ac:dyDescent="0.25">
      <c r="A2964" s="924">
        <f t="shared" si="46"/>
        <v>2964</v>
      </c>
      <c r="B2964" s="924">
        <v>7.1</v>
      </c>
    </row>
    <row r="2965" spans="1:2" x14ac:dyDescent="0.25">
      <c r="A2965" s="924">
        <f t="shared" si="46"/>
        <v>2965</v>
      </c>
      <c r="B2965" s="924">
        <v>7.1</v>
      </c>
    </row>
    <row r="2966" spans="1:2" x14ac:dyDescent="0.25">
      <c r="A2966" s="924">
        <f t="shared" si="46"/>
        <v>2966</v>
      </c>
      <c r="B2966" s="924">
        <v>7.1</v>
      </c>
    </row>
    <row r="2967" spans="1:2" x14ac:dyDescent="0.25">
      <c r="A2967" s="924">
        <f t="shared" si="46"/>
        <v>2967</v>
      </c>
      <c r="B2967" s="924">
        <v>7.1</v>
      </c>
    </row>
    <row r="2968" spans="1:2" x14ac:dyDescent="0.25">
      <c r="A2968" s="924">
        <f t="shared" si="46"/>
        <v>2968</v>
      </c>
      <c r="B2968" s="924">
        <v>7.1</v>
      </c>
    </row>
    <row r="2969" spans="1:2" x14ac:dyDescent="0.25">
      <c r="A2969" s="924">
        <f t="shared" si="46"/>
        <v>2969</v>
      </c>
      <c r="B2969" s="924">
        <v>7.1</v>
      </c>
    </row>
    <row r="2970" spans="1:2" x14ac:dyDescent="0.25">
      <c r="A2970" s="924">
        <f t="shared" si="46"/>
        <v>2970</v>
      </c>
      <c r="B2970" s="924">
        <v>7.1</v>
      </c>
    </row>
    <row r="2971" spans="1:2" x14ac:dyDescent="0.25">
      <c r="A2971" s="924">
        <f t="shared" si="46"/>
        <v>2971</v>
      </c>
      <c r="B2971" s="924">
        <v>7.1</v>
      </c>
    </row>
    <row r="2972" spans="1:2" x14ac:dyDescent="0.25">
      <c r="A2972" s="924">
        <f t="shared" si="46"/>
        <v>2972</v>
      </c>
      <c r="B2972" s="924">
        <v>7.1</v>
      </c>
    </row>
    <row r="2973" spans="1:2" x14ac:dyDescent="0.25">
      <c r="A2973" s="924">
        <f t="shared" si="46"/>
        <v>2973</v>
      </c>
      <c r="B2973" s="924">
        <v>7.1</v>
      </c>
    </row>
    <row r="2974" spans="1:2" x14ac:dyDescent="0.25">
      <c r="A2974" s="924">
        <f t="shared" si="46"/>
        <v>2974</v>
      </c>
      <c r="B2974" s="924">
        <v>7.1</v>
      </c>
    </row>
    <row r="2975" spans="1:2" x14ac:dyDescent="0.25">
      <c r="A2975" s="924">
        <f t="shared" si="46"/>
        <v>2975</v>
      </c>
      <c r="B2975" s="924">
        <v>7.1</v>
      </c>
    </row>
    <row r="2976" spans="1:2" x14ac:dyDescent="0.25">
      <c r="A2976" s="924">
        <f t="shared" si="46"/>
        <v>2976</v>
      </c>
      <c r="B2976" s="924">
        <v>7.1</v>
      </c>
    </row>
    <row r="2977" spans="1:2" x14ac:dyDescent="0.25">
      <c r="A2977" s="924">
        <f t="shared" si="46"/>
        <v>2977</v>
      </c>
      <c r="B2977" s="924">
        <v>7.2</v>
      </c>
    </row>
    <row r="2978" spans="1:2" x14ac:dyDescent="0.25">
      <c r="A2978" s="924">
        <f t="shared" si="46"/>
        <v>2978</v>
      </c>
      <c r="B2978" s="924">
        <v>7.2</v>
      </c>
    </row>
    <row r="2979" spans="1:2" x14ac:dyDescent="0.25">
      <c r="A2979" s="924">
        <f t="shared" si="46"/>
        <v>2979</v>
      </c>
      <c r="B2979" s="924">
        <v>7.2</v>
      </c>
    </row>
    <row r="2980" spans="1:2" x14ac:dyDescent="0.25">
      <c r="A2980" s="924">
        <f t="shared" si="46"/>
        <v>2980</v>
      </c>
      <c r="B2980" s="924">
        <v>7.2</v>
      </c>
    </row>
    <row r="2981" spans="1:2" x14ac:dyDescent="0.25">
      <c r="A2981" s="924">
        <f t="shared" si="46"/>
        <v>2981</v>
      </c>
      <c r="B2981" s="924">
        <v>7.2</v>
      </c>
    </row>
    <row r="2982" spans="1:2" x14ac:dyDescent="0.25">
      <c r="A2982" s="924">
        <f t="shared" si="46"/>
        <v>2982</v>
      </c>
      <c r="B2982" s="924">
        <v>7.2</v>
      </c>
    </row>
    <row r="2983" spans="1:2" x14ac:dyDescent="0.25">
      <c r="A2983" s="924">
        <f t="shared" si="46"/>
        <v>2983</v>
      </c>
      <c r="B2983" s="924">
        <v>7.2</v>
      </c>
    </row>
    <row r="2984" spans="1:2" x14ac:dyDescent="0.25">
      <c r="A2984" s="924">
        <f t="shared" si="46"/>
        <v>2984</v>
      </c>
      <c r="B2984" s="924">
        <v>7.2</v>
      </c>
    </row>
    <row r="2985" spans="1:2" x14ac:dyDescent="0.25">
      <c r="A2985" s="924">
        <f t="shared" si="46"/>
        <v>2985</v>
      </c>
      <c r="B2985" s="924">
        <v>7.2</v>
      </c>
    </row>
    <row r="2986" spans="1:2" x14ac:dyDescent="0.25">
      <c r="A2986" s="924">
        <f t="shared" si="46"/>
        <v>2986</v>
      </c>
      <c r="B2986" s="924">
        <v>7.2</v>
      </c>
    </row>
    <row r="2987" spans="1:2" x14ac:dyDescent="0.25">
      <c r="A2987" s="924">
        <f t="shared" si="46"/>
        <v>2987</v>
      </c>
      <c r="B2987" s="924">
        <v>7.2</v>
      </c>
    </row>
    <row r="2988" spans="1:2" x14ac:dyDescent="0.25">
      <c r="A2988" s="924">
        <f t="shared" si="46"/>
        <v>2988</v>
      </c>
      <c r="B2988" s="924">
        <v>7.2</v>
      </c>
    </row>
    <row r="2989" spans="1:2" x14ac:dyDescent="0.25">
      <c r="A2989" s="924">
        <f t="shared" si="46"/>
        <v>2989</v>
      </c>
      <c r="B2989" s="924">
        <v>7.2</v>
      </c>
    </row>
    <row r="2990" spans="1:2" x14ac:dyDescent="0.25">
      <c r="A2990" s="924">
        <f t="shared" si="46"/>
        <v>2990</v>
      </c>
      <c r="B2990" s="924">
        <v>7.2</v>
      </c>
    </row>
    <row r="2991" spans="1:2" x14ac:dyDescent="0.25">
      <c r="A2991" s="924">
        <f t="shared" si="46"/>
        <v>2991</v>
      </c>
      <c r="B2991" s="924">
        <v>7.2</v>
      </c>
    </row>
    <row r="2992" spans="1:2" x14ac:dyDescent="0.25">
      <c r="A2992" s="924">
        <f t="shared" si="46"/>
        <v>2992</v>
      </c>
      <c r="B2992" s="924">
        <v>7.2</v>
      </c>
    </row>
    <row r="2993" spans="1:2" x14ac:dyDescent="0.25">
      <c r="A2993" s="924">
        <f t="shared" si="46"/>
        <v>2993</v>
      </c>
      <c r="B2993" s="924">
        <v>7.2</v>
      </c>
    </row>
    <row r="2994" spans="1:2" x14ac:dyDescent="0.25">
      <c r="A2994" s="924">
        <f t="shared" si="46"/>
        <v>2994</v>
      </c>
      <c r="B2994" s="924">
        <v>7.2</v>
      </c>
    </row>
    <row r="2995" spans="1:2" x14ac:dyDescent="0.25">
      <c r="A2995" s="924">
        <f t="shared" si="46"/>
        <v>2995</v>
      </c>
      <c r="B2995" s="924">
        <v>7.2</v>
      </c>
    </row>
    <row r="2996" spans="1:2" x14ac:dyDescent="0.25">
      <c r="A2996" s="924">
        <f t="shared" si="46"/>
        <v>2996</v>
      </c>
      <c r="B2996" s="924">
        <v>7.2</v>
      </c>
    </row>
    <row r="2997" spans="1:2" x14ac:dyDescent="0.25">
      <c r="A2997" s="924">
        <f t="shared" si="46"/>
        <v>2997</v>
      </c>
      <c r="B2997" s="924">
        <v>7.2</v>
      </c>
    </row>
    <row r="2998" spans="1:2" x14ac:dyDescent="0.25">
      <c r="A2998" s="924">
        <f t="shared" si="46"/>
        <v>2998</v>
      </c>
      <c r="B2998" s="924">
        <v>7.2</v>
      </c>
    </row>
    <row r="2999" spans="1:2" x14ac:dyDescent="0.25">
      <c r="A2999" s="924">
        <f t="shared" si="46"/>
        <v>2999</v>
      </c>
      <c r="B2999" s="924">
        <v>7.2</v>
      </c>
    </row>
    <row r="3000" spans="1:2" x14ac:dyDescent="0.25">
      <c r="A3000" s="924">
        <f t="shared" si="46"/>
        <v>3000</v>
      </c>
      <c r="B3000" s="924">
        <v>7.2</v>
      </c>
    </row>
    <row r="3001" spans="1:2" x14ac:dyDescent="0.25">
      <c r="A3001" s="924">
        <f t="shared" si="46"/>
        <v>3001</v>
      </c>
      <c r="B3001" s="924">
        <v>7.2</v>
      </c>
    </row>
    <row r="3002" spans="1:2" x14ac:dyDescent="0.25">
      <c r="A3002" s="924">
        <f t="shared" si="46"/>
        <v>3002</v>
      </c>
      <c r="B3002" s="924">
        <v>7.2</v>
      </c>
    </row>
    <row r="3003" spans="1:2" x14ac:dyDescent="0.25">
      <c r="A3003" s="924">
        <f t="shared" si="46"/>
        <v>3003</v>
      </c>
      <c r="B3003" s="924">
        <v>7.2</v>
      </c>
    </row>
    <row r="3004" spans="1:2" x14ac:dyDescent="0.25">
      <c r="A3004" s="924">
        <f t="shared" si="46"/>
        <v>3004</v>
      </c>
      <c r="B3004" s="924">
        <v>7.2</v>
      </c>
    </row>
    <row r="3005" spans="1:2" x14ac:dyDescent="0.25">
      <c r="A3005" s="924">
        <f t="shared" si="46"/>
        <v>3005</v>
      </c>
      <c r="B3005" s="924">
        <v>7.2</v>
      </c>
    </row>
    <row r="3006" spans="1:2" x14ac:dyDescent="0.25">
      <c r="A3006" s="924">
        <f t="shared" si="46"/>
        <v>3006</v>
      </c>
      <c r="B3006" s="924">
        <v>7.2</v>
      </c>
    </row>
    <row r="3007" spans="1:2" x14ac:dyDescent="0.25">
      <c r="A3007" s="924">
        <f t="shared" si="46"/>
        <v>3007</v>
      </c>
      <c r="B3007" s="924">
        <v>7.2</v>
      </c>
    </row>
    <row r="3008" spans="1:2" x14ac:dyDescent="0.25">
      <c r="A3008" s="924">
        <f t="shared" si="46"/>
        <v>3008</v>
      </c>
      <c r="B3008" s="924">
        <v>7.2</v>
      </c>
    </row>
    <row r="3009" spans="1:2" x14ac:dyDescent="0.25">
      <c r="A3009" s="924">
        <f t="shared" si="46"/>
        <v>3009</v>
      </c>
      <c r="B3009" s="924">
        <v>7.2</v>
      </c>
    </row>
    <row r="3010" spans="1:2" x14ac:dyDescent="0.25">
      <c r="A3010" s="924">
        <f t="shared" si="46"/>
        <v>3010</v>
      </c>
      <c r="B3010" s="924">
        <v>7.2</v>
      </c>
    </row>
    <row r="3011" spans="1:2" x14ac:dyDescent="0.25">
      <c r="A3011" s="924">
        <f t="shared" ref="A3011:A3074" si="47">A3010+1</f>
        <v>3011</v>
      </c>
      <c r="B3011" s="924">
        <v>7.2</v>
      </c>
    </row>
    <row r="3012" spans="1:2" x14ac:dyDescent="0.25">
      <c r="A3012" s="924">
        <f t="shared" si="47"/>
        <v>3012</v>
      </c>
      <c r="B3012" s="924">
        <v>7.2</v>
      </c>
    </row>
    <row r="3013" spans="1:2" x14ac:dyDescent="0.25">
      <c r="A3013" s="924">
        <f t="shared" si="47"/>
        <v>3013</v>
      </c>
      <c r="B3013" s="924">
        <v>7.2</v>
      </c>
    </row>
    <row r="3014" spans="1:2" x14ac:dyDescent="0.25">
      <c r="A3014" s="924">
        <f t="shared" si="47"/>
        <v>3014</v>
      </c>
      <c r="B3014" s="924">
        <v>7.2</v>
      </c>
    </row>
    <row r="3015" spans="1:2" x14ac:dyDescent="0.25">
      <c r="A3015" s="924">
        <f t="shared" si="47"/>
        <v>3015</v>
      </c>
      <c r="B3015" s="924">
        <v>7.2</v>
      </c>
    </row>
    <row r="3016" spans="1:2" x14ac:dyDescent="0.25">
      <c r="A3016" s="924">
        <f t="shared" si="47"/>
        <v>3016</v>
      </c>
      <c r="B3016" s="924">
        <v>7.2</v>
      </c>
    </row>
    <row r="3017" spans="1:2" x14ac:dyDescent="0.25">
      <c r="A3017" s="924">
        <f t="shared" si="47"/>
        <v>3017</v>
      </c>
      <c r="B3017" s="924">
        <v>7.2</v>
      </c>
    </row>
    <row r="3018" spans="1:2" x14ac:dyDescent="0.25">
      <c r="A3018" s="924">
        <f t="shared" si="47"/>
        <v>3018</v>
      </c>
      <c r="B3018" s="924">
        <v>7.2</v>
      </c>
    </row>
    <row r="3019" spans="1:2" x14ac:dyDescent="0.25">
      <c r="A3019" s="924">
        <f t="shared" si="47"/>
        <v>3019</v>
      </c>
      <c r="B3019" s="924">
        <v>7.2</v>
      </c>
    </row>
    <row r="3020" spans="1:2" x14ac:dyDescent="0.25">
      <c r="A3020" s="924">
        <f t="shared" si="47"/>
        <v>3020</v>
      </c>
      <c r="B3020" s="924">
        <v>7.2</v>
      </c>
    </row>
    <row r="3021" spans="1:2" x14ac:dyDescent="0.25">
      <c r="A3021" s="924">
        <f t="shared" si="47"/>
        <v>3021</v>
      </c>
      <c r="B3021" s="924">
        <v>7.2</v>
      </c>
    </row>
    <row r="3022" spans="1:2" x14ac:dyDescent="0.25">
      <c r="A3022" s="924">
        <f t="shared" si="47"/>
        <v>3022</v>
      </c>
      <c r="B3022" s="924">
        <v>7.2</v>
      </c>
    </row>
    <row r="3023" spans="1:2" x14ac:dyDescent="0.25">
      <c r="A3023" s="924">
        <f t="shared" si="47"/>
        <v>3023</v>
      </c>
      <c r="B3023" s="924">
        <v>7.3</v>
      </c>
    </row>
    <row r="3024" spans="1:2" x14ac:dyDescent="0.25">
      <c r="A3024" s="924">
        <f t="shared" si="47"/>
        <v>3024</v>
      </c>
      <c r="B3024" s="924">
        <v>7.3</v>
      </c>
    </row>
    <row r="3025" spans="1:2" x14ac:dyDescent="0.25">
      <c r="A3025" s="924">
        <f t="shared" si="47"/>
        <v>3025</v>
      </c>
      <c r="B3025" s="924">
        <v>7.3</v>
      </c>
    </row>
    <row r="3026" spans="1:2" x14ac:dyDescent="0.25">
      <c r="A3026" s="924">
        <f t="shared" si="47"/>
        <v>3026</v>
      </c>
      <c r="B3026" s="924">
        <v>7.3</v>
      </c>
    </row>
    <row r="3027" spans="1:2" x14ac:dyDescent="0.25">
      <c r="A3027" s="924">
        <f t="shared" si="47"/>
        <v>3027</v>
      </c>
      <c r="B3027" s="924">
        <v>7.3</v>
      </c>
    </row>
    <row r="3028" spans="1:2" x14ac:dyDescent="0.25">
      <c r="A3028" s="924">
        <f t="shared" si="47"/>
        <v>3028</v>
      </c>
      <c r="B3028" s="924">
        <v>7.3</v>
      </c>
    </row>
    <row r="3029" spans="1:2" x14ac:dyDescent="0.25">
      <c r="A3029" s="924">
        <f t="shared" si="47"/>
        <v>3029</v>
      </c>
      <c r="B3029" s="924">
        <v>7.3</v>
      </c>
    </row>
    <row r="3030" spans="1:2" x14ac:dyDescent="0.25">
      <c r="A3030" s="924">
        <f t="shared" si="47"/>
        <v>3030</v>
      </c>
      <c r="B3030" s="924">
        <v>7.3</v>
      </c>
    </row>
    <row r="3031" spans="1:2" x14ac:dyDescent="0.25">
      <c r="A3031" s="924">
        <f t="shared" si="47"/>
        <v>3031</v>
      </c>
      <c r="B3031" s="924">
        <v>7.3</v>
      </c>
    </row>
    <row r="3032" spans="1:2" x14ac:dyDescent="0.25">
      <c r="A3032" s="924">
        <f t="shared" si="47"/>
        <v>3032</v>
      </c>
      <c r="B3032" s="924">
        <v>7.3</v>
      </c>
    </row>
    <row r="3033" spans="1:2" x14ac:dyDescent="0.25">
      <c r="A3033" s="924">
        <f t="shared" si="47"/>
        <v>3033</v>
      </c>
      <c r="B3033" s="924">
        <v>7.3</v>
      </c>
    </row>
    <row r="3034" spans="1:2" x14ac:dyDescent="0.25">
      <c r="A3034" s="924">
        <f t="shared" si="47"/>
        <v>3034</v>
      </c>
      <c r="B3034" s="924">
        <v>7.3</v>
      </c>
    </row>
    <row r="3035" spans="1:2" x14ac:dyDescent="0.25">
      <c r="A3035" s="924">
        <f t="shared" si="47"/>
        <v>3035</v>
      </c>
      <c r="B3035" s="924">
        <v>7.3</v>
      </c>
    </row>
    <row r="3036" spans="1:2" x14ac:dyDescent="0.25">
      <c r="A3036" s="924">
        <f t="shared" si="47"/>
        <v>3036</v>
      </c>
      <c r="B3036" s="924">
        <v>7.3</v>
      </c>
    </row>
    <row r="3037" spans="1:2" x14ac:dyDescent="0.25">
      <c r="A3037" s="924">
        <f t="shared" si="47"/>
        <v>3037</v>
      </c>
      <c r="B3037" s="924">
        <v>7.3</v>
      </c>
    </row>
    <row r="3038" spans="1:2" x14ac:dyDescent="0.25">
      <c r="A3038" s="924">
        <f t="shared" si="47"/>
        <v>3038</v>
      </c>
      <c r="B3038" s="924">
        <v>7.3</v>
      </c>
    </row>
    <row r="3039" spans="1:2" x14ac:dyDescent="0.25">
      <c r="A3039" s="924">
        <f t="shared" si="47"/>
        <v>3039</v>
      </c>
      <c r="B3039" s="924">
        <v>7.3</v>
      </c>
    </row>
    <row r="3040" spans="1:2" x14ac:dyDescent="0.25">
      <c r="A3040" s="924">
        <f t="shared" si="47"/>
        <v>3040</v>
      </c>
      <c r="B3040" s="924">
        <v>7.3</v>
      </c>
    </row>
    <row r="3041" spans="1:2" x14ac:dyDescent="0.25">
      <c r="A3041" s="924">
        <f t="shared" si="47"/>
        <v>3041</v>
      </c>
      <c r="B3041" s="924">
        <v>7.3</v>
      </c>
    </row>
    <row r="3042" spans="1:2" x14ac:dyDescent="0.25">
      <c r="A3042" s="924">
        <f t="shared" si="47"/>
        <v>3042</v>
      </c>
      <c r="B3042" s="924">
        <v>7.3</v>
      </c>
    </row>
    <row r="3043" spans="1:2" x14ac:dyDescent="0.25">
      <c r="A3043" s="924">
        <f t="shared" si="47"/>
        <v>3043</v>
      </c>
      <c r="B3043" s="924">
        <v>7.3</v>
      </c>
    </row>
    <row r="3044" spans="1:2" x14ac:dyDescent="0.25">
      <c r="A3044" s="924">
        <f t="shared" si="47"/>
        <v>3044</v>
      </c>
      <c r="B3044" s="924">
        <v>7.3</v>
      </c>
    </row>
    <row r="3045" spans="1:2" x14ac:dyDescent="0.25">
      <c r="A3045" s="924">
        <f t="shared" si="47"/>
        <v>3045</v>
      </c>
      <c r="B3045" s="924">
        <v>7.3</v>
      </c>
    </row>
    <row r="3046" spans="1:2" x14ac:dyDescent="0.25">
      <c r="A3046" s="924">
        <f t="shared" si="47"/>
        <v>3046</v>
      </c>
      <c r="B3046" s="924">
        <v>7.3</v>
      </c>
    </row>
    <row r="3047" spans="1:2" x14ac:dyDescent="0.25">
      <c r="A3047" s="924">
        <f t="shared" si="47"/>
        <v>3047</v>
      </c>
      <c r="B3047" s="924">
        <v>7.3</v>
      </c>
    </row>
    <row r="3048" spans="1:2" x14ac:dyDescent="0.25">
      <c r="A3048" s="924">
        <f t="shared" si="47"/>
        <v>3048</v>
      </c>
      <c r="B3048" s="924">
        <v>7.3</v>
      </c>
    </row>
    <row r="3049" spans="1:2" x14ac:dyDescent="0.25">
      <c r="A3049" s="924">
        <f t="shared" si="47"/>
        <v>3049</v>
      </c>
      <c r="B3049" s="924">
        <v>7.3</v>
      </c>
    </row>
    <row r="3050" spans="1:2" x14ac:dyDescent="0.25">
      <c r="A3050" s="924">
        <f t="shared" si="47"/>
        <v>3050</v>
      </c>
      <c r="B3050" s="924">
        <v>7.3</v>
      </c>
    </row>
    <row r="3051" spans="1:2" x14ac:dyDescent="0.25">
      <c r="A3051" s="924">
        <f t="shared" si="47"/>
        <v>3051</v>
      </c>
      <c r="B3051" s="924">
        <v>7.3</v>
      </c>
    </row>
    <row r="3052" spans="1:2" x14ac:dyDescent="0.25">
      <c r="A3052" s="924">
        <f t="shared" si="47"/>
        <v>3052</v>
      </c>
      <c r="B3052" s="924">
        <v>7.3</v>
      </c>
    </row>
    <row r="3053" spans="1:2" x14ac:dyDescent="0.25">
      <c r="A3053" s="924">
        <f t="shared" si="47"/>
        <v>3053</v>
      </c>
      <c r="B3053" s="924">
        <v>7.3</v>
      </c>
    </row>
    <row r="3054" spans="1:2" x14ac:dyDescent="0.25">
      <c r="A3054" s="924">
        <f t="shared" si="47"/>
        <v>3054</v>
      </c>
      <c r="B3054" s="924">
        <v>7.3</v>
      </c>
    </row>
    <row r="3055" spans="1:2" x14ac:dyDescent="0.25">
      <c r="A3055" s="924">
        <f t="shared" si="47"/>
        <v>3055</v>
      </c>
      <c r="B3055" s="924">
        <v>7.3</v>
      </c>
    </row>
    <row r="3056" spans="1:2" x14ac:dyDescent="0.25">
      <c r="A3056" s="924">
        <f t="shared" si="47"/>
        <v>3056</v>
      </c>
      <c r="B3056" s="924">
        <v>7.3</v>
      </c>
    </row>
    <row r="3057" spans="1:2" x14ac:dyDescent="0.25">
      <c r="A3057" s="924">
        <f t="shared" si="47"/>
        <v>3057</v>
      </c>
      <c r="B3057" s="924">
        <v>7.3</v>
      </c>
    </row>
    <row r="3058" spans="1:2" x14ac:dyDescent="0.25">
      <c r="A3058" s="924">
        <f t="shared" si="47"/>
        <v>3058</v>
      </c>
      <c r="B3058" s="924">
        <v>7.3</v>
      </c>
    </row>
    <row r="3059" spans="1:2" x14ac:dyDescent="0.25">
      <c r="A3059" s="924">
        <f t="shared" si="47"/>
        <v>3059</v>
      </c>
      <c r="B3059" s="924">
        <v>7.3</v>
      </c>
    </row>
    <row r="3060" spans="1:2" x14ac:dyDescent="0.25">
      <c r="A3060" s="924">
        <f t="shared" si="47"/>
        <v>3060</v>
      </c>
      <c r="B3060" s="924">
        <v>7.3</v>
      </c>
    </row>
    <row r="3061" spans="1:2" x14ac:dyDescent="0.25">
      <c r="A3061" s="924">
        <f t="shared" si="47"/>
        <v>3061</v>
      </c>
      <c r="B3061" s="924">
        <v>7.3</v>
      </c>
    </row>
    <row r="3062" spans="1:2" x14ac:dyDescent="0.25">
      <c r="A3062" s="924">
        <f t="shared" si="47"/>
        <v>3062</v>
      </c>
      <c r="B3062" s="924">
        <v>7.3</v>
      </c>
    </row>
    <row r="3063" spans="1:2" x14ac:dyDescent="0.25">
      <c r="A3063" s="924">
        <f t="shared" si="47"/>
        <v>3063</v>
      </c>
      <c r="B3063" s="924">
        <v>7.3</v>
      </c>
    </row>
    <row r="3064" spans="1:2" x14ac:dyDescent="0.25">
      <c r="A3064" s="924">
        <f t="shared" si="47"/>
        <v>3064</v>
      </c>
      <c r="B3064" s="924">
        <v>7.3</v>
      </c>
    </row>
    <row r="3065" spans="1:2" x14ac:dyDescent="0.25">
      <c r="A3065" s="924">
        <f t="shared" si="47"/>
        <v>3065</v>
      </c>
      <c r="B3065" s="924">
        <v>7.3</v>
      </c>
    </row>
    <row r="3066" spans="1:2" x14ac:dyDescent="0.25">
      <c r="A3066" s="924">
        <f t="shared" si="47"/>
        <v>3066</v>
      </c>
      <c r="B3066" s="924">
        <v>7.3</v>
      </c>
    </row>
    <row r="3067" spans="1:2" x14ac:dyDescent="0.25">
      <c r="A3067" s="924">
        <f t="shared" si="47"/>
        <v>3067</v>
      </c>
      <c r="B3067" s="924">
        <v>7.3</v>
      </c>
    </row>
    <row r="3068" spans="1:2" x14ac:dyDescent="0.25">
      <c r="A3068" s="924">
        <f t="shared" si="47"/>
        <v>3068</v>
      </c>
      <c r="B3068" s="924">
        <v>7.3</v>
      </c>
    </row>
    <row r="3069" spans="1:2" x14ac:dyDescent="0.25">
      <c r="A3069" s="924">
        <f t="shared" si="47"/>
        <v>3069</v>
      </c>
      <c r="B3069" s="924">
        <v>7.3</v>
      </c>
    </row>
    <row r="3070" spans="1:2" x14ac:dyDescent="0.25">
      <c r="A3070" s="924">
        <f t="shared" si="47"/>
        <v>3070</v>
      </c>
      <c r="B3070" s="924">
        <v>7.3</v>
      </c>
    </row>
    <row r="3071" spans="1:2" x14ac:dyDescent="0.25">
      <c r="A3071" s="924">
        <f t="shared" si="47"/>
        <v>3071</v>
      </c>
      <c r="B3071" s="924">
        <v>7.4</v>
      </c>
    </row>
    <row r="3072" spans="1:2" x14ac:dyDescent="0.25">
      <c r="A3072" s="924">
        <f t="shared" si="47"/>
        <v>3072</v>
      </c>
      <c r="B3072" s="924">
        <v>7.4</v>
      </c>
    </row>
    <row r="3073" spans="1:2" x14ac:dyDescent="0.25">
      <c r="A3073" s="924">
        <f t="shared" si="47"/>
        <v>3073</v>
      </c>
      <c r="B3073" s="924">
        <v>7.4</v>
      </c>
    </row>
    <row r="3074" spans="1:2" x14ac:dyDescent="0.25">
      <c r="A3074" s="924">
        <f t="shared" si="47"/>
        <v>3074</v>
      </c>
      <c r="B3074" s="924">
        <v>7.4</v>
      </c>
    </row>
    <row r="3075" spans="1:2" x14ac:dyDescent="0.25">
      <c r="A3075" s="924">
        <f t="shared" ref="A3075:A3138" si="48">A3074+1</f>
        <v>3075</v>
      </c>
      <c r="B3075" s="924">
        <v>7.4</v>
      </c>
    </row>
    <row r="3076" spans="1:2" x14ac:dyDescent="0.25">
      <c r="A3076" s="924">
        <f t="shared" si="48"/>
        <v>3076</v>
      </c>
      <c r="B3076" s="924">
        <v>7.4</v>
      </c>
    </row>
    <row r="3077" spans="1:2" x14ac:dyDescent="0.25">
      <c r="A3077" s="924">
        <f t="shared" si="48"/>
        <v>3077</v>
      </c>
      <c r="B3077" s="924">
        <v>7.4</v>
      </c>
    </row>
    <row r="3078" spans="1:2" x14ac:dyDescent="0.25">
      <c r="A3078" s="924">
        <f t="shared" si="48"/>
        <v>3078</v>
      </c>
      <c r="B3078" s="924">
        <v>7.4</v>
      </c>
    </row>
    <row r="3079" spans="1:2" x14ac:dyDescent="0.25">
      <c r="A3079" s="924">
        <f t="shared" si="48"/>
        <v>3079</v>
      </c>
      <c r="B3079" s="924">
        <v>7.4</v>
      </c>
    </row>
    <row r="3080" spans="1:2" x14ac:dyDescent="0.25">
      <c r="A3080" s="924">
        <f t="shared" si="48"/>
        <v>3080</v>
      </c>
      <c r="B3080" s="924">
        <v>7.4</v>
      </c>
    </row>
    <row r="3081" spans="1:2" x14ac:dyDescent="0.25">
      <c r="A3081" s="924">
        <f t="shared" si="48"/>
        <v>3081</v>
      </c>
      <c r="B3081" s="924">
        <v>7.4</v>
      </c>
    </row>
    <row r="3082" spans="1:2" x14ac:dyDescent="0.25">
      <c r="A3082" s="924">
        <f t="shared" si="48"/>
        <v>3082</v>
      </c>
      <c r="B3082" s="924">
        <v>7.4</v>
      </c>
    </row>
    <row r="3083" spans="1:2" x14ac:dyDescent="0.25">
      <c r="A3083" s="924">
        <f t="shared" si="48"/>
        <v>3083</v>
      </c>
      <c r="B3083" s="924">
        <v>7.4</v>
      </c>
    </row>
    <row r="3084" spans="1:2" x14ac:dyDescent="0.25">
      <c r="A3084" s="924">
        <f t="shared" si="48"/>
        <v>3084</v>
      </c>
      <c r="B3084" s="924">
        <v>7.4</v>
      </c>
    </row>
    <row r="3085" spans="1:2" x14ac:dyDescent="0.25">
      <c r="A3085" s="924">
        <f t="shared" si="48"/>
        <v>3085</v>
      </c>
      <c r="B3085" s="924">
        <v>7.4</v>
      </c>
    </row>
    <row r="3086" spans="1:2" x14ac:dyDescent="0.25">
      <c r="A3086" s="924">
        <f t="shared" si="48"/>
        <v>3086</v>
      </c>
      <c r="B3086" s="924">
        <v>7.4</v>
      </c>
    </row>
    <row r="3087" spans="1:2" x14ac:dyDescent="0.25">
      <c r="A3087" s="924">
        <f t="shared" si="48"/>
        <v>3087</v>
      </c>
      <c r="B3087" s="924">
        <v>7.4</v>
      </c>
    </row>
    <row r="3088" spans="1:2" x14ac:dyDescent="0.25">
      <c r="A3088" s="924">
        <f t="shared" si="48"/>
        <v>3088</v>
      </c>
      <c r="B3088" s="924">
        <v>7.4</v>
      </c>
    </row>
    <row r="3089" spans="1:2" x14ac:dyDescent="0.25">
      <c r="A3089" s="924">
        <f t="shared" si="48"/>
        <v>3089</v>
      </c>
      <c r="B3089" s="924">
        <v>7.4</v>
      </c>
    </row>
    <row r="3090" spans="1:2" x14ac:dyDescent="0.25">
      <c r="A3090" s="924">
        <f t="shared" si="48"/>
        <v>3090</v>
      </c>
      <c r="B3090" s="924">
        <v>7.4</v>
      </c>
    </row>
    <row r="3091" spans="1:2" x14ac:dyDescent="0.25">
      <c r="A3091" s="924">
        <f t="shared" si="48"/>
        <v>3091</v>
      </c>
      <c r="B3091" s="924">
        <v>7.4</v>
      </c>
    </row>
    <row r="3092" spans="1:2" x14ac:dyDescent="0.25">
      <c r="A3092" s="924">
        <f t="shared" si="48"/>
        <v>3092</v>
      </c>
      <c r="B3092" s="924">
        <v>7.4</v>
      </c>
    </row>
    <row r="3093" spans="1:2" x14ac:dyDescent="0.25">
      <c r="A3093" s="924">
        <f t="shared" si="48"/>
        <v>3093</v>
      </c>
      <c r="B3093" s="924">
        <v>7.4</v>
      </c>
    </row>
    <row r="3094" spans="1:2" x14ac:dyDescent="0.25">
      <c r="A3094" s="924">
        <f t="shared" si="48"/>
        <v>3094</v>
      </c>
      <c r="B3094" s="924">
        <v>7.4</v>
      </c>
    </row>
    <row r="3095" spans="1:2" x14ac:dyDescent="0.25">
      <c r="A3095" s="924">
        <f t="shared" si="48"/>
        <v>3095</v>
      </c>
      <c r="B3095" s="924">
        <v>7.4</v>
      </c>
    </row>
    <row r="3096" spans="1:2" x14ac:dyDescent="0.25">
      <c r="A3096" s="924">
        <f t="shared" si="48"/>
        <v>3096</v>
      </c>
      <c r="B3096" s="924">
        <v>7.4</v>
      </c>
    </row>
    <row r="3097" spans="1:2" x14ac:dyDescent="0.25">
      <c r="A3097" s="924">
        <f t="shared" si="48"/>
        <v>3097</v>
      </c>
      <c r="B3097" s="924">
        <v>7.4</v>
      </c>
    </row>
    <row r="3098" spans="1:2" x14ac:dyDescent="0.25">
      <c r="A3098" s="924">
        <f t="shared" si="48"/>
        <v>3098</v>
      </c>
      <c r="B3098" s="924">
        <v>7.4</v>
      </c>
    </row>
    <row r="3099" spans="1:2" x14ac:dyDescent="0.25">
      <c r="A3099" s="924">
        <f t="shared" si="48"/>
        <v>3099</v>
      </c>
      <c r="B3099" s="924">
        <v>7.4</v>
      </c>
    </row>
    <row r="3100" spans="1:2" x14ac:dyDescent="0.25">
      <c r="A3100" s="924">
        <f t="shared" si="48"/>
        <v>3100</v>
      </c>
      <c r="B3100" s="924">
        <v>7.4</v>
      </c>
    </row>
    <row r="3101" spans="1:2" x14ac:dyDescent="0.25">
      <c r="A3101" s="924">
        <f t="shared" si="48"/>
        <v>3101</v>
      </c>
      <c r="B3101" s="924">
        <v>7.4</v>
      </c>
    </row>
    <row r="3102" spans="1:2" x14ac:dyDescent="0.25">
      <c r="A3102" s="924">
        <f t="shared" si="48"/>
        <v>3102</v>
      </c>
      <c r="B3102" s="924">
        <v>7.4</v>
      </c>
    </row>
    <row r="3103" spans="1:2" x14ac:dyDescent="0.25">
      <c r="A3103" s="924">
        <f t="shared" si="48"/>
        <v>3103</v>
      </c>
      <c r="B3103" s="924">
        <v>7.4</v>
      </c>
    </row>
    <row r="3104" spans="1:2" x14ac:dyDescent="0.25">
      <c r="A3104" s="924">
        <f t="shared" si="48"/>
        <v>3104</v>
      </c>
      <c r="B3104" s="924">
        <v>7.4</v>
      </c>
    </row>
    <row r="3105" spans="1:2" x14ac:dyDescent="0.25">
      <c r="A3105" s="924">
        <f t="shared" si="48"/>
        <v>3105</v>
      </c>
      <c r="B3105" s="924">
        <v>7.4</v>
      </c>
    </row>
    <row r="3106" spans="1:2" x14ac:dyDescent="0.25">
      <c r="A3106" s="924">
        <f t="shared" si="48"/>
        <v>3106</v>
      </c>
      <c r="B3106" s="924">
        <v>7.4</v>
      </c>
    </row>
    <row r="3107" spans="1:2" x14ac:dyDescent="0.25">
      <c r="A3107" s="924">
        <f t="shared" si="48"/>
        <v>3107</v>
      </c>
      <c r="B3107" s="924">
        <v>7.4</v>
      </c>
    </row>
    <row r="3108" spans="1:2" x14ac:dyDescent="0.25">
      <c r="A3108" s="924">
        <f t="shared" si="48"/>
        <v>3108</v>
      </c>
      <c r="B3108" s="924">
        <v>7.4</v>
      </c>
    </row>
    <row r="3109" spans="1:2" x14ac:dyDescent="0.25">
      <c r="A3109" s="924">
        <f t="shared" si="48"/>
        <v>3109</v>
      </c>
      <c r="B3109" s="924">
        <v>7.4</v>
      </c>
    </row>
    <row r="3110" spans="1:2" x14ac:dyDescent="0.25">
      <c r="A3110" s="924">
        <f t="shared" si="48"/>
        <v>3110</v>
      </c>
      <c r="B3110" s="924">
        <v>7.4</v>
      </c>
    </row>
    <row r="3111" spans="1:2" x14ac:dyDescent="0.25">
      <c r="A3111" s="924">
        <f t="shared" si="48"/>
        <v>3111</v>
      </c>
      <c r="B3111" s="924">
        <v>7.4</v>
      </c>
    </row>
    <row r="3112" spans="1:2" x14ac:dyDescent="0.25">
      <c r="A3112" s="924">
        <f t="shared" si="48"/>
        <v>3112</v>
      </c>
      <c r="B3112" s="924">
        <v>7.4</v>
      </c>
    </row>
    <row r="3113" spans="1:2" x14ac:dyDescent="0.25">
      <c r="A3113" s="924">
        <f t="shared" si="48"/>
        <v>3113</v>
      </c>
      <c r="B3113" s="924">
        <v>7.4</v>
      </c>
    </row>
    <row r="3114" spans="1:2" x14ac:dyDescent="0.25">
      <c r="A3114" s="924">
        <f t="shared" si="48"/>
        <v>3114</v>
      </c>
      <c r="B3114" s="924">
        <v>7.4</v>
      </c>
    </row>
    <row r="3115" spans="1:2" x14ac:dyDescent="0.25">
      <c r="A3115" s="924">
        <f t="shared" si="48"/>
        <v>3115</v>
      </c>
      <c r="B3115" s="924">
        <v>7.4</v>
      </c>
    </row>
    <row r="3116" spans="1:2" x14ac:dyDescent="0.25">
      <c r="A3116" s="924">
        <f t="shared" si="48"/>
        <v>3116</v>
      </c>
      <c r="B3116" s="924">
        <v>7.4</v>
      </c>
    </row>
    <row r="3117" spans="1:2" x14ac:dyDescent="0.25">
      <c r="A3117" s="924">
        <f t="shared" si="48"/>
        <v>3117</v>
      </c>
      <c r="B3117" s="924">
        <v>7.4</v>
      </c>
    </row>
    <row r="3118" spans="1:2" x14ac:dyDescent="0.25">
      <c r="A3118" s="924">
        <f t="shared" si="48"/>
        <v>3118</v>
      </c>
      <c r="B3118" s="924">
        <v>7.5</v>
      </c>
    </row>
    <row r="3119" spans="1:2" x14ac:dyDescent="0.25">
      <c r="A3119" s="924">
        <f t="shared" si="48"/>
        <v>3119</v>
      </c>
      <c r="B3119" s="924">
        <v>7.5</v>
      </c>
    </row>
    <row r="3120" spans="1:2" x14ac:dyDescent="0.25">
      <c r="A3120" s="924">
        <f t="shared" si="48"/>
        <v>3120</v>
      </c>
      <c r="B3120" s="924">
        <v>7.5</v>
      </c>
    </row>
    <row r="3121" spans="1:2" x14ac:dyDescent="0.25">
      <c r="A3121" s="924">
        <f t="shared" si="48"/>
        <v>3121</v>
      </c>
      <c r="B3121" s="924">
        <v>7.5</v>
      </c>
    </row>
    <row r="3122" spans="1:2" x14ac:dyDescent="0.25">
      <c r="A3122" s="924">
        <f t="shared" si="48"/>
        <v>3122</v>
      </c>
      <c r="B3122" s="924">
        <v>7.5</v>
      </c>
    </row>
    <row r="3123" spans="1:2" x14ac:dyDescent="0.25">
      <c r="A3123" s="924">
        <f t="shared" si="48"/>
        <v>3123</v>
      </c>
      <c r="B3123" s="924">
        <v>7.5</v>
      </c>
    </row>
    <row r="3124" spans="1:2" x14ac:dyDescent="0.25">
      <c r="A3124" s="924">
        <f t="shared" si="48"/>
        <v>3124</v>
      </c>
      <c r="B3124" s="924">
        <v>7.5</v>
      </c>
    </row>
    <row r="3125" spans="1:2" x14ac:dyDescent="0.25">
      <c r="A3125" s="924">
        <f t="shared" si="48"/>
        <v>3125</v>
      </c>
      <c r="B3125" s="924">
        <v>7.5</v>
      </c>
    </row>
    <row r="3126" spans="1:2" x14ac:dyDescent="0.25">
      <c r="A3126" s="924">
        <f t="shared" si="48"/>
        <v>3126</v>
      </c>
      <c r="B3126" s="924">
        <v>7.5</v>
      </c>
    </row>
    <row r="3127" spans="1:2" x14ac:dyDescent="0.25">
      <c r="A3127" s="924">
        <f t="shared" si="48"/>
        <v>3127</v>
      </c>
      <c r="B3127" s="924">
        <v>7.5</v>
      </c>
    </row>
    <row r="3128" spans="1:2" x14ac:dyDescent="0.25">
      <c r="A3128" s="924">
        <f t="shared" si="48"/>
        <v>3128</v>
      </c>
      <c r="B3128" s="924">
        <v>7.5</v>
      </c>
    </row>
    <row r="3129" spans="1:2" x14ac:dyDescent="0.25">
      <c r="A3129" s="924">
        <f t="shared" si="48"/>
        <v>3129</v>
      </c>
      <c r="B3129" s="924">
        <v>7.5</v>
      </c>
    </row>
    <row r="3130" spans="1:2" x14ac:dyDescent="0.25">
      <c r="A3130" s="924">
        <f t="shared" si="48"/>
        <v>3130</v>
      </c>
      <c r="B3130" s="924">
        <v>7.5</v>
      </c>
    </row>
    <row r="3131" spans="1:2" x14ac:dyDescent="0.25">
      <c r="A3131" s="924">
        <f t="shared" si="48"/>
        <v>3131</v>
      </c>
      <c r="B3131" s="924">
        <v>7.5</v>
      </c>
    </row>
    <row r="3132" spans="1:2" x14ac:dyDescent="0.25">
      <c r="A3132" s="924">
        <f t="shared" si="48"/>
        <v>3132</v>
      </c>
      <c r="B3132" s="924">
        <v>7.5</v>
      </c>
    </row>
    <row r="3133" spans="1:2" x14ac:dyDescent="0.25">
      <c r="A3133" s="924">
        <f t="shared" si="48"/>
        <v>3133</v>
      </c>
      <c r="B3133" s="924">
        <v>7.5</v>
      </c>
    </row>
    <row r="3134" spans="1:2" x14ac:dyDescent="0.25">
      <c r="A3134" s="924">
        <f t="shared" si="48"/>
        <v>3134</v>
      </c>
      <c r="B3134" s="924">
        <v>7.5</v>
      </c>
    </row>
    <row r="3135" spans="1:2" x14ac:dyDescent="0.25">
      <c r="A3135" s="924">
        <f t="shared" si="48"/>
        <v>3135</v>
      </c>
      <c r="B3135" s="924">
        <v>7.5</v>
      </c>
    </row>
    <row r="3136" spans="1:2" x14ac:dyDescent="0.25">
      <c r="A3136" s="924">
        <f t="shared" si="48"/>
        <v>3136</v>
      </c>
      <c r="B3136" s="924">
        <v>7.5</v>
      </c>
    </row>
    <row r="3137" spans="1:2" x14ac:dyDescent="0.25">
      <c r="A3137" s="924">
        <f t="shared" si="48"/>
        <v>3137</v>
      </c>
      <c r="B3137" s="924">
        <v>7.5</v>
      </c>
    </row>
    <row r="3138" spans="1:2" x14ac:dyDescent="0.25">
      <c r="A3138" s="924">
        <f t="shared" si="48"/>
        <v>3138</v>
      </c>
      <c r="B3138" s="924">
        <v>7.5</v>
      </c>
    </row>
    <row r="3139" spans="1:2" x14ac:dyDescent="0.25">
      <c r="A3139" s="924">
        <f t="shared" ref="A3139:A3202" si="49">A3138+1</f>
        <v>3139</v>
      </c>
      <c r="B3139" s="924">
        <v>7.5</v>
      </c>
    </row>
    <row r="3140" spans="1:2" x14ac:dyDescent="0.25">
      <c r="A3140" s="924">
        <f t="shared" si="49"/>
        <v>3140</v>
      </c>
      <c r="B3140" s="924">
        <v>7.5</v>
      </c>
    </row>
    <row r="3141" spans="1:2" x14ac:dyDescent="0.25">
      <c r="A3141" s="924">
        <f t="shared" si="49"/>
        <v>3141</v>
      </c>
      <c r="B3141" s="924">
        <v>7.5</v>
      </c>
    </row>
    <row r="3142" spans="1:2" x14ac:dyDescent="0.25">
      <c r="A3142" s="924">
        <f t="shared" si="49"/>
        <v>3142</v>
      </c>
      <c r="B3142" s="924">
        <v>7.5</v>
      </c>
    </row>
    <row r="3143" spans="1:2" x14ac:dyDescent="0.25">
      <c r="A3143" s="924">
        <f t="shared" si="49"/>
        <v>3143</v>
      </c>
      <c r="B3143" s="924">
        <v>7.5</v>
      </c>
    </row>
    <row r="3144" spans="1:2" x14ac:dyDescent="0.25">
      <c r="A3144" s="924">
        <f t="shared" si="49"/>
        <v>3144</v>
      </c>
      <c r="B3144" s="924">
        <v>7.5</v>
      </c>
    </row>
    <row r="3145" spans="1:2" x14ac:dyDescent="0.25">
      <c r="A3145" s="924">
        <f t="shared" si="49"/>
        <v>3145</v>
      </c>
      <c r="B3145" s="924">
        <v>7.5</v>
      </c>
    </row>
    <row r="3146" spans="1:2" x14ac:dyDescent="0.25">
      <c r="A3146" s="924">
        <f t="shared" si="49"/>
        <v>3146</v>
      </c>
      <c r="B3146" s="924">
        <v>7.5</v>
      </c>
    </row>
    <row r="3147" spans="1:2" x14ac:dyDescent="0.25">
      <c r="A3147" s="924">
        <f t="shared" si="49"/>
        <v>3147</v>
      </c>
      <c r="B3147" s="924">
        <v>7.5</v>
      </c>
    </row>
    <row r="3148" spans="1:2" x14ac:dyDescent="0.25">
      <c r="A3148" s="924">
        <f t="shared" si="49"/>
        <v>3148</v>
      </c>
      <c r="B3148" s="924">
        <v>7.5</v>
      </c>
    </row>
    <row r="3149" spans="1:2" x14ac:dyDescent="0.25">
      <c r="A3149" s="924">
        <f t="shared" si="49"/>
        <v>3149</v>
      </c>
      <c r="B3149" s="924">
        <v>7.5</v>
      </c>
    </row>
    <row r="3150" spans="1:2" x14ac:dyDescent="0.25">
      <c r="A3150" s="924">
        <f t="shared" si="49"/>
        <v>3150</v>
      </c>
      <c r="B3150" s="924">
        <v>7.5</v>
      </c>
    </row>
    <row r="3151" spans="1:2" x14ac:dyDescent="0.25">
      <c r="A3151" s="924">
        <f t="shared" si="49"/>
        <v>3151</v>
      </c>
      <c r="B3151" s="924">
        <v>7.5</v>
      </c>
    </row>
    <row r="3152" spans="1:2" x14ac:dyDescent="0.25">
      <c r="A3152" s="924">
        <f t="shared" si="49"/>
        <v>3152</v>
      </c>
      <c r="B3152" s="924">
        <v>7.5</v>
      </c>
    </row>
    <row r="3153" spans="1:2" x14ac:dyDescent="0.25">
      <c r="A3153" s="924">
        <f t="shared" si="49"/>
        <v>3153</v>
      </c>
      <c r="B3153" s="924">
        <v>7.5</v>
      </c>
    </row>
    <row r="3154" spans="1:2" x14ac:dyDescent="0.25">
      <c r="A3154" s="924">
        <f t="shared" si="49"/>
        <v>3154</v>
      </c>
      <c r="B3154" s="924">
        <v>7.5</v>
      </c>
    </row>
    <row r="3155" spans="1:2" x14ac:dyDescent="0.25">
      <c r="A3155" s="924">
        <f t="shared" si="49"/>
        <v>3155</v>
      </c>
      <c r="B3155" s="924">
        <v>7.5</v>
      </c>
    </row>
    <row r="3156" spans="1:2" x14ac:dyDescent="0.25">
      <c r="A3156" s="924">
        <f t="shared" si="49"/>
        <v>3156</v>
      </c>
      <c r="B3156" s="924">
        <v>7.5</v>
      </c>
    </row>
    <row r="3157" spans="1:2" x14ac:dyDescent="0.25">
      <c r="A3157" s="924">
        <f t="shared" si="49"/>
        <v>3157</v>
      </c>
      <c r="B3157" s="924">
        <v>7.5</v>
      </c>
    </row>
    <row r="3158" spans="1:2" x14ac:dyDescent="0.25">
      <c r="A3158" s="924">
        <f t="shared" si="49"/>
        <v>3158</v>
      </c>
      <c r="B3158" s="924">
        <v>7.5</v>
      </c>
    </row>
    <row r="3159" spans="1:2" x14ac:dyDescent="0.25">
      <c r="A3159" s="924">
        <f t="shared" si="49"/>
        <v>3159</v>
      </c>
      <c r="B3159" s="924">
        <v>7.5</v>
      </c>
    </row>
    <row r="3160" spans="1:2" x14ac:dyDescent="0.25">
      <c r="A3160" s="924">
        <f t="shared" si="49"/>
        <v>3160</v>
      </c>
      <c r="B3160" s="924">
        <v>7.5</v>
      </c>
    </row>
    <row r="3161" spans="1:2" x14ac:dyDescent="0.25">
      <c r="A3161" s="924">
        <f t="shared" si="49"/>
        <v>3161</v>
      </c>
      <c r="B3161" s="924">
        <v>7.5</v>
      </c>
    </row>
    <row r="3162" spans="1:2" x14ac:dyDescent="0.25">
      <c r="A3162" s="924">
        <f t="shared" si="49"/>
        <v>3162</v>
      </c>
      <c r="B3162" s="924">
        <v>7.5</v>
      </c>
    </row>
    <row r="3163" spans="1:2" x14ac:dyDescent="0.25">
      <c r="A3163" s="924">
        <f t="shared" si="49"/>
        <v>3163</v>
      </c>
      <c r="B3163" s="924">
        <v>7.5</v>
      </c>
    </row>
    <row r="3164" spans="1:2" x14ac:dyDescent="0.25">
      <c r="A3164" s="924">
        <f t="shared" si="49"/>
        <v>3164</v>
      </c>
      <c r="B3164" s="924">
        <v>7.5</v>
      </c>
    </row>
    <row r="3165" spans="1:2" x14ac:dyDescent="0.25">
      <c r="A3165" s="924">
        <f t="shared" si="49"/>
        <v>3165</v>
      </c>
      <c r="B3165" s="924">
        <v>7.5</v>
      </c>
    </row>
    <row r="3166" spans="1:2" x14ac:dyDescent="0.25">
      <c r="A3166" s="924">
        <f t="shared" si="49"/>
        <v>3166</v>
      </c>
      <c r="B3166" s="924">
        <v>7.5</v>
      </c>
    </row>
    <row r="3167" spans="1:2" x14ac:dyDescent="0.25">
      <c r="A3167" s="924">
        <f t="shared" si="49"/>
        <v>3167</v>
      </c>
      <c r="B3167" s="924">
        <v>7.5</v>
      </c>
    </row>
    <row r="3168" spans="1:2" x14ac:dyDescent="0.25">
      <c r="A3168" s="924">
        <f t="shared" si="49"/>
        <v>3168</v>
      </c>
      <c r="B3168" s="924">
        <v>7.5</v>
      </c>
    </row>
    <row r="3169" spans="1:2" x14ac:dyDescent="0.25">
      <c r="A3169" s="924">
        <f t="shared" si="49"/>
        <v>3169</v>
      </c>
      <c r="B3169" s="924">
        <v>7.5</v>
      </c>
    </row>
    <row r="3170" spans="1:2" x14ac:dyDescent="0.25">
      <c r="A3170" s="924">
        <f t="shared" si="49"/>
        <v>3170</v>
      </c>
      <c r="B3170" s="924">
        <v>7.6</v>
      </c>
    </row>
    <row r="3171" spans="1:2" x14ac:dyDescent="0.25">
      <c r="A3171" s="924">
        <f t="shared" si="49"/>
        <v>3171</v>
      </c>
      <c r="B3171" s="924">
        <v>7.6</v>
      </c>
    </row>
    <row r="3172" spans="1:2" x14ac:dyDescent="0.25">
      <c r="A3172" s="924">
        <f t="shared" si="49"/>
        <v>3172</v>
      </c>
      <c r="B3172" s="924">
        <v>7.6</v>
      </c>
    </row>
    <row r="3173" spans="1:2" x14ac:dyDescent="0.25">
      <c r="A3173" s="924">
        <f t="shared" si="49"/>
        <v>3173</v>
      </c>
      <c r="B3173" s="924">
        <v>7.6</v>
      </c>
    </row>
    <row r="3174" spans="1:2" x14ac:dyDescent="0.25">
      <c r="A3174" s="924">
        <f t="shared" si="49"/>
        <v>3174</v>
      </c>
      <c r="B3174" s="924">
        <v>7.6</v>
      </c>
    </row>
    <row r="3175" spans="1:2" x14ac:dyDescent="0.25">
      <c r="A3175" s="924">
        <f t="shared" si="49"/>
        <v>3175</v>
      </c>
      <c r="B3175" s="924">
        <v>7.6</v>
      </c>
    </row>
    <row r="3176" spans="1:2" x14ac:dyDescent="0.25">
      <c r="A3176" s="924">
        <f t="shared" si="49"/>
        <v>3176</v>
      </c>
      <c r="B3176" s="924">
        <v>7.6</v>
      </c>
    </row>
    <row r="3177" spans="1:2" x14ac:dyDescent="0.25">
      <c r="A3177" s="924">
        <f t="shared" si="49"/>
        <v>3177</v>
      </c>
      <c r="B3177" s="924">
        <v>7.6</v>
      </c>
    </row>
    <row r="3178" spans="1:2" x14ac:dyDescent="0.25">
      <c r="A3178" s="924">
        <f t="shared" si="49"/>
        <v>3178</v>
      </c>
      <c r="B3178" s="924">
        <v>7.6</v>
      </c>
    </row>
    <row r="3179" spans="1:2" x14ac:dyDescent="0.25">
      <c r="A3179" s="924">
        <f t="shared" si="49"/>
        <v>3179</v>
      </c>
      <c r="B3179" s="924">
        <v>7.6</v>
      </c>
    </row>
    <row r="3180" spans="1:2" x14ac:dyDescent="0.25">
      <c r="A3180" s="924">
        <f t="shared" si="49"/>
        <v>3180</v>
      </c>
      <c r="B3180" s="924">
        <v>7.6</v>
      </c>
    </row>
    <row r="3181" spans="1:2" x14ac:dyDescent="0.25">
      <c r="A3181" s="924">
        <f t="shared" si="49"/>
        <v>3181</v>
      </c>
      <c r="B3181" s="924">
        <v>7.6</v>
      </c>
    </row>
    <row r="3182" spans="1:2" x14ac:dyDescent="0.25">
      <c r="A3182" s="924">
        <f t="shared" si="49"/>
        <v>3182</v>
      </c>
      <c r="B3182" s="924">
        <v>7.6</v>
      </c>
    </row>
    <row r="3183" spans="1:2" x14ac:dyDescent="0.25">
      <c r="A3183" s="924">
        <f t="shared" si="49"/>
        <v>3183</v>
      </c>
      <c r="B3183" s="924">
        <v>7.6</v>
      </c>
    </row>
    <row r="3184" spans="1:2" x14ac:dyDescent="0.25">
      <c r="A3184" s="924">
        <f t="shared" si="49"/>
        <v>3184</v>
      </c>
      <c r="B3184" s="924">
        <v>7.6</v>
      </c>
    </row>
    <row r="3185" spans="1:2" x14ac:dyDescent="0.25">
      <c r="A3185" s="924">
        <f t="shared" si="49"/>
        <v>3185</v>
      </c>
      <c r="B3185" s="924">
        <v>7.6</v>
      </c>
    </row>
    <row r="3186" spans="1:2" x14ac:dyDescent="0.25">
      <c r="A3186" s="924">
        <f t="shared" si="49"/>
        <v>3186</v>
      </c>
      <c r="B3186" s="924">
        <v>7.6</v>
      </c>
    </row>
    <row r="3187" spans="1:2" x14ac:dyDescent="0.25">
      <c r="A3187" s="924">
        <f t="shared" si="49"/>
        <v>3187</v>
      </c>
      <c r="B3187" s="924">
        <v>7.6</v>
      </c>
    </row>
    <row r="3188" spans="1:2" x14ac:dyDescent="0.25">
      <c r="A3188" s="924">
        <f t="shared" si="49"/>
        <v>3188</v>
      </c>
      <c r="B3188" s="924">
        <v>7.6</v>
      </c>
    </row>
    <row r="3189" spans="1:2" x14ac:dyDescent="0.25">
      <c r="A3189" s="924">
        <f t="shared" si="49"/>
        <v>3189</v>
      </c>
      <c r="B3189" s="924">
        <v>7.6</v>
      </c>
    </row>
    <row r="3190" spans="1:2" x14ac:dyDescent="0.25">
      <c r="A3190" s="924">
        <f t="shared" si="49"/>
        <v>3190</v>
      </c>
      <c r="B3190" s="924">
        <v>7.6</v>
      </c>
    </row>
    <row r="3191" spans="1:2" x14ac:dyDescent="0.25">
      <c r="A3191" s="924">
        <f t="shared" si="49"/>
        <v>3191</v>
      </c>
      <c r="B3191" s="924">
        <v>7.6</v>
      </c>
    </row>
    <row r="3192" spans="1:2" x14ac:dyDescent="0.25">
      <c r="A3192" s="924">
        <f t="shared" si="49"/>
        <v>3192</v>
      </c>
      <c r="B3192" s="924">
        <v>7.6</v>
      </c>
    </row>
    <row r="3193" spans="1:2" x14ac:dyDescent="0.25">
      <c r="A3193" s="924">
        <f t="shared" si="49"/>
        <v>3193</v>
      </c>
      <c r="B3193" s="924">
        <v>7.6</v>
      </c>
    </row>
    <row r="3194" spans="1:2" x14ac:dyDescent="0.25">
      <c r="A3194" s="924">
        <f t="shared" si="49"/>
        <v>3194</v>
      </c>
      <c r="B3194" s="924">
        <v>7.6</v>
      </c>
    </row>
    <row r="3195" spans="1:2" x14ac:dyDescent="0.25">
      <c r="A3195" s="924">
        <f t="shared" si="49"/>
        <v>3195</v>
      </c>
      <c r="B3195" s="924">
        <v>7.6</v>
      </c>
    </row>
    <row r="3196" spans="1:2" x14ac:dyDescent="0.25">
      <c r="A3196" s="924">
        <f t="shared" si="49"/>
        <v>3196</v>
      </c>
      <c r="B3196" s="924">
        <v>7.6</v>
      </c>
    </row>
    <row r="3197" spans="1:2" x14ac:dyDescent="0.25">
      <c r="A3197" s="924">
        <f t="shared" si="49"/>
        <v>3197</v>
      </c>
      <c r="B3197" s="924">
        <v>7.6</v>
      </c>
    </row>
    <row r="3198" spans="1:2" x14ac:dyDescent="0.25">
      <c r="A3198" s="924">
        <f t="shared" si="49"/>
        <v>3198</v>
      </c>
      <c r="B3198" s="924">
        <v>7.6</v>
      </c>
    </row>
    <row r="3199" spans="1:2" x14ac:dyDescent="0.25">
      <c r="A3199" s="924">
        <f t="shared" si="49"/>
        <v>3199</v>
      </c>
      <c r="B3199" s="924">
        <v>7.6</v>
      </c>
    </row>
    <row r="3200" spans="1:2" x14ac:dyDescent="0.25">
      <c r="A3200" s="924">
        <f t="shared" si="49"/>
        <v>3200</v>
      </c>
      <c r="B3200" s="924">
        <v>7.6</v>
      </c>
    </row>
    <row r="3201" spans="1:2" x14ac:dyDescent="0.25">
      <c r="A3201" s="924">
        <f t="shared" si="49"/>
        <v>3201</v>
      </c>
      <c r="B3201" s="924">
        <v>7.6</v>
      </c>
    </row>
    <row r="3202" spans="1:2" x14ac:dyDescent="0.25">
      <c r="A3202" s="924">
        <f t="shared" si="49"/>
        <v>3202</v>
      </c>
      <c r="B3202" s="924">
        <v>7.6</v>
      </c>
    </row>
    <row r="3203" spans="1:2" x14ac:dyDescent="0.25">
      <c r="A3203" s="924">
        <f t="shared" ref="A3203:A3266" si="50">A3202+1</f>
        <v>3203</v>
      </c>
      <c r="B3203" s="924">
        <v>7.6</v>
      </c>
    </row>
    <row r="3204" spans="1:2" x14ac:dyDescent="0.25">
      <c r="A3204" s="924">
        <f t="shared" si="50"/>
        <v>3204</v>
      </c>
      <c r="B3204" s="924">
        <v>7.6</v>
      </c>
    </row>
    <row r="3205" spans="1:2" x14ac:dyDescent="0.25">
      <c r="A3205" s="924">
        <f t="shared" si="50"/>
        <v>3205</v>
      </c>
      <c r="B3205" s="924">
        <v>7.6</v>
      </c>
    </row>
    <row r="3206" spans="1:2" x14ac:dyDescent="0.25">
      <c r="A3206" s="924">
        <f t="shared" si="50"/>
        <v>3206</v>
      </c>
      <c r="B3206" s="924">
        <v>7.6</v>
      </c>
    </row>
    <row r="3207" spans="1:2" x14ac:dyDescent="0.25">
      <c r="A3207" s="924">
        <f t="shared" si="50"/>
        <v>3207</v>
      </c>
      <c r="B3207" s="924">
        <v>7.6</v>
      </c>
    </row>
    <row r="3208" spans="1:2" x14ac:dyDescent="0.25">
      <c r="A3208" s="924">
        <f t="shared" si="50"/>
        <v>3208</v>
      </c>
      <c r="B3208" s="924">
        <v>7.6</v>
      </c>
    </row>
    <row r="3209" spans="1:2" x14ac:dyDescent="0.25">
      <c r="A3209" s="924">
        <f t="shared" si="50"/>
        <v>3209</v>
      </c>
      <c r="B3209" s="924">
        <v>7.6</v>
      </c>
    </row>
    <row r="3210" spans="1:2" x14ac:dyDescent="0.25">
      <c r="A3210" s="924">
        <f t="shared" si="50"/>
        <v>3210</v>
      </c>
      <c r="B3210" s="924">
        <v>7.6</v>
      </c>
    </row>
    <row r="3211" spans="1:2" x14ac:dyDescent="0.25">
      <c r="A3211" s="924">
        <f t="shared" si="50"/>
        <v>3211</v>
      </c>
      <c r="B3211" s="924">
        <v>7.6</v>
      </c>
    </row>
    <row r="3212" spans="1:2" x14ac:dyDescent="0.25">
      <c r="A3212" s="924">
        <f t="shared" si="50"/>
        <v>3212</v>
      </c>
      <c r="B3212" s="924">
        <v>7.6</v>
      </c>
    </row>
    <row r="3213" spans="1:2" x14ac:dyDescent="0.25">
      <c r="A3213" s="924">
        <f t="shared" si="50"/>
        <v>3213</v>
      </c>
      <c r="B3213" s="924">
        <v>7.6</v>
      </c>
    </row>
    <row r="3214" spans="1:2" x14ac:dyDescent="0.25">
      <c r="A3214" s="924">
        <f t="shared" si="50"/>
        <v>3214</v>
      </c>
      <c r="B3214" s="924">
        <v>7.6</v>
      </c>
    </row>
    <row r="3215" spans="1:2" x14ac:dyDescent="0.25">
      <c r="A3215" s="924">
        <f t="shared" si="50"/>
        <v>3215</v>
      </c>
      <c r="B3215" s="924">
        <v>7.6</v>
      </c>
    </row>
    <row r="3216" spans="1:2" x14ac:dyDescent="0.25">
      <c r="A3216" s="924">
        <f t="shared" si="50"/>
        <v>3216</v>
      </c>
      <c r="B3216" s="924">
        <v>7.6</v>
      </c>
    </row>
    <row r="3217" spans="1:2" x14ac:dyDescent="0.25">
      <c r="A3217" s="924">
        <f t="shared" si="50"/>
        <v>3217</v>
      </c>
      <c r="B3217" s="924">
        <v>7.6</v>
      </c>
    </row>
    <row r="3218" spans="1:2" x14ac:dyDescent="0.25">
      <c r="A3218" s="924">
        <f t="shared" si="50"/>
        <v>3218</v>
      </c>
      <c r="B3218" s="924">
        <v>7.6</v>
      </c>
    </row>
    <row r="3219" spans="1:2" x14ac:dyDescent="0.25">
      <c r="A3219" s="924">
        <f t="shared" si="50"/>
        <v>3219</v>
      </c>
      <c r="B3219" s="924">
        <v>7.6</v>
      </c>
    </row>
    <row r="3220" spans="1:2" x14ac:dyDescent="0.25">
      <c r="A3220" s="924">
        <f t="shared" si="50"/>
        <v>3220</v>
      </c>
      <c r="B3220" s="924">
        <v>7.6</v>
      </c>
    </row>
    <row r="3221" spans="1:2" x14ac:dyDescent="0.25">
      <c r="A3221" s="924">
        <f t="shared" si="50"/>
        <v>3221</v>
      </c>
      <c r="B3221" s="924">
        <v>7.6</v>
      </c>
    </row>
    <row r="3222" spans="1:2" x14ac:dyDescent="0.25">
      <c r="A3222" s="924">
        <f t="shared" si="50"/>
        <v>3222</v>
      </c>
      <c r="B3222" s="924">
        <v>7.6</v>
      </c>
    </row>
    <row r="3223" spans="1:2" x14ac:dyDescent="0.25">
      <c r="A3223" s="924">
        <f t="shared" si="50"/>
        <v>3223</v>
      </c>
      <c r="B3223" s="924">
        <v>7.6</v>
      </c>
    </row>
    <row r="3224" spans="1:2" x14ac:dyDescent="0.25">
      <c r="A3224" s="924">
        <f t="shared" si="50"/>
        <v>3224</v>
      </c>
      <c r="B3224" s="924">
        <v>7.6</v>
      </c>
    </row>
    <row r="3225" spans="1:2" x14ac:dyDescent="0.25">
      <c r="A3225" s="924">
        <f t="shared" si="50"/>
        <v>3225</v>
      </c>
      <c r="B3225" s="924">
        <v>7.6</v>
      </c>
    </row>
    <row r="3226" spans="1:2" x14ac:dyDescent="0.25">
      <c r="A3226" s="924">
        <f t="shared" si="50"/>
        <v>3226</v>
      </c>
      <c r="B3226" s="924">
        <v>7.7</v>
      </c>
    </row>
    <row r="3227" spans="1:2" x14ac:dyDescent="0.25">
      <c r="A3227" s="924">
        <f t="shared" si="50"/>
        <v>3227</v>
      </c>
      <c r="B3227" s="924">
        <v>7.7</v>
      </c>
    </row>
    <row r="3228" spans="1:2" x14ac:dyDescent="0.25">
      <c r="A3228" s="924">
        <f t="shared" si="50"/>
        <v>3228</v>
      </c>
      <c r="B3228" s="924">
        <v>7.7</v>
      </c>
    </row>
    <row r="3229" spans="1:2" x14ac:dyDescent="0.25">
      <c r="A3229" s="924">
        <f t="shared" si="50"/>
        <v>3229</v>
      </c>
      <c r="B3229" s="924">
        <v>7.7</v>
      </c>
    </row>
    <row r="3230" spans="1:2" x14ac:dyDescent="0.25">
      <c r="A3230" s="924">
        <f t="shared" si="50"/>
        <v>3230</v>
      </c>
      <c r="B3230" s="924">
        <v>7.7</v>
      </c>
    </row>
    <row r="3231" spans="1:2" x14ac:dyDescent="0.25">
      <c r="A3231" s="924">
        <f t="shared" si="50"/>
        <v>3231</v>
      </c>
      <c r="B3231" s="924">
        <v>7.7</v>
      </c>
    </row>
    <row r="3232" spans="1:2" x14ac:dyDescent="0.25">
      <c r="A3232" s="924">
        <f t="shared" si="50"/>
        <v>3232</v>
      </c>
      <c r="B3232" s="924">
        <v>7.7</v>
      </c>
    </row>
    <row r="3233" spans="1:2" x14ac:dyDescent="0.25">
      <c r="A3233" s="924">
        <f t="shared" si="50"/>
        <v>3233</v>
      </c>
      <c r="B3233" s="924">
        <v>7.7</v>
      </c>
    </row>
    <row r="3234" spans="1:2" x14ac:dyDescent="0.25">
      <c r="A3234" s="924">
        <f t="shared" si="50"/>
        <v>3234</v>
      </c>
      <c r="B3234" s="924">
        <v>7.7</v>
      </c>
    </row>
    <row r="3235" spans="1:2" x14ac:dyDescent="0.25">
      <c r="A3235" s="924">
        <f t="shared" si="50"/>
        <v>3235</v>
      </c>
      <c r="B3235" s="924">
        <v>7.7</v>
      </c>
    </row>
    <row r="3236" spans="1:2" x14ac:dyDescent="0.25">
      <c r="A3236" s="924">
        <f t="shared" si="50"/>
        <v>3236</v>
      </c>
      <c r="B3236" s="924">
        <v>7.7</v>
      </c>
    </row>
    <row r="3237" spans="1:2" x14ac:dyDescent="0.25">
      <c r="A3237" s="924">
        <f t="shared" si="50"/>
        <v>3237</v>
      </c>
      <c r="B3237" s="924">
        <v>7.7</v>
      </c>
    </row>
    <row r="3238" spans="1:2" x14ac:dyDescent="0.25">
      <c r="A3238" s="924">
        <f t="shared" si="50"/>
        <v>3238</v>
      </c>
      <c r="B3238" s="924">
        <v>7.7</v>
      </c>
    </row>
    <row r="3239" spans="1:2" x14ac:dyDescent="0.25">
      <c r="A3239" s="924">
        <f t="shared" si="50"/>
        <v>3239</v>
      </c>
      <c r="B3239" s="924">
        <v>7.7</v>
      </c>
    </row>
    <row r="3240" spans="1:2" x14ac:dyDescent="0.25">
      <c r="A3240" s="924">
        <f t="shared" si="50"/>
        <v>3240</v>
      </c>
      <c r="B3240" s="924">
        <v>7.7</v>
      </c>
    </row>
    <row r="3241" spans="1:2" x14ac:dyDescent="0.25">
      <c r="A3241" s="924">
        <f t="shared" si="50"/>
        <v>3241</v>
      </c>
      <c r="B3241" s="924">
        <v>7.7</v>
      </c>
    </row>
    <row r="3242" spans="1:2" x14ac:dyDescent="0.25">
      <c r="A3242" s="924">
        <f t="shared" si="50"/>
        <v>3242</v>
      </c>
      <c r="B3242" s="924">
        <v>7.7</v>
      </c>
    </row>
    <row r="3243" spans="1:2" x14ac:dyDescent="0.25">
      <c r="A3243" s="924">
        <f t="shared" si="50"/>
        <v>3243</v>
      </c>
      <c r="B3243" s="924">
        <v>7.7</v>
      </c>
    </row>
    <row r="3244" spans="1:2" x14ac:dyDescent="0.25">
      <c r="A3244" s="924">
        <f t="shared" si="50"/>
        <v>3244</v>
      </c>
      <c r="B3244" s="924">
        <v>7.7</v>
      </c>
    </row>
    <row r="3245" spans="1:2" x14ac:dyDescent="0.25">
      <c r="A3245" s="924">
        <f t="shared" si="50"/>
        <v>3245</v>
      </c>
      <c r="B3245" s="924">
        <v>7.7</v>
      </c>
    </row>
    <row r="3246" spans="1:2" x14ac:dyDescent="0.25">
      <c r="A3246" s="924">
        <f t="shared" si="50"/>
        <v>3246</v>
      </c>
      <c r="B3246" s="924">
        <v>7.7</v>
      </c>
    </row>
    <row r="3247" spans="1:2" x14ac:dyDescent="0.25">
      <c r="A3247" s="924">
        <f t="shared" si="50"/>
        <v>3247</v>
      </c>
      <c r="B3247" s="924">
        <v>7.7</v>
      </c>
    </row>
    <row r="3248" spans="1:2" x14ac:dyDescent="0.25">
      <c r="A3248" s="924">
        <f t="shared" si="50"/>
        <v>3248</v>
      </c>
      <c r="B3248" s="924">
        <v>7.7</v>
      </c>
    </row>
    <row r="3249" spans="1:2" x14ac:dyDescent="0.25">
      <c r="A3249" s="924">
        <f t="shared" si="50"/>
        <v>3249</v>
      </c>
      <c r="B3249" s="924">
        <v>7.7</v>
      </c>
    </row>
    <row r="3250" spans="1:2" x14ac:dyDescent="0.25">
      <c r="A3250" s="924">
        <f t="shared" si="50"/>
        <v>3250</v>
      </c>
      <c r="B3250" s="924">
        <v>7.7</v>
      </c>
    </row>
    <row r="3251" spans="1:2" x14ac:dyDescent="0.25">
      <c r="A3251" s="924">
        <f t="shared" si="50"/>
        <v>3251</v>
      </c>
      <c r="B3251" s="924">
        <v>7.7</v>
      </c>
    </row>
    <row r="3252" spans="1:2" x14ac:dyDescent="0.25">
      <c r="A3252" s="924">
        <f t="shared" si="50"/>
        <v>3252</v>
      </c>
      <c r="B3252" s="924">
        <v>7.7</v>
      </c>
    </row>
    <row r="3253" spans="1:2" x14ac:dyDescent="0.25">
      <c r="A3253" s="924">
        <f t="shared" si="50"/>
        <v>3253</v>
      </c>
      <c r="B3253" s="924">
        <v>7.7</v>
      </c>
    </row>
    <row r="3254" spans="1:2" x14ac:dyDescent="0.25">
      <c r="A3254" s="924">
        <f t="shared" si="50"/>
        <v>3254</v>
      </c>
      <c r="B3254" s="924">
        <v>7.7</v>
      </c>
    </row>
    <row r="3255" spans="1:2" x14ac:dyDescent="0.25">
      <c r="A3255" s="924">
        <f t="shared" si="50"/>
        <v>3255</v>
      </c>
      <c r="B3255" s="924">
        <v>7.7</v>
      </c>
    </row>
    <row r="3256" spans="1:2" x14ac:dyDescent="0.25">
      <c r="A3256" s="924">
        <f t="shared" si="50"/>
        <v>3256</v>
      </c>
      <c r="B3256" s="924">
        <v>7.7</v>
      </c>
    </row>
    <row r="3257" spans="1:2" x14ac:dyDescent="0.25">
      <c r="A3257" s="924">
        <f t="shared" si="50"/>
        <v>3257</v>
      </c>
      <c r="B3257" s="924">
        <v>7.7</v>
      </c>
    </row>
    <row r="3258" spans="1:2" x14ac:dyDescent="0.25">
      <c r="A3258" s="924">
        <f t="shared" si="50"/>
        <v>3258</v>
      </c>
      <c r="B3258" s="924">
        <v>7.7</v>
      </c>
    </row>
    <row r="3259" spans="1:2" x14ac:dyDescent="0.25">
      <c r="A3259" s="924">
        <f t="shared" si="50"/>
        <v>3259</v>
      </c>
      <c r="B3259" s="924">
        <v>7.7</v>
      </c>
    </row>
    <row r="3260" spans="1:2" x14ac:dyDescent="0.25">
      <c r="A3260" s="924">
        <f t="shared" si="50"/>
        <v>3260</v>
      </c>
      <c r="B3260" s="924">
        <v>7.7</v>
      </c>
    </row>
    <row r="3261" spans="1:2" x14ac:dyDescent="0.25">
      <c r="A3261" s="924">
        <f t="shared" si="50"/>
        <v>3261</v>
      </c>
      <c r="B3261" s="924">
        <v>7.7</v>
      </c>
    </row>
    <row r="3262" spans="1:2" x14ac:dyDescent="0.25">
      <c r="A3262" s="924">
        <f t="shared" si="50"/>
        <v>3262</v>
      </c>
      <c r="B3262" s="924">
        <v>7.7</v>
      </c>
    </row>
    <row r="3263" spans="1:2" x14ac:dyDescent="0.25">
      <c r="A3263" s="924">
        <f t="shared" si="50"/>
        <v>3263</v>
      </c>
      <c r="B3263" s="924">
        <v>7.7</v>
      </c>
    </row>
    <row r="3264" spans="1:2" x14ac:dyDescent="0.25">
      <c r="A3264" s="924">
        <f t="shared" si="50"/>
        <v>3264</v>
      </c>
      <c r="B3264" s="924">
        <v>7.7</v>
      </c>
    </row>
    <row r="3265" spans="1:2" x14ac:dyDescent="0.25">
      <c r="A3265" s="924">
        <f t="shared" si="50"/>
        <v>3265</v>
      </c>
      <c r="B3265" s="924">
        <v>7.7</v>
      </c>
    </row>
    <row r="3266" spans="1:2" x14ac:dyDescent="0.25">
      <c r="A3266" s="924">
        <f t="shared" si="50"/>
        <v>3266</v>
      </c>
      <c r="B3266" s="924">
        <v>7.7</v>
      </c>
    </row>
    <row r="3267" spans="1:2" x14ac:dyDescent="0.25">
      <c r="A3267" s="924">
        <f t="shared" ref="A3267:A3330" si="51">A3266+1</f>
        <v>3267</v>
      </c>
      <c r="B3267" s="924">
        <v>7.7</v>
      </c>
    </row>
    <row r="3268" spans="1:2" x14ac:dyDescent="0.25">
      <c r="A3268" s="924">
        <f t="shared" si="51"/>
        <v>3268</v>
      </c>
      <c r="B3268" s="924">
        <v>7.7</v>
      </c>
    </row>
    <row r="3269" spans="1:2" x14ac:dyDescent="0.25">
      <c r="A3269" s="924">
        <f t="shared" si="51"/>
        <v>3269</v>
      </c>
      <c r="B3269" s="924">
        <v>7.7</v>
      </c>
    </row>
    <row r="3270" spans="1:2" x14ac:dyDescent="0.25">
      <c r="A3270" s="924">
        <f t="shared" si="51"/>
        <v>3270</v>
      </c>
      <c r="B3270" s="924">
        <v>7.7</v>
      </c>
    </row>
    <row r="3271" spans="1:2" x14ac:dyDescent="0.25">
      <c r="A3271" s="924">
        <f t="shared" si="51"/>
        <v>3271</v>
      </c>
      <c r="B3271" s="924">
        <v>7.7</v>
      </c>
    </row>
    <row r="3272" spans="1:2" x14ac:dyDescent="0.25">
      <c r="A3272" s="924">
        <f t="shared" si="51"/>
        <v>3272</v>
      </c>
      <c r="B3272" s="924">
        <v>7.7</v>
      </c>
    </row>
    <row r="3273" spans="1:2" x14ac:dyDescent="0.25">
      <c r="A3273" s="924">
        <f t="shared" si="51"/>
        <v>3273</v>
      </c>
      <c r="B3273" s="924">
        <v>7.7</v>
      </c>
    </row>
    <row r="3274" spans="1:2" x14ac:dyDescent="0.25">
      <c r="A3274" s="924">
        <f t="shared" si="51"/>
        <v>3274</v>
      </c>
      <c r="B3274" s="924">
        <v>7.7</v>
      </c>
    </row>
    <row r="3275" spans="1:2" x14ac:dyDescent="0.25">
      <c r="A3275" s="924">
        <f t="shared" si="51"/>
        <v>3275</v>
      </c>
      <c r="B3275" s="924">
        <v>7.7</v>
      </c>
    </row>
    <row r="3276" spans="1:2" x14ac:dyDescent="0.25">
      <c r="A3276" s="924">
        <f t="shared" si="51"/>
        <v>3276</v>
      </c>
      <c r="B3276" s="924">
        <v>7.7</v>
      </c>
    </row>
    <row r="3277" spans="1:2" x14ac:dyDescent="0.25">
      <c r="A3277" s="924">
        <f t="shared" si="51"/>
        <v>3277</v>
      </c>
      <c r="B3277" s="924">
        <v>7.7</v>
      </c>
    </row>
    <row r="3278" spans="1:2" x14ac:dyDescent="0.25">
      <c r="A3278" s="924">
        <f t="shared" si="51"/>
        <v>3278</v>
      </c>
      <c r="B3278" s="924">
        <v>7.7</v>
      </c>
    </row>
    <row r="3279" spans="1:2" x14ac:dyDescent="0.25">
      <c r="A3279" s="924">
        <f t="shared" si="51"/>
        <v>3279</v>
      </c>
      <c r="B3279" s="924">
        <v>7.7</v>
      </c>
    </row>
    <row r="3280" spans="1:2" x14ac:dyDescent="0.25">
      <c r="A3280" s="924">
        <f t="shared" si="51"/>
        <v>3280</v>
      </c>
      <c r="B3280" s="924">
        <v>7.7</v>
      </c>
    </row>
    <row r="3281" spans="1:2" x14ac:dyDescent="0.25">
      <c r="A3281" s="924">
        <f t="shared" si="51"/>
        <v>3281</v>
      </c>
      <c r="B3281" s="924">
        <v>7.7</v>
      </c>
    </row>
    <row r="3282" spans="1:2" x14ac:dyDescent="0.25">
      <c r="A3282" s="924">
        <f t="shared" si="51"/>
        <v>3282</v>
      </c>
      <c r="B3282" s="924">
        <v>7.7</v>
      </c>
    </row>
    <row r="3283" spans="1:2" x14ac:dyDescent="0.25">
      <c r="A3283" s="924">
        <f t="shared" si="51"/>
        <v>3283</v>
      </c>
      <c r="B3283" s="924">
        <v>7.8</v>
      </c>
    </row>
    <row r="3284" spans="1:2" x14ac:dyDescent="0.25">
      <c r="A3284" s="924">
        <f t="shared" si="51"/>
        <v>3284</v>
      </c>
      <c r="B3284" s="924">
        <v>7.8</v>
      </c>
    </row>
    <row r="3285" spans="1:2" x14ac:dyDescent="0.25">
      <c r="A3285" s="924">
        <f t="shared" si="51"/>
        <v>3285</v>
      </c>
      <c r="B3285" s="924">
        <v>7.8</v>
      </c>
    </row>
    <row r="3286" spans="1:2" x14ac:dyDescent="0.25">
      <c r="A3286" s="924">
        <f t="shared" si="51"/>
        <v>3286</v>
      </c>
      <c r="B3286" s="924">
        <v>7.8</v>
      </c>
    </row>
    <row r="3287" spans="1:2" x14ac:dyDescent="0.25">
      <c r="A3287" s="924">
        <f t="shared" si="51"/>
        <v>3287</v>
      </c>
      <c r="B3287" s="924">
        <v>7.8</v>
      </c>
    </row>
    <row r="3288" spans="1:2" x14ac:dyDescent="0.25">
      <c r="A3288" s="924">
        <f t="shared" si="51"/>
        <v>3288</v>
      </c>
      <c r="B3288" s="924">
        <v>7.8</v>
      </c>
    </row>
    <row r="3289" spans="1:2" x14ac:dyDescent="0.25">
      <c r="A3289" s="924">
        <f t="shared" si="51"/>
        <v>3289</v>
      </c>
      <c r="B3289" s="924">
        <v>7.8</v>
      </c>
    </row>
    <row r="3290" spans="1:2" x14ac:dyDescent="0.25">
      <c r="A3290" s="924">
        <f t="shared" si="51"/>
        <v>3290</v>
      </c>
      <c r="B3290" s="924">
        <v>7.8</v>
      </c>
    </row>
    <row r="3291" spans="1:2" x14ac:dyDescent="0.25">
      <c r="A3291" s="924">
        <f t="shared" si="51"/>
        <v>3291</v>
      </c>
      <c r="B3291" s="924">
        <v>7.8</v>
      </c>
    </row>
    <row r="3292" spans="1:2" x14ac:dyDescent="0.25">
      <c r="A3292" s="924">
        <f t="shared" si="51"/>
        <v>3292</v>
      </c>
      <c r="B3292" s="924">
        <v>7.8</v>
      </c>
    </row>
    <row r="3293" spans="1:2" x14ac:dyDescent="0.25">
      <c r="A3293" s="924">
        <f t="shared" si="51"/>
        <v>3293</v>
      </c>
      <c r="B3293" s="924">
        <v>7.8</v>
      </c>
    </row>
    <row r="3294" spans="1:2" x14ac:dyDescent="0.25">
      <c r="A3294" s="924">
        <f t="shared" si="51"/>
        <v>3294</v>
      </c>
      <c r="B3294" s="924">
        <v>7.8</v>
      </c>
    </row>
    <row r="3295" spans="1:2" x14ac:dyDescent="0.25">
      <c r="A3295" s="924">
        <f t="shared" si="51"/>
        <v>3295</v>
      </c>
      <c r="B3295" s="924">
        <v>7.8</v>
      </c>
    </row>
    <row r="3296" spans="1:2" x14ac:dyDescent="0.25">
      <c r="A3296" s="924">
        <f t="shared" si="51"/>
        <v>3296</v>
      </c>
      <c r="B3296" s="924">
        <v>7.8</v>
      </c>
    </row>
    <row r="3297" spans="1:2" x14ac:dyDescent="0.25">
      <c r="A3297" s="924">
        <f t="shared" si="51"/>
        <v>3297</v>
      </c>
      <c r="B3297" s="924">
        <v>7.8</v>
      </c>
    </row>
    <row r="3298" spans="1:2" x14ac:dyDescent="0.25">
      <c r="A3298" s="924">
        <f t="shared" si="51"/>
        <v>3298</v>
      </c>
      <c r="B3298" s="924">
        <v>7.8</v>
      </c>
    </row>
    <row r="3299" spans="1:2" x14ac:dyDescent="0.25">
      <c r="A3299" s="924">
        <f t="shared" si="51"/>
        <v>3299</v>
      </c>
      <c r="B3299" s="924">
        <v>7.8</v>
      </c>
    </row>
    <row r="3300" spans="1:2" x14ac:dyDescent="0.25">
      <c r="A3300" s="924">
        <f t="shared" si="51"/>
        <v>3300</v>
      </c>
      <c r="B3300" s="924">
        <v>7.8</v>
      </c>
    </row>
    <row r="3301" spans="1:2" x14ac:dyDescent="0.25">
      <c r="A3301" s="924">
        <f t="shared" si="51"/>
        <v>3301</v>
      </c>
      <c r="B3301" s="924">
        <v>7.8</v>
      </c>
    </row>
    <row r="3302" spans="1:2" x14ac:dyDescent="0.25">
      <c r="A3302" s="924">
        <f t="shared" si="51"/>
        <v>3302</v>
      </c>
      <c r="B3302" s="924">
        <v>7.8</v>
      </c>
    </row>
    <row r="3303" spans="1:2" x14ac:dyDescent="0.25">
      <c r="A3303" s="924">
        <f t="shared" si="51"/>
        <v>3303</v>
      </c>
      <c r="B3303" s="924">
        <v>7.8</v>
      </c>
    </row>
    <row r="3304" spans="1:2" x14ac:dyDescent="0.25">
      <c r="A3304" s="924">
        <f t="shared" si="51"/>
        <v>3304</v>
      </c>
      <c r="B3304" s="924">
        <v>7.8</v>
      </c>
    </row>
    <row r="3305" spans="1:2" x14ac:dyDescent="0.25">
      <c r="A3305" s="924">
        <f t="shared" si="51"/>
        <v>3305</v>
      </c>
      <c r="B3305" s="924">
        <v>7.8</v>
      </c>
    </row>
    <row r="3306" spans="1:2" x14ac:dyDescent="0.25">
      <c r="A3306" s="924">
        <f t="shared" si="51"/>
        <v>3306</v>
      </c>
      <c r="B3306" s="924">
        <v>7.8</v>
      </c>
    </row>
    <row r="3307" spans="1:2" x14ac:dyDescent="0.25">
      <c r="A3307" s="924">
        <f t="shared" si="51"/>
        <v>3307</v>
      </c>
      <c r="B3307" s="924">
        <v>7.8</v>
      </c>
    </row>
    <row r="3308" spans="1:2" x14ac:dyDescent="0.25">
      <c r="A3308" s="924">
        <f t="shared" si="51"/>
        <v>3308</v>
      </c>
      <c r="B3308" s="924">
        <v>7.8</v>
      </c>
    </row>
    <row r="3309" spans="1:2" x14ac:dyDescent="0.25">
      <c r="A3309" s="924">
        <f t="shared" si="51"/>
        <v>3309</v>
      </c>
      <c r="B3309" s="924">
        <v>7.8</v>
      </c>
    </row>
    <row r="3310" spans="1:2" x14ac:dyDescent="0.25">
      <c r="A3310" s="924">
        <f t="shared" si="51"/>
        <v>3310</v>
      </c>
      <c r="B3310" s="924">
        <v>7.8</v>
      </c>
    </row>
    <row r="3311" spans="1:2" x14ac:dyDescent="0.25">
      <c r="A3311" s="924">
        <f t="shared" si="51"/>
        <v>3311</v>
      </c>
      <c r="B3311" s="924">
        <v>7.8</v>
      </c>
    </row>
    <row r="3312" spans="1:2" x14ac:dyDescent="0.25">
      <c r="A3312" s="924">
        <f t="shared" si="51"/>
        <v>3312</v>
      </c>
      <c r="B3312" s="924">
        <v>7.8</v>
      </c>
    </row>
    <row r="3313" spans="1:2" x14ac:dyDescent="0.25">
      <c r="A3313" s="924">
        <f t="shared" si="51"/>
        <v>3313</v>
      </c>
      <c r="B3313" s="924">
        <v>7.8</v>
      </c>
    </row>
    <row r="3314" spans="1:2" x14ac:dyDescent="0.25">
      <c r="A3314" s="924">
        <f t="shared" si="51"/>
        <v>3314</v>
      </c>
      <c r="B3314" s="924">
        <v>7.8</v>
      </c>
    </row>
    <row r="3315" spans="1:2" x14ac:dyDescent="0.25">
      <c r="A3315" s="924">
        <f t="shared" si="51"/>
        <v>3315</v>
      </c>
      <c r="B3315" s="924">
        <v>7.8</v>
      </c>
    </row>
    <row r="3316" spans="1:2" x14ac:dyDescent="0.25">
      <c r="A3316" s="924">
        <f t="shared" si="51"/>
        <v>3316</v>
      </c>
      <c r="B3316" s="924">
        <v>7.8</v>
      </c>
    </row>
    <row r="3317" spans="1:2" x14ac:dyDescent="0.25">
      <c r="A3317" s="924">
        <f t="shared" si="51"/>
        <v>3317</v>
      </c>
      <c r="B3317" s="924">
        <v>7.8</v>
      </c>
    </row>
    <row r="3318" spans="1:2" x14ac:dyDescent="0.25">
      <c r="A3318" s="924">
        <f t="shared" si="51"/>
        <v>3318</v>
      </c>
      <c r="B3318" s="924">
        <v>7.9</v>
      </c>
    </row>
    <row r="3319" spans="1:2" x14ac:dyDescent="0.25">
      <c r="A3319" s="924">
        <f t="shared" si="51"/>
        <v>3319</v>
      </c>
      <c r="B3319" s="924">
        <v>7.9</v>
      </c>
    </row>
    <row r="3320" spans="1:2" x14ac:dyDescent="0.25">
      <c r="A3320" s="924">
        <f t="shared" si="51"/>
        <v>3320</v>
      </c>
      <c r="B3320" s="924">
        <v>7.9</v>
      </c>
    </row>
    <row r="3321" spans="1:2" x14ac:dyDescent="0.25">
      <c r="A3321" s="924">
        <f t="shared" si="51"/>
        <v>3321</v>
      </c>
      <c r="B3321" s="924">
        <v>7.9</v>
      </c>
    </row>
    <row r="3322" spans="1:2" x14ac:dyDescent="0.25">
      <c r="A3322" s="924">
        <f t="shared" si="51"/>
        <v>3322</v>
      </c>
      <c r="B3322" s="924">
        <v>7.9</v>
      </c>
    </row>
    <row r="3323" spans="1:2" x14ac:dyDescent="0.25">
      <c r="A3323" s="924">
        <f t="shared" si="51"/>
        <v>3323</v>
      </c>
      <c r="B3323" s="924">
        <v>7.9</v>
      </c>
    </row>
    <row r="3324" spans="1:2" x14ac:dyDescent="0.25">
      <c r="A3324" s="924">
        <f t="shared" si="51"/>
        <v>3324</v>
      </c>
      <c r="B3324" s="924">
        <v>7.9</v>
      </c>
    </row>
    <row r="3325" spans="1:2" x14ac:dyDescent="0.25">
      <c r="A3325" s="924">
        <f t="shared" si="51"/>
        <v>3325</v>
      </c>
      <c r="B3325" s="924">
        <v>7.9</v>
      </c>
    </row>
    <row r="3326" spans="1:2" x14ac:dyDescent="0.25">
      <c r="A3326" s="924">
        <f t="shared" si="51"/>
        <v>3326</v>
      </c>
      <c r="B3326" s="924">
        <v>7.9</v>
      </c>
    </row>
    <row r="3327" spans="1:2" x14ac:dyDescent="0.25">
      <c r="A3327" s="924">
        <f t="shared" si="51"/>
        <v>3327</v>
      </c>
      <c r="B3327" s="924">
        <v>7.9</v>
      </c>
    </row>
    <row r="3328" spans="1:2" x14ac:dyDescent="0.25">
      <c r="A3328" s="924">
        <f t="shared" si="51"/>
        <v>3328</v>
      </c>
      <c r="B3328" s="924">
        <v>7.9</v>
      </c>
    </row>
    <row r="3329" spans="1:2" x14ac:dyDescent="0.25">
      <c r="A3329" s="924">
        <f t="shared" si="51"/>
        <v>3329</v>
      </c>
      <c r="B3329" s="924">
        <v>7.9</v>
      </c>
    </row>
    <row r="3330" spans="1:2" x14ac:dyDescent="0.25">
      <c r="A3330" s="924">
        <f t="shared" si="51"/>
        <v>3330</v>
      </c>
      <c r="B3330" s="924">
        <v>7.9</v>
      </c>
    </row>
    <row r="3331" spans="1:2" x14ac:dyDescent="0.25">
      <c r="A3331" s="924">
        <f t="shared" ref="A3331:A3394" si="52">A3330+1</f>
        <v>3331</v>
      </c>
      <c r="B3331" s="924">
        <v>7.9</v>
      </c>
    </row>
    <row r="3332" spans="1:2" x14ac:dyDescent="0.25">
      <c r="A3332" s="924">
        <f t="shared" si="52"/>
        <v>3332</v>
      </c>
      <c r="B3332" s="924">
        <v>7.9</v>
      </c>
    </row>
    <row r="3333" spans="1:2" x14ac:dyDescent="0.25">
      <c r="A3333" s="924">
        <f t="shared" si="52"/>
        <v>3333</v>
      </c>
      <c r="B3333" s="924">
        <v>7.9</v>
      </c>
    </row>
    <row r="3334" spans="1:2" x14ac:dyDescent="0.25">
      <c r="A3334" s="924">
        <f t="shared" si="52"/>
        <v>3334</v>
      </c>
      <c r="B3334" s="924">
        <v>7.9</v>
      </c>
    </row>
    <row r="3335" spans="1:2" x14ac:dyDescent="0.25">
      <c r="A3335" s="924">
        <f t="shared" si="52"/>
        <v>3335</v>
      </c>
      <c r="B3335" s="924">
        <v>7.9</v>
      </c>
    </row>
    <row r="3336" spans="1:2" x14ac:dyDescent="0.25">
      <c r="A3336" s="924">
        <f t="shared" si="52"/>
        <v>3336</v>
      </c>
      <c r="B3336" s="924">
        <v>7.9</v>
      </c>
    </row>
    <row r="3337" spans="1:2" x14ac:dyDescent="0.25">
      <c r="A3337" s="924">
        <f t="shared" si="52"/>
        <v>3337</v>
      </c>
      <c r="B3337" s="924">
        <v>7.9</v>
      </c>
    </row>
    <row r="3338" spans="1:2" x14ac:dyDescent="0.25">
      <c r="A3338" s="924">
        <f t="shared" si="52"/>
        <v>3338</v>
      </c>
      <c r="B3338" s="924">
        <v>7.9</v>
      </c>
    </row>
    <row r="3339" spans="1:2" x14ac:dyDescent="0.25">
      <c r="A3339" s="924">
        <f t="shared" si="52"/>
        <v>3339</v>
      </c>
      <c r="B3339" s="924">
        <v>7.9</v>
      </c>
    </row>
    <row r="3340" spans="1:2" x14ac:dyDescent="0.25">
      <c r="A3340" s="924">
        <f t="shared" si="52"/>
        <v>3340</v>
      </c>
      <c r="B3340" s="924">
        <v>7.9</v>
      </c>
    </row>
    <row r="3341" spans="1:2" x14ac:dyDescent="0.25">
      <c r="A3341" s="924">
        <f t="shared" si="52"/>
        <v>3341</v>
      </c>
      <c r="B3341" s="924">
        <v>7.9</v>
      </c>
    </row>
    <row r="3342" spans="1:2" x14ac:dyDescent="0.25">
      <c r="A3342" s="924">
        <f t="shared" si="52"/>
        <v>3342</v>
      </c>
      <c r="B3342" s="924">
        <v>7.9</v>
      </c>
    </row>
    <row r="3343" spans="1:2" x14ac:dyDescent="0.25">
      <c r="A3343" s="924">
        <f t="shared" si="52"/>
        <v>3343</v>
      </c>
      <c r="B3343" s="924">
        <v>7.9</v>
      </c>
    </row>
    <row r="3344" spans="1:2" x14ac:dyDescent="0.25">
      <c r="A3344" s="924">
        <f t="shared" si="52"/>
        <v>3344</v>
      </c>
      <c r="B3344" s="924">
        <v>7.9</v>
      </c>
    </row>
    <row r="3345" spans="1:2" x14ac:dyDescent="0.25">
      <c r="A3345" s="924">
        <f t="shared" si="52"/>
        <v>3345</v>
      </c>
      <c r="B3345" s="924">
        <v>7.9</v>
      </c>
    </row>
    <row r="3346" spans="1:2" x14ac:dyDescent="0.25">
      <c r="A3346" s="924">
        <f t="shared" si="52"/>
        <v>3346</v>
      </c>
      <c r="B3346" s="924">
        <v>7.9</v>
      </c>
    </row>
    <row r="3347" spans="1:2" x14ac:dyDescent="0.25">
      <c r="A3347" s="924">
        <f t="shared" si="52"/>
        <v>3347</v>
      </c>
      <c r="B3347" s="924">
        <v>7.9</v>
      </c>
    </row>
    <row r="3348" spans="1:2" x14ac:dyDescent="0.25">
      <c r="A3348" s="924">
        <f t="shared" si="52"/>
        <v>3348</v>
      </c>
      <c r="B3348" s="924">
        <v>7.9</v>
      </c>
    </row>
    <row r="3349" spans="1:2" x14ac:dyDescent="0.25">
      <c r="A3349" s="924">
        <f t="shared" si="52"/>
        <v>3349</v>
      </c>
      <c r="B3349" s="924">
        <v>7.9</v>
      </c>
    </row>
    <row r="3350" spans="1:2" x14ac:dyDescent="0.25">
      <c r="A3350" s="924">
        <f t="shared" si="52"/>
        <v>3350</v>
      </c>
      <c r="B3350" s="924">
        <v>7.9</v>
      </c>
    </row>
    <row r="3351" spans="1:2" x14ac:dyDescent="0.25">
      <c r="A3351" s="924">
        <f t="shared" si="52"/>
        <v>3351</v>
      </c>
      <c r="B3351" s="924">
        <v>7.9</v>
      </c>
    </row>
    <row r="3352" spans="1:2" x14ac:dyDescent="0.25">
      <c r="A3352" s="924">
        <f t="shared" si="52"/>
        <v>3352</v>
      </c>
      <c r="B3352" s="924">
        <v>7.9</v>
      </c>
    </row>
    <row r="3353" spans="1:2" x14ac:dyDescent="0.25">
      <c r="A3353" s="924">
        <f t="shared" si="52"/>
        <v>3353</v>
      </c>
      <c r="B3353" s="924">
        <v>7.9</v>
      </c>
    </row>
    <row r="3354" spans="1:2" x14ac:dyDescent="0.25">
      <c r="A3354" s="924">
        <f t="shared" si="52"/>
        <v>3354</v>
      </c>
      <c r="B3354" s="924">
        <v>7.9</v>
      </c>
    </row>
    <row r="3355" spans="1:2" x14ac:dyDescent="0.25">
      <c r="A3355" s="924">
        <f t="shared" si="52"/>
        <v>3355</v>
      </c>
      <c r="B3355" s="924">
        <v>7.9</v>
      </c>
    </row>
    <row r="3356" spans="1:2" x14ac:dyDescent="0.25">
      <c r="A3356" s="924">
        <f t="shared" si="52"/>
        <v>3356</v>
      </c>
      <c r="B3356" s="924">
        <v>7.9</v>
      </c>
    </row>
    <row r="3357" spans="1:2" x14ac:dyDescent="0.25">
      <c r="A3357" s="924">
        <f t="shared" si="52"/>
        <v>3357</v>
      </c>
      <c r="B3357" s="924">
        <v>7.9</v>
      </c>
    </row>
    <row r="3358" spans="1:2" x14ac:dyDescent="0.25">
      <c r="A3358" s="924">
        <f t="shared" si="52"/>
        <v>3358</v>
      </c>
      <c r="B3358" s="924">
        <v>7.9</v>
      </c>
    </row>
    <row r="3359" spans="1:2" x14ac:dyDescent="0.25">
      <c r="A3359" s="924">
        <f t="shared" si="52"/>
        <v>3359</v>
      </c>
      <c r="B3359" s="924">
        <v>7.9</v>
      </c>
    </row>
    <row r="3360" spans="1:2" x14ac:dyDescent="0.25">
      <c r="A3360" s="924">
        <f t="shared" si="52"/>
        <v>3360</v>
      </c>
      <c r="B3360" s="924">
        <v>7.9</v>
      </c>
    </row>
    <row r="3361" spans="1:2" x14ac:dyDescent="0.25">
      <c r="A3361" s="924">
        <f t="shared" si="52"/>
        <v>3361</v>
      </c>
      <c r="B3361" s="924">
        <v>7.9</v>
      </c>
    </row>
    <row r="3362" spans="1:2" x14ac:dyDescent="0.25">
      <c r="A3362" s="924">
        <f t="shared" si="52"/>
        <v>3362</v>
      </c>
      <c r="B3362" s="924">
        <v>7.9</v>
      </c>
    </row>
    <row r="3363" spans="1:2" x14ac:dyDescent="0.25">
      <c r="A3363" s="924">
        <f t="shared" si="52"/>
        <v>3363</v>
      </c>
      <c r="B3363" s="924">
        <v>7.9</v>
      </c>
    </row>
    <row r="3364" spans="1:2" x14ac:dyDescent="0.25">
      <c r="A3364" s="924">
        <f t="shared" si="52"/>
        <v>3364</v>
      </c>
      <c r="B3364" s="924">
        <v>7.9</v>
      </c>
    </row>
    <row r="3365" spans="1:2" x14ac:dyDescent="0.25">
      <c r="A3365" s="924">
        <f t="shared" si="52"/>
        <v>3365</v>
      </c>
      <c r="B3365" s="924">
        <v>7.9</v>
      </c>
    </row>
    <row r="3366" spans="1:2" x14ac:dyDescent="0.25">
      <c r="A3366" s="924">
        <f t="shared" si="52"/>
        <v>3366</v>
      </c>
      <c r="B3366" s="924">
        <v>7.9</v>
      </c>
    </row>
    <row r="3367" spans="1:2" x14ac:dyDescent="0.25">
      <c r="A3367" s="924">
        <f t="shared" si="52"/>
        <v>3367</v>
      </c>
      <c r="B3367" s="924">
        <v>7.9</v>
      </c>
    </row>
    <row r="3368" spans="1:2" x14ac:dyDescent="0.25">
      <c r="A3368" s="924">
        <f t="shared" si="52"/>
        <v>3368</v>
      </c>
      <c r="B3368" s="924">
        <v>7.9</v>
      </c>
    </row>
    <row r="3369" spans="1:2" x14ac:dyDescent="0.25">
      <c r="A3369" s="924">
        <f t="shared" si="52"/>
        <v>3369</v>
      </c>
      <c r="B3369" s="924">
        <v>7.9</v>
      </c>
    </row>
    <row r="3370" spans="1:2" x14ac:dyDescent="0.25">
      <c r="A3370" s="924">
        <f t="shared" si="52"/>
        <v>3370</v>
      </c>
      <c r="B3370" s="924">
        <v>7.9</v>
      </c>
    </row>
    <row r="3371" spans="1:2" x14ac:dyDescent="0.25">
      <c r="A3371" s="924">
        <f t="shared" si="52"/>
        <v>3371</v>
      </c>
      <c r="B3371" s="924">
        <v>7.9</v>
      </c>
    </row>
    <row r="3372" spans="1:2" x14ac:dyDescent="0.25">
      <c r="A3372" s="924">
        <f t="shared" si="52"/>
        <v>3372</v>
      </c>
      <c r="B3372" s="924">
        <v>7.9</v>
      </c>
    </row>
    <row r="3373" spans="1:2" x14ac:dyDescent="0.25">
      <c r="A3373" s="924">
        <f t="shared" si="52"/>
        <v>3373</v>
      </c>
      <c r="B3373" s="924">
        <v>7.9</v>
      </c>
    </row>
    <row r="3374" spans="1:2" x14ac:dyDescent="0.25">
      <c r="A3374" s="924">
        <f t="shared" si="52"/>
        <v>3374</v>
      </c>
      <c r="B3374" s="924">
        <v>7.9</v>
      </c>
    </row>
    <row r="3375" spans="1:2" x14ac:dyDescent="0.25">
      <c r="A3375" s="924">
        <f t="shared" si="52"/>
        <v>3375</v>
      </c>
      <c r="B3375" s="924">
        <v>7.9</v>
      </c>
    </row>
    <row r="3376" spans="1:2" x14ac:dyDescent="0.25">
      <c r="A3376" s="924">
        <f t="shared" si="52"/>
        <v>3376</v>
      </c>
      <c r="B3376" s="924">
        <v>8</v>
      </c>
    </row>
    <row r="3377" spans="1:2" x14ac:dyDescent="0.25">
      <c r="A3377" s="924">
        <f t="shared" si="52"/>
        <v>3377</v>
      </c>
      <c r="B3377" s="924">
        <v>8</v>
      </c>
    </row>
    <row r="3378" spans="1:2" x14ac:dyDescent="0.25">
      <c r="A3378" s="924">
        <f t="shared" si="52"/>
        <v>3378</v>
      </c>
      <c r="B3378" s="924">
        <v>8</v>
      </c>
    </row>
    <row r="3379" spans="1:2" x14ac:dyDescent="0.25">
      <c r="A3379" s="924">
        <f t="shared" si="52"/>
        <v>3379</v>
      </c>
      <c r="B3379" s="924">
        <v>8</v>
      </c>
    </row>
    <row r="3380" spans="1:2" x14ac:dyDescent="0.25">
      <c r="A3380" s="924">
        <f t="shared" si="52"/>
        <v>3380</v>
      </c>
      <c r="B3380" s="924">
        <v>8</v>
      </c>
    </row>
    <row r="3381" spans="1:2" x14ac:dyDescent="0.25">
      <c r="A3381" s="924">
        <f t="shared" si="52"/>
        <v>3381</v>
      </c>
      <c r="B3381" s="924">
        <v>8</v>
      </c>
    </row>
    <row r="3382" spans="1:2" x14ac:dyDescent="0.25">
      <c r="A3382" s="924">
        <f t="shared" si="52"/>
        <v>3382</v>
      </c>
      <c r="B3382" s="924">
        <v>8</v>
      </c>
    </row>
    <row r="3383" spans="1:2" x14ac:dyDescent="0.25">
      <c r="A3383" s="924">
        <f t="shared" si="52"/>
        <v>3383</v>
      </c>
      <c r="B3383" s="924">
        <v>8</v>
      </c>
    </row>
    <row r="3384" spans="1:2" x14ac:dyDescent="0.25">
      <c r="A3384" s="924">
        <f t="shared" si="52"/>
        <v>3384</v>
      </c>
      <c r="B3384" s="924">
        <v>8</v>
      </c>
    </row>
    <row r="3385" spans="1:2" x14ac:dyDescent="0.25">
      <c r="A3385" s="924">
        <f t="shared" si="52"/>
        <v>3385</v>
      </c>
      <c r="B3385" s="924">
        <v>8</v>
      </c>
    </row>
    <row r="3386" spans="1:2" x14ac:dyDescent="0.25">
      <c r="A3386" s="924">
        <f t="shared" si="52"/>
        <v>3386</v>
      </c>
      <c r="B3386" s="924">
        <v>8</v>
      </c>
    </row>
    <row r="3387" spans="1:2" x14ac:dyDescent="0.25">
      <c r="A3387" s="924">
        <f t="shared" si="52"/>
        <v>3387</v>
      </c>
      <c r="B3387" s="924">
        <v>8</v>
      </c>
    </row>
    <row r="3388" spans="1:2" x14ac:dyDescent="0.25">
      <c r="A3388" s="924">
        <f t="shared" si="52"/>
        <v>3388</v>
      </c>
      <c r="B3388" s="924">
        <v>8</v>
      </c>
    </row>
    <row r="3389" spans="1:2" x14ac:dyDescent="0.25">
      <c r="A3389" s="924">
        <f t="shared" si="52"/>
        <v>3389</v>
      </c>
      <c r="B3389" s="924">
        <v>8</v>
      </c>
    </row>
    <row r="3390" spans="1:2" x14ac:dyDescent="0.25">
      <c r="A3390" s="924">
        <f t="shared" si="52"/>
        <v>3390</v>
      </c>
      <c r="B3390" s="924">
        <v>8</v>
      </c>
    </row>
    <row r="3391" spans="1:2" x14ac:dyDescent="0.25">
      <c r="A3391" s="924">
        <f t="shared" si="52"/>
        <v>3391</v>
      </c>
      <c r="B3391" s="924">
        <v>8</v>
      </c>
    </row>
    <row r="3392" spans="1:2" x14ac:dyDescent="0.25">
      <c r="A3392" s="924">
        <f t="shared" si="52"/>
        <v>3392</v>
      </c>
      <c r="B3392" s="924">
        <v>8</v>
      </c>
    </row>
    <row r="3393" spans="1:2" x14ac:dyDescent="0.25">
      <c r="A3393" s="924">
        <f t="shared" si="52"/>
        <v>3393</v>
      </c>
      <c r="B3393" s="924">
        <v>8</v>
      </c>
    </row>
    <row r="3394" spans="1:2" x14ac:dyDescent="0.25">
      <c r="A3394" s="924">
        <f t="shared" si="52"/>
        <v>3394</v>
      </c>
      <c r="B3394" s="924">
        <v>8</v>
      </c>
    </row>
    <row r="3395" spans="1:2" x14ac:dyDescent="0.25">
      <c r="A3395" s="924">
        <f t="shared" ref="A3395:A3458" si="53">A3394+1</f>
        <v>3395</v>
      </c>
      <c r="B3395" s="924">
        <v>8</v>
      </c>
    </row>
    <row r="3396" spans="1:2" x14ac:dyDescent="0.25">
      <c r="A3396" s="924">
        <f t="shared" si="53"/>
        <v>3396</v>
      </c>
      <c r="B3396" s="924">
        <v>8</v>
      </c>
    </row>
    <row r="3397" spans="1:2" x14ac:dyDescent="0.25">
      <c r="A3397" s="924">
        <f t="shared" si="53"/>
        <v>3397</v>
      </c>
      <c r="B3397" s="924">
        <v>8</v>
      </c>
    </row>
    <row r="3398" spans="1:2" x14ac:dyDescent="0.25">
      <c r="A3398" s="924">
        <f t="shared" si="53"/>
        <v>3398</v>
      </c>
      <c r="B3398" s="924">
        <v>8</v>
      </c>
    </row>
    <row r="3399" spans="1:2" x14ac:dyDescent="0.25">
      <c r="A3399" s="924">
        <f t="shared" si="53"/>
        <v>3399</v>
      </c>
      <c r="B3399" s="924">
        <v>8</v>
      </c>
    </row>
    <row r="3400" spans="1:2" x14ac:dyDescent="0.25">
      <c r="A3400" s="924">
        <f t="shared" si="53"/>
        <v>3400</v>
      </c>
      <c r="B3400" s="924">
        <v>8</v>
      </c>
    </row>
    <row r="3401" spans="1:2" x14ac:dyDescent="0.25">
      <c r="A3401" s="924">
        <f t="shared" si="53"/>
        <v>3401</v>
      </c>
      <c r="B3401" s="924">
        <v>8</v>
      </c>
    </row>
    <row r="3402" spans="1:2" x14ac:dyDescent="0.25">
      <c r="A3402" s="924">
        <f t="shared" si="53"/>
        <v>3402</v>
      </c>
      <c r="B3402" s="924">
        <v>8</v>
      </c>
    </row>
    <row r="3403" spans="1:2" x14ac:dyDescent="0.25">
      <c r="A3403" s="924">
        <f t="shared" si="53"/>
        <v>3403</v>
      </c>
      <c r="B3403" s="924">
        <v>8</v>
      </c>
    </row>
    <row r="3404" spans="1:2" x14ac:dyDescent="0.25">
      <c r="A3404" s="924">
        <f t="shared" si="53"/>
        <v>3404</v>
      </c>
      <c r="B3404" s="924">
        <v>8</v>
      </c>
    </row>
    <row r="3405" spans="1:2" x14ac:dyDescent="0.25">
      <c r="A3405" s="924">
        <f t="shared" si="53"/>
        <v>3405</v>
      </c>
      <c r="B3405" s="924">
        <v>8</v>
      </c>
    </row>
    <row r="3406" spans="1:2" x14ac:dyDescent="0.25">
      <c r="A3406" s="924">
        <f t="shared" si="53"/>
        <v>3406</v>
      </c>
      <c r="B3406" s="924">
        <v>8</v>
      </c>
    </row>
    <row r="3407" spans="1:2" x14ac:dyDescent="0.25">
      <c r="A3407" s="924">
        <f t="shared" si="53"/>
        <v>3407</v>
      </c>
      <c r="B3407" s="924">
        <v>8</v>
      </c>
    </row>
    <row r="3408" spans="1:2" x14ac:dyDescent="0.25">
      <c r="A3408" s="924">
        <f t="shared" si="53"/>
        <v>3408</v>
      </c>
      <c r="B3408" s="924">
        <v>8</v>
      </c>
    </row>
    <row r="3409" spans="1:2" x14ac:dyDescent="0.25">
      <c r="A3409" s="924">
        <f t="shared" si="53"/>
        <v>3409</v>
      </c>
      <c r="B3409" s="924">
        <v>8</v>
      </c>
    </row>
    <row r="3410" spans="1:2" x14ac:dyDescent="0.25">
      <c r="A3410" s="924">
        <f t="shared" si="53"/>
        <v>3410</v>
      </c>
      <c r="B3410" s="924">
        <v>8</v>
      </c>
    </row>
    <row r="3411" spans="1:2" x14ac:dyDescent="0.25">
      <c r="A3411" s="924">
        <f t="shared" si="53"/>
        <v>3411</v>
      </c>
      <c r="B3411" s="924">
        <v>8</v>
      </c>
    </row>
    <row r="3412" spans="1:2" x14ac:dyDescent="0.25">
      <c r="A3412" s="924">
        <f t="shared" si="53"/>
        <v>3412</v>
      </c>
      <c r="B3412" s="924">
        <v>8</v>
      </c>
    </row>
    <row r="3413" spans="1:2" x14ac:dyDescent="0.25">
      <c r="A3413" s="924">
        <f t="shared" si="53"/>
        <v>3413</v>
      </c>
      <c r="B3413" s="924">
        <v>8</v>
      </c>
    </row>
    <row r="3414" spans="1:2" x14ac:dyDescent="0.25">
      <c r="A3414" s="924">
        <f t="shared" si="53"/>
        <v>3414</v>
      </c>
      <c r="B3414" s="924">
        <v>8</v>
      </c>
    </row>
    <row r="3415" spans="1:2" x14ac:dyDescent="0.25">
      <c r="A3415" s="924">
        <f t="shared" si="53"/>
        <v>3415</v>
      </c>
      <c r="B3415" s="924">
        <v>8</v>
      </c>
    </row>
    <row r="3416" spans="1:2" x14ac:dyDescent="0.25">
      <c r="A3416" s="924">
        <f t="shared" si="53"/>
        <v>3416</v>
      </c>
      <c r="B3416" s="924">
        <v>8</v>
      </c>
    </row>
    <row r="3417" spans="1:2" x14ac:dyDescent="0.25">
      <c r="A3417" s="924">
        <f t="shared" si="53"/>
        <v>3417</v>
      </c>
      <c r="B3417" s="924">
        <v>8</v>
      </c>
    </row>
    <row r="3418" spans="1:2" x14ac:dyDescent="0.25">
      <c r="A3418" s="924">
        <f t="shared" si="53"/>
        <v>3418</v>
      </c>
      <c r="B3418" s="924">
        <v>8</v>
      </c>
    </row>
    <row r="3419" spans="1:2" x14ac:dyDescent="0.25">
      <c r="A3419" s="924">
        <f t="shared" si="53"/>
        <v>3419</v>
      </c>
      <c r="B3419" s="924">
        <v>8</v>
      </c>
    </row>
    <row r="3420" spans="1:2" x14ac:dyDescent="0.25">
      <c r="A3420" s="924">
        <f t="shared" si="53"/>
        <v>3420</v>
      </c>
      <c r="B3420" s="924">
        <v>8</v>
      </c>
    </row>
    <row r="3421" spans="1:2" x14ac:dyDescent="0.25">
      <c r="A3421" s="924">
        <f t="shared" si="53"/>
        <v>3421</v>
      </c>
      <c r="B3421" s="924">
        <v>8</v>
      </c>
    </row>
    <row r="3422" spans="1:2" x14ac:dyDescent="0.25">
      <c r="A3422" s="924">
        <f t="shared" si="53"/>
        <v>3422</v>
      </c>
      <c r="B3422" s="924">
        <v>8</v>
      </c>
    </row>
    <row r="3423" spans="1:2" x14ac:dyDescent="0.25">
      <c r="A3423" s="924">
        <f t="shared" si="53"/>
        <v>3423</v>
      </c>
      <c r="B3423" s="924">
        <v>8</v>
      </c>
    </row>
    <row r="3424" spans="1:2" x14ac:dyDescent="0.25">
      <c r="A3424" s="924">
        <f t="shared" si="53"/>
        <v>3424</v>
      </c>
      <c r="B3424" s="924">
        <v>8</v>
      </c>
    </row>
    <row r="3425" spans="1:2" x14ac:dyDescent="0.25">
      <c r="A3425" s="924">
        <f t="shared" si="53"/>
        <v>3425</v>
      </c>
      <c r="B3425" s="924">
        <v>8</v>
      </c>
    </row>
    <row r="3426" spans="1:2" x14ac:dyDescent="0.25">
      <c r="A3426" s="924">
        <f t="shared" si="53"/>
        <v>3426</v>
      </c>
      <c r="B3426" s="924">
        <v>8</v>
      </c>
    </row>
    <row r="3427" spans="1:2" x14ac:dyDescent="0.25">
      <c r="A3427" s="924">
        <f t="shared" si="53"/>
        <v>3427</v>
      </c>
      <c r="B3427" s="924">
        <v>8</v>
      </c>
    </row>
    <row r="3428" spans="1:2" x14ac:dyDescent="0.25">
      <c r="A3428" s="924">
        <f t="shared" si="53"/>
        <v>3428</v>
      </c>
      <c r="B3428" s="924">
        <v>8.1</v>
      </c>
    </row>
    <row r="3429" spans="1:2" x14ac:dyDescent="0.25">
      <c r="A3429" s="924">
        <f t="shared" si="53"/>
        <v>3429</v>
      </c>
      <c r="B3429" s="924">
        <v>8.1</v>
      </c>
    </row>
    <row r="3430" spans="1:2" x14ac:dyDescent="0.25">
      <c r="A3430" s="924">
        <f t="shared" si="53"/>
        <v>3430</v>
      </c>
      <c r="B3430" s="924">
        <v>8.1</v>
      </c>
    </row>
    <row r="3431" spans="1:2" x14ac:dyDescent="0.25">
      <c r="A3431" s="924">
        <f t="shared" si="53"/>
        <v>3431</v>
      </c>
      <c r="B3431" s="924">
        <v>8.1</v>
      </c>
    </row>
    <row r="3432" spans="1:2" x14ac:dyDescent="0.25">
      <c r="A3432" s="924">
        <f t="shared" si="53"/>
        <v>3432</v>
      </c>
      <c r="B3432" s="924">
        <v>8.1</v>
      </c>
    </row>
    <row r="3433" spans="1:2" x14ac:dyDescent="0.25">
      <c r="A3433" s="924">
        <f t="shared" si="53"/>
        <v>3433</v>
      </c>
      <c r="B3433" s="924">
        <v>8.1</v>
      </c>
    </row>
    <row r="3434" spans="1:2" x14ac:dyDescent="0.25">
      <c r="A3434" s="924">
        <f t="shared" si="53"/>
        <v>3434</v>
      </c>
      <c r="B3434" s="924">
        <v>8.1</v>
      </c>
    </row>
    <row r="3435" spans="1:2" x14ac:dyDescent="0.25">
      <c r="A3435" s="924">
        <f t="shared" si="53"/>
        <v>3435</v>
      </c>
      <c r="B3435" s="924">
        <v>8.1</v>
      </c>
    </row>
    <row r="3436" spans="1:2" x14ac:dyDescent="0.25">
      <c r="A3436" s="924">
        <f t="shared" si="53"/>
        <v>3436</v>
      </c>
      <c r="B3436" s="924">
        <v>8.1</v>
      </c>
    </row>
    <row r="3437" spans="1:2" x14ac:dyDescent="0.25">
      <c r="A3437" s="924">
        <f t="shared" si="53"/>
        <v>3437</v>
      </c>
      <c r="B3437" s="924">
        <v>8.1</v>
      </c>
    </row>
    <row r="3438" spans="1:2" x14ac:dyDescent="0.25">
      <c r="A3438" s="924">
        <f t="shared" si="53"/>
        <v>3438</v>
      </c>
      <c r="B3438" s="924">
        <v>8.1</v>
      </c>
    </row>
    <row r="3439" spans="1:2" x14ac:dyDescent="0.25">
      <c r="A3439" s="924">
        <f t="shared" si="53"/>
        <v>3439</v>
      </c>
      <c r="B3439" s="924">
        <v>8.1</v>
      </c>
    </row>
    <row r="3440" spans="1:2" x14ac:dyDescent="0.25">
      <c r="A3440" s="924">
        <f t="shared" si="53"/>
        <v>3440</v>
      </c>
      <c r="B3440" s="924">
        <v>8.1</v>
      </c>
    </row>
    <row r="3441" spans="1:2" x14ac:dyDescent="0.25">
      <c r="A3441" s="924">
        <f t="shared" si="53"/>
        <v>3441</v>
      </c>
      <c r="B3441" s="924">
        <v>8.1</v>
      </c>
    </row>
    <row r="3442" spans="1:2" x14ac:dyDescent="0.25">
      <c r="A3442" s="924">
        <f t="shared" si="53"/>
        <v>3442</v>
      </c>
      <c r="B3442" s="924">
        <v>8.1</v>
      </c>
    </row>
    <row r="3443" spans="1:2" x14ac:dyDescent="0.25">
      <c r="A3443" s="924">
        <f t="shared" si="53"/>
        <v>3443</v>
      </c>
      <c r="B3443" s="924">
        <v>8.1</v>
      </c>
    </row>
    <row r="3444" spans="1:2" x14ac:dyDescent="0.25">
      <c r="A3444" s="924">
        <f t="shared" si="53"/>
        <v>3444</v>
      </c>
      <c r="B3444" s="924">
        <v>8.1</v>
      </c>
    </row>
    <row r="3445" spans="1:2" x14ac:dyDescent="0.25">
      <c r="A3445" s="924">
        <f t="shared" si="53"/>
        <v>3445</v>
      </c>
      <c r="B3445" s="924">
        <v>8.1</v>
      </c>
    </row>
    <row r="3446" spans="1:2" x14ac:dyDescent="0.25">
      <c r="A3446" s="924">
        <f t="shared" si="53"/>
        <v>3446</v>
      </c>
      <c r="B3446" s="924">
        <v>8.1</v>
      </c>
    </row>
    <row r="3447" spans="1:2" x14ac:dyDescent="0.25">
      <c r="A3447" s="924">
        <f t="shared" si="53"/>
        <v>3447</v>
      </c>
      <c r="B3447" s="924">
        <v>8.1</v>
      </c>
    </row>
    <row r="3448" spans="1:2" x14ac:dyDescent="0.25">
      <c r="A3448" s="924">
        <f t="shared" si="53"/>
        <v>3448</v>
      </c>
      <c r="B3448" s="924">
        <v>8.1</v>
      </c>
    </row>
    <row r="3449" spans="1:2" x14ac:dyDescent="0.25">
      <c r="A3449" s="924">
        <f t="shared" si="53"/>
        <v>3449</v>
      </c>
      <c r="B3449" s="924">
        <v>8.1</v>
      </c>
    </row>
    <row r="3450" spans="1:2" x14ac:dyDescent="0.25">
      <c r="A3450" s="924">
        <f t="shared" si="53"/>
        <v>3450</v>
      </c>
      <c r="B3450" s="924">
        <v>8.1</v>
      </c>
    </row>
    <row r="3451" spans="1:2" x14ac:dyDescent="0.25">
      <c r="A3451" s="924">
        <f t="shared" si="53"/>
        <v>3451</v>
      </c>
      <c r="B3451" s="924">
        <v>8.1</v>
      </c>
    </row>
    <row r="3452" spans="1:2" x14ac:dyDescent="0.25">
      <c r="A3452" s="924">
        <f t="shared" si="53"/>
        <v>3452</v>
      </c>
      <c r="B3452" s="924">
        <v>8.1</v>
      </c>
    </row>
    <row r="3453" spans="1:2" x14ac:dyDescent="0.25">
      <c r="A3453" s="924">
        <f t="shared" si="53"/>
        <v>3453</v>
      </c>
      <c r="B3453" s="924">
        <v>8.1</v>
      </c>
    </row>
    <row r="3454" spans="1:2" x14ac:dyDescent="0.25">
      <c r="A3454" s="924">
        <f t="shared" si="53"/>
        <v>3454</v>
      </c>
      <c r="B3454" s="924">
        <v>8.1</v>
      </c>
    </row>
    <row r="3455" spans="1:2" x14ac:dyDescent="0.25">
      <c r="A3455" s="924">
        <f t="shared" si="53"/>
        <v>3455</v>
      </c>
      <c r="B3455" s="924">
        <v>8.1</v>
      </c>
    </row>
    <row r="3456" spans="1:2" x14ac:dyDescent="0.25">
      <c r="A3456" s="924">
        <f t="shared" si="53"/>
        <v>3456</v>
      </c>
      <c r="B3456" s="924">
        <v>8.1</v>
      </c>
    </row>
    <row r="3457" spans="1:2" x14ac:dyDescent="0.25">
      <c r="A3457" s="924">
        <f t="shared" si="53"/>
        <v>3457</v>
      </c>
      <c r="B3457" s="924">
        <v>8.1</v>
      </c>
    </row>
    <row r="3458" spans="1:2" x14ac:dyDescent="0.25">
      <c r="A3458" s="924">
        <f t="shared" si="53"/>
        <v>3458</v>
      </c>
      <c r="B3458" s="924">
        <v>8.1</v>
      </c>
    </row>
    <row r="3459" spans="1:2" x14ac:dyDescent="0.25">
      <c r="A3459" s="924">
        <f t="shared" ref="A3459:A3522" si="54">A3458+1</f>
        <v>3459</v>
      </c>
      <c r="B3459" s="924">
        <v>8.1</v>
      </c>
    </row>
    <row r="3460" spans="1:2" x14ac:dyDescent="0.25">
      <c r="A3460" s="924">
        <f t="shared" si="54"/>
        <v>3460</v>
      </c>
      <c r="B3460" s="924">
        <v>8.1</v>
      </c>
    </row>
    <row r="3461" spans="1:2" x14ac:dyDescent="0.25">
      <c r="A3461" s="924">
        <f t="shared" si="54"/>
        <v>3461</v>
      </c>
      <c r="B3461" s="924">
        <v>8.1</v>
      </c>
    </row>
    <row r="3462" spans="1:2" x14ac:dyDescent="0.25">
      <c r="A3462" s="924">
        <f t="shared" si="54"/>
        <v>3462</v>
      </c>
      <c r="B3462" s="924">
        <v>8.1</v>
      </c>
    </row>
    <row r="3463" spans="1:2" x14ac:dyDescent="0.25">
      <c r="A3463" s="924">
        <f t="shared" si="54"/>
        <v>3463</v>
      </c>
      <c r="B3463" s="924">
        <v>8.1</v>
      </c>
    </row>
    <row r="3464" spans="1:2" x14ac:dyDescent="0.25">
      <c r="A3464" s="924">
        <f t="shared" si="54"/>
        <v>3464</v>
      </c>
      <c r="B3464" s="924">
        <v>8.1</v>
      </c>
    </row>
    <row r="3465" spans="1:2" x14ac:dyDescent="0.25">
      <c r="A3465" s="924">
        <f t="shared" si="54"/>
        <v>3465</v>
      </c>
      <c r="B3465" s="924">
        <v>8.1</v>
      </c>
    </row>
    <row r="3466" spans="1:2" x14ac:dyDescent="0.25">
      <c r="A3466" s="924">
        <f t="shared" si="54"/>
        <v>3466</v>
      </c>
      <c r="B3466" s="924">
        <v>8.1</v>
      </c>
    </row>
    <row r="3467" spans="1:2" x14ac:dyDescent="0.25">
      <c r="A3467" s="924">
        <f t="shared" si="54"/>
        <v>3467</v>
      </c>
      <c r="B3467" s="924">
        <v>8.1</v>
      </c>
    </row>
    <row r="3468" spans="1:2" x14ac:dyDescent="0.25">
      <c r="A3468" s="924">
        <f t="shared" si="54"/>
        <v>3468</v>
      </c>
      <c r="B3468" s="924">
        <v>8.1</v>
      </c>
    </row>
    <row r="3469" spans="1:2" x14ac:dyDescent="0.25">
      <c r="A3469" s="924">
        <f t="shared" si="54"/>
        <v>3469</v>
      </c>
      <c r="B3469" s="924">
        <v>8.1</v>
      </c>
    </row>
    <row r="3470" spans="1:2" x14ac:dyDescent="0.25">
      <c r="A3470" s="924">
        <f t="shared" si="54"/>
        <v>3470</v>
      </c>
      <c r="B3470" s="924">
        <v>8.1</v>
      </c>
    </row>
    <row r="3471" spans="1:2" x14ac:dyDescent="0.25">
      <c r="A3471" s="924">
        <f t="shared" si="54"/>
        <v>3471</v>
      </c>
      <c r="B3471" s="924">
        <v>8.1</v>
      </c>
    </row>
    <row r="3472" spans="1:2" x14ac:dyDescent="0.25">
      <c r="A3472" s="924">
        <f t="shared" si="54"/>
        <v>3472</v>
      </c>
      <c r="B3472" s="924">
        <v>8.1</v>
      </c>
    </row>
    <row r="3473" spans="1:2" x14ac:dyDescent="0.25">
      <c r="A3473" s="924">
        <f t="shared" si="54"/>
        <v>3473</v>
      </c>
      <c r="B3473" s="924">
        <v>8.1</v>
      </c>
    </row>
    <row r="3474" spans="1:2" x14ac:dyDescent="0.25">
      <c r="A3474" s="924">
        <f t="shared" si="54"/>
        <v>3474</v>
      </c>
      <c r="B3474" s="924">
        <v>8.1999999999999993</v>
      </c>
    </row>
    <row r="3475" spans="1:2" x14ac:dyDescent="0.25">
      <c r="A3475" s="924">
        <f t="shared" si="54"/>
        <v>3475</v>
      </c>
      <c r="B3475" s="924">
        <v>8.1999999999999993</v>
      </c>
    </row>
    <row r="3476" spans="1:2" x14ac:dyDescent="0.25">
      <c r="A3476" s="924">
        <f t="shared" si="54"/>
        <v>3476</v>
      </c>
      <c r="B3476" s="924">
        <v>8.1999999999999993</v>
      </c>
    </row>
    <row r="3477" spans="1:2" x14ac:dyDescent="0.25">
      <c r="A3477" s="924">
        <f t="shared" si="54"/>
        <v>3477</v>
      </c>
      <c r="B3477" s="924">
        <v>8.1999999999999993</v>
      </c>
    </row>
    <row r="3478" spans="1:2" x14ac:dyDescent="0.25">
      <c r="A3478" s="924">
        <f t="shared" si="54"/>
        <v>3478</v>
      </c>
      <c r="B3478" s="924">
        <v>8.1999999999999993</v>
      </c>
    </row>
    <row r="3479" spans="1:2" x14ac:dyDescent="0.25">
      <c r="A3479" s="924">
        <f t="shared" si="54"/>
        <v>3479</v>
      </c>
      <c r="B3479" s="924">
        <v>8.1999999999999993</v>
      </c>
    </row>
    <row r="3480" spans="1:2" x14ac:dyDescent="0.25">
      <c r="A3480" s="924">
        <f t="shared" si="54"/>
        <v>3480</v>
      </c>
      <c r="B3480" s="924">
        <v>8.1999999999999993</v>
      </c>
    </row>
    <row r="3481" spans="1:2" x14ac:dyDescent="0.25">
      <c r="A3481" s="924">
        <f t="shared" si="54"/>
        <v>3481</v>
      </c>
      <c r="B3481" s="924">
        <v>8.1999999999999993</v>
      </c>
    </row>
    <row r="3482" spans="1:2" x14ac:dyDescent="0.25">
      <c r="A3482" s="924">
        <f t="shared" si="54"/>
        <v>3482</v>
      </c>
      <c r="B3482" s="924">
        <v>8.1999999999999993</v>
      </c>
    </row>
    <row r="3483" spans="1:2" x14ac:dyDescent="0.25">
      <c r="A3483" s="924">
        <f t="shared" si="54"/>
        <v>3483</v>
      </c>
      <c r="B3483" s="924">
        <v>8.1999999999999993</v>
      </c>
    </row>
    <row r="3484" spans="1:2" x14ac:dyDescent="0.25">
      <c r="A3484" s="924">
        <f t="shared" si="54"/>
        <v>3484</v>
      </c>
      <c r="B3484" s="924">
        <v>8.1999999999999993</v>
      </c>
    </row>
    <row r="3485" spans="1:2" x14ac:dyDescent="0.25">
      <c r="A3485" s="924">
        <f t="shared" si="54"/>
        <v>3485</v>
      </c>
      <c r="B3485" s="924">
        <v>8.1999999999999993</v>
      </c>
    </row>
    <row r="3486" spans="1:2" x14ac:dyDescent="0.25">
      <c r="A3486" s="924">
        <f t="shared" si="54"/>
        <v>3486</v>
      </c>
      <c r="B3486" s="924">
        <v>8.1999999999999993</v>
      </c>
    </row>
    <row r="3487" spans="1:2" x14ac:dyDescent="0.25">
      <c r="A3487" s="924">
        <f t="shared" si="54"/>
        <v>3487</v>
      </c>
      <c r="B3487" s="924">
        <v>8.1999999999999993</v>
      </c>
    </row>
    <row r="3488" spans="1:2" x14ac:dyDescent="0.25">
      <c r="A3488" s="924">
        <f t="shared" si="54"/>
        <v>3488</v>
      </c>
      <c r="B3488" s="924">
        <v>8.1999999999999993</v>
      </c>
    </row>
    <row r="3489" spans="1:2" x14ac:dyDescent="0.25">
      <c r="A3489" s="924">
        <f t="shared" si="54"/>
        <v>3489</v>
      </c>
      <c r="B3489" s="924">
        <v>8.1999999999999993</v>
      </c>
    </row>
    <row r="3490" spans="1:2" x14ac:dyDescent="0.25">
      <c r="A3490" s="924">
        <f t="shared" si="54"/>
        <v>3490</v>
      </c>
      <c r="B3490" s="924">
        <v>8.1999999999999993</v>
      </c>
    </row>
    <row r="3491" spans="1:2" x14ac:dyDescent="0.25">
      <c r="A3491" s="924">
        <f t="shared" si="54"/>
        <v>3491</v>
      </c>
      <c r="B3491" s="924">
        <v>8.1999999999999993</v>
      </c>
    </row>
    <row r="3492" spans="1:2" x14ac:dyDescent="0.25">
      <c r="A3492" s="924">
        <f t="shared" si="54"/>
        <v>3492</v>
      </c>
      <c r="B3492" s="924">
        <v>8.1999999999999993</v>
      </c>
    </row>
    <row r="3493" spans="1:2" x14ac:dyDescent="0.25">
      <c r="A3493" s="924">
        <f t="shared" si="54"/>
        <v>3493</v>
      </c>
      <c r="B3493" s="924">
        <v>8.1999999999999993</v>
      </c>
    </row>
    <row r="3494" spans="1:2" x14ac:dyDescent="0.25">
      <c r="A3494" s="924">
        <f t="shared" si="54"/>
        <v>3494</v>
      </c>
      <c r="B3494" s="924">
        <v>8.1999999999999993</v>
      </c>
    </row>
    <row r="3495" spans="1:2" x14ac:dyDescent="0.25">
      <c r="A3495" s="924">
        <f t="shared" si="54"/>
        <v>3495</v>
      </c>
      <c r="B3495" s="924">
        <v>8.1999999999999993</v>
      </c>
    </row>
    <row r="3496" spans="1:2" x14ac:dyDescent="0.25">
      <c r="A3496" s="924">
        <f t="shared" si="54"/>
        <v>3496</v>
      </c>
      <c r="B3496" s="924">
        <v>8.1999999999999993</v>
      </c>
    </row>
    <row r="3497" spans="1:2" x14ac:dyDescent="0.25">
      <c r="A3497" s="924">
        <f t="shared" si="54"/>
        <v>3497</v>
      </c>
      <c r="B3497" s="924">
        <v>8.1999999999999993</v>
      </c>
    </row>
    <row r="3498" spans="1:2" x14ac:dyDescent="0.25">
      <c r="A3498" s="924">
        <f t="shared" si="54"/>
        <v>3498</v>
      </c>
      <c r="B3498" s="924">
        <v>8.1999999999999993</v>
      </c>
    </row>
    <row r="3499" spans="1:2" x14ac:dyDescent="0.25">
      <c r="A3499" s="924">
        <f t="shared" si="54"/>
        <v>3499</v>
      </c>
      <c r="B3499" s="924">
        <v>8.1999999999999993</v>
      </c>
    </row>
    <row r="3500" spans="1:2" x14ac:dyDescent="0.25">
      <c r="A3500" s="924">
        <f t="shared" si="54"/>
        <v>3500</v>
      </c>
      <c r="B3500" s="924">
        <v>8.1999999999999993</v>
      </c>
    </row>
    <row r="3501" spans="1:2" x14ac:dyDescent="0.25">
      <c r="A3501" s="924">
        <f t="shared" si="54"/>
        <v>3501</v>
      </c>
      <c r="B3501" s="924">
        <v>8.1999999999999993</v>
      </c>
    </row>
    <row r="3502" spans="1:2" x14ac:dyDescent="0.25">
      <c r="A3502" s="924">
        <f t="shared" si="54"/>
        <v>3502</v>
      </c>
      <c r="B3502" s="924">
        <v>8.1999999999999993</v>
      </c>
    </row>
    <row r="3503" spans="1:2" x14ac:dyDescent="0.25">
      <c r="A3503" s="924">
        <f t="shared" si="54"/>
        <v>3503</v>
      </c>
      <c r="B3503" s="924">
        <v>8.1999999999999993</v>
      </c>
    </row>
    <row r="3504" spans="1:2" x14ac:dyDescent="0.25">
      <c r="A3504" s="924">
        <f t="shared" si="54"/>
        <v>3504</v>
      </c>
      <c r="B3504" s="924">
        <v>8.1999999999999993</v>
      </c>
    </row>
    <row r="3505" spans="1:2" x14ac:dyDescent="0.25">
      <c r="A3505" s="924">
        <f t="shared" si="54"/>
        <v>3505</v>
      </c>
      <c r="B3505" s="924">
        <v>8.1999999999999993</v>
      </c>
    </row>
    <row r="3506" spans="1:2" x14ac:dyDescent="0.25">
      <c r="A3506" s="924">
        <f t="shared" si="54"/>
        <v>3506</v>
      </c>
      <c r="B3506" s="924">
        <v>8.1999999999999993</v>
      </c>
    </row>
    <row r="3507" spans="1:2" x14ac:dyDescent="0.25">
      <c r="A3507" s="924">
        <f t="shared" si="54"/>
        <v>3507</v>
      </c>
      <c r="B3507" s="924">
        <v>8.1999999999999993</v>
      </c>
    </row>
    <row r="3508" spans="1:2" x14ac:dyDescent="0.25">
      <c r="A3508" s="924">
        <f t="shared" si="54"/>
        <v>3508</v>
      </c>
      <c r="B3508" s="924">
        <v>8.1999999999999993</v>
      </c>
    </row>
    <row r="3509" spans="1:2" x14ac:dyDescent="0.25">
      <c r="A3509" s="924">
        <f t="shared" si="54"/>
        <v>3509</v>
      </c>
      <c r="B3509" s="924">
        <v>8.1999999999999993</v>
      </c>
    </row>
    <row r="3510" spans="1:2" x14ac:dyDescent="0.25">
      <c r="A3510" s="924">
        <f t="shared" si="54"/>
        <v>3510</v>
      </c>
      <c r="B3510" s="924">
        <v>8.1999999999999993</v>
      </c>
    </row>
    <row r="3511" spans="1:2" x14ac:dyDescent="0.25">
      <c r="A3511" s="924">
        <f t="shared" si="54"/>
        <v>3511</v>
      </c>
      <c r="B3511" s="924">
        <v>8.1999999999999993</v>
      </c>
    </row>
    <row r="3512" spans="1:2" x14ac:dyDescent="0.25">
      <c r="A3512" s="924">
        <f t="shared" si="54"/>
        <v>3512</v>
      </c>
      <c r="B3512" s="924">
        <v>8.1999999999999993</v>
      </c>
    </row>
    <row r="3513" spans="1:2" x14ac:dyDescent="0.25">
      <c r="A3513" s="924">
        <f t="shared" si="54"/>
        <v>3513</v>
      </c>
      <c r="B3513" s="924">
        <v>8.1999999999999993</v>
      </c>
    </row>
    <row r="3514" spans="1:2" x14ac:dyDescent="0.25">
      <c r="A3514" s="924">
        <f t="shared" si="54"/>
        <v>3514</v>
      </c>
      <c r="B3514" s="924">
        <v>8.1999999999999993</v>
      </c>
    </row>
    <row r="3515" spans="1:2" x14ac:dyDescent="0.25">
      <c r="A3515" s="924">
        <f t="shared" si="54"/>
        <v>3515</v>
      </c>
      <c r="B3515" s="924">
        <v>8.1999999999999993</v>
      </c>
    </row>
    <row r="3516" spans="1:2" x14ac:dyDescent="0.25">
      <c r="A3516" s="924">
        <f t="shared" si="54"/>
        <v>3516</v>
      </c>
      <c r="B3516" s="924">
        <v>8.1999999999999993</v>
      </c>
    </row>
    <row r="3517" spans="1:2" x14ac:dyDescent="0.25">
      <c r="A3517" s="924">
        <f t="shared" si="54"/>
        <v>3517</v>
      </c>
      <c r="B3517" s="924">
        <v>8.1999999999999993</v>
      </c>
    </row>
    <row r="3518" spans="1:2" x14ac:dyDescent="0.25">
      <c r="A3518" s="924">
        <f t="shared" si="54"/>
        <v>3518</v>
      </c>
      <c r="B3518" s="924">
        <v>8.3000000000000007</v>
      </c>
    </row>
    <row r="3519" spans="1:2" x14ac:dyDescent="0.25">
      <c r="A3519" s="924">
        <f t="shared" si="54"/>
        <v>3519</v>
      </c>
      <c r="B3519" s="924">
        <v>8.3000000000000007</v>
      </c>
    </row>
    <row r="3520" spans="1:2" x14ac:dyDescent="0.25">
      <c r="A3520" s="924">
        <f t="shared" si="54"/>
        <v>3520</v>
      </c>
      <c r="B3520" s="924">
        <v>8.3000000000000007</v>
      </c>
    </row>
    <row r="3521" spans="1:2" x14ac:dyDescent="0.25">
      <c r="A3521" s="924">
        <f t="shared" si="54"/>
        <v>3521</v>
      </c>
      <c r="B3521" s="924">
        <v>8.3000000000000007</v>
      </c>
    </row>
    <row r="3522" spans="1:2" x14ac:dyDescent="0.25">
      <c r="A3522" s="924">
        <f t="shared" si="54"/>
        <v>3522</v>
      </c>
      <c r="B3522" s="924">
        <v>8.3000000000000007</v>
      </c>
    </row>
    <row r="3523" spans="1:2" x14ac:dyDescent="0.25">
      <c r="A3523" s="924">
        <f t="shared" ref="A3523:A3586" si="55">A3522+1</f>
        <v>3523</v>
      </c>
      <c r="B3523" s="924">
        <v>8.3000000000000007</v>
      </c>
    </row>
    <row r="3524" spans="1:2" x14ac:dyDescent="0.25">
      <c r="A3524" s="924">
        <f t="shared" si="55"/>
        <v>3524</v>
      </c>
      <c r="B3524" s="924">
        <v>8.3000000000000007</v>
      </c>
    </row>
    <row r="3525" spans="1:2" x14ac:dyDescent="0.25">
      <c r="A3525" s="924">
        <f t="shared" si="55"/>
        <v>3525</v>
      </c>
      <c r="B3525" s="924">
        <v>8.3000000000000007</v>
      </c>
    </row>
    <row r="3526" spans="1:2" x14ac:dyDescent="0.25">
      <c r="A3526" s="924">
        <f t="shared" si="55"/>
        <v>3526</v>
      </c>
      <c r="B3526" s="924">
        <v>8.3000000000000007</v>
      </c>
    </row>
    <row r="3527" spans="1:2" x14ac:dyDescent="0.25">
      <c r="A3527" s="924">
        <f t="shared" si="55"/>
        <v>3527</v>
      </c>
      <c r="B3527" s="924">
        <v>8.3000000000000007</v>
      </c>
    </row>
    <row r="3528" spans="1:2" x14ac:dyDescent="0.25">
      <c r="A3528" s="924">
        <f t="shared" si="55"/>
        <v>3528</v>
      </c>
      <c r="B3528" s="924">
        <v>8.3000000000000007</v>
      </c>
    </row>
    <row r="3529" spans="1:2" x14ac:dyDescent="0.25">
      <c r="A3529" s="924">
        <f t="shared" si="55"/>
        <v>3529</v>
      </c>
      <c r="B3529" s="924">
        <v>8.3000000000000007</v>
      </c>
    </row>
    <row r="3530" spans="1:2" x14ac:dyDescent="0.25">
      <c r="A3530" s="924">
        <f t="shared" si="55"/>
        <v>3530</v>
      </c>
      <c r="B3530" s="924">
        <v>8.3000000000000007</v>
      </c>
    </row>
    <row r="3531" spans="1:2" x14ac:dyDescent="0.25">
      <c r="A3531" s="924">
        <f t="shared" si="55"/>
        <v>3531</v>
      </c>
      <c r="B3531" s="924">
        <v>8.3000000000000007</v>
      </c>
    </row>
    <row r="3532" spans="1:2" x14ac:dyDescent="0.25">
      <c r="A3532" s="924">
        <f t="shared" si="55"/>
        <v>3532</v>
      </c>
      <c r="B3532" s="924">
        <v>8.3000000000000007</v>
      </c>
    </row>
    <row r="3533" spans="1:2" x14ac:dyDescent="0.25">
      <c r="A3533" s="924">
        <f t="shared" si="55"/>
        <v>3533</v>
      </c>
      <c r="B3533" s="924">
        <v>8.3000000000000007</v>
      </c>
    </row>
    <row r="3534" spans="1:2" x14ac:dyDescent="0.25">
      <c r="A3534" s="924">
        <f t="shared" si="55"/>
        <v>3534</v>
      </c>
      <c r="B3534" s="924">
        <v>8.3000000000000007</v>
      </c>
    </row>
    <row r="3535" spans="1:2" x14ac:dyDescent="0.25">
      <c r="A3535" s="924">
        <f t="shared" si="55"/>
        <v>3535</v>
      </c>
      <c r="B3535" s="924">
        <v>8.3000000000000007</v>
      </c>
    </row>
    <row r="3536" spans="1:2" x14ac:dyDescent="0.25">
      <c r="A3536" s="924">
        <f t="shared" si="55"/>
        <v>3536</v>
      </c>
      <c r="B3536" s="924">
        <v>8.3000000000000007</v>
      </c>
    </row>
    <row r="3537" spans="1:2" x14ac:dyDescent="0.25">
      <c r="A3537" s="924">
        <f t="shared" si="55"/>
        <v>3537</v>
      </c>
      <c r="B3537" s="924">
        <v>8.3000000000000007</v>
      </c>
    </row>
    <row r="3538" spans="1:2" x14ac:dyDescent="0.25">
      <c r="A3538" s="924">
        <f t="shared" si="55"/>
        <v>3538</v>
      </c>
      <c r="B3538" s="924">
        <v>8.3000000000000007</v>
      </c>
    </row>
    <row r="3539" spans="1:2" x14ac:dyDescent="0.25">
      <c r="A3539" s="924">
        <f t="shared" si="55"/>
        <v>3539</v>
      </c>
      <c r="B3539" s="924">
        <v>8.3000000000000007</v>
      </c>
    </row>
    <row r="3540" spans="1:2" x14ac:dyDescent="0.25">
      <c r="A3540" s="924">
        <f t="shared" si="55"/>
        <v>3540</v>
      </c>
      <c r="B3540" s="924">
        <v>8.3000000000000007</v>
      </c>
    </row>
    <row r="3541" spans="1:2" x14ac:dyDescent="0.25">
      <c r="A3541" s="924">
        <f t="shared" si="55"/>
        <v>3541</v>
      </c>
      <c r="B3541" s="924">
        <v>8.3000000000000007</v>
      </c>
    </row>
    <row r="3542" spans="1:2" x14ac:dyDescent="0.25">
      <c r="A3542" s="924">
        <f t="shared" si="55"/>
        <v>3542</v>
      </c>
      <c r="B3542" s="924">
        <v>8.3000000000000007</v>
      </c>
    </row>
    <row r="3543" spans="1:2" x14ac:dyDescent="0.25">
      <c r="A3543" s="924">
        <f t="shared" si="55"/>
        <v>3543</v>
      </c>
      <c r="B3543" s="924">
        <v>8.3000000000000007</v>
      </c>
    </row>
    <row r="3544" spans="1:2" x14ac:dyDescent="0.25">
      <c r="A3544" s="924">
        <f t="shared" si="55"/>
        <v>3544</v>
      </c>
      <c r="B3544" s="924">
        <v>8.3000000000000007</v>
      </c>
    </row>
    <row r="3545" spans="1:2" x14ac:dyDescent="0.25">
      <c r="A3545" s="924">
        <f t="shared" si="55"/>
        <v>3545</v>
      </c>
      <c r="B3545" s="924">
        <v>8.3000000000000007</v>
      </c>
    </row>
    <row r="3546" spans="1:2" x14ac:dyDescent="0.25">
      <c r="A3546" s="924">
        <f t="shared" si="55"/>
        <v>3546</v>
      </c>
      <c r="B3546" s="924">
        <v>8.3000000000000007</v>
      </c>
    </row>
    <row r="3547" spans="1:2" x14ac:dyDescent="0.25">
      <c r="A3547" s="924">
        <f t="shared" si="55"/>
        <v>3547</v>
      </c>
      <c r="B3547" s="924">
        <v>8.3000000000000007</v>
      </c>
    </row>
    <row r="3548" spans="1:2" x14ac:dyDescent="0.25">
      <c r="A3548" s="924">
        <f t="shared" si="55"/>
        <v>3548</v>
      </c>
      <c r="B3548" s="924">
        <v>8.3000000000000007</v>
      </c>
    </row>
    <row r="3549" spans="1:2" x14ac:dyDescent="0.25">
      <c r="A3549" s="924">
        <f t="shared" si="55"/>
        <v>3549</v>
      </c>
      <c r="B3549" s="924">
        <v>8.3000000000000007</v>
      </c>
    </row>
    <row r="3550" spans="1:2" x14ac:dyDescent="0.25">
      <c r="A3550" s="924">
        <f t="shared" si="55"/>
        <v>3550</v>
      </c>
      <c r="B3550" s="924">
        <v>8.3000000000000007</v>
      </c>
    </row>
    <row r="3551" spans="1:2" x14ac:dyDescent="0.25">
      <c r="A3551" s="924">
        <f t="shared" si="55"/>
        <v>3551</v>
      </c>
      <c r="B3551" s="924">
        <v>8.3000000000000007</v>
      </c>
    </row>
    <row r="3552" spans="1:2" x14ac:dyDescent="0.25">
      <c r="A3552" s="924">
        <f t="shared" si="55"/>
        <v>3552</v>
      </c>
      <c r="B3552" s="924">
        <v>8.3000000000000007</v>
      </c>
    </row>
    <row r="3553" spans="1:2" x14ac:dyDescent="0.25">
      <c r="A3553" s="924">
        <f t="shared" si="55"/>
        <v>3553</v>
      </c>
      <c r="B3553" s="924">
        <v>8.3000000000000007</v>
      </c>
    </row>
    <row r="3554" spans="1:2" x14ac:dyDescent="0.25">
      <c r="A3554" s="924">
        <f t="shared" si="55"/>
        <v>3554</v>
      </c>
      <c r="B3554" s="924">
        <v>8.4</v>
      </c>
    </row>
    <row r="3555" spans="1:2" x14ac:dyDescent="0.25">
      <c r="A3555" s="924">
        <f t="shared" si="55"/>
        <v>3555</v>
      </c>
      <c r="B3555" s="924">
        <v>8.4</v>
      </c>
    </row>
    <row r="3556" spans="1:2" x14ac:dyDescent="0.25">
      <c r="A3556" s="924">
        <f t="shared" si="55"/>
        <v>3556</v>
      </c>
      <c r="B3556" s="924">
        <v>8.4</v>
      </c>
    </row>
    <row r="3557" spans="1:2" x14ac:dyDescent="0.25">
      <c r="A3557" s="924">
        <f t="shared" si="55"/>
        <v>3557</v>
      </c>
      <c r="B3557" s="924">
        <v>8.4</v>
      </c>
    </row>
    <row r="3558" spans="1:2" x14ac:dyDescent="0.25">
      <c r="A3558" s="924">
        <f t="shared" si="55"/>
        <v>3558</v>
      </c>
      <c r="B3558" s="924">
        <v>8.4</v>
      </c>
    </row>
    <row r="3559" spans="1:2" x14ac:dyDescent="0.25">
      <c r="A3559" s="924">
        <f t="shared" si="55"/>
        <v>3559</v>
      </c>
      <c r="B3559" s="924">
        <v>8.4</v>
      </c>
    </row>
    <row r="3560" spans="1:2" x14ac:dyDescent="0.25">
      <c r="A3560" s="924">
        <f t="shared" si="55"/>
        <v>3560</v>
      </c>
      <c r="B3560" s="924">
        <v>8.4</v>
      </c>
    </row>
    <row r="3561" spans="1:2" x14ac:dyDescent="0.25">
      <c r="A3561" s="924">
        <f t="shared" si="55"/>
        <v>3561</v>
      </c>
      <c r="B3561" s="924">
        <v>8.4</v>
      </c>
    </row>
    <row r="3562" spans="1:2" x14ac:dyDescent="0.25">
      <c r="A3562" s="924">
        <f t="shared" si="55"/>
        <v>3562</v>
      </c>
      <c r="B3562" s="924">
        <v>8.4</v>
      </c>
    </row>
    <row r="3563" spans="1:2" x14ac:dyDescent="0.25">
      <c r="A3563" s="924">
        <f t="shared" si="55"/>
        <v>3563</v>
      </c>
      <c r="B3563" s="924">
        <v>8.4</v>
      </c>
    </row>
    <row r="3564" spans="1:2" x14ac:dyDescent="0.25">
      <c r="A3564" s="924">
        <f t="shared" si="55"/>
        <v>3564</v>
      </c>
      <c r="B3564" s="924">
        <v>8.4</v>
      </c>
    </row>
    <row r="3565" spans="1:2" x14ac:dyDescent="0.25">
      <c r="A3565" s="924">
        <f t="shared" si="55"/>
        <v>3565</v>
      </c>
      <c r="B3565" s="924">
        <v>8.4</v>
      </c>
    </row>
    <row r="3566" spans="1:2" x14ac:dyDescent="0.25">
      <c r="A3566" s="924">
        <f t="shared" si="55"/>
        <v>3566</v>
      </c>
      <c r="B3566" s="924">
        <v>8.4</v>
      </c>
    </row>
    <row r="3567" spans="1:2" x14ac:dyDescent="0.25">
      <c r="A3567" s="924">
        <f t="shared" si="55"/>
        <v>3567</v>
      </c>
      <c r="B3567" s="924">
        <v>8.4</v>
      </c>
    </row>
    <row r="3568" spans="1:2" x14ac:dyDescent="0.25">
      <c r="A3568" s="924">
        <f t="shared" si="55"/>
        <v>3568</v>
      </c>
      <c r="B3568" s="924">
        <v>8.4</v>
      </c>
    </row>
    <row r="3569" spans="1:2" x14ac:dyDescent="0.25">
      <c r="A3569" s="924">
        <f t="shared" si="55"/>
        <v>3569</v>
      </c>
      <c r="B3569" s="924">
        <v>8.4</v>
      </c>
    </row>
    <row r="3570" spans="1:2" x14ac:dyDescent="0.25">
      <c r="A3570" s="924">
        <f t="shared" si="55"/>
        <v>3570</v>
      </c>
      <c r="B3570" s="924">
        <v>8.4</v>
      </c>
    </row>
    <row r="3571" spans="1:2" x14ac:dyDescent="0.25">
      <c r="A3571" s="924">
        <f t="shared" si="55"/>
        <v>3571</v>
      </c>
      <c r="B3571" s="924">
        <v>8.4</v>
      </c>
    </row>
    <row r="3572" spans="1:2" x14ac:dyDescent="0.25">
      <c r="A3572" s="924">
        <f t="shared" si="55"/>
        <v>3572</v>
      </c>
      <c r="B3572" s="924">
        <v>8.4</v>
      </c>
    </row>
    <row r="3573" spans="1:2" x14ac:dyDescent="0.25">
      <c r="A3573" s="924">
        <f t="shared" si="55"/>
        <v>3573</v>
      </c>
      <c r="B3573" s="924">
        <v>8.4</v>
      </c>
    </row>
    <row r="3574" spans="1:2" x14ac:dyDescent="0.25">
      <c r="A3574" s="924">
        <f t="shared" si="55"/>
        <v>3574</v>
      </c>
      <c r="B3574" s="924">
        <v>8.4</v>
      </c>
    </row>
    <row r="3575" spans="1:2" x14ac:dyDescent="0.25">
      <c r="A3575" s="924">
        <f t="shared" si="55"/>
        <v>3575</v>
      </c>
      <c r="B3575" s="924">
        <v>8.4</v>
      </c>
    </row>
    <row r="3576" spans="1:2" x14ac:dyDescent="0.25">
      <c r="A3576" s="924">
        <f t="shared" si="55"/>
        <v>3576</v>
      </c>
      <c r="B3576" s="924">
        <v>8.4</v>
      </c>
    </row>
    <row r="3577" spans="1:2" x14ac:dyDescent="0.25">
      <c r="A3577" s="924">
        <f t="shared" si="55"/>
        <v>3577</v>
      </c>
      <c r="B3577" s="924">
        <v>8.4</v>
      </c>
    </row>
    <row r="3578" spans="1:2" x14ac:dyDescent="0.25">
      <c r="A3578" s="924">
        <f t="shared" si="55"/>
        <v>3578</v>
      </c>
      <c r="B3578" s="924">
        <v>8.4</v>
      </c>
    </row>
    <row r="3579" spans="1:2" x14ac:dyDescent="0.25">
      <c r="A3579" s="924">
        <f t="shared" si="55"/>
        <v>3579</v>
      </c>
      <c r="B3579" s="924">
        <v>8.4</v>
      </c>
    </row>
    <row r="3580" spans="1:2" x14ac:dyDescent="0.25">
      <c r="A3580" s="924">
        <f t="shared" si="55"/>
        <v>3580</v>
      </c>
      <c r="B3580" s="924">
        <v>8.4</v>
      </c>
    </row>
    <row r="3581" spans="1:2" x14ac:dyDescent="0.25">
      <c r="A3581" s="924">
        <f t="shared" si="55"/>
        <v>3581</v>
      </c>
      <c r="B3581" s="924">
        <v>8.4</v>
      </c>
    </row>
    <row r="3582" spans="1:2" x14ac:dyDescent="0.25">
      <c r="A3582" s="924">
        <f t="shared" si="55"/>
        <v>3582</v>
      </c>
      <c r="B3582" s="924">
        <v>8.4</v>
      </c>
    </row>
    <row r="3583" spans="1:2" x14ac:dyDescent="0.25">
      <c r="A3583" s="924">
        <f t="shared" si="55"/>
        <v>3583</v>
      </c>
      <c r="B3583" s="924">
        <v>8.4</v>
      </c>
    </row>
    <row r="3584" spans="1:2" x14ac:dyDescent="0.25">
      <c r="A3584" s="924">
        <f t="shared" si="55"/>
        <v>3584</v>
      </c>
      <c r="B3584" s="924">
        <v>8.4</v>
      </c>
    </row>
    <row r="3585" spans="1:2" x14ac:dyDescent="0.25">
      <c r="A3585" s="924">
        <f t="shared" si="55"/>
        <v>3585</v>
      </c>
      <c r="B3585" s="924">
        <v>8.4</v>
      </c>
    </row>
    <row r="3586" spans="1:2" x14ac:dyDescent="0.25">
      <c r="A3586" s="924">
        <f t="shared" si="55"/>
        <v>3586</v>
      </c>
      <c r="B3586" s="924">
        <v>8.4</v>
      </c>
    </row>
    <row r="3587" spans="1:2" x14ac:dyDescent="0.25">
      <c r="A3587" s="924">
        <f t="shared" ref="A3587:A3650" si="56">A3586+1</f>
        <v>3587</v>
      </c>
      <c r="B3587" s="924">
        <v>8.4</v>
      </c>
    </row>
    <row r="3588" spans="1:2" x14ac:dyDescent="0.25">
      <c r="A3588" s="924">
        <f t="shared" si="56"/>
        <v>3588</v>
      </c>
      <c r="B3588" s="924">
        <v>8.4</v>
      </c>
    </row>
    <row r="3589" spans="1:2" x14ac:dyDescent="0.25">
      <c r="A3589" s="924">
        <f t="shared" si="56"/>
        <v>3589</v>
      </c>
      <c r="B3589" s="924">
        <v>8.4</v>
      </c>
    </row>
    <row r="3590" spans="1:2" x14ac:dyDescent="0.25">
      <c r="A3590" s="924">
        <f t="shared" si="56"/>
        <v>3590</v>
      </c>
      <c r="B3590" s="924">
        <v>8.4</v>
      </c>
    </row>
    <row r="3591" spans="1:2" x14ac:dyDescent="0.25">
      <c r="A3591" s="924">
        <f t="shared" si="56"/>
        <v>3591</v>
      </c>
      <c r="B3591" s="924">
        <v>8.4</v>
      </c>
    </row>
    <row r="3592" spans="1:2" x14ac:dyDescent="0.25">
      <c r="A3592" s="924">
        <f t="shared" si="56"/>
        <v>3592</v>
      </c>
      <c r="B3592" s="924">
        <v>8.4</v>
      </c>
    </row>
    <row r="3593" spans="1:2" x14ac:dyDescent="0.25">
      <c r="A3593" s="924">
        <f t="shared" si="56"/>
        <v>3593</v>
      </c>
      <c r="B3593" s="924">
        <v>8.4</v>
      </c>
    </row>
    <row r="3594" spans="1:2" x14ac:dyDescent="0.25">
      <c r="A3594" s="924">
        <f t="shared" si="56"/>
        <v>3594</v>
      </c>
      <c r="B3594" s="924">
        <v>8.4</v>
      </c>
    </row>
    <row r="3595" spans="1:2" x14ac:dyDescent="0.25">
      <c r="A3595" s="924">
        <f t="shared" si="56"/>
        <v>3595</v>
      </c>
      <c r="B3595" s="924">
        <v>8.4</v>
      </c>
    </row>
    <row r="3596" spans="1:2" x14ac:dyDescent="0.25">
      <c r="A3596" s="924">
        <f t="shared" si="56"/>
        <v>3596</v>
      </c>
      <c r="B3596" s="924">
        <v>8.4</v>
      </c>
    </row>
    <row r="3597" spans="1:2" x14ac:dyDescent="0.25">
      <c r="A3597" s="924">
        <f t="shared" si="56"/>
        <v>3597</v>
      </c>
      <c r="B3597" s="924">
        <v>8.4</v>
      </c>
    </row>
    <row r="3598" spans="1:2" x14ac:dyDescent="0.25">
      <c r="A3598" s="924">
        <f t="shared" si="56"/>
        <v>3598</v>
      </c>
      <c r="B3598" s="924">
        <v>8.4</v>
      </c>
    </row>
    <row r="3599" spans="1:2" x14ac:dyDescent="0.25">
      <c r="A3599" s="924">
        <f t="shared" si="56"/>
        <v>3599</v>
      </c>
      <c r="B3599" s="924">
        <v>8.4</v>
      </c>
    </row>
    <row r="3600" spans="1:2" x14ac:dyDescent="0.25">
      <c r="A3600" s="924">
        <f t="shared" si="56"/>
        <v>3600</v>
      </c>
      <c r="B3600" s="924">
        <v>8.4</v>
      </c>
    </row>
    <row r="3601" spans="1:2" x14ac:dyDescent="0.25">
      <c r="A3601" s="924">
        <f t="shared" si="56"/>
        <v>3601</v>
      </c>
      <c r="B3601" s="924">
        <v>8.4</v>
      </c>
    </row>
    <row r="3602" spans="1:2" x14ac:dyDescent="0.25">
      <c r="A3602" s="924">
        <f t="shared" si="56"/>
        <v>3602</v>
      </c>
      <c r="B3602" s="924">
        <v>8.4</v>
      </c>
    </row>
    <row r="3603" spans="1:2" x14ac:dyDescent="0.25">
      <c r="A3603" s="924">
        <f t="shared" si="56"/>
        <v>3603</v>
      </c>
      <c r="B3603" s="924">
        <v>8.5</v>
      </c>
    </row>
    <row r="3604" spans="1:2" x14ac:dyDescent="0.25">
      <c r="A3604" s="924">
        <f t="shared" si="56"/>
        <v>3604</v>
      </c>
      <c r="B3604" s="924">
        <v>8.5</v>
      </c>
    </row>
    <row r="3605" spans="1:2" x14ac:dyDescent="0.25">
      <c r="A3605" s="924">
        <f t="shared" si="56"/>
        <v>3605</v>
      </c>
      <c r="B3605" s="924">
        <v>8.5</v>
      </c>
    </row>
    <row r="3606" spans="1:2" x14ac:dyDescent="0.25">
      <c r="A3606" s="924">
        <f t="shared" si="56"/>
        <v>3606</v>
      </c>
      <c r="B3606" s="924">
        <v>8.5</v>
      </c>
    </row>
    <row r="3607" spans="1:2" x14ac:dyDescent="0.25">
      <c r="A3607" s="924">
        <f t="shared" si="56"/>
        <v>3607</v>
      </c>
      <c r="B3607" s="924">
        <v>8.5</v>
      </c>
    </row>
    <row r="3608" spans="1:2" x14ac:dyDescent="0.25">
      <c r="A3608" s="924">
        <f t="shared" si="56"/>
        <v>3608</v>
      </c>
      <c r="B3608" s="924">
        <v>8.5</v>
      </c>
    </row>
    <row r="3609" spans="1:2" x14ac:dyDescent="0.25">
      <c r="A3609" s="924">
        <f t="shared" si="56"/>
        <v>3609</v>
      </c>
      <c r="B3609" s="924">
        <v>8.5</v>
      </c>
    </row>
    <row r="3610" spans="1:2" x14ac:dyDescent="0.25">
      <c r="A3610" s="924">
        <f t="shared" si="56"/>
        <v>3610</v>
      </c>
      <c r="B3610" s="924">
        <v>8.5</v>
      </c>
    </row>
    <row r="3611" spans="1:2" x14ac:dyDescent="0.25">
      <c r="A3611" s="924">
        <f t="shared" si="56"/>
        <v>3611</v>
      </c>
      <c r="B3611" s="924">
        <v>8.5</v>
      </c>
    </row>
    <row r="3612" spans="1:2" x14ac:dyDescent="0.25">
      <c r="A3612" s="924">
        <f t="shared" si="56"/>
        <v>3612</v>
      </c>
      <c r="B3612" s="924">
        <v>8.5</v>
      </c>
    </row>
    <row r="3613" spans="1:2" x14ac:dyDescent="0.25">
      <c r="A3613" s="924">
        <f t="shared" si="56"/>
        <v>3613</v>
      </c>
      <c r="B3613" s="924">
        <v>8.5</v>
      </c>
    </row>
    <row r="3614" spans="1:2" x14ac:dyDescent="0.25">
      <c r="A3614" s="924">
        <f t="shared" si="56"/>
        <v>3614</v>
      </c>
      <c r="B3614" s="924">
        <v>8.5</v>
      </c>
    </row>
    <row r="3615" spans="1:2" x14ac:dyDescent="0.25">
      <c r="A3615" s="924">
        <f t="shared" si="56"/>
        <v>3615</v>
      </c>
      <c r="B3615" s="924">
        <v>8.5</v>
      </c>
    </row>
    <row r="3616" spans="1:2" x14ac:dyDescent="0.25">
      <c r="A3616" s="924">
        <f t="shared" si="56"/>
        <v>3616</v>
      </c>
      <c r="B3616" s="924">
        <v>8.5</v>
      </c>
    </row>
    <row r="3617" spans="1:2" x14ac:dyDescent="0.25">
      <c r="A3617" s="924">
        <f t="shared" si="56"/>
        <v>3617</v>
      </c>
      <c r="B3617" s="924">
        <v>8.5</v>
      </c>
    </row>
    <row r="3618" spans="1:2" x14ac:dyDescent="0.25">
      <c r="A3618" s="924">
        <f t="shared" si="56"/>
        <v>3618</v>
      </c>
      <c r="B3618" s="924">
        <v>8.5</v>
      </c>
    </row>
    <row r="3619" spans="1:2" x14ac:dyDescent="0.25">
      <c r="A3619" s="924">
        <f t="shared" si="56"/>
        <v>3619</v>
      </c>
      <c r="B3619" s="924">
        <v>8.5</v>
      </c>
    </row>
    <row r="3620" spans="1:2" x14ac:dyDescent="0.25">
      <c r="A3620" s="924">
        <f t="shared" si="56"/>
        <v>3620</v>
      </c>
      <c r="B3620" s="924">
        <v>8.5</v>
      </c>
    </row>
    <row r="3621" spans="1:2" x14ac:dyDescent="0.25">
      <c r="A3621" s="924">
        <f t="shared" si="56"/>
        <v>3621</v>
      </c>
      <c r="B3621" s="924">
        <v>8.5</v>
      </c>
    </row>
    <row r="3622" spans="1:2" x14ac:dyDescent="0.25">
      <c r="A3622" s="924">
        <f t="shared" si="56"/>
        <v>3622</v>
      </c>
      <c r="B3622" s="924">
        <v>8.5</v>
      </c>
    </row>
    <row r="3623" spans="1:2" x14ac:dyDescent="0.25">
      <c r="A3623" s="924">
        <f t="shared" si="56"/>
        <v>3623</v>
      </c>
      <c r="B3623" s="924">
        <v>8.5</v>
      </c>
    </row>
    <row r="3624" spans="1:2" x14ac:dyDescent="0.25">
      <c r="A3624" s="924">
        <f t="shared" si="56"/>
        <v>3624</v>
      </c>
      <c r="B3624" s="924">
        <v>8.5</v>
      </c>
    </row>
    <row r="3625" spans="1:2" x14ac:dyDescent="0.25">
      <c r="A3625" s="924">
        <f t="shared" si="56"/>
        <v>3625</v>
      </c>
      <c r="B3625" s="924">
        <v>8.5</v>
      </c>
    </row>
    <row r="3626" spans="1:2" x14ac:dyDescent="0.25">
      <c r="A3626" s="924">
        <f t="shared" si="56"/>
        <v>3626</v>
      </c>
      <c r="B3626" s="924">
        <v>8.5</v>
      </c>
    </row>
    <row r="3627" spans="1:2" x14ac:dyDescent="0.25">
      <c r="A3627" s="924">
        <f t="shared" si="56"/>
        <v>3627</v>
      </c>
      <c r="B3627" s="924">
        <v>8.5</v>
      </c>
    </row>
    <row r="3628" spans="1:2" x14ac:dyDescent="0.25">
      <c r="A3628" s="924">
        <f t="shared" si="56"/>
        <v>3628</v>
      </c>
      <c r="B3628" s="924">
        <v>8.5</v>
      </c>
    </row>
    <row r="3629" spans="1:2" x14ac:dyDescent="0.25">
      <c r="A3629" s="924">
        <f t="shared" si="56"/>
        <v>3629</v>
      </c>
      <c r="B3629" s="924">
        <v>8.5</v>
      </c>
    </row>
    <row r="3630" spans="1:2" x14ac:dyDescent="0.25">
      <c r="A3630" s="924">
        <f t="shared" si="56"/>
        <v>3630</v>
      </c>
      <c r="B3630" s="924">
        <v>8.5</v>
      </c>
    </row>
    <row r="3631" spans="1:2" x14ac:dyDescent="0.25">
      <c r="A3631" s="924">
        <f t="shared" si="56"/>
        <v>3631</v>
      </c>
      <c r="B3631" s="924">
        <v>8.5</v>
      </c>
    </row>
    <row r="3632" spans="1:2" x14ac:dyDescent="0.25">
      <c r="A3632" s="924">
        <f t="shared" si="56"/>
        <v>3632</v>
      </c>
      <c r="B3632" s="924">
        <v>8.5</v>
      </c>
    </row>
    <row r="3633" spans="1:2" x14ac:dyDescent="0.25">
      <c r="A3633" s="924">
        <f t="shared" si="56"/>
        <v>3633</v>
      </c>
      <c r="B3633" s="924">
        <v>8.5</v>
      </c>
    </row>
    <row r="3634" spans="1:2" x14ac:dyDescent="0.25">
      <c r="A3634" s="924">
        <f t="shared" si="56"/>
        <v>3634</v>
      </c>
      <c r="B3634" s="924">
        <v>8.5</v>
      </c>
    </row>
    <row r="3635" spans="1:2" x14ac:dyDescent="0.25">
      <c r="A3635" s="924">
        <f t="shared" si="56"/>
        <v>3635</v>
      </c>
      <c r="B3635" s="924">
        <v>8.5</v>
      </c>
    </row>
    <row r="3636" spans="1:2" x14ac:dyDescent="0.25">
      <c r="A3636" s="924">
        <f t="shared" si="56"/>
        <v>3636</v>
      </c>
      <c r="B3636" s="924">
        <v>8.5</v>
      </c>
    </row>
    <row r="3637" spans="1:2" x14ac:dyDescent="0.25">
      <c r="A3637" s="924">
        <f t="shared" si="56"/>
        <v>3637</v>
      </c>
      <c r="B3637" s="924">
        <v>8.5</v>
      </c>
    </row>
    <row r="3638" spans="1:2" x14ac:dyDescent="0.25">
      <c r="A3638" s="924">
        <f t="shared" si="56"/>
        <v>3638</v>
      </c>
      <c r="B3638" s="924">
        <v>8.5</v>
      </c>
    </row>
    <row r="3639" spans="1:2" x14ac:dyDescent="0.25">
      <c r="A3639" s="924">
        <f t="shared" si="56"/>
        <v>3639</v>
      </c>
      <c r="B3639" s="924">
        <v>8.5</v>
      </c>
    </row>
    <row r="3640" spans="1:2" x14ac:dyDescent="0.25">
      <c r="A3640" s="924">
        <f t="shared" si="56"/>
        <v>3640</v>
      </c>
      <c r="B3640" s="924">
        <v>8.5</v>
      </c>
    </row>
    <row r="3641" spans="1:2" x14ac:dyDescent="0.25">
      <c r="A3641" s="924">
        <f t="shared" si="56"/>
        <v>3641</v>
      </c>
      <c r="B3641" s="924">
        <v>8.5</v>
      </c>
    </row>
    <row r="3642" spans="1:2" x14ac:dyDescent="0.25">
      <c r="A3642" s="924">
        <f t="shared" si="56"/>
        <v>3642</v>
      </c>
      <c r="B3642" s="924">
        <v>8.5</v>
      </c>
    </row>
    <row r="3643" spans="1:2" x14ac:dyDescent="0.25">
      <c r="A3643" s="924">
        <f t="shared" si="56"/>
        <v>3643</v>
      </c>
      <c r="B3643" s="924">
        <v>8.5</v>
      </c>
    </row>
    <row r="3644" spans="1:2" x14ac:dyDescent="0.25">
      <c r="A3644" s="924">
        <f t="shared" si="56"/>
        <v>3644</v>
      </c>
      <c r="B3644" s="924">
        <v>8.5</v>
      </c>
    </row>
    <row r="3645" spans="1:2" x14ac:dyDescent="0.25">
      <c r="A3645" s="924">
        <f t="shared" si="56"/>
        <v>3645</v>
      </c>
      <c r="B3645" s="924">
        <v>8.5</v>
      </c>
    </row>
    <row r="3646" spans="1:2" x14ac:dyDescent="0.25">
      <c r="A3646" s="924">
        <f t="shared" si="56"/>
        <v>3646</v>
      </c>
      <c r="B3646" s="924">
        <v>8.5</v>
      </c>
    </row>
    <row r="3647" spans="1:2" x14ac:dyDescent="0.25">
      <c r="A3647" s="924">
        <f t="shared" si="56"/>
        <v>3647</v>
      </c>
      <c r="B3647" s="924">
        <v>8.5</v>
      </c>
    </row>
    <row r="3648" spans="1:2" x14ac:dyDescent="0.25">
      <c r="A3648" s="924">
        <f t="shared" si="56"/>
        <v>3648</v>
      </c>
      <c r="B3648" s="924">
        <v>8.5</v>
      </c>
    </row>
    <row r="3649" spans="1:2" x14ac:dyDescent="0.25">
      <c r="A3649" s="924">
        <f t="shared" si="56"/>
        <v>3649</v>
      </c>
      <c r="B3649" s="924">
        <v>8.5</v>
      </c>
    </row>
    <row r="3650" spans="1:2" x14ac:dyDescent="0.25">
      <c r="A3650" s="924">
        <f t="shared" si="56"/>
        <v>3650</v>
      </c>
      <c r="B3650" s="924">
        <v>8.5</v>
      </c>
    </row>
    <row r="3651" spans="1:2" x14ac:dyDescent="0.25">
      <c r="A3651" s="924">
        <f t="shared" ref="A3651:A3714" si="57">A3650+1</f>
        <v>3651</v>
      </c>
      <c r="B3651" s="924">
        <v>8.5</v>
      </c>
    </row>
    <row r="3652" spans="1:2" x14ac:dyDescent="0.25">
      <c r="A3652" s="924">
        <f t="shared" si="57"/>
        <v>3652</v>
      </c>
      <c r="B3652" s="924">
        <v>8.5</v>
      </c>
    </row>
    <row r="3653" spans="1:2" x14ac:dyDescent="0.25">
      <c r="A3653" s="924">
        <f t="shared" si="57"/>
        <v>3653</v>
      </c>
      <c r="B3653" s="924">
        <v>8.5</v>
      </c>
    </row>
    <row r="3654" spans="1:2" x14ac:dyDescent="0.25">
      <c r="A3654" s="924">
        <f t="shared" si="57"/>
        <v>3654</v>
      </c>
      <c r="B3654" s="924">
        <v>8.5</v>
      </c>
    </row>
    <row r="3655" spans="1:2" x14ac:dyDescent="0.25">
      <c r="A3655" s="924">
        <f t="shared" si="57"/>
        <v>3655</v>
      </c>
      <c r="B3655" s="924">
        <v>8.5</v>
      </c>
    </row>
    <row r="3656" spans="1:2" x14ac:dyDescent="0.25">
      <c r="A3656" s="924">
        <f t="shared" si="57"/>
        <v>3656</v>
      </c>
      <c r="B3656" s="924">
        <v>8.5</v>
      </c>
    </row>
    <row r="3657" spans="1:2" x14ac:dyDescent="0.25">
      <c r="A3657" s="924">
        <f t="shared" si="57"/>
        <v>3657</v>
      </c>
      <c r="B3657" s="924">
        <v>8.5</v>
      </c>
    </row>
    <row r="3658" spans="1:2" x14ac:dyDescent="0.25">
      <c r="A3658" s="924">
        <f t="shared" si="57"/>
        <v>3658</v>
      </c>
      <c r="B3658" s="924">
        <v>8.5</v>
      </c>
    </row>
    <row r="3659" spans="1:2" x14ac:dyDescent="0.25">
      <c r="A3659" s="924">
        <f t="shared" si="57"/>
        <v>3659</v>
      </c>
      <c r="B3659" s="924">
        <v>8.5</v>
      </c>
    </row>
    <row r="3660" spans="1:2" x14ac:dyDescent="0.25">
      <c r="A3660" s="924">
        <f t="shared" si="57"/>
        <v>3660</v>
      </c>
      <c r="B3660" s="924">
        <v>8.5</v>
      </c>
    </row>
    <row r="3661" spans="1:2" x14ac:dyDescent="0.25">
      <c r="A3661" s="924">
        <f t="shared" si="57"/>
        <v>3661</v>
      </c>
      <c r="B3661" s="924">
        <v>8.6</v>
      </c>
    </row>
    <row r="3662" spans="1:2" x14ac:dyDescent="0.25">
      <c r="A3662" s="924">
        <f t="shared" si="57"/>
        <v>3662</v>
      </c>
      <c r="B3662" s="924">
        <v>8.6</v>
      </c>
    </row>
    <row r="3663" spans="1:2" x14ac:dyDescent="0.25">
      <c r="A3663" s="924">
        <f t="shared" si="57"/>
        <v>3663</v>
      </c>
      <c r="B3663" s="924">
        <v>8.6</v>
      </c>
    </row>
    <row r="3664" spans="1:2" x14ac:dyDescent="0.25">
      <c r="A3664" s="924">
        <f t="shared" si="57"/>
        <v>3664</v>
      </c>
      <c r="B3664" s="924">
        <v>8.6</v>
      </c>
    </row>
    <row r="3665" spans="1:2" x14ac:dyDescent="0.25">
      <c r="A3665" s="924">
        <f t="shared" si="57"/>
        <v>3665</v>
      </c>
      <c r="B3665" s="924">
        <v>8.6</v>
      </c>
    </row>
    <row r="3666" spans="1:2" x14ac:dyDescent="0.25">
      <c r="A3666" s="924">
        <f t="shared" si="57"/>
        <v>3666</v>
      </c>
      <c r="B3666" s="924">
        <v>8.6</v>
      </c>
    </row>
    <row r="3667" spans="1:2" x14ac:dyDescent="0.25">
      <c r="A3667" s="924">
        <f t="shared" si="57"/>
        <v>3667</v>
      </c>
      <c r="B3667" s="924">
        <v>8.6</v>
      </c>
    </row>
    <row r="3668" spans="1:2" x14ac:dyDescent="0.25">
      <c r="A3668" s="924">
        <f t="shared" si="57"/>
        <v>3668</v>
      </c>
      <c r="B3668" s="924">
        <v>8.6</v>
      </c>
    </row>
    <row r="3669" spans="1:2" x14ac:dyDescent="0.25">
      <c r="A3669" s="924">
        <f t="shared" si="57"/>
        <v>3669</v>
      </c>
      <c r="B3669" s="924">
        <v>8.6</v>
      </c>
    </row>
    <row r="3670" spans="1:2" x14ac:dyDescent="0.25">
      <c r="A3670" s="924">
        <f t="shared" si="57"/>
        <v>3670</v>
      </c>
      <c r="B3670" s="924">
        <v>8.6</v>
      </c>
    </row>
    <row r="3671" spans="1:2" x14ac:dyDescent="0.25">
      <c r="A3671" s="924">
        <f t="shared" si="57"/>
        <v>3671</v>
      </c>
      <c r="B3671" s="924">
        <v>8.6</v>
      </c>
    </row>
    <row r="3672" spans="1:2" x14ac:dyDescent="0.25">
      <c r="A3672" s="924">
        <f t="shared" si="57"/>
        <v>3672</v>
      </c>
      <c r="B3672" s="924">
        <v>8.6</v>
      </c>
    </row>
    <row r="3673" spans="1:2" x14ac:dyDescent="0.25">
      <c r="A3673" s="924">
        <f t="shared" si="57"/>
        <v>3673</v>
      </c>
      <c r="B3673" s="924">
        <v>8.6</v>
      </c>
    </row>
    <row r="3674" spans="1:2" x14ac:dyDescent="0.25">
      <c r="A3674" s="924">
        <f t="shared" si="57"/>
        <v>3674</v>
      </c>
      <c r="B3674" s="924">
        <v>8.6</v>
      </c>
    </row>
    <row r="3675" spans="1:2" x14ac:dyDescent="0.25">
      <c r="A3675" s="924">
        <f t="shared" si="57"/>
        <v>3675</v>
      </c>
      <c r="B3675" s="924">
        <v>8.6</v>
      </c>
    </row>
    <row r="3676" spans="1:2" x14ac:dyDescent="0.25">
      <c r="A3676" s="924">
        <f t="shared" si="57"/>
        <v>3676</v>
      </c>
      <c r="B3676" s="924">
        <v>8.6</v>
      </c>
    </row>
    <row r="3677" spans="1:2" x14ac:dyDescent="0.25">
      <c r="A3677" s="924">
        <f t="shared" si="57"/>
        <v>3677</v>
      </c>
      <c r="B3677" s="924">
        <v>8.6</v>
      </c>
    </row>
    <row r="3678" spans="1:2" x14ac:dyDescent="0.25">
      <c r="A3678" s="924">
        <f t="shared" si="57"/>
        <v>3678</v>
      </c>
      <c r="B3678" s="924">
        <v>8.6</v>
      </c>
    </row>
    <row r="3679" spans="1:2" x14ac:dyDescent="0.25">
      <c r="A3679" s="924">
        <f t="shared" si="57"/>
        <v>3679</v>
      </c>
      <c r="B3679" s="924">
        <v>8.6</v>
      </c>
    </row>
    <row r="3680" spans="1:2" x14ac:dyDescent="0.25">
      <c r="A3680" s="924">
        <f t="shared" si="57"/>
        <v>3680</v>
      </c>
      <c r="B3680" s="924">
        <v>8.6</v>
      </c>
    </row>
    <row r="3681" spans="1:2" x14ac:dyDescent="0.25">
      <c r="A3681" s="924">
        <f t="shared" si="57"/>
        <v>3681</v>
      </c>
      <c r="B3681" s="924">
        <v>8.6</v>
      </c>
    </row>
    <row r="3682" spans="1:2" x14ac:dyDescent="0.25">
      <c r="A3682" s="924">
        <f t="shared" si="57"/>
        <v>3682</v>
      </c>
      <c r="B3682" s="924">
        <v>8.6</v>
      </c>
    </row>
    <row r="3683" spans="1:2" x14ac:dyDescent="0.25">
      <c r="A3683" s="924">
        <f t="shared" si="57"/>
        <v>3683</v>
      </c>
      <c r="B3683" s="924">
        <v>8.6</v>
      </c>
    </row>
    <row r="3684" spans="1:2" x14ac:dyDescent="0.25">
      <c r="A3684" s="924">
        <f t="shared" si="57"/>
        <v>3684</v>
      </c>
      <c r="B3684" s="924">
        <v>8.6</v>
      </c>
    </row>
    <row r="3685" spans="1:2" x14ac:dyDescent="0.25">
      <c r="A3685" s="924">
        <f t="shared" si="57"/>
        <v>3685</v>
      </c>
      <c r="B3685" s="924">
        <v>8.6</v>
      </c>
    </row>
    <row r="3686" spans="1:2" x14ac:dyDescent="0.25">
      <c r="A3686" s="924">
        <f t="shared" si="57"/>
        <v>3686</v>
      </c>
      <c r="B3686" s="924">
        <v>8.6</v>
      </c>
    </row>
    <row r="3687" spans="1:2" x14ac:dyDescent="0.25">
      <c r="A3687" s="924">
        <f t="shared" si="57"/>
        <v>3687</v>
      </c>
      <c r="B3687" s="924">
        <v>8.6</v>
      </c>
    </row>
    <row r="3688" spans="1:2" x14ac:dyDescent="0.25">
      <c r="A3688" s="924">
        <f t="shared" si="57"/>
        <v>3688</v>
      </c>
      <c r="B3688" s="924">
        <v>8.6</v>
      </c>
    </row>
    <row r="3689" spans="1:2" x14ac:dyDescent="0.25">
      <c r="A3689" s="924">
        <f t="shared" si="57"/>
        <v>3689</v>
      </c>
      <c r="B3689" s="924">
        <v>8.6</v>
      </c>
    </row>
    <row r="3690" spans="1:2" x14ac:dyDescent="0.25">
      <c r="A3690" s="924">
        <f t="shared" si="57"/>
        <v>3690</v>
      </c>
      <c r="B3690" s="924">
        <v>8.6</v>
      </c>
    </row>
    <row r="3691" spans="1:2" x14ac:dyDescent="0.25">
      <c r="A3691" s="924">
        <f t="shared" si="57"/>
        <v>3691</v>
      </c>
      <c r="B3691" s="924">
        <v>8.6</v>
      </c>
    </row>
    <row r="3692" spans="1:2" x14ac:dyDescent="0.25">
      <c r="A3692" s="924">
        <f t="shared" si="57"/>
        <v>3692</v>
      </c>
      <c r="B3692" s="924">
        <v>8.6</v>
      </c>
    </row>
    <row r="3693" spans="1:2" x14ac:dyDescent="0.25">
      <c r="A3693" s="924">
        <f t="shared" si="57"/>
        <v>3693</v>
      </c>
      <c r="B3693" s="924">
        <v>8.6</v>
      </c>
    </row>
    <row r="3694" spans="1:2" x14ac:dyDescent="0.25">
      <c r="A3694" s="924">
        <f t="shared" si="57"/>
        <v>3694</v>
      </c>
      <c r="B3694" s="924">
        <v>8.6</v>
      </c>
    </row>
    <row r="3695" spans="1:2" x14ac:dyDescent="0.25">
      <c r="A3695" s="924">
        <f t="shared" si="57"/>
        <v>3695</v>
      </c>
      <c r="B3695" s="924">
        <v>8.6</v>
      </c>
    </row>
    <row r="3696" spans="1:2" x14ac:dyDescent="0.25">
      <c r="A3696" s="924">
        <f t="shared" si="57"/>
        <v>3696</v>
      </c>
      <c r="B3696" s="924">
        <v>8.6</v>
      </c>
    </row>
    <row r="3697" spans="1:2" x14ac:dyDescent="0.25">
      <c r="A3697" s="924">
        <f t="shared" si="57"/>
        <v>3697</v>
      </c>
      <c r="B3697" s="924">
        <v>8.6</v>
      </c>
    </row>
    <row r="3698" spans="1:2" x14ac:dyDescent="0.25">
      <c r="A3698" s="924">
        <f t="shared" si="57"/>
        <v>3698</v>
      </c>
      <c r="B3698" s="924">
        <v>8.6</v>
      </c>
    </row>
    <row r="3699" spans="1:2" x14ac:dyDescent="0.25">
      <c r="A3699" s="924">
        <f t="shared" si="57"/>
        <v>3699</v>
      </c>
      <c r="B3699" s="924">
        <v>8.6</v>
      </c>
    </row>
    <row r="3700" spans="1:2" x14ac:dyDescent="0.25">
      <c r="A3700" s="924">
        <f t="shared" si="57"/>
        <v>3700</v>
      </c>
      <c r="B3700" s="924">
        <v>8.6</v>
      </c>
    </row>
    <row r="3701" spans="1:2" x14ac:dyDescent="0.25">
      <c r="A3701" s="924">
        <f t="shared" si="57"/>
        <v>3701</v>
      </c>
      <c r="B3701" s="924">
        <v>8.6</v>
      </c>
    </row>
    <row r="3702" spans="1:2" x14ac:dyDescent="0.25">
      <c r="A3702" s="924">
        <f t="shared" si="57"/>
        <v>3702</v>
      </c>
      <c r="B3702" s="924">
        <v>8.6</v>
      </c>
    </row>
    <row r="3703" spans="1:2" x14ac:dyDescent="0.25">
      <c r="A3703" s="924">
        <f t="shared" si="57"/>
        <v>3703</v>
      </c>
      <c r="B3703" s="924">
        <v>8.6</v>
      </c>
    </row>
    <row r="3704" spans="1:2" x14ac:dyDescent="0.25">
      <c r="A3704" s="924">
        <f t="shared" si="57"/>
        <v>3704</v>
      </c>
      <c r="B3704" s="924">
        <v>8.6999999999999993</v>
      </c>
    </row>
    <row r="3705" spans="1:2" x14ac:dyDescent="0.25">
      <c r="A3705" s="924">
        <f t="shared" si="57"/>
        <v>3705</v>
      </c>
      <c r="B3705" s="924">
        <v>8.6999999999999993</v>
      </c>
    </row>
    <row r="3706" spans="1:2" x14ac:dyDescent="0.25">
      <c r="A3706" s="924">
        <f t="shared" si="57"/>
        <v>3706</v>
      </c>
      <c r="B3706" s="924">
        <v>8.6999999999999993</v>
      </c>
    </row>
    <row r="3707" spans="1:2" x14ac:dyDescent="0.25">
      <c r="A3707" s="924">
        <f t="shared" si="57"/>
        <v>3707</v>
      </c>
      <c r="B3707" s="924">
        <v>8.6999999999999993</v>
      </c>
    </row>
    <row r="3708" spans="1:2" x14ac:dyDescent="0.25">
      <c r="A3708" s="924">
        <f t="shared" si="57"/>
        <v>3708</v>
      </c>
      <c r="B3708" s="924">
        <v>8.6999999999999993</v>
      </c>
    </row>
    <row r="3709" spans="1:2" x14ac:dyDescent="0.25">
      <c r="A3709" s="924">
        <f t="shared" si="57"/>
        <v>3709</v>
      </c>
      <c r="B3709" s="924">
        <v>8.6999999999999993</v>
      </c>
    </row>
    <row r="3710" spans="1:2" x14ac:dyDescent="0.25">
      <c r="A3710" s="924">
        <f t="shared" si="57"/>
        <v>3710</v>
      </c>
      <c r="B3710" s="924">
        <v>8.6999999999999993</v>
      </c>
    </row>
    <row r="3711" spans="1:2" x14ac:dyDescent="0.25">
      <c r="A3711" s="924">
        <f t="shared" si="57"/>
        <v>3711</v>
      </c>
      <c r="B3711" s="924">
        <v>8.6999999999999993</v>
      </c>
    </row>
    <row r="3712" spans="1:2" x14ac:dyDescent="0.25">
      <c r="A3712" s="924">
        <f t="shared" si="57"/>
        <v>3712</v>
      </c>
      <c r="B3712" s="924">
        <v>8.6999999999999993</v>
      </c>
    </row>
    <row r="3713" spans="1:2" x14ac:dyDescent="0.25">
      <c r="A3713" s="924">
        <f t="shared" si="57"/>
        <v>3713</v>
      </c>
      <c r="B3713" s="924">
        <v>8.6999999999999993</v>
      </c>
    </row>
    <row r="3714" spans="1:2" x14ac:dyDescent="0.25">
      <c r="A3714" s="924">
        <f t="shared" si="57"/>
        <v>3714</v>
      </c>
      <c r="B3714" s="924">
        <v>8.6999999999999993</v>
      </c>
    </row>
    <row r="3715" spans="1:2" x14ac:dyDescent="0.25">
      <c r="A3715" s="924">
        <f t="shared" ref="A3715:A3778" si="58">A3714+1</f>
        <v>3715</v>
      </c>
      <c r="B3715" s="924">
        <v>8.6999999999999993</v>
      </c>
    </row>
    <row r="3716" spans="1:2" x14ac:dyDescent="0.25">
      <c r="A3716" s="924">
        <f t="shared" si="58"/>
        <v>3716</v>
      </c>
      <c r="B3716" s="924">
        <v>8.6999999999999993</v>
      </c>
    </row>
    <row r="3717" spans="1:2" x14ac:dyDescent="0.25">
      <c r="A3717" s="924">
        <f t="shared" si="58"/>
        <v>3717</v>
      </c>
      <c r="B3717" s="924">
        <v>8.6999999999999993</v>
      </c>
    </row>
    <row r="3718" spans="1:2" x14ac:dyDescent="0.25">
      <c r="A3718" s="924">
        <f t="shared" si="58"/>
        <v>3718</v>
      </c>
      <c r="B3718" s="924">
        <v>8.6999999999999993</v>
      </c>
    </row>
    <row r="3719" spans="1:2" x14ac:dyDescent="0.25">
      <c r="A3719" s="924">
        <f t="shared" si="58"/>
        <v>3719</v>
      </c>
      <c r="B3719" s="924">
        <v>8.6999999999999993</v>
      </c>
    </row>
    <row r="3720" spans="1:2" x14ac:dyDescent="0.25">
      <c r="A3720" s="924">
        <f t="shared" si="58"/>
        <v>3720</v>
      </c>
      <c r="B3720" s="924">
        <v>8.6999999999999993</v>
      </c>
    </row>
    <row r="3721" spans="1:2" x14ac:dyDescent="0.25">
      <c r="A3721" s="924">
        <f t="shared" si="58"/>
        <v>3721</v>
      </c>
      <c r="B3721" s="924">
        <v>8.6999999999999993</v>
      </c>
    </row>
    <row r="3722" spans="1:2" x14ac:dyDescent="0.25">
      <c r="A3722" s="924">
        <f t="shared" si="58"/>
        <v>3722</v>
      </c>
      <c r="B3722" s="924">
        <v>8.6999999999999993</v>
      </c>
    </row>
    <row r="3723" spans="1:2" x14ac:dyDescent="0.25">
      <c r="A3723" s="924">
        <f t="shared" si="58"/>
        <v>3723</v>
      </c>
      <c r="B3723" s="924">
        <v>8.6999999999999993</v>
      </c>
    </row>
    <row r="3724" spans="1:2" x14ac:dyDescent="0.25">
      <c r="A3724" s="924">
        <f t="shared" si="58"/>
        <v>3724</v>
      </c>
      <c r="B3724" s="924">
        <v>8.6999999999999993</v>
      </c>
    </row>
    <row r="3725" spans="1:2" x14ac:dyDescent="0.25">
      <c r="A3725" s="924">
        <f t="shared" si="58"/>
        <v>3725</v>
      </c>
      <c r="B3725" s="924">
        <v>8.6999999999999993</v>
      </c>
    </row>
    <row r="3726" spans="1:2" x14ac:dyDescent="0.25">
      <c r="A3726" s="924">
        <f t="shared" si="58"/>
        <v>3726</v>
      </c>
      <c r="B3726" s="924">
        <v>8.6999999999999993</v>
      </c>
    </row>
    <row r="3727" spans="1:2" x14ac:dyDescent="0.25">
      <c r="A3727" s="924">
        <f t="shared" si="58"/>
        <v>3727</v>
      </c>
      <c r="B3727" s="924">
        <v>8.6999999999999993</v>
      </c>
    </row>
    <row r="3728" spans="1:2" x14ac:dyDescent="0.25">
      <c r="A3728" s="924">
        <f t="shared" si="58"/>
        <v>3728</v>
      </c>
      <c r="B3728" s="924">
        <v>8.6999999999999993</v>
      </c>
    </row>
    <row r="3729" spans="1:2" x14ac:dyDescent="0.25">
      <c r="A3729" s="924">
        <f t="shared" si="58"/>
        <v>3729</v>
      </c>
      <c r="B3729" s="924">
        <v>8.6999999999999993</v>
      </c>
    </row>
    <row r="3730" spans="1:2" x14ac:dyDescent="0.25">
      <c r="A3730" s="924">
        <f t="shared" si="58"/>
        <v>3730</v>
      </c>
      <c r="B3730" s="924">
        <v>8.6999999999999993</v>
      </c>
    </row>
    <row r="3731" spans="1:2" x14ac:dyDescent="0.25">
      <c r="A3731" s="924">
        <f t="shared" si="58"/>
        <v>3731</v>
      </c>
      <c r="B3731" s="924">
        <v>8.6999999999999993</v>
      </c>
    </row>
    <row r="3732" spans="1:2" x14ac:dyDescent="0.25">
      <c r="A3732" s="924">
        <f t="shared" si="58"/>
        <v>3732</v>
      </c>
      <c r="B3732" s="924">
        <v>8.6999999999999993</v>
      </c>
    </row>
    <row r="3733" spans="1:2" x14ac:dyDescent="0.25">
      <c r="A3733" s="924">
        <f t="shared" si="58"/>
        <v>3733</v>
      </c>
      <c r="B3733" s="924">
        <v>8.6999999999999993</v>
      </c>
    </row>
    <row r="3734" spans="1:2" x14ac:dyDescent="0.25">
      <c r="A3734" s="924">
        <f t="shared" si="58"/>
        <v>3734</v>
      </c>
      <c r="B3734" s="924">
        <v>8.6999999999999993</v>
      </c>
    </row>
    <row r="3735" spans="1:2" x14ac:dyDescent="0.25">
      <c r="A3735" s="924">
        <f t="shared" si="58"/>
        <v>3735</v>
      </c>
      <c r="B3735" s="924">
        <v>8.6999999999999993</v>
      </c>
    </row>
    <row r="3736" spans="1:2" x14ac:dyDescent="0.25">
      <c r="A3736" s="924">
        <f t="shared" si="58"/>
        <v>3736</v>
      </c>
      <c r="B3736" s="924">
        <v>8.6999999999999993</v>
      </c>
    </row>
    <row r="3737" spans="1:2" x14ac:dyDescent="0.25">
      <c r="A3737" s="924">
        <f t="shared" si="58"/>
        <v>3737</v>
      </c>
      <c r="B3737" s="924">
        <v>8.6999999999999993</v>
      </c>
    </row>
    <row r="3738" spans="1:2" x14ac:dyDescent="0.25">
      <c r="A3738" s="924">
        <f t="shared" si="58"/>
        <v>3738</v>
      </c>
      <c r="B3738" s="924">
        <v>8.6999999999999993</v>
      </c>
    </row>
    <row r="3739" spans="1:2" x14ac:dyDescent="0.25">
      <c r="A3739" s="924">
        <f t="shared" si="58"/>
        <v>3739</v>
      </c>
      <c r="B3739" s="924">
        <v>8.6999999999999993</v>
      </c>
    </row>
    <row r="3740" spans="1:2" x14ac:dyDescent="0.25">
      <c r="A3740" s="924">
        <f t="shared" si="58"/>
        <v>3740</v>
      </c>
      <c r="B3740" s="924">
        <v>8.6999999999999993</v>
      </c>
    </row>
    <row r="3741" spans="1:2" x14ac:dyDescent="0.25">
      <c r="A3741" s="924">
        <f t="shared" si="58"/>
        <v>3741</v>
      </c>
      <c r="B3741" s="924">
        <v>8.6999999999999993</v>
      </c>
    </row>
    <row r="3742" spans="1:2" x14ac:dyDescent="0.25">
      <c r="A3742" s="924">
        <f t="shared" si="58"/>
        <v>3742</v>
      </c>
      <c r="B3742" s="924">
        <v>8.6999999999999993</v>
      </c>
    </row>
    <row r="3743" spans="1:2" x14ac:dyDescent="0.25">
      <c r="A3743" s="924">
        <f t="shared" si="58"/>
        <v>3743</v>
      </c>
      <c r="B3743" s="924">
        <v>8.6999999999999993</v>
      </c>
    </row>
    <row r="3744" spans="1:2" x14ac:dyDescent="0.25">
      <c r="A3744" s="924">
        <f t="shared" si="58"/>
        <v>3744</v>
      </c>
      <c r="B3744" s="924">
        <v>8.6999999999999993</v>
      </c>
    </row>
    <row r="3745" spans="1:2" x14ac:dyDescent="0.25">
      <c r="A3745" s="924">
        <f t="shared" si="58"/>
        <v>3745</v>
      </c>
      <c r="B3745" s="924">
        <v>8.6999999999999993</v>
      </c>
    </row>
    <row r="3746" spans="1:2" x14ac:dyDescent="0.25">
      <c r="A3746" s="924">
        <f t="shared" si="58"/>
        <v>3746</v>
      </c>
      <c r="B3746" s="924">
        <v>8.6999999999999993</v>
      </c>
    </row>
    <row r="3747" spans="1:2" x14ac:dyDescent="0.25">
      <c r="A3747" s="924">
        <f t="shared" si="58"/>
        <v>3747</v>
      </c>
      <c r="B3747" s="924">
        <v>8.6999999999999993</v>
      </c>
    </row>
    <row r="3748" spans="1:2" x14ac:dyDescent="0.25">
      <c r="A3748" s="924">
        <f t="shared" si="58"/>
        <v>3748</v>
      </c>
      <c r="B3748" s="924">
        <v>8.6999999999999993</v>
      </c>
    </row>
    <row r="3749" spans="1:2" x14ac:dyDescent="0.25">
      <c r="A3749" s="924">
        <f t="shared" si="58"/>
        <v>3749</v>
      </c>
      <c r="B3749" s="924">
        <v>8.6999999999999993</v>
      </c>
    </row>
    <row r="3750" spans="1:2" x14ac:dyDescent="0.25">
      <c r="A3750" s="924">
        <f t="shared" si="58"/>
        <v>3750</v>
      </c>
      <c r="B3750" s="924">
        <v>8.6999999999999993</v>
      </c>
    </row>
    <row r="3751" spans="1:2" x14ac:dyDescent="0.25">
      <c r="A3751" s="924">
        <f t="shared" si="58"/>
        <v>3751</v>
      </c>
      <c r="B3751" s="924">
        <v>8.8000000000000007</v>
      </c>
    </row>
    <row r="3752" spans="1:2" x14ac:dyDescent="0.25">
      <c r="A3752" s="924">
        <f t="shared" si="58"/>
        <v>3752</v>
      </c>
      <c r="B3752" s="924">
        <v>8.8000000000000007</v>
      </c>
    </row>
    <row r="3753" spans="1:2" x14ac:dyDescent="0.25">
      <c r="A3753" s="924">
        <f t="shared" si="58"/>
        <v>3753</v>
      </c>
      <c r="B3753" s="924">
        <v>8.8000000000000007</v>
      </c>
    </row>
    <row r="3754" spans="1:2" x14ac:dyDescent="0.25">
      <c r="A3754" s="924">
        <f t="shared" si="58"/>
        <v>3754</v>
      </c>
      <c r="B3754" s="924">
        <v>8.8000000000000007</v>
      </c>
    </row>
    <row r="3755" spans="1:2" x14ac:dyDescent="0.25">
      <c r="A3755" s="924">
        <f t="shared" si="58"/>
        <v>3755</v>
      </c>
      <c r="B3755" s="924">
        <v>8.8000000000000007</v>
      </c>
    </row>
    <row r="3756" spans="1:2" x14ac:dyDescent="0.25">
      <c r="A3756" s="924">
        <f t="shared" si="58"/>
        <v>3756</v>
      </c>
      <c r="B3756" s="924">
        <v>8.8000000000000007</v>
      </c>
    </row>
    <row r="3757" spans="1:2" x14ac:dyDescent="0.25">
      <c r="A3757" s="924">
        <f t="shared" si="58"/>
        <v>3757</v>
      </c>
      <c r="B3757" s="924">
        <v>8.8000000000000007</v>
      </c>
    </row>
    <row r="3758" spans="1:2" x14ac:dyDescent="0.25">
      <c r="A3758" s="924">
        <f t="shared" si="58"/>
        <v>3758</v>
      </c>
      <c r="B3758" s="924">
        <v>8.8000000000000007</v>
      </c>
    </row>
    <row r="3759" spans="1:2" x14ac:dyDescent="0.25">
      <c r="A3759" s="924">
        <f t="shared" si="58"/>
        <v>3759</v>
      </c>
      <c r="B3759" s="924">
        <v>8.8000000000000007</v>
      </c>
    </row>
    <row r="3760" spans="1:2" x14ac:dyDescent="0.25">
      <c r="A3760" s="924">
        <f t="shared" si="58"/>
        <v>3760</v>
      </c>
      <c r="B3760" s="924">
        <v>8.8000000000000007</v>
      </c>
    </row>
    <row r="3761" spans="1:2" x14ac:dyDescent="0.25">
      <c r="A3761" s="924">
        <f t="shared" si="58"/>
        <v>3761</v>
      </c>
      <c r="B3761" s="924">
        <v>8.8000000000000007</v>
      </c>
    </row>
    <row r="3762" spans="1:2" x14ac:dyDescent="0.25">
      <c r="A3762" s="924">
        <f t="shared" si="58"/>
        <v>3762</v>
      </c>
      <c r="B3762" s="924">
        <v>8.8000000000000007</v>
      </c>
    </row>
    <row r="3763" spans="1:2" x14ac:dyDescent="0.25">
      <c r="A3763" s="924">
        <f t="shared" si="58"/>
        <v>3763</v>
      </c>
      <c r="B3763" s="924">
        <v>8.8000000000000007</v>
      </c>
    </row>
    <row r="3764" spans="1:2" x14ac:dyDescent="0.25">
      <c r="A3764" s="924">
        <f t="shared" si="58"/>
        <v>3764</v>
      </c>
      <c r="B3764" s="924">
        <v>8.8000000000000007</v>
      </c>
    </row>
    <row r="3765" spans="1:2" x14ac:dyDescent="0.25">
      <c r="A3765" s="924">
        <f t="shared" si="58"/>
        <v>3765</v>
      </c>
      <c r="B3765" s="924">
        <v>8.8000000000000007</v>
      </c>
    </row>
    <row r="3766" spans="1:2" x14ac:dyDescent="0.25">
      <c r="A3766" s="924">
        <f t="shared" si="58"/>
        <v>3766</v>
      </c>
      <c r="B3766" s="924">
        <v>8.8000000000000007</v>
      </c>
    </row>
    <row r="3767" spans="1:2" x14ac:dyDescent="0.25">
      <c r="A3767" s="924">
        <f t="shared" si="58"/>
        <v>3767</v>
      </c>
      <c r="B3767" s="924">
        <v>8.8000000000000007</v>
      </c>
    </row>
    <row r="3768" spans="1:2" x14ac:dyDescent="0.25">
      <c r="A3768" s="924">
        <f t="shared" si="58"/>
        <v>3768</v>
      </c>
      <c r="B3768" s="924">
        <v>8.8000000000000007</v>
      </c>
    </row>
    <row r="3769" spans="1:2" x14ac:dyDescent="0.25">
      <c r="A3769" s="924">
        <f t="shared" si="58"/>
        <v>3769</v>
      </c>
      <c r="B3769" s="924">
        <v>8.8000000000000007</v>
      </c>
    </row>
    <row r="3770" spans="1:2" x14ac:dyDescent="0.25">
      <c r="A3770" s="924">
        <f t="shared" si="58"/>
        <v>3770</v>
      </c>
      <c r="B3770" s="924">
        <v>8.8000000000000007</v>
      </c>
    </row>
    <row r="3771" spans="1:2" x14ac:dyDescent="0.25">
      <c r="A3771" s="924">
        <f t="shared" si="58"/>
        <v>3771</v>
      </c>
      <c r="B3771" s="924">
        <v>8.8000000000000007</v>
      </c>
    </row>
    <row r="3772" spans="1:2" x14ac:dyDescent="0.25">
      <c r="A3772" s="924">
        <f t="shared" si="58"/>
        <v>3772</v>
      </c>
      <c r="B3772" s="924">
        <v>8.8000000000000007</v>
      </c>
    </row>
    <row r="3773" spans="1:2" x14ac:dyDescent="0.25">
      <c r="A3773" s="924">
        <f t="shared" si="58"/>
        <v>3773</v>
      </c>
      <c r="B3773" s="924">
        <v>8.8000000000000007</v>
      </c>
    </row>
    <row r="3774" spans="1:2" x14ac:dyDescent="0.25">
      <c r="A3774" s="924">
        <f t="shared" si="58"/>
        <v>3774</v>
      </c>
      <c r="B3774" s="924">
        <v>8.8000000000000007</v>
      </c>
    </row>
    <row r="3775" spans="1:2" x14ac:dyDescent="0.25">
      <c r="A3775" s="924">
        <f t="shared" si="58"/>
        <v>3775</v>
      </c>
      <c r="B3775" s="924">
        <v>8.8000000000000007</v>
      </c>
    </row>
    <row r="3776" spans="1:2" x14ac:dyDescent="0.25">
      <c r="A3776" s="924">
        <f t="shared" si="58"/>
        <v>3776</v>
      </c>
      <c r="B3776" s="924">
        <v>8.8000000000000007</v>
      </c>
    </row>
    <row r="3777" spans="1:2" x14ac:dyDescent="0.25">
      <c r="A3777" s="924">
        <f t="shared" si="58"/>
        <v>3777</v>
      </c>
      <c r="B3777" s="924">
        <v>8.8000000000000007</v>
      </c>
    </row>
    <row r="3778" spans="1:2" x14ac:dyDescent="0.25">
      <c r="A3778" s="924">
        <f t="shared" si="58"/>
        <v>3778</v>
      </c>
      <c r="B3778" s="924">
        <v>8.8000000000000007</v>
      </c>
    </row>
    <row r="3779" spans="1:2" x14ac:dyDescent="0.25">
      <c r="A3779" s="924">
        <f t="shared" ref="A3779:A3842" si="59">A3778+1</f>
        <v>3779</v>
      </c>
      <c r="B3779" s="924">
        <v>8.8000000000000007</v>
      </c>
    </row>
    <row r="3780" spans="1:2" x14ac:dyDescent="0.25">
      <c r="A3780" s="924">
        <f t="shared" si="59"/>
        <v>3780</v>
      </c>
      <c r="B3780" s="924">
        <v>8.8000000000000007</v>
      </c>
    </row>
    <row r="3781" spans="1:2" x14ac:dyDescent="0.25">
      <c r="A3781" s="924">
        <f t="shared" si="59"/>
        <v>3781</v>
      </c>
      <c r="B3781" s="924">
        <v>8.8000000000000007</v>
      </c>
    </row>
    <row r="3782" spans="1:2" x14ac:dyDescent="0.25">
      <c r="A3782" s="924">
        <f t="shared" si="59"/>
        <v>3782</v>
      </c>
      <c r="B3782" s="924">
        <v>8.8000000000000007</v>
      </c>
    </row>
    <row r="3783" spans="1:2" x14ac:dyDescent="0.25">
      <c r="A3783" s="924">
        <f t="shared" si="59"/>
        <v>3783</v>
      </c>
      <c r="B3783" s="924">
        <v>8.8000000000000007</v>
      </c>
    </row>
    <row r="3784" spans="1:2" x14ac:dyDescent="0.25">
      <c r="A3784" s="924">
        <f t="shared" si="59"/>
        <v>3784</v>
      </c>
      <c r="B3784" s="924">
        <v>8.8000000000000007</v>
      </c>
    </row>
    <row r="3785" spans="1:2" x14ac:dyDescent="0.25">
      <c r="A3785" s="924">
        <f t="shared" si="59"/>
        <v>3785</v>
      </c>
      <c r="B3785" s="924">
        <v>8.8000000000000007</v>
      </c>
    </row>
    <row r="3786" spans="1:2" x14ac:dyDescent="0.25">
      <c r="A3786" s="924">
        <f t="shared" si="59"/>
        <v>3786</v>
      </c>
      <c r="B3786" s="924">
        <v>8.8000000000000007</v>
      </c>
    </row>
    <row r="3787" spans="1:2" x14ac:dyDescent="0.25">
      <c r="A3787" s="924">
        <f t="shared" si="59"/>
        <v>3787</v>
      </c>
      <c r="B3787" s="924">
        <v>8.8000000000000007</v>
      </c>
    </row>
    <row r="3788" spans="1:2" x14ac:dyDescent="0.25">
      <c r="A3788" s="924">
        <f t="shared" si="59"/>
        <v>3788</v>
      </c>
      <c r="B3788" s="924">
        <v>8.8000000000000007</v>
      </c>
    </row>
    <row r="3789" spans="1:2" x14ac:dyDescent="0.25">
      <c r="A3789" s="924">
        <f t="shared" si="59"/>
        <v>3789</v>
      </c>
      <c r="B3789" s="924">
        <v>8.8000000000000007</v>
      </c>
    </row>
    <row r="3790" spans="1:2" x14ac:dyDescent="0.25">
      <c r="A3790" s="924">
        <f t="shared" si="59"/>
        <v>3790</v>
      </c>
      <c r="B3790" s="924">
        <v>8.8000000000000007</v>
      </c>
    </row>
    <row r="3791" spans="1:2" x14ac:dyDescent="0.25">
      <c r="A3791" s="924">
        <f t="shared" si="59"/>
        <v>3791</v>
      </c>
      <c r="B3791" s="924">
        <v>8.8000000000000007</v>
      </c>
    </row>
    <row r="3792" spans="1:2" x14ac:dyDescent="0.25">
      <c r="A3792" s="924">
        <f t="shared" si="59"/>
        <v>3792</v>
      </c>
      <c r="B3792" s="924">
        <v>8.8000000000000007</v>
      </c>
    </row>
    <row r="3793" spans="1:2" x14ac:dyDescent="0.25">
      <c r="A3793" s="924">
        <f t="shared" si="59"/>
        <v>3793</v>
      </c>
      <c r="B3793" s="924">
        <v>8.8000000000000007</v>
      </c>
    </row>
    <row r="3794" spans="1:2" x14ac:dyDescent="0.25">
      <c r="A3794" s="924">
        <f t="shared" si="59"/>
        <v>3794</v>
      </c>
      <c r="B3794" s="924">
        <v>8.8000000000000007</v>
      </c>
    </row>
    <row r="3795" spans="1:2" x14ac:dyDescent="0.25">
      <c r="A3795" s="924">
        <f t="shared" si="59"/>
        <v>3795</v>
      </c>
      <c r="B3795" s="924">
        <v>8.9</v>
      </c>
    </row>
    <row r="3796" spans="1:2" x14ac:dyDescent="0.25">
      <c r="A3796" s="924">
        <f t="shared" si="59"/>
        <v>3796</v>
      </c>
      <c r="B3796" s="924">
        <v>8.9</v>
      </c>
    </row>
    <row r="3797" spans="1:2" x14ac:dyDescent="0.25">
      <c r="A3797" s="924">
        <f t="shared" si="59"/>
        <v>3797</v>
      </c>
      <c r="B3797" s="924">
        <v>8.9</v>
      </c>
    </row>
    <row r="3798" spans="1:2" x14ac:dyDescent="0.25">
      <c r="A3798" s="924">
        <f t="shared" si="59"/>
        <v>3798</v>
      </c>
      <c r="B3798" s="924">
        <v>8.9</v>
      </c>
    </row>
    <row r="3799" spans="1:2" x14ac:dyDescent="0.25">
      <c r="A3799" s="924">
        <f t="shared" si="59"/>
        <v>3799</v>
      </c>
      <c r="B3799" s="924">
        <v>8.9</v>
      </c>
    </row>
    <row r="3800" spans="1:2" x14ac:dyDescent="0.25">
      <c r="A3800" s="924">
        <f t="shared" si="59"/>
        <v>3800</v>
      </c>
      <c r="B3800" s="924">
        <v>8.9</v>
      </c>
    </row>
    <row r="3801" spans="1:2" x14ac:dyDescent="0.25">
      <c r="A3801" s="924">
        <f t="shared" si="59"/>
        <v>3801</v>
      </c>
      <c r="B3801" s="924">
        <v>8.9</v>
      </c>
    </row>
    <row r="3802" spans="1:2" x14ac:dyDescent="0.25">
      <c r="A3802" s="924">
        <f t="shared" si="59"/>
        <v>3802</v>
      </c>
      <c r="B3802" s="924">
        <v>8.9</v>
      </c>
    </row>
    <row r="3803" spans="1:2" x14ac:dyDescent="0.25">
      <c r="A3803" s="924">
        <f t="shared" si="59"/>
        <v>3803</v>
      </c>
      <c r="B3803" s="924">
        <v>8.9</v>
      </c>
    </row>
    <row r="3804" spans="1:2" x14ac:dyDescent="0.25">
      <c r="A3804" s="924">
        <f t="shared" si="59"/>
        <v>3804</v>
      </c>
      <c r="B3804" s="924">
        <v>8.9</v>
      </c>
    </row>
    <row r="3805" spans="1:2" x14ac:dyDescent="0.25">
      <c r="A3805" s="924">
        <f t="shared" si="59"/>
        <v>3805</v>
      </c>
      <c r="B3805" s="924">
        <v>8.9</v>
      </c>
    </row>
    <row r="3806" spans="1:2" x14ac:dyDescent="0.25">
      <c r="A3806" s="924">
        <f t="shared" si="59"/>
        <v>3806</v>
      </c>
      <c r="B3806" s="924">
        <v>8.9</v>
      </c>
    </row>
    <row r="3807" spans="1:2" x14ac:dyDescent="0.25">
      <c r="A3807" s="924">
        <f t="shared" si="59"/>
        <v>3807</v>
      </c>
      <c r="B3807" s="924">
        <v>8.9</v>
      </c>
    </row>
    <row r="3808" spans="1:2" x14ac:dyDescent="0.25">
      <c r="A3808" s="924">
        <f t="shared" si="59"/>
        <v>3808</v>
      </c>
      <c r="B3808" s="924">
        <v>8.9</v>
      </c>
    </row>
    <row r="3809" spans="1:2" x14ac:dyDescent="0.25">
      <c r="A3809" s="924">
        <f t="shared" si="59"/>
        <v>3809</v>
      </c>
      <c r="B3809" s="924">
        <v>8.9</v>
      </c>
    </row>
    <row r="3810" spans="1:2" x14ac:dyDescent="0.25">
      <c r="A3810" s="924">
        <f t="shared" si="59"/>
        <v>3810</v>
      </c>
      <c r="B3810" s="924">
        <v>8.9</v>
      </c>
    </row>
    <row r="3811" spans="1:2" x14ac:dyDescent="0.25">
      <c r="A3811" s="924">
        <f t="shared" si="59"/>
        <v>3811</v>
      </c>
      <c r="B3811" s="924">
        <v>8.9</v>
      </c>
    </row>
    <row r="3812" spans="1:2" x14ac:dyDescent="0.25">
      <c r="A3812" s="924">
        <f t="shared" si="59"/>
        <v>3812</v>
      </c>
      <c r="B3812" s="924">
        <v>8.9</v>
      </c>
    </row>
    <row r="3813" spans="1:2" x14ac:dyDescent="0.25">
      <c r="A3813" s="924">
        <f t="shared" si="59"/>
        <v>3813</v>
      </c>
      <c r="B3813" s="924">
        <v>8.9</v>
      </c>
    </row>
    <row r="3814" spans="1:2" x14ac:dyDescent="0.25">
      <c r="A3814" s="924">
        <f t="shared" si="59"/>
        <v>3814</v>
      </c>
      <c r="B3814" s="924">
        <v>8.9</v>
      </c>
    </row>
    <row r="3815" spans="1:2" x14ac:dyDescent="0.25">
      <c r="A3815" s="924">
        <f t="shared" si="59"/>
        <v>3815</v>
      </c>
      <c r="B3815" s="924">
        <v>8.9</v>
      </c>
    </row>
    <row r="3816" spans="1:2" x14ac:dyDescent="0.25">
      <c r="A3816" s="924">
        <f t="shared" si="59"/>
        <v>3816</v>
      </c>
      <c r="B3816" s="924">
        <v>8.9</v>
      </c>
    </row>
    <row r="3817" spans="1:2" x14ac:dyDescent="0.25">
      <c r="A3817" s="924">
        <f t="shared" si="59"/>
        <v>3817</v>
      </c>
      <c r="B3817" s="924">
        <v>8.9</v>
      </c>
    </row>
    <row r="3818" spans="1:2" x14ac:dyDescent="0.25">
      <c r="A3818" s="924">
        <f t="shared" si="59"/>
        <v>3818</v>
      </c>
      <c r="B3818" s="924">
        <v>8.9</v>
      </c>
    </row>
    <row r="3819" spans="1:2" x14ac:dyDescent="0.25">
      <c r="A3819" s="924">
        <f t="shared" si="59"/>
        <v>3819</v>
      </c>
      <c r="B3819" s="924">
        <v>8.9</v>
      </c>
    </row>
    <row r="3820" spans="1:2" x14ac:dyDescent="0.25">
      <c r="A3820" s="924">
        <f t="shared" si="59"/>
        <v>3820</v>
      </c>
      <c r="B3820" s="924">
        <v>8.9</v>
      </c>
    </row>
    <row r="3821" spans="1:2" x14ac:dyDescent="0.25">
      <c r="A3821" s="924">
        <f t="shared" si="59"/>
        <v>3821</v>
      </c>
      <c r="B3821" s="924">
        <v>8.9</v>
      </c>
    </row>
    <row r="3822" spans="1:2" x14ac:dyDescent="0.25">
      <c r="A3822" s="924">
        <f t="shared" si="59"/>
        <v>3822</v>
      </c>
      <c r="B3822" s="924">
        <v>8.9</v>
      </c>
    </row>
    <row r="3823" spans="1:2" x14ac:dyDescent="0.25">
      <c r="A3823" s="924">
        <f t="shared" si="59"/>
        <v>3823</v>
      </c>
      <c r="B3823" s="924">
        <v>8.9</v>
      </c>
    </row>
    <row r="3824" spans="1:2" x14ac:dyDescent="0.25">
      <c r="A3824" s="924">
        <f t="shared" si="59"/>
        <v>3824</v>
      </c>
      <c r="B3824" s="924">
        <v>8.9</v>
      </c>
    </row>
    <row r="3825" spans="1:2" x14ac:dyDescent="0.25">
      <c r="A3825" s="924">
        <f t="shared" si="59"/>
        <v>3825</v>
      </c>
      <c r="B3825" s="924">
        <v>8.9</v>
      </c>
    </row>
    <row r="3826" spans="1:2" x14ac:dyDescent="0.25">
      <c r="A3826" s="924">
        <f t="shared" si="59"/>
        <v>3826</v>
      </c>
      <c r="B3826" s="924">
        <v>8.9</v>
      </c>
    </row>
    <row r="3827" spans="1:2" x14ac:dyDescent="0.25">
      <c r="A3827" s="924">
        <f t="shared" si="59"/>
        <v>3827</v>
      </c>
      <c r="B3827" s="924">
        <v>8.9</v>
      </c>
    </row>
    <row r="3828" spans="1:2" x14ac:dyDescent="0.25">
      <c r="A3828" s="924">
        <f t="shared" si="59"/>
        <v>3828</v>
      </c>
      <c r="B3828" s="924">
        <v>8.9</v>
      </c>
    </row>
    <row r="3829" spans="1:2" x14ac:dyDescent="0.25">
      <c r="A3829" s="924">
        <f t="shared" si="59"/>
        <v>3829</v>
      </c>
      <c r="B3829" s="924">
        <v>8.9</v>
      </c>
    </row>
    <row r="3830" spans="1:2" x14ac:dyDescent="0.25">
      <c r="A3830" s="924">
        <f t="shared" si="59"/>
        <v>3830</v>
      </c>
      <c r="B3830" s="924">
        <v>8.9</v>
      </c>
    </row>
    <row r="3831" spans="1:2" x14ac:dyDescent="0.25">
      <c r="A3831" s="924">
        <f t="shared" si="59"/>
        <v>3831</v>
      </c>
      <c r="B3831" s="924">
        <v>8.9</v>
      </c>
    </row>
    <row r="3832" spans="1:2" x14ac:dyDescent="0.25">
      <c r="A3832" s="924">
        <f t="shared" si="59"/>
        <v>3832</v>
      </c>
      <c r="B3832" s="924">
        <v>9</v>
      </c>
    </row>
    <row r="3833" spans="1:2" x14ac:dyDescent="0.25">
      <c r="A3833" s="924">
        <f t="shared" si="59"/>
        <v>3833</v>
      </c>
      <c r="B3833" s="924">
        <v>9</v>
      </c>
    </row>
    <row r="3834" spans="1:2" x14ac:dyDescent="0.25">
      <c r="A3834" s="924">
        <f t="shared" si="59"/>
        <v>3834</v>
      </c>
      <c r="B3834" s="924">
        <v>9</v>
      </c>
    </row>
    <row r="3835" spans="1:2" x14ac:dyDescent="0.25">
      <c r="A3835" s="924">
        <f t="shared" si="59"/>
        <v>3835</v>
      </c>
      <c r="B3835" s="924">
        <v>9</v>
      </c>
    </row>
    <row r="3836" spans="1:2" x14ac:dyDescent="0.25">
      <c r="A3836" s="924">
        <f t="shared" si="59"/>
        <v>3836</v>
      </c>
      <c r="B3836" s="924">
        <v>9</v>
      </c>
    </row>
    <row r="3837" spans="1:2" x14ac:dyDescent="0.25">
      <c r="A3837" s="924">
        <f t="shared" si="59"/>
        <v>3837</v>
      </c>
      <c r="B3837" s="924">
        <v>9</v>
      </c>
    </row>
    <row r="3838" spans="1:2" x14ac:dyDescent="0.25">
      <c r="A3838" s="924">
        <f t="shared" si="59"/>
        <v>3838</v>
      </c>
      <c r="B3838" s="924">
        <v>9</v>
      </c>
    </row>
    <row r="3839" spans="1:2" x14ac:dyDescent="0.25">
      <c r="A3839" s="924">
        <f t="shared" si="59"/>
        <v>3839</v>
      </c>
      <c r="B3839" s="924">
        <v>9</v>
      </c>
    </row>
    <row r="3840" spans="1:2" x14ac:dyDescent="0.25">
      <c r="A3840" s="924">
        <f t="shared" si="59"/>
        <v>3840</v>
      </c>
      <c r="B3840" s="924">
        <v>9</v>
      </c>
    </row>
    <row r="3841" spans="1:2" x14ac:dyDescent="0.25">
      <c r="A3841" s="924">
        <f t="shared" si="59"/>
        <v>3841</v>
      </c>
      <c r="B3841" s="924">
        <v>9</v>
      </c>
    </row>
    <row r="3842" spans="1:2" x14ac:dyDescent="0.25">
      <c r="A3842" s="924">
        <f t="shared" si="59"/>
        <v>3842</v>
      </c>
      <c r="B3842" s="924">
        <v>9</v>
      </c>
    </row>
    <row r="3843" spans="1:2" x14ac:dyDescent="0.25">
      <c r="A3843" s="924">
        <f t="shared" ref="A3843:A3906" si="60">A3842+1</f>
        <v>3843</v>
      </c>
      <c r="B3843" s="924">
        <v>9</v>
      </c>
    </row>
    <row r="3844" spans="1:2" x14ac:dyDescent="0.25">
      <c r="A3844" s="924">
        <f t="shared" si="60"/>
        <v>3844</v>
      </c>
      <c r="B3844" s="924">
        <v>9</v>
      </c>
    </row>
    <row r="3845" spans="1:2" x14ac:dyDescent="0.25">
      <c r="A3845" s="924">
        <f t="shared" si="60"/>
        <v>3845</v>
      </c>
      <c r="B3845" s="924">
        <v>9</v>
      </c>
    </row>
    <row r="3846" spans="1:2" x14ac:dyDescent="0.25">
      <c r="A3846" s="924">
        <f t="shared" si="60"/>
        <v>3846</v>
      </c>
      <c r="B3846" s="924">
        <v>9</v>
      </c>
    </row>
    <row r="3847" spans="1:2" x14ac:dyDescent="0.25">
      <c r="A3847" s="924">
        <f t="shared" si="60"/>
        <v>3847</v>
      </c>
      <c r="B3847" s="924">
        <v>9</v>
      </c>
    </row>
    <row r="3848" spans="1:2" x14ac:dyDescent="0.25">
      <c r="A3848" s="924">
        <f t="shared" si="60"/>
        <v>3848</v>
      </c>
      <c r="B3848" s="924">
        <v>9</v>
      </c>
    </row>
    <row r="3849" spans="1:2" x14ac:dyDescent="0.25">
      <c r="A3849" s="924">
        <f t="shared" si="60"/>
        <v>3849</v>
      </c>
      <c r="B3849" s="924">
        <v>9</v>
      </c>
    </row>
    <row r="3850" spans="1:2" x14ac:dyDescent="0.25">
      <c r="A3850" s="924">
        <f t="shared" si="60"/>
        <v>3850</v>
      </c>
      <c r="B3850" s="924">
        <v>9</v>
      </c>
    </row>
    <row r="3851" spans="1:2" x14ac:dyDescent="0.25">
      <c r="A3851" s="924">
        <f t="shared" si="60"/>
        <v>3851</v>
      </c>
      <c r="B3851" s="924">
        <v>9</v>
      </c>
    </row>
    <row r="3852" spans="1:2" x14ac:dyDescent="0.25">
      <c r="A3852" s="924">
        <f t="shared" si="60"/>
        <v>3852</v>
      </c>
      <c r="B3852" s="924">
        <v>9</v>
      </c>
    </row>
    <row r="3853" spans="1:2" x14ac:dyDescent="0.25">
      <c r="A3853" s="924">
        <f t="shared" si="60"/>
        <v>3853</v>
      </c>
      <c r="B3853" s="924">
        <v>9</v>
      </c>
    </row>
    <row r="3854" spans="1:2" x14ac:dyDescent="0.25">
      <c r="A3854" s="924">
        <f t="shared" si="60"/>
        <v>3854</v>
      </c>
      <c r="B3854" s="924">
        <v>9</v>
      </c>
    </row>
    <row r="3855" spans="1:2" x14ac:dyDescent="0.25">
      <c r="A3855" s="924">
        <f t="shared" si="60"/>
        <v>3855</v>
      </c>
      <c r="B3855" s="924">
        <v>9</v>
      </c>
    </row>
    <row r="3856" spans="1:2" x14ac:dyDescent="0.25">
      <c r="A3856" s="924">
        <f t="shared" si="60"/>
        <v>3856</v>
      </c>
      <c r="B3856" s="924">
        <v>9</v>
      </c>
    </row>
    <row r="3857" spans="1:2" x14ac:dyDescent="0.25">
      <c r="A3857" s="924">
        <f t="shared" si="60"/>
        <v>3857</v>
      </c>
      <c r="B3857" s="924">
        <v>9</v>
      </c>
    </row>
    <row r="3858" spans="1:2" x14ac:dyDescent="0.25">
      <c r="A3858" s="924">
        <f t="shared" si="60"/>
        <v>3858</v>
      </c>
      <c r="B3858" s="924">
        <v>9</v>
      </c>
    </row>
    <row r="3859" spans="1:2" x14ac:dyDescent="0.25">
      <c r="A3859" s="924">
        <f t="shared" si="60"/>
        <v>3859</v>
      </c>
      <c r="B3859" s="924">
        <v>9</v>
      </c>
    </row>
    <row r="3860" spans="1:2" x14ac:dyDescent="0.25">
      <c r="A3860" s="924">
        <f t="shared" si="60"/>
        <v>3860</v>
      </c>
      <c r="B3860" s="924">
        <v>9</v>
      </c>
    </row>
    <row r="3861" spans="1:2" x14ac:dyDescent="0.25">
      <c r="A3861" s="924">
        <f t="shared" si="60"/>
        <v>3861</v>
      </c>
      <c r="B3861" s="924">
        <v>9</v>
      </c>
    </row>
    <row r="3862" spans="1:2" x14ac:dyDescent="0.25">
      <c r="A3862" s="924">
        <f t="shared" si="60"/>
        <v>3862</v>
      </c>
      <c r="B3862" s="924">
        <v>9</v>
      </c>
    </row>
    <row r="3863" spans="1:2" x14ac:dyDescent="0.25">
      <c r="A3863" s="924">
        <f t="shared" si="60"/>
        <v>3863</v>
      </c>
      <c r="B3863" s="924">
        <v>9</v>
      </c>
    </row>
    <row r="3864" spans="1:2" x14ac:dyDescent="0.25">
      <c r="A3864" s="924">
        <f t="shared" si="60"/>
        <v>3864</v>
      </c>
      <c r="B3864" s="924">
        <v>9</v>
      </c>
    </row>
    <row r="3865" spans="1:2" x14ac:dyDescent="0.25">
      <c r="A3865" s="924">
        <f t="shared" si="60"/>
        <v>3865</v>
      </c>
      <c r="B3865" s="924">
        <v>9</v>
      </c>
    </row>
    <row r="3866" spans="1:2" x14ac:dyDescent="0.25">
      <c r="A3866" s="924">
        <f t="shared" si="60"/>
        <v>3866</v>
      </c>
      <c r="B3866" s="924">
        <v>9</v>
      </c>
    </row>
    <row r="3867" spans="1:2" x14ac:dyDescent="0.25">
      <c r="A3867" s="924">
        <f t="shared" si="60"/>
        <v>3867</v>
      </c>
      <c r="B3867" s="924">
        <v>9.1</v>
      </c>
    </row>
    <row r="3868" spans="1:2" x14ac:dyDescent="0.25">
      <c r="A3868" s="924">
        <f t="shared" si="60"/>
        <v>3868</v>
      </c>
      <c r="B3868" s="924">
        <v>9.1</v>
      </c>
    </row>
    <row r="3869" spans="1:2" x14ac:dyDescent="0.25">
      <c r="A3869" s="924">
        <f t="shared" si="60"/>
        <v>3869</v>
      </c>
      <c r="B3869" s="924">
        <v>9.1</v>
      </c>
    </row>
    <row r="3870" spans="1:2" x14ac:dyDescent="0.25">
      <c r="A3870" s="924">
        <f t="shared" si="60"/>
        <v>3870</v>
      </c>
      <c r="B3870" s="924">
        <v>9.1</v>
      </c>
    </row>
    <row r="3871" spans="1:2" x14ac:dyDescent="0.25">
      <c r="A3871" s="924">
        <f t="shared" si="60"/>
        <v>3871</v>
      </c>
      <c r="B3871" s="924">
        <v>9.1</v>
      </c>
    </row>
    <row r="3872" spans="1:2" x14ac:dyDescent="0.25">
      <c r="A3872" s="924">
        <f t="shared" si="60"/>
        <v>3872</v>
      </c>
      <c r="B3872" s="924">
        <v>9.1</v>
      </c>
    </row>
    <row r="3873" spans="1:2" x14ac:dyDescent="0.25">
      <c r="A3873" s="924">
        <f t="shared" si="60"/>
        <v>3873</v>
      </c>
      <c r="B3873" s="924">
        <v>9.1</v>
      </c>
    </row>
    <row r="3874" spans="1:2" x14ac:dyDescent="0.25">
      <c r="A3874" s="924">
        <f t="shared" si="60"/>
        <v>3874</v>
      </c>
      <c r="B3874" s="924">
        <v>9.1</v>
      </c>
    </row>
    <row r="3875" spans="1:2" x14ac:dyDescent="0.25">
      <c r="A3875" s="924">
        <f t="shared" si="60"/>
        <v>3875</v>
      </c>
      <c r="B3875" s="924">
        <v>9.1</v>
      </c>
    </row>
    <row r="3876" spans="1:2" x14ac:dyDescent="0.25">
      <c r="A3876" s="924">
        <f t="shared" si="60"/>
        <v>3876</v>
      </c>
      <c r="B3876" s="924">
        <v>9.1</v>
      </c>
    </row>
    <row r="3877" spans="1:2" x14ac:dyDescent="0.25">
      <c r="A3877" s="924">
        <f t="shared" si="60"/>
        <v>3877</v>
      </c>
      <c r="B3877" s="924">
        <v>9.1</v>
      </c>
    </row>
    <row r="3878" spans="1:2" x14ac:dyDescent="0.25">
      <c r="A3878" s="924">
        <f t="shared" si="60"/>
        <v>3878</v>
      </c>
      <c r="B3878" s="924">
        <v>9.1</v>
      </c>
    </row>
    <row r="3879" spans="1:2" x14ac:dyDescent="0.25">
      <c r="A3879" s="924">
        <f t="shared" si="60"/>
        <v>3879</v>
      </c>
      <c r="B3879" s="924">
        <v>9.1</v>
      </c>
    </row>
    <row r="3880" spans="1:2" x14ac:dyDescent="0.25">
      <c r="A3880" s="924">
        <f t="shared" si="60"/>
        <v>3880</v>
      </c>
      <c r="B3880" s="924">
        <v>9.1</v>
      </c>
    </row>
    <row r="3881" spans="1:2" x14ac:dyDescent="0.25">
      <c r="A3881" s="924">
        <f t="shared" si="60"/>
        <v>3881</v>
      </c>
      <c r="B3881" s="924">
        <v>9.1</v>
      </c>
    </row>
    <row r="3882" spans="1:2" x14ac:dyDescent="0.25">
      <c r="A3882" s="924">
        <f t="shared" si="60"/>
        <v>3882</v>
      </c>
      <c r="B3882" s="924">
        <v>9.1</v>
      </c>
    </row>
    <row r="3883" spans="1:2" x14ac:dyDescent="0.25">
      <c r="A3883" s="924">
        <f t="shared" si="60"/>
        <v>3883</v>
      </c>
      <c r="B3883" s="924">
        <v>9.1</v>
      </c>
    </row>
    <row r="3884" spans="1:2" x14ac:dyDescent="0.25">
      <c r="A3884" s="924">
        <f t="shared" si="60"/>
        <v>3884</v>
      </c>
      <c r="B3884" s="924">
        <v>9.1</v>
      </c>
    </row>
    <row r="3885" spans="1:2" x14ac:dyDescent="0.25">
      <c r="A3885" s="924">
        <f t="shared" si="60"/>
        <v>3885</v>
      </c>
      <c r="B3885" s="924">
        <v>9.1</v>
      </c>
    </row>
    <row r="3886" spans="1:2" x14ac:dyDescent="0.25">
      <c r="A3886" s="924">
        <f t="shared" si="60"/>
        <v>3886</v>
      </c>
      <c r="B3886" s="924">
        <v>9.1</v>
      </c>
    </row>
    <row r="3887" spans="1:2" x14ac:dyDescent="0.25">
      <c r="A3887" s="924">
        <f t="shared" si="60"/>
        <v>3887</v>
      </c>
      <c r="B3887" s="924">
        <v>9.1</v>
      </c>
    </row>
    <row r="3888" spans="1:2" x14ac:dyDescent="0.25">
      <c r="A3888" s="924">
        <f t="shared" si="60"/>
        <v>3888</v>
      </c>
      <c r="B3888" s="924">
        <v>9.1</v>
      </c>
    </row>
    <row r="3889" spans="1:2" x14ac:dyDescent="0.25">
      <c r="A3889" s="924">
        <f t="shared" si="60"/>
        <v>3889</v>
      </c>
      <c r="B3889" s="924">
        <v>9.1</v>
      </c>
    </row>
    <row r="3890" spans="1:2" x14ac:dyDescent="0.25">
      <c r="A3890" s="924">
        <f t="shared" si="60"/>
        <v>3890</v>
      </c>
      <c r="B3890" s="924">
        <v>9.1</v>
      </c>
    </row>
    <row r="3891" spans="1:2" x14ac:dyDescent="0.25">
      <c r="A3891" s="924">
        <f t="shared" si="60"/>
        <v>3891</v>
      </c>
      <c r="B3891" s="924">
        <v>9.1</v>
      </c>
    </row>
    <row r="3892" spans="1:2" x14ac:dyDescent="0.25">
      <c r="A3892" s="924">
        <f t="shared" si="60"/>
        <v>3892</v>
      </c>
      <c r="B3892" s="924">
        <v>9.1</v>
      </c>
    </row>
    <row r="3893" spans="1:2" x14ac:dyDescent="0.25">
      <c r="A3893" s="924">
        <f t="shared" si="60"/>
        <v>3893</v>
      </c>
      <c r="B3893" s="924">
        <v>9.1</v>
      </c>
    </row>
    <row r="3894" spans="1:2" x14ac:dyDescent="0.25">
      <c r="A3894" s="924">
        <f t="shared" si="60"/>
        <v>3894</v>
      </c>
      <c r="B3894" s="924">
        <v>9.1</v>
      </c>
    </row>
    <row r="3895" spans="1:2" x14ac:dyDescent="0.25">
      <c r="A3895" s="924">
        <f t="shared" si="60"/>
        <v>3895</v>
      </c>
      <c r="B3895" s="924">
        <v>9.1</v>
      </c>
    </row>
    <row r="3896" spans="1:2" x14ac:dyDescent="0.25">
      <c r="A3896" s="924">
        <f t="shared" si="60"/>
        <v>3896</v>
      </c>
      <c r="B3896" s="924">
        <v>9.1</v>
      </c>
    </row>
    <row r="3897" spans="1:2" x14ac:dyDescent="0.25">
      <c r="A3897" s="924">
        <f t="shared" si="60"/>
        <v>3897</v>
      </c>
      <c r="B3897" s="924">
        <v>9.1999999999999993</v>
      </c>
    </row>
    <row r="3898" spans="1:2" x14ac:dyDescent="0.25">
      <c r="A3898" s="924">
        <f t="shared" si="60"/>
        <v>3898</v>
      </c>
      <c r="B3898" s="924">
        <v>9.1999999999999993</v>
      </c>
    </row>
    <row r="3899" spans="1:2" x14ac:dyDescent="0.25">
      <c r="A3899" s="924">
        <f t="shared" si="60"/>
        <v>3899</v>
      </c>
      <c r="B3899" s="924">
        <v>9.1999999999999993</v>
      </c>
    </row>
    <row r="3900" spans="1:2" x14ac:dyDescent="0.25">
      <c r="A3900" s="924">
        <f t="shared" si="60"/>
        <v>3900</v>
      </c>
      <c r="B3900" s="924">
        <v>9.1999999999999993</v>
      </c>
    </row>
    <row r="3901" spans="1:2" x14ac:dyDescent="0.25">
      <c r="A3901" s="924">
        <f t="shared" si="60"/>
        <v>3901</v>
      </c>
      <c r="B3901" s="924">
        <v>9.1999999999999993</v>
      </c>
    </row>
    <row r="3902" spans="1:2" x14ac:dyDescent="0.25">
      <c r="A3902" s="924">
        <f t="shared" si="60"/>
        <v>3902</v>
      </c>
      <c r="B3902" s="924">
        <v>9.1999999999999993</v>
      </c>
    </row>
    <row r="3903" spans="1:2" x14ac:dyDescent="0.25">
      <c r="A3903" s="924">
        <f t="shared" si="60"/>
        <v>3903</v>
      </c>
      <c r="B3903" s="924">
        <v>9.1999999999999993</v>
      </c>
    </row>
    <row r="3904" spans="1:2" x14ac:dyDescent="0.25">
      <c r="A3904" s="924">
        <f t="shared" si="60"/>
        <v>3904</v>
      </c>
      <c r="B3904" s="924">
        <v>9.1999999999999993</v>
      </c>
    </row>
    <row r="3905" spans="1:2" x14ac:dyDescent="0.25">
      <c r="A3905" s="924">
        <f t="shared" si="60"/>
        <v>3905</v>
      </c>
      <c r="B3905" s="924">
        <v>9.1999999999999993</v>
      </c>
    </row>
    <row r="3906" spans="1:2" x14ac:dyDescent="0.25">
      <c r="A3906" s="924">
        <f t="shared" si="60"/>
        <v>3906</v>
      </c>
      <c r="B3906" s="924">
        <v>9.1999999999999993</v>
      </c>
    </row>
    <row r="3907" spans="1:2" x14ac:dyDescent="0.25">
      <c r="A3907" s="924">
        <f t="shared" ref="A3907:A3970" si="61">A3906+1</f>
        <v>3907</v>
      </c>
      <c r="B3907" s="924">
        <v>9.1999999999999993</v>
      </c>
    </row>
    <row r="3908" spans="1:2" x14ac:dyDescent="0.25">
      <c r="A3908" s="924">
        <f t="shared" si="61"/>
        <v>3908</v>
      </c>
      <c r="B3908" s="924">
        <v>9.1999999999999993</v>
      </c>
    </row>
    <row r="3909" spans="1:2" x14ac:dyDescent="0.25">
      <c r="A3909" s="924">
        <f t="shared" si="61"/>
        <v>3909</v>
      </c>
      <c r="B3909" s="924">
        <v>9.1999999999999993</v>
      </c>
    </row>
    <row r="3910" spans="1:2" x14ac:dyDescent="0.25">
      <c r="A3910" s="924">
        <f t="shared" si="61"/>
        <v>3910</v>
      </c>
      <c r="B3910" s="924">
        <v>9.1999999999999993</v>
      </c>
    </row>
    <row r="3911" spans="1:2" x14ac:dyDescent="0.25">
      <c r="A3911" s="924">
        <f t="shared" si="61"/>
        <v>3911</v>
      </c>
      <c r="B3911" s="924">
        <v>9.1999999999999993</v>
      </c>
    </row>
    <row r="3912" spans="1:2" x14ac:dyDescent="0.25">
      <c r="A3912" s="924">
        <f t="shared" si="61"/>
        <v>3912</v>
      </c>
      <c r="B3912" s="924">
        <v>9.1999999999999993</v>
      </c>
    </row>
    <row r="3913" spans="1:2" x14ac:dyDescent="0.25">
      <c r="A3913" s="924">
        <f t="shared" si="61"/>
        <v>3913</v>
      </c>
      <c r="B3913" s="924">
        <v>9.1999999999999993</v>
      </c>
    </row>
    <row r="3914" spans="1:2" x14ac:dyDescent="0.25">
      <c r="A3914" s="924">
        <f t="shared" si="61"/>
        <v>3914</v>
      </c>
      <c r="B3914" s="924">
        <v>9.1999999999999993</v>
      </c>
    </row>
    <row r="3915" spans="1:2" x14ac:dyDescent="0.25">
      <c r="A3915" s="924">
        <f t="shared" si="61"/>
        <v>3915</v>
      </c>
      <c r="B3915" s="924">
        <v>9.1999999999999993</v>
      </c>
    </row>
    <row r="3916" spans="1:2" x14ac:dyDescent="0.25">
      <c r="A3916" s="924">
        <f t="shared" si="61"/>
        <v>3916</v>
      </c>
      <c r="B3916" s="924">
        <v>9.1999999999999993</v>
      </c>
    </row>
    <row r="3917" spans="1:2" x14ac:dyDescent="0.25">
      <c r="A3917" s="924">
        <f t="shared" si="61"/>
        <v>3917</v>
      </c>
      <c r="B3917" s="924">
        <v>9.1999999999999993</v>
      </c>
    </row>
    <row r="3918" spans="1:2" x14ac:dyDescent="0.25">
      <c r="A3918" s="924">
        <f t="shared" si="61"/>
        <v>3918</v>
      </c>
      <c r="B3918" s="924">
        <v>9.1999999999999993</v>
      </c>
    </row>
    <row r="3919" spans="1:2" x14ac:dyDescent="0.25">
      <c r="A3919" s="924">
        <f t="shared" si="61"/>
        <v>3919</v>
      </c>
      <c r="B3919" s="924">
        <v>9.1999999999999993</v>
      </c>
    </row>
    <row r="3920" spans="1:2" x14ac:dyDescent="0.25">
      <c r="A3920" s="924">
        <f t="shared" si="61"/>
        <v>3920</v>
      </c>
      <c r="B3920" s="924">
        <v>9.1999999999999993</v>
      </c>
    </row>
    <row r="3921" spans="1:2" x14ac:dyDescent="0.25">
      <c r="A3921" s="924">
        <f t="shared" si="61"/>
        <v>3921</v>
      </c>
      <c r="B3921" s="924">
        <v>9.1999999999999993</v>
      </c>
    </row>
    <row r="3922" spans="1:2" x14ac:dyDescent="0.25">
      <c r="A3922" s="924">
        <f t="shared" si="61"/>
        <v>3922</v>
      </c>
      <c r="B3922" s="924">
        <v>9.1999999999999993</v>
      </c>
    </row>
    <row r="3923" spans="1:2" x14ac:dyDescent="0.25">
      <c r="A3923" s="924">
        <f t="shared" si="61"/>
        <v>3923</v>
      </c>
      <c r="B3923" s="924">
        <v>9.1999999999999993</v>
      </c>
    </row>
    <row r="3924" spans="1:2" x14ac:dyDescent="0.25">
      <c r="A3924" s="924">
        <f t="shared" si="61"/>
        <v>3924</v>
      </c>
      <c r="B3924" s="924">
        <v>9.1999999999999993</v>
      </c>
    </row>
    <row r="3925" spans="1:2" x14ac:dyDescent="0.25">
      <c r="A3925" s="924">
        <f t="shared" si="61"/>
        <v>3925</v>
      </c>
      <c r="B3925" s="924">
        <v>9.1999999999999993</v>
      </c>
    </row>
    <row r="3926" spans="1:2" x14ac:dyDescent="0.25">
      <c r="A3926" s="924">
        <f t="shared" si="61"/>
        <v>3926</v>
      </c>
      <c r="B3926" s="924">
        <v>9.1999999999999993</v>
      </c>
    </row>
    <row r="3927" spans="1:2" x14ac:dyDescent="0.25">
      <c r="A3927" s="924">
        <f t="shared" si="61"/>
        <v>3927</v>
      </c>
      <c r="B3927" s="924">
        <v>9.1999999999999993</v>
      </c>
    </row>
    <row r="3928" spans="1:2" x14ac:dyDescent="0.25">
      <c r="A3928" s="924">
        <f t="shared" si="61"/>
        <v>3928</v>
      </c>
      <c r="B3928" s="924">
        <v>9.3000000000000007</v>
      </c>
    </row>
    <row r="3929" spans="1:2" x14ac:dyDescent="0.25">
      <c r="A3929" s="924">
        <f t="shared" si="61"/>
        <v>3929</v>
      </c>
      <c r="B3929" s="924">
        <v>9.3000000000000007</v>
      </c>
    </row>
    <row r="3930" spans="1:2" x14ac:dyDescent="0.25">
      <c r="A3930" s="924">
        <f t="shared" si="61"/>
        <v>3930</v>
      </c>
      <c r="B3930" s="924">
        <v>9.3000000000000007</v>
      </c>
    </row>
    <row r="3931" spans="1:2" x14ac:dyDescent="0.25">
      <c r="A3931" s="924">
        <f t="shared" si="61"/>
        <v>3931</v>
      </c>
      <c r="B3931" s="924">
        <v>9.3000000000000007</v>
      </c>
    </row>
    <row r="3932" spans="1:2" x14ac:dyDescent="0.25">
      <c r="A3932" s="924">
        <f t="shared" si="61"/>
        <v>3932</v>
      </c>
      <c r="B3932" s="924">
        <v>9.3000000000000007</v>
      </c>
    </row>
    <row r="3933" spans="1:2" x14ac:dyDescent="0.25">
      <c r="A3933" s="924">
        <f t="shared" si="61"/>
        <v>3933</v>
      </c>
      <c r="B3933" s="924">
        <v>9.3000000000000007</v>
      </c>
    </row>
    <row r="3934" spans="1:2" x14ac:dyDescent="0.25">
      <c r="A3934" s="924">
        <f t="shared" si="61"/>
        <v>3934</v>
      </c>
      <c r="B3934" s="924">
        <v>9.3000000000000007</v>
      </c>
    </row>
    <row r="3935" spans="1:2" x14ac:dyDescent="0.25">
      <c r="A3935" s="924">
        <f t="shared" si="61"/>
        <v>3935</v>
      </c>
      <c r="B3935" s="924">
        <v>9.3000000000000007</v>
      </c>
    </row>
    <row r="3936" spans="1:2" x14ac:dyDescent="0.25">
      <c r="A3936" s="924">
        <f t="shared" si="61"/>
        <v>3936</v>
      </c>
      <c r="B3936" s="924">
        <v>9.3000000000000007</v>
      </c>
    </row>
    <row r="3937" spans="1:2" x14ac:dyDescent="0.25">
      <c r="A3937" s="924">
        <f t="shared" si="61"/>
        <v>3937</v>
      </c>
      <c r="B3937" s="924">
        <v>9.3000000000000007</v>
      </c>
    </row>
    <row r="3938" spans="1:2" x14ac:dyDescent="0.25">
      <c r="A3938" s="924">
        <f t="shared" si="61"/>
        <v>3938</v>
      </c>
      <c r="B3938" s="924">
        <v>9.3000000000000007</v>
      </c>
    </row>
    <row r="3939" spans="1:2" x14ac:dyDescent="0.25">
      <c r="A3939" s="924">
        <f t="shared" si="61"/>
        <v>3939</v>
      </c>
      <c r="B3939" s="924">
        <v>9.3000000000000007</v>
      </c>
    </row>
    <row r="3940" spans="1:2" x14ac:dyDescent="0.25">
      <c r="A3940" s="924">
        <f t="shared" si="61"/>
        <v>3940</v>
      </c>
      <c r="B3940" s="924">
        <v>9.3000000000000007</v>
      </c>
    </row>
    <row r="3941" spans="1:2" x14ac:dyDescent="0.25">
      <c r="A3941" s="924">
        <f t="shared" si="61"/>
        <v>3941</v>
      </c>
      <c r="B3941" s="924">
        <v>9.3000000000000007</v>
      </c>
    </row>
    <row r="3942" spans="1:2" x14ac:dyDescent="0.25">
      <c r="A3942" s="924">
        <f t="shared" si="61"/>
        <v>3942</v>
      </c>
      <c r="B3942" s="924">
        <v>9.3000000000000007</v>
      </c>
    </row>
    <row r="3943" spans="1:2" x14ac:dyDescent="0.25">
      <c r="A3943" s="924">
        <f t="shared" si="61"/>
        <v>3943</v>
      </c>
      <c r="B3943" s="924">
        <v>9.3000000000000007</v>
      </c>
    </row>
    <row r="3944" spans="1:2" x14ac:dyDescent="0.25">
      <c r="A3944" s="924">
        <f t="shared" si="61"/>
        <v>3944</v>
      </c>
      <c r="B3944" s="924">
        <v>9.3000000000000007</v>
      </c>
    </row>
    <row r="3945" spans="1:2" x14ac:dyDescent="0.25">
      <c r="A3945" s="924">
        <f t="shared" si="61"/>
        <v>3945</v>
      </c>
      <c r="B3945" s="924">
        <v>9.3000000000000007</v>
      </c>
    </row>
    <row r="3946" spans="1:2" x14ac:dyDescent="0.25">
      <c r="A3946" s="924">
        <f t="shared" si="61"/>
        <v>3946</v>
      </c>
      <c r="B3946" s="924">
        <v>9.3000000000000007</v>
      </c>
    </row>
    <row r="3947" spans="1:2" x14ac:dyDescent="0.25">
      <c r="A3947" s="924">
        <f t="shared" si="61"/>
        <v>3947</v>
      </c>
      <c r="B3947" s="924">
        <v>9.3000000000000007</v>
      </c>
    </row>
    <row r="3948" spans="1:2" x14ac:dyDescent="0.25">
      <c r="A3948" s="924">
        <f t="shared" si="61"/>
        <v>3948</v>
      </c>
      <c r="B3948" s="924">
        <v>9.3000000000000007</v>
      </c>
    </row>
    <row r="3949" spans="1:2" x14ac:dyDescent="0.25">
      <c r="A3949" s="924">
        <f t="shared" si="61"/>
        <v>3949</v>
      </c>
      <c r="B3949" s="924">
        <v>9.3000000000000007</v>
      </c>
    </row>
    <row r="3950" spans="1:2" x14ac:dyDescent="0.25">
      <c r="A3950" s="924">
        <f t="shared" si="61"/>
        <v>3950</v>
      </c>
      <c r="B3950" s="924">
        <v>9.3000000000000007</v>
      </c>
    </row>
    <row r="3951" spans="1:2" x14ac:dyDescent="0.25">
      <c r="A3951" s="924">
        <f t="shared" si="61"/>
        <v>3951</v>
      </c>
      <c r="B3951" s="924">
        <v>9.3000000000000007</v>
      </c>
    </row>
    <row r="3952" spans="1:2" x14ac:dyDescent="0.25">
      <c r="A3952" s="924">
        <f t="shared" si="61"/>
        <v>3952</v>
      </c>
      <c r="B3952" s="924">
        <v>9.3000000000000007</v>
      </c>
    </row>
    <row r="3953" spans="1:2" x14ac:dyDescent="0.25">
      <c r="A3953" s="924">
        <f t="shared" si="61"/>
        <v>3953</v>
      </c>
      <c r="B3953" s="924">
        <v>9.3000000000000007</v>
      </c>
    </row>
    <row r="3954" spans="1:2" x14ac:dyDescent="0.25">
      <c r="A3954" s="924">
        <f t="shared" si="61"/>
        <v>3954</v>
      </c>
      <c r="B3954" s="924">
        <v>9.3000000000000007</v>
      </c>
    </row>
    <row r="3955" spans="1:2" x14ac:dyDescent="0.25">
      <c r="A3955" s="924">
        <f t="shared" si="61"/>
        <v>3955</v>
      </c>
      <c r="B3955" s="924">
        <v>9.3000000000000007</v>
      </c>
    </row>
    <row r="3956" spans="1:2" x14ac:dyDescent="0.25">
      <c r="A3956" s="924">
        <f t="shared" si="61"/>
        <v>3956</v>
      </c>
      <c r="B3956" s="924">
        <v>9.3000000000000007</v>
      </c>
    </row>
    <row r="3957" spans="1:2" x14ac:dyDescent="0.25">
      <c r="A3957" s="924">
        <f t="shared" si="61"/>
        <v>3957</v>
      </c>
      <c r="B3957" s="924">
        <v>9.3000000000000007</v>
      </c>
    </row>
    <row r="3958" spans="1:2" x14ac:dyDescent="0.25">
      <c r="A3958" s="924">
        <f t="shared" si="61"/>
        <v>3958</v>
      </c>
      <c r="B3958" s="924">
        <v>9.3000000000000007</v>
      </c>
    </row>
    <row r="3959" spans="1:2" x14ac:dyDescent="0.25">
      <c r="A3959" s="924">
        <f t="shared" si="61"/>
        <v>3959</v>
      </c>
      <c r="B3959" s="924">
        <v>9.3000000000000007</v>
      </c>
    </row>
    <row r="3960" spans="1:2" x14ac:dyDescent="0.25">
      <c r="A3960" s="924">
        <f t="shared" si="61"/>
        <v>3960</v>
      </c>
      <c r="B3960" s="924">
        <v>9.3000000000000007</v>
      </c>
    </row>
    <row r="3961" spans="1:2" x14ac:dyDescent="0.25">
      <c r="A3961" s="924">
        <f t="shared" si="61"/>
        <v>3961</v>
      </c>
      <c r="B3961" s="924">
        <v>9.3000000000000007</v>
      </c>
    </row>
    <row r="3962" spans="1:2" x14ac:dyDescent="0.25">
      <c r="A3962" s="924">
        <f t="shared" si="61"/>
        <v>3962</v>
      </c>
      <c r="B3962" s="924">
        <v>9.3000000000000007</v>
      </c>
    </row>
    <row r="3963" spans="1:2" x14ac:dyDescent="0.25">
      <c r="A3963" s="924">
        <f t="shared" si="61"/>
        <v>3963</v>
      </c>
      <c r="B3963" s="924">
        <v>9.3000000000000007</v>
      </c>
    </row>
    <row r="3964" spans="1:2" x14ac:dyDescent="0.25">
      <c r="A3964" s="924">
        <f t="shared" si="61"/>
        <v>3964</v>
      </c>
      <c r="B3964" s="924">
        <v>9.3000000000000007</v>
      </c>
    </row>
    <row r="3965" spans="1:2" x14ac:dyDescent="0.25">
      <c r="A3965" s="924">
        <f t="shared" si="61"/>
        <v>3965</v>
      </c>
      <c r="B3965" s="924">
        <v>9.3000000000000007</v>
      </c>
    </row>
    <row r="3966" spans="1:2" x14ac:dyDescent="0.25">
      <c r="A3966" s="924">
        <f t="shared" si="61"/>
        <v>3966</v>
      </c>
      <c r="B3966" s="924">
        <v>9.3000000000000007</v>
      </c>
    </row>
    <row r="3967" spans="1:2" x14ac:dyDescent="0.25">
      <c r="A3967" s="924">
        <f t="shared" si="61"/>
        <v>3967</v>
      </c>
      <c r="B3967" s="924">
        <v>9.3000000000000007</v>
      </c>
    </row>
    <row r="3968" spans="1:2" x14ac:dyDescent="0.25">
      <c r="A3968" s="924">
        <f t="shared" si="61"/>
        <v>3968</v>
      </c>
      <c r="B3968" s="924">
        <v>9.3000000000000007</v>
      </c>
    </row>
    <row r="3969" spans="1:2" x14ac:dyDescent="0.25">
      <c r="A3969" s="924">
        <f t="shared" si="61"/>
        <v>3969</v>
      </c>
      <c r="B3969" s="924">
        <v>9.3000000000000007</v>
      </c>
    </row>
    <row r="3970" spans="1:2" x14ac:dyDescent="0.25">
      <c r="A3970" s="924">
        <f t="shared" si="61"/>
        <v>3970</v>
      </c>
      <c r="B3970" s="924">
        <v>9.3000000000000007</v>
      </c>
    </row>
    <row r="3971" spans="1:2" x14ac:dyDescent="0.25">
      <c r="A3971" s="924">
        <f t="shared" ref="A3971:A4034" si="62">A3970+1</f>
        <v>3971</v>
      </c>
      <c r="B3971" s="924">
        <v>9.3000000000000007</v>
      </c>
    </row>
    <row r="3972" spans="1:2" x14ac:dyDescent="0.25">
      <c r="A3972" s="924">
        <f t="shared" si="62"/>
        <v>3972</v>
      </c>
      <c r="B3972" s="924">
        <v>9.3000000000000007</v>
      </c>
    </row>
    <row r="3973" spans="1:2" x14ac:dyDescent="0.25">
      <c r="A3973" s="924">
        <f t="shared" si="62"/>
        <v>3973</v>
      </c>
      <c r="B3973" s="924">
        <v>9.3000000000000007</v>
      </c>
    </row>
    <row r="3974" spans="1:2" x14ac:dyDescent="0.25">
      <c r="A3974" s="924">
        <f t="shared" si="62"/>
        <v>3974</v>
      </c>
      <c r="B3974" s="924">
        <v>9.3000000000000007</v>
      </c>
    </row>
    <row r="3975" spans="1:2" x14ac:dyDescent="0.25">
      <c r="A3975" s="924">
        <f t="shared" si="62"/>
        <v>3975</v>
      </c>
      <c r="B3975" s="924">
        <v>9.3000000000000007</v>
      </c>
    </row>
    <row r="3976" spans="1:2" x14ac:dyDescent="0.25">
      <c r="A3976" s="924">
        <f t="shared" si="62"/>
        <v>3976</v>
      </c>
      <c r="B3976" s="924">
        <v>9.3000000000000007</v>
      </c>
    </row>
    <row r="3977" spans="1:2" x14ac:dyDescent="0.25">
      <c r="A3977" s="924">
        <f t="shared" si="62"/>
        <v>3977</v>
      </c>
      <c r="B3977" s="924">
        <v>9.3000000000000007</v>
      </c>
    </row>
    <row r="3978" spans="1:2" x14ac:dyDescent="0.25">
      <c r="A3978" s="924">
        <f t="shared" si="62"/>
        <v>3978</v>
      </c>
      <c r="B3978" s="924">
        <v>9.3000000000000007</v>
      </c>
    </row>
    <row r="3979" spans="1:2" x14ac:dyDescent="0.25">
      <c r="A3979" s="924">
        <f t="shared" si="62"/>
        <v>3979</v>
      </c>
      <c r="B3979" s="924">
        <v>9.3000000000000007</v>
      </c>
    </row>
    <row r="3980" spans="1:2" x14ac:dyDescent="0.25">
      <c r="A3980" s="924">
        <f t="shared" si="62"/>
        <v>3980</v>
      </c>
      <c r="B3980" s="924">
        <v>9.3000000000000007</v>
      </c>
    </row>
    <row r="3981" spans="1:2" x14ac:dyDescent="0.25">
      <c r="A3981" s="924">
        <f t="shared" si="62"/>
        <v>3981</v>
      </c>
      <c r="B3981" s="924">
        <v>9.3000000000000007</v>
      </c>
    </row>
    <row r="3982" spans="1:2" x14ac:dyDescent="0.25">
      <c r="A3982" s="924">
        <f t="shared" si="62"/>
        <v>3982</v>
      </c>
      <c r="B3982" s="924">
        <v>9.3000000000000007</v>
      </c>
    </row>
    <row r="3983" spans="1:2" x14ac:dyDescent="0.25">
      <c r="A3983" s="924">
        <f t="shared" si="62"/>
        <v>3983</v>
      </c>
      <c r="B3983" s="924">
        <v>9.3000000000000007</v>
      </c>
    </row>
    <row r="3984" spans="1:2" x14ac:dyDescent="0.25">
      <c r="A3984" s="924">
        <f t="shared" si="62"/>
        <v>3984</v>
      </c>
      <c r="B3984" s="924">
        <v>9.3000000000000007</v>
      </c>
    </row>
    <row r="3985" spans="1:2" x14ac:dyDescent="0.25">
      <c r="A3985" s="924">
        <f t="shared" si="62"/>
        <v>3985</v>
      </c>
      <c r="B3985" s="924">
        <v>9.3000000000000007</v>
      </c>
    </row>
    <row r="3986" spans="1:2" x14ac:dyDescent="0.25">
      <c r="A3986" s="924">
        <f t="shared" si="62"/>
        <v>3986</v>
      </c>
      <c r="B3986" s="924">
        <v>9.3000000000000007</v>
      </c>
    </row>
    <row r="3987" spans="1:2" x14ac:dyDescent="0.25">
      <c r="A3987" s="924">
        <f t="shared" si="62"/>
        <v>3987</v>
      </c>
      <c r="B3987" s="924">
        <v>9.3000000000000007</v>
      </c>
    </row>
    <row r="3988" spans="1:2" x14ac:dyDescent="0.25">
      <c r="A3988" s="924">
        <f t="shared" si="62"/>
        <v>3988</v>
      </c>
      <c r="B3988" s="924">
        <v>9.3000000000000007</v>
      </c>
    </row>
    <row r="3989" spans="1:2" x14ac:dyDescent="0.25">
      <c r="A3989" s="924">
        <f t="shared" si="62"/>
        <v>3989</v>
      </c>
      <c r="B3989" s="924">
        <v>9.3000000000000007</v>
      </c>
    </row>
    <row r="3990" spans="1:2" x14ac:dyDescent="0.25">
      <c r="A3990" s="924">
        <f t="shared" si="62"/>
        <v>3990</v>
      </c>
      <c r="B3990" s="924">
        <v>9.3000000000000007</v>
      </c>
    </row>
    <row r="3991" spans="1:2" x14ac:dyDescent="0.25">
      <c r="A3991" s="924">
        <f t="shared" si="62"/>
        <v>3991</v>
      </c>
      <c r="B3991" s="924">
        <v>9.3000000000000007</v>
      </c>
    </row>
    <row r="3992" spans="1:2" x14ac:dyDescent="0.25">
      <c r="A3992" s="924">
        <f t="shared" si="62"/>
        <v>3992</v>
      </c>
      <c r="B3992" s="924">
        <v>9.3000000000000007</v>
      </c>
    </row>
    <row r="3993" spans="1:2" x14ac:dyDescent="0.25">
      <c r="A3993" s="924">
        <f t="shared" si="62"/>
        <v>3993</v>
      </c>
      <c r="B3993" s="924">
        <v>9.3000000000000007</v>
      </c>
    </row>
    <row r="3994" spans="1:2" x14ac:dyDescent="0.25">
      <c r="A3994" s="924">
        <f t="shared" si="62"/>
        <v>3994</v>
      </c>
      <c r="B3994" s="924">
        <v>9.3000000000000007</v>
      </c>
    </row>
    <row r="3995" spans="1:2" x14ac:dyDescent="0.25">
      <c r="A3995" s="924">
        <f t="shared" si="62"/>
        <v>3995</v>
      </c>
      <c r="B3995" s="924">
        <v>9.4</v>
      </c>
    </row>
    <row r="3996" spans="1:2" x14ac:dyDescent="0.25">
      <c r="A3996" s="924">
        <f t="shared" si="62"/>
        <v>3996</v>
      </c>
      <c r="B3996" s="924">
        <v>9.4</v>
      </c>
    </row>
    <row r="3997" spans="1:2" x14ac:dyDescent="0.25">
      <c r="A3997" s="924">
        <f t="shared" si="62"/>
        <v>3997</v>
      </c>
      <c r="B3997" s="924">
        <v>9.4</v>
      </c>
    </row>
    <row r="3998" spans="1:2" x14ac:dyDescent="0.25">
      <c r="A3998" s="924">
        <f t="shared" si="62"/>
        <v>3998</v>
      </c>
      <c r="B3998" s="924">
        <v>9.4</v>
      </c>
    </row>
    <row r="3999" spans="1:2" x14ac:dyDescent="0.25">
      <c r="A3999" s="924">
        <f t="shared" si="62"/>
        <v>3999</v>
      </c>
      <c r="B3999" s="924">
        <v>9.4</v>
      </c>
    </row>
    <row r="4000" spans="1:2" x14ac:dyDescent="0.25">
      <c r="A4000" s="924">
        <f t="shared" si="62"/>
        <v>4000</v>
      </c>
      <c r="B4000" s="924">
        <v>9.4</v>
      </c>
    </row>
    <row r="4001" spans="1:2" x14ac:dyDescent="0.25">
      <c r="A4001" s="924">
        <f t="shared" si="62"/>
        <v>4001</v>
      </c>
      <c r="B4001" s="924">
        <v>9.4</v>
      </c>
    </row>
    <row r="4002" spans="1:2" x14ac:dyDescent="0.25">
      <c r="A4002" s="924">
        <f t="shared" si="62"/>
        <v>4002</v>
      </c>
      <c r="B4002" s="924">
        <v>9.4</v>
      </c>
    </row>
    <row r="4003" spans="1:2" x14ac:dyDescent="0.25">
      <c r="A4003" s="924">
        <f t="shared" si="62"/>
        <v>4003</v>
      </c>
      <c r="B4003" s="924">
        <v>9.4</v>
      </c>
    </row>
    <row r="4004" spans="1:2" x14ac:dyDescent="0.25">
      <c r="A4004" s="924">
        <f t="shared" si="62"/>
        <v>4004</v>
      </c>
      <c r="B4004" s="924">
        <v>9.4</v>
      </c>
    </row>
    <row r="4005" spans="1:2" x14ac:dyDescent="0.25">
      <c r="A4005" s="924">
        <f t="shared" si="62"/>
        <v>4005</v>
      </c>
      <c r="B4005" s="924">
        <v>9.4</v>
      </c>
    </row>
    <row r="4006" spans="1:2" x14ac:dyDescent="0.25">
      <c r="A4006" s="924">
        <f t="shared" si="62"/>
        <v>4006</v>
      </c>
      <c r="B4006" s="924">
        <v>9.4</v>
      </c>
    </row>
    <row r="4007" spans="1:2" x14ac:dyDescent="0.25">
      <c r="A4007" s="924">
        <f t="shared" si="62"/>
        <v>4007</v>
      </c>
      <c r="B4007" s="924">
        <v>9.4</v>
      </c>
    </row>
    <row r="4008" spans="1:2" x14ac:dyDescent="0.25">
      <c r="A4008" s="924">
        <f t="shared" si="62"/>
        <v>4008</v>
      </c>
      <c r="B4008" s="924">
        <v>9.4</v>
      </c>
    </row>
    <row r="4009" spans="1:2" x14ac:dyDescent="0.25">
      <c r="A4009" s="924">
        <f t="shared" si="62"/>
        <v>4009</v>
      </c>
      <c r="B4009" s="924">
        <v>9.4</v>
      </c>
    </row>
    <row r="4010" spans="1:2" x14ac:dyDescent="0.25">
      <c r="A4010" s="924">
        <f t="shared" si="62"/>
        <v>4010</v>
      </c>
      <c r="B4010" s="924">
        <v>9.4</v>
      </c>
    </row>
    <row r="4011" spans="1:2" x14ac:dyDescent="0.25">
      <c r="A4011" s="924">
        <f t="shared" si="62"/>
        <v>4011</v>
      </c>
      <c r="B4011" s="924">
        <v>9.4</v>
      </c>
    </row>
    <row r="4012" spans="1:2" x14ac:dyDescent="0.25">
      <c r="A4012" s="924">
        <f t="shared" si="62"/>
        <v>4012</v>
      </c>
      <c r="B4012" s="924">
        <v>9.4</v>
      </c>
    </row>
    <row r="4013" spans="1:2" x14ac:dyDescent="0.25">
      <c r="A4013" s="924">
        <f t="shared" si="62"/>
        <v>4013</v>
      </c>
      <c r="B4013" s="924">
        <v>9.4</v>
      </c>
    </row>
    <row r="4014" spans="1:2" x14ac:dyDescent="0.25">
      <c r="A4014" s="924">
        <f t="shared" si="62"/>
        <v>4014</v>
      </c>
      <c r="B4014" s="924">
        <v>9.4</v>
      </c>
    </row>
    <row r="4015" spans="1:2" x14ac:dyDescent="0.25">
      <c r="A4015" s="924">
        <f t="shared" si="62"/>
        <v>4015</v>
      </c>
      <c r="B4015" s="924">
        <v>9.4</v>
      </c>
    </row>
    <row r="4016" spans="1:2" x14ac:dyDescent="0.25">
      <c r="A4016" s="924">
        <f t="shared" si="62"/>
        <v>4016</v>
      </c>
      <c r="B4016" s="924">
        <v>9.4</v>
      </c>
    </row>
    <row r="4017" spans="1:2" x14ac:dyDescent="0.25">
      <c r="A4017" s="924">
        <f t="shared" si="62"/>
        <v>4017</v>
      </c>
      <c r="B4017" s="924">
        <v>9.4</v>
      </c>
    </row>
    <row r="4018" spans="1:2" x14ac:dyDescent="0.25">
      <c r="A4018" s="924">
        <f t="shared" si="62"/>
        <v>4018</v>
      </c>
      <c r="B4018" s="924">
        <v>9.4</v>
      </c>
    </row>
    <row r="4019" spans="1:2" x14ac:dyDescent="0.25">
      <c r="A4019" s="924">
        <f t="shared" si="62"/>
        <v>4019</v>
      </c>
      <c r="B4019" s="924">
        <v>9.4</v>
      </c>
    </row>
    <row r="4020" spans="1:2" x14ac:dyDescent="0.25">
      <c r="A4020" s="924">
        <f t="shared" si="62"/>
        <v>4020</v>
      </c>
      <c r="B4020" s="924">
        <v>9.4</v>
      </c>
    </row>
    <row r="4021" spans="1:2" x14ac:dyDescent="0.25">
      <c r="A4021" s="924">
        <f t="shared" si="62"/>
        <v>4021</v>
      </c>
      <c r="B4021" s="924">
        <v>9.4</v>
      </c>
    </row>
    <row r="4022" spans="1:2" x14ac:dyDescent="0.25">
      <c r="A4022" s="924">
        <f t="shared" si="62"/>
        <v>4022</v>
      </c>
      <c r="B4022" s="924">
        <v>9.4</v>
      </c>
    </row>
    <row r="4023" spans="1:2" x14ac:dyDescent="0.25">
      <c r="A4023" s="924">
        <f t="shared" si="62"/>
        <v>4023</v>
      </c>
      <c r="B4023" s="924">
        <v>9.4</v>
      </c>
    </row>
    <row r="4024" spans="1:2" x14ac:dyDescent="0.25">
      <c r="A4024" s="924">
        <f t="shared" si="62"/>
        <v>4024</v>
      </c>
      <c r="B4024" s="924">
        <v>9.4</v>
      </c>
    </row>
    <row r="4025" spans="1:2" x14ac:dyDescent="0.25">
      <c r="A4025" s="924">
        <f t="shared" si="62"/>
        <v>4025</v>
      </c>
      <c r="B4025" s="924">
        <v>9.4</v>
      </c>
    </row>
    <row r="4026" spans="1:2" x14ac:dyDescent="0.25">
      <c r="A4026" s="924">
        <f t="shared" si="62"/>
        <v>4026</v>
      </c>
      <c r="B4026" s="924">
        <v>9.4</v>
      </c>
    </row>
    <row r="4027" spans="1:2" x14ac:dyDescent="0.25">
      <c r="A4027" s="924">
        <f t="shared" si="62"/>
        <v>4027</v>
      </c>
      <c r="B4027" s="924">
        <v>9.4</v>
      </c>
    </row>
    <row r="4028" spans="1:2" x14ac:dyDescent="0.25">
      <c r="A4028" s="924">
        <f t="shared" si="62"/>
        <v>4028</v>
      </c>
      <c r="B4028" s="924">
        <v>9.4</v>
      </c>
    </row>
    <row r="4029" spans="1:2" x14ac:dyDescent="0.25">
      <c r="A4029" s="924">
        <f t="shared" si="62"/>
        <v>4029</v>
      </c>
      <c r="B4029" s="924">
        <v>9.4</v>
      </c>
    </row>
    <row r="4030" spans="1:2" x14ac:dyDescent="0.25">
      <c r="A4030" s="924">
        <f t="shared" si="62"/>
        <v>4030</v>
      </c>
      <c r="B4030" s="924">
        <v>9.4</v>
      </c>
    </row>
    <row r="4031" spans="1:2" x14ac:dyDescent="0.25">
      <c r="A4031" s="924">
        <f t="shared" si="62"/>
        <v>4031</v>
      </c>
      <c r="B4031" s="924">
        <v>9.4</v>
      </c>
    </row>
    <row r="4032" spans="1:2" x14ac:dyDescent="0.25">
      <c r="A4032" s="924">
        <f t="shared" si="62"/>
        <v>4032</v>
      </c>
      <c r="B4032" s="924">
        <v>9.4</v>
      </c>
    </row>
    <row r="4033" spans="1:2" x14ac:dyDescent="0.25">
      <c r="A4033" s="924">
        <f t="shared" si="62"/>
        <v>4033</v>
      </c>
      <c r="B4033" s="924">
        <v>9.4</v>
      </c>
    </row>
    <row r="4034" spans="1:2" x14ac:dyDescent="0.25">
      <c r="A4034" s="924">
        <f t="shared" si="62"/>
        <v>4034</v>
      </c>
      <c r="B4034" s="924">
        <v>9.4</v>
      </c>
    </row>
    <row r="4035" spans="1:2" x14ac:dyDescent="0.25">
      <c r="A4035" s="924">
        <f t="shared" ref="A4035:A4098" si="63">A4034+1</f>
        <v>4035</v>
      </c>
      <c r="B4035" s="924">
        <v>9.4</v>
      </c>
    </row>
    <row r="4036" spans="1:2" x14ac:dyDescent="0.25">
      <c r="A4036" s="924">
        <f t="shared" si="63"/>
        <v>4036</v>
      </c>
      <c r="B4036" s="924">
        <v>9.4</v>
      </c>
    </row>
    <row r="4037" spans="1:2" x14ac:dyDescent="0.25">
      <c r="A4037" s="924">
        <f t="shared" si="63"/>
        <v>4037</v>
      </c>
      <c r="B4037" s="924">
        <v>9.4</v>
      </c>
    </row>
    <row r="4038" spans="1:2" x14ac:dyDescent="0.25">
      <c r="A4038" s="924">
        <f t="shared" si="63"/>
        <v>4038</v>
      </c>
      <c r="B4038" s="924">
        <v>9.4</v>
      </c>
    </row>
    <row r="4039" spans="1:2" x14ac:dyDescent="0.25">
      <c r="A4039" s="924">
        <f t="shared" si="63"/>
        <v>4039</v>
      </c>
      <c r="B4039" s="924">
        <v>9.4</v>
      </c>
    </row>
    <row r="4040" spans="1:2" x14ac:dyDescent="0.25">
      <c r="A4040" s="924">
        <f t="shared" si="63"/>
        <v>4040</v>
      </c>
      <c r="B4040" s="924">
        <v>9.4</v>
      </c>
    </row>
    <row r="4041" spans="1:2" x14ac:dyDescent="0.25">
      <c r="A4041" s="924">
        <f t="shared" si="63"/>
        <v>4041</v>
      </c>
      <c r="B4041" s="924">
        <v>9.4</v>
      </c>
    </row>
    <row r="4042" spans="1:2" x14ac:dyDescent="0.25">
      <c r="A4042" s="924">
        <f t="shared" si="63"/>
        <v>4042</v>
      </c>
      <c r="B4042" s="924">
        <v>9.4</v>
      </c>
    </row>
    <row r="4043" spans="1:2" x14ac:dyDescent="0.25">
      <c r="A4043" s="924">
        <f t="shared" si="63"/>
        <v>4043</v>
      </c>
      <c r="B4043" s="924">
        <v>9.4</v>
      </c>
    </row>
    <row r="4044" spans="1:2" x14ac:dyDescent="0.25">
      <c r="A4044" s="924">
        <f t="shared" si="63"/>
        <v>4044</v>
      </c>
      <c r="B4044" s="924">
        <v>9.4</v>
      </c>
    </row>
    <row r="4045" spans="1:2" x14ac:dyDescent="0.25">
      <c r="A4045" s="924">
        <f t="shared" si="63"/>
        <v>4045</v>
      </c>
      <c r="B4045" s="924">
        <v>9.4</v>
      </c>
    </row>
    <row r="4046" spans="1:2" x14ac:dyDescent="0.25">
      <c r="A4046" s="924">
        <f t="shared" si="63"/>
        <v>4046</v>
      </c>
      <c r="B4046" s="924">
        <v>9.4</v>
      </c>
    </row>
    <row r="4047" spans="1:2" x14ac:dyDescent="0.25">
      <c r="A4047" s="924">
        <f t="shared" si="63"/>
        <v>4047</v>
      </c>
      <c r="B4047" s="924">
        <v>9.4</v>
      </c>
    </row>
    <row r="4048" spans="1:2" x14ac:dyDescent="0.25">
      <c r="A4048" s="924">
        <f t="shared" si="63"/>
        <v>4048</v>
      </c>
      <c r="B4048" s="924">
        <v>9.4</v>
      </c>
    </row>
    <row r="4049" spans="1:2" x14ac:dyDescent="0.25">
      <c r="A4049" s="924">
        <f t="shared" si="63"/>
        <v>4049</v>
      </c>
      <c r="B4049" s="924">
        <v>9.4</v>
      </c>
    </row>
    <row r="4050" spans="1:2" x14ac:dyDescent="0.25">
      <c r="A4050" s="924">
        <f t="shared" si="63"/>
        <v>4050</v>
      </c>
      <c r="B4050" s="924">
        <v>9.4</v>
      </c>
    </row>
    <row r="4051" spans="1:2" x14ac:dyDescent="0.25">
      <c r="A4051" s="924">
        <f t="shared" si="63"/>
        <v>4051</v>
      </c>
      <c r="B4051" s="924">
        <v>9.4</v>
      </c>
    </row>
    <row r="4052" spans="1:2" x14ac:dyDescent="0.25">
      <c r="A4052" s="924">
        <f t="shared" si="63"/>
        <v>4052</v>
      </c>
      <c r="B4052" s="924">
        <v>9.4</v>
      </c>
    </row>
    <row r="4053" spans="1:2" x14ac:dyDescent="0.25">
      <c r="A4053" s="924">
        <f t="shared" si="63"/>
        <v>4053</v>
      </c>
      <c r="B4053" s="924">
        <v>9.4</v>
      </c>
    </row>
    <row r="4054" spans="1:2" x14ac:dyDescent="0.25">
      <c r="A4054" s="924">
        <f t="shared" si="63"/>
        <v>4054</v>
      </c>
      <c r="B4054" s="924">
        <v>9.4</v>
      </c>
    </row>
    <row r="4055" spans="1:2" x14ac:dyDescent="0.25">
      <c r="A4055" s="924">
        <f t="shared" si="63"/>
        <v>4055</v>
      </c>
      <c r="B4055" s="924">
        <v>9.4</v>
      </c>
    </row>
    <row r="4056" spans="1:2" x14ac:dyDescent="0.25">
      <c r="A4056" s="924">
        <f t="shared" si="63"/>
        <v>4056</v>
      </c>
      <c r="B4056" s="924">
        <v>9.5</v>
      </c>
    </row>
    <row r="4057" spans="1:2" x14ac:dyDescent="0.25">
      <c r="A4057" s="924">
        <f t="shared" si="63"/>
        <v>4057</v>
      </c>
      <c r="B4057" s="924">
        <v>9.5</v>
      </c>
    </row>
    <row r="4058" spans="1:2" x14ac:dyDescent="0.25">
      <c r="A4058" s="924">
        <f t="shared" si="63"/>
        <v>4058</v>
      </c>
      <c r="B4058" s="924">
        <v>9.5</v>
      </c>
    </row>
    <row r="4059" spans="1:2" x14ac:dyDescent="0.25">
      <c r="A4059" s="924">
        <f t="shared" si="63"/>
        <v>4059</v>
      </c>
      <c r="B4059" s="924">
        <v>9.5</v>
      </c>
    </row>
    <row r="4060" spans="1:2" x14ac:dyDescent="0.25">
      <c r="A4060" s="924">
        <f t="shared" si="63"/>
        <v>4060</v>
      </c>
      <c r="B4060" s="924">
        <v>9.5</v>
      </c>
    </row>
    <row r="4061" spans="1:2" x14ac:dyDescent="0.25">
      <c r="A4061" s="924">
        <f t="shared" si="63"/>
        <v>4061</v>
      </c>
      <c r="B4061" s="924">
        <v>9.5</v>
      </c>
    </row>
    <row r="4062" spans="1:2" x14ac:dyDescent="0.25">
      <c r="A4062" s="924">
        <f t="shared" si="63"/>
        <v>4062</v>
      </c>
      <c r="B4062" s="924">
        <v>9.5</v>
      </c>
    </row>
    <row r="4063" spans="1:2" x14ac:dyDescent="0.25">
      <c r="A4063" s="924">
        <f t="shared" si="63"/>
        <v>4063</v>
      </c>
      <c r="B4063" s="924">
        <v>9.5</v>
      </c>
    </row>
    <row r="4064" spans="1:2" x14ac:dyDescent="0.25">
      <c r="A4064" s="924">
        <f t="shared" si="63"/>
        <v>4064</v>
      </c>
      <c r="B4064" s="924">
        <v>9.5</v>
      </c>
    </row>
    <row r="4065" spans="1:2" x14ac:dyDescent="0.25">
      <c r="A4065" s="924">
        <f t="shared" si="63"/>
        <v>4065</v>
      </c>
      <c r="B4065" s="924">
        <v>9.5</v>
      </c>
    </row>
    <row r="4066" spans="1:2" x14ac:dyDescent="0.25">
      <c r="A4066" s="924">
        <f t="shared" si="63"/>
        <v>4066</v>
      </c>
      <c r="B4066" s="924">
        <v>9.5</v>
      </c>
    </row>
    <row r="4067" spans="1:2" x14ac:dyDescent="0.25">
      <c r="A4067" s="924">
        <f t="shared" si="63"/>
        <v>4067</v>
      </c>
      <c r="B4067" s="924">
        <v>9.5</v>
      </c>
    </row>
    <row r="4068" spans="1:2" x14ac:dyDescent="0.25">
      <c r="A4068" s="924">
        <f t="shared" si="63"/>
        <v>4068</v>
      </c>
      <c r="B4068" s="924">
        <v>9.5</v>
      </c>
    </row>
    <row r="4069" spans="1:2" x14ac:dyDescent="0.25">
      <c r="A4069" s="924">
        <f t="shared" si="63"/>
        <v>4069</v>
      </c>
      <c r="B4069" s="924">
        <v>9.5</v>
      </c>
    </row>
    <row r="4070" spans="1:2" x14ac:dyDescent="0.25">
      <c r="A4070" s="924">
        <f t="shared" si="63"/>
        <v>4070</v>
      </c>
      <c r="B4070" s="924">
        <v>9.5</v>
      </c>
    </row>
    <row r="4071" spans="1:2" x14ac:dyDescent="0.25">
      <c r="A4071" s="924">
        <f t="shared" si="63"/>
        <v>4071</v>
      </c>
      <c r="B4071" s="924">
        <v>9.5</v>
      </c>
    </row>
    <row r="4072" spans="1:2" x14ac:dyDescent="0.25">
      <c r="A4072" s="924">
        <f t="shared" si="63"/>
        <v>4072</v>
      </c>
      <c r="B4072" s="924">
        <v>9.5</v>
      </c>
    </row>
    <row r="4073" spans="1:2" x14ac:dyDescent="0.25">
      <c r="A4073" s="924">
        <f t="shared" si="63"/>
        <v>4073</v>
      </c>
      <c r="B4073" s="924">
        <v>9.5</v>
      </c>
    </row>
    <row r="4074" spans="1:2" x14ac:dyDescent="0.25">
      <c r="A4074" s="924">
        <f t="shared" si="63"/>
        <v>4074</v>
      </c>
      <c r="B4074" s="924">
        <v>9.5</v>
      </c>
    </row>
    <row r="4075" spans="1:2" x14ac:dyDescent="0.25">
      <c r="A4075" s="924">
        <f t="shared" si="63"/>
        <v>4075</v>
      </c>
      <c r="B4075" s="924">
        <v>9.5</v>
      </c>
    </row>
    <row r="4076" spans="1:2" x14ac:dyDescent="0.25">
      <c r="A4076" s="924">
        <f t="shared" si="63"/>
        <v>4076</v>
      </c>
      <c r="B4076" s="924">
        <v>9.5</v>
      </c>
    </row>
    <row r="4077" spans="1:2" x14ac:dyDescent="0.25">
      <c r="A4077" s="924">
        <f t="shared" si="63"/>
        <v>4077</v>
      </c>
      <c r="B4077" s="924">
        <v>9.5</v>
      </c>
    </row>
    <row r="4078" spans="1:2" x14ac:dyDescent="0.25">
      <c r="A4078" s="924">
        <f t="shared" si="63"/>
        <v>4078</v>
      </c>
      <c r="B4078" s="924">
        <v>9.5</v>
      </c>
    </row>
    <row r="4079" spans="1:2" x14ac:dyDescent="0.25">
      <c r="A4079" s="924">
        <f t="shared" si="63"/>
        <v>4079</v>
      </c>
      <c r="B4079" s="924">
        <v>9.5</v>
      </c>
    </row>
    <row r="4080" spans="1:2" x14ac:dyDescent="0.25">
      <c r="A4080" s="924">
        <f t="shared" si="63"/>
        <v>4080</v>
      </c>
      <c r="B4080" s="924">
        <v>9.5</v>
      </c>
    </row>
    <row r="4081" spans="1:2" x14ac:dyDescent="0.25">
      <c r="A4081" s="924">
        <f t="shared" si="63"/>
        <v>4081</v>
      </c>
      <c r="B4081" s="924">
        <v>9.5</v>
      </c>
    </row>
    <row r="4082" spans="1:2" x14ac:dyDescent="0.25">
      <c r="A4082" s="924">
        <f t="shared" si="63"/>
        <v>4082</v>
      </c>
      <c r="B4082" s="924">
        <v>9.5</v>
      </c>
    </row>
    <row r="4083" spans="1:2" x14ac:dyDescent="0.25">
      <c r="A4083" s="924">
        <f t="shared" si="63"/>
        <v>4083</v>
      </c>
      <c r="B4083" s="924">
        <v>9.5</v>
      </c>
    </row>
    <row r="4084" spans="1:2" x14ac:dyDescent="0.25">
      <c r="A4084" s="924">
        <f t="shared" si="63"/>
        <v>4084</v>
      </c>
      <c r="B4084" s="924">
        <v>9.5</v>
      </c>
    </row>
    <row r="4085" spans="1:2" x14ac:dyDescent="0.25">
      <c r="A4085" s="924">
        <f t="shared" si="63"/>
        <v>4085</v>
      </c>
      <c r="B4085" s="924">
        <v>9.5</v>
      </c>
    </row>
    <row r="4086" spans="1:2" x14ac:dyDescent="0.25">
      <c r="A4086" s="924">
        <f t="shared" si="63"/>
        <v>4086</v>
      </c>
      <c r="B4086" s="924">
        <v>9.5</v>
      </c>
    </row>
    <row r="4087" spans="1:2" x14ac:dyDescent="0.25">
      <c r="A4087" s="924">
        <f t="shared" si="63"/>
        <v>4087</v>
      </c>
      <c r="B4087" s="924">
        <v>9.5</v>
      </c>
    </row>
    <row r="4088" spans="1:2" x14ac:dyDescent="0.25">
      <c r="A4088" s="924">
        <f t="shared" si="63"/>
        <v>4088</v>
      </c>
      <c r="B4088" s="924">
        <v>9.5</v>
      </c>
    </row>
    <row r="4089" spans="1:2" x14ac:dyDescent="0.25">
      <c r="A4089" s="924">
        <f t="shared" si="63"/>
        <v>4089</v>
      </c>
      <c r="B4089" s="924">
        <v>9.5</v>
      </c>
    </row>
    <row r="4090" spans="1:2" x14ac:dyDescent="0.25">
      <c r="A4090" s="924">
        <f t="shared" si="63"/>
        <v>4090</v>
      </c>
      <c r="B4090" s="924">
        <v>9.5</v>
      </c>
    </row>
    <row r="4091" spans="1:2" x14ac:dyDescent="0.25">
      <c r="A4091" s="924">
        <f t="shared" si="63"/>
        <v>4091</v>
      </c>
      <c r="B4091" s="924">
        <v>9.5</v>
      </c>
    </row>
    <row r="4092" spans="1:2" x14ac:dyDescent="0.25">
      <c r="A4092" s="924">
        <f t="shared" si="63"/>
        <v>4092</v>
      </c>
      <c r="B4092" s="924">
        <v>9.5</v>
      </c>
    </row>
    <row r="4093" spans="1:2" x14ac:dyDescent="0.25">
      <c r="A4093" s="924">
        <f t="shared" si="63"/>
        <v>4093</v>
      </c>
      <c r="B4093" s="924">
        <v>9.5</v>
      </c>
    </row>
    <row r="4094" spans="1:2" x14ac:dyDescent="0.25">
      <c r="A4094" s="924">
        <f t="shared" si="63"/>
        <v>4094</v>
      </c>
      <c r="B4094" s="924">
        <v>9.5</v>
      </c>
    </row>
    <row r="4095" spans="1:2" x14ac:dyDescent="0.25">
      <c r="A4095" s="924">
        <f t="shared" si="63"/>
        <v>4095</v>
      </c>
      <c r="B4095" s="924">
        <v>9.5</v>
      </c>
    </row>
    <row r="4096" spans="1:2" x14ac:dyDescent="0.25">
      <c r="A4096" s="924">
        <f t="shared" si="63"/>
        <v>4096</v>
      </c>
      <c r="B4096" s="924">
        <v>9.6</v>
      </c>
    </row>
    <row r="4097" spans="1:2" x14ac:dyDescent="0.25">
      <c r="A4097" s="924">
        <f t="shared" si="63"/>
        <v>4097</v>
      </c>
      <c r="B4097" s="924">
        <v>9.6</v>
      </c>
    </row>
    <row r="4098" spans="1:2" x14ac:dyDescent="0.25">
      <c r="A4098" s="924">
        <f t="shared" si="63"/>
        <v>4098</v>
      </c>
      <c r="B4098" s="924">
        <v>9.6</v>
      </c>
    </row>
    <row r="4099" spans="1:2" x14ac:dyDescent="0.25">
      <c r="A4099" s="924">
        <f t="shared" ref="A4099:A4162" si="64">A4098+1</f>
        <v>4099</v>
      </c>
      <c r="B4099" s="924">
        <v>9.6</v>
      </c>
    </row>
    <row r="4100" spans="1:2" x14ac:dyDescent="0.25">
      <c r="A4100" s="924">
        <f t="shared" si="64"/>
        <v>4100</v>
      </c>
      <c r="B4100" s="924">
        <v>9.6</v>
      </c>
    </row>
    <row r="4101" spans="1:2" x14ac:dyDescent="0.25">
      <c r="A4101" s="924">
        <f t="shared" si="64"/>
        <v>4101</v>
      </c>
      <c r="B4101" s="924">
        <v>9.6</v>
      </c>
    </row>
    <row r="4102" spans="1:2" x14ac:dyDescent="0.25">
      <c r="A4102" s="924">
        <f t="shared" si="64"/>
        <v>4102</v>
      </c>
      <c r="B4102" s="924">
        <v>9.6</v>
      </c>
    </row>
    <row r="4103" spans="1:2" x14ac:dyDescent="0.25">
      <c r="A4103" s="924">
        <f t="shared" si="64"/>
        <v>4103</v>
      </c>
      <c r="B4103" s="924">
        <v>9.6</v>
      </c>
    </row>
    <row r="4104" spans="1:2" x14ac:dyDescent="0.25">
      <c r="A4104" s="924">
        <f t="shared" si="64"/>
        <v>4104</v>
      </c>
      <c r="B4104" s="924">
        <v>9.6</v>
      </c>
    </row>
    <row r="4105" spans="1:2" x14ac:dyDescent="0.25">
      <c r="A4105" s="924">
        <f t="shared" si="64"/>
        <v>4105</v>
      </c>
      <c r="B4105" s="924">
        <v>9.6</v>
      </c>
    </row>
    <row r="4106" spans="1:2" x14ac:dyDescent="0.25">
      <c r="A4106" s="924">
        <f t="shared" si="64"/>
        <v>4106</v>
      </c>
      <c r="B4106" s="924">
        <v>9.6</v>
      </c>
    </row>
    <row r="4107" spans="1:2" x14ac:dyDescent="0.25">
      <c r="A4107" s="924">
        <f t="shared" si="64"/>
        <v>4107</v>
      </c>
      <c r="B4107" s="924">
        <v>9.6</v>
      </c>
    </row>
    <row r="4108" spans="1:2" x14ac:dyDescent="0.25">
      <c r="A4108" s="924">
        <f t="shared" si="64"/>
        <v>4108</v>
      </c>
      <c r="B4108" s="924">
        <v>9.6</v>
      </c>
    </row>
    <row r="4109" spans="1:2" x14ac:dyDescent="0.25">
      <c r="A4109" s="924">
        <f t="shared" si="64"/>
        <v>4109</v>
      </c>
      <c r="B4109" s="924">
        <v>9.6</v>
      </c>
    </row>
    <row r="4110" spans="1:2" x14ac:dyDescent="0.25">
      <c r="A4110" s="924">
        <f t="shared" si="64"/>
        <v>4110</v>
      </c>
      <c r="B4110" s="924">
        <v>9.6</v>
      </c>
    </row>
    <row r="4111" spans="1:2" x14ac:dyDescent="0.25">
      <c r="A4111" s="924">
        <f t="shared" si="64"/>
        <v>4111</v>
      </c>
      <c r="B4111" s="924">
        <v>9.6</v>
      </c>
    </row>
    <row r="4112" spans="1:2" x14ac:dyDescent="0.25">
      <c r="A4112" s="924">
        <f t="shared" si="64"/>
        <v>4112</v>
      </c>
      <c r="B4112" s="924">
        <v>9.6</v>
      </c>
    </row>
    <row r="4113" spans="1:2" x14ac:dyDescent="0.25">
      <c r="A4113" s="924">
        <f t="shared" si="64"/>
        <v>4113</v>
      </c>
      <c r="B4113" s="924">
        <v>9.6</v>
      </c>
    </row>
    <row r="4114" spans="1:2" x14ac:dyDescent="0.25">
      <c r="A4114" s="924">
        <f t="shared" si="64"/>
        <v>4114</v>
      </c>
      <c r="B4114" s="924">
        <v>9.6</v>
      </c>
    </row>
    <row r="4115" spans="1:2" x14ac:dyDescent="0.25">
      <c r="A4115" s="924">
        <f t="shared" si="64"/>
        <v>4115</v>
      </c>
      <c r="B4115" s="924">
        <v>9.6</v>
      </c>
    </row>
    <row r="4116" spans="1:2" x14ac:dyDescent="0.25">
      <c r="A4116" s="924">
        <f t="shared" si="64"/>
        <v>4116</v>
      </c>
      <c r="B4116" s="924">
        <v>9.6</v>
      </c>
    </row>
    <row r="4117" spans="1:2" x14ac:dyDescent="0.25">
      <c r="A4117" s="924">
        <f t="shared" si="64"/>
        <v>4117</v>
      </c>
      <c r="B4117" s="924">
        <v>9.6</v>
      </c>
    </row>
    <row r="4118" spans="1:2" x14ac:dyDescent="0.25">
      <c r="A4118" s="924">
        <f t="shared" si="64"/>
        <v>4118</v>
      </c>
      <c r="B4118" s="924">
        <v>9.6</v>
      </c>
    </row>
    <row r="4119" spans="1:2" x14ac:dyDescent="0.25">
      <c r="A4119" s="924">
        <f t="shared" si="64"/>
        <v>4119</v>
      </c>
      <c r="B4119" s="924">
        <v>9.6</v>
      </c>
    </row>
    <row r="4120" spans="1:2" x14ac:dyDescent="0.25">
      <c r="A4120" s="924">
        <f t="shared" si="64"/>
        <v>4120</v>
      </c>
      <c r="B4120" s="924">
        <v>9.6</v>
      </c>
    </row>
    <row r="4121" spans="1:2" x14ac:dyDescent="0.25">
      <c r="A4121" s="924">
        <f t="shared" si="64"/>
        <v>4121</v>
      </c>
      <c r="B4121" s="924">
        <v>9.6</v>
      </c>
    </row>
    <row r="4122" spans="1:2" x14ac:dyDescent="0.25">
      <c r="A4122" s="924">
        <f t="shared" si="64"/>
        <v>4122</v>
      </c>
      <c r="B4122" s="924">
        <v>9.6</v>
      </c>
    </row>
    <row r="4123" spans="1:2" x14ac:dyDescent="0.25">
      <c r="A4123" s="924">
        <f t="shared" si="64"/>
        <v>4123</v>
      </c>
      <c r="B4123" s="924">
        <v>9.6</v>
      </c>
    </row>
    <row r="4124" spans="1:2" x14ac:dyDescent="0.25">
      <c r="A4124" s="924">
        <f t="shared" si="64"/>
        <v>4124</v>
      </c>
      <c r="B4124" s="924">
        <v>9.6</v>
      </c>
    </row>
    <row r="4125" spans="1:2" x14ac:dyDescent="0.25">
      <c r="A4125" s="924">
        <f t="shared" si="64"/>
        <v>4125</v>
      </c>
      <c r="B4125" s="924">
        <v>9.6</v>
      </c>
    </row>
    <row r="4126" spans="1:2" x14ac:dyDescent="0.25">
      <c r="A4126" s="924">
        <f t="shared" si="64"/>
        <v>4126</v>
      </c>
      <c r="B4126" s="924">
        <v>9.6</v>
      </c>
    </row>
    <row r="4127" spans="1:2" x14ac:dyDescent="0.25">
      <c r="A4127" s="924">
        <f t="shared" si="64"/>
        <v>4127</v>
      </c>
      <c r="B4127" s="924">
        <v>9.6</v>
      </c>
    </row>
    <row r="4128" spans="1:2" x14ac:dyDescent="0.25">
      <c r="A4128" s="924">
        <f t="shared" si="64"/>
        <v>4128</v>
      </c>
      <c r="B4128" s="924">
        <v>9.6</v>
      </c>
    </row>
    <row r="4129" spans="1:2" x14ac:dyDescent="0.25">
      <c r="A4129" s="924">
        <f t="shared" si="64"/>
        <v>4129</v>
      </c>
      <c r="B4129" s="924">
        <v>9.6</v>
      </c>
    </row>
    <row r="4130" spans="1:2" x14ac:dyDescent="0.25">
      <c r="A4130" s="924">
        <f t="shared" si="64"/>
        <v>4130</v>
      </c>
      <c r="B4130" s="924">
        <v>9.6</v>
      </c>
    </row>
    <row r="4131" spans="1:2" x14ac:dyDescent="0.25">
      <c r="A4131" s="924">
        <f t="shared" si="64"/>
        <v>4131</v>
      </c>
      <c r="B4131" s="924">
        <v>9.6</v>
      </c>
    </row>
    <row r="4132" spans="1:2" x14ac:dyDescent="0.25">
      <c r="A4132" s="924">
        <f t="shared" si="64"/>
        <v>4132</v>
      </c>
      <c r="B4132" s="924">
        <v>9.6</v>
      </c>
    </row>
    <row r="4133" spans="1:2" x14ac:dyDescent="0.25">
      <c r="A4133" s="924">
        <f t="shared" si="64"/>
        <v>4133</v>
      </c>
      <c r="B4133" s="924">
        <v>9.6</v>
      </c>
    </row>
    <row r="4134" spans="1:2" x14ac:dyDescent="0.25">
      <c r="A4134" s="924">
        <f t="shared" si="64"/>
        <v>4134</v>
      </c>
      <c r="B4134" s="924">
        <v>9.6</v>
      </c>
    </row>
    <row r="4135" spans="1:2" x14ac:dyDescent="0.25">
      <c r="A4135" s="924">
        <f t="shared" si="64"/>
        <v>4135</v>
      </c>
      <c r="B4135" s="924">
        <v>9.6</v>
      </c>
    </row>
    <row r="4136" spans="1:2" x14ac:dyDescent="0.25">
      <c r="A4136" s="924">
        <f t="shared" si="64"/>
        <v>4136</v>
      </c>
      <c r="B4136" s="924">
        <v>9.6</v>
      </c>
    </row>
    <row r="4137" spans="1:2" x14ac:dyDescent="0.25">
      <c r="A4137" s="924">
        <f t="shared" si="64"/>
        <v>4137</v>
      </c>
      <c r="B4137" s="924">
        <v>9.6</v>
      </c>
    </row>
    <row r="4138" spans="1:2" x14ac:dyDescent="0.25">
      <c r="A4138" s="924">
        <f t="shared" si="64"/>
        <v>4138</v>
      </c>
      <c r="B4138" s="924">
        <v>9.6</v>
      </c>
    </row>
    <row r="4139" spans="1:2" x14ac:dyDescent="0.25">
      <c r="A4139" s="924">
        <f t="shared" si="64"/>
        <v>4139</v>
      </c>
      <c r="B4139" s="924">
        <v>9.6</v>
      </c>
    </row>
    <row r="4140" spans="1:2" x14ac:dyDescent="0.25">
      <c r="A4140" s="924">
        <f t="shared" si="64"/>
        <v>4140</v>
      </c>
      <c r="B4140" s="924">
        <v>9.6</v>
      </c>
    </row>
    <row r="4141" spans="1:2" x14ac:dyDescent="0.25">
      <c r="A4141" s="924">
        <f t="shared" si="64"/>
        <v>4141</v>
      </c>
      <c r="B4141" s="924">
        <v>9.6</v>
      </c>
    </row>
    <row r="4142" spans="1:2" x14ac:dyDescent="0.25">
      <c r="A4142" s="924">
        <f t="shared" si="64"/>
        <v>4142</v>
      </c>
      <c r="B4142" s="924">
        <v>9.6</v>
      </c>
    </row>
    <row r="4143" spans="1:2" x14ac:dyDescent="0.25">
      <c r="A4143" s="924">
        <f t="shared" si="64"/>
        <v>4143</v>
      </c>
      <c r="B4143" s="924">
        <v>9.6</v>
      </c>
    </row>
    <row r="4144" spans="1:2" x14ac:dyDescent="0.25">
      <c r="A4144" s="924">
        <f t="shared" si="64"/>
        <v>4144</v>
      </c>
      <c r="B4144" s="924">
        <v>9.6</v>
      </c>
    </row>
    <row r="4145" spans="1:2" x14ac:dyDescent="0.25">
      <c r="A4145" s="924">
        <f t="shared" si="64"/>
        <v>4145</v>
      </c>
      <c r="B4145" s="924">
        <v>9.6</v>
      </c>
    </row>
    <row r="4146" spans="1:2" x14ac:dyDescent="0.25">
      <c r="A4146" s="924">
        <f t="shared" si="64"/>
        <v>4146</v>
      </c>
      <c r="B4146" s="924">
        <v>9.6999999999999993</v>
      </c>
    </row>
    <row r="4147" spans="1:2" x14ac:dyDescent="0.25">
      <c r="A4147" s="924">
        <f t="shared" si="64"/>
        <v>4147</v>
      </c>
      <c r="B4147" s="924">
        <v>9.6999999999999993</v>
      </c>
    </row>
    <row r="4148" spans="1:2" x14ac:dyDescent="0.25">
      <c r="A4148" s="924">
        <f t="shared" si="64"/>
        <v>4148</v>
      </c>
      <c r="B4148" s="924">
        <v>9.6999999999999993</v>
      </c>
    </row>
    <row r="4149" spans="1:2" x14ac:dyDescent="0.25">
      <c r="A4149" s="924">
        <f t="shared" si="64"/>
        <v>4149</v>
      </c>
      <c r="B4149" s="924">
        <v>9.6999999999999993</v>
      </c>
    </row>
    <row r="4150" spans="1:2" x14ac:dyDescent="0.25">
      <c r="A4150" s="924">
        <f t="shared" si="64"/>
        <v>4150</v>
      </c>
      <c r="B4150" s="924">
        <v>9.6999999999999993</v>
      </c>
    </row>
    <row r="4151" spans="1:2" x14ac:dyDescent="0.25">
      <c r="A4151" s="924">
        <f t="shared" si="64"/>
        <v>4151</v>
      </c>
      <c r="B4151" s="924">
        <v>9.6999999999999993</v>
      </c>
    </row>
    <row r="4152" spans="1:2" x14ac:dyDescent="0.25">
      <c r="A4152" s="924">
        <f t="shared" si="64"/>
        <v>4152</v>
      </c>
      <c r="B4152" s="924">
        <v>9.6999999999999993</v>
      </c>
    </row>
    <row r="4153" spans="1:2" x14ac:dyDescent="0.25">
      <c r="A4153" s="924">
        <f t="shared" si="64"/>
        <v>4153</v>
      </c>
      <c r="B4153" s="924">
        <v>9.6999999999999993</v>
      </c>
    </row>
    <row r="4154" spans="1:2" x14ac:dyDescent="0.25">
      <c r="A4154" s="924">
        <f t="shared" si="64"/>
        <v>4154</v>
      </c>
      <c r="B4154" s="924">
        <v>9.6999999999999993</v>
      </c>
    </row>
    <row r="4155" spans="1:2" x14ac:dyDescent="0.25">
      <c r="A4155" s="924">
        <f t="shared" si="64"/>
        <v>4155</v>
      </c>
      <c r="B4155" s="924">
        <v>9.6999999999999993</v>
      </c>
    </row>
    <row r="4156" spans="1:2" x14ac:dyDescent="0.25">
      <c r="A4156" s="924">
        <f t="shared" si="64"/>
        <v>4156</v>
      </c>
      <c r="B4156" s="924">
        <v>9.6999999999999993</v>
      </c>
    </row>
    <row r="4157" spans="1:2" x14ac:dyDescent="0.25">
      <c r="A4157" s="924">
        <f t="shared" si="64"/>
        <v>4157</v>
      </c>
      <c r="B4157" s="924">
        <v>9.6999999999999993</v>
      </c>
    </row>
    <row r="4158" spans="1:2" x14ac:dyDescent="0.25">
      <c r="A4158" s="924">
        <f t="shared" si="64"/>
        <v>4158</v>
      </c>
      <c r="B4158" s="924">
        <v>9.6999999999999993</v>
      </c>
    </row>
    <row r="4159" spans="1:2" x14ac:dyDescent="0.25">
      <c r="A4159" s="924">
        <f t="shared" si="64"/>
        <v>4159</v>
      </c>
      <c r="B4159" s="924">
        <v>9.6999999999999993</v>
      </c>
    </row>
    <row r="4160" spans="1:2" x14ac:dyDescent="0.25">
      <c r="A4160" s="924">
        <f t="shared" si="64"/>
        <v>4160</v>
      </c>
      <c r="B4160" s="924">
        <v>9.6999999999999993</v>
      </c>
    </row>
    <row r="4161" spans="1:2" x14ac:dyDescent="0.25">
      <c r="A4161" s="924">
        <f t="shared" si="64"/>
        <v>4161</v>
      </c>
      <c r="B4161" s="924">
        <v>9.6999999999999993</v>
      </c>
    </row>
    <row r="4162" spans="1:2" x14ac:dyDescent="0.25">
      <c r="A4162" s="924">
        <f t="shared" si="64"/>
        <v>4162</v>
      </c>
      <c r="B4162" s="924">
        <v>9.6999999999999993</v>
      </c>
    </row>
    <row r="4163" spans="1:2" x14ac:dyDescent="0.25">
      <c r="A4163" s="924">
        <f t="shared" ref="A4163:A4226" si="65">A4162+1</f>
        <v>4163</v>
      </c>
      <c r="B4163" s="924">
        <v>9.6999999999999993</v>
      </c>
    </row>
    <row r="4164" spans="1:2" x14ac:dyDescent="0.25">
      <c r="A4164" s="924">
        <f t="shared" si="65"/>
        <v>4164</v>
      </c>
      <c r="B4164" s="924">
        <v>9.6999999999999993</v>
      </c>
    </row>
    <row r="4165" spans="1:2" x14ac:dyDescent="0.25">
      <c r="A4165" s="924">
        <f t="shared" si="65"/>
        <v>4165</v>
      </c>
      <c r="B4165" s="924">
        <v>9.6999999999999993</v>
      </c>
    </row>
    <row r="4166" spans="1:2" x14ac:dyDescent="0.25">
      <c r="A4166" s="924">
        <f t="shared" si="65"/>
        <v>4166</v>
      </c>
      <c r="B4166" s="924">
        <v>9.6999999999999993</v>
      </c>
    </row>
    <row r="4167" spans="1:2" x14ac:dyDescent="0.25">
      <c r="A4167" s="924">
        <f t="shared" si="65"/>
        <v>4167</v>
      </c>
      <c r="B4167" s="924">
        <v>9.6999999999999993</v>
      </c>
    </row>
    <row r="4168" spans="1:2" x14ac:dyDescent="0.25">
      <c r="A4168" s="924">
        <f t="shared" si="65"/>
        <v>4168</v>
      </c>
      <c r="B4168" s="924">
        <v>9.6999999999999993</v>
      </c>
    </row>
    <row r="4169" spans="1:2" x14ac:dyDescent="0.25">
      <c r="A4169" s="924">
        <f t="shared" si="65"/>
        <v>4169</v>
      </c>
      <c r="B4169" s="924">
        <v>9.6999999999999993</v>
      </c>
    </row>
    <row r="4170" spans="1:2" x14ac:dyDescent="0.25">
      <c r="A4170" s="924">
        <f t="shared" si="65"/>
        <v>4170</v>
      </c>
      <c r="B4170" s="924">
        <v>9.6999999999999993</v>
      </c>
    </row>
    <row r="4171" spans="1:2" x14ac:dyDescent="0.25">
      <c r="A4171" s="924">
        <f t="shared" si="65"/>
        <v>4171</v>
      </c>
      <c r="B4171" s="924">
        <v>9.6999999999999993</v>
      </c>
    </row>
    <row r="4172" spans="1:2" x14ac:dyDescent="0.25">
      <c r="A4172" s="924">
        <f t="shared" si="65"/>
        <v>4172</v>
      </c>
      <c r="B4172" s="924">
        <v>9.6999999999999993</v>
      </c>
    </row>
    <row r="4173" spans="1:2" x14ac:dyDescent="0.25">
      <c r="A4173" s="924">
        <f t="shared" si="65"/>
        <v>4173</v>
      </c>
      <c r="B4173" s="924">
        <v>9.6999999999999993</v>
      </c>
    </row>
    <row r="4174" spans="1:2" x14ac:dyDescent="0.25">
      <c r="A4174" s="924">
        <f t="shared" si="65"/>
        <v>4174</v>
      </c>
      <c r="B4174" s="924">
        <v>9.6999999999999993</v>
      </c>
    </row>
    <row r="4175" spans="1:2" x14ac:dyDescent="0.25">
      <c r="A4175" s="924">
        <f t="shared" si="65"/>
        <v>4175</v>
      </c>
      <c r="B4175" s="924">
        <v>9.6999999999999993</v>
      </c>
    </row>
    <row r="4176" spans="1:2" x14ac:dyDescent="0.25">
      <c r="A4176" s="924">
        <f t="shared" si="65"/>
        <v>4176</v>
      </c>
      <c r="B4176" s="924">
        <v>9.6999999999999993</v>
      </c>
    </row>
    <row r="4177" spans="1:2" x14ac:dyDescent="0.25">
      <c r="A4177" s="924">
        <f t="shared" si="65"/>
        <v>4177</v>
      </c>
      <c r="B4177" s="924">
        <v>9.6999999999999993</v>
      </c>
    </row>
    <row r="4178" spans="1:2" x14ac:dyDescent="0.25">
      <c r="A4178" s="924">
        <f t="shared" si="65"/>
        <v>4178</v>
      </c>
      <c r="B4178" s="924">
        <v>9.6999999999999993</v>
      </c>
    </row>
    <row r="4179" spans="1:2" x14ac:dyDescent="0.25">
      <c r="A4179" s="924">
        <f t="shared" si="65"/>
        <v>4179</v>
      </c>
      <c r="B4179" s="924">
        <v>9.6999999999999993</v>
      </c>
    </row>
    <row r="4180" spans="1:2" x14ac:dyDescent="0.25">
      <c r="A4180" s="924">
        <f t="shared" si="65"/>
        <v>4180</v>
      </c>
      <c r="B4180" s="924">
        <v>9.6999999999999993</v>
      </c>
    </row>
    <row r="4181" spans="1:2" x14ac:dyDescent="0.25">
      <c r="A4181" s="924">
        <f t="shared" si="65"/>
        <v>4181</v>
      </c>
      <c r="B4181" s="924">
        <v>9.6999999999999993</v>
      </c>
    </row>
    <row r="4182" spans="1:2" x14ac:dyDescent="0.25">
      <c r="A4182" s="924">
        <f t="shared" si="65"/>
        <v>4182</v>
      </c>
      <c r="B4182" s="924">
        <v>9.6999999999999993</v>
      </c>
    </row>
    <row r="4183" spans="1:2" x14ac:dyDescent="0.25">
      <c r="A4183" s="924">
        <f t="shared" si="65"/>
        <v>4183</v>
      </c>
      <c r="B4183" s="924">
        <v>9.6999999999999993</v>
      </c>
    </row>
    <row r="4184" spans="1:2" x14ac:dyDescent="0.25">
      <c r="A4184" s="924">
        <f t="shared" si="65"/>
        <v>4184</v>
      </c>
      <c r="B4184" s="924">
        <v>9.6999999999999993</v>
      </c>
    </row>
    <row r="4185" spans="1:2" x14ac:dyDescent="0.25">
      <c r="A4185" s="924">
        <f t="shared" si="65"/>
        <v>4185</v>
      </c>
      <c r="B4185" s="924">
        <v>9.6999999999999993</v>
      </c>
    </row>
    <row r="4186" spans="1:2" x14ac:dyDescent="0.25">
      <c r="A4186" s="924">
        <f t="shared" si="65"/>
        <v>4186</v>
      </c>
      <c r="B4186" s="924">
        <v>9.6999999999999993</v>
      </c>
    </row>
    <row r="4187" spans="1:2" x14ac:dyDescent="0.25">
      <c r="A4187" s="924">
        <f t="shared" si="65"/>
        <v>4187</v>
      </c>
      <c r="B4187" s="924">
        <v>9.6999999999999993</v>
      </c>
    </row>
    <row r="4188" spans="1:2" x14ac:dyDescent="0.25">
      <c r="A4188" s="924">
        <f t="shared" si="65"/>
        <v>4188</v>
      </c>
      <c r="B4188" s="924">
        <v>9.6999999999999993</v>
      </c>
    </row>
    <row r="4189" spans="1:2" x14ac:dyDescent="0.25">
      <c r="A4189" s="924">
        <f t="shared" si="65"/>
        <v>4189</v>
      </c>
      <c r="B4189" s="924">
        <v>9.6999999999999993</v>
      </c>
    </row>
    <row r="4190" spans="1:2" x14ac:dyDescent="0.25">
      <c r="A4190" s="924">
        <f t="shared" si="65"/>
        <v>4190</v>
      </c>
      <c r="B4190" s="924">
        <v>9.6999999999999993</v>
      </c>
    </row>
    <row r="4191" spans="1:2" x14ac:dyDescent="0.25">
      <c r="A4191" s="924">
        <f t="shared" si="65"/>
        <v>4191</v>
      </c>
      <c r="B4191" s="924">
        <v>9.6999999999999993</v>
      </c>
    </row>
    <row r="4192" spans="1:2" x14ac:dyDescent="0.25">
      <c r="A4192" s="924">
        <f t="shared" si="65"/>
        <v>4192</v>
      </c>
      <c r="B4192" s="924">
        <v>9.6999999999999993</v>
      </c>
    </row>
    <row r="4193" spans="1:2" x14ac:dyDescent="0.25">
      <c r="A4193" s="924">
        <f t="shared" si="65"/>
        <v>4193</v>
      </c>
      <c r="B4193" s="924">
        <v>9.6999999999999993</v>
      </c>
    </row>
    <row r="4194" spans="1:2" x14ac:dyDescent="0.25">
      <c r="A4194" s="924">
        <f t="shared" si="65"/>
        <v>4194</v>
      </c>
      <c r="B4194" s="924">
        <v>9.6999999999999993</v>
      </c>
    </row>
    <row r="4195" spans="1:2" x14ac:dyDescent="0.25">
      <c r="A4195" s="924">
        <f t="shared" si="65"/>
        <v>4195</v>
      </c>
      <c r="B4195" s="924">
        <v>9.6999999999999993</v>
      </c>
    </row>
    <row r="4196" spans="1:2" x14ac:dyDescent="0.25">
      <c r="A4196" s="924">
        <f t="shared" si="65"/>
        <v>4196</v>
      </c>
      <c r="B4196" s="924">
        <v>9.6999999999999993</v>
      </c>
    </row>
    <row r="4197" spans="1:2" x14ac:dyDescent="0.25">
      <c r="A4197" s="924">
        <f t="shared" si="65"/>
        <v>4197</v>
      </c>
      <c r="B4197" s="924">
        <v>9.6999999999999993</v>
      </c>
    </row>
    <row r="4198" spans="1:2" x14ac:dyDescent="0.25">
      <c r="A4198" s="924">
        <f t="shared" si="65"/>
        <v>4198</v>
      </c>
      <c r="B4198" s="924">
        <v>9.6999999999999993</v>
      </c>
    </row>
    <row r="4199" spans="1:2" x14ac:dyDescent="0.25">
      <c r="A4199" s="924">
        <f t="shared" si="65"/>
        <v>4199</v>
      </c>
      <c r="B4199" s="924">
        <v>9.6999999999999993</v>
      </c>
    </row>
    <row r="4200" spans="1:2" x14ac:dyDescent="0.25">
      <c r="A4200" s="924">
        <f t="shared" si="65"/>
        <v>4200</v>
      </c>
      <c r="B4200" s="924">
        <v>9.6999999999999993</v>
      </c>
    </row>
    <row r="4201" spans="1:2" x14ac:dyDescent="0.25">
      <c r="A4201" s="924">
        <f t="shared" si="65"/>
        <v>4201</v>
      </c>
      <c r="B4201" s="924">
        <v>9.8000000000000007</v>
      </c>
    </row>
    <row r="4202" spans="1:2" x14ac:dyDescent="0.25">
      <c r="A4202" s="924">
        <f t="shared" si="65"/>
        <v>4202</v>
      </c>
      <c r="B4202" s="924">
        <v>9.8000000000000007</v>
      </c>
    </row>
    <row r="4203" spans="1:2" x14ac:dyDescent="0.25">
      <c r="A4203" s="924">
        <f t="shared" si="65"/>
        <v>4203</v>
      </c>
      <c r="B4203" s="924">
        <v>9.8000000000000007</v>
      </c>
    </row>
    <row r="4204" spans="1:2" x14ac:dyDescent="0.25">
      <c r="A4204" s="924">
        <f t="shared" si="65"/>
        <v>4204</v>
      </c>
      <c r="B4204" s="924">
        <v>9.8000000000000007</v>
      </c>
    </row>
    <row r="4205" spans="1:2" x14ac:dyDescent="0.25">
      <c r="A4205" s="924">
        <f t="shared" si="65"/>
        <v>4205</v>
      </c>
      <c r="B4205" s="924">
        <v>9.8000000000000007</v>
      </c>
    </row>
    <row r="4206" spans="1:2" x14ac:dyDescent="0.25">
      <c r="A4206" s="924">
        <f t="shared" si="65"/>
        <v>4206</v>
      </c>
      <c r="B4206" s="924">
        <v>9.8000000000000007</v>
      </c>
    </row>
    <row r="4207" spans="1:2" x14ac:dyDescent="0.25">
      <c r="A4207" s="924">
        <f t="shared" si="65"/>
        <v>4207</v>
      </c>
      <c r="B4207" s="924">
        <v>9.8000000000000007</v>
      </c>
    </row>
    <row r="4208" spans="1:2" x14ac:dyDescent="0.25">
      <c r="A4208" s="924">
        <f t="shared" si="65"/>
        <v>4208</v>
      </c>
      <c r="B4208" s="924">
        <v>9.8000000000000007</v>
      </c>
    </row>
    <row r="4209" spans="1:2" x14ac:dyDescent="0.25">
      <c r="A4209" s="924">
        <f t="shared" si="65"/>
        <v>4209</v>
      </c>
      <c r="B4209" s="924">
        <v>9.8000000000000007</v>
      </c>
    </row>
    <row r="4210" spans="1:2" x14ac:dyDescent="0.25">
      <c r="A4210" s="924">
        <f t="shared" si="65"/>
        <v>4210</v>
      </c>
      <c r="B4210" s="924">
        <v>9.8000000000000007</v>
      </c>
    </row>
    <row r="4211" spans="1:2" x14ac:dyDescent="0.25">
      <c r="A4211" s="924">
        <f t="shared" si="65"/>
        <v>4211</v>
      </c>
      <c r="B4211" s="924">
        <v>9.8000000000000007</v>
      </c>
    </row>
    <row r="4212" spans="1:2" x14ac:dyDescent="0.25">
      <c r="A4212" s="924">
        <f t="shared" si="65"/>
        <v>4212</v>
      </c>
      <c r="B4212" s="924">
        <v>9.8000000000000007</v>
      </c>
    </row>
    <row r="4213" spans="1:2" x14ac:dyDescent="0.25">
      <c r="A4213" s="924">
        <f t="shared" si="65"/>
        <v>4213</v>
      </c>
      <c r="B4213" s="924">
        <v>9.8000000000000007</v>
      </c>
    </row>
    <row r="4214" spans="1:2" x14ac:dyDescent="0.25">
      <c r="A4214" s="924">
        <f t="shared" si="65"/>
        <v>4214</v>
      </c>
      <c r="B4214" s="924">
        <v>9.8000000000000007</v>
      </c>
    </row>
    <row r="4215" spans="1:2" x14ac:dyDescent="0.25">
      <c r="A4215" s="924">
        <f t="shared" si="65"/>
        <v>4215</v>
      </c>
      <c r="B4215" s="924">
        <v>9.8000000000000007</v>
      </c>
    </row>
    <row r="4216" spans="1:2" x14ac:dyDescent="0.25">
      <c r="A4216" s="924">
        <f t="shared" si="65"/>
        <v>4216</v>
      </c>
      <c r="B4216" s="924">
        <v>9.8000000000000007</v>
      </c>
    </row>
    <row r="4217" spans="1:2" x14ac:dyDescent="0.25">
      <c r="A4217" s="924">
        <f t="shared" si="65"/>
        <v>4217</v>
      </c>
      <c r="B4217" s="924">
        <v>9.8000000000000007</v>
      </c>
    </row>
    <row r="4218" spans="1:2" x14ac:dyDescent="0.25">
      <c r="A4218" s="924">
        <f t="shared" si="65"/>
        <v>4218</v>
      </c>
      <c r="B4218" s="924">
        <v>9.8000000000000007</v>
      </c>
    </row>
    <row r="4219" spans="1:2" x14ac:dyDescent="0.25">
      <c r="A4219" s="924">
        <f t="shared" si="65"/>
        <v>4219</v>
      </c>
      <c r="B4219" s="924">
        <v>9.8000000000000007</v>
      </c>
    </row>
    <row r="4220" spans="1:2" x14ac:dyDescent="0.25">
      <c r="A4220" s="924">
        <f t="shared" si="65"/>
        <v>4220</v>
      </c>
      <c r="B4220" s="924">
        <v>9.8000000000000007</v>
      </c>
    </row>
    <row r="4221" spans="1:2" x14ac:dyDescent="0.25">
      <c r="A4221" s="924">
        <f t="shared" si="65"/>
        <v>4221</v>
      </c>
      <c r="B4221" s="924">
        <v>9.8000000000000007</v>
      </c>
    </row>
    <row r="4222" spans="1:2" x14ac:dyDescent="0.25">
      <c r="A4222" s="924">
        <f t="shared" si="65"/>
        <v>4222</v>
      </c>
      <c r="B4222" s="924">
        <v>9.8000000000000007</v>
      </c>
    </row>
    <row r="4223" spans="1:2" x14ac:dyDescent="0.25">
      <c r="A4223" s="924">
        <f t="shared" si="65"/>
        <v>4223</v>
      </c>
      <c r="B4223" s="924">
        <v>9.8000000000000007</v>
      </c>
    </row>
    <row r="4224" spans="1:2" x14ac:dyDescent="0.25">
      <c r="A4224" s="924">
        <f t="shared" si="65"/>
        <v>4224</v>
      </c>
      <c r="B4224" s="924">
        <v>9.8000000000000007</v>
      </c>
    </row>
    <row r="4225" spans="1:2" x14ac:dyDescent="0.25">
      <c r="A4225" s="924">
        <f t="shared" si="65"/>
        <v>4225</v>
      </c>
      <c r="B4225" s="924">
        <v>9.8000000000000007</v>
      </c>
    </row>
    <row r="4226" spans="1:2" x14ac:dyDescent="0.25">
      <c r="A4226" s="924">
        <f t="shared" si="65"/>
        <v>4226</v>
      </c>
      <c r="B4226" s="924">
        <v>9.8000000000000007</v>
      </c>
    </row>
    <row r="4227" spans="1:2" x14ac:dyDescent="0.25">
      <c r="A4227" s="924">
        <f t="shared" ref="A4227:A4290" si="66">A4226+1</f>
        <v>4227</v>
      </c>
      <c r="B4227" s="924">
        <v>9.8000000000000007</v>
      </c>
    </row>
    <row r="4228" spans="1:2" x14ac:dyDescent="0.25">
      <c r="A4228" s="924">
        <f t="shared" si="66"/>
        <v>4228</v>
      </c>
      <c r="B4228" s="924">
        <v>9.8000000000000007</v>
      </c>
    </row>
    <row r="4229" spans="1:2" x14ac:dyDescent="0.25">
      <c r="A4229" s="924">
        <f t="shared" si="66"/>
        <v>4229</v>
      </c>
      <c r="B4229" s="924">
        <v>9.8000000000000007</v>
      </c>
    </row>
    <row r="4230" spans="1:2" x14ac:dyDescent="0.25">
      <c r="A4230" s="924">
        <f t="shared" si="66"/>
        <v>4230</v>
      </c>
      <c r="B4230" s="924">
        <v>9.8000000000000007</v>
      </c>
    </row>
    <row r="4231" spans="1:2" x14ac:dyDescent="0.25">
      <c r="A4231" s="924">
        <f t="shared" si="66"/>
        <v>4231</v>
      </c>
      <c r="B4231" s="924">
        <v>9.8000000000000007</v>
      </c>
    </row>
    <row r="4232" spans="1:2" x14ac:dyDescent="0.25">
      <c r="A4232" s="924">
        <f t="shared" si="66"/>
        <v>4232</v>
      </c>
      <c r="B4232" s="924">
        <v>9.8000000000000007</v>
      </c>
    </row>
    <row r="4233" spans="1:2" x14ac:dyDescent="0.25">
      <c r="A4233" s="924">
        <f t="shared" si="66"/>
        <v>4233</v>
      </c>
      <c r="B4233" s="924">
        <v>9.8000000000000007</v>
      </c>
    </row>
    <row r="4234" spans="1:2" x14ac:dyDescent="0.25">
      <c r="A4234" s="924">
        <f t="shared" si="66"/>
        <v>4234</v>
      </c>
      <c r="B4234" s="924">
        <v>9.8000000000000007</v>
      </c>
    </row>
    <row r="4235" spans="1:2" x14ac:dyDescent="0.25">
      <c r="A4235" s="924">
        <f t="shared" si="66"/>
        <v>4235</v>
      </c>
      <c r="B4235" s="924">
        <v>9.8000000000000007</v>
      </c>
    </row>
    <row r="4236" spans="1:2" x14ac:dyDescent="0.25">
      <c r="A4236" s="924">
        <f t="shared" si="66"/>
        <v>4236</v>
      </c>
      <c r="B4236" s="924">
        <v>9.8000000000000007</v>
      </c>
    </row>
    <row r="4237" spans="1:2" x14ac:dyDescent="0.25">
      <c r="A4237" s="924">
        <f t="shared" si="66"/>
        <v>4237</v>
      </c>
      <c r="B4237" s="924">
        <v>9.8000000000000007</v>
      </c>
    </row>
    <row r="4238" spans="1:2" x14ac:dyDescent="0.25">
      <c r="A4238" s="924">
        <f t="shared" si="66"/>
        <v>4238</v>
      </c>
      <c r="B4238" s="924">
        <v>9.8000000000000007</v>
      </c>
    </row>
    <row r="4239" spans="1:2" x14ac:dyDescent="0.25">
      <c r="A4239" s="924">
        <f t="shared" si="66"/>
        <v>4239</v>
      </c>
      <c r="B4239" s="924">
        <v>9.8000000000000007</v>
      </c>
    </row>
    <row r="4240" spans="1:2" x14ac:dyDescent="0.25">
      <c r="A4240" s="924">
        <f t="shared" si="66"/>
        <v>4240</v>
      </c>
      <c r="B4240" s="924">
        <v>9.8000000000000007</v>
      </c>
    </row>
    <row r="4241" spans="1:2" x14ac:dyDescent="0.25">
      <c r="A4241" s="924">
        <f t="shared" si="66"/>
        <v>4241</v>
      </c>
      <c r="B4241" s="924">
        <v>9.8000000000000007</v>
      </c>
    </row>
    <row r="4242" spans="1:2" x14ac:dyDescent="0.25">
      <c r="A4242" s="924">
        <f t="shared" si="66"/>
        <v>4242</v>
      </c>
      <c r="B4242" s="924">
        <v>9.8000000000000007</v>
      </c>
    </row>
    <row r="4243" spans="1:2" x14ac:dyDescent="0.25">
      <c r="A4243" s="924">
        <f t="shared" si="66"/>
        <v>4243</v>
      </c>
      <c r="B4243" s="924">
        <v>9.8000000000000007</v>
      </c>
    </row>
    <row r="4244" spans="1:2" x14ac:dyDescent="0.25">
      <c r="A4244" s="924">
        <f t="shared" si="66"/>
        <v>4244</v>
      </c>
      <c r="B4244" s="924">
        <v>9.8000000000000007</v>
      </c>
    </row>
    <row r="4245" spans="1:2" x14ac:dyDescent="0.25">
      <c r="A4245" s="924">
        <f t="shared" si="66"/>
        <v>4245</v>
      </c>
      <c r="B4245" s="924">
        <v>9.8000000000000007</v>
      </c>
    </row>
    <row r="4246" spans="1:2" x14ac:dyDescent="0.25">
      <c r="A4246" s="924">
        <f t="shared" si="66"/>
        <v>4246</v>
      </c>
      <c r="B4246" s="924">
        <v>9.8000000000000007</v>
      </c>
    </row>
    <row r="4247" spans="1:2" x14ac:dyDescent="0.25">
      <c r="A4247" s="924">
        <f t="shared" si="66"/>
        <v>4247</v>
      </c>
      <c r="B4247" s="924">
        <v>9.9</v>
      </c>
    </row>
    <row r="4248" spans="1:2" x14ac:dyDescent="0.25">
      <c r="A4248" s="924">
        <f t="shared" si="66"/>
        <v>4248</v>
      </c>
      <c r="B4248" s="924">
        <v>9.9</v>
      </c>
    </row>
    <row r="4249" spans="1:2" x14ac:dyDescent="0.25">
      <c r="A4249" s="924">
        <f t="shared" si="66"/>
        <v>4249</v>
      </c>
      <c r="B4249" s="924">
        <v>9.9</v>
      </c>
    </row>
    <row r="4250" spans="1:2" x14ac:dyDescent="0.25">
      <c r="A4250" s="924">
        <f t="shared" si="66"/>
        <v>4250</v>
      </c>
      <c r="B4250" s="924">
        <v>9.9</v>
      </c>
    </row>
    <row r="4251" spans="1:2" x14ac:dyDescent="0.25">
      <c r="A4251" s="924">
        <f t="shared" si="66"/>
        <v>4251</v>
      </c>
      <c r="B4251" s="924">
        <v>9.9</v>
      </c>
    </row>
    <row r="4252" spans="1:2" x14ac:dyDescent="0.25">
      <c r="A4252" s="924">
        <f t="shared" si="66"/>
        <v>4252</v>
      </c>
      <c r="B4252" s="924">
        <v>9.9</v>
      </c>
    </row>
    <row r="4253" spans="1:2" x14ac:dyDescent="0.25">
      <c r="A4253" s="924">
        <f t="shared" si="66"/>
        <v>4253</v>
      </c>
      <c r="B4253" s="924">
        <v>9.9</v>
      </c>
    </row>
    <row r="4254" spans="1:2" x14ac:dyDescent="0.25">
      <c r="A4254" s="924">
        <f t="shared" si="66"/>
        <v>4254</v>
      </c>
      <c r="B4254" s="924">
        <v>9.9</v>
      </c>
    </row>
    <row r="4255" spans="1:2" x14ac:dyDescent="0.25">
      <c r="A4255" s="924">
        <f t="shared" si="66"/>
        <v>4255</v>
      </c>
      <c r="B4255" s="924">
        <v>9.9</v>
      </c>
    </row>
    <row r="4256" spans="1:2" x14ac:dyDescent="0.25">
      <c r="A4256" s="924">
        <f t="shared" si="66"/>
        <v>4256</v>
      </c>
      <c r="B4256" s="924">
        <v>9.9</v>
      </c>
    </row>
    <row r="4257" spans="1:2" x14ac:dyDescent="0.25">
      <c r="A4257" s="924">
        <f t="shared" si="66"/>
        <v>4257</v>
      </c>
      <c r="B4257" s="924">
        <v>9.9</v>
      </c>
    </row>
    <row r="4258" spans="1:2" x14ac:dyDescent="0.25">
      <c r="A4258" s="924">
        <f t="shared" si="66"/>
        <v>4258</v>
      </c>
      <c r="B4258" s="924">
        <v>9.9</v>
      </c>
    </row>
    <row r="4259" spans="1:2" x14ac:dyDescent="0.25">
      <c r="A4259" s="924">
        <f t="shared" si="66"/>
        <v>4259</v>
      </c>
      <c r="B4259" s="924">
        <v>9.9</v>
      </c>
    </row>
    <row r="4260" spans="1:2" x14ac:dyDescent="0.25">
      <c r="A4260" s="924">
        <f t="shared" si="66"/>
        <v>4260</v>
      </c>
      <c r="B4260" s="924">
        <v>9.9</v>
      </c>
    </row>
    <row r="4261" spans="1:2" x14ac:dyDescent="0.25">
      <c r="A4261" s="924">
        <f t="shared" si="66"/>
        <v>4261</v>
      </c>
      <c r="B4261" s="924">
        <v>9.9</v>
      </c>
    </row>
    <row r="4262" spans="1:2" x14ac:dyDescent="0.25">
      <c r="A4262" s="924">
        <f t="shared" si="66"/>
        <v>4262</v>
      </c>
      <c r="B4262" s="924">
        <v>9.9</v>
      </c>
    </row>
    <row r="4263" spans="1:2" x14ac:dyDescent="0.25">
      <c r="A4263" s="924">
        <f t="shared" si="66"/>
        <v>4263</v>
      </c>
      <c r="B4263" s="924">
        <v>9.9</v>
      </c>
    </row>
    <row r="4264" spans="1:2" x14ac:dyDescent="0.25">
      <c r="A4264" s="924">
        <f t="shared" si="66"/>
        <v>4264</v>
      </c>
      <c r="B4264" s="924">
        <v>9.9</v>
      </c>
    </row>
    <row r="4265" spans="1:2" x14ac:dyDescent="0.25">
      <c r="A4265" s="924">
        <f t="shared" si="66"/>
        <v>4265</v>
      </c>
      <c r="B4265" s="924">
        <v>9.9</v>
      </c>
    </row>
    <row r="4266" spans="1:2" x14ac:dyDescent="0.25">
      <c r="A4266" s="924">
        <f t="shared" si="66"/>
        <v>4266</v>
      </c>
      <c r="B4266" s="924">
        <v>9.9</v>
      </c>
    </row>
    <row r="4267" spans="1:2" x14ac:dyDescent="0.25">
      <c r="A4267" s="924">
        <f t="shared" si="66"/>
        <v>4267</v>
      </c>
      <c r="B4267" s="924">
        <v>9.9</v>
      </c>
    </row>
    <row r="4268" spans="1:2" x14ac:dyDescent="0.25">
      <c r="A4268" s="924">
        <f t="shared" si="66"/>
        <v>4268</v>
      </c>
      <c r="B4268" s="924">
        <v>9.9</v>
      </c>
    </row>
    <row r="4269" spans="1:2" x14ac:dyDescent="0.25">
      <c r="A4269" s="924">
        <f t="shared" si="66"/>
        <v>4269</v>
      </c>
      <c r="B4269" s="924">
        <v>9.9</v>
      </c>
    </row>
    <row r="4270" spans="1:2" x14ac:dyDescent="0.25">
      <c r="A4270" s="924">
        <f t="shared" si="66"/>
        <v>4270</v>
      </c>
      <c r="B4270" s="924">
        <v>9.9</v>
      </c>
    </row>
    <row r="4271" spans="1:2" x14ac:dyDescent="0.25">
      <c r="A4271" s="924">
        <f t="shared" si="66"/>
        <v>4271</v>
      </c>
      <c r="B4271" s="924">
        <v>9.9</v>
      </c>
    </row>
    <row r="4272" spans="1:2" x14ac:dyDescent="0.25">
      <c r="A4272" s="924">
        <f t="shared" si="66"/>
        <v>4272</v>
      </c>
      <c r="B4272" s="924">
        <v>9.9</v>
      </c>
    </row>
    <row r="4273" spans="1:2" x14ac:dyDescent="0.25">
      <c r="A4273" s="924">
        <f t="shared" si="66"/>
        <v>4273</v>
      </c>
      <c r="B4273" s="924">
        <v>9.9</v>
      </c>
    </row>
    <row r="4274" spans="1:2" x14ac:dyDescent="0.25">
      <c r="A4274" s="924">
        <f t="shared" si="66"/>
        <v>4274</v>
      </c>
      <c r="B4274" s="924">
        <v>9.9</v>
      </c>
    </row>
    <row r="4275" spans="1:2" x14ac:dyDescent="0.25">
      <c r="A4275" s="924">
        <f t="shared" si="66"/>
        <v>4275</v>
      </c>
      <c r="B4275" s="924">
        <v>9.9</v>
      </c>
    </row>
    <row r="4276" spans="1:2" x14ac:dyDescent="0.25">
      <c r="A4276" s="924">
        <f t="shared" si="66"/>
        <v>4276</v>
      </c>
      <c r="B4276" s="924">
        <v>9.9</v>
      </c>
    </row>
    <row r="4277" spans="1:2" x14ac:dyDescent="0.25">
      <c r="A4277" s="924">
        <f t="shared" si="66"/>
        <v>4277</v>
      </c>
      <c r="B4277" s="924">
        <v>9.9</v>
      </c>
    </row>
    <row r="4278" spans="1:2" x14ac:dyDescent="0.25">
      <c r="A4278" s="924">
        <f t="shared" si="66"/>
        <v>4278</v>
      </c>
      <c r="B4278" s="924">
        <v>9.9</v>
      </c>
    </row>
    <row r="4279" spans="1:2" x14ac:dyDescent="0.25">
      <c r="A4279" s="924">
        <f t="shared" si="66"/>
        <v>4279</v>
      </c>
      <c r="B4279" s="924">
        <v>9.9</v>
      </c>
    </row>
    <row r="4280" spans="1:2" x14ac:dyDescent="0.25">
      <c r="A4280" s="924">
        <f t="shared" si="66"/>
        <v>4280</v>
      </c>
      <c r="B4280" s="924">
        <v>9.9</v>
      </c>
    </row>
    <row r="4281" spans="1:2" x14ac:dyDescent="0.25">
      <c r="A4281" s="924">
        <f t="shared" si="66"/>
        <v>4281</v>
      </c>
      <c r="B4281" s="924">
        <v>9.9</v>
      </c>
    </row>
    <row r="4282" spans="1:2" x14ac:dyDescent="0.25">
      <c r="A4282" s="924">
        <f t="shared" si="66"/>
        <v>4282</v>
      </c>
      <c r="B4282" s="924">
        <v>10</v>
      </c>
    </row>
    <row r="4283" spans="1:2" x14ac:dyDescent="0.25">
      <c r="A4283" s="924">
        <f t="shared" si="66"/>
        <v>4283</v>
      </c>
      <c r="B4283" s="924">
        <v>10</v>
      </c>
    </row>
    <row r="4284" spans="1:2" x14ac:dyDescent="0.25">
      <c r="A4284" s="924">
        <f t="shared" si="66"/>
        <v>4284</v>
      </c>
      <c r="B4284" s="924">
        <v>10</v>
      </c>
    </row>
    <row r="4285" spans="1:2" x14ac:dyDescent="0.25">
      <c r="A4285" s="924">
        <f t="shared" si="66"/>
        <v>4285</v>
      </c>
      <c r="B4285" s="924">
        <v>10</v>
      </c>
    </row>
    <row r="4286" spans="1:2" x14ac:dyDescent="0.25">
      <c r="A4286" s="924">
        <f t="shared" si="66"/>
        <v>4286</v>
      </c>
      <c r="B4286" s="924">
        <v>10</v>
      </c>
    </row>
    <row r="4287" spans="1:2" x14ac:dyDescent="0.25">
      <c r="A4287" s="924">
        <f t="shared" si="66"/>
        <v>4287</v>
      </c>
      <c r="B4287" s="924">
        <v>10</v>
      </c>
    </row>
    <row r="4288" spans="1:2" x14ac:dyDescent="0.25">
      <c r="A4288" s="924">
        <f t="shared" si="66"/>
        <v>4288</v>
      </c>
      <c r="B4288" s="924">
        <v>10</v>
      </c>
    </row>
    <row r="4289" spans="1:2" x14ac:dyDescent="0.25">
      <c r="A4289" s="924">
        <f t="shared" si="66"/>
        <v>4289</v>
      </c>
      <c r="B4289" s="924">
        <v>10</v>
      </c>
    </row>
    <row r="4290" spans="1:2" x14ac:dyDescent="0.25">
      <c r="A4290" s="924">
        <f t="shared" si="66"/>
        <v>4290</v>
      </c>
      <c r="B4290" s="924">
        <v>10</v>
      </c>
    </row>
    <row r="4291" spans="1:2" x14ac:dyDescent="0.25">
      <c r="A4291" s="924">
        <f t="shared" ref="A4291:A4354" si="67">A4290+1</f>
        <v>4291</v>
      </c>
      <c r="B4291" s="924">
        <v>10</v>
      </c>
    </row>
    <row r="4292" spans="1:2" x14ac:dyDescent="0.25">
      <c r="A4292" s="924">
        <f t="shared" si="67"/>
        <v>4292</v>
      </c>
      <c r="B4292" s="924">
        <v>10</v>
      </c>
    </row>
    <row r="4293" spans="1:2" x14ac:dyDescent="0.25">
      <c r="A4293" s="924">
        <f t="shared" si="67"/>
        <v>4293</v>
      </c>
      <c r="B4293" s="924">
        <v>10</v>
      </c>
    </row>
    <row r="4294" spans="1:2" x14ac:dyDescent="0.25">
      <c r="A4294" s="924">
        <f t="shared" si="67"/>
        <v>4294</v>
      </c>
      <c r="B4294" s="924">
        <v>10</v>
      </c>
    </row>
    <row r="4295" spans="1:2" x14ac:dyDescent="0.25">
      <c r="A4295" s="924">
        <f t="shared" si="67"/>
        <v>4295</v>
      </c>
      <c r="B4295" s="924">
        <v>10</v>
      </c>
    </row>
    <row r="4296" spans="1:2" x14ac:dyDescent="0.25">
      <c r="A4296" s="924">
        <f t="shared" si="67"/>
        <v>4296</v>
      </c>
      <c r="B4296" s="924">
        <v>10</v>
      </c>
    </row>
    <row r="4297" spans="1:2" x14ac:dyDescent="0.25">
      <c r="A4297" s="924">
        <f t="shared" si="67"/>
        <v>4297</v>
      </c>
      <c r="B4297" s="924">
        <v>10</v>
      </c>
    </row>
    <row r="4298" spans="1:2" x14ac:dyDescent="0.25">
      <c r="A4298" s="924">
        <f t="shared" si="67"/>
        <v>4298</v>
      </c>
      <c r="B4298" s="924">
        <v>10</v>
      </c>
    </row>
    <row r="4299" spans="1:2" x14ac:dyDescent="0.25">
      <c r="A4299" s="924">
        <f t="shared" si="67"/>
        <v>4299</v>
      </c>
      <c r="B4299" s="924">
        <v>10</v>
      </c>
    </row>
    <row r="4300" spans="1:2" x14ac:dyDescent="0.25">
      <c r="A4300" s="924">
        <f t="shared" si="67"/>
        <v>4300</v>
      </c>
      <c r="B4300" s="924">
        <v>10</v>
      </c>
    </row>
    <row r="4301" spans="1:2" x14ac:dyDescent="0.25">
      <c r="A4301" s="924">
        <f t="shared" si="67"/>
        <v>4301</v>
      </c>
      <c r="B4301" s="924">
        <v>10</v>
      </c>
    </row>
    <row r="4302" spans="1:2" x14ac:dyDescent="0.25">
      <c r="A4302" s="924">
        <f t="shared" si="67"/>
        <v>4302</v>
      </c>
      <c r="B4302" s="924">
        <v>10</v>
      </c>
    </row>
    <row r="4303" spans="1:2" x14ac:dyDescent="0.25">
      <c r="A4303" s="924">
        <f t="shared" si="67"/>
        <v>4303</v>
      </c>
      <c r="B4303" s="924">
        <v>10</v>
      </c>
    </row>
    <row r="4304" spans="1:2" x14ac:dyDescent="0.25">
      <c r="A4304" s="924">
        <f t="shared" si="67"/>
        <v>4304</v>
      </c>
      <c r="B4304" s="924">
        <v>10</v>
      </c>
    </row>
    <row r="4305" spans="1:2" x14ac:dyDescent="0.25">
      <c r="A4305" s="924">
        <f t="shared" si="67"/>
        <v>4305</v>
      </c>
      <c r="B4305" s="924">
        <v>10</v>
      </c>
    </row>
    <row r="4306" spans="1:2" x14ac:dyDescent="0.25">
      <c r="A4306" s="924">
        <f t="shared" si="67"/>
        <v>4306</v>
      </c>
      <c r="B4306" s="924">
        <v>10</v>
      </c>
    </row>
    <row r="4307" spans="1:2" x14ac:dyDescent="0.25">
      <c r="A4307" s="924">
        <f t="shared" si="67"/>
        <v>4307</v>
      </c>
      <c r="B4307" s="924">
        <v>10</v>
      </c>
    </row>
    <row r="4308" spans="1:2" x14ac:dyDescent="0.25">
      <c r="A4308" s="924">
        <f t="shared" si="67"/>
        <v>4308</v>
      </c>
      <c r="B4308" s="924">
        <v>10</v>
      </c>
    </row>
    <row r="4309" spans="1:2" x14ac:dyDescent="0.25">
      <c r="A4309" s="924">
        <f t="shared" si="67"/>
        <v>4309</v>
      </c>
      <c r="B4309" s="924">
        <v>10</v>
      </c>
    </row>
    <row r="4310" spans="1:2" x14ac:dyDescent="0.25">
      <c r="A4310" s="924">
        <f t="shared" si="67"/>
        <v>4310</v>
      </c>
      <c r="B4310" s="924">
        <v>10</v>
      </c>
    </row>
    <row r="4311" spans="1:2" x14ac:dyDescent="0.25">
      <c r="A4311" s="924">
        <f t="shared" si="67"/>
        <v>4311</v>
      </c>
      <c r="B4311" s="924">
        <v>10</v>
      </c>
    </row>
    <row r="4312" spans="1:2" x14ac:dyDescent="0.25">
      <c r="A4312" s="924">
        <f t="shared" si="67"/>
        <v>4312</v>
      </c>
      <c r="B4312" s="924">
        <v>10</v>
      </c>
    </row>
    <row r="4313" spans="1:2" x14ac:dyDescent="0.25">
      <c r="A4313" s="924">
        <f t="shared" si="67"/>
        <v>4313</v>
      </c>
      <c r="B4313" s="924">
        <v>10</v>
      </c>
    </row>
    <row r="4314" spans="1:2" x14ac:dyDescent="0.25">
      <c r="A4314" s="924">
        <f t="shared" si="67"/>
        <v>4314</v>
      </c>
      <c r="B4314" s="924">
        <v>10</v>
      </c>
    </row>
    <row r="4315" spans="1:2" x14ac:dyDescent="0.25">
      <c r="A4315" s="924">
        <f t="shared" si="67"/>
        <v>4315</v>
      </c>
      <c r="B4315" s="924">
        <v>10</v>
      </c>
    </row>
    <row r="4316" spans="1:2" x14ac:dyDescent="0.25">
      <c r="A4316" s="924">
        <f t="shared" si="67"/>
        <v>4316</v>
      </c>
      <c r="B4316" s="924">
        <v>10</v>
      </c>
    </row>
    <row r="4317" spans="1:2" x14ac:dyDescent="0.25">
      <c r="A4317" s="924">
        <f t="shared" si="67"/>
        <v>4317</v>
      </c>
      <c r="B4317" s="924">
        <v>10</v>
      </c>
    </row>
    <row r="4318" spans="1:2" x14ac:dyDescent="0.25">
      <c r="A4318" s="924">
        <f t="shared" si="67"/>
        <v>4318</v>
      </c>
      <c r="B4318" s="924">
        <v>10</v>
      </c>
    </row>
    <row r="4319" spans="1:2" x14ac:dyDescent="0.25">
      <c r="A4319" s="924">
        <f t="shared" si="67"/>
        <v>4319</v>
      </c>
      <c r="B4319" s="924">
        <v>10</v>
      </c>
    </row>
    <row r="4320" spans="1:2" x14ac:dyDescent="0.25">
      <c r="A4320" s="924">
        <f t="shared" si="67"/>
        <v>4320</v>
      </c>
      <c r="B4320" s="924">
        <v>10</v>
      </c>
    </row>
    <row r="4321" spans="1:2" x14ac:dyDescent="0.25">
      <c r="A4321" s="924">
        <f t="shared" si="67"/>
        <v>4321</v>
      </c>
      <c r="B4321" s="924">
        <v>10</v>
      </c>
    </row>
    <row r="4322" spans="1:2" x14ac:dyDescent="0.25">
      <c r="A4322" s="924">
        <f t="shared" si="67"/>
        <v>4322</v>
      </c>
      <c r="B4322" s="924">
        <v>10</v>
      </c>
    </row>
    <row r="4323" spans="1:2" x14ac:dyDescent="0.25">
      <c r="A4323" s="924">
        <f t="shared" si="67"/>
        <v>4323</v>
      </c>
      <c r="B4323" s="924">
        <v>10</v>
      </c>
    </row>
    <row r="4324" spans="1:2" x14ac:dyDescent="0.25">
      <c r="A4324" s="924">
        <f t="shared" si="67"/>
        <v>4324</v>
      </c>
      <c r="B4324" s="924">
        <v>10</v>
      </c>
    </row>
    <row r="4325" spans="1:2" x14ac:dyDescent="0.25">
      <c r="A4325" s="924">
        <f t="shared" si="67"/>
        <v>4325</v>
      </c>
      <c r="B4325" s="924">
        <v>10</v>
      </c>
    </row>
    <row r="4326" spans="1:2" x14ac:dyDescent="0.25">
      <c r="A4326" s="924">
        <f t="shared" si="67"/>
        <v>4326</v>
      </c>
      <c r="B4326" s="924">
        <v>10</v>
      </c>
    </row>
    <row r="4327" spans="1:2" x14ac:dyDescent="0.25">
      <c r="A4327" s="924">
        <f t="shared" si="67"/>
        <v>4327</v>
      </c>
      <c r="B4327" s="924">
        <v>10</v>
      </c>
    </row>
    <row r="4328" spans="1:2" x14ac:dyDescent="0.25">
      <c r="A4328" s="924">
        <f t="shared" si="67"/>
        <v>4328</v>
      </c>
      <c r="B4328" s="924">
        <v>10</v>
      </c>
    </row>
    <row r="4329" spans="1:2" x14ac:dyDescent="0.25">
      <c r="A4329" s="924">
        <f t="shared" si="67"/>
        <v>4329</v>
      </c>
      <c r="B4329" s="924">
        <v>10</v>
      </c>
    </row>
    <row r="4330" spans="1:2" x14ac:dyDescent="0.25">
      <c r="A4330" s="924">
        <f t="shared" si="67"/>
        <v>4330</v>
      </c>
      <c r="B4330" s="924">
        <v>10</v>
      </c>
    </row>
    <row r="4331" spans="1:2" x14ac:dyDescent="0.25">
      <c r="A4331" s="924">
        <f t="shared" si="67"/>
        <v>4331</v>
      </c>
      <c r="B4331" s="924">
        <v>10</v>
      </c>
    </row>
    <row r="4332" spans="1:2" x14ac:dyDescent="0.25">
      <c r="A4332" s="924">
        <f t="shared" si="67"/>
        <v>4332</v>
      </c>
      <c r="B4332" s="924">
        <v>10.1</v>
      </c>
    </row>
    <row r="4333" spans="1:2" x14ac:dyDescent="0.25">
      <c r="A4333" s="924">
        <f t="shared" si="67"/>
        <v>4333</v>
      </c>
      <c r="B4333" s="924">
        <v>10.1</v>
      </c>
    </row>
    <row r="4334" spans="1:2" x14ac:dyDescent="0.25">
      <c r="A4334" s="924">
        <f t="shared" si="67"/>
        <v>4334</v>
      </c>
      <c r="B4334" s="924">
        <v>10.1</v>
      </c>
    </row>
    <row r="4335" spans="1:2" x14ac:dyDescent="0.25">
      <c r="A4335" s="924">
        <f t="shared" si="67"/>
        <v>4335</v>
      </c>
      <c r="B4335" s="924">
        <v>10.1</v>
      </c>
    </row>
    <row r="4336" spans="1:2" x14ac:dyDescent="0.25">
      <c r="A4336" s="924">
        <f t="shared" si="67"/>
        <v>4336</v>
      </c>
      <c r="B4336" s="924">
        <v>10.1</v>
      </c>
    </row>
    <row r="4337" spans="1:2" x14ac:dyDescent="0.25">
      <c r="A4337" s="924">
        <f t="shared" si="67"/>
        <v>4337</v>
      </c>
      <c r="B4337" s="924">
        <v>10.1</v>
      </c>
    </row>
    <row r="4338" spans="1:2" x14ac:dyDescent="0.25">
      <c r="A4338" s="924">
        <f t="shared" si="67"/>
        <v>4338</v>
      </c>
      <c r="B4338" s="924">
        <v>10.1</v>
      </c>
    </row>
    <row r="4339" spans="1:2" x14ac:dyDescent="0.25">
      <c r="A4339" s="924">
        <f t="shared" si="67"/>
        <v>4339</v>
      </c>
      <c r="B4339" s="924">
        <v>10.1</v>
      </c>
    </row>
    <row r="4340" spans="1:2" x14ac:dyDescent="0.25">
      <c r="A4340" s="924">
        <f t="shared" si="67"/>
        <v>4340</v>
      </c>
      <c r="B4340" s="924">
        <v>10.1</v>
      </c>
    </row>
    <row r="4341" spans="1:2" x14ac:dyDescent="0.25">
      <c r="A4341" s="924">
        <f t="shared" si="67"/>
        <v>4341</v>
      </c>
      <c r="B4341" s="924">
        <v>10.1</v>
      </c>
    </row>
    <row r="4342" spans="1:2" x14ac:dyDescent="0.25">
      <c r="A4342" s="924">
        <f t="shared" si="67"/>
        <v>4342</v>
      </c>
      <c r="B4342" s="924">
        <v>10.1</v>
      </c>
    </row>
    <row r="4343" spans="1:2" x14ac:dyDescent="0.25">
      <c r="A4343" s="924">
        <f t="shared" si="67"/>
        <v>4343</v>
      </c>
      <c r="B4343" s="924">
        <v>10.1</v>
      </c>
    </row>
    <row r="4344" spans="1:2" x14ac:dyDescent="0.25">
      <c r="A4344" s="924">
        <f t="shared" si="67"/>
        <v>4344</v>
      </c>
      <c r="B4344" s="924">
        <v>10.1</v>
      </c>
    </row>
    <row r="4345" spans="1:2" x14ac:dyDescent="0.25">
      <c r="A4345" s="924">
        <f t="shared" si="67"/>
        <v>4345</v>
      </c>
      <c r="B4345" s="924">
        <v>10.1</v>
      </c>
    </row>
    <row r="4346" spans="1:2" x14ac:dyDescent="0.25">
      <c r="A4346" s="924">
        <f t="shared" si="67"/>
        <v>4346</v>
      </c>
      <c r="B4346" s="924">
        <v>10.1</v>
      </c>
    </row>
    <row r="4347" spans="1:2" x14ac:dyDescent="0.25">
      <c r="A4347" s="924">
        <f t="shared" si="67"/>
        <v>4347</v>
      </c>
      <c r="B4347" s="924">
        <v>10.1</v>
      </c>
    </row>
    <row r="4348" spans="1:2" x14ac:dyDescent="0.25">
      <c r="A4348" s="924">
        <f t="shared" si="67"/>
        <v>4348</v>
      </c>
      <c r="B4348" s="924">
        <v>10.1</v>
      </c>
    </row>
    <row r="4349" spans="1:2" x14ac:dyDescent="0.25">
      <c r="A4349" s="924">
        <f t="shared" si="67"/>
        <v>4349</v>
      </c>
      <c r="B4349" s="924">
        <v>10.1</v>
      </c>
    </row>
    <row r="4350" spans="1:2" x14ac:dyDescent="0.25">
      <c r="A4350" s="924">
        <f t="shared" si="67"/>
        <v>4350</v>
      </c>
      <c r="B4350" s="924">
        <v>10.1</v>
      </c>
    </row>
    <row r="4351" spans="1:2" x14ac:dyDescent="0.25">
      <c r="A4351" s="924">
        <f t="shared" si="67"/>
        <v>4351</v>
      </c>
      <c r="B4351" s="924">
        <v>10.1</v>
      </c>
    </row>
    <row r="4352" spans="1:2" x14ac:dyDescent="0.25">
      <c r="A4352" s="924">
        <f t="shared" si="67"/>
        <v>4352</v>
      </c>
      <c r="B4352" s="924">
        <v>10.1</v>
      </c>
    </row>
    <row r="4353" spans="1:2" x14ac:dyDescent="0.25">
      <c r="A4353" s="924">
        <f t="shared" si="67"/>
        <v>4353</v>
      </c>
      <c r="B4353" s="924">
        <v>10.1</v>
      </c>
    </row>
    <row r="4354" spans="1:2" x14ac:dyDescent="0.25">
      <c r="A4354" s="924">
        <f t="shared" si="67"/>
        <v>4354</v>
      </c>
      <c r="B4354" s="924">
        <v>10.1</v>
      </c>
    </row>
    <row r="4355" spans="1:2" x14ac:dyDescent="0.25">
      <c r="A4355" s="924">
        <f t="shared" ref="A4355:A4418" si="68">A4354+1</f>
        <v>4355</v>
      </c>
      <c r="B4355" s="924">
        <v>10.1</v>
      </c>
    </row>
    <row r="4356" spans="1:2" x14ac:dyDescent="0.25">
      <c r="A4356" s="924">
        <f t="shared" si="68"/>
        <v>4356</v>
      </c>
      <c r="B4356" s="924">
        <v>10.1</v>
      </c>
    </row>
    <row r="4357" spans="1:2" x14ac:dyDescent="0.25">
      <c r="A4357" s="924">
        <f t="shared" si="68"/>
        <v>4357</v>
      </c>
      <c r="B4357" s="924">
        <v>10.1</v>
      </c>
    </row>
    <row r="4358" spans="1:2" x14ac:dyDescent="0.25">
      <c r="A4358" s="924">
        <f t="shared" si="68"/>
        <v>4358</v>
      </c>
      <c r="B4358" s="924">
        <v>10.1</v>
      </c>
    </row>
    <row r="4359" spans="1:2" x14ac:dyDescent="0.25">
      <c r="A4359" s="924">
        <f t="shared" si="68"/>
        <v>4359</v>
      </c>
      <c r="B4359" s="924">
        <v>10.1</v>
      </c>
    </row>
    <row r="4360" spans="1:2" x14ac:dyDescent="0.25">
      <c r="A4360" s="924">
        <f t="shared" si="68"/>
        <v>4360</v>
      </c>
      <c r="B4360" s="924">
        <v>10.1</v>
      </c>
    </row>
    <row r="4361" spans="1:2" x14ac:dyDescent="0.25">
      <c r="A4361" s="924">
        <f t="shared" si="68"/>
        <v>4361</v>
      </c>
      <c r="B4361" s="924">
        <v>10.1</v>
      </c>
    </row>
    <row r="4362" spans="1:2" x14ac:dyDescent="0.25">
      <c r="A4362" s="924">
        <f t="shared" si="68"/>
        <v>4362</v>
      </c>
      <c r="B4362" s="924">
        <v>10.1</v>
      </c>
    </row>
    <row r="4363" spans="1:2" x14ac:dyDescent="0.25">
      <c r="A4363" s="924">
        <f t="shared" si="68"/>
        <v>4363</v>
      </c>
      <c r="B4363" s="924">
        <v>10.1</v>
      </c>
    </row>
    <row r="4364" spans="1:2" x14ac:dyDescent="0.25">
      <c r="A4364" s="924">
        <f t="shared" si="68"/>
        <v>4364</v>
      </c>
      <c r="B4364" s="924">
        <v>10.1</v>
      </c>
    </row>
    <row r="4365" spans="1:2" x14ac:dyDescent="0.25">
      <c r="A4365" s="924">
        <f t="shared" si="68"/>
        <v>4365</v>
      </c>
      <c r="B4365" s="924">
        <v>10.1</v>
      </c>
    </row>
    <row r="4366" spans="1:2" x14ac:dyDescent="0.25">
      <c r="A4366" s="924">
        <f t="shared" si="68"/>
        <v>4366</v>
      </c>
      <c r="B4366" s="924">
        <v>10.1</v>
      </c>
    </row>
    <row r="4367" spans="1:2" x14ac:dyDescent="0.25">
      <c r="A4367" s="924">
        <f t="shared" si="68"/>
        <v>4367</v>
      </c>
      <c r="B4367" s="924">
        <v>10.1</v>
      </c>
    </row>
    <row r="4368" spans="1:2" x14ac:dyDescent="0.25">
      <c r="A4368" s="924">
        <f t="shared" si="68"/>
        <v>4368</v>
      </c>
      <c r="B4368" s="924">
        <v>10.1</v>
      </c>
    </row>
    <row r="4369" spans="1:2" x14ac:dyDescent="0.25">
      <c r="A4369" s="924">
        <f t="shared" si="68"/>
        <v>4369</v>
      </c>
      <c r="B4369" s="924">
        <v>10.1</v>
      </c>
    </row>
    <row r="4370" spans="1:2" x14ac:dyDescent="0.25">
      <c r="A4370" s="924">
        <f t="shared" si="68"/>
        <v>4370</v>
      </c>
      <c r="B4370" s="924">
        <v>10.1</v>
      </c>
    </row>
    <row r="4371" spans="1:2" x14ac:dyDescent="0.25">
      <c r="A4371" s="924">
        <f t="shared" si="68"/>
        <v>4371</v>
      </c>
      <c r="B4371" s="924">
        <v>10.1</v>
      </c>
    </row>
    <row r="4372" spans="1:2" x14ac:dyDescent="0.25">
      <c r="A4372" s="924">
        <f t="shared" si="68"/>
        <v>4372</v>
      </c>
      <c r="B4372" s="924">
        <v>10.1</v>
      </c>
    </row>
    <row r="4373" spans="1:2" x14ac:dyDescent="0.25">
      <c r="A4373" s="924">
        <f t="shared" si="68"/>
        <v>4373</v>
      </c>
      <c r="B4373" s="924">
        <v>10.1</v>
      </c>
    </row>
    <row r="4374" spans="1:2" x14ac:dyDescent="0.25">
      <c r="A4374" s="924">
        <f t="shared" si="68"/>
        <v>4374</v>
      </c>
      <c r="B4374" s="924">
        <v>10.199999999999999</v>
      </c>
    </row>
    <row r="4375" spans="1:2" x14ac:dyDescent="0.25">
      <c r="A4375" s="924">
        <f t="shared" si="68"/>
        <v>4375</v>
      </c>
      <c r="B4375" s="924">
        <v>10.199999999999999</v>
      </c>
    </row>
    <row r="4376" spans="1:2" x14ac:dyDescent="0.25">
      <c r="A4376" s="924">
        <f t="shared" si="68"/>
        <v>4376</v>
      </c>
      <c r="B4376" s="924">
        <v>10.199999999999999</v>
      </c>
    </row>
    <row r="4377" spans="1:2" x14ac:dyDescent="0.25">
      <c r="A4377" s="924">
        <f t="shared" si="68"/>
        <v>4377</v>
      </c>
      <c r="B4377" s="924">
        <v>10.199999999999999</v>
      </c>
    </row>
    <row r="4378" spans="1:2" x14ac:dyDescent="0.25">
      <c r="A4378" s="924">
        <f t="shared" si="68"/>
        <v>4378</v>
      </c>
      <c r="B4378" s="924">
        <v>10.199999999999999</v>
      </c>
    </row>
    <row r="4379" spans="1:2" x14ac:dyDescent="0.25">
      <c r="A4379" s="924">
        <f t="shared" si="68"/>
        <v>4379</v>
      </c>
      <c r="B4379" s="924">
        <v>10.199999999999999</v>
      </c>
    </row>
    <row r="4380" spans="1:2" x14ac:dyDescent="0.25">
      <c r="A4380" s="924">
        <f t="shared" si="68"/>
        <v>4380</v>
      </c>
      <c r="B4380" s="924">
        <v>10.199999999999999</v>
      </c>
    </row>
    <row r="4381" spans="1:2" x14ac:dyDescent="0.25">
      <c r="A4381" s="924">
        <f t="shared" si="68"/>
        <v>4381</v>
      </c>
      <c r="B4381" s="924">
        <v>10.199999999999999</v>
      </c>
    </row>
    <row r="4382" spans="1:2" x14ac:dyDescent="0.25">
      <c r="A4382" s="924">
        <f t="shared" si="68"/>
        <v>4382</v>
      </c>
      <c r="B4382" s="924">
        <v>10.199999999999999</v>
      </c>
    </row>
    <row r="4383" spans="1:2" x14ac:dyDescent="0.25">
      <c r="A4383" s="924">
        <f t="shared" si="68"/>
        <v>4383</v>
      </c>
      <c r="B4383" s="924">
        <v>10.199999999999999</v>
      </c>
    </row>
    <row r="4384" spans="1:2" x14ac:dyDescent="0.25">
      <c r="A4384" s="924">
        <f t="shared" si="68"/>
        <v>4384</v>
      </c>
      <c r="B4384" s="924">
        <v>10.199999999999999</v>
      </c>
    </row>
    <row r="4385" spans="1:2" x14ac:dyDescent="0.25">
      <c r="A4385" s="924">
        <f t="shared" si="68"/>
        <v>4385</v>
      </c>
      <c r="B4385" s="924">
        <v>10.199999999999999</v>
      </c>
    </row>
    <row r="4386" spans="1:2" x14ac:dyDescent="0.25">
      <c r="A4386" s="924">
        <f t="shared" si="68"/>
        <v>4386</v>
      </c>
      <c r="B4386" s="924">
        <v>10.199999999999999</v>
      </c>
    </row>
    <row r="4387" spans="1:2" x14ac:dyDescent="0.25">
      <c r="A4387" s="924">
        <f t="shared" si="68"/>
        <v>4387</v>
      </c>
      <c r="B4387" s="924">
        <v>10.199999999999999</v>
      </c>
    </row>
    <row r="4388" spans="1:2" x14ac:dyDescent="0.25">
      <c r="A4388" s="924">
        <f t="shared" si="68"/>
        <v>4388</v>
      </c>
      <c r="B4388" s="924">
        <v>10.199999999999999</v>
      </c>
    </row>
    <row r="4389" spans="1:2" x14ac:dyDescent="0.25">
      <c r="A4389" s="924">
        <f t="shared" si="68"/>
        <v>4389</v>
      </c>
      <c r="B4389" s="924">
        <v>10.199999999999999</v>
      </c>
    </row>
    <row r="4390" spans="1:2" x14ac:dyDescent="0.25">
      <c r="A4390" s="924">
        <f t="shared" si="68"/>
        <v>4390</v>
      </c>
      <c r="B4390" s="924">
        <v>10.199999999999999</v>
      </c>
    </row>
    <row r="4391" spans="1:2" x14ac:dyDescent="0.25">
      <c r="A4391" s="924">
        <f t="shared" si="68"/>
        <v>4391</v>
      </c>
      <c r="B4391" s="924">
        <v>10.199999999999999</v>
      </c>
    </row>
    <row r="4392" spans="1:2" x14ac:dyDescent="0.25">
      <c r="A4392" s="924">
        <f t="shared" si="68"/>
        <v>4392</v>
      </c>
      <c r="B4392" s="924">
        <v>10.199999999999999</v>
      </c>
    </row>
    <row r="4393" spans="1:2" x14ac:dyDescent="0.25">
      <c r="A4393" s="924">
        <f t="shared" si="68"/>
        <v>4393</v>
      </c>
      <c r="B4393" s="924">
        <v>10.199999999999999</v>
      </c>
    </row>
    <row r="4394" spans="1:2" x14ac:dyDescent="0.25">
      <c r="A4394" s="924">
        <f t="shared" si="68"/>
        <v>4394</v>
      </c>
      <c r="B4394" s="924">
        <v>10.199999999999999</v>
      </c>
    </row>
    <row r="4395" spans="1:2" x14ac:dyDescent="0.25">
      <c r="A4395" s="924">
        <f t="shared" si="68"/>
        <v>4395</v>
      </c>
      <c r="B4395" s="924">
        <v>10.199999999999999</v>
      </c>
    </row>
    <row r="4396" spans="1:2" x14ac:dyDescent="0.25">
      <c r="A4396" s="924">
        <f t="shared" si="68"/>
        <v>4396</v>
      </c>
      <c r="B4396" s="924">
        <v>10.199999999999999</v>
      </c>
    </row>
    <row r="4397" spans="1:2" x14ac:dyDescent="0.25">
      <c r="A4397" s="924">
        <f t="shared" si="68"/>
        <v>4397</v>
      </c>
      <c r="B4397" s="924">
        <v>10.199999999999999</v>
      </c>
    </row>
    <row r="4398" spans="1:2" x14ac:dyDescent="0.25">
      <c r="A4398" s="924">
        <f t="shared" si="68"/>
        <v>4398</v>
      </c>
      <c r="B4398" s="924">
        <v>10.199999999999999</v>
      </c>
    </row>
    <row r="4399" spans="1:2" x14ac:dyDescent="0.25">
      <c r="A4399" s="924">
        <f t="shared" si="68"/>
        <v>4399</v>
      </c>
      <c r="B4399" s="924">
        <v>10.199999999999999</v>
      </c>
    </row>
    <row r="4400" spans="1:2" x14ac:dyDescent="0.25">
      <c r="A4400" s="924">
        <f t="shared" si="68"/>
        <v>4400</v>
      </c>
      <c r="B4400" s="924">
        <v>10.199999999999999</v>
      </c>
    </row>
    <row r="4401" spans="1:2" x14ac:dyDescent="0.25">
      <c r="A4401" s="924">
        <f t="shared" si="68"/>
        <v>4401</v>
      </c>
      <c r="B4401" s="924">
        <v>10.199999999999999</v>
      </c>
    </row>
    <row r="4402" spans="1:2" x14ac:dyDescent="0.25">
      <c r="A4402" s="924">
        <f t="shared" si="68"/>
        <v>4402</v>
      </c>
      <c r="B4402" s="924">
        <v>10.199999999999999</v>
      </c>
    </row>
    <row r="4403" spans="1:2" x14ac:dyDescent="0.25">
      <c r="A4403" s="924">
        <f t="shared" si="68"/>
        <v>4403</v>
      </c>
      <c r="B4403" s="924">
        <v>10.199999999999999</v>
      </c>
    </row>
    <row r="4404" spans="1:2" x14ac:dyDescent="0.25">
      <c r="A4404" s="924">
        <f t="shared" si="68"/>
        <v>4404</v>
      </c>
      <c r="B4404" s="924">
        <v>10.199999999999999</v>
      </c>
    </row>
    <row r="4405" spans="1:2" x14ac:dyDescent="0.25">
      <c r="A4405" s="924">
        <f t="shared" si="68"/>
        <v>4405</v>
      </c>
      <c r="B4405" s="924">
        <v>10.199999999999999</v>
      </c>
    </row>
    <row r="4406" spans="1:2" x14ac:dyDescent="0.25">
      <c r="A4406" s="924">
        <f t="shared" si="68"/>
        <v>4406</v>
      </c>
      <c r="B4406" s="924">
        <v>10.199999999999999</v>
      </c>
    </row>
    <row r="4407" spans="1:2" x14ac:dyDescent="0.25">
      <c r="A4407" s="924">
        <f t="shared" si="68"/>
        <v>4407</v>
      </c>
      <c r="B4407" s="924">
        <v>10.199999999999999</v>
      </c>
    </row>
    <row r="4408" spans="1:2" x14ac:dyDescent="0.25">
      <c r="A4408" s="924">
        <f t="shared" si="68"/>
        <v>4408</v>
      </c>
      <c r="B4408" s="924">
        <v>10.199999999999999</v>
      </c>
    </row>
    <row r="4409" spans="1:2" x14ac:dyDescent="0.25">
      <c r="A4409" s="924">
        <f t="shared" si="68"/>
        <v>4409</v>
      </c>
      <c r="B4409" s="924">
        <v>10.199999999999999</v>
      </c>
    </row>
    <row r="4410" spans="1:2" x14ac:dyDescent="0.25">
      <c r="A4410" s="924">
        <f t="shared" si="68"/>
        <v>4410</v>
      </c>
      <c r="B4410" s="924">
        <v>10.199999999999999</v>
      </c>
    </row>
    <row r="4411" spans="1:2" x14ac:dyDescent="0.25">
      <c r="A4411" s="924">
        <f t="shared" si="68"/>
        <v>4411</v>
      </c>
      <c r="B4411" s="924">
        <v>10.3</v>
      </c>
    </row>
    <row r="4412" spans="1:2" x14ac:dyDescent="0.25">
      <c r="A4412" s="924">
        <f t="shared" si="68"/>
        <v>4412</v>
      </c>
      <c r="B4412" s="924">
        <v>10.3</v>
      </c>
    </row>
    <row r="4413" spans="1:2" x14ac:dyDescent="0.25">
      <c r="A4413" s="924">
        <f t="shared" si="68"/>
        <v>4413</v>
      </c>
      <c r="B4413" s="924">
        <v>10.3</v>
      </c>
    </row>
    <row r="4414" spans="1:2" x14ac:dyDescent="0.25">
      <c r="A4414" s="924">
        <f t="shared" si="68"/>
        <v>4414</v>
      </c>
      <c r="B4414" s="924">
        <v>10.3</v>
      </c>
    </row>
    <row r="4415" spans="1:2" x14ac:dyDescent="0.25">
      <c r="A4415" s="924">
        <f t="shared" si="68"/>
        <v>4415</v>
      </c>
      <c r="B4415" s="924">
        <v>10.3</v>
      </c>
    </row>
    <row r="4416" spans="1:2" x14ac:dyDescent="0.25">
      <c r="A4416" s="924">
        <f t="shared" si="68"/>
        <v>4416</v>
      </c>
      <c r="B4416" s="924">
        <v>10.3</v>
      </c>
    </row>
    <row r="4417" spans="1:2" x14ac:dyDescent="0.25">
      <c r="A4417" s="924">
        <f t="shared" si="68"/>
        <v>4417</v>
      </c>
      <c r="B4417" s="924">
        <v>10.3</v>
      </c>
    </row>
    <row r="4418" spans="1:2" x14ac:dyDescent="0.25">
      <c r="A4418" s="924">
        <f t="shared" si="68"/>
        <v>4418</v>
      </c>
      <c r="B4418" s="924">
        <v>10.3</v>
      </c>
    </row>
    <row r="4419" spans="1:2" x14ac:dyDescent="0.25">
      <c r="A4419" s="924">
        <f t="shared" ref="A4419:A4482" si="69">A4418+1</f>
        <v>4419</v>
      </c>
      <c r="B4419" s="924">
        <v>10.3</v>
      </c>
    </row>
    <row r="4420" spans="1:2" x14ac:dyDescent="0.25">
      <c r="A4420" s="924">
        <f t="shared" si="69"/>
        <v>4420</v>
      </c>
      <c r="B4420" s="924">
        <v>10.3</v>
      </c>
    </row>
    <row r="4421" spans="1:2" x14ac:dyDescent="0.25">
      <c r="A4421" s="924">
        <f t="shared" si="69"/>
        <v>4421</v>
      </c>
      <c r="B4421" s="924">
        <v>10.3</v>
      </c>
    </row>
    <row r="4422" spans="1:2" x14ac:dyDescent="0.25">
      <c r="A4422" s="924">
        <f t="shared" si="69"/>
        <v>4422</v>
      </c>
      <c r="B4422" s="924">
        <v>10.3</v>
      </c>
    </row>
    <row r="4423" spans="1:2" x14ac:dyDescent="0.25">
      <c r="A4423" s="924">
        <f t="shared" si="69"/>
        <v>4423</v>
      </c>
      <c r="B4423" s="924">
        <v>10.3</v>
      </c>
    </row>
    <row r="4424" spans="1:2" x14ac:dyDescent="0.25">
      <c r="A4424" s="924">
        <f t="shared" si="69"/>
        <v>4424</v>
      </c>
      <c r="B4424" s="924">
        <v>10.3</v>
      </c>
    </row>
    <row r="4425" spans="1:2" x14ac:dyDescent="0.25">
      <c r="A4425" s="924">
        <f t="shared" si="69"/>
        <v>4425</v>
      </c>
      <c r="B4425" s="924">
        <v>10.3</v>
      </c>
    </row>
    <row r="4426" spans="1:2" x14ac:dyDescent="0.25">
      <c r="A4426" s="924">
        <f t="shared" si="69"/>
        <v>4426</v>
      </c>
      <c r="B4426" s="924">
        <v>10.3</v>
      </c>
    </row>
    <row r="4427" spans="1:2" x14ac:dyDescent="0.25">
      <c r="A4427" s="924">
        <f t="shared" si="69"/>
        <v>4427</v>
      </c>
      <c r="B4427" s="924">
        <v>10.3</v>
      </c>
    </row>
    <row r="4428" spans="1:2" x14ac:dyDescent="0.25">
      <c r="A4428" s="924">
        <f t="shared" si="69"/>
        <v>4428</v>
      </c>
      <c r="B4428" s="924">
        <v>10.3</v>
      </c>
    </row>
    <row r="4429" spans="1:2" x14ac:dyDescent="0.25">
      <c r="A4429" s="924">
        <f t="shared" si="69"/>
        <v>4429</v>
      </c>
      <c r="B4429" s="924">
        <v>10.3</v>
      </c>
    </row>
    <row r="4430" spans="1:2" x14ac:dyDescent="0.25">
      <c r="A4430" s="924">
        <f t="shared" si="69"/>
        <v>4430</v>
      </c>
      <c r="B4430" s="924">
        <v>10.3</v>
      </c>
    </row>
    <row r="4431" spans="1:2" x14ac:dyDescent="0.25">
      <c r="A4431" s="924">
        <f t="shared" si="69"/>
        <v>4431</v>
      </c>
      <c r="B4431" s="924">
        <v>10.3</v>
      </c>
    </row>
    <row r="4432" spans="1:2" x14ac:dyDescent="0.25">
      <c r="A4432" s="924">
        <f t="shared" si="69"/>
        <v>4432</v>
      </c>
      <c r="B4432" s="924">
        <v>10.3</v>
      </c>
    </row>
    <row r="4433" spans="1:2" x14ac:dyDescent="0.25">
      <c r="A4433" s="924">
        <f t="shared" si="69"/>
        <v>4433</v>
      </c>
      <c r="B4433" s="924">
        <v>10.3</v>
      </c>
    </row>
    <row r="4434" spans="1:2" x14ac:dyDescent="0.25">
      <c r="A4434" s="924">
        <f t="shared" si="69"/>
        <v>4434</v>
      </c>
      <c r="B4434" s="924">
        <v>10.3</v>
      </c>
    </row>
    <row r="4435" spans="1:2" x14ac:dyDescent="0.25">
      <c r="A4435" s="924">
        <f t="shared" si="69"/>
        <v>4435</v>
      </c>
      <c r="B4435" s="924">
        <v>10.3</v>
      </c>
    </row>
    <row r="4436" spans="1:2" x14ac:dyDescent="0.25">
      <c r="A4436" s="924">
        <f t="shared" si="69"/>
        <v>4436</v>
      </c>
      <c r="B4436" s="924">
        <v>10.3</v>
      </c>
    </row>
    <row r="4437" spans="1:2" x14ac:dyDescent="0.25">
      <c r="A4437" s="924">
        <f t="shared" si="69"/>
        <v>4437</v>
      </c>
      <c r="B4437" s="924">
        <v>10.3</v>
      </c>
    </row>
    <row r="4438" spans="1:2" x14ac:dyDescent="0.25">
      <c r="A4438" s="924">
        <f t="shared" si="69"/>
        <v>4438</v>
      </c>
      <c r="B4438" s="924">
        <v>10.3</v>
      </c>
    </row>
    <row r="4439" spans="1:2" x14ac:dyDescent="0.25">
      <c r="A4439" s="924">
        <f t="shared" si="69"/>
        <v>4439</v>
      </c>
      <c r="B4439" s="924">
        <v>10.3</v>
      </c>
    </row>
    <row r="4440" spans="1:2" x14ac:dyDescent="0.25">
      <c r="A4440" s="924">
        <f t="shared" si="69"/>
        <v>4440</v>
      </c>
      <c r="B4440" s="924">
        <v>10.3</v>
      </c>
    </row>
    <row r="4441" spans="1:2" x14ac:dyDescent="0.25">
      <c r="A4441" s="924">
        <f t="shared" si="69"/>
        <v>4441</v>
      </c>
      <c r="B4441" s="924">
        <v>10.3</v>
      </c>
    </row>
    <row r="4442" spans="1:2" x14ac:dyDescent="0.25">
      <c r="A4442" s="924">
        <f t="shared" si="69"/>
        <v>4442</v>
      </c>
      <c r="B4442" s="924">
        <v>10.3</v>
      </c>
    </row>
    <row r="4443" spans="1:2" x14ac:dyDescent="0.25">
      <c r="A4443" s="924">
        <f t="shared" si="69"/>
        <v>4443</v>
      </c>
      <c r="B4443" s="924">
        <v>10.3</v>
      </c>
    </row>
    <row r="4444" spans="1:2" x14ac:dyDescent="0.25">
      <c r="A4444" s="924">
        <f t="shared" si="69"/>
        <v>4444</v>
      </c>
      <c r="B4444" s="924">
        <v>10.3</v>
      </c>
    </row>
    <row r="4445" spans="1:2" x14ac:dyDescent="0.25">
      <c r="A4445" s="924">
        <f t="shared" si="69"/>
        <v>4445</v>
      </c>
      <c r="B4445" s="924">
        <v>10.3</v>
      </c>
    </row>
    <row r="4446" spans="1:2" x14ac:dyDescent="0.25">
      <c r="A4446" s="924">
        <f t="shared" si="69"/>
        <v>4446</v>
      </c>
      <c r="B4446" s="924">
        <v>10.3</v>
      </c>
    </row>
    <row r="4447" spans="1:2" x14ac:dyDescent="0.25">
      <c r="A4447" s="924">
        <f t="shared" si="69"/>
        <v>4447</v>
      </c>
      <c r="B4447" s="924">
        <v>10.3</v>
      </c>
    </row>
    <row r="4448" spans="1:2" x14ac:dyDescent="0.25">
      <c r="A4448" s="924">
        <f t="shared" si="69"/>
        <v>4448</v>
      </c>
      <c r="B4448" s="924">
        <v>10.3</v>
      </c>
    </row>
    <row r="4449" spans="1:2" x14ac:dyDescent="0.25">
      <c r="A4449" s="924">
        <f t="shared" si="69"/>
        <v>4449</v>
      </c>
      <c r="B4449" s="924">
        <v>10.3</v>
      </c>
    </row>
    <row r="4450" spans="1:2" x14ac:dyDescent="0.25">
      <c r="A4450" s="924">
        <f t="shared" si="69"/>
        <v>4450</v>
      </c>
      <c r="B4450" s="924">
        <v>10.3</v>
      </c>
    </row>
    <row r="4451" spans="1:2" x14ac:dyDescent="0.25">
      <c r="A4451" s="924">
        <f t="shared" si="69"/>
        <v>4451</v>
      </c>
      <c r="B4451" s="924">
        <v>10.3</v>
      </c>
    </row>
    <row r="4452" spans="1:2" x14ac:dyDescent="0.25">
      <c r="A4452" s="924">
        <f t="shared" si="69"/>
        <v>4452</v>
      </c>
      <c r="B4452" s="924">
        <v>10.3</v>
      </c>
    </row>
    <row r="4453" spans="1:2" x14ac:dyDescent="0.25">
      <c r="A4453" s="924">
        <f t="shared" si="69"/>
        <v>4453</v>
      </c>
      <c r="B4453" s="924">
        <v>10.3</v>
      </c>
    </row>
    <row r="4454" spans="1:2" x14ac:dyDescent="0.25">
      <c r="A4454" s="924">
        <f t="shared" si="69"/>
        <v>4454</v>
      </c>
      <c r="B4454" s="924">
        <v>10.3</v>
      </c>
    </row>
    <row r="4455" spans="1:2" x14ac:dyDescent="0.25">
      <c r="A4455" s="924">
        <f t="shared" si="69"/>
        <v>4455</v>
      </c>
      <c r="B4455" s="924">
        <v>10.3</v>
      </c>
    </row>
    <row r="4456" spans="1:2" x14ac:dyDescent="0.25">
      <c r="A4456" s="924">
        <f t="shared" si="69"/>
        <v>4456</v>
      </c>
      <c r="B4456" s="924">
        <v>10.3</v>
      </c>
    </row>
    <row r="4457" spans="1:2" x14ac:dyDescent="0.25">
      <c r="A4457" s="924">
        <f t="shared" si="69"/>
        <v>4457</v>
      </c>
      <c r="B4457" s="924">
        <v>10.3</v>
      </c>
    </row>
    <row r="4458" spans="1:2" x14ac:dyDescent="0.25">
      <c r="A4458" s="924">
        <f t="shared" si="69"/>
        <v>4458</v>
      </c>
      <c r="B4458" s="924">
        <v>10.3</v>
      </c>
    </row>
    <row r="4459" spans="1:2" x14ac:dyDescent="0.25">
      <c r="A4459" s="924">
        <f t="shared" si="69"/>
        <v>4459</v>
      </c>
      <c r="B4459" s="924">
        <v>10.3</v>
      </c>
    </row>
    <row r="4460" spans="1:2" x14ac:dyDescent="0.25">
      <c r="A4460" s="924">
        <f t="shared" si="69"/>
        <v>4460</v>
      </c>
      <c r="B4460" s="924">
        <v>10.3</v>
      </c>
    </row>
    <row r="4461" spans="1:2" x14ac:dyDescent="0.25">
      <c r="A4461" s="924">
        <f t="shared" si="69"/>
        <v>4461</v>
      </c>
      <c r="B4461" s="924">
        <v>10.3</v>
      </c>
    </row>
    <row r="4462" spans="1:2" x14ac:dyDescent="0.25">
      <c r="A4462" s="924">
        <f t="shared" si="69"/>
        <v>4462</v>
      </c>
      <c r="B4462" s="924">
        <v>10.3</v>
      </c>
    </row>
    <row r="4463" spans="1:2" x14ac:dyDescent="0.25">
      <c r="A4463" s="924">
        <f t="shared" si="69"/>
        <v>4463</v>
      </c>
      <c r="B4463" s="924">
        <v>10.3</v>
      </c>
    </row>
    <row r="4464" spans="1:2" x14ac:dyDescent="0.25">
      <c r="A4464" s="924">
        <f t="shared" si="69"/>
        <v>4464</v>
      </c>
      <c r="B4464" s="924">
        <v>10.3</v>
      </c>
    </row>
    <row r="4465" spans="1:2" x14ac:dyDescent="0.25">
      <c r="A4465" s="924">
        <f t="shared" si="69"/>
        <v>4465</v>
      </c>
      <c r="B4465" s="924">
        <v>10.3</v>
      </c>
    </row>
    <row r="4466" spans="1:2" x14ac:dyDescent="0.25">
      <c r="A4466" s="924">
        <f t="shared" si="69"/>
        <v>4466</v>
      </c>
      <c r="B4466" s="924">
        <v>10.3</v>
      </c>
    </row>
    <row r="4467" spans="1:2" x14ac:dyDescent="0.25">
      <c r="A4467" s="924">
        <f t="shared" si="69"/>
        <v>4467</v>
      </c>
      <c r="B4467" s="924">
        <v>10.3</v>
      </c>
    </row>
    <row r="4468" spans="1:2" x14ac:dyDescent="0.25">
      <c r="A4468" s="924">
        <f t="shared" si="69"/>
        <v>4468</v>
      </c>
      <c r="B4468" s="924">
        <v>10.3</v>
      </c>
    </row>
    <row r="4469" spans="1:2" x14ac:dyDescent="0.25">
      <c r="A4469" s="924">
        <f t="shared" si="69"/>
        <v>4469</v>
      </c>
      <c r="B4469" s="924">
        <v>10.3</v>
      </c>
    </row>
    <row r="4470" spans="1:2" x14ac:dyDescent="0.25">
      <c r="A4470" s="924">
        <f t="shared" si="69"/>
        <v>4470</v>
      </c>
      <c r="B4470" s="924">
        <v>10.3</v>
      </c>
    </row>
    <row r="4471" spans="1:2" x14ac:dyDescent="0.25">
      <c r="A4471" s="924">
        <f t="shared" si="69"/>
        <v>4471</v>
      </c>
      <c r="B4471" s="924">
        <v>10.3</v>
      </c>
    </row>
    <row r="4472" spans="1:2" x14ac:dyDescent="0.25">
      <c r="A4472" s="924">
        <f t="shared" si="69"/>
        <v>4472</v>
      </c>
      <c r="B4472" s="924">
        <v>10.3</v>
      </c>
    </row>
    <row r="4473" spans="1:2" x14ac:dyDescent="0.25">
      <c r="A4473" s="924">
        <f t="shared" si="69"/>
        <v>4473</v>
      </c>
      <c r="B4473" s="924">
        <v>10.3</v>
      </c>
    </row>
    <row r="4474" spans="1:2" x14ac:dyDescent="0.25">
      <c r="A4474" s="924">
        <f t="shared" si="69"/>
        <v>4474</v>
      </c>
      <c r="B4474" s="924">
        <v>10.3</v>
      </c>
    </row>
    <row r="4475" spans="1:2" x14ac:dyDescent="0.25">
      <c r="A4475" s="924">
        <f t="shared" si="69"/>
        <v>4475</v>
      </c>
      <c r="B4475" s="924">
        <v>10.3</v>
      </c>
    </row>
    <row r="4476" spans="1:2" x14ac:dyDescent="0.25">
      <c r="A4476" s="924">
        <f t="shared" si="69"/>
        <v>4476</v>
      </c>
      <c r="B4476" s="924">
        <v>10.3</v>
      </c>
    </row>
    <row r="4477" spans="1:2" x14ac:dyDescent="0.25">
      <c r="A4477" s="924">
        <f t="shared" si="69"/>
        <v>4477</v>
      </c>
      <c r="B4477" s="924">
        <v>10.3</v>
      </c>
    </row>
    <row r="4478" spans="1:2" x14ac:dyDescent="0.25">
      <c r="A4478" s="924">
        <f t="shared" si="69"/>
        <v>4478</v>
      </c>
      <c r="B4478" s="924">
        <v>10.4</v>
      </c>
    </row>
    <row r="4479" spans="1:2" x14ac:dyDescent="0.25">
      <c r="A4479" s="924">
        <f t="shared" si="69"/>
        <v>4479</v>
      </c>
      <c r="B4479" s="924">
        <v>10.4</v>
      </c>
    </row>
    <row r="4480" spans="1:2" x14ac:dyDescent="0.25">
      <c r="A4480" s="924">
        <f t="shared" si="69"/>
        <v>4480</v>
      </c>
      <c r="B4480" s="924">
        <v>10.4</v>
      </c>
    </row>
    <row r="4481" spans="1:2" x14ac:dyDescent="0.25">
      <c r="A4481" s="924">
        <f t="shared" si="69"/>
        <v>4481</v>
      </c>
      <c r="B4481" s="924">
        <v>10.4</v>
      </c>
    </row>
    <row r="4482" spans="1:2" x14ac:dyDescent="0.25">
      <c r="A4482" s="924">
        <f t="shared" si="69"/>
        <v>4482</v>
      </c>
      <c r="B4482" s="924">
        <v>10.4</v>
      </c>
    </row>
    <row r="4483" spans="1:2" x14ac:dyDescent="0.25">
      <c r="A4483" s="924">
        <f t="shared" ref="A4483:A4546" si="70">A4482+1</f>
        <v>4483</v>
      </c>
      <c r="B4483" s="924">
        <v>10.4</v>
      </c>
    </row>
    <row r="4484" spans="1:2" x14ac:dyDescent="0.25">
      <c r="A4484" s="924">
        <f t="shared" si="70"/>
        <v>4484</v>
      </c>
      <c r="B4484" s="924">
        <v>10.4</v>
      </c>
    </row>
    <row r="4485" spans="1:2" x14ac:dyDescent="0.25">
      <c r="A4485" s="924">
        <f t="shared" si="70"/>
        <v>4485</v>
      </c>
      <c r="B4485" s="924">
        <v>10.4</v>
      </c>
    </row>
    <row r="4486" spans="1:2" x14ac:dyDescent="0.25">
      <c r="A4486" s="924">
        <f t="shared" si="70"/>
        <v>4486</v>
      </c>
      <c r="B4486" s="924">
        <v>10.4</v>
      </c>
    </row>
    <row r="4487" spans="1:2" x14ac:dyDescent="0.25">
      <c r="A4487" s="924">
        <f t="shared" si="70"/>
        <v>4487</v>
      </c>
      <c r="B4487" s="924">
        <v>10.4</v>
      </c>
    </row>
    <row r="4488" spans="1:2" x14ac:dyDescent="0.25">
      <c r="A4488" s="924">
        <f t="shared" si="70"/>
        <v>4488</v>
      </c>
      <c r="B4488" s="924">
        <v>10.4</v>
      </c>
    </row>
    <row r="4489" spans="1:2" x14ac:dyDescent="0.25">
      <c r="A4489" s="924">
        <f t="shared" si="70"/>
        <v>4489</v>
      </c>
      <c r="B4489" s="924">
        <v>10.4</v>
      </c>
    </row>
    <row r="4490" spans="1:2" x14ac:dyDescent="0.25">
      <c r="A4490" s="924">
        <f t="shared" si="70"/>
        <v>4490</v>
      </c>
      <c r="B4490" s="924">
        <v>10.4</v>
      </c>
    </row>
    <row r="4491" spans="1:2" x14ac:dyDescent="0.25">
      <c r="A4491" s="924">
        <f t="shared" si="70"/>
        <v>4491</v>
      </c>
      <c r="B4491" s="924">
        <v>10.4</v>
      </c>
    </row>
    <row r="4492" spans="1:2" x14ac:dyDescent="0.25">
      <c r="A4492" s="924">
        <f t="shared" si="70"/>
        <v>4492</v>
      </c>
      <c r="B4492" s="924">
        <v>10.4</v>
      </c>
    </row>
    <row r="4493" spans="1:2" x14ac:dyDescent="0.25">
      <c r="A4493" s="924">
        <f t="shared" si="70"/>
        <v>4493</v>
      </c>
      <c r="B4493" s="924">
        <v>10.4</v>
      </c>
    </row>
    <row r="4494" spans="1:2" x14ac:dyDescent="0.25">
      <c r="A4494" s="924">
        <f t="shared" si="70"/>
        <v>4494</v>
      </c>
      <c r="B4494" s="924">
        <v>10.4</v>
      </c>
    </row>
    <row r="4495" spans="1:2" x14ac:dyDescent="0.25">
      <c r="A4495" s="924">
        <f t="shared" si="70"/>
        <v>4495</v>
      </c>
      <c r="B4495" s="924">
        <v>10.4</v>
      </c>
    </row>
    <row r="4496" spans="1:2" x14ac:dyDescent="0.25">
      <c r="A4496" s="924">
        <f t="shared" si="70"/>
        <v>4496</v>
      </c>
      <c r="B4496" s="924">
        <v>10.4</v>
      </c>
    </row>
    <row r="4497" spans="1:2" x14ac:dyDescent="0.25">
      <c r="A4497" s="924">
        <f t="shared" si="70"/>
        <v>4497</v>
      </c>
      <c r="B4497" s="924">
        <v>10.4</v>
      </c>
    </row>
    <row r="4498" spans="1:2" x14ac:dyDescent="0.25">
      <c r="A4498" s="924">
        <f t="shared" si="70"/>
        <v>4498</v>
      </c>
      <c r="B4498" s="924">
        <v>10.4</v>
      </c>
    </row>
    <row r="4499" spans="1:2" x14ac:dyDescent="0.25">
      <c r="A4499" s="924">
        <f t="shared" si="70"/>
        <v>4499</v>
      </c>
      <c r="B4499" s="924">
        <v>10.4</v>
      </c>
    </row>
    <row r="4500" spans="1:2" x14ac:dyDescent="0.25">
      <c r="A4500" s="924">
        <f t="shared" si="70"/>
        <v>4500</v>
      </c>
      <c r="B4500" s="924">
        <v>10.4</v>
      </c>
    </row>
    <row r="4501" spans="1:2" x14ac:dyDescent="0.25">
      <c r="A4501" s="924">
        <f t="shared" si="70"/>
        <v>4501</v>
      </c>
      <c r="B4501" s="924">
        <v>10.4</v>
      </c>
    </row>
    <row r="4502" spans="1:2" x14ac:dyDescent="0.25">
      <c r="A4502" s="924">
        <f t="shared" si="70"/>
        <v>4502</v>
      </c>
      <c r="B4502" s="924">
        <v>10.4</v>
      </c>
    </row>
    <row r="4503" spans="1:2" x14ac:dyDescent="0.25">
      <c r="A4503" s="924">
        <f t="shared" si="70"/>
        <v>4503</v>
      </c>
      <c r="B4503" s="924">
        <v>10.4</v>
      </c>
    </row>
    <row r="4504" spans="1:2" x14ac:dyDescent="0.25">
      <c r="A4504" s="924">
        <f t="shared" si="70"/>
        <v>4504</v>
      </c>
      <c r="B4504" s="924">
        <v>10.4</v>
      </c>
    </row>
    <row r="4505" spans="1:2" x14ac:dyDescent="0.25">
      <c r="A4505" s="924">
        <f t="shared" si="70"/>
        <v>4505</v>
      </c>
      <c r="B4505" s="924">
        <v>10.4</v>
      </c>
    </row>
    <row r="4506" spans="1:2" x14ac:dyDescent="0.25">
      <c r="A4506" s="924">
        <f t="shared" si="70"/>
        <v>4506</v>
      </c>
      <c r="B4506" s="924">
        <v>10.4</v>
      </c>
    </row>
    <row r="4507" spans="1:2" x14ac:dyDescent="0.25">
      <c r="A4507" s="924">
        <f t="shared" si="70"/>
        <v>4507</v>
      </c>
      <c r="B4507" s="924">
        <v>10.4</v>
      </c>
    </row>
    <row r="4508" spans="1:2" x14ac:dyDescent="0.25">
      <c r="A4508" s="924">
        <f t="shared" si="70"/>
        <v>4508</v>
      </c>
      <c r="B4508" s="924">
        <v>10.4</v>
      </c>
    </row>
    <row r="4509" spans="1:2" x14ac:dyDescent="0.25">
      <c r="A4509" s="924">
        <f t="shared" si="70"/>
        <v>4509</v>
      </c>
      <c r="B4509" s="924">
        <v>10.4</v>
      </c>
    </row>
    <row r="4510" spans="1:2" x14ac:dyDescent="0.25">
      <c r="A4510" s="924">
        <f t="shared" si="70"/>
        <v>4510</v>
      </c>
      <c r="B4510" s="924">
        <v>10.4</v>
      </c>
    </row>
    <row r="4511" spans="1:2" x14ac:dyDescent="0.25">
      <c r="A4511" s="924">
        <f t="shared" si="70"/>
        <v>4511</v>
      </c>
      <c r="B4511" s="924">
        <v>10.4</v>
      </c>
    </row>
    <row r="4512" spans="1:2" x14ac:dyDescent="0.25">
      <c r="A4512" s="924">
        <f t="shared" si="70"/>
        <v>4512</v>
      </c>
      <c r="B4512" s="924">
        <v>10.4</v>
      </c>
    </row>
    <row r="4513" spans="1:2" x14ac:dyDescent="0.25">
      <c r="A4513" s="924">
        <f t="shared" si="70"/>
        <v>4513</v>
      </c>
      <c r="B4513" s="924">
        <v>10.4</v>
      </c>
    </row>
    <row r="4514" spans="1:2" x14ac:dyDescent="0.25">
      <c r="A4514" s="924">
        <f t="shared" si="70"/>
        <v>4514</v>
      </c>
      <c r="B4514" s="924">
        <v>10.4</v>
      </c>
    </row>
    <row r="4515" spans="1:2" x14ac:dyDescent="0.25">
      <c r="A4515" s="924">
        <f t="shared" si="70"/>
        <v>4515</v>
      </c>
      <c r="B4515" s="924">
        <v>10.4</v>
      </c>
    </row>
    <row r="4516" spans="1:2" x14ac:dyDescent="0.25">
      <c r="A4516" s="924">
        <f t="shared" si="70"/>
        <v>4516</v>
      </c>
      <c r="B4516" s="924">
        <v>10.4</v>
      </c>
    </row>
    <row r="4517" spans="1:2" x14ac:dyDescent="0.25">
      <c r="A4517" s="924">
        <f t="shared" si="70"/>
        <v>4517</v>
      </c>
      <c r="B4517" s="924">
        <v>10.4</v>
      </c>
    </row>
    <row r="4518" spans="1:2" x14ac:dyDescent="0.25">
      <c r="A4518" s="924">
        <f t="shared" si="70"/>
        <v>4518</v>
      </c>
      <c r="B4518" s="924">
        <v>10.4</v>
      </c>
    </row>
    <row r="4519" spans="1:2" x14ac:dyDescent="0.25">
      <c r="A4519" s="924">
        <f t="shared" si="70"/>
        <v>4519</v>
      </c>
      <c r="B4519" s="924">
        <v>10.4</v>
      </c>
    </row>
    <row r="4520" spans="1:2" x14ac:dyDescent="0.25">
      <c r="A4520" s="924">
        <f t="shared" si="70"/>
        <v>4520</v>
      </c>
      <c r="B4520" s="924">
        <v>10.4</v>
      </c>
    </row>
    <row r="4521" spans="1:2" x14ac:dyDescent="0.25">
      <c r="A4521" s="924">
        <f t="shared" si="70"/>
        <v>4521</v>
      </c>
      <c r="B4521" s="924">
        <v>10.4</v>
      </c>
    </row>
    <row r="4522" spans="1:2" x14ac:dyDescent="0.25">
      <c r="A4522" s="924">
        <f t="shared" si="70"/>
        <v>4522</v>
      </c>
      <c r="B4522" s="924">
        <v>10.5</v>
      </c>
    </row>
    <row r="4523" spans="1:2" x14ac:dyDescent="0.25">
      <c r="A4523" s="924">
        <f t="shared" si="70"/>
        <v>4523</v>
      </c>
      <c r="B4523" s="924">
        <v>10.5</v>
      </c>
    </row>
    <row r="4524" spans="1:2" x14ac:dyDescent="0.25">
      <c r="A4524" s="924">
        <f t="shared" si="70"/>
        <v>4524</v>
      </c>
      <c r="B4524" s="924">
        <v>10.5</v>
      </c>
    </row>
    <row r="4525" spans="1:2" x14ac:dyDescent="0.25">
      <c r="A4525" s="924">
        <f t="shared" si="70"/>
        <v>4525</v>
      </c>
      <c r="B4525" s="924">
        <v>10.5</v>
      </c>
    </row>
    <row r="4526" spans="1:2" x14ac:dyDescent="0.25">
      <c r="A4526" s="924">
        <f t="shared" si="70"/>
        <v>4526</v>
      </c>
      <c r="B4526" s="924">
        <v>10.5</v>
      </c>
    </row>
    <row r="4527" spans="1:2" x14ac:dyDescent="0.25">
      <c r="A4527" s="924">
        <f t="shared" si="70"/>
        <v>4527</v>
      </c>
      <c r="B4527" s="924">
        <v>10.5</v>
      </c>
    </row>
    <row r="4528" spans="1:2" x14ac:dyDescent="0.25">
      <c r="A4528" s="924">
        <f t="shared" si="70"/>
        <v>4528</v>
      </c>
      <c r="B4528" s="924">
        <v>10.5</v>
      </c>
    </row>
    <row r="4529" spans="1:2" x14ac:dyDescent="0.25">
      <c r="A4529" s="924">
        <f t="shared" si="70"/>
        <v>4529</v>
      </c>
      <c r="B4529" s="924">
        <v>10.5</v>
      </c>
    </row>
    <row r="4530" spans="1:2" x14ac:dyDescent="0.25">
      <c r="A4530" s="924">
        <f t="shared" si="70"/>
        <v>4530</v>
      </c>
      <c r="B4530" s="924">
        <v>10.5</v>
      </c>
    </row>
    <row r="4531" spans="1:2" x14ac:dyDescent="0.25">
      <c r="A4531" s="924">
        <f t="shared" si="70"/>
        <v>4531</v>
      </c>
      <c r="B4531" s="924">
        <v>10.5</v>
      </c>
    </row>
    <row r="4532" spans="1:2" x14ac:dyDescent="0.25">
      <c r="A4532" s="924">
        <f t="shared" si="70"/>
        <v>4532</v>
      </c>
      <c r="B4532" s="924">
        <v>10.5</v>
      </c>
    </row>
    <row r="4533" spans="1:2" x14ac:dyDescent="0.25">
      <c r="A4533" s="924">
        <f t="shared" si="70"/>
        <v>4533</v>
      </c>
      <c r="B4533" s="924">
        <v>10.5</v>
      </c>
    </row>
    <row r="4534" spans="1:2" x14ac:dyDescent="0.25">
      <c r="A4534" s="924">
        <f t="shared" si="70"/>
        <v>4534</v>
      </c>
      <c r="B4534" s="924">
        <v>10.5</v>
      </c>
    </row>
    <row r="4535" spans="1:2" x14ac:dyDescent="0.25">
      <c r="A4535" s="924">
        <f t="shared" si="70"/>
        <v>4535</v>
      </c>
      <c r="B4535" s="924">
        <v>10.5</v>
      </c>
    </row>
    <row r="4536" spans="1:2" x14ac:dyDescent="0.25">
      <c r="A4536" s="924">
        <f t="shared" si="70"/>
        <v>4536</v>
      </c>
      <c r="B4536" s="924">
        <v>10.5</v>
      </c>
    </row>
    <row r="4537" spans="1:2" x14ac:dyDescent="0.25">
      <c r="A4537" s="924">
        <f t="shared" si="70"/>
        <v>4537</v>
      </c>
      <c r="B4537" s="924">
        <v>10.5</v>
      </c>
    </row>
    <row r="4538" spans="1:2" x14ac:dyDescent="0.25">
      <c r="A4538" s="924">
        <f t="shared" si="70"/>
        <v>4538</v>
      </c>
      <c r="B4538" s="924">
        <v>10.5</v>
      </c>
    </row>
    <row r="4539" spans="1:2" x14ac:dyDescent="0.25">
      <c r="A4539" s="924">
        <f t="shared" si="70"/>
        <v>4539</v>
      </c>
      <c r="B4539" s="924">
        <v>10.5</v>
      </c>
    </row>
    <row r="4540" spans="1:2" x14ac:dyDescent="0.25">
      <c r="A4540" s="924">
        <f t="shared" si="70"/>
        <v>4540</v>
      </c>
      <c r="B4540" s="924">
        <v>10.5</v>
      </c>
    </row>
    <row r="4541" spans="1:2" x14ac:dyDescent="0.25">
      <c r="A4541" s="924">
        <f t="shared" si="70"/>
        <v>4541</v>
      </c>
      <c r="B4541" s="924">
        <v>10.5</v>
      </c>
    </row>
    <row r="4542" spans="1:2" x14ac:dyDescent="0.25">
      <c r="A4542" s="924">
        <f t="shared" si="70"/>
        <v>4542</v>
      </c>
      <c r="B4542" s="924">
        <v>10.5</v>
      </c>
    </row>
    <row r="4543" spans="1:2" x14ac:dyDescent="0.25">
      <c r="A4543" s="924">
        <f t="shared" si="70"/>
        <v>4543</v>
      </c>
      <c r="B4543" s="924">
        <v>10.5</v>
      </c>
    </row>
    <row r="4544" spans="1:2" x14ac:dyDescent="0.25">
      <c r="A4544" s="924">
        <f t="shared" si="70"/>
        <v>4544</v>
      </c>
      <c r="B4544" s="924">
        <v>10.5</v>
      </c>
    </row>
    <row r="4545" spans="1:2" x14ac:dyDescent="0.25">
      <c r="A4545" s="924">
        <f t="shared" si="70"/>
        <v>4545</v>
      </c>
      <c r="B4545" s="924">
        <v>10.5</v>
      </c>
    </row>
    <row r="4546" spans="1:2" x14ac:dyDescent="0.25">
      <c r="A4546" s="924">
        <f t="shared" si="70"/>
        <v>4546</v>
      </c>
      <c r="B4546" s="924">
        <v>10.5</v>
      </c>
    </row>
    <row r="4547" spans="1:2" x14ac:dyDescent="0.25">
      <c r="A4547" s="924">
        <f t="shared" ref="A4547:A4610" si="71">A4546+1</f>
        <v>4547</v>
      </c>
      <c r="B4547" s="924">
        <v>10.5</v>
      </c>
    </row>
    <row r="4548" spans="1:2" x14ac:dyDescent="0.25">
      <c r="A4548" s="924">
        <f t="shared" si="71"/>
        <v>4548</v>
      </c>
      <c r="B4548" s="924">
        <v>10.5</v>
      </c>
    </row>
    <row r="4549" spans="1:2" x14ac:dyDescent="0.25">
      <c r="A4549" s="924">
        <f t="shared" si="71"/>
        <v>4549</v>
      </c>
      <c r="B4549" s="924">
        <v>10.5</v>
      </c>
    </row>
    <row r="4550" spans="1:2" x14ac:dyDescent="0.25">
      <c r="A4550" s="924">
        <f t="shared" si="71"/>
        <v>4550</v>
      </c>
      <c r="B4550" s="924">
        <v>10.5</v>
      </c>
    </row>
    <row r="4551" spans="1:2" x14ac:dyDescent="0.25">
      <c r="A4551" s="924">
        <f t="shared" si="71"/>
        <v>4551</v>
      </c>
      <c r="B4551" s="924">
        <v>10.5</v>
      </c>
    </row>
    <row r="4552" spans="1:2" x14ac:dyDescent="0.25">
      <c r="A4552" s="924">
        <f t="shared" si="71"/>
        <v>4552</v>
      </c>
      <c r="B4552" s="924">
        <v>10.5</v>
      </c>
    </row>
    <row r="4553" spans="1:2" x14ac:dyDescent="0.25">
      <c r="A4553" s="924">
        <f t="shared" si="71"/>
        <v>4553</v>
      </c>
      <c r="B4553" s="924">
        <v>10.5</v>
      </c>
    </row>
    <row r="4554" spans="1:2" x14ac:dyDescent="0.25">
      <c r="A4554" s="924">
        <f t="shared" si="71"/>
        <v>4554</v>
      </c>
      <c r="B4554" s="924">
        <v>10.5</v>
      </c>
    </row>
    <row r="4555" spans="1:2" x14ac:dyDescent="0.25">
      <c r="A4555" s="924">
        <f t="shared" si="71"/>
        <v>4555</v>
      </c>
      <c r="B4555" s="924">
        <v>10.5</v>
      </c>
    </row>
    <row r="4556" spans="1:2" x14ac:dyDescent="0.25">
      <c r="A4556" s="924">
        <f t="shared" si="71"/>
        <v>4556</v>
      </c>
      <c r="B4556" s="924">
        <v>10.5</v>
      </c>
    </row>
    <row r="4557" spans="1:2" x14ac:dyDescent="0.25">
      <c r="A4557" s="924">
        <f t="shared" si="71"/>
        <v>4557</v>
      </c>
      <c r="B4557" s="924">
        <v>10.5</v>
      </c>
    </row>
    <row r="4558" spans="1:2" x14ac:dyDescent="0.25">
      <c r="A4558" s="924">
        <f t="shared" si="71"/>
        <v>4558</v>
      </c>
      <c r="B4558" s="924">
        <v>10.6</v>
      </c>
    </row>
    <row r="4559" spans="1:2" x14ac:dyDescent="0.25">
      <c r="A4559" s="924">
        <f t="shared" si="71"/>
        <v>4559</v>
      </c>
      <c r="B4559" s="924">
        <v>10.6</v>
      </c>
    </row>
    <row r="4560" spans="1:2" x14ac:dyDescent="0.25">
      <c r="A4560" s="924">
        <f t="shared" si="71"/>
        <v>4560</v>
      </c>
      <c r="B4560" s="924">
        <v>10.6</v>
      </c>
    </row>
    <row r="4561" spans="1:2" x14ac:dyDescent="0.25">
      <c r="A4561" s="924">
        <f t="shared" si="71"/>
        <v>4561</v>
      </c>
      <c r="B4561" s="924">
        <v>10.6</v>
      </c>
    </row>
    <row r="4562" spans="1:2" x14ac:dyDescent="0.25">
      <c r="A4562" s="924">
        <f t="shared" si="71"/>
        <v>4562</v>
      </c>
      <c r="B4562" s="924">
        <v>10.6</v>
      </c>
    </row>
    <row r="4563" spans="1:2" x14ac:dyDescent="0.25">
      <c r="A4563" s="924">
        <f t="shared" si="71"/>
        <v>4563</v>
      </c>
      <c r="B4563" s="924">
        <v>10.6</v>
      </c>
    </row>
    <row r="4564" spans="1:2" x14ac:dyDescent="0.25">
      <c r="A4564" s="924">
        <f t="shared" si="71"/>
        <v>4564</v>
      </c>
      <c r="B4564" s="924">
        <v>10.6</v>
      </c>
    </row>
    <row r="4565" spans="1:2" x14ac:dyDescent="0.25">
      <c r="A4565" s="924">
        <f t="shared" si="71"/>
        <v>4565</v>
      </c>
      <c r="B4565" s="924">
        <v>10.6</v>
      </c>
    </row>
    <row r="4566" spans="1:2" x14ac:dyDescent="0.25">
      <c r="A4566" s="924">
        <f t="shared" si="71"/>
        <v>4566</v>
      </c>
      <c r="B4566" s="924">
        <v>10.6</v>
      </c>
    </row>
    <row r="4567" spans="1:2" x14ac:dyDescent="0.25">
      <c r="A4567" s="924">
        <f t="shared" si="71"/>
        <v>4567</v>
      </c>
      <c r="B4567" s="924">
        <v>10.6</v>
      </c>
    </row>
    <row r="4568" spans="1:2" x14ac:dyDescent="0.25">
      <c r="A4568" s="924">
        <f t="shared" si="71"/>
        <v>4568</v>
      </c>
      <c r="B4568" s="924">
        <v>10.6</v>
      </c>
    </row>
    <row r="4569" spans="1:2" x14ac:dyDescent="0.25">
      <c r="A4569" s="924">
        <f t="shared" si="71"/>
        <v>4569</v>
      </c>
      <c r="B4569" s="924">
        <v>10.6</v>
      </c>
    </row>
    <row r="4570" spans="1:2" x14ac:dyDescent="0.25">
      <c r="A4570" s="924">
        <f t="shared" si="71"/>
        <v>4570</v>
      </c>
      <c r="B4570" s="924">
        <v>10.6</v>
      </c>
    </row>
    <row r="4571" spans="1:2" x14ac:dyDescent="0.25">
      <c r="A4571" s="924">
        <f t="shared" si="71"/>
        <v>4571</v>
      </c>
      <c r="B4571" s="924">
        <v>10.6</v>
      </c>
    </row>
    <row r="4572" spans="1:2" x14ac:dyDescent="0.25">
      <c r="A4572" s="924">
        <f t="shared" si="71"/>
        <v>4572</v>
      </c>
      <c r="B4572" s="924">
        <v>10.6</v>
      </c>
    </row>
    <row r="4573" spans="1:2" x14ac:dyDescent="0.25">
      <c r="A4573" s="924">
        <f t="shared" si="71"/>
        <v>4573</v>
      </c>
      <c r="B4573" s="924">
        <v>10.6</v>
      </c>
    </row>
    <row r="4574" spans="1:2" x14ac:dyDescent="0.25">
      <c r="A4574" s="924">
        <f t="shared" si="71"/>
        <v>4574</v>
      </c>
      <c r="B4574" s="924">
        <v>10.6</v>
      </c>
    </row>
    <row r="4575" spans="1:2" x14ac:dyDescent="0.25">
      <c r="A4575" s="924">
        <f t="shared" si="71"/>
        <v>4575</v>
      </c>
      <c r="B4575" s="924">
        <v>10.6</v>
      </c>
    </row>
    <row r="4576" spans="1:2" x14ac:dyDescent="0.25">
      <c r="A4576" s="924">
        <f t="shared" si="71"/>
        <v>4576</v>
      </c>
      <c r="B4576" s="924">
        <v>10.6</v>
      </c>
    </row>
    <row r="4577" spans="1:2" x14ac:dyDescent="0.25">
      <c r="A4577" s="924">
        <f t="shared" si="71"/>
        <v>4577</v>
      </c>
      <c r="B4577" s="924">
        <v>10.6</v>
      </c>
    </row>
    <row r="4578" spans="1:2" x14ac:dyDescent="0.25">
      <c r="A4578" s="924">
        <f t="shared" si="71"/>
        <v>4578</v>
      </c>
      <c r="B4578" s="924">
        <v>10.6</v>
      </c>
    </row>
    <row r="4579" spans="1:2" x14ac:dyDescent="0.25">
      <c r="A4579" s="924">
        <f t="shared" si="71"/>
        <v>4579</v>
      </c>
      <c r="B4579" s="924">
        <v>10.6</v>
      </c>
    </row>
    <row r="4580" spans="1:2" x14ac:dyDescent="0.25">
      <c r="A4580" s="924">
        <f t="shared" si="71"/>
        <v>4580</v>
      </c>
      <c r="B4580" s="924">
        <v>10.6</v>
      </c>
    </row>
    <row r="4581" spans="1:2" x14ac:dyDescent="0.25">
      <c r="A4581" s="924">
        <f t="shared" si="71"/>
        <v>4581</v>
      </c>
      <c r="B4581" s="924">
        <v>10.6</v>
      </c>
    </row>
    <row r="4582" spans="1:2" x14ac:dyDescent="0.25">
      <c r="A4582" s="924">
        <f t="shared" si="71"/>
        <v>4582</v>
      </c>
      <c r="B4582" s="924">
        <v>10.6</v>
      </c>
    </row>
    <row r="4583" spans="1:2" x14ac:dyDescent="0.25">
      <c r="A4583" s="924">
        <f t="shared" si="71"/>
        <v>4583</v>
      </c>
      <c r="B4583" s="924">
        <v>10.6</v>
      </c>
    </row>
    <row r="4584" spans="1:2" x14ac:dyDescent="0.25">
      <c r="A4584" s="924">
        <f t="shared" si="71"/>
        <v>4584</v>
      </c>
      <c r="B4584" s="924">
        <v>10.6</v>
      </c>
    </row>
    <row r="4585" spans="1:2" x14ac:dyDescent="0.25">
      <c r="A4585" s="924">
        <f t="shared" si="71"/>
        <v>4585</v>
      </c>
      <c r="B4585" s="924">
        <v>10.6</v>
      </c>
    </row>
    <row r="4586" spans="1:2" x14ac:dyDescent="0.25">
      <c r="A4586" s="924">
        <f t="shared" si="71"/>
        <v>4586</v>
      </c>
      <c r="B4586" s="924">
        <v>10.6</v>
      </c>
    </row>
    <row r="4587" spans="1:2" x14ac:dyDescent="0.25">
      <c r="A4587" s="924">
        <f t="shared" si="71"/>
        <v>4587</v>
      </c>
      <c r="B4587" s="924">
        <v>10.6</v>
      </c>
    </row>
    <row r="4588" spans="1:2" x14ac:dyDescent="0.25">
      <c r="A4588" s="924">
        <f t="shared" si="71"/>
        <v>4588</v>
      </c>
      <c r="B4588" s="924">
        <v>10.6</v>
      </c>
    </row>
    <row r="4589" spans="1:2" x14ac:dyDescent="0.25">
      <c r="A4589" s="924">
        <f t="shared" si="71"/>
        <v>4589</v>
      </c>
      <c r="B4589" s="924">
        <v>10.6</v>
      </c>
    </row>
    <row r="4590" spans="1:2" x14ac:dyDescent="0.25">
      <c r="A4590" s="924">
        <f t="shared" si="71"/>
        <v>4590</v>
      </c>
      <c r="B4590" s="924">
        <v>10.6</v>
      </c>
    </row>
    <row r="4591" spans="1:2" x14ac:dyDescent="0.25">
      <c r="A4591" s="924">
        <f t="shared" si="71"/>
        <v>4591</v>
      </c>
      <c r="B4591" s="924">
        <v>10.6</v>
      </c>
    </row>
    <row r="4592" spans="1:2" x14ac:dyDescent="0.25">
      <c r="A4592" s="924">
        <f t="shared" si="71"/>
        <v>4592</v>
      </c>
      <c r="B4592" s="924">
        <v>10.6</v>
      </c>
    </row>
    <row r="4593" spans="1:2" x14ac:dyDescent="0.25">
      <c r="A4593" s="924">
        <f t="shared" si="71"/>
        <v>4593</v>
      </c>
      <c r="B4593" s="924">
        <v>10.6</v>
      </c>
    </row>
    <row r="4594" spans="1:2" x14ac:dyDescent="0.25">
      <c r="A4594" s="924">
        <f t="shared" si="71"/>
        <v>4594</v>
      </c>
      <c r="B4594" s="924">
        <v>10.6</v>
      </c>
    </row>
    <row r="4595" spans="1:2" x14ac:dyDescent="0.25">
      <c r="A4595" s="924">
        <f t="shared" si="71"/>
        <v>4595</v>
      </c>
      <c r="B4595" s="924">
        <v>10.6</v>
      </c>
    </row>
    <row r="4596" spans="1:2" x14ac:dyDescent="0.25">
      <c r="A4596" s="924">
        <f t="shared" si="71"/>
        <v>4596</v>
      </c>
      <c r="B4596" s="924">
        <v>10.6</v>
      </c>
    </row>
    <row r="4597" spans="1:2" x14ac:dyDescent="0.25">
      <c r="A4597" s="924">
        <f t="shared" si="71"/>
        <v>4597</v>
      </c>
      <c r="B4597" s="924">
        <v>10.6</v>
      </c>
    </row>
    <row r="4598" spans="1:2" x14ac:dyDescent="0.25">
      <c r="A4598" s="924">
        <f t="shared" si="71"/>
        <v>4598</v>
      </c>
      <c r="B4598" s="924">
        <v>10.6</v>
      </c>
    </row>
    <row r="4599" spans="1:2" x14ac:dyDescent="0.25">
      <c r="A4599" s="924">
        <f t="shared" si="71"/>
        <v>4599</v>
      </c>
      <c r="B4599" s="924">
        <v>10.6</v>
      </c>
    </row>
    <row r="4600" spans="1:2" x14ac:dyDescent="0.25">
      <c r="A4600" s="924">
        <f t="shared" si="71"/>
        <v>4600</v>
      </c>
      <c r="B4600" s="924">
        <v>10.6</v>
      </c>
    </row>
    <row r="4601" spans="1:2" x14ac:dyDescent="0.25">
      <c r="A4601" s="924">
        <f t="shared" si="71"/>
        <v>4601</v>
      </c>
      <c r="B4601" s="924">
        <v>10.7</v>
      </c>
    </row>
    <row r="4602" spans="1:2" x14ac:dyDescent="0.25">
      <c r="A4602" s="924">
        <f t="shared" si="71"/>
        <v>4602</v>
      </c>
      <c r="B4602" s="924">
        <v>10.7</v>
      </c>
    </row>
    <row r="4603" spans="1:2" x14ac:dyDescent="0.25">
      <c r="A4603" s="924">
        <f t="shared" si="71"/>
        <v>4603</v>
      </c>
      <c r="B4603" s="924">
        <v>10.7</v>
      </c>
    </row>
    <row r="4604" spans="1:2" x14ac:dyDescent="0.25">
      <c r="A4604" s="924">
        <f t="shared" si="71"/>
        <v>4604</v>
      </c>
      <c r="B4604" s="924">
        <v>10.7</v>
      </c>
    </row>
    <row r="4605" spans="1:2" x14ac:dyDescent="0.25">
      <c r="A4605" s="924">
        <f t="shared" si="71"/>
        <v>4605</v>
      </c>
      <c r="B4605" s="924">
        <v>10.7</v>
      </c>
    </row>
    <row r="4606" spans="1:2" x14ac:dyDescent="0.25">
      <c r="A4606" s="924">
        <f t="shared" si="71"/>
        <v>4606</v>
      </c>
      <c r="B4606" s="924">
        <v>10.7</v>
      </c>
    </row>
    <row r="4607" spans="1:2" x14ac:dyDescent="0.25">
      <c r="A4607" s="924">
        <f t="shared" si="71"/>
        <v>4607</v>
      </c>
      <c r="B4607" s="924">
        <v>10.7</v>
      </c>
    </row>
    <row r="4608" spans="1:2" x14ac:dyDescent="0.25">
      <c r="A4608" s="924">
        <f t="shared" si="71"/>
        <v>4608</v>
      </c>
      <c r="B4608" s="924">
        <v>10.7</v>
      </c>
    </row>
    <row r="4609" spans="1:2" x14ac:dyDescent="0.25">
      <c r="A4609" s="924">
        <f t="shared" si="71"/>
        <v>4609</v>
      </c>
      <c r="B4609" s="924">
        <v>10.7</v>
      </c>
    </row>
    <row r="4610" spans="1:2" x14ac:dyDescent="0.25">
      <c r="A4610" s="924">
        <f t="shared" si="71"/>
        <v>4610</v>
      </c>
      <c r="B4610" s="924">
        <v>10.7</v>
      </c>
    </row>
    <row r="4611" spans="1:2" x14ac:dyDescent="0.25">
      <c r="A4611" s="924">
        <f t="shared" ref="A4611:A4674" si="72">A4610+1</f>
        <v>4611</v>
      </c>
      <c r="B4611" s="924">
        <v>10.7</v>
      </c>
    </row>
    <row r="4612" spans="1:2" x14ac:dyDescent="0.25">
      <c r="A4612" s="924">
        <f t="shared" si="72"/>
        <v>4612</v>
      </c>
      <c r="B4612" s="924">
        <v>10.7</v>
      </c>
    </row>
    <row r="4613" spans="1:2" x14ac:dyDescent="0.25">
      <c r="A4613" s="924">
        <f t="shared" si="72"/>
        <v>4613</v>
      </c>
      <c r="B4613" s="924">
        <v>10.7</v>
      </c>
    </row>
    <row r="4614" spans="1:2" x14ac:dyDescent="0.25">
      <c r="A4614" s="924">
        <f t="shared" si="72"/>
        <v>4614</v>
      </c>
      <c r="B4614" s="924">
        <v>10.7</v>
      </c>
    </row>
    <row r="4615" spans="1:2" x14ac:dyDescent="0.25">
      <c r="A4615" s="924">
        <f t="shared" si="72"/>
        <v>4615</v>
      </c>
      <c r="B4615" s="924">
        <v>10.7</v>
      </c>
    </row>
    <row r="4616" spans="1:2" x14ac:dyDescent="0.25">
      <c r="A4616" s="924">
        <f t="shared" si="72"/>
        <v>4616</v>
      </c>
      <c r="B4616" s="924">
        <v>10.7</v>
      </c>
    </row>
    <row r="4617" spans="1:2" x14ac:dyDescent="0.25">
      <c r="A4617" s="924">
        <f t="shared" si="72"/>
        <v>4617</v>
      </c>
      <c r="B4617" s="924">
        <v>10.7</v>
      </c>
    </row>
    <row r="4618" spans="1:2" x14ac:dyDescent="0.25">
      <c r="A4618" s="924">
        <f t="shared" si="72"/>
        <v>4618</v>
      </c>
      <c r="B4618" s="924">
        <v>10.7</v>
      </c>
    </row>
    <row r="4619" spans="1:2" x14ac:dyDescent="0.25">
      <c r="A4619" s="924">
        <f t="shared" si="72"/>
        <v>4619</v>
      </c>
      <c r="B4619" s="924">
        <v>10.7</v>
      </c>
    </row>
    <row r="4620" spans="1:2" x14ac:dyDescent="0.25">
      <c r="A4620" s="924">
        <f t="shared" si="72"/>
        <v>4620</v>
      </c>
      <c r="B4620" s="924">
        <v>10.7</v>
      </c>
    </row>
    <row r="4621" spans="1:2" x14ac:dyDescent="0.25">
      <c r="A4621" s="924">
        <f t="shared" si="72"/>
        <v>4621</v>
      </c>
      <c r="B4621" s="924">
        <v>10.7</v>
      </c>
    </row>
    <row r="4622" spans="1:2" x14ac:dyDescent="0.25">
      <c r="A4622" s="924">
        <f t="shared" si="72"/>
        <v>4622</v>
      </c>
      <c r="B4622" s="924">
        <v>10.7</v>
      </c>
    </row>
    <row r="4623" spans="1:2" x14ac:dyDescent="0.25">
      <c r="A4623" s="924">
        <f t="shared" si="72"/>
        <v>4623</v>
      </c>
      <c r="B4623" s="924">
        <v>10.7</v>
      </c>
    </row>
    <row r="4624" spans="1:2" x14ac:dyDescent="0.25">
      <c r="A4624" s="924">
        <f t="shared" si="72"/>
        <v>4624</v>
      </c>
      <c r="B4624" s="924">
        <v>10.7</v>
      </c>
    </row>
    <row r="4625" spans="1:2" x14ac:dyDescent="0.25">
      <c r="A4625" s="924">
        <f t="shared" si="72"/>
        <v>4625</v>
      </c>
      <c r="B4625" s="924">
        <v>10.7</v>
      </c>
    </row>
    <row r="4626" spans="1:2" x14ac:dyDescent="0.25">
      <c r="A4626" s="924">
        <f t="shared" si="72"/>
        <v>4626</v>
      </c>
      <c r="B4626" s="924">
        <v>10.7</v>
      </c>
    </row>
    <row r="4627" spans="1:2" x14ac:dyDescent="0.25">
      <c r="A4627" s="924">
        <f t="shared" si="72"/>
        <v>4627</v>
      </c>
      <c r="B4627" s="924">
        <v>10.7</v>
      </c>
    </row>
    <row r="4628" spans="1:2" x14ac:dyDescent="0.25">
      <c r="A4628" s="924">
        <f t="shared" si="72"/>
        <v>4628</v>
      </c>
      <c r="B4628" s="924">
        <v>10.7</v>
      </c>
    </row>
    <row r="4629" spans="1:2" x14ac:dyDescent="0.25">
      <c r="A4629" s="924">
        <f t="shared" si="72"/>
        <v>4629</v>
      </c>
      <c r="B4629" s="924">
        <v>10.7</v>
      </c>
    </row>
    <row r="4630" spans="1:2" x14ac:dyDescent="0.25">
      <c r="A4630" s="924">
        <f t="shared" si="72"/>
        <v>4630</v>
      </c>
      <c r="B4630" s="924">
        <v>10.7</v>
      </c>
    </row>
    <row r="4631" spans="1:2" x14ac:dyDescent="0.25">
      <c r="A4631" s="924">
        <f t="shared" si="72"/>
        <v>4631</v>
      </c>
      <c r="B4631" s="924">
        <v>10.7</v>
      </c>
    </row>
    <row r="4632" spans="1:2" x14ac:dyDescent="0.25">
      <c r="A4632" s="924">
        <f t="shared" si="72"/>
        <v>4632</v>
      </c>
      <c r="B4632" s="924">
        <v>10.7</v>
      </c>
    </row>
    <row r="4633" spans="1:2" x14ac:dyDescent="0.25">
      <c r="A4633" s="924">
        <f t="shared" si="72"/>
        <v>4633</v>
      </c>
      <c r="B4633" s="924">
        <v>10.7</v>
      </c>
    </row>
    <row r="4634" spans="1:2" x14ac:dyDescent="0.25">
      <c r="A4634" s="924">
        <f t="shared" si="72"/>
        <v>4634</v>
      </c>
      <c r="B4634" s="924">
        <v>10.7</v>
      </c>
    </row>
    <row r="4635" spans="1:2" x14ac:dyDescent="0.25">
      <c r="A4635" s="924">
        <f t="shared" si="72"/>
        <v>4635</v>
      </c>
      <c r="B4635" s="924">
        <v>10.8</v>
      </c>
    </row>
    <row r="4636" spans="1:2" x14ac:dyDescent="0.25">
      <c r="A4636" s="924">
        <f t="shared" si="72"/>
        <v>4636</v>
      </c>
      <c r="B4636" s="924">
        <v>10.8</v>
      </c>
    </row>
    <row r="4637" spans="1:2" x14ac:dyDescent="0.25">
      <c r="A4637" s="924">
        <f t="shared" si="72"/>
        <v>4637</v>
      </c>
      <c r="B4637" s="924">
        <v>10.8</v>
      </c>
    </row>
    <row r="4638" spans="1:2" x14ac:dyDescent="0.25">
      <c r="A4638" s="924">
        <f t="shared" si="72"/>
        <v>4638</v>
      </c>
      <c r="B4638" s="924">
        <v>10.8</v>
      </c>
    </row>
    <row r="4639" spans="1:2" x14ac:dyDescent="0.25">
      <c r="A4639" s="924">
        <f t="shared" si="72"/>
        <v>4639</v>
      </c>
      <c r="B4639" s="924">
        <v>10.8</v>
      </c>
    </row>
    <row r="4640" spans="1:2" x14ac:dyDescent="0.25">
      <c r="A4640" s="924">
        <f t="shared" si="72"/>
        <v>4640</v>
      </c>
      <c r="B4640" s="924">
        <v>10.8</v>
      </c>
    </row>
    <row r="4641" spans="1:2" x14ac:dyDescent="0.25">
      <c r="A4641" s="924">
        <f t="shared" si="72"/>
        <v>4641</v>
      </c>
      <c r="B4641" s="924">
        <v>10.8</v>
      </c>
    </row>
    <row r="4642" spans="1:2" x14ac:dyDescent="0.25">
      <c r="A4642" s="924">
        <f t="shared" si="72"/>
        <v>4642</v>
      </c>
      <c r="B4642" s="924">
        <v>10.8</v>
      </c>
    </row>
    <row r="4643" spans="1:2" x14ac:dyDescent="0.25">
      <c r="A4643" s="924">
        <f t="shared" si="72"/>
        <v>4643</v>
      </c>
      <c r="B4643" s="924">
        <v>10.8</v>
      </c>
    </row>
    <row r="4644" spans="1:2" x14ac:dyDescent="0.25">
      <c r="A4644" s="924">
        <f t="shared" si="72"/>
        <v>4644</v>
      </c>
      <c r="B4644" s="924">
        <v>10.8</v>
      </c>
    </row>
    <row r="4645" spans="1:2" x14ac:dyDescent="0.25">
      <c r="A4645" s="924">
        <f t="shared" si="72"/>
        <v>4645</v>
      </c>
      <c r="B4645" s="924">
        <v>10.8</v>
      </c>
    </row>
    <row r="4646" spans="1:2" x14ac:dyDescent="0.25">
      <c r="A4646" s="924">
        <f t="shared" si="72"/>
        <v>4646</v>
      </c>
      <c r="B4646" s="924">
        <v>10.8</v>
      </c>
    </row>
    <row r="4647" spans="1:2" x14ac:dyDescent="0.25">
      <c r="A4647" s="924">
        <f t="shared" si="72"/>
        <v>4647</v>
      </c>
      <c r="B4647" s="924">
        <v>10.8</v>
      </c>
    </row>
    <row r="4648" spans="1:2" x14ac:dyDescent="0.25">
      <c r="A4648" s="924">
        <f t="shared" si="72"/>
        <v>4648</v>
      </c>
      <c r="B4648" s="924">
        <v>10.8</v>
      </c>
    </row>
    <row r="4649" spans="1:2" x14ac:dyDescent="0.25">
      <c r="A4649" s="924">
        <f t="shared" si="72"/>
        <v>4649</v>
      </c>
      <c r="B4649" s="924">
        <v>10.8</v>
      </c>
    </row>
    <row r="4650" spans="1:2" x14ac:dyDescent="0.25">
      <c r="A4650" s="924">
        <f t="shared" si="72"/>
        <v>4650</v>
      </c>
      <c r="B4650" s="924">
        <v>10.8</v>
      </c>
    </row>
    <row r="4651" spans="1:2" x14ac:dyDescent="0.25">
      <c r="A4651" s="924">
        <f t="shared" si="72"/>
        <v>4651</v>
      </c>
      <c r="B4651" s="924">
        <v>10.8</v>
      </c>
    </row>
    <row r="4652" spans="1:2" x14ac:dyDescent="0.25">
      <c r="A4652" s="924">
        <f t="shared" si="72"/>
        <v>4652</v>
      </c>
      <c r="B4652" s="924">
        <v>10.8</v>
      </c>
    </row>
    <row r="4653" spans="1:2" x14ac:dyDescent="0.25">
      <c r="A4653" s="924">
        <f t="shared" si="72"/>
        <v>4653</v>
      </c>
      <c r="B4653" s="924">
        <v>10.8</v>
      </c>
    </row>
    <row r="4654" spans="1:2" x14ac:dyDescent="0.25">
      <c r="A4654" s="924">
        <f t="shared" si="72"/>
        <v>4654</v>
      </c>
      <c r="B4654" s="924">
        <v>10.8</v>
      </c>
    </row>
    <row r="4655" spans="1:2" x14ac:dyDescent="0.25">
      <c r="A4655" s="924">
        <f t="shared" si="72"/>
        <v>4655</v>
      </c>
      <c r="B4655" s="924">
        <v>10.8</v>
      </c>
    </row>
    <row r="4656" spans="1:2" x14ac:dyDescent="0.25">
      <c r="A4656" s="924">
        <f t="shared" si="72"/>
        <v>4656</v>
      </c>
      <c r="B4656" s="924">
        <v>10.8</v>
      </c>
    </row>
    <row r="4657" spans="1:2" x14ac:dyDescent="0.25">
      <c r="A4657" s="924">
        <f t="shared" si="72"/>
        <v>4657</v>
      </c>
      <c r="B4657" s="924">
        <v>10.8</v>
      </c>
    </row>
    <row r="4658" spans="1:2" x14ac:dyDescent="0.25">
      <c r="A4658" s="924">
        <f t="shared" si="72"/>
        <v>4658</v>
      </c>
      <c r="B4658" s="924">
        <v>10.8</v>
      </c>
    </row>
    <row r="4659" spans="1:2" x14ac:dyDescent="0.25">
      <c r="A4659" s="924">
        <f t="shared" si="72"/>
        <v>4659</v>
      </c>
      <c r="B4659" s="924">
        <v>10.8</v>
      </c>
    </row>
    <row r="4660" spans="1:2" x14ac:dyDescent="0.25">
      <c r="A4660" s="924">
        <f t="shared" si="72"/>
        <v>4660</v>
      </c>
      <c r="B4660" s="924">
        <v>10.8</v>
      </c>
    </row>
    <row r="4661" spans="1:2" x14ac:dyDescent="0.25">
      <c r="A4661" s="924">
        <f t="shared" si="72"/>
        <v>4661</v>
      </c>
      <c r="B4661" s="924">
        <v>10.8</v>
      </c>
    </row>
    <row r="4662" spans="1:2" x14ac:dyDescent="0.25">
      <c r="A4662" s="924">
        <f t="shared" si="72"/>
        <v>4662</v>
      </c>
      <c r="B4662" s="924">
        <v>10.8</v>
      </c>
    </row>
    <row r="4663" spans="1:2" x14ac:dyDescent="0.25">
      <c r="A4663" s="924">
        <f t="shared" si="72"/>
        <v>4663</v>
      </c>
      <c r="B4663" s="924">
        <v>10.8</v>
      </c>
    </row>
    <row r="4664" spans="1:2" x14ac:dyDescent="0.25">
      <c r="A4664" s="924">
        <f t="shared" si="72"/>
        <v>4664</v>
      </c>
      <c r="B4664" s="924">
        <v>10.8</v>
      </c>
    </row>
    <row r="4665" spans="1:2" x14ac:dyDescent="0.25">
      <c r="A4665" s="924">
        <f t="shared" si="72"/>
        <v>4665</v>
      </c>
      <c r="B4665" s="924">
        <v>10.8</v>
      </c>
    </row>
    <row r="4666" spans="1:2" x14ac:dyDescent="0.25">
      <c r="A4666" s="924">
        <f t="shared" si="72"/>
        <v>4666</v>
      </c>
      <c r="B4666" s="924">
        <v>10.8</v>
      </c>
    </row>
    <row r="4667" spans="1:2" x14ac:dyDescent="0.25">
      <c r="A4667" s="924">
        <f t="shared" si="72"/>
        <v>4667</v>
      </c>
      <c r="B4667" s="924">
        <v>10.8</v>
      </c>
    </row>
    <row r="4668" spans="1:2" x14ac:dyDescent="0.25">
      <c r="A4668" s="924">
        <f t="shared" si="72"/>
        <v>4668</v>
      </c>
      <c r="B4668" s="924">
        <v>10.8</v>
      </c>
    </row>
    <row r="4669" spans="1:2" x14ac:dyDescent="0.25">
      <c r="A4669" s="924">
        <f t="shared" si="72"/>
        <v>4669</v>
      </c>
      <c r="B4669" s="924">
        <v>10.8</v>
      </c>
    </row>
    <row r="4670" spans="1:2" x14ac:dyDescent="0.25">
      <c r="A4670" s="924">
        <f t="shared" si="72"/>
        <v>4670</v>
      </c>
      <c r="B4670" s="924">
        <v>10.8</v>
      </c>
    </row>
    <row r="4671" spans="1:2" x14ac:dyDescent="0.25">
      <c r="A4671" s="924">
        <f t="shared" si="72"/>
        <v>4671</v>
      </c>
      <c r="B4671" s="924">
        <v>10.8</v>
      </c>
    </row>
    <row r="4672" spans="1:2" x14ac:dyDescent="0.25">
      <c r="A4672" s="924">
        <f t="shared" si="72"/>
        <v>4672</v>
      </c>
      <c r="B4672" s="924">
        <v>10.8</v>
      </c>
    </row>
    <row r="4673" spans="1:2" x14ac:dyDescent="0.25">
      <c r="A4673" s="924">
        <f t="shared" si="72"/>
        <v>4673</v>
      </c>
      <c r="B4673" s="924">
        <v>10.8</v>
      </c>
    </row>
    <row r="4674" spans="1:2" x14ac:dyDescent="0.25">
      <c r="A4674" s="924">
        <f t="shared" si="72"/>
        <v>4674</v>
      </c>
      <c r="B4674" s="924">
        <v>10.8</v>
      </c>
    </row>
    <row r="4675" spans="1:2" x14ac:dyDescent="0.25">
      <c r="A4675" s="924">
        <f t="shared" ref="A4675:A4738" si="73">A4674+1</f>
        <v>4675</v>
      </c>
      <c r="B4675" s="924">
        <v>10.9</v>
      </c>
    </row>
    <row r="4676" spans="1:2" x14ac:dyDescent="0.25">
      <c r="A4676" s="924">
        <f t="shared" si="73"/>
        <v>4676</v>
      </c>
      <c r="B4676" s="924">
        <v>10.9</v>
      </c>
    </row>
    <row r="4677" spans="1:2" x14ac:dyDescent="0.25">
      <c r="A4677" s="924">
        <f t="shared" si="73"/>
        <v>4677</v>
      </c>
      <c r="B4677" s="924">
        <v>10.9</v>
      </c>
    </row>
    <row r="4678" spans="1:2" x14ac:dyDescent="0.25">
      <c r="A4678" s="924">
        <f t="shared" si="73"/>
        <v>4678</v>
      </c>
      <c r="B4678" s="924">
        <v>10.9</v>
      </c>
    </row>
    <row r="4679" spans="1:2" x14ac:dyDescent="0.25">
      <c r="A4679" s="924">
        <f t="shared" si="73"/>
        <v>4679</v>
      </c>
      <c r="B4679" s="924">
        <v>10.9</v>
      </c>
    </row>
    <row r="4680" spans="1:2" x14ac:dyDescent="0.25">
      <c r="A4680" s="924">
        <f t="shared" si="73"/>
        <v>4680</v>
      </c>
      <c r="B4680" s="924">
        <v>10.9</v>
      </c>
    </row>
    <row r="4681" spans="1:2" x14ac:dyDescent="0.25">
      <c r="A4681" s="924">
        <f t="shared" si="73"/>
        <v>4681</v>
      </c>
      <c r="B4681" s="924">
        <v>10.9</v>
      </c>
    </row>
    <row r="4682" spans="1:2" x14ac:dyDescent="0.25">
      <c r="A4682" s="924">
        <f t="shared" si="73"/>
        <v>4682</v>
      </c>
      <c r="B4682" s="924">
        <v>10.9</v>
      </c>
    </row>
    <row r="4683" spans="1:2" x14ac:dyDescent="0.25">
      <c r="A4683" s="924">
        <f t="shared" si="73"/>
        <v>4683</v>
      </c>
      <c r="B4683" s="924">
        <v>10.9</v>
      </c>
    </row>
    <row r="4684" spans="1:2" x14ac:dyDescent="0.25">
      <c r="A4684" s="924">
        <f t="shared" si="73"/>
        <v>4684</v>
      </c>
      <c r="B4684" s="924">
        <v>10.9</v>
      </c>
    </row>
    <row r="4685" spans="1:2" x14ac:dyDescent="0.25">
      <c r="A4685" s="924">
        <f t="shared" si="73"/>
        <v>4685</v>
      </c>
      <c r="B4685" s="924">
        <v>10.9</v>
      </c>
    </row>
    <row r="4686" spans="1:2" x14ac:dyDescent="0.25">
      <c r="A4686" s="924">
        <f t="shared" si="73"/>
        <v>4686</v>
      </c>
      <c r="B4686" s="924">
        <v>10.9</v>
      </c>
    </row>
    <row r="4687" spans="1:2" x14ac:dyDescent="0.25">
      <c r="A4687" s="924">
        <f t="shared" si="73"/>
        <v>4687</v>
      </c>
      <c r="B4687" s="924">
        <v>10.9</v>
      </c>
    </row>
    <row r="4688" spans="1:2" x14ac:dyDescent="0.25">
      <c r="A4688" s="924">
        <f t="shared" si="73"/>
        <v>4688</v>
      </c>
      <c r="B4688" s="924">
        <v>10.9</v>
      </c>
    </row>
    <row r="4689" spans="1:2" x14ac:dyDescent="0.25">
      <c r="A4689" s="924">
        <f t="shared" si="73"/>
        <v>4689</v>
      </c>
      <c r="B4689" s="924">
        <v>10.9</v>
      </c>
    </row>
    <row r="4690" spans="1:2" x14ac:dyDescent="0.25">
      <c r="A4690" s="924">
        <f t="shared" si="73"/>
        <v>4690</v>
      </c>
      <c r="B4690" s="924">
        <v>10.9</v>
      </c>
    </row>
    <row r="4691" spans="1:2" x14ac:dyDescent="0.25">
      <c r="A4691" s="924">
        <f t="shared" si="73"/>
        <v>4691</v>
      </c>
      <c r="B4691" s="924">
        <v>10.9</v>
      </c>
    </row>
    <row r="4692" spans="1:2" x14ac:dyDescent="0.25">
      <c r="A4692" s="924">
        <f t="shared" si="73"/>
        <v>4692</v>
      </c>
      <c r="B4692" s="924">
        <v>10.9</v>
      </c>
    </row>
    <row r="4693" spans="1:2" x14ac:dyDescent="0.25">
      <c r="A4693" s="924">
        <f t="shared" si="73"/>
        <v>4693</v>
      </c>
      <c r="B4693" s="924">
        <v>10.9</v>
      </c>
    </row>
    <row r="4694" spans="1:2" x14ac:dyDescent="0.25">
      <c r="A4694" s="924">
        <f t="shared" si="73"/>
        <v>4694</v>
      </c>
      <c r="B4694" s="924">
        <v>10.9</v>
      </c>
    </row>
    <row r="4695" spans="1:2" x14ac:dyDescent="0.25">
      <c r="A4695" s="924">
        <f t="shared" si="73"/>
        <v>4695</v>
      </c>
      <c r="B4695" s="924">
        <v>10.9</v>
      </c>
    </row>
    <row r="4696" spans="1:2" x14ac:dyDescent="0.25">
      <c r="A4696" s="924">
        <f t="shared" si="73"/>
        <v>4696</v>
      </c>
      <c r="B4696" s="924">
        <v>10.9</v>
      </c>
    </row>
    <row r="4697" spans="1:2" x14ac:dyDescent="0.25">
      <c r="A4697" s="924">
        <f t="shared" si="73"/>
        <v>4697</v>
      </c>
      <c r="B4697" s="924">
        <v>10.9</v>
      </c>
    </row>
    <row r="4698" spans="1:2" x14ac:dyDescent="0.25">
      <c r="A4698" s="924">
        <f t="shared" si="73"/>
        <v>4698</v>
      </c>
      <c r="B4698" s="924">
        <v>10.9</v>
      </c>
    </row>
    <row r="4699" spans="1:2" x14ac:dyDescent="0.25">
      <c r="A4699" s="924">
        <f t="shared" si="73"/>
        <v>4699</v>
      </c>
      <c r="B4699" s="924">
        <v>10.9</v>
      </c>
    </row>
    <row r="4700" spans="1:2" x14ac:dyDescent="0.25">
      <c r="A4700" s="924">
        <f t="shared" si="73"/>
        <v>4700</v>
      </c>
      <c r="B4700" s="924">
        <v>10.9</v>
      </c>
    </row>
    <row r="4701" spans="1:2" x14ac:dyDescent="0.25">
      <c r="A4701" s="924">
        <f t="shared" si="73"/>
        <v>4701</v>
      </c>
      <c r="B4701" s="924">
        <v>10.9</v>
      </c>
    </row>
    <row r="4702" spans="1:2" x14ac:dyDescent="0.25">
      <c r="A4702" s="924">
        <f t="shared" si="73"/>
        <v>4702</v>
      </c>
      <c r="B4702" s="924">
        <v>10.9</v>
      </c>
    </row>
    <row r="4703" spans="1:2" x14ac:dyDescent="0.25">
      <c r="A4703" s="924">
        <f t="shared" si="73"/>
        <v>4703</v>
      </c>
      <c r="B4703" s="924">
        <v>10.9</v>
      </c>
    </row>
    <row r="4704" spans="1:2" x14ac:dyDescent="0.25">
      <c r="A4704" s="924">
        <f t="shared" si="73"/>
        <v>4704</v>
      </c>
      <c r="B4704" s="924">
        <v>10.9</v>
      </c>
    </row>
    <row r="4705" spans="1:2" x14ac:dyDescent="0.25">
      <c r="A4705" s="924">
        <f t="shared" si="73"/>
        <v>4705</v>
      </c>
      <c r="B4705" s="924">
        <v>10.9</v>
      </c>
    </row>
    <row r="4706" spans="1:2" x14ac:dyDescent="0.25">
      <c r="A4706" s="924">
        <f t="shared" si="73"/>
        <v>4706</v>
      </c>
      <c r="B4706" s="924">
        <v>10.9</v>
      </c>
    </row>
    <row r="4707" spans="1:2" x14ac:dyDescent="0.25">
      <c r="A4707" s="924">
        <f t="shared" si="73"/>
        <v>4707</v>
      </c>
      <c r="B4707" s="924">
        <v>10.9</v>
      </c>
    </row>
    <row r="4708" spans="1:2" x14ac:dyDescent="0.25">
      <c r="A4708" s="924">
        <f t="shared" si="73"/>
        <v>4708</v>
      </c>
      <c r="B4708" s="924">
        <v>10.9</v>
      </c>
    </row>
    <row r="4709" spans="1:2" x14ac:dyDescent="0.25">
      <c r="A4709" s="924">
        <f t="shared" si="73"/>
        <v>4709</v>
      </c>
      <c r="B4709" s="924">
        <v>10.9</v>
      </c>
    </row>
    <row r="4710" spans="1:2" x14ac:dyDescent="0.25">
      <c r="A4710" s="924">
        <f t="shared" si="73"/>
        <v>4710</v>
      </c>
      <c r="B4710" s="924">
        <v>10.9</v>
      </c>
    </row>
    <row r="4711" spans="1:2" x14ac:dyDescent="0.25">
      <c r="A4711" s="924">
        <f t="shared" si="73"/>
        <v>4711</v>
      </c>
      <c r="B4711" s="924">
        <v>10.9</v>
      </c>
    </row>
    <row r="4712" spans="1:2" x14ac:dyDescent="0.25">
      <c r="A4712" s="924">
        <f t="shared" si="73"/>
        <v>4712</v>
      </c>
      <c r="B4712" s="924">
        <v>10.9</v>
      </c>
    </row>
    <row r="4713" spans="1:2" x14ac:dyDescent="0.25">
      <c r="A4713" s="924">
        <f t="shared" si="73"/>
        <v>4713</v>
      </c>
      <c r="B4713" s="924">
        <v>10.9</v>
      </c>
    </row>
    <row r="4714" spans="1:2" x14ac:dyDescent="0.25">
      <c r="A4714" s="924">
        <f t="shared" si="73"/>
        <v>4714</v>
      </c>
      <c r="B4714" s="924">
        <v>10.9</v>
      </c>
    </row>
    <row r="4715" spans="1:2" x14ac:dyDescent="0.25">
      <c r="A4715" s="924">
        <f t="shared" si="73"/>
        <v>4715</v>
      </c>
      <c r="B4715" s="924">
        <v>10.9</v>
      </c>
    </row>
    <row r="4716" spans="1:2" x14ac:dyDescent="0.25">
      <c r="A4716" s="924">
        <f t="shared" si="73"/>
        <v>4716</v>
      </c>
      <c r="B4716" s="924">
        <v>10.9</v>
      </c>
    </row>
    <row r="4717" spans="1:2" x14ac:dyDescent="0.25">
      <c r="A4717" s="924">
        <f t="shared" si="73"/>
        <v>4717</v>
      </c>
      <c r="B4717" s="924">
        <v>10.9</v>
      </c>
    </row>
    <row r="4718" spans="1:2" x14ac:dyDescent="0.25">
      <c r="A4718" s="924">
        <f t="shared" si="73"/>
        <v>4718</v>
      </c>
      <c r="B4718" s="924">
        <v>11</v>
      </c>
    </row>
    <row r="4719" spans="1:2" x14ac:dyDescent="0.25">
      <c r="A4719" s="924">
        <f t="shared" si="73"/>
        <v>4719</v>
      </c>
      <c r="B4719" s="924">
        <v>11</v>
      </c>
    </row>
    <row r="4720" spans="1:2" x14ac:dyDescent="0.25">
      <c r="A4720" s="924">
        <f t="shared" si="73"/>
        <v>4720</v>
      </c>
      <c r="B4720" s="924">
        <v>11</v>
      </c>
    </row>
    <row r="4721" spans="1:2" x14ac:dyDescent="0.25">
      <c r="A4721" s="924">
        <f t="shared" si="73"/>
        <v>4721</v>
      </c>
      <c r="B4721" s="924">
        <v>11</v>
      </c>
    </row>
    <row r="4722" spans="1:2" x14ac:dyDescent="0.25">
      <c r="A4722" s="924">
        <f t="shared" si="73"/>
        <v>4722</v>
      </c>
      <c r="B4722" s="924">
        <v>11</v>
      </c>
    </row>
    <row r="4723" spans="1:2" x14ac:dyDescent="0.25">
      <c r="A4723" s="924">
        <f t="shared" si="73"/>
        <v>4723</v>
      </c>
      <c r="B4723" s="924">
        <v>11</v>
      </c>
    </row>
    <row r="4724" spans="1:2" x14ac:dyDescent="0.25">
      <c r="A4724" s="924">
        <f t="shared" si="73"/>
        <v>4724</v>
      </c>
      <c r="B4724" s="924">
        <v>11</v>
      </c>
    </row>
    <row r="4725" spans="1:2" x14ac:dyDescent="0.25">
      <c r="A4725" s="924">
        <f t="shared" si="73"/>
        <v>4725</v>
      </c>
      <c r="B4725" s="924">
        <v>11</v>
      </c>
    </row>
    <row r="4726" spans="1:2" x14ac:dyDescent="0.25">
      <c r="A4726" s="924">
        <f t="shared" si="73"/>
        <v>4726</v>
      </c>
      <c r="B4726" s="924">
        <v>11</v>
      </c>
    </row>
    <row r="4727" spans="1:2" x14ac:dyDescent="0.25">
      <c r="A4727" s="924">
        <f t="shared" si="73"/>
        <v>4727</v>
      </c>
      <c r="B4727" s="924">
        <v>11</v>
      </c>
    </row>
    <row r="4728" spans="1:2" x14ac:dyDescent="0.25">
      <c r="A4728" s="924">
        <f t="shared" si="73"/>
        <v>4728</v>
      </c>
      <c r="B4728" s="924">
        <v>11</v>
      </c>
    </row>
    <row r="4729" spans="1:2" x14ac:dyDescent="0.25">
      <c r="A4729" s="924">
        <f t="shared" si="73"/>
        <v>4729</v>
      </c>
      <c r="B4729" s="924">
        <v>11</v>
      </c>
    </row>
    <row r="4730" spans="1:2" x14ac:dyDescent="0.25">
      <c r="A4730" s="924">
        <f t="shared" si="73"/>
        <v>4730</v>
      </c>
      <c r="B4730" s="924">
        <v>11</v>
      </c>
    </row>
    <row r="4731" spans="1:2" x14ac:dyDescent="0.25">
      <c r="A4731" s="924">
        <f t="shared" si="73"/>
        <v>4731</v>
      </c>
      <c r="B4731" s="924">
        <v>11</v>
      </c>
    </row>
    <row r="4732" spans="1:2" x14ac:dyDescent="0.25">
      <c r="A4732" s="924">
        <f t="shared" si="73"/>
        <v>4732</v>
      </c>
      <c r="B4732" s="924">
        <v>11</v>
      </c>
    </row>
    <row r="4733" spans="1:2" x14ac:dyDescent="0.25">
      <c r="A4733" s="924">
        <f t="shared" si="73"/>
        <v>4733</v>
      </c>
      <c r="B4733" s="924">
        <v>11</v>
      </c>
    </row>
    <row r="4734" spans="1:2" x14ac:dyDescent="0.25">
      <c r="A4734" s="924">
        <f t="shared" si="73"/>
        <v>4734</v>
      </c>
      <c r="B4734" s="924">
        <v>11</v>
      </c>
    </row>
    <row r="4735" spans="1:2" x14ac:dyDescent="0.25">
      <c r="A4735" s="924">
        <f t="shared" si="73"/>
        <v>4735</v>
      </c>
      <c r="B4735" s="924">
        <v>11</v>
      </c>
    </row>
    <row r="4736" spans="1:2" x14ac:dyDescent="0.25">
      <c r="A4736" s="924">
        <f t="shared" si="73"/>
        <v>4736</v>
      </c>
      <c r="B4736" s="924">
        <v>11</v>
      </c>
    </row>
    <row r="4737" spans="1:2" x14ac:dyDescent="0.25">
      <c r="A4737" s="924">
        <f t="shared" si="73"/>
        <v>4737</v>
      </c>
      <c r="B4737" s="924">
        <v>11</v>
      </c>
    </row>
    <row r="4738" spans="1:2" x14ac:dyDescent="0.25">
      <c r="A4738" s="924">
        <f t="shared" si="73"/>
        <v>4738</v>
      </c>
      <c r="B4738" s="924">
        <v>11</v>
      </c>
    </row>
    <row r="4739" spans="1:2" x14ac:dyDescent="0.25">
      <c r="A4739" s="924">
        <f t="shared" ref="A4739:A4802" si="74">A4738+1</f>
        <v>4739</v>
      </c>
      <c r="B4739" s="924">
        <v>11</v>
      </c>
    </row>
    <row r="4740" spans="1:2" x14ac:dyDescent="0.25">
      <c r="A4740" s="924">
        <f t="shared" si="74"/>
        <v>4740</v>
      </c>
      <c r="B4740" s="924">
        <v>11</v>
      </c>
    </row>
    <row r="4741" spans="1:2" x14ac:dyDescent="0.25">
      <c r="A4741" s="924">
        <f t="shared" si="74"/>
        <v>4741</v>
      </c>
      <c r="B4741" s="924">
        <v>11</v>
      </c>
    </row>
    <row r="4742" spans="1:2" x14ac:dyDescent="0.25">
      <c r="A4742" s="924">
        <f t="shared" si="74"/>
        <v>4742</v>
      </c>
      <c r="B4742" s="924">
        <v>11</v>
      </c>
    </row>
    <row r="4743" spans="1:2" x14ac:dyDescent="0.25">
      <c r="A4743" s="924">
        <f t="shared" si="74"/>
        <v>4743</v>
      </c>
      <c r="B4743" s="924">
        <v>11</v>
      </c>
    </row>
    <row r="4744" spans="1:2" x14ac:dyDescent="0.25">
      <c r="A4744" s="924">
        <f t="shared" si="74"/>
        <v>4744</v>
      </c>
      <c r="B4744" s="924">
        <v>11</v>
      </c>
    </row>
    <row r="4745" spans="1:2" x14ac:dyDescent="0.25">
      <c r="A4745" s="924">
        <f t="shared" si="74"/>
        <v>4745</v>
      </c>
      <c r="B4745" s="924">
        <v>11</v>
      </c>
    </row>
    <row r="4746" spans="1:2" x14ac:dyDescent="0.25">
      <c r="A4746" s="924">
        <f t="shared" si="74"/>
        <v>4746</v>
      </c>
      <c r="B4746" s="924">
        <v>11</v>
      </c>
    </row>
    <row r="4747" spans="1:2" x14ac:dyDescent="0.25">
      <c r="A4747" s="924">
        <f t="shared" si="74"/>
        <v>4747</v>
      </c>
      <c r="B4747" s="924">
        <v>11</v>
      </c>
    </row>
    <row r="4748" spans="1:2" x14ac:dyDescent="0.25">
      <c r="A4748" s="924">
        <f t="shared" si="74"/>
        <v>4748</v>
      </c>
      <c r="B4748" s="924">
        <v>11</v>
      </c>
    </row>
    <row r="4749" spans="1:2" x14ac:dyDescent="0.25">
      <c r="A4749" s="924">
        <f t="shared" si="74"/>
        <v>4749</v>
      </c>
      <c r="B4749" s="924">
        <v>11</v>
      </c>
    </row>
    <row r="4750" spans="1:2" x14ac:dyDescent="0.25">
      <c r="A4750" s="924">
        <f t="shared" si="74"/>
        <v>4750</v>
      </c>
      <c r="B4750" s="924">
        <v>11</v>
      </c>
    </row>
    <row r="4751" spans="1:2" x14ac:dyDescent="0.25">
      <c r="A4751" s="924">
        <f t="shared" si="74"/>
        <v>4751</v>
      </c>
      <c r="B4751" s="924">
        <v>11</v>
      </c>
    </row>
    <row r="4752" spans="1:2" x14ac:dyDescent="0.25">
      <c r="A4752" s="924">
        <f t="shared" si="74"/>
        <v>4752</v>
      </c>
      <c r="B4752" s="924">
        <v>11</v>
      </c>
    </row>
    <row r="4753" spans="1:2" x14ac:dyDescent="0.25">
      <c r="A4753" s="924">
        <f t="shared" si="74"/>
        <v>4753</v>
      </c>
      <c r="B4753" s="924">
        <v>11</v>
      </c>
    </row>
    <row r="4754" spans="1:2" x14ac:dyDescent="0.25">
      <c r="A4754" s="924">
        <f t="shared" si="74"/>
        <v>4754</v>
      </c>
      <c r="B4754" s="924">
        <v>11</v>
      </c>
    </row>
    <row r="4755" spans="1:2" x14ac:dyDescent="0.25">
      <c r="A4755" s="924">
        <f t="shared" si="74"/>
        <v>4755</v>
      </c>
      <c r="B4755" s="924">
        <v>11</v>
      </c>
    </row>
    <row r="4756" spans="1:2" x14ac:dyDescent="0.25">
      <c r="A4756" s="924">
        <f t="shared" si="74"/>
        <v>4756</v>
      </c>
      <c r="B4756" s="924">
        <v>11</v>
      </c>
    </row>
    <row r="4757" spans="1:2" x14ac:dyDescent="0.25">
      <c r="A4757" s="924">
        <f t="shared" si="74"/>
        <v>4757</v>
      </c>
      <c r="B4757" s="924">
        <v>11</v>
      </c>
    </row>
    <row r="4758" spans="1:2" x14ac:dyDescent="0.25">
      <c r="A4758" s="924">
        <f t="shared" si="74"/>
        <v>4758</v>
      </c>
      <c r="B4758" s="924">
        <v>11.1</v>
      </c>
    </row>
    <row r="4759" spans="1:2" x14ac:dyDescent="0.25">
      <c r="A4759" s="924">
        <f t="shared" si="74"/>
        <v>4759</v>
      </c>
      <c r="B4759" s="924">
        <v>11.1</v>
      </c>
    </row>
    <row r="4760" spans="1:2" x14ac:dyDescent="0.25">
      <c r="A4760" s="924">
        <f t="shared" si="74"/>
        <v>4760</v>
      </c>
      <c r="B4760" s="924">
        <v>11.1</v>
      </c>
    </row>
    <row r="4761" spans="1:2" x14ac:dyDescent="0.25">
      <c r="A4761" s="924">
        <f t="shared" si="74"/>
        <v>4761</v>
      </c>
      <c r="B4761" s="924">
        <v>11.1</v>
      </c>
    </row>
    <row r="4762" spans="1:2" x14ac:dyDescent="0.25">
      <c r="A4762" s="924">
        <f t="shared" si="74"/>
        <v>4762</v>
      </c>
      <c r="B4762" s="924">
        <v>11.1</v>
      </c>
    </row>
    <row r="4763" spans="1:2" x14ac:dyDescent="0.25">
      <c r="A4763" s="924">
        <f t="shared" si="74"/>
        <v>4763</v>
      </c>
      <c r="B4763" s="924">
        <v>11.1</v>
      </c>
    </row>
    <row r="4764" spans="1:2" x14ac:dyDescent="0.25">
      <c r="A4764" s="924">
        <f t="shared" si="74"/>
        <v>4764</v>
      </c>
      <c r="B4764" s="924">
        <v>11.1</v>
      </c>
    </row>
    <row r="4765" spans="1:2" x14ac:dyDescent="0.25">
      <c r="A4765" s="924">
        <f t="shared" si="74"/>
        <v>4765</v>
      </c>
      <c r="B4765" s="924">
        <v>11.1</v>
      </c>
    </row>
    <row r="4766" spans="1:2" x14ac:dyDescent="0.25">
      <c r="A4766" s="924">
        <f t="shared" si="74"/>
        <v>4766</v>
      </c>
      <c r="B4766" s="924">
        <v>11.1</v>
      </c>
    </row>
    <row r="4767" spans="1:2" x14ac:dyDescent="0.25">
      <c r="A4767" s="924">
        <f t="shared" si="74"/>
        <v>4767</v>
      </c>
      <c r="B4767" s="924">
        <v>11.1</v>
      </c>
    </row>
    <row r="4768" spans="1:2" x14ac:dyDescent="0.25">
      <c r="A4768" s="924">
        <f t="shared" si="74"/>
        <v>4768</v>
      </c>
      <c r="B4768" s="924">
        <v>11.1</v>
      </c>
    </row>
    <row r="4769" spans="1:2" x14ac:dyDescent="0.25">
      <c r="A4769" s="924">
        <f t="shared" si="74"/>
        <v>4769</v>
      </c>
      <c r="B4769" s="924">
        <v>11.1</v>
      </c>
    </row>
    <row r="4770" spans="1:2" x14ac:dyDescent="0.25">
      <c r="A4770" s="924">
        <f t="shared" si="74"/>
        <v>4770</v>
      </c>
      <c r="B4770" s="924">
        <v>11.1</v>
      </c>
    </row>
    <row r="4771" spans="1:2" x14ac:dyDescent="0.25">
      <c r="A4771" s="924">
        <f t="shared" si="74"/>
        <v>4771</v>
      </c>
      <c r="B4771" s="924">
        <v>11.1</v>
      </c>
    </row>
    <row r="4772" spans="1:2" x14ac:dyDescent="0.25">
      <c r="A4772" s="924">
        <f t="shared" si="74"/>
        <v>4772</v>
      </c>
      <c r="B4772" s="924">
        <v>11.1</v>
      </c>
    </row>
    <row r="4773" spans="1:2" x14ac:dyDescent="0.25">
      <c r="A4773" s="924">
        <f t="shared" si="74"/>
        <v>4773</v>
      </c>
      <c r="B4773" s="924">
        <v>11.1</v>
      </c>
    </row>
    <row r="4774" spans="1:2" x14ac:dyDescent="0.25">
      <c r="A4774" s="924">
        <f t="shared" si="74"/>
        <v>4774</v>
      </c>
      <c r="B4774" s="924">
        <v>11.1</v>
      </c>
    </row>
    <row r="4775" spans="1:2" x14ac:dyDescent="0.25">
      <c r="A4775" s="924">
        <f t="shared" si="74"/>
        <v>4775</v>
      </c>
      <c r="B4775" s="924">
        <v>11.1</v>
      </c>
    </row>
    <row r="4776" spans="1:2" x14ac:dyDescent="0.25">
      <c r="A4776" s="924">
        <f t="shared" si="74"/>
        <v>4776</v>
      </c>
      <c r="B4776" s="924">
        <v>11.1</v>
      </c>
    </row>
    <row r="4777" spans="1:2" x14ac:dyDescent="0.25">
      <c r="A4777" s="924">
        <f t="shared" si="74"/>
        <v>4777</v>
      </c>
      <c r="B4777" s="924">
        <v>11.1</v>
      </c>
    </row>
    <row r="4778" spans="1:2" x14ac:dyDescent="0.25">
      <c r="A4778" s="924">
        <f t="shared" si="74"/>
        <v>4778</v>
      </c>
      <c r="B4778" s="924">
        <v>11.1</v>
      </c>
    </row>
    <row r="4779" spans="1:2" x14ac:dyDescent="0.25">
      <c r="A4779" s="924">
        <f t="shared" si="74"/>
        <v>4779</v>
      </c>
      <c r="B4779" s="924">
        <v>11.1</v>
      </c>
    </row>
    <row r="4780" spans="1:2" x14ac:dyDescent="0.25">
      <c r="A4780" s="924">
        <f t="shared" si="74"/>
        <v>4780</v>
      </c>
      <c r="B4780" s="924">
        <v>11.1</v>
      </c>
    </row>
    <row r="4781" spans="1:2" x14ac:dyDescent="0.25">
      <c r="A4781" s="924">
        <f t="shared" si="74"/>
        <v>4781</v>
      </c>
      <c r="B4781" s="924">
        <v>11.1</v>
      </c>
    </row>
    <row r="4782" spans="1:2" x14ac:dyDescent="0.25">
      <c r="A4782" s="924">
        <f t="shared" si="74"/>
        <v>4782</v>
      </c>
      <c r="B4782" s="924">
        <v>11.1</v>
      </c>
    </row>
    <row r="4783" spans="1:2" x14ac:dyDescent="0.25">
      <c r="A4783" s="924">
        <f t="shared" si="74"/>
        <v>4783</v>
      </c>
      <c r="B4783" s="924">
        <v>11.1</v>
      </c>
    </row>
    <row r="4784" spans="1:2" x14ac:dyDescent="0.25">
      <c r="A4784" s="924">
        <f t="shared" si="74"/>
        <v>4784</v>
      </c>
      <c r="B4784" s="924">
        <v>11.1</v>
      </c>
    </row>
    <row r="4785" spans="1:2" x14ac:dyDescent="0.25">
      <c r="A4785" s="924">
        <f t="shared" si="74"/>
        <v>4785</v>
      </c>
      <c r="B4785" s="924">
        <v>11.1</v>
      </c>
    </row>
    <row r="4786" spans="1:2" x14ac:dyDescent="0.25">
      <c r="A4786" s="924">
        <f t="shared" si="74"/>
        <v>4786</v>
      </c>
      <c r="B4786" s="924">
        <v>11.1</v>
      </c>
    </row>
    <row r="4787" spans="1:2" x14ac:dyDescent="0.25">
      <c r="A4787" s="924">
        <f t="shared" si="74"/>
        <v>4787</v>
      </c>
      <c r="B4787" s="924">
        <v>11.1</v>
      </c>
    </row>
    <row r="4788" spans="1:2" x14ac:dyDescent="0.25">
      <c r="A4788" s="924">
        <f t="shared" si="74"/>
        <v>4788</v>
      </c>
      <c r="B4788" s="924">
        <v>11.1</v>
      </c>
    </row>
    <row r="4789" spans="1:2" x14ac:dyDescent="0.25">
      <c r="A4789" s="924">
        <f t="shared" si="74"/>
        <v>4789</v>
      </c>
      <c r="B4789" s="924">
        <v>11.1</v>
      </c>
    </row>
    <row r="4790" spans="1:2" x14ac:dyDescent="0.25">
      <c r="A4790" s="924">
        <f t="shared" si="74"/>
        <v>4790</v>
      </c>
      <c r="B4790" s="924">
        <v>11.1</v>
      </c>
    </row>
    <row r="4791" spans="1:2" x14ac:dyDescent="0.25">
      <c r="A4791" s="924">
        <f t="shared" si="74"/>
        <v>4791</v>
      </c>
      <c r="B4791" s="924">
        <v>11.1</v>
      </c>
    </row>
    <row r="4792" spans="1:2" x14ac:dyDescent="0.25">
      <c r="A4792" s="924">
        <f t="shared" si="74"/>
        <v>4792</v>
      </c>
      <c r="B4792" s="924">
        <v>11.1</v>
      </c>
    </row>
    <row r="4793" spans="1:2" x14ac:dyDescent="0.25">
      <c r="A4793" s="924">
        <f t="shared" si="74"/>
        <v>4793</v>
      </c>
      <c r="B4793" s="924">
        <v>11.1</v>
      </c>
    </row>
    <row r="4794" spans="1:2" x14ac:dyDescent="0.25">
      <c r="A4794" s="924">
        <f t="shared" si="74"/>
        <v>4794</v>
      </c>
      <c r="B4794" s="924">
        <v>11.1</v>
      </c>
    </row>
    <row r="4795" spans="1:2" x14ac:dyDescent="0.25">
      <c r="A4795" s="924">
        <f t="shared" si="74"/>
        <v>4795</v>
      </c>
      <c r="B4795" s="924">
        <v>11.1</v>
      </c>
    </row>
    <row r="4796" spans="1:2" x14ac:dyDescent="0.25">
      <c r="A4796" s="924">
        <f t="shared" si="74"/>
        <v>4796</v>
      </c>
      <c r="B4796" s="924">
        <v>11.1</v>
      </c>
    </row>
    <row r="4797" spans="1:2" x14ac:dyDescent="0.25">
      <c r="A4797" s="924">
        <f t="shared" si="74"/>
        <v>4797</v>
      </c>
      <c r="B4797" s="924">
        <v>11.1</v>
      </c>
    </row>
    <row r="4798" spans="1:2" x14ac:dyDescent="0.25">
      <c r="A4798" s="924">
        <f t="shared" si="74"/>
        <v>4798</v>
      </c>
      <c r="B4798" s="924">
        <v>11.1</v>
      </c>
    </row>
    <row r="4799" spans="1:2" x14ac:dyDescent="0.25">
      <c r="A4799" s="924">
        <f t="shared" si="74"/>
        <v>4799</v>
      </c>
      <c r="B4799" s="924">
        <v>11.1</v>
      </c>
    </row>
    <row r="4800" spans="1:2" x14ac:dyDescent="0.25">
      <c r="A4800" s="924">
        <f t="shared" si="74"/>
        <v>4800</v>
      </c>
      <c r="B4800" s="924">
        <v>11.1</v>
      </c>
    </row>
    <row r="4801" spans="1:2" x14ac:dyDescent="0.25">
      <c r="A4801" s="924">
        <f t="shared" si="74"/>
        <v>4801</v>
      </c>
      <c r="B4801" s="924">
        <v>11.1</v>
      </c>
    </row>
    <row r="4802" spans="1:2" x14ac:dyDescent="0.25">
      <c r="A4802" s="924">
        <f t="shared" si="74"/>
        <v>4802</v>
      </c>
      <c r="B4802" s="924">
        <v>11.1</v>
      </c>
    </row>
    <row r="4803" spans="1:2" x14ac:dyDescent="0.25">
      <c r="A4803" s="924">
        <f t="shared" ref="A4803:A4866" si="75">A4802+1</f>
        <v>4803</v>
      </c>
      <c r="B4803" s="924">
        <v>11.1</v>
      </c>
    </row>
    <row r="4804" spans="1:2" x14ac:dyDescent="0.25">
      <c r="A4804" s="924">
        <f t="shared" si="75"/>
        <v>4804</v>
      </c>
      <c r="B4804" s="924">
        <v>11.1</v>
      </c>
    </row>
    <row r="4805" spans="1:2" x14ac:dyDescent="0.25">
      <c r="A4805" s="924">
        <f t="shared" si="75"/>
        <v>4805</v>
      </c>
      <c r="B4805" s="924">
        <v>11.1</v>
      </c>
    </row>
    <row r="4806" spans="1:2" x14ac:dyDescent="0.25">
      <c r="A4806" s="924">
        <f t="shared" si="75"/>
        <v>4806</v>
      </c>
      <c r="B4806" s="924">
        <v>11.1</v>
      </c>
    </row>
    <row r="4807" spans="1:2" x14ac:dyDescent="0.25">
      <c r="A4807" s="924">
        <f t="shared" si="75"/>
        <v>4807</v>
      </c>
      <c r="B4807" s="924">
        <v>11.1</v>
      </c>
    </row>
    <row r="4808" spans="1:2" x14ac:dyDescent="0.25">
      <c r="A4808" s="924">
        <f t="shared" si="75"/>
        <v>4808</v>
      </c>
      <c r="B4808" s="924">
        <v>11.1</v>
      </c>
    </row>
    <row r="4809" spans="1:2" x14ac:dyDescent="0.25">
      <c r="A4809" s="924">
        <f t="shared" si="75"/>
        <v>4809</v>
      </c>
      <c r="B4809" s="924">
        <v>11.1</v>
      </c>
    </row>
    <row r="4810" spans="1:2" x14ac:dyDescent="0.25">
      <c r="A4810" s="924">
        <f t="shared" si="75"/>
        <v>4810</v>
      </c>
      <c r="B4810" s="924">
        <v>11.1</v>
      </c>
    </row>
    <row r="4811" spans="1:2" x14ac:dyDescent="0.25">
      <c r="A4811" s="924">
        <f t="shared" si="75"/>
        <v>4811</v>
      </c>
      <c r="B4811" s="924">
        <v>11.1</v>
      </c>
    </row>
    <row r="4812" spans="1:2" x14ac:dyDescent="0.25">
      <c r="A4812" s="924">
        <f t="shared" si="75"/>
        <v>4812</v>
      </c>
      <c r="B4812" s="924">
        <v>11.1</v>
      </c>
    </row>
    <row r="4813" spans="1:2" x14ac:dyDescent="0.25">
      <c r="A4813" s="924">
        <f t="shared" si="75"/>
        <v>4813</v>
      </c>
      <c r="B4813" s="924">
        <v>11.2</v>
      </c>
    </row>
    <row r="4814" spans="1:2" x14ac:dyDescent="0.25">
      <c r="A4814" s="924">
        <f t="shared" si="75"/>
        <v>4814</v>
      </c>
      <c r="B4814" s="924">
        <v>11.2</v>
      </c>
    </row>
    <row r="4815" spans="1:2" x14ac:dyDescent="0.25">
      <c r="A4815" s="924">
        <f t="shared" si="75"/>
        <v>4815</v>
      </c>
      <c r="B4815" s="924">
        <v>11.2</v>
      </c>
    </row>
    <row r="4816" spans="1:2" x14ac:dyDescent="0.25">
      <c r="A4816" s="924">
        <f t="shared" si="75"/>
        <v>4816</v>
      </c>
      <c r="B4816" s="924">
        <v>11.2</v>
      </c>
    </row>
    <row r="4817" spans="1:2" x14ac:dyDescent="0.25">
      <c r="A4817" s="924">
        <f t="shared" si="75"/>
        <v>4817</v>
      </c>
      <c r="B4817" s="924">
        <v>11.2</v>
      </c>
    </row>
    <row r="4818" spans="1:2" x14ac:dyDescent="0.25">
      <c r="A4818" s="924">
        <f t="shared" si="75"/>
        <v>4818</v>
      </c>
      <c r="B4818" s="924">
        <v>11.2</v>
      </c>
    </row>
    <row r="4819" spans="1:2" x14ac:dyDescent="0.25">
      <c r="A4819" s="924">
        <f t="shared" si="75"/>
        <v>4819</v>
      </c>
      <c r="B4819" s="924">
        <v>11.2</v>
      </c>
    </row>
    <row r="4820" spans="1:2" x14ac:dyDescent="0.25">
      <c r="A4820" s="924">
        <f t="shared" si="75"/>
        <v>4820</v>
      </c>
      <c r="B4820" s="924">
        <v>11.2</v>
      </c>
    </row>
    <row r="4821" spans="1:2" x14ac:dyDescent="0.25">
      <c r="A4821" s="924">
        <f t="shared" si="75"/>
        <v>4821</v>
      </c>
      <c r="B4821" s="924">
        <v>11.2</v>
      </c>
    </row>
    <row r="4822" spans="1:2" x14ac:dyDescent="0.25">
      <c r="A4822" s="924">
        <f t="shared" si="75"/>
        <v>4822</v>
      </c>
      <c r="B4822" s="924">
        <v>11.2</v>
      </c>
    </row>
    <row r="4823" spans="1:2" x14ac:dyDescent="0.25">
      <c r="A4823" s="924">
        <f t="shared" si="75"/>
        <v>4823</v>
      </c>
      <c r="B4823" s="924">
        <v>11.2</v>
      </c>
    </row>
    <row r="4824" spans="1:2" x14ac:dyDescent="0.25">
      <c r="A4824" s="924">
        <f t="shared" si="75"/>
        <v>4824</v>
      </c>
      <c r="B4824" s="924">
        <v>11.2</v>
      </c>
    </row>
    <row r="4825" spans="1:2" x14ac:dyDescent="0.25">
      <c r="A4825" s="924">
        <f t="shared" si="75"/>
        <v>4825</v>
      </c>
      <c r="B4825" s="924">
        <v>11.2</v>
      </c>
    </row>
    <row r="4826" spans="1:2" x14ac:dyDescent="0.25">
      <c r="A4826" s="924">
        <f t="shared" si="75"/>
        <v>4826</v>
      </c>
      <c r="B4826" s="924">
        <v>11.2</v>
      </c>
    </row>
    <row r="4827" spans="1:2" x14ac:dyDescent="0.25">
      <c r="A4827" s="924">
        <f t="shared" si="75"/>
        <v>4827</v>
      </c>
      <c r="B4827" s="924">
        <v>11.2</v>
      </c>
    </row>
    <row r="4828" spans="1:2" x14ac:dyDescent="0.25">
      <c r="A4828" s="924">
        <f t="shared" si="75"/>
        <v>4828</v>
      </c>
      <c r="B4828" s="924">
        <v>11.2</v>
      </c>
    </row>
    <row r="4829" spans="1:2" x14ac:dyDescent="0.25">
      <c r="A4829" s="924">
        <f t="shared" si="75"/>
        <v>4829</v>
      </c>
      <c r="B4829" s="924">
        <v>11.2</v>
      </c>
    </row>
    <row r="4830" spans="1:2" x14ac:dyDescent="0.25">
      <c r="A4830" s="924">
        <f t="shared" si="75"/>
        <v>4830</v>
      </c>
      <c r="B4830" s="924">
        <v>11.2</v>
      </c>
    </row>
    <row r="4831" spans="1:2" x14ac:dyDescent="0.25">
      <c r="A4831" s="924">
        <f t="shared" si="75"/>
        <v>4831</v>
      </c>
      <c r="B4831" s="924">
        <v>11.2</v>
      </c>
    </row>
    <row r="4832" spans="1:2" x14ac:dyDescent="0.25">
      <c r="A4832" s="924">
        <f t="shared" si="75"/>
        <v>4832</v>
      </c>
      <c r="B4832" s="924">
        <v>11.2</v>
      </c>
    </row>
    <row r="4833" spans="1:2" x14ac:dyDescent="0.25">
      <c r="A4833" s="924">
        <f t="shared" si="75"/>
        <v>4833</v>
      </c>
      <c r="B4833" s="924">
        <v>11.2</v>
      </c>
    </row>
    <row r="4834" spans="1:2" x14ac:dyDescent="0.25">
      <c r="A4834" s="924">
        <f t="shared" si="75"/>
        <v>4834</v>
      </c>
      <c r="B4834" s="924">
        <v>11.2</v>
      </c>
    </row>
    <row r="4835" spans="1:2" x14ac:dyDescent="0.25">
      <c r="A4835" s="924">
        <f t="shared" si="75"/>
        <v>4835</v>
      </c>
      <c r="B4835" s="924">
        <v>11.2</v>
      </c>
    </row>
    <row r="4836" spans="1:2" x14ac:dyDescent="0.25">
      <c r="A4836" s="924">
        <f t="shared" si="75"/>
        <v>4836</v>
      </c>
      <c r="B4836" s="924">
        <v>11.2</v>
      </c>
    </row>
    <row r="4837" spans="1:2" x14ac:dyDescent="0.25">
      <c r="A4837" s="924">
        <f t="shared" si="75"/>
        <v>4837</v>
      </c>
      <c r="B4837" s="924">
        <v>11.2</v>
      </c>
    </row>
    <row r="4838" spans="1:2" x14ac:dyDescent="0.25">
      <c r="A4838" s="924">
        <f t="shared" si="75"/>
        <v>4838</v>
      </c>
      <c r="B4838" s="924">
        <v>11.2</v>
      </c>
    </row>
    <row r="4839" spans="1:2" x14ac:dyDescent="0.25">
      <c r="A4839" s="924">
        <f t="shared" si="75"/>
        <v>4839</v>
      </c>
      <c r="B4839" s="924">
        <v>11.2</v>
      </c>
    </row>
    <row r="4840" spans="1:2" x14ac:dyDescent="0.25">
      <c r="A4840" s="924">
        <f t="shared" si="75"/>
        <v>4840</v>
      </c>
      <c r="B4840" s="924">
        <v>11.2</v>
      </c>
    </row>
    <row r="4841" spans="1:2" x14ac:dyDescent="0.25">
      <c r="A4841" s="924">
        <f t="shared" si="75"/>
        <v>4841</v>
      </c>
      <c r="B4841" s="924">
        <v>11.2</v>
      </c>
    </row>
    <row r="4842" spans="1:2" x14ac:dyDescent="0.25">
      <c r="A4842" s="924">
        <f t="shared" si="75"/>
        <v>4842</v>
      </c>
      <c r="B4842" s="924">
        <v>11.2</v>
      </c>
    </row>
    <row r="4843" spans="1:2" x14ac:dyDescent="0.25">
      <c r="A4843" s="924">
        <f t="shared" si="75"/>
        <v>4843</v>
      </c>
      <c r="B4843" s="924">
        <v>11.2</v>
      </c>
    </row>
    <row r="4844" spans="1:2" x14ac:dyDescent="0.25">
      <c r="A4844" s="924">
        <f t="shared" si="75"/>
        <v>4844</v>
      </c>
      <c r="B4844" s="924">
        <v>11.2</v>
      </c>
    </row>
    <row r="4845" spans="1:2" x14ac:dyDescent="0.25">
      <c r="A4845" s="924">
        <f t="shared" si="75"/>
        <v>4845</v>
      </c>
      <c r="B4845" s="924">
        <v>11.2</v>
      </c>
    </row>
    <row r="4846" spans="1:2" x14ac:dyDescent="0.25">
      <c r="A4846" s="924">
        <f t="shared" si="75"/>
        <v>4846</v>
      </c>
      <c r="B4846" s="924">
        <v>11.2</v>
      </c>
    </row>
    <row r="4847" spans="1:2" x14ac:dyDescent="0.25">
      <c r="A4847" s="924">
        <f t="shared" si="75"/>
        <v>4847</v>
      </c>
      <c r="B4847" s="924">
        <v>11.2</v>
      </c>
    </row>
    <row r="4848" spans="1:2" x14ac:dyDescent="0.25">
      <c r="A4848" s="924">
        <f t="shared" si="75"/>
        <v>4848</v>
      </c>
      <c r="B4848" s="924">
        <v>11.2</v>
      </c>
    </row>
    <row r="4849" spans="1:2" x14ac:dyDescent="0.25">
      <c r="A4849" s="924">
        <f t="shared" si="75"/>
        <v>4849</v>
      </c>
      <c r="B4849" s="924">
        <v>11.2</v>
      </c>
    </row>
    <row r="4850" spans="1:2" x14ac:dyDescent="0.25">
      <c r="A4850" s="924">
        <f t="shared" si="75"/>
        <v>4850</v>
      </c>
      <c r="B4850" s="924">
        <v>11.3</v>
      </c>
    </row>
    <row r="4851" spans="1:2" x14ac:dyDescent="0.25">
      <c r="A4851" s="924">
        <f t="shared" si="75"/>
        <v>4851</v>
      </c>
      <c r="B4851" s="924">
        <v>11.3</v>
      </c>
    </row>
    <row r="4852" spans="1:2" x14ac:dyDescent="0.25">
      <c r="A4852" s="924">
        <f t="shared" si="75"/>
        <v>4852</v>
      </c>
      <c r="B4852" s="924">
        <v>11.3</v>
      </c>
    </row>
    <row r="4853" spans="1:2" x14ac:dyDescent="0.25">
      <c r="A4853" s="924">
        <f t="shared" si="75"/>
        <v>4853</v>
      </c>
      <c r="B4853" s="924">
        <v>11.3</v>
      </c>
    </row>
    <row r="4854" spans="1:2" x14ac:dyDescent="0.25">
      <c r="A4854" s="924">
        <f t="shared" si="75"/>
        <v>4854</v>
      </c>
      <c r="B4854" s="924">
        <v>11.3</v>
      </c>
    </row>
    <row r="4855" spans="1:2" x14ac:dyDescent="0.25">
      <c r="A4855" s="924">
        <f t="shared" si="75"/>
        <v>4855</v>
      </c>
      <c r="B4855" s="924">
        <v>11.3</v>
      </c>
    </row>
    <row r="4856" spans="1:2" x14ac:dyDescent="0.25">
      <c r="A4856" s="924">
        <f t="shared" si="75"/>
        <v>4856</v>
      </c>
      <c r="B4856" s="924">
        <v>11.3</v>
      </c>
    </row>
    <row r="4857" spans="1:2" x14ac:dyDescent="0.25">
      <c r="A4857" s="924">
        <f t="shared" si="75"/>
        <v>4857</v>
      </c>
      <c r="B4857" s="924">
        <v>11.3</v>
      </c>
    </row>
    <row r="4858" spans="1:2" x14ac:dyDescent="0.25">
      <c r="A4858" s="924">
        <f t="shared" si="75"/>
        <v>4858</v>
      </c>
      <c r="B4858" s="924">
        <v>11.3</v>
      </c>
    </row>
    <row r="4859" spans="1:2" x14ac:dyDescent="0.25">
      <c r="A4859" s="924">
        <f t="shared" si="75"/>
        <v>4859</v>
      </c>
      <c r="B4859" s="924">
        <v>11.3</v>
      </c>
    </row>
    <row r="4860" spans="1:2" x14ac:dyDescent="0.25">
      <c r="A4860" s="924">
        <f t="shared" si="75"/>
        <v>4860</v>
      </c>
      <c r="B4860" s="924">
        <v>11.3</v>
      </c>
    </row>
    <row r="4861" spans="1:2" x14ac:dyDescent="0.25">
      <c r="A4861" s="924">
        <f t="shared" si="75"/>
        <v>4861</v>
      </c>
      <c r="B4861" s="924">
        <v>11.3</v>
      </c>
    </row>
    <row r="4862" spans="1:2" x14ac:dyDescent="0.25">
      <c r="A4862" s="924">
        <f t="shared" si="75"/>
        <v>4862</v>
      </c>
      <c r="B4862" s="924">
        <v>11.3</v>
      </c>
    </row>
    <row r="4863" spans="1:2" x14ac:dyDescent="0.25">
      <c r="A4863" s="924">
        <f t="shared" si="75"/>
        <v>4863</v>
      </c>
      <c r="B4863" s="924">
        <v>11.3</v>
      </c>
    </row>
    <row r="4864" spans="1:2" x14ac:dyDescent="0.25">
      <c r="A4864" s="924">
        <f t="shared" si="75"/>
        <v>4864</v>
      </c>
      <c r="B4864" s="924">
        <v>11.3</v>
      </c>
    </row>
    <row r="4865" spans="1:2" x14ac:dyDescent="0.25">
      <c r="A4865" s="924">
        <f t="shared" si="75"/>
        <v>4865</v>
      </c>
      <c r="B4865" s="924">
        <v>11.3</v>
      </c>
    </row>
    <row r="4866" spans="1:2" x14ac:dyDescent="0.25">
      <c r="A4866" s="924">
        <f t="shared" si="75"/>
        <v>4866</v>
      </c>
      <c r="B4866" s="924">
        <v>11.3</v>
      </c>
    </row>
    <row r="4867" spans="1:2" x14ac:dyDescent="0.25">
      <c r="A4867" s="924">
        <f t="shared" ref="A4867:A4930" si="76">A4866+1</f>
        <v>4867</v>
      </c>
      <c r="B4867" s="924">
        <v>11.3</v>
      </c>
    </row>
    <row r="4868" spans="1:2" x14ac:dyDescent="0.25">
      <c r="A4868" s="924">
        <f t="shared" si="76"/>
        <v>4868</v>
      </c>
      <c r="B4868" s="924">
        <v>11.3</v>
      </c>
    </row>
    <row r="4869" spans="1:2" x14ac:dyDescent="0.25">
      <c r="A4869" s="924">
        <f t="shared" si="76"/>
        <v>4869</v>
      </c>
      <c r="B4869" s="924">
        <v>11.3</v>
      </c>
    </row>
    <row r="4870" spans="1:2" x14ac:dyDescent="0.25">
      <c r="A4870" s="924">
        <f t="shared" si="76"/>
        <v>4870</v>
      </c>
      <c r="B4870" s="924">
        <v>11.3</v>
      </c>
    </row>
    <row r="4871" spans="1:2" x14ac:dyDescent="0.25">
      <c r="A4871" s="924">
        <f t="shared" si="76"/>
        <v>4871</v>
      </c>
      <c r="B4871" s="924">
        <v>11.3</v>
      </c>
    </row>
    <row r="4872" spans="1:2" x14ac:dyDescent="0.25">
      <c r="A4872" s="924">
        <f t="shared" si="76"/>
        <v>4872</v>
      </c>
      <c r="B4872" s="924">
        <v>11.3</v>
      </c>
    </row>
    <row r="4873" spans="1:2" x14ac:dyDescent="0.25">
      <c r="A4873" s="924">
        <f t="shared" si="76"/>
        <v>4873</v>
      </c>
      <c r="B4873" s="924">
        <v>11.3</v>
      </c>
    </row>
    <row r="4874" spans="1:2" x14ac:dyDescent="0.25">
      <c r="A4874" s="924">
        <f t="shared" si="76"/>
        <v>4874</v>
      </c>
      <c r="B4874" s="924">
        <v>11.3</v>
      </c>
    </row>
    <row r="4875" spans="1:2" x14ac:dyDescent="0.25">
      <c r="A4875" s="924">
        <f t="shared" si="76"/>
        <v>4875</v>
      </c>
      <c r="B4875" s="924">
        <v>11.3</v>
      </c>
    </row>
    <row r="4876" spans="1:2" x14ac:dyDescent="0.25">
      <c r="A4876" s="924">
        <f t="shared" si="76"/>
        <v>4876</v>
      </c>
      <c r="B4876" s="924">
        <v>11.3</v>
      </c>
    </row>
    <row r="4877" spans="1:2" x14ac:dyDescent="0.25">
      <c r="A4877" s="924">
        <f t="shared" si="76"/>
        <v>4877</v>
      </c>
      <c r="B4877" s="924">
        <v>11.3</v>
      </c>
    </row>
    <row r="4878" spans="1:2" x14ac:dyDescent="0.25">
      <c r="A4878" s="924">
        <f t="shared" si="76"/>
        <v>4878</v>
      </c>
      <c r="B4878" s="924">
        <v>11.3</v>
      </c>
    </row>
    <row r="4879" spans="1:2" x14ac:dyDescent="0.25">
      <c r="A4879" s="924">
        <f t="shared" si="76"/>
        <v>4879</v>
      </c>
      <c r="B4879" s="924">
        <v>11.3</v>
      </c>
    </row>
    <row r="4880" spans="1:2" x14ac:dyDescent="0.25">
      <c r="A4880" s="924">
        <f t="shared" si="76"/>
        <v>4880</v>
      </c>
      <c r="B4880" s="924">
        <v>11.3</v>
      </c>
    </row>
    <row r="4881" spans="1:2" x14ac:dyDescent="0.25">
      <c r="A4881" s="924">
        <f t="shared" si="76"/>
        <v>4881</v>
      </c>
      <c r="B4881" s="924">
        <v>11.3</v>
      </c>
    </row>
    <row r="4882" spans="1:2" x14ac:dyDescent="0.25">
      <c r="A4882" s="924">
        <f t="shared" si="76"/>
        <v>4882</v>
      </c>
      <c r="B4882" s="924">
        <v>11.3</v>
      </c>
    </row>
    <row r="4883" spans="1:2" x14ac:dyDescent="0.25">
      <c r="A4883" s="924">
        <f t="shared" si="76"/>
        <v>4883</v>
      </c>
      <c r="B4883" s="924">
        <v>11.3</v>
      </c>
    </row>
    <row r="4884" spans="1:2" x14ac:dyDescent="0.25">
      <c r="A4884" s="924">
        <f t="shared" si="76"/>
        <v>4884</v>
      </c>
      <c r="B4884" s="924">
        <v>11.3</v>
      </c>
    </row>
    <row r="4885" spans="1:2" x14ac:dyDescent="0.25">
      <c r="A4885" s="924">
        <f t="shared" si="76"/>
        <v>4885</v>
      </c>
      <c r="B4885" s="924">
        <v>11.3</v>
      </c>
    </row>
    <row r="4886" spans="1:2" x14ac:dyDescent="0.25">
      <c r="A4886" s="924">
        <f t="shared" si="76"/>
        <v>4886</v>
      </c>
      <c r="B4886" s="924">
        <v>11.3</v>
      </c>
    </row>
    <row r="4887" spans="1:2" x14ac:dyDescent="0.25">
      <c r="A4887" s="924">
        <f t="shared" si="76"/>
        <v>4887</v>
      </c>
      <c r="B4887" s="924">
        <v>11.3</v>
      </c>
    </row>
    <row r="4888" spans="1:2" x14ac:dyDescent="0.25">
      <c r="A4888" s="924">
        <f t="shared" si="76"/>
        <v>4888</v>
      </c>
      <c r="B4888" s="924">
        <v>11.3</v>
      </c>
    </row>
    <row r="4889" spans="1:2" x14ac:dyDescent="0.25">
      <c r="A4889" s="924">
        <f t="shared" si="76"/>
        <v>4889</v>
      </c>
      <c r="B4889" s="924">
        <v>11.3</v>
      </c>
    </row>
    <row r="4890" spans="1:2" x14ac:dyDescent="0.25">
      <c r="A4890" s="924">
        <f t="shared" si="76"/>
        <v>4890</v>
      </c>
      <c r="B4890" s="924">
        <v>11.3</v>
      </c>
    </row>
    <row r="4891" spans="1:2" x14ac:dyDescent="0.25">
      <c r="A4891" s="924">
        <f t="shared" si="76"/>
        <v>4891</v>
      </c>
      <c r="B4891" s="924">
        <v>11.3</v>
      </c>
    </row>
    <row r="4892" spans="1:2" x14ac:dyDescent="0.25">
      <c r="A4892" s="924">
        <f t="shared" si="76"/>
        <v>4892</v>
      </c>
      <c r="B4892" s="924">
        <v>11.3</v>
      </c>
    </row>
    <row r="4893" spans="1:2" x14ac:dyDescent="0.25">
      <c r="A4893" s="924">
        <f t="shared" si="76"/>
        <v>4893</v>
      </c>
      <c r="B4893" s="924">
        <v>11.3</v>
      </c>
    </row>
    <row r="4894" spans="1:2" x14ac:dyDescent="0.25">
      <c r="A4894" s="924">
        <f t="shared" si="76"/>
        <v>4894</v>
      </c>
      <c r="B4894" s="924">
        <v>11.3</v>
      </c>
    </row>
    <row r="4895" spans="1:2" x14ac:dyDescent="0.25">
      <c r="A4895" s="924">
        <f t="shared" si="76"/>
        <v>4895</v>
      </c>
      <c r="B4895" s="924">
        <v>11.3</v>
      </c>
    </row>
    <row r="4896" spans="1:2" x14ac:dyDescent="0.25">
      <c r="A4896" s="924">
        <f t="shared" si="76"/>
        <v>4896</v>
      </c>
      <c r="B4896" s="924">
        <v>11.3</v>
      </c>
    </row>
    <row r="4897" spans="1:2" x14ac:dyDescent="0.25">
      <c r="A4897" s="924">
        <f t="shared" si="76"/>
        <v>4897</v>
      </c>
      <c r="B4897" s="924">
        <v>11.4</v>
      </c>
    </row>
    <row r="4898" spans="1:2" x14ac:dyDescent="0.25">
      <c r="A4898" s="924">
        <f t="shared" si="76"/>
        <v>4898</v>
      </c>
      <c r="B4898" s="924">
        <v>11.4</v>
      </c>
    </row>
    <row r="4899" spans="1:2" x14ac:dyDescent="0.25">
      <c r="A4899" s="924">
        <f t="shared" si="76"/>
        <v>4899</v>
      </c>
      <c r="B4899" s="924">
        <v>11.4</v>
      </c>
    </row>
    <row r="4900" spans="1:2" x14ac:dyDescent="0.25">
      <c r="A4900" s="924">
        <f t="shared" si="76"/>
        <v>4900</v>
      </c>
      <c r="B4900" s="924">
        <v>11.4</v>
      </c>
    </row>
    <row r="4901" spans="1:2" x14ac:dyDescent="0.25">
      <c r="A4901" s="924">
        <f t="shared" si="76"/>
        <v>4901</v>
      </c>
      <c r="B4901" s="924">
        <v>11.4</v>
      </c>
    </row>
    <row r="4902" spans="1:2" x14ac:dyDescent="0.25">
      <c r="A4902" s="924">
        <f t="shared" si="76"/>
        <v>4902</v>
      </c>
      <c r="B4902" s="924">
        <v>11.4</v>
      </c>
    </row>
    <row r="4903" spans="1:2" x14ac:dyDescent="0.25">
      <c r="A4903" s="924">
        <f t="shared" si="76"/>
        <v>4903</v>
      </c>
      <c r="B4903" s="924">
        <v>11.4</v>
      </c>
    </row>
    <row r="4904" spans="1:2" x14ac:dyDescent="0.25">
      <c r="A4904" s="924">
        <f t="shared" si="76"/>
        <v>4904</v>
      </c>
      <c r="B4904" s="924">
        <v>11.4</v>
      </c>
    </row>
    <row r="4905" spans="1:2" x14ac:dyDescent="0.25">
      <c r="A4905" s="924">
        <f t="shared" si="76"/>
        <v>4905</v>
      </c>
      <c r="B4905" s="924">
        <v>11.4</v>
      </c>
    </row>
    <row r="4906" spans="1:2" x14ac:dyDescent="0.25">
      <c r="A4906" s="924">
        <f t="shared" si="76"/>
        <v>4906</v>
      </c>
      <c r="B4906" s="924">
        <v>11.4</v>
      </c>
    </row>
    <row r="4907" spans="1:2" x14ac:dyDescent="0.25">
      <c r="A4907" s="924">
        <f t="shared" si="76"/>
        <v>4907</v>
      </c>
      <c r="B4907" s="924">
        <v>11.4</v>
      </c>
    </row>
    <row r="4908" spans="1:2" x14ac:dyDescent="0.25">
      <c r="A4908" s="924">
        <f t="shared" si="76"/>
        <v>4908</v>
      </c>
      <c r="B4908" s="924">
        <v>11.4</v>
      </c>
    </row>
    <row r="4909" spans="1:2" x14ac:dyDescent="0.25">
      <c r="A4909" s="924">
        <f t="shared" si="76"/>
        <v>4909</v>
      </c>
      <c r="B4909" s="924">
        <v>11.4</v>
      </c>
    </row>
    <row r="4910" spans="1:2" x14ac:dyDescent="0.25">
      <c r="A4910" s="924">
        <f t="shared" si="76"/>
        <v>4910</v>
      </c>
      <c r="B4910" s="924">
        <v>11.4</v>
      </c>
    </row>
    <row r="4911" spans="1:2" x14ac:dyDescent="0.25">
      <c r="A4911" s="924">
        <f t="shared" si="76"/>
        <v>4911</v>
      </c>
      <c r="B4911" s="924">
        <v>11.4</v>
      </c>
    </row>
    <row r="4912" spans="1:2" x14ac:dyDescent="0.25">
      <c r="A4912" s="924">
        <f t="shared" si="76"/>
        <v>4912</v>
      </c>
      <c r="B4912" s="924">
        <v>11.4</v>
      </c>
    </row>
    <row r="4913" spans="1:2" x14ac:dyDescent="0.25">
      <c r="A4913" s="924">
        <f t="shared" si="76"/>
        <v>4913</v>
      </c>
      <c r="B4913" s="924">
        <v>11.4</v>
      </c>
    </row>
    <row r="4914" spans="1:2" x14ac:dyDescent="0.25">
      <c r="A4914" s="924">
        <f t="shared" si="76"/>
        <v>4914</v>
      </c>
      <c r="B4914" s="924">
        <v>11.4</v>
      </c>
    </row>
    <row r="4915" spans="1:2" x14ac:dyDescent="0.25">
      <c r="A4915" s="924">
        <f t="shared" si="76"/>
        <v>4915</v>
      </c>
      <c r="B4915" s="924">
        <v>11.4</v>
      </c>
    </row>
    <row r="4916" spans="1:2" x14ac:dyDescent="0.25">
      <c r="A4916" s="924">
        <f t="shared" si="76"/>
        <v>4916</v>
      </c>
      <c r="B4916" s="924">
        <v>11.4</v>
      </c>
    </row>
    <row r="4917" spans="1:2" x14ac:dyDescent="0.25">
      <c r="A4917" s="924">
        <f t="shared" si="76"/>
        <v>4917</v>
      </c>
      <c r="B4917" s="924">
        <v>11.4</v>
      </c>
    </row>
    <row r="4918" spans="1:2" x14ac:dyDescent="0.25">
      <c r="A4918" s="924">
        <f t="shared" si="76"/>
        <v>4918</v>
      </c>
      <c r="B4918" s="924">
        <v>11.4</v>
      </c>
    </row>
    <row r="4919" spans="1:2" x14ac:dyDescent="0.25">
      <c r="A4919" s="924">
        <f t="shared" si="76"/>
        <v>4919</v>
      </c>
      <c r="B4919" s="924">
        <v>11.4</v>
      </c>
    </row>
    <row r="4920" spans="1:2" x14ac:dyDescent="0.25">
      <c r="A4920" s="924">
        <f t="shared" si="76"/>
        <v>4920</v>
      </c>
      <c r="B4920" s="924">
        <v>11.4</v>
      </c>
    </row>
    <row r="4921" spans="1:2" x14ac:dyDescent="0.25">
      <c r="A4921" s="924">
        <f t="shared" si="76"/>
        <v>4921</v>
      </c>
      <c r="B4921" s="924">
        <v>11.4</v>
      </c>
    </row>
    <row r="4922" spans="1:2" x14ac:dyDescent="0.25">
      <c r="A4922" s="924">
        <f t="shared" si="76"/>
        <v>4922</v>
      </c>
      <c r="B4922" s="924">
        <v>11.4</v>
      </c>
    </row>
    <row r="4923" spans="1:2" x14ac:dyDescent="0.25">
      <c r="A4923" s="924">
        <f t="shared" si="76"/>
        <v>4923</v>
      </c>
      <c r="B4923" s="924">
        <v>11.4</v>
      </c>
    </row>
    <row r="4924" spans="1:2" x14ac:dyDescent="0.25">
      <c r="A4924" s="924">
        <f t="shared" si="76"/>
        <v>4924</v>
      </c>
      <c r="B4924" s="924">
        <v>11.4</v>
      </c>
    </row>
    <row r="4925" spans="1:2" x14ac:dyDescent="0.25">
      <c r="A4925" s="924">
        <f t="shared" si="76"/>
        <v>4925</v>
      </c>
      <c r="B4925" s="924">
        <v>11.4</v>
      </c>
    </row>
    <row r="4926" spans="1:2" x14ac:dyDescent="0.25">
      <c r="A4926" s="924">
        <f t="shared" si="76"/>
        <v>4926</v>
      </c>
      <c r="B4926" s="924">
        <v>11.4</v>
      </c>
    </row>
    <row r="4927" spans="1:2" x14ac:dyDescent="0.25">
      <c r="A4927" s="924">
        <f t="shared" si="76"/>
        <v>4927</v>
      </c>
      <c r="B4927" s="924">
        <v>11.4</v>
      </c>
    </row>
    <row r="4928" spans="1:2" x14ac:dyDescent="0.25">
      <c r="A4928" s="924">
        <f t="shared" si="76"/>
        <v>4928</v>
      </c>
      <c r="B4928" s="924">
        <v>11.4</v>
      </c>
    </row>
    <row r="4929" spans="1:2" x14ac:dyDescent="0.25">
      <c r="A4929" s="924">
        <f t="shared" si="76"/>
        <v>4929</v>
      </c>
      <c r="B4929" s="924">
        <v>11.4</v>
      </c>
    </row>
    <row r="4930" spans="1:2" x14ac:dyDescent="0.25">
      <c r="A4930" s="924">
        <f t="shared" si="76"/>
        <v>4930</v>
      </c>
      <c r="B4930" s="924">
        <v>11.4</v>
      </c>
    </row>
    <row r="4931" spans="1:2" x14ac:dyDescent="0.25">
      <c r="A4931" s="924">
        <f t="shared" ref="A4931:A4994" si="77">A4930+1</f>
        <v>4931</v>
      </c>
      <c r="B4931" s="924">
        <v>11.4</v>
      </c>
    </row>
    <row r="4932" spans="1:2" x14ac:dyDescent="0.25">
      <c r="A4932" s="924">
        <f t="shared" si="77"/>
        <v>4932</v>
      </c>
      <c r="B4932" s="924">
        <v>11.4</v>
      </c>
    </row>
    <row r="4933" spans="1:2" x14ac:dyDescent="0.25">
      <c r="A4933" s="924">
        <f t="shared" si="77"/>
        <v>4933</v>
      </c>
      <c r="B4933" s="924">
        <v>11.4</v>
      </c>
    </row>
    <row r="4934" spans="1:2" x14ac:dyDescent="0.25">
      <c r="A4934" s="924">
        <f t="shared" si="77"/>
        <v>4934</v>
      </c>
      <c r="B4934" s="924">
        <v>11.4</v>
      </c>
    </row>
    <row r="4935" spans="1:2" x14ac:dyDescent="0.25">
      <c r="A4935" s="924">
        <f t="shared" si="77"/>
        <v>4935</v>
      </c>
      <c r="B4935" s="924">
        <v>11.4</v>
      </c>
    </row>
    <row r="4936" spans="1:2" x14ac:dyDescent="0.25">
      <c r="A4936" s="924">
        <f t="shared" si="77"/>
        <v>4936</v>
      </c>
      <c r="B4936" s="924">
        <v>11.4</v>
      </c>
    </row>
    <row r="4937" spans="1:2" x14ac:dyDescent="0.25">
      <c r="A4937" s="924">
        <f t="shared" si="77"/>
        <v>4937</v>
      </c>
      <c r="B4937" s="924">
        <v>11.4</v>
      </c>
    </row>
    <row r="4938" spans="1:2" x14ac:dyDescent="0.25">
      <c r="A4938" s="924">
        <f t="shared" si="77"/>
        <v>4938</v>
      </c>
      <c r="B4938" s="924">
        <v>11.4</v>
      </c>
    </row>
    <row r="4939" spans="1:2" x14ac:dyDescent="0.25">
      <c r="A4939" s="924">
        <f t="shared" si="77"/>
        <v>4939</v>
      </c>
      <c r="B4939" s="924">
        <v>11.4</v>
      </c>
    </row>
    <row r="4940" spans="1:2" x14ac:dyDescent="0.25">
      <c r="A4940" s="924">
        <f t="shared" si="77"/>
        <v>4940</v>
      </c>
      <c r="B4940" s="924">
        <v>11.4</v>
      </c>
    </row>
    <row r="4941" spans="1:2" x14ac:dyDescent="0.25">
      <c r="A4941" s="924">
        <f t="shared" si="77"/>
        <v>4941</v>
      </c>
      <c r="B4941" s="924">
        <v>11.4</v>
      </c>
    </row>
    <row r="4942" spans="1:2" x14ac:dyDescent="0.25">
      <c r="A4942" s="924">
        <f t="shared" si="77"/>
        <v>4942</v>
      </c>
      <c r="B4942" s="924">
        <v>11.4</v>
      </c>
    </row>
    <row r="4943" spans="1:2" x14ac:dyDescent="0.25">
      <c r="A4943" s="924">
        <f t="shared" si="77"/>
        <v>4943</v>
      </c>
      <c r="B4943" s="924">
        <v>11.4</v>
      </c>
    </row>
    <row r="4944" spans="1:2" x14ac:dyDescent="0.25">
      <c r="A4944" s="924">
        <f t="shared" si="77"/>
        <v>4944</v>
      </c>
      <c r="B4944" s="924">
        <v>11.4</v>
      </c>
    </row>
    <row r="4945" spans="1:2" x14ac:dyDescent="0.25">
      <c r="A4945" s="924">
        <f t="shared" si="77"/>
        <v>4945</v>
      </c>
      <c r="B4945" s="924">
        <v>11.4</v>
      </c>
    </row>
    <row r="4946" spans="1:2" x14ac:dyDescent="0.25">
      <c r="A4946" s="924">
        <f t="shared" si="77"/>
        <v>4946</v>
      </c>
      <c r="B4946" s="924">
        <v>11.4</v>
      </c>
    </row>
    <row r="4947" spans="1:2" x14ac:dyDescent="0.25">
      <c r="A4947" s="924">
        <f t="shared" si="77"/>
        <v>4947</v>
      </c>
      <c r="B4947" s="924">
        <v>11.4</v>
      </c>
    </row>
    <row r="4948" spans="1:2" x14ac:dyDescent="0.25">
      <c r="A4948" s="924">
        <f t="shared" si="77"/>
        <v>4948</v>
      </c>
      <c r="B4948" s="924">
        <v>11.4</v>
      </c>
    </row>
    <row r="4949" spans="1:2" x14ac:dyDescent="0.25">
      <c r="A4949" s="924">
        <f t="shared" si="77"/>
        <v>4949</v>
      </c>
      <c r="B4949" s="924">
        <v>11.4</v>
      </c>
    </row>
    <row r="4950" spans="1:2" x14ac:dyDescent="0.25">
      <c r="A4950" s="924">
        <f t="shared" si="77"/>
        <v>4950</v>
      </c>
      <c r="B4950" s="924">
        <v>11.4</v>
      </c>
    </row>
    <row r="4951" spans="1:2" x14ac:dyDescent="0.25">
      <c r="A4951" s="924">
        <f t="shared" si="77"/>
        <v>4951</v>
      </c>
      <c r="B4951" s="924">
        <v>11.5</v>
      </c>
    </row>
    <row r="4952" spans="1:2" x14ac:dyDescent="0.25">
      <c r="A4952" s="924">
        <f t="shared" si="77"/>
        <v>4952</v>
      </c>
      <c r="B4952" s="924">
        <v>11.5</v>
      </c>
    </row>
    <row r="4953" spans="1:2" x14ac:dyDescent="0.25">
      <c r="A4953" s="924">
        <f t="shared" si="77"/>
        <v>4953</v>
      </c>
      <c r="B4953" s="924">
        <v>11.5</v>
      </c>
    </row>
    <row r="4954" spans="1:2" x14ac:dyDescent="0.25">
      <c r="A4954" s="924">
        <f t="shared" si="77"/>
        <v>4954</v>
      </c>
      <c r="B4954" s="924">
        <v>11.5</v>
      </c>
    </row>
    <row r="4955" spans="1:2" x14ac:dyDescent="0.25">
      <c r="A4955" s="924">
        <f t="shared" si="77"/>
        <v>4955</v>
      </c>
      <c r="B4955" s="924">
        <v>11.5</v>
      </c>
    </row>
    <row r="4956" spans="1:2" x14ac:dyDescent="0.25">
      <c r="A4956" s="924">
        <f t="shared" si="77"/>
        <v>4956</v>
      </c>
      <c r="B4956" s="924">
        <v>11.5</v>
      </c>
    </row>
    <row r="4957" spans="1:2" x14ac:dyDescent="0.25">
      <c r="A4957" s="924">
        <f t="shared" si="77"/>
        <v>4957</v>
      </c>
      <c r="B4957" s="924">
        <v>11.5</v>
      </c>
    </row>
    <row r="4958" spans="1:2" x14ac:dyDescent="0.25">
      <c r="A4958" s="924">
        <f t="shared" si="77"/>
        <v>4958</v>
      </c>
      <c r="B4958" s="924">
        <v>11.5</v>
      </c>
    </row>
    <row r="4959" spans="1:2" x14ac:dyDescent="0.25">
      <c r="A4959" s="924">
        <f t="shared" si="77"/>
        <v>4959</v>
      </c>
      <c r="B4959" s="924">
        <v>11.5</v>
      </c>
    </row>
    <row r="4960" spans="1:2" x14ac:dyDescent="0.25">
      <c r="A4960" s="924">
        <f t="shared" si="77"/>
        <v>4960</v>
      </c>
      <c r="B4960" s="924">
        <v>11.5</v>
      </c>
    </row>
    <row r="4961" spans="1:2" x14ac:dyDescent="0.25">
      <c r="A4961" s="924">
        <f t="shared" si="77"/>
        <v>4961</v>
      </c>
      <c r="B4961" s="924">
        <v>11.5</v>
      </c>
    </row>
    <row r="4962" spans="1:2" x14ac:dyDescent="0.25">
      <c r="A4962" s="924">
        <f t="shared" si="77"/>
        <v>4962</v>
      </c>
      <c r="B4962" s="924">
        <v>11.5</v>
      </c>
    </row>
    <row r="4963" spans="1:2" x14ac:dyDescent="0.25">
      <c r="A4963" s="924">
        <f t="shared" si="77"/>
        <v>4963</v>
      </c>
      <c r="B4963" s="924">
        <v>11.5</v>
      </c>
    </row>
    <row r="4964" spans="1:2" x14ac:dyDescent="0.25">
      <c r="A4964" s="924">
        <f t="shared" si="77"/>
        <v>4964</v>
      </c>
      <c r="B4964" s="924">
        <v>11.5</v>
      </c>
    </row>
    <row r="4965" spans="1:2" x14ac:dyDescent="0.25">
      <c r="A4965" s="924">
        <f t="shared" si="77"/>
        <v>4965</v>
      </c>
      <c r="B4965" s="924">
        <v>11.5</v>
      </c>
    </row>
    <row r="4966" spans="1:2" x14ac:dyDescent="0.25">
      <c r="A4966" s="924">
        <f t="shared" si="77"/>
        <v>4966</v>
      </c>
      <c r="B4966" s="924">
        <v>11.5</v>
      </c>
    </row>
    <row r="4967" spans="1:2" x14ac:dyDescent="0.25">
      <c r="A4967" s="924">
        <f t="shared" si="77"/>
        <v>4967</v>
      </c>
      <c r="B4967" s="924">
        <v>11.5</v>
      </c>
    </row>
    <row r="4968" spans="1:2" x14ac:dyDescent="0.25">
      <c r="A4968" s="924">
        <f t="shared" si="77"/>
        <v>4968</v>
      </c>
      <c r="B4968" s="924">
        <v>11.5</v>
      </c>
    </row>
    <row r="4969" spans="1:2" x14ac:dyDescent="0.25">
      <c r="A4969" s="924">
        <f t="shared" si="77"/>
        <v>4969</v>
      </c>
      <c r="B4969" s="924">
        <v>11.5</v>
      </c>
    </row>
    <row r="4970" spans="1:2" x14ac:dyDescent="0.25">
      <c r="A4970" s="924">
        <f t="shared" si="77"/>
        <v>4970</v>
      </c>
      <c r="B4970" s="924">
        <v>11.5</v>
      </c>
    </row>
    <row r="4971" spans="1:2" x14ac:dyDescent="0.25">
      <c r="A4971" s="924">
        <f t="shared" si="77"/>
        <v>4971</v>
      </c>
      <c r="B4971" s="924">
        <v>11.5</v>
      </c>
    </row>
    <row r="4972" spans="1:2" x14ac:dyDescent="0.25">
      <c r="A4972" s="924">
        <f t="shared" si="77"/>
        <v>4972</v>
      </c>
      <c r="B4972" s="924">
        <v>11.5</v>
      </c>
    </row>
    <row r="4973" spans="1:2" x14ac:dyDescent="0.25">
      <c r="A4973" s="924">
        <f t="shared" si="77"/>
        <v>4973</v>
      </c>
      <c r="B4973" s="924">
        <v>11.5</v>
      </c>
    </row>
    <row r="4974" spans="1:2" x14ac:dyDescent="0.25">
      <c r="A4974" s="924">
        <f t="shared" si="77"/>
        <v>4974</v>
      </c>
      <c r="B4974" s="924">
        <v>11.5</v>
      </c>
    </row>
    <row r="4975" spans="1:2" x14ac:dyDescent="0.25">
      <c r="A4975" s="924">
        <f t="shared" si="77"/>
        <v>4975</v>
      </c>
      <c r="B4975" s="924">
        <v>11.5</v>
      </c>
    </row>
    <row r="4976" spans="1:2" x14ac:dyDescent="0.25">
      <c r="A4976" s="924">
        <f t="shared" si="77"/>
        <v>4976</v>
      </c>
      <c r="B4976" s="924">
        <v>11.5</v>
      </c>
    </row>
    <row r="4977" spans="1:2" x14ac:dyDescent="0.25">
      <c r="A4977" s="924">
        <f t="shared" si="77"/>
        <v>4977</v>
      </c>
      <c r="B4977" s="924">
        <v>11.5</v>
      </c>
    </row>
    <row r="4978" spans="1:2" x14ac:dyDescent="0.25">
      <c r="A4978" s="924">
        <f t="shared" si="77"/>
        <v>4978</v>
      </c>
      <c r="B4978" s="924">
        <v>11.5</v>
      </c>
    </row>
    <row r="4979" spans="1:2" x14ac:dyDescent="0.25">
      <c r="A4979" s="924">
        <f t="shared" si="77"/>
        <v>4979</v>
      </c>
      <c r="B4979" s="924">
        <v>11.5</v>
      </c>
    </row>
    <row r="4980" spans="1:2" x14ac:dyDescent="0.25">
      <c r="A4980" s="924">
        <f t="shared" si="77"/>
        <v>4980</v>
      </c>
      <c r="B4980" s="924">
        <v>11.5</v>
      </c>
    </row>
    <row r="4981" spans="1:2" x14ac:dyDescent="0.25">
      <c r="A4981" s="924">
        <f t="shared" si="77"/>
        <v>4981</v>
      </c>
      <c r="B4981" s="924">
        <v>11.5</v>
      </c>
    </row>
    <row r="4982" spans="1:2" x14ac:dyDescent="0.25">
      <c r="A4982" s="924">
        <f t="shared" si="77"/>
        <v>4982</v>
      </c>
      <c r="B4982" s="924">
        <v>11.5</v>
      </c>
    </row>
    <row r="4983" spans="1:2" x14ac:dyDescent="0.25">
      <c r="A4983" s="924">
        <f t="shared" si="77"/>
        <v>4983</v>
      </c>
      <c r="B4983" s="924">
        <v>11.5</v>
      </c>
    </row>
    <row r="4984" spans="1:2" x14ac:dyDescent="0.25">
      <c r="A4984" s="924">
        <f t="shared" si="77"/>
        <v>4984</v>
      </c>
      <c r="B4984" s="924">
        <v>11.5</v>
      </c>
    </row>
    <row r="4985" spans="1:2" x14ac:dyDescent="0.25">
      <c r="A4985" s="924">
        <f t="shared" si="77"/>
        <v>4985</v>
      </c>
      <c r="B4985" s="924">
        <v>11.5</v>
      </c>
    </row>
    <row r="4986" spans="1:2" x14ac:dyDescent="0.25">
      <c r="A4986" s="924">
        <f t="shared" si="77"/>
        <v>4986</v>
      </c>
      <c r="B4986" s="924">
        <v>11.5</v>
      </c>
    </row>
    <row r="4987" spans="1:2" x14ac:dyDescent="0.25">
      <c r="A4987" s="924">
        <f t="shared" si="77"/>
        <v>4987</v>
      </c>
      <c r="B4987" s="924">
        <v>11.5</v>
      </c>
    </row>
    <row r="4988" spans="1:2" x14ac:dyDescent="0.25">
      <c r="A4988" s="924">
        <f t="shared" si="77"/>
        <v>4988</v>
      </c>
      <c r="B4988" s="924">
        <v>11.5</v>
      </c>
    </row>
    <row r="4989" spans="1:2" x14ac:dyDescent="0.25">
      <c r="A4989" s="924">
        <f t="shared" si="77"/>
        <v>4989</v>
      </c>
      <c r="B4989" s="924">
        <v>11.5</v>
      </c>
    </row>
    <row r="4990" spans="1:2" x14ac:dyDescent="0.25">
      <c r="A4990" s="924">
        <f t="shared" si="77"/>
        <v>4990</v>
      </c>
      <c r="B4990" s="924">
        <v>11.5</v>
      </c>
    </row>
    <row r="4991" spans="1:2" x14ac:dyDescent="0.25">
      <c r="A4991" s="924">
        <f t="shared" si="77"/>
        <v>4991</v>
      </c>
      <c r="B4991" s="924">
        <v>11.5</v>
      </c>
    </row>
    <row r="4992" spans="1:2" x14ac:dyDescent="0.25">
      <c r="A4992" s="924">
        <f t="shared" si="77"/>
        <v>4992</v>
      </c>
      <c r="B4992" s="924">
        <v>11.5</v>
      </c>
    </row>
    <row r="4993" spans="1:2" x14ac:dyDescent="0.25">
      <c r="A4993" s="924">
        <f t="shared" si="77"/>
        <v>4993</v>
      </c>
      <c r="B4993" s="924">
        <v>11.5</v>
      </c>
    </row>
    <row r="4994" spans="1:2" x14ac:dyDescent="0.25">
      <c r="A4994" s="924">
        <f t="shared" si="77"/>
        <v>4994</v>
      </c>
      <c r="B4994" s="924">
        <v>11.5</v>
      </c>
    </row>
    <row r="4995" spans="1:2" x14ac:dyDescent="0.25">
      <c r="A4995" s="924">
        <f t="shared" ref="A4995:A5058" si="78">A4994+1</f>
        <v>4995</v>
      </c>
      <c r="B4995" s="924">
        <v>11.5</v>
      </c>
    </row>
    <row r="4996" spans="1:2" x14ac:dyDescent="0.25">
      <c r="A4996" s="924">
        <f t="shared" si="78"/>
        <v>4996</v>
      </c>
      <c r="B4996" s="924">
        <v>11.6</v>
      </c>
    </row>
    <row r="4997" spans="1:2" x14ac:dyDescent="0.25">
      <c r="A4997" s="924">
        <f t="shared" si="78"/>
        <v>4997</v>
      </c>
      <c r="B4997" s="924">
        <v>11.6</v>
      </c>
    </row>
    <row r="4998" spans="1:2" x14ac:dyDescent="0.25">
      <c r="A4998" s="924">
        <f t="shared" si="78"/>
        <v>4998</v>
      </c>
      <c r="B4998" s="924">
        <v>11.6</v>
      </c>
    </row>
    <row r="4999" spans="1:2" x14ac:dyDescent="0.25">
      <c r="A4999" s="924">
        <f t="shared" si="78"/>
        <v>4999</v>
      </c>
      <c r="B4999" s="924">
        <v>11.6</v>
      </c>
    </row>
    <row r="5000" spans="1:2" x14ac:dyDescent="0.25">
      <c r="A5000" s="924">
        <f t="shared" si="78"/>
        <v>5000</v>
      </c>
      <c r="B5000" s="924">
        <v>11.6</v>
      </c>
    </row>
    <row r="5001" spans="1:2" x14ac:dyDescent="0.25">
      <c r="A5001" s="924">
        <f t="shared" si="78"/>
        <v>5001</v>
      </c>
      <c r="B5001" s="924">
        <v>11.6</v>
      </c>
    </row>
    <row r="5002" spans="1:2" x14ac:dyDescent="0.25">
      <c r="A5002" s="924">
        <f t="shared" si="78"/>
        <v>5002</v>
      </c>
      <c r="B5002" s="924">
        <v>11.6</v>
      </c>
    </row>
    <row r="5003" spans="1:2" x14ac:dyDescent="0.25">
      <c r="A5003" s="924">
        <f t="shared" si="78"/>
        <v>5003</v>
      </c>
      <c r="B5003" s="924">
        <v>11.6</v>
      </c>
    </row>
    <row r="5004" spans="1:2" x14ac:dyDescent="0.25">
      <c r="A5004" s="924">
        <f t="shared" si="78"/>
        <v>5004</v>
      </c>
      <c r="B5004" s="924">
        <v>11.6</v>
      </c>
    </row>
    <row r="5005" spans="1:2" x14ac:dyDescent="0.25">
      <c r="A5005" s="924">
        <f t="shared" si="78"/>
        <v>5005</v>
      </c>
      <c r="B5005" s="924">
        <v>11.6</v>
      </c>
    </row>
    <row r="5006" spans="1:2" x14ac:dyDescent="0.25">
      <c r="A5006" s="924">
        <f t="shared" si="78"/>
        <v>5006</v>
      </c>
      <c r="B5006" s="924">
        <v>11.6</v>
      </c>
    </row>
    <row r="5007" spans="1:2" x14ac:dyDescent="0.25">
      <c r="A5007" s="924">
        <f t="shared" si="78"/>
        <v>5007</v>
      </c>
      <c r="B5007" s="924">
        <v>11.6</v>
      </c>
    </row>
    <row r="5008" spans="1:2" x14ac:dyDescent="0.25">
      <c r="A5008" s="924">
        <f t="shared" si="78"/>
        <v>5008</v>
      </c>
      <c r="B5008" s="924">
        <v>11.6</v>
      </c>
    </row>
    <row r="5009" spans="1:2" x14ac:dyDescent="0.25">
      <c r="A5009" s="924">
        <f t="shared" si="78"/>
        <v>5009</v>
      </c>
      <c r="B5009" s="924">
        <v>11.6</v>
      </c>
    </row>
    <row r="5010" spans="1:2" x14ac:dyDescent="0.25">
      <c r="A5010" s="924">
        <f t="shared" si="78"/>
        <v>5010</v>
      </c>
      <c r="B5010" s="924">
        <v>11.6</v>
      </c>
    </row>
    <row r="5011" spans="1:2" x14ac:dyDescent="0.25">
      <c r="A5011" s="924">
        <f t="shared" si="78"/>
        <v>5011</v>
      </c>
      <c r="B5011" s="924">
        <v>11.6</v>
      </c>
    </row>
    <row r="5012" spans="1:2" x14ac:dyDescent="0.25">
      <c r="A5012" s="924">
        <f t="shared" si="78"/>
        <v>5012</v>
      </c>
      <c r="B5012" s="924">
        <v>11.6</v>
      </c>
    </row>
    <row r="5013" spans="1:2" x14ac:dyDescent="0.25">
      <c r="A5013" s="924">
        <f t="shared" si="78"/>
        <v>5013</v>
      </c>
      <c r="B5013" s="924">
        <v>11.6</v>
      </c>
    </row>
    <row r="5014" spans="1:2" x14ac:dyDescent="0.25">
      <c r="A5014" s="924">
        <f t="shared" si="78"/>
        <v>5014</v>
      </c>
      <c r="B5014" s="924">
        <v>11.6</v>
      </c>
    </row>
    <row r="5015" spans="1:2" x14ac:dyDescent="0.25">
      <c r="A5015" s="924">
        <f t="shared" si="78"/>
        <v>5015</v>
      </c>
      <c r="B5015" s="924">
        <v>11.6</v>
      </c>
    </row>
    <row r="5016" spans="1:2" x14ac:dyDescent="0.25">
      <c r="A5016" s="924">
        <f t="shared" si="78"/>
        <v>5016</v>
      </c>
      <c r="B5016" s="924">
        <v>11.6</v>
      </c>
    </row>
    <row r="5017" spans="1:2" x14ac:dyDescent="0.25">
      <c r="A5017" s="924">
        <f t="shared" si="78"/>
        <v>5017</v>
      </c>
      <c r="B5017" s="924">
        <v>11.6</v>
      </c>
    </row>
    <row r="5018" spans="1:2" x14ac:dyDescent="0.25">
      <c r="A5018" s="924">
        <f t="shared" si="78"/>
        <v>5018</v>
      </c>
      <c r="B5018" s="924">
        <v>11.6</v>
      </c>
    </row>
    <row r="5019" spans="1:2" x14ac:dyDescent="0.25">
      <c r="A5019" s="924">
        <f t="shared" si="78"/>
        <v>5019</v>
      </c>
      <c r="B5019" s="924">
        <v>11.6</v>
      </c>
    </row>
    <row r="5020" spans="1:2" x14ac:dyDescent="0.25">
      <c r="A5020" s="924">
        <f t="shared" si="78"/>
        <v>5020</v>
      </c>
      <c r="B5020" s="924">
        <v>11.6</v>
      </c>
    </row>
    <row r="5021" spans="1:2" x14ac:dyDescent="0.25">
      <c r="A5021" s="924">
        <f t="shared" si="78"/>
        <v>5021</v>
      </c>
      <c r="B5021" s="924">
        <v>11.6</v>
      </c>
    </row>
    <row r="5022" spans="1:2" x14ac:dyDescent="0.25">
      <c r="A5022" s="924">
        <f t="shared" si="78"/>
        <v>5022</v>
      </c>
      <c r="B5022" s="924">
        <v>11.6</v>
      </c>
    </row>
    <row r="5023" spans="1:2" x14ac:dyDescent="0.25">
      <c r="A5023" s="924">
        <f t="shared" si="78"/>
        <v>5023</v>
      </c>
      <c r="B5023" s="924">
        <v>11.6</v>
      </c>
    </row>
    <row r="5024" spans="1:2" x14ac:dyDescent="0.25">
      <c r="A5024" s="924">
        <f t="shared" si="78"/>
        <v>5024</v>
      </c>
      <c r="B5024" s="924">
        <v>11.6</v>
      </c>
    </row>
    <row r="5025" spans="1:2" x14ac:dyDescent="0.25">
      <c r="A5025" s="924">
        <f t="shared" si="78"/>
        <v>5025</v>
      </c>
      <c r="B5025" s="924">
        <v>11.6</v>
      </c>
    </row>
    <row r="5026" spans="1:2" x14ac:dyDescent="0.25">
      <c r="A5026" s="924">
        <f t="shared" si="78"/>
        <v>5026</v>
      </c>
      <c r="B5026" s="924">
        <v>11.6</v>
      </c>
    </row>
    <row r="5027" spans="1:2" x14ac:dyDescent="0.25">
      <c r="A5027" s="924">
        <f t="shared" si="78"/>
        <v>5027</v>
      </c>
      <c r="B5027" s="924">
        <v>11.6</v>
      </c>
    </row>
    <row r="5028" spans="1:2" x14ac:dyDescent="0.25">
      <c r="A5028" s="924">
        <f t="shared" si="78"/>
        <v>5028</v>
      </c>
      <c r="B5028" s="924">
        <v>11.6</v>
      </c>
    </row>
    <row r="5029" spans="1:2" x14ac:dyDescent="0.25">
      <c r="A5029" s="924">
        <f t="shared" si="78"/>
        <v>5029</v>
      </c>
      <c r="B5029" s="924">
        <v>11.6</v>
      </c>
    </row>
    <row r="5030" spans="1:2" x14ac:dyDescent="0.25">
      <c r="A5030" s="924">
        <f t="shared" si="78"/>
        <v>5030</v>
      </c>
      <c r="B5030" s="924">
        <v>11.6</v>
      </c>
    </row>
    <row r="5031" spans="1:2" x14ac:dyDescent="0.25">
      <c r="A5031" s="924">
        <f t="shared" si="78"/>
        <v>5031</v>
      </c>
      <c r="B5031" s="924">
        <v>11.6</v>
      </c>
    </row>
    <row r="5032" spans="1:2" x14ac:dyDescent="0.25">
      <c r="A5032" s="924">
        <f t="shared" si="78"/>
        <v>5032</v>
      </c>
      <c r="B5032" s="924">
        <v>11.6</v>
      </c>
    </row>
    <row r="5033" spans="1:2" x14ac:dyDescent="0.25">
      <c r="A5033" s="924">
        <f t="shared" si="78"/>
        <v>5033</v>
      </c>
      <c r="B5033" s="924">
        <v>11.6</v>
      </c>
    </row>
    <row r="5034" spans="1:2" x14ac:dyDescent="0.25">
      <c r="A5034" s="924">
        <f t="shared" si="78"/>
        <v>5034</v>
      </c>
      <c r="B5034" s="924">
        <v>11.6</v>
      </c>
    </row>
    <row r="5035" spans="1:2" x14ac:dyDescent="0.25">
      <c r="A5035" s="924">
        <f t="shared" si="78"/>
        <v>5035</v>
      </c>
      <c r="B5035" s="924">
        <v>11.6</v>
      </c>
    </row>
    <row r="5036" spans="1:2" x14ac:dyDescent="0.25">
      <c r="A5036" s="924">
        <f t="shared" si="78"/>
        <v>5036</v>
      </c>
      <c r="B5036" s="924">
        <v>11.6</v>
      </c>
    </row>
    <row r="5037" spans="1:2" x14ac:dyDescent="0.25">
      <c r="A5037" s="924">
        <f t="shared" si="78"/>
        <v>5037</v>
      </c>
      <c r="B5037" s="924">
        <v>11.6</v>
      </c>
    </row>
    <row r="5038" spans="1:2" x14ac:dyDescent="0.25">
      <c r="A5038" s="924">
        <f t="shared" si="78"/>
        <v>5038</v>
      </c>
      <c r="B5038" s="924">
        <v>11.6</v>
      </c>
    </row>
    <row r="5039" spans="1:2" x14ac:dyDescent="0.25">
      <c r="A5039" s="924">
        <f t="shared" si="78"/>
        <v>5039</v>
      </c>
      <c r="B5039" s="924">
        <v>11.6</v>
      </c>
    </row>
    <row r="5040" spans="1:2" x14ac:dyDescent="0.25">
      <c r="A5040" s="924">
        <f t="shared" si="78"/>
        <v>5040</v>
      </c>
      <c r="B5040" s="924">
        <v>11.6</v>
      </c>
    </row>
    <row r="5041" spans="1:2" x14ac:dyDescent="0.25">
      <c r="A5041" s="924">
        <f t="shared" si="78"/>
        <v>5041</v>
      </c>
      <c r="B5041" s="924">
        <v>11.6</v>
      </c>
    </row>
    <row r="5042" spans="1:2" x14ac:dyDescent="0.25">
      <c r="A5042" s="924">
        <f t="shared" si="78"/>
        <v>5042</v>
      </c>
      <c r="B5042" s="924">
        <v>11.6</v>
      </c>
    </row>
    <row r="5043" spans="1:2" x14ac:dyDescent="0.25">
      <c r="A5043" s="924">
        <f t="shared" si="78"/>
        <v>5043</v>
      </c>
      <c r="B5043" s="924">
        <v>11.6</v>
      </c>
    </row>
    <row r="5044" spans="1:2" x14ac:dyDescent="0.25">
      <c r="A5044" s="924">
        <f t="shared" si="78"/>
        <v>5044</v>
      </c>
      <c r="B5044" s="924">
        <v>11.6</v>
      </c>
    </row>
    <row r="5045" spans="1:2" x14ac:dyDescent="0.25">
      <c r="A5045" s="924">
        <f t="shared" si="78"/>
        <v>5045</v>
      </c>
      <c r="B5045" s="924">
        <v>11.6</v>
      </c>
    </row>
    <row r="5046" spans="1:2" x14ac:dyDescent="0.25">
      <c r="A5046" s="924">
        <f t="shared" si="78"/>
        <v>5046</v>
      </c>
      <c r="B5046" s="924">
        <v>11.6</v>
      </c>
    </row>
    <row r="5047" spans="1:2" x14ac:dyDescent="0.25">
      <c r="A5047" s="924">
        <f t="shared" si="78"/>
        <v>5047</v>
      </c>
      <c r="B5047" s="924">
        <v>11.6</v>
      </c>
    </row>
    <row r="5048" spans="1:2" x14ac:dyDescent="0.25">
      <c r="A5048" s="924">
        <f t="shared" si="78"/>
        <v>5048</v>
      </c>
      <c r="B5048" s="924">
        <v>11.6</v>
      </c>
    </row>
    <row r="5049" spans="1:2" x14ac:dyDescent="0.25">
      <c r="A5049" s="924">
        <f t="shared" si="78"/>
        <v>5049</v>
      </c>
      <c r="B5049" s="924">
        <v>11.6</v>
      </c>
    </row>
    <row r="5050" spans="1:2" x14ac:dyDescent="0.25">
      <c r="A5050" s="924">
        <f t="shared" si="78"/>
        <v>5050</v>
      </c>
      <c r="B5050" s="924">
        <v>11.6</v>
      </c>
    </row>
    <row r="5051" spans="1:2" x14ac:dyDescent="0.25">
      <c r="A5051" s="924">
        <f t="shared" si="78"/>
        <v>5051</v>
      </c>
      <c r="B5051" s="924">
        <v>11.6</v>
      </c>
    </row>
    <row r="5052" spans="1:2" x14ac:dyDescent="0.25">
      <c r="A5052" s="924">
        <f t="shared" si="78"/>
        <v>5052</v>
      </c>
      <c r="B5052" s="924">
        <v>11.6</v>
      </c>
    </row>
    <row r="5053" spans="1:2" x14ac:dyDescent="0.25">
      <c r="A5053" s="924">
        <f t="shared" si="78"/>
        <v>5053</v>
      </c>
      <c r="B5053" s="924">
        <v>11.6</v>
      </c>
    </row>
    <row r="5054" spans="1:2" x14ac:dyDescent="0.25">
      <c r="A5054" s="924">
        <f t="shared" si="78"/>
        <v>5054</v>
      </c>
      <c r="B5054" s="924">
        <v>11.6</v>
      </c>
    </row>
    <row r="5055" spans="1:2" x14ac:dyDescent="0.25">
      <c r="A5055" s="924">
        <f t="shared" si="78"/>
        <v>5055</v>
      </c>
      <c r="B5055" s="924">
        <v>11.7</v>
      </c>
    </row>
    <row r="5056" spans="1:2" x14ac:dyDescent="0.25">
      <c r="A5056" s="924">
        <f t="shared" si="78"/>
        <v>5056</v>
      </c>
      <c r="B5056" s="924">
        <v>11.7</v>
      </c>
    </row>
    <row r="5057" spans="1:2" x14ac:dyDescent="0.25">
      <c r="A5057" s="924">
        <f t="shared" si="78"/>
        <v>5057</v>
      </c>
      <c r="B5057" s="924">
        <v>11.7</v>
      </c>
    </row>
    <row r="5058" spans="1:2" x14ac:dyDescent="0.25">
      <c r="A5058" s="924">
        <f t="shared" si="78"/>
        <v>5058</v>
      </c>
      <c r="B5058" s="924">
        <v>11.7</v>
      </c>
    </row>
    <row r="5059" spans="1:2" x14ac:dyDescent="0.25">
      <c r="A5059" s="924">
        <f t="shared" ref="A5059:A5122" si="79">A5058+1</f>
        <v>5059</v>
      </c>
      <c r="B5059" s="924">
        <v>11.7</v>
      </c>
    </row>
    <row r="5060" spans="1:2" x14ac:dyDescent="0.25">
      <c r="A5060" s="924">
        <f t="shared" si="79"/>
        <v>5060</v>
      </c>
      <c r="B5060" s="924">
        <v>11.7</v>
      </c>
    </row>
    <row r="5061" spans="1:2" x14ac:dyDescent="0.25">
      <c r="A5061" s="924">
        <f t="shared" si="79"/>
        <v>5061</v>
      </c>
      <c r="B5061" s="924">
        <v>11.7</v>
      </c>
    </row>
    <row r="5062" spans="1:2" x14ac:dyDescent="0.25">
      <c r="A5062" s="924">
        <f t="shared" si="79"/>
        <v>5062</v>
      </c>
      <c r="B5062" s="924">
        <v>11.7</v>
      </c>
    </row>
    <row r="5063" spans="1:2" x14ac:dyDescent="0.25">
      <c r="A5063" s="924">
        <f t="shared" si="79"/>
        <v>5063</v>
      </c>
      <c r="B5063" s="924">
        <v>11.7</v>
      </c>
    </row>
    <row r="5064" spans="1:2" x14ac:dyDescent="0.25">
      <c r="A5064" s="924">
        <f t="shared" si="79"/>
        <v>5064</v>
      </c>
      <c r="B5064" s="924">
        <v>11.7</v>
      </c>
    </row>
    <row r="5065" spans="1:2" x14ac:dyDescent="0.25">
      <c r="A5065" s="924">
        <f t="shared" si="79"/>
        <v>5065</v>
      </c>
      <c r="B5065" s="924">
        <v>11.7</v>
      </c>
    </row>
    <row r="5066" spans="1:2" x14ac:dyDescent="0.25">
      <c r="A5066" s="924">
        <f t="shared" si="79"/>
        <v>5066</v>
      </c>
      <c r="B5066" s="924">
        <v>11.7</v>
      </c>
    </row>
    <row r="5067" spans="1:2" x14ac:dyDescent="0.25">
      <c r="A5067" s="924">
        <f t="shared" si="79"/>
        <v>5067</v>
      </c>
      <c r="B5067" s="924">
        <v>11.7</v>
      </c>
    </row>
    <row r="5068" spans="1:2" x14ac:dyDescent="0.25">
      <c r="A5068" s="924">
        <f t="shared" si="79"/>
        <v>5068</v>
      </c>
      <c r="B5068" s="924">
        <v>11.7</v>
      </c>
    </row>
    <row r="5069" spans="1:2" x14ac:dyDescent="0.25">
      <c r="A5069" s="924">
        <f t="shared" si="79"/>
        <v>5069</v>
      </c>
      <c r="B5069" s="924">
        <v>11.7</v>
      </c>
    </row>
    <row r="5070" spans="1:2" x14ac:dyDescent="0.25">
      <c r="A5070" s="924">
        <f t="shared" si="79"/>
        <v>5070</v>
      </c>
      <c r="B5070" s="924">
        <v>11.7</v>
      </c>
    </row>
    <row r="5071" spans="1:2" x14ac:dyDescent="0.25">
      <c r="A5071" s="924">
        <f t="shared" si="79"/>
        <v>5071</v>
      </c>
      <c r="B5071" s="924">
        <v>11.7</v>
      </c>
    </row>
    <row r="5072" spans="1:2" x14ac:dyDescent="0.25">
      <c r="A5072" s="924">
        <f t="shared" si="79"/>
        <v>5072</v>
      </c>
      <c r="B5072" s="924">
        <v>11.7</v>
      </c>
    </row>
    <row r="5073" spans="1:2" x14ac:dyDescent="0.25">
      <c r="A5073" s="924">
        <f t="shared" si="79"/>
        <v>5073</v>
      </c>
      <c r="B5073" s="924">
        <v>11.7</v>
      </c>
    </row>
    <row r="5074" spans="1:2" x14ac:dyDescent="0.25">
      <c r="A5074" s="924">
        <f t="shared" si="79"/>
        <v>5074</v>
      </c>
      <c r="B5074" s="924">
        <v>11.7</v>
      </c>
    </row>
    <row r="5075" spans="1:2" x14ac:dyDescent="0.25">
      <c r="A5075" s="924">
        <f t="shared" si="79"/>
        <v>5075</v>
      </c>
      <c r="B5075" s="924">
        <v>11.7</v>
      </c>
    </row>
    <row r="5076" spans="1:2" x14ac:dyDescent="0.25">
      <c r="A5076" s="924">
        <f t="shared" si="79"/>
        <v>5076</v>
      </c>
      <c r="B5076" s="924">
        <v>11.7</v>
      </c>
    </row>
    <row r="5077" spans="1:2" x14ac:dyDescent="0.25">
      <c r="A5077" s="924">
        <f t="shared" si="79"/>
        <v>5077</v>
      </c>
      <c r="B5077" s="924">
        <v>11.7</v>
      </c>
    </row>
    <row r="5078" spans="1:2" x14ac:dyDescent="0.25">
      <c r="A5078" s="924">
        <f t="shared" si="79"/>
        <v>5078</v>
      </c>
      <c r="B5078" s="924">
        <v>11.7</v>
      </c>
    </row>
    <row r="5079" spans="1:2" x14ac:dyDescent="0.25">
      <c r="A5079" s="924">
        <f t="shared" si="79"/>
        <v>5079</v>
      </c>
      <c r="B5079" s="924">
        <v>11.7</v>
      </c>
    </row>
    <row r="5080" spans="1:2" x14ac:dyDescent="0.25">
      <c r="A5080" s="924">
        <f t="shared" si="79"/>
        <v>5080</v>
      </c>
      <c r="B5080" s="924">
        <v>11.7</v>
      </c>
    </row>
    <row r="5081" spans="1:2" x14ac:dyDescent="0.25">
      <c r="A5081" s="924">
        <f t="shared" si="79"/>
        <v>5081</v>
      </c>
      <c r="B5081" s="924">
        <v>11.7</v>
      </c>
    </row>
    <row r="5082" spans="1:2" x14ac:dyDescent="0.25">
      <c r="A5082" s="924">
        <f t="shared" si="79"/>
        <v>5082</v>
      </c>
      <c r="B5082" s="924">
        <v>11.7</v>
      </c>
    </row>
    <row r="5083" spans="1:2" x14ac:dyDescent="0.25">
      <c r="A5083" s="924">
        <f t="shared" si="79"/>
        <v>5083</v>
      </c>
      <c r="B5083" s="924">
        <v>11.7</v>
      </c>
    </row>
    <row r="5084" spans="1:2" x14ac:dyDescent="0.25">
      <c r="A5084" s="924">
        <f t="shared" si="79"/>
        <v>5084</v>
      </c>
      <c r="B5084" s="924">
        <v>11.7</v>
      </c>
    </row>
    <row r="5085" spans="1:2" x14ac:dyDescent="0.25">
      <c r="A5085" s="924">
        <f t="shared" si="79"/>
        <v>5085</v>
      </c>
      <c r="B5085" s="924">
        <v>11.7</v>
      </c>
    </row>
    <row r="5086" spans="1:2" x14ac:dyDescent="0.25">
      <c r="A5086" s="924">
        <f t="shared" si="79"/>
        <v>5086</v>
      </c>
      <c r="B5086" s="924">
        <v>11.7</v>
      </c>
    </row>
    <row r="5087" spans="1:2" x14ac:dyDescent="0.25">
      <c r="A5087" s="924">
        <f t="shared" si="79"/>
        <v>5087</v>
      </c>
      <c r="B5087" s="924">
        <v>11.7</v>
      </c>
    </row>
    <row r="5088" spans="1:2" x14ac:dyDescent="0.25">
      <c r="A5088" s="924">
        <f t="shared" si="79"/>
        <v>5088</v>
      </c>
      <c r="B5088" s="924">
        <v>11.7</v>
      </c>
    </row>
    <row r="5089" spans="1:2" x14ac:dyDescent="0.25">
      <c r="A5089" s="924">
        <f t="shared" si="79"/>
        <v>5089</v>
      </c>
      <c r="B5089" s="924">
        <v>11.7</v>
      </c>
    </row>
    <row r="5090" spans="1:2" x14ac:dyDescent="0.25">
      <c r="A5090" s="924">
        <f t="shared" si="79"/>
        <v>5090</v>
      </c>
      <c r="B5090" s="924">
        <v>11.7</v>
      </c>
    </row>
    <row r="5091" spans="1:2" x14ac:dyDescent="0.25">
      <c r="A5091" s="924">
        <f t="shared" si="79"/>
        <v>5091</v>
      </c>
      <c r="B5091" s="924">
        <v>11.7</v>
      </c>
    </row>
    <row r="5092" spans="1:2" x14ac:dyDescent="0.25">
      <c r="A5092" s="924">
        <f t="shared" si="79"/>
        <v>5092</v>
      </c>
      <c r="B5092" s="924">
        <v>11.7</v>
      </c>
    </row>
    <row r="5093" spans="1:2" x14ac:dyDescent="0.25">
      <c r="A5093" s="924">
        <f t="shared" si="79"/>
        <v>5093</v>
      </c>
      <c r="B5093" s="924">
        <v>11.7</v>
      </c>
    </row>
    <row r="5094" spans="1:2" x14ac:dyDescent="0.25">
      <c r="A5094" s="924">
        <f t="shared" si="79"/>
        <v>5094</v>
      </c>
      <c r="B5094" s="924">
        <v>11.7</v>
      </c>
    </row>
    <row r="5095" spans="1:2" x14ac:dyDescent="0.25">
      <c r="A5095" s="924">
        <f t="shared" si="79"/>
        <v>5095</v>
      </c>
      <c r="B5095" s="924">
        <v>11.7</v>
      </c>
    </row>
    <row r="5096" spans="1:2" x14ac:dyDescent="0.25">
      <c r="A5096" s="924">
        <f t="shared" si="79"/>
        <v>5096</v>
      </c>
      <c r="B5096" s="924">
        <v>11.7</v>
      </c>
    </row>
    <row r="5097" spans="1:2" x14ac:dyDescent="0.25">
      <c r="A5097" s="924">
        <f t="shared" si="79"/>
        <v>5097</v>
      </c>
      <c r="B5097" s="924">
        <v>11.7</v>
      </c>
    </row>
    <row r="5098" spans="1:2" x14ac:dyDescent="0.25">
      <c r="A5098" s="924">
        <f t="shared" si="79"/>
        <v>5098</v>
      </c>
      <c r="B5098" s="924">
        <v>11.7</v>
      </c>
    </row>
    <row r="5099" spans="1:2" x14ac:dyDescent="0.25">
      <c r="A5099" s="924">
        <f t="shared" si="79"/>
        <v>5099</v>
      </c>
      <c r="B5099" s="924">
        <v>11.7</v>
      </c>
    </row>
    <row r="5100" spans="1:2" x14ac:dyDescent="0.25">
      <c r="A5100" s="924">
        <f t="shared" si="79"/>
        <v>5100</v>
      </c>
      <c r="B5100" s="924">
        <v>11.8</v>
      </c>
    </row>
    <row r="5101" spans="1:2" x14ac:dyDescent="0.25">
      <c r="A5101" s="924">
        <f t="shared" si="79"/>
        <v>5101</v>
      </c>
      <c r="B5101" s="924">
        <v>11.8</v>
      </c>
    </row>
    <row r="5102" spans="1:2" x14ac:dyDescent="0.25">
      <c r="A5102" s="924">
        <f t="shared" si="79"/>
        <v>5102</v>
      </c>
      <c r="B5102" s="924">
        <v>11.8</v>
      </c>
    </row>
    <row r="5103" spans="1:2" x14ac:dyDescent="0.25">
      <c r="A5103" s="924">
        <f t="shared" si="79"/>
        <v>5103</v>
      </c>
      <c r="B5103" s="924">
        <v>11.8</v>
      </c>
    </row>
    <row r="5104" spans="1:2" x14ac:dyDescent="0.25">
      <c r="A5104" s="924">
        <f t="shared" si="79"/>
        <v>5104</v>
      </c>
      <c r="B5104" s="924">
        <v>11.8</v>
      </c>
    </row>
    <row r="5105" spans="1:2" x14ac:dyDescent="0.25">
      <c r="A5105" s="924">
        <f t="shared" si="79"/>
        <v>5105</v>
      </c>
      <c r="B5105" s="924">
        <v>11.8</v>
      </c>
    </row>
    <row r="5106" spans="1:2" x14ac:dyDescent="0.25">
      <c r="A5106" s="924">
        <f t="shared" si="79"/>
        <v>5106</v>
      </c>
      <c r="B5106" s="924">
        <v>11.8</v>
      </c>
    </row>
    <row r="5107" spans="1:2" x14ac:dyDescent="0.25">
      <c r="A5107" s="924">
        <f t="shared" si="79"/>
        <v>5107</v>
      </c>
      <c r="B5107" s="924">
        <v>11.8</v>
      </c>
    </row>
    <row r="5108" spans="1:2" x14ac:dyDescent="0.25">
      <c r="A5108" s="924">
        <f t="shared" si="79"/>
        <v>5108</v>
      </c>
      <c r="B5108" s="924">
        <v>11.8</v>
      </c>
    </row>
    <row r="5109" spans="1:2" x14ac:dyDescent="0.25">
      <c r="A5109" s="924">
        <f t="shared" si="79"/>
        <v>5109</v>
      </c>
      <c r="B5109" s="924">
        <v>11.8</v>
      </c>
    </row>
    <row r="5110" spans="1:2" x14ac:dyDescent="0.25">
      <c r="A5110" s="924">
        <f t="shared" si="79"/>
        <v>5110</v>
      </c>
      <c r="B5110" s="924">
        <v>11.8</v>
      </c>
    </row>
    <row r="5111" spans="1:2" x14ac:dyDescent="0.25">
      <c r="A5111" s="924">
        <f t="shared" si="79"/>
        <v>5111</v>
      </c>
      <c r="B5111" s="924">
        <v>11.8</v>
      </c>
    </row>
    <row r="5112" spans="1:2" x14ac:dyDescent="0.25">
      <c r="A5112" s="924">
        <f t="shared" si="79"/>
        <v>5112</v>
      </c>
      <c r="B5112" s="924">
        <v>11.8</v>
      </c>
    </row>
    <row r="5113" spans="1:2" x14ac:dyDescent="0.25">
      <c r="A5113" s="924">
        <f t="shared" si="79"/>
        <v>5113</v>
      </c>
      <c r="B5113" s="924">
        <v>11.8</v>
      </c>
    </row>
    <row r="5114" spans="1:2" x14ac:dyDescent="0.25">
      <c r="A5114" s="924">
        <f t="shared" si="79"/>
        <v>5114</v>
      </c>
      <c r="B5114" s="924">
        <v>11.8</v>
      </c>
    </row>
    <row r="5115" spans="1:2" x14ac:dyDescent="0.25">
      <c r="A5115" s="924">
        <f t="shared" si="79"/>
        <v>5115</v>
      </c>
      <c r="B5115" s="924">
        <v>11.8</v>
      </c>
    </row>
    <row r="5116" spans="1:2" x14ac:dyDescent="0.25">
      <c r="A5116" s="924">
        <f t="shared" si="79"/>
        <v>5116</v>
      </c>
      <c r="B5116" s="924">
        <v>11.8</v>
      </c>
    </row>
    <row r="5117" spans="1:2" x14ac:dyDescent="0.25">
      <c r="A5117" s="924">
        <f t="shared" si="79"/>
        <v>5117</v>
      </c>
      <c r="B5117" s="924">
        <v>11.8</v>
      </c>
    </row>
    <row r="5118" spans="1:2" x14ac:dyDescent="0.25">
      <c r="A5118" s="924">
        <f t="shared" si="79"/>
        <v>5118</v>
      </c>
      <c r="B5118" s="924">
        <v>11.8</v>
      </c>
    </row>
    <row r="5119" spans="1:2" x14ac:dyDescent="0.25">
      <c r="A5119" s="924">
        <f t="shared" si="79"/>
        <v>5119</v>
      </c>
      <c r="B5119" s="924">
        <v>11.8</v>
      </c>
    </row>
    <row r="5120" spans="1:2" x14ac:dyDescent="0.25">
      <c r="A5120" s="924">
        <f t="shared" si="79"/>
        <v>5120</v>
      </c>
      <c r="B5120" s="924">
        <v>11.8</v>
      </c>
    </row>
    <row r="5121" spans="1:2" x14ac:dyDescent="0.25">
      <c r="A5121" s="924">
        <f t="shared" si="79"/>
        <v>5121</v>
      </c>
      <c r="B5121" s="924">
        <v>11.8</v>
      </c>
    </row>
    <row r="5122" spans="1:2" x14ac:dyDescent="0.25">
      <c r="A5122" s="924">
        <f t="shared" si="79"/>
        <v>5122</v>
      </c>
      <c r="B5122" s="924">
        <v>11.8</v>
      </c>
    </row>
    <row r="5123" spans="1:2" x14ac:dyDescent="0.25">
      <c r="A5123" s="924">
        <f t="shared" ref="A5123:A5186" si="80">A5122+1</f>
        <v>5123</v>
      </c>
      <c r="B5123" s="924">
        <v>11.8</v>
      </c>
    </row>
    <row r="5124" spans="1:2" x14ac:dyDescent="0.25">
      <c r="A5124" s="924">
        <f t="shared" si="80"/>
        <v>5124</v>
      </c>
      <c r="B5124" s="924">
        <v>11.8</v>
      </c>
    </row>
    <row r="5125" spans="1:2" x14ac:dyDescent="0.25">
      <c r="A5125" s="924">
        <f t="shared" si="80"/>
        <v>5125</v>
      </c>
      <c r="B5125" s="924">
        <v>11.8</v>
      </c>
    </row>
    <row r="5126" spans="1:2" x14ac:dyDescent="0.25">
      <c r="A5126" s="924">
        <f t="shared" si="80"/>
        <v>5126</v>
      </c>
      <c r="B5126" s="924">
        <v>11.8</v>
      </c>
    </row>
    <row r="5127" spans="1:2" x14ac:dyDescent="0.25">
      <c r="A5127" s="924">
        <f t="shared" si="80"/>
        <v>5127</v>
      </c>
      <c r="B5127" s="924">
        <v>11.8</v>
      </c>
    </row>
    <row r="5128" spans="1:2" x14ac:dyDescent="0.25">
      <c r="A5128" s="924">
        <f t="shared" si="80"/>
        <v>5128</v>
      </c>
      <c r="B5128" s="924">
        <v>11.8</v>
      </c>
    </row>
    <row r="5129" spans="1:2" x14ac:dyDescent="0.25">
      <c r="A5129" s="924">
        <f t="shared" si="80"/>
        <v>5129</v>
      </c>
      <c r="B5129" s="924">
        <v>11.8</v>
      </c>
    </row>
    <row r="5130" spans="1:2" x14ac:dyDescent="0.25">
      <c r="A5130" s="924">
        <f t="shared" si="80"/>
        <v>5130</v>
      </c>
      <c r="B5130" s="924">
        <v>11.8</v>
      </c>
    </row>
    <row r="5131" spans="1:2" x14ac:dyDescent="0.25">
      <c r="A5131" s="924">
        <f t="shared" si="80"/>
        <v>5131</v>
      </c>
      <c r="B5131" s="924">
        <v>11.8</v>
      </c>
    </row>
    <row r="5132" spans="1:2" x14ac:dyDescent="0.25">
      <c r="A5132" s="924">
        <f t="shared" si="80"/>
        <v>5132</v>
      </c>
      <c r="B5132" s="924">
        <v>11.8</v>
      </c>
    </row>
    <row r="5133" spans="1:2" x14ac:dyDescent="0.25">
      <c r="A5133" s="924">
        <f t="shared" si="80"/>
        <v>5133</v>
      </c>
      <c r="B5133" s="924">
        <v>11.8</v>
      </c>
    </row>
    <row r="5134" spans="1:2" x14ac:dyDescent="0.25">
      <c r="A5134" s="924">
        <f t="shared" si="80"/>
        <v>5134</v>
      </c>
      <c r="B5134" s="924">
        <v>11.8</v>
      </c>
    </row>
    <row r="5135" spans="1:2" x14ac:dyDescent="0.25">
      <c r="A5135" s="924">
        <f t="shared" si="80"/>
        <v>5135</v>
      </c>
      <c r="B5135" s="924">
        <v>11.8</v>
      </c>
    </row>
    <row r="5136" spans="1:2" x14ac:dyDescent="0.25">
      <c r="A5136" s="924">
        <f t="shared" si="80"/>
        <v>5136</v>
      </c>
      <c r="B5136" s="924">
        <v>11.8</v>
      </c>
    </row>
    <row r="5137" spans="1:2" x14ac:dyDescent="0.25">
      <c r="A5137" s="924">
        <f t="shared" si="80"/>
        <v>5137</v>
      </c>
      <c r="B5137" s="924">
        <v>11.9</v>
      </c>
    </row>
    <row r="5138" spans="1:2" x14ac:dyDescent="0.25">
      <c r="A5138" s="924">
        <f t="shared" si="80"/>
        <v>5138</v>
      </c>
      <c r="B5138" s="924">
        <v>11.9</v>
      </c>
    </row>
    <row r="5139" spans="1:2" x14ac:dyDescent="0.25">
      <c r="A5139" s="924">
        <f t="shared" si="80"/>
        <v>5139</v>
      </c>
      <c r="B5139" s="924">
        <v>11.9</v>
      </c>
    </row>
    <row r="5140" spans="1:2" x14ac:dyDescent="0.25">
      <c r="A5140" s="924">
        <f t="shared" si="80"/>
        <v>5140</v>
      </c>
      <c r="B5140" s="924">
        <v>11.9</v>
      </c>
    </row>
    <row r="5141" spans="1:2" x14ac:dyDescent="0.25">
      <c r="A5141" s="924">
        <f t="shared" si="80"/>
        <v>5141</v>
      </c>
      <c r="B5141" s="924">
        <v>11.9</v>
      </c>
    </row>
    <row r="5142" spans="1:2" x14ac:dyDescent="0.25">
      <c r="A5142" s="924">
        <f t="shared" si="80"/>
        <v>5142</v>
      </c>
      <c r="B5142" s="924">
        <v>11.9</v>
      </c>
    </row>
    <row r="5143" spans="1:2" x14ac:dyDescent="0.25">
      <c r="A5143" s="924">
        <f t="shared" si="80"/>
        <v>5143</v>
      </c>
      <c r="B5143" s="924">
        <v>11.9</v>
      </c>
    </row>
    <row r="5144" spans="1:2" x14ac:dyDescent="0.25">
      <c r="A5144" s="924">
        <f t="shared" si="80"/>
        <v>5144</v>
      </c>
      <c r="B5144" s="924">
        <v>11.9</v>
      </c>
    </row>
    <row r="5145" spans="1:2" x14ac:dyDescent="0.25">
      <c r="A5145" s="924">
        <f t="shared" si="80"/>
        <v>5145</v>
      </c>
      <c r="B5145" s="924">
        <v>11.9</v>
      </c>
    </row>
    <row r="5146" spans="1:2" x14ac:dyDescent="0.25">
      <c r="A5146" s="924">
        <f t="shared" si="80"/>
        <v>5146</v>
      </c>
      <c r="B5146" s="924">
        <v>11.9</v>
      </c>
    </row>
    <row r="5147" spans="1:2" x14ac:dyDescent="0.25">
      <c r="A5147" s="924">
        <f t="shared" si="80"/>
        <v>5147</v>
      </c>
      <c r="B5147" s="924">
        <v>11.9</v>
      </c>
    </row>
    <row r="5148" spans="1:2" x14ac:dyDescent="0.25">
      <c r="A5148" s="924">
        <f t="shared" si="80"/>
        <v>5148</v>
      </c>
      <c r="B5148" s="924">
        <v>11.9</v>
      </c>
    </row>
    <row r="5149" spans="1:2" x14ac:dyDescent="0.25">
      <c r="A5149" s="924">
        <f t="shared" si="80"/>
        <v>5149</v>
      </c>
      <c r="B5149" s="924">
        <v>11.9</v>
      </c>
    </row>
    <row r="5150" spans="1:2" x14ac:dyDescent="0.25">
      <c r="A5150" s="924">
        <f t="shared" si="80"/>
        <v>5150</v>
      </c>
      <c r="B5150" s="924">
        <v>11.9</v>
      </c>
    </row>
    <row r="5151" spans="1:2" x14ac:dyDescent="0.25">
      <c r="A5151" s="924">
        <f t="shared" si="80"/>
        <v>5151</v>
      </c>
      <c r="B5151" s="924">
        <v>11.9</v>
      </c>
    </row>
    <row r="5152" spans="1:2" x14ac:dyDescent="0.25">
      <c r="A5152" s="924">
        <f t="shared" si="80"/>
        <v>5152</v>
      </c>
      <c r="B5152" s="924">
        <v>11.9</v>
      </c>
    </row>
    <row r="5153" spans="1:2" x14ac:dyDescent="0.25">
      <c r="A5153" s="924">
        <f t="shared" si="80"/>
        <v>5153</v>
      </c>
      <c r="B5153" s="924">
        <v>11.9</v>
      </c>
    </row>
    <row r="5154" spans="1:2" x14ac:dyDescent="0.25">
      <c r="A5154" s="924">
        <f t="shared" si="80"/>
        <v>5154</v>
      </c>
      <c r="B5154" s="924">
        <v>11.9</v>
      </c>
    </row>
    <row r="5155" spans="1:2" x14ac:dyDescent="0.25">
      <c r="A5155" s="924">
        <f t="shared" si="80"/>
        <v>5155</v>
      </c>
      <c r="B5155" s="924">
        <v>11.9</v>
      </c>
    </row>
    <row r="5156" spans="1:2" x14ac:dyDescent="0.25">
      <c r="A5156" s="924">
        <f t="shared" si="80"/>
        <v>5156</v>
      </c>
      <c r="B5156" s="924">
        <v>11.9</v>
      </c>
    </row>
    <row r="5157" spans="1:2" x14ac:dyDescent="0.25">
      <c r="A5157" s="924">
        <f t="shared" si="80"/>
        <v>5157</v>
      </c>
      <c r="B5157" s="924">
        <v>11.9</v>
      </c>
    </row>
    <row r="5158" spans="1:2" x14ac:dyDescent="0.25">
      <c r="A5158" s="924">
        <f t="shared" si="80"/>
        <v>5158</v>
      </c>
      <c r="B5158" s="924">
        <v>11.9</v>
      </c>
    </row>
    <row r="5159" spans="1:2" x14ac:dyDescent="0.25">
      <c r="A5159" s="924">
        <f t="shared" si="80"/>
        <v>5159</v>
      </c>
      <c r="B5159" s="924">
        <v>11.9</v>
      </c>
    </row>
    <row r="5160" spans="1:2" x14ac:dyDescent="0.25">
      <c r="A5160" s="924">
        <f t="shared" si="80"/>
        <v>5160</v>
      </c>
      <c r="B5160" s="924">
        <v>11.9</v>
      </c>
    </row>
    <row r="5161" spans="1:2" x14ac:dyDescent="0.25">
      <c r="A5161" s="924">
        <f t="shared" si="80"/>
        <v>5161</v>
      </c>
      <c r="B5161" s="924">
        <v>11.9</v>
      </c>
    </row>
    <row r="5162" spans="1:2" x14ac:dyDescent="0.25">
      <c r="A5162" s="924">
        <f t="shared" si="80"/>
        <v>5162</v>
      </c>
      <c r="B5162" s="924">
        <v>11.9</v>
      </c>
    </row>
    <row r="5163" spans="1:2" x14ac:dyDescent="0.25">
      <c r="A5163" s="924">
        <f t="shared" si="80"/>
        <v>5163</v>
      </c>
      <c r="B5163" s="924">
        <v>11.9</v>
      </c>
    </row>
    <row r="5164" spans="1:2" x14ac:dyDescent="0.25">
      <c r="A5164" s="924">
        <f t="shared" si="80"/>
        <v>5164</v>
      </c>
      <c r="B5164" s="924">
        <v>11.9</v>
      </c>
    </row>
    <row r="5165" spans="1:2" x14ac:dyDescent="0.25">
      <c r="A5165" s="924">
        <f t="shared" si="80"/>
        <v>5165</v>
      </c>
      <c r="B5165" s="924">
        <v>11.9</v>
      </c>
    </row>
    <row r="5166" spans="1:2" x14ac:dyDescent="0.25">
      <c r="A5166" s="924">
        <f t="shared" si="80"/>
        <v>5166</v>
      </c>
      <c r="B5166" s="924">
        <v>11.9</v>
      </c>
    </row>
    <row r="5167" spans="1:2" x14ac:dyDescent="0.25">
      <c r="A5167" s="924">
        <f t="shared" si="80"/>
        <v>5167</v>
      </c>
      <c r="B5167" s="924">
        <v>11.9</v>
      </c>
    </row>
    <row r="5168" spans="1:2" x14ac:dyDescent="0.25">
      <c r="A5168" s="924">
        <f t="shared" si="80"/>
        <v>5168</v>
      </c>
      <c r="B5168" s="924">
        <v>11.9</v>
      </c>
    </row>
    <row r="5169" spans="1:2" x14ac:dyDescent="0.25">
      <c r="A5169" s="924">
        <f t="shared" si="80"/>
        <v>5169</v>
      </c>
      <c r="B5169" s="924">
        <v>11.9</v>
      </c>
    </row>
    <row r="5170" spans="1:2" x14ac:dyDescent="0.25">
      <c r="A5170" s="924">
        <f t="shared" si="80"/>
        <v>5170</v>
      </c>
      <c r="B5170" s="924">
        <v>11.9</v>
      </c>
    </row>
    <row r="5171" spans="1:2" x14ac:dyDescent="0.25">
      <c r="A5171" s="924">
        <f t="shared" si="80"/>
        <v>5171</v>
      </c>
      <c r="B5171" s="924">
        <v>11.9</v>
      </c>
    </row>
    <row r="5172" spans="1:2" x14ac:dyDescent="0.25">
      <c r="A5172" s="924">
        <f t="shared" si="80"/>
        <v>5172</v>
      </c>
      <c r="B5172" s="924">
        <v>11.9</v>
      </c>
    </row>
    <row r="5173" spans="1:2" x14ac:dyDescent="0.25">
      <c r="A5173" s="924">
        <f t="shared" si="80"/>
        <v>5173</v>
      </c>
      <c r="B5173" s="924">
        <v>11.9</v>
      </c>
    </row>
    <row r="5174" spans="1:2" x14ac:dyDescent="0.25">
      <c r="A5174" s="924">
        <f t="shared" si="80"/>
        <v>5174</v>
      </c>
      <c r="B5174" s="924">
        <v>11.9</v>
      </c>
    </row>
    <row r="5175" spans="1:2" x14ac:dyDescent="0.25">
      <c r="A5175" s="924">
        <f t="shared" si="80"/>
        <v>5175</v>
      </c>
      <c r="B5175" s="924">
        <v>12</v>
      </c>
    </row>
    <row r="5176" spans="1:2" x14ac:dyDescent="0.25">
      <c r="A5176" s="924">
        <f t="shared" si="80"/>
        <v>5176</v>
      </c>
      <c r="B5176" s="924">
        <v>12</v>
      </c>
    </row>
    <row r="5177" spans="1:2" x14ac:dyDescent="0.25">
      <c r="A5177" s="924">
        <f t="shared" si="80"/>
        <v>5177</v>
      </c>
      <c r="B5177" s="924">
        <v>12</v>
      </c>
    </row>
    <row r="5178" spans="1:2" x14ac:dyDescent="0.25">
      <c r="A5178" s="924">
        <f t="shared" si="80"/>
        <v>5178</v>
      </c>
      <c r="B5178" s="924">
        <v>12</v>
      </c>
    </row>
    <row r="5179" spans="1:2" x14ac:dyDescent="0.25">
      <c r="A5179" s="924">
        <f t="shared" si="80"/>
        <v>5179</v>
      </c>
      <c r="B5179" s="924">
        <v>12</v>
      </c>
    </row>
    <row r="5180" spans="1:2" x14ac:dyDescent="0.25">
      <c r="A5180" s="924">
        <f t="shared" si="80"/>
        <v>5180</v>
      </c>
      <c r="B5180" s="924">
        <v>12</v>
      </c>
    </row>
    <row r="5181" spans="1:2" x14ac:dyDescent="0.25">
      <c r="A5181" s="924">
        <f t="shared" si="80"/>
        <v>5181</v>
      </c>
      <c r="B5181" s="924">
        <v>12</v>
      </c>
    </row>
    <row r="5182" spans="1:2" x14ac:dyDescent="0.25">
      <c r="A5182" s="924">
        <f t="shared" si="80"/>
        <v>5182</v>
      </c>
      <c r="B5182" s="924">
        <v>12</v>
      </c>
    </row>
    <row r="5183" spans="1:2" x14ac:dyDescent="0.25">
      <c r="A5183" s="924">
        <f t="shared" si="80"/>
        <v>5183</v>
      </c>
      <c r="B5183" s="924">
        <v>12</v>
      </c>
    </row>
    <row r="5184" spans="1:2" x14ac:dyDescent="0.25">
      <c r="A5184" s="924">
        <f t="shared" si="80"/>
        <v>5184</v>
      </c>
      <c r="B5184" s="924">
        <v>12</v>
      </c>
    </row>
    <row r="5185" spans="1:2" x14ac:dyDescent="0.25">
      <c r="A5185" s="924">
        <f t="shared" si="80"/>
        <v>5185</v>
      </c>
      <c r="B5185" s="924">
        <v>12</v>
      </c>
    </row>
    <row r="5186" spans="1:2" x14ac:dyDescent="0.25">
      <c r="A5186" s="924">
        <f t="shared" si="80"/>
        <v>5186</v>
      </c>
      <c r="B5186" s="924">
        <v>12</v>
      </c>
    </row>
    <row r="5187" spans="1:2" x14ac:dyDescent="0.25">
      <c r="A5187" s="924">
        <f t="shared" ref="A5187:A5250" si="81">A5186+1</f>
        <v>5187</v>
      </c>
      <c r="B5187" s="924">
        <v>12</v>
      </c>
    </row>
    <row r="5188" spans="1:2" x14ac:dyDescent="0.25">
      <c r="A5188" s="924">
        <f t="shared" si="81"/>
        <v>5188</v>
      </c>
      <c r="B5188" s="924">
        <v>12</v>
      </c>
    </row>
    <row r="5189" spans="1:2" x14ac:dyDescent="0.25">
      <c r="A5189" s="924">
        <f t="shared" si="81"/>
        <v>5189</v>
      </c>
      <c r="B5189" s="924">
        <v>12</v>
      </c>
    </row>
    <row r="5190" spans="1:2" x14ac:dyDescent="0.25">
      <c r="A5190" s="924">
        <f t="shared" si="81"/>
        <v>5190</v>
      </c>
      <c r="B5190" s="924">
        <v>12</v>
      </c>
    </row>
    <row r="5191" spans="1:2" x14ac:dyDescent="0.25">
      <c r="A5191" s="924">
        <f t="shared" si="81"/>
        <v>5191</v>
      </c>
      <c r="B5191" s="924">
        <v>12</v>
      </c>
    </row>
    <row r="5192" spans="1:2" x14ac:dyDescent="0.25">
      <c r="A5192" s="924">
        <f t="shared" si="81"/>
        <v>5192</v>
      </c>
      <c r="B5192" s="924">
        <v>12</v>
      </c>
    </row>
    <row r="5193" spans="1:2" x14ac:dyDescent="0.25">
      <c r="A5193" s="924">
        <f t="shared" si="81"/>
        <v>5193</v>
      </c>
      <c r="B5193" s="924">
        <v>12</v>
      </c>
    </row>
    <row r="5194" spans="1:2" x14ac:dyDescent="0.25">
      <c r="A5194" s="924">
        <f t="shared" si="81"/>
        <v>5194</v>
      </c>
      <c r="B5194" s="924">
        <v>12</v>
      </c>
    </row>
    <row r="5195" spans="1:2" x14ac:dyDescent="0.25">
      <c r="A5195" s="924">
        <f t="shared" si="81"/>
        <v>5195</v>
      </c>
      <c r="B5195" s="924">
        <v>12</v>
      </c>
    </row>
    <row r="5196" spans="1:2" x14ac:dyDescent="0.25">
      <c r="A5196" s="924">
        <f t="shared" si="81"/>
        <v>5196</v>
      </c>
      <c r="B5196" s="924">
        <v>12</v>
      </c>
    </row>
    <row r="5197" spans="1:2" x14ac:dyDescent="0.25">
      <c r="A5197" s="924">
        <f t="shared" si="81"/>
        <v>5197</v>
      </c>
      <c r="B5197" s="924">
        <v>12</v>
      </c>
    </row>
    <row r="5198" spans="1:2" x14ac:dyDescent="0.25">
      <c r="A5198" s="924">
        <f t="shared" si="81"/>
        <v>5198</v>
      </c>
      <c r="B5198" s="924">
        <v>12</v>
      </c>
    </row>
    <row r="5199" spans="1:2" x14ac:dyDescent="0.25">
      <c r="A5199" s="924">
        <f t="shared" si="81"/>
        <v>5199</v>
      </c>
      <c r="B5199" s="924">
        <v>12</v>
      </c>
    </row>
    <row r="5200" spans="1:2" x14ac:dyDescent="0.25">
      <c r="A5200" s="924">
        <f t="shared" si="81"/>
        <v>5200</v>
      </c>
      <c r="B5200" s="924">
        <v>12</v>
      </c>
    </row>
    <row r="5201" spans="1:2" x14ac:dyDescent="0.25">
      <c r="A5201" s="924">
        <f t="shared" si="81"/>
        <v>5201</v>
      </c>
      <c r="B5201" s="924">
        <v>12</v>
      </c>
    </row>
    <row r="5202" spans="1:2" x14ac:dyDescent="0.25">
      <c r="A5202" s="924">
        <f t="shared" si="81"/>
        <v>5202</v>
      </c>
      <c r="B5202" s="924">
        <v>12</v>
      </c>
    </row>
    <row r="5203" spans="1:2" x14ac:dyDescent="0.25">
      <c r="A5203" s="924">
        <f t="shared" si="81"/>
        <v>5203</v>
      </c>
      <c r="B5203" s="924">
        <v>12</v>
      </c>
    </row>
    <row r="5204" spans="1:2" x14ac:dyDescent="0.25">
      <c r="A5204" s="924">
        <f t="shared" si="81"/>
        <v>5204</v>
      </c>
      <c r="B5204" s="924">
        <v>12</v>
      </c>
    </row>
    <row r="5205" spans="1:2" x14ac:dyDescent="0.25">
      <c r="A5205" s="924">
        <f t="shared" si="81"/>
        <v>5205</v>
      </c>
      <c r="B5205" s="924">
        <v>12.1</v>
      </c>
    </row>
    <row r="5206" spans="1:2" x14ac:dyDescent="0.25">
      <c r="A5206" s="924">
        <f t="shared" si="81"/>
        <v>5206</v>
      </c>
      <c r="B5206" s="924">
        <v>12.1</v>
      </c>
    </row>
    <row r="5207" spans="1:2" x14ac:dyDescent="0.25">
      <c r="A5207" s="924">
        <f t="shared" si="81"/>
        <v>5207</v>
      </c>
      <c r="B5207" s="924">
        <v>12.1</v>
      </c>
    </row>
    <row r="5208" spans="1:2" x14ac:dyDescent="0.25">
      <c r="A5208" s="924">
        <f t="shared" si="81"/>
        <v>5208</v>
      </c>
      <c r="B5208" s="924">
        <v>12.1</v>
      </c>
    </row>
    <row r="5209" spans="1:2" x14ac:dyDescent="0.25">
      <c r="A5209" s="924">
        <f t="shared" si="81"/>
        <v>5209</v>
      </c>
      <c r="B5209" s="924">
        <v>12.1</v>
      </c>
    </row>
    <row r="5210" spans="1:2" x14ac:dyDescent="0.25">
      <c r="A5210" s="924">
        <f t="shared" si="81"/>
        <v>5210</v>
      </c>
      <c r="B5210" s="924">
        <v>12.1</v>
      </c>
    </row>
    <row r="5211" spans="1:2" x14ac:dyDescent="0.25">
      <c r="A5211" s="924">
        <f t="shared" si="81"/>
        <v>5211</v>
      </c>
      <c r="B5211" s="924">
        <v>12.1</v>
      </c>
    </row>
    <row r="5212" spans="1:2" x14ac:dyDescent="0.25">
      <c r="A5212" s="924">
        <f t="shared" si="81"/>
        <v>5212</v>
      </c>
      <c r="B5212" s="924">
        <v>12.1</v>
      </c>
    </row>
    <row r="5213" spans="1:2" x14ac:dyDescent="0.25">
      <c r="A5213" s="924">
        <f t="shared" si="81"/>
        <v>5213</v>
      </c>
      <c r="B5213" s="924">
        <v>12.1</v>
      </c>
    </row>
    <row r="5214" spans="1:2" x14ac:dyDescent="0.25">
      <c r="A5214" s="924">
        <f t="shared" si="81"/>
        <v>5214</v>
      </c>
      <c r="B5214" s="924">
        <v>12.1</v>
      </c>
    </row>
    <row r="5215" spans="1:2" x14ac:dyDescent="0.25">
      <c r="A5215" s="924">
        <f t="shared" si="81"/>
        <v>5215</v>
      </c>
      <c r="B5215" s="924">
        <v>12.1</v>
      </c>
    </row>
    <row r="5216" spans="1:2" x14ac:dyDescent="0.25">
      <c r="A5216" s="924">
        <f t="shared" si="81"/>
        <v>5216</v>
      </c>
      <c r="B5216" s="924">
        <v>12.1</v>
      </c>
    </row>
    <row r="5217" spans="1:2" x14ac:dyDescent="0.25">
      <c r="A5217" s="924">
        <f t="shared" si="81"/>
        <v>5217</v>
      </c>
      <c r="B5217" s="924">
        <v>12.1</v>
      </c>
    </row>
    <row r="5218" spans="1:2" x14ac:dyDescent="0.25">
      <c r="A5218" s="924">
        <f t="shared" si="81"/>
        <v>5218</v>
      </c>
      <c r="B5218" s="924">
        <v>12.1</v>
      </c>
    </row>
    <row r="5219" spans="1:2" x14ac:dyDescent="0.25">
      <c r="A5219" s="924">
        <f t="shared" si="81"/>
        <v>5219</v>
      </c>
      <c r="B5219" s="924">
        <v>12.1</v>
      </c>
    </row>
    <row r="5220" spans="1:2" x14ac:dyDescent="0.25">
      <c r="A5220" s="924">
        <f t="shared" si="81"/>
        <v>5220</v>
      </c>
      <c r="B5220" s="924">
        <v>12.1</v>
      </c>
    </row>
    <row r="5221" spans="1:2" x14ac:dyDescent="0.25">
      <c r="A5221" s="924">
        <f t="shared" si="81"/>
        <v>5221</v>
      </c>
      <c r="B5221" s="924">
        <v>12.1</v>
      </c>
    </row>
    <row r="5222" spans="1:2" x14ac:dyDescent="0.25">
      <c r="A5222" s="924">
        <f t="shared" si="81"/>
        <v>5222</v>
      </c>
      <c r="B5222" s="924">
        <v>12.1</v>
      </c>
    </row>
    <row r="5223" spans="1:2" x14ac:dyDescent="0.25">
      <c r="A5223" s="924">
        <f t="shared" si="81"/>
        <v>5223</v>
      </c>
      <c r="B5223" s="924">
        <v>12.1</v>
      </c>
    </row>
    <row r="5224" spans="1:2" x14ac:dyDescent="0.25">
      <c r="A5224" s="924">
        <f t="shared" si="81"/>
        <v>5224</v>
      </c>
      <c r="B5224" s="924">
        <v>12.1</v>
      </c>
    </row>
    <row r="5225" spans="1:2" x14ac:dyDescent="0.25">
      <c r="A5225" s="924">
        <f t="shared" si="81"/>
        <v>5225</v>
      </c>
      <c r="B5225" s="924">
        <v>12.1</v>
      </c>
    </row>
    <row r="5226" spans="1:2" x14ac:dyDescent="0.25">
      <c r="A5226" s="924">
        <f t="shared" si="81"/>
        <v>5226</v>
      </c>
      <c r="B5226" s="924">
        <v>12.1</v>
      </c>
    </row>
    <row r="5227" spans="1:2" x14ac:dyDescent="0.25">
      <c r="A5227" s="924">
        <f t="shared" si="81"/>
        <v>5227</v>
      </c>
      <c r="B5227" s="924">
        <v>12.1</v>
      </c>
    </row>
    <row r="5228" spans="1:2" x14ac:dyDescent="0.25">
      <c r="A5228" s="924">
        <f t="shared" si="81"/>
        <v>5228</v>
      </c>
      <c r="B5228" s="924">
        <v>12.1</v>
      </c>
    </row>
    <row r="5229" spans="1:2" x14ac:dyDescent="0.25">
      <c r="A5229" s="924">
        <f t="shared" si="81"/>
        <v>5229</v>
      </c>
      <c r="B5229" s="924">
        <v>12.1</v>
      </c>
    </row>
    <row r="5230" spans="1:2" x14ac:dyDescent="0.25">
      <c r="A5230" s="924">
        <f t="shared" si="81"/>
        <v>5230</v>
      </c>
      <c r="B5230" s="924">
        <v>12.1</v>
      </c>
    </row>
    <row r="5231" spans="1:2" x14ac:dyDescent="0.25">
      <c r="A5231" s="924">
        <f t="shared" si="81"/>
        <v>5231</v>
      </c>
      <c r="B5231" s="924">
        <v>12.1</v>
      </c>
    </row>
    <row r="5232" spans="1:2" x14ac:dyDescent="0.25">
      <c r="A5232" s="924">
        <f t="shared" si="81"/>
        <v>5232</v>
      </c>
      <c r="B5232" s="924">
        <v>12.1</v>
      </c>
    </row>
    <row r="5233" spans="1:2" x14ac:dyDescent="0.25">
      <c r="A5233" s="924">
        <f t="shared" si="81"/>
        <v>5233</v>
      </c>
      <c r="B5233" s="924">
        <v>12.1</v>
      </c>
    </row>
    <row r="5234" spans="1:2" x14ac:dyDescent="0.25">
      <c r="A5234" s="924">
        <f t="shared" si="81"/>
        <v>5234</v>
      </c>
      <c r="B5234" s="924">
        <v>12.1</v>
      </c>
    </row>
    <row r="5235" spans="1:2" x14ac:dyDescent="0.25">
      <c r="A5235" s="924">
        <f t="shared" si="81"/>
        <v>5235</v>
      </c>
      <c r="B5235" s="924">
        <v>12.1</v>
      </c>
    </row>
    <row r="5236" spans="1:2" x14ac:dyDescent="0.25">
      <c r="A5236" s="924">
        <f t="shared" si="81"/>
        <v>5236</v>
      </c>
      <c r="B5236" s="924">
        <v>12.1</v>
      </c>
    </row>
    <row r="5237" spans="1:2" x14ac:dyDescent="0.25">
      <c r="A5237" s="924">
        <f t="shared" si="81"/>
        <v>5237</v>
      </c>
      <c r="B5237" s="924">
        <v>12.1</v>
      </c>
    </row>
    <row r="5238" spans="1:2" x14ac:dyDescent="0.25">
      <c r="A5238" s="924">
        <f t="shared" si="81"/>
        <v>5238</v>
      </c>
      <c r="B5238" s="924">
        <v>12.1</v>
      </c>
    </row>
    <row r="5239" spans="1:2" x14ac:dyDescent="0.25">
      <c r="A5239" s="924">
        <f t="shared" si="81"/>
        <v>5239</v>
      </c>
      <c r="B5239" s="924">
        <v>12.1</v>
      </c>
    </row>
    <row r="5240" spans="1:2" x14ac:dyDescent="0.25">
      <c r="A5240" s="924">
        <f t="shared" si="81"/>
        <v>5240</v>
      </c>
      <c r="B5240" s="924">
        <v>12.1</v>
      </c>
    </row>
    <row r="5241" spans="1:2" x14ac:dyDescent="0.25">
      <c r="A5241" s="924">
        <f t="shared" si="81"/>
        <v>5241</v>
      </c>
      <c r="B5241" s="924">
        <v>12.1</v>
      </c>
    </row>
    <row r="5242" spans="1:2" x14ac:dyDescent="0.25">
      <c r="A5242" s="924">
        <f t="shared" si="81"/>
        <v>5242</v>
      </c>
      <c r="B5242" s="924">
        <v>12.1</v>
      </c>
    </row>
    <row r="5243" spans="1:2" x14ac:dyDescent="0.25">
      <c r="A5243" s="924">
        <f t="shared" si="81"/>
        <v>5243</v>
      </c>
      <c r="B5243" s="924">
        <v>12.1</v>
      </c>
    </row>
    <row r="5244" spans="1:2" x14ac:dyDescent="0.25">
      <c r="A5244" s="924">
        <f t="shared" si="81"/>
        <v>5244</v>
      </c>
      <c r="B5244" s="924">
        <v>12.1</v>
      </c>
    </row>
    <row r="5245" spans="1:2" x14ac:dyDescent="0.25">
      <c r="A5245" s="924">
        <f t="shared" si="81"/>
        <v>5245</v>
      </c>
      <c r="B5245" s="924">
        <v>12.1</v>
      </c>
    </row>
    <row r="5246" spans="1:2" x14ac:dyDescent="0.25">
      <c r="A5246" s="924">
        <f t="shared" si="81"/>
        <v>5246</v>
      </c>
      <c r="B5246" s="924">
        <v>12.1</v>
      </c>
    </row>
    <row r="5247" spans="1:2" x14ac:dyDescent="0.25">
      <c r="A5247" s="924">
        <f t="shared" si="81"/>
        <v>5247</v>
      </c>
      <c r="B5247" s="924">
        <v>12.1</v>
      </c>
    </row>
    <row r="5248" spans="1:2" x14ac:dyDescent="0.25">
      <c r="A5248" s="924">
        <f t="shared" si="81"/>
        <v>5248</v>
      </c>
      <c r="B5248" s="924">
        <v>12.1</v>
      </c>
    </row>
    <row r="5249" spans="1:2" x14ac:dyDescent="0.25">
      <c r="A5249" s="924">
        <f t="shared" si="81"/>
        <v>5249</v>
      </c>
      <c r="B5249" s="924">
        <v>12.2</v>
      </c>
    </row>
    <row r="5250" spans="1:2" x14ac:dyDescent="0.25">
      <c r="A5250" s="924">
        <f t="shared" si="81"/>
        <v>5250</v>
      </c>
      <c r="B5250" s="924">
        <v>12.2</v>
      </c>
    </row>
    <row r="5251" spans="1:2" x14ac:dyDescent="0.25">
      <c r="A5251" s="924">
        <f t="shared" ref="A5251:A5314" si="82">A5250+1</f>
        <v>5251</v>
      </c>
      <c r="B5251" s="924">
        <v>12.2</v>
      </c>
    </row>
    <row r="5252" spans="1:2" x14ac:dyDescent="0.25">
      <c r="A5252" s="924">
        <f t="shared" si="82"/>
        <v>5252</v>
      </c>
      <c r="B5252" s="924">
        <v>12.2</v>
      </c>
    </row>
    <row r="5253" spans="1:2" x14ac:dyDescent="0.25">
      <c r="A5253" s="924">
        <f t="shared" si="82"/>
        <v>5253</v>
      </c>
      <c r="B5253" s="924">
        <v>12.2</v>
      </c>
    </row>
    <row r="5254" spans="1:2" x14ac:dyDescent="0.25">
      <c r="A5254" s="924">
        <f t="shared" si="82"/>
        <v>5254</v>
      </c>
      <c r="B5254" s="924">
        <v>12.2</v>
      </c>
    </row>
    <row r="5255" spans="1:2" x14ac:dyDescent="0.25">
      <c r="A5255" s="924">
        <f t="shared" si="82"/>
        <v>5255</v>
      </c>
      <c r="B5255" s="924">
        <v>12.2</v>
      </c>
    </row>
    <row r="5256" spans="1:2" x14ac:dyDescent="0.25">
      <c r="A5256" s="924">
        <f t="shared" si="82"/>
        <v>5256</v>
      </c>
      <c r="B5256" s="924">
        <v>12.2</v>
      </c>
    </row>
    <row r="5257" spans="1:2" x14ac:dyDescent="0.25">
      <c r="A5257" s="924">
        <f t="shared" si="82"/>
        <v>5257</v>
      </c>
      <c r="B5257" s="924">
        <v>12.2</v>
      </c>
    </row>
    <row r="5258" spans="1:2" x14ac:dyDescent="0.25">
      <c r="A5258" s="924">
        <f t="shared" si="82"/>
        <v>5258</v>
      </c>
      <c r="B5258" s="924">
        <v>12.2</v>
      </c>
    </row>
    <row r="5259" spans="1:2" x14ac:dyDescent="0.25">
      <c r="A5259" s="924">
        <f t="shared" si="82"/>
        <v>5259</v>
      </c>
      <c r="B5259" s="924">
        <v>12.2</v>
      </c>
    </row>
    <row r="5260" spans="1:2" x14ac:dyDescent="0.25">
      <c r="A5260" s="924">
        <f t="shared" si="82"/>
        <v>5260</v>
      </c>
      <c r="B5260" s="924">
        <v>12.2</v>
      </c>
    </row>
    <row r="5261" spans="1:2" x14ac:dyDescent="0.25">
      <c r="A5261" s="924">
        <f t="shared" si="82"/>
        <v>5261</v>
      </c>
      <c r="B5261" s="924">
        <v>12.2</v>
      </c>
    </row>
    <row r="5262" spans="1:2" x14ac:dyDescent="0.25">
      <c r="A5262" s="924">
        <f t="shared" si="82"/>
        <v>5262</v>
      </c>
      <c r="B5262" s="924">
        <v>12.2</v>
      </c>
    </row>
    <row r="5263" spans="1:2" x14ac:dyDescent="0.25">
      <c r="A5263" s="924">
        <f t="shared" si="82"/>
        <v>5263</v>
      </c>
      <c r="B5263" s="924">
        <v>12.2</v>
      </c>
    </row>
    <row r="5264" spans="1:2" x14ac:dyDescent="0.25">
      <c r="A5264" s="924">
        <f t="shared" si="82"/>
        <v>5264</v>
      </c>
      <c r="B5264" s="924">
        <v>12.2</v>
      </c>
    </row>
    <row r="5265" spans="1:2" x14ac:dyDescent="0.25">
      <c r="A5265" s="924">
        <f t="shared" si="82"/>
        <v>5265</v>
      </c>
      <c r="B5265" s="924">
        <v>12.2</v>
      </c>
    </row>
    <row r="5266" spans="1:2" x14ac:dyDescent="0.25">
      <c r="A5266" s="924">
        <f t="shared" si="82"/>
        <v>5266</v>
      </c>
      <c r="B5266" s="924">
        <v>12.2</v>
      </c>
    </row>
    <row r="5267" spans="1:2" x14ac:dyDescent="0.25">
      <c r="A5267" s="924">
        <f t="shared" si="82"/>
        <v>5267</v>
      </c>
      <c r="B5267" s="924">
        <v>12.2</v>
      </c>
    </row>
    <row r="5268" spans="1:2" x14ac:dyDescent="0.25">
      <c r="A5268" s="924">
        <f t="shared" si="82"/>
        <v>5268</v>
      </c>
      <c r="B5268" s="924">
        <v>12.2</v>
      </c>
    </row>
    <row r="5269" spans="1:2" x14ac:dyDescent="0.25">
      <c r="A5269" s="924">
        <f t="shared" si="82"/>
        <v>5269</v>
      </c>
      <c r="B5269" s="924">
        <v>12.2</v>
      </c>
    </row>
    <row r="5270" spans="1:2" x14ac:dyDescent="0.25">
      <c r="A5270" s="924">
        <f t="shared" si="82"/>
        <v>5270</v>
      </c>
      <c r="B5270" s="924">
        <v>12.2</v>
      </c>
    </row>
    <row r="5271" spans="1:2" x14ac:dyDescent="0.25">
      <c r="A5271" s="924">
        <f t="shared" si="82"/>
        <v>5271</v>
      </c>
      <c r="B5271" s="924">
        <v>12.2</v>
      </c>
    </row>
    <row r="5272" spans="1:2" x14ac:dyDescent="0.25">
      <c r="A5272" s="924">
        <f t="shared" si="82"/>
        <v>5272</v>
      </c>
      <c r="B5272" s="924">
        <v>12.2</v>
      </c>
    </row>
    <row r="5273" spans="1:2" x14ac:dyDescent="0.25">
      <c r="A5273" s="924">
        <f t="shared" si="82"/>
        <v>5273</v>
      </c>
      <c r="B5273" s="924">
        <v>12.2</v>
      </c>
    </row>
    <row r="5274" spans="1:2" x14ac:dyDescent="0.25">
      <c r="A5274" s="924">
        <f t="shared" si="82"/>
        <v>5274</v>
      </c>
      <c r="B5274" s="924">
        <v>12.2</v>
      </c>
    </row>
    <row r="5275" spans="1:2" x14ac:dyDescent="0.25">
      <c r="A5275" s="924">
        <f t="shared" si="82"/>
        <v>5275</v>
      </c>
      <c r="B5275" s="924">
        <v>12.2</v>
      </c>
    </row>
    <row r="5276" spans="1:2" x14ac:dyDescent="0.25">
      <c r="A5276" s="924">
        <f t="shared" si="82"/>
        <v>5276</v>
      </c>
      <c r="B5276" s="924">
        <v>12.2</v>
      </c>
    </row>
    <row r="5277" spans="1:2" x14ac:dyDescent="0.25">
      <c r="A5277" s="924">
        <f t="shared" si="82"/>
        <v>5277</v>
      </c>
      <c r="B5277" s="924">
        <v>12.2</v>
      </c>
    </row>
    <row r="5278" spans="1:2" x14ac:dyDescent="0.25">
      <c r="A5278" s="924">
        <f t="shared" si="82"/>
        <v>5278</v>
      </c>
      <c r="B5278" s="924">
        <v>12.2</v>
      </c>
    </row>
    <row r="5279" spans="1:2" x14ac:dyDescent="0.25">
      <c r="A5279" s="924">
        <f t="shared" si="82"/>
        <v>5279</v>
      </c>
      <c r="B5279" s="924">
        <v>12.2</v>
      </c>
    </row>
    <row r="5280" spans="1:2" x14ac:dyDescent="0.25">
      <c r="A5280" s="924">
        <f t="shared" si="82"/>
        <v>5280</v>
      </c>
      <c r="B5280" s="924">
        <v>12.2</v>
      </c>
    </row>
    <row r="5281" spans="1:2" x14ac:dyDescent="0.25">
      <c r="A5281" s="924">
        <f t="shared" si="82"/>
        <v>5281</v>
      </c>
      <c r="B5281" s="924">
        <v>12.2</v>
      </c>
    </row>
    <row r="5282" spans="1:2" x14ac:dyDescent="0.25">
      <c r="A5282" s="924">
        <f t="shared" si="82"/>
        <v>5282</v>
      </c>
      <c r="B5282" s="924">
        <v>12.2</v>
      </c>
    </row>
    <row r="5283" spans="1:2" x14ac:dyDescent="0.25">
      <c r="A5283" s="924">
        <f t="shared" si="82"/>
        <v>5283</v>
      </c>
      <c r="B5283" s="924">
        <v>12.2</v>
      </c>
    </row>
    <row r="5284" spans="1:2" x14ac:dyDescent="0.25">
      <c r="A5284" s="924">
        <f t="shared" si="82"/>
        <v>5284</v>
      </c>
      <c r="B5284" s="924">
        <v>12.2</v>
      </c>
    </row>
    <row r="5285" spans="1:2" x14ac:dyDescent="0.25">
      <c r="A5285" s="924">
        <f t="shared" si="82"/>
        <v>5285</v>
      </c>
      <c r="B5285" s="924">
        <v>12.2</v>
      </c>
    </row>
    <row r="5286" spans="1:2" x14ac:dyDescent="0.25">
      <c r="A5286" s="924">
        <f t="shared" si="82"/>
        <v>5286</v>
      </c>
      <c r="B5286" s="924">
        <v>12.2</v>
      </c>
    </row>
    <row r="5287" spans="1:2" x14ac:dyDescent="0.25">
      <c r="A5287" s="924">
        <f t="shared" si="82"/>
        <v>5287</v>
      </c>
      <c r="B5287" s="924">
        <v>12.2</v>
      </c>
    </row>
    <row r="5288" spans="1:2" x14ac:dyDescent="0.25">
      <c r="A5288" s="924">
        <f t="shared" si="82"/>
        <v>5288</v>
      </c>
      <c r="B5288" s="924">
        <v>12.2</v>
      </c>
    </row>
    <row r="5289" spans="1:2" x14ac:dyDescent="0.25">
      <c r="A5289" s="924">
        <f t="shared" si="82"/>
        <v>5289</v>
      </c>
      <c r="B5289" s="924">
        <v>12.2</v>
      </c>
    </row>
    <row r="5290" spans="1:2" x14ac:dyDescent="0.25">
      <c r="A5290" s="924">
        <f t="shared" si="82"/>
        <v>5290</v>
      </c>
      <c r="B5290" s="924">
        <v>12.2</v>
      </c>
    </row>
    <row r="5291" spans="1:2" x14ac:dyDescent="0.25">
      <c r="A5291" s="924">
        <f t="shared" si="82"/>
        <v>5291</v>
      </c>
      <c r="B5291" s="924">
        <v>12.2</v>
      </c>
    </row>
    <row r="5292" spans="1:2" x14ac:dyDescent="0.25">
      <c r="A5292" s="924">
        <f t="shared" si="82"/>
        <v>5292</v>
      </c>
      <c r="B5292" s="924">
        <v>12.2</v>
      </c>
    </row>
    <row r="5293" spans="1:2" x14ac:dyDescent="0.25">
      <c r="A5293" s="924">
        <f t="shared" si="82"/>
        <v>5293</v>
      </c>
      <c r="B5293" s="924">
        <v>12.2</v>
      </c>
    </row>
    <row r="5294" spans="1:2" x14ac:dyDescent="0.25">
      <c r="A5294" s="924">
        <f t="shared" si="82"/>
        <v>5294</v>
      </c>
      <c r="B5294" s="924">
        <v>12.2</v>
      </c>
    </row>
    <row r="5295" spans="1:2" x14ac:dyDescent="0.25">
      <c r="A5295" s="924">
        <f t="shared" si="82"/>
        <v>5295</v>
      </c>
      <c r="B5295" s="924">
        <v>12.2</v>
      </c>
    </row>
    <row r="5296" spans="1:2" x14ac:dyDescent="0.25">
      <c r="A5296" s="924">
        <f t="shared" si="82"/>
        <v>5296</v>
      </c>
      <c r="B5296" s="924">
        <v>12.2</v>
      </c>
    </row>
    <row r="5297" spans="1:2" x14ac:dyDescent="0.25">
      <c r="A5297" s="924">
        <f t="shared" si="82"/>
        <v>5297</v>
      </c>
      <c r="B5297" s="924">
        <v>12.2</v>
      </c>
    </row>
    <row r="5298" spans="1:2" x14ac:dyDescent="0.25">
      <c r="A5298" s="924">
        <f t="shared" si="82"/>
        <v>5298</v>
      </c>
      <c r="B5298" s="924">
        <v>12.2</v>
      </c>
    </row>
    <row r="5299" spans="1:2" x14ac:dyDescent="0.25">
      <c r="A5299" s="924">
        <f t="shared" si="82"/>
        <v>5299</v>
      </c>
      <c r="B5299" s="924">
        <v>12.2</v>
      </c>
    </row>
    <row r="5300" spans="1:2" x14ac:dyDescent="0.25">
      <c r="A5300" s="924">
        <f t="shared" si="82"/>
        <v>5300</v>
      </c>
      <c r="B5300" s="924">
        <v>12.2</v>
      </c>
    </row>
    <row r="5301" spans="1:2" x14ac:dyDescent="0.25">
      <c r="A5301" s="924">
        <f t="shared" si="82"/>
        <v>5301</v>
      </c>
      <c r="B5301" s="924">
        <v>12.2</v>
      </c>
    </row>
    <row r="5302" spans="1:2" x14ac:dyDescent="0.25">
      <c r="A5302" s="924">
        <f t="shared" si="82"/>
        <v>5302</v>
      </c>
      <c r="B5302" s="924">
        <v>12.2</v>
      </c>
    </row>
    <row r="5303" spans="1:2" x14ac:dyDescent="0.25">
      <c r="A5303" s="924">
        <f t="shared" si="82"/>
        <v>5303</v>
      </c>
      <c r="B5303" s="924">
        <v>12.2</v>
      </c>
    </row>
    <row r="5304" spans="1:2" x14ac:dyDescent="0.25">
      <c r="A5304" s="924">
        <f t="shared" si="82"/>
        <v>5304</v>
      </c>
      <c r="B5304" s="924">
        <v>12.3</v>
      </c>
    </row>
    <row r="5305" spans="1:2" x14ac:dyDescent="0.25">
      <c r="A5305" s="924">
        <f t="shared" si="82"/>
        <v>5305</v>
      </c>
      <c r="B5305" s="924">
        <v>12.3</v>
      </c>
    </row>
    <row r="5306" spans="1:2" x14ac:dyDescent="0.25">
      <c r="A5306" s="924">
        <f t="shared" si="82"/>
        <v>5306</v>
      </c>
      <c r="B5306" s="924">
        <v>12.3</v>
      </c>
    </row>
    <row r="5307" spans="1:2" x14ac:dyDescent="0.25">
      <c r="A5307" s="924">
        <f t="shared" si="82"/>
        <v>5307</v>
      </c>
      <c r="B5307" s="924">
        <v>12.3</v>
      </c>
    </row>
    <row r="5308" spans="1:2" x14ac:dyDescent="0.25">
      <c r="A5308" s="924">
        <f t="shared" si="82"/>
        <v>5308</v>
      </c>
      <c r="B5308" s="924">
        <v>12.3</v>
      </c>
    </row>
    <row r="5309" spans="1:2" x14ac:dyDescent="0.25">
      <c r="A5309" s="924">
        <f t="shared" si="82"/>
        <v>5309</v>
      </c>
      <c r="B5309" s="924">
        <v>12.3</v>
      </c>
    </row>
    <row r="5310" spans="1:2" x14ac:dyDescent="0.25">
      <c r="A5310" s="924">
        <f t="shared" si="82"/>
        <v>5310</v>
      </c>
      <c r="B5310" s="924">
        <v>12.3</v>
      </c>
    </row>
    <row r="5311" spans="1:2" x14ac:dyDescent="0.25">
      <c r="A5311" s="924">
        <f t="shared" si="82"/>
        <v>5311</v>
      </c>
      <c r="B5311" s="924">
        <v>12.3</v>
      </c>
    </row>
    <row r="5312" spans="1:2" x14ac:dyDescent="0.25">
      <c r="A5312" s="924">
        <f t="shared" si="82"/>
        <v>5312</v>
      </c>
      <c r="B5312" s="924">
        <v>12.3</v>
      </c>
    </row>
    <row r="5313" spans="1:2" x14ac:dyDescent="0.25">
      <c r="A5313" s="924">
        <f t="shared" si="82"/>
        <v>5313</v>
      </c>
      <c r="B5313" s="924">
        <v>12.3</v>
      </c>
    </row>
    <row r="5314" spans="1:2" x14ac:dyDescent="0.25">
      <c r="A5314" s="924">
        <f t="shared" si="82"/>
        <v>5314</v>
      </c>
      <c r="B5314" s="924">
        <v>12.3</v>
      </c>
    </row>
    <row r="5315" spans="1:2" x14ac:dyDescent="0.25">
      <c r="A5315" s="924">
        <f t="shared" ref="A5315:A5378" si="83">A5314+1</f>
        <v>5315</v>
      </c>
      <c r="B5315" s="924">
        <v>12.3</v>
      </c>
    </row>
    <row r="5316" spans="1:2" x14ac:dyDescent="0.25">
      <c r="A5316" s="924">
        <f t="shared" si="83"/>
        <v>5316</v>
      </c>
      <c r="B5316" s="924">
        <v>12.3</v>
      </c>
    </row>
    <row r="5317" spans="1:2" x14ac:dyDescent="0.25">
      <c r="A5317" s="924">
        <f t="shared" si="83"/>
        <v>5317</v>
      </c>
      <c r="B5317" s="924">
        <v>12.3</v>
      </c>
    </row>
    <row r="5318" spans="1:2" x14ac:dyDescent="0.25">
      <c r="A5318" s="924">
        <f t="shared" si="83"/>
        <v>5318</v>
      </c>
      <c r="B5318" s="924">
        <v>12.3</v>
      </c>
    </row>
    <row r="5319" spans="1:2" x14ac:dyDescent="0.25">
      <c r="A5319" s="924">
        <f t="shared" si="83"/>
        <v>5319</v>
      </c>
      <c r="B5319" s="924">
        <v>12.3</v>
      </c>
    </row>
    <row r="5320" spans="1:2" x14ac:dyDescent="0.25">
      <c r="A5320" s="924">
        <f t="shared" si="83"/>
        <v>5320</v>
      </c>
      <c r="B5320" s="924">
        <v>12.3</v>
      </c>
    </row>
    <row r="5321" spans="1:2" x14ac:dyDescent="0.25">
      <c r="A5321" s="924">
        <f t="shared" si="83"/>
        <v>5321</v>
      </c>
      <c r="B5321" s="924">
        <v>12.3</v>
      </c>
    </row>
    <row r="5322" spans="1:2" x14ac:dyDescent="0.25">
      <c r="A5322" s="924">
        <f t="shared" si="83"/>
        <v>5322</v>
      </c>
      <c r="B5322" s="924">
        <v>12.3</v>
      </c>
    </row>
    <row r="5323" spans="1:2" x14ac:dyDescent="0.25">
      <c r="A5323" s="924">
        <f t="shared" si="83"/>
        <v>5323</v>
      </c>
      <c r="B5323" s="924">
        <v>12.3</v>
      </c>
    </row>
    <row r="5324" spans="1:2" x14ac:dyDescent="0.25">
      <c r="A5324" s="924">
        <f t="shared" si="83"/>
        <v>5324</v>
      </c>
      <c r="B5324" s="924">
        <v>12.3</v>
      </c>
    </row>
    <row r="5325" spans="1:2" x14ac:dyDescent="0.25">
      <c r="A5325" s="924">
        <f t="shared" si="83"/>
        <v>5325</v>
      </c>
      <c r="B5325" s="924">
        <v>12.3</v>
      </c>
    </row>
    <row r="5326" spans="1:2" x14ac:dyDescent="0.25">
      <c r="A5326" s="924">
        <f t="shared" si="83"/>
        <v>5326</v>
      </c>
      <c r="B5326" s="924">
        <v>12.3</v>
      </c>
    </row>
    <row r="5327" spans="1:2" x14ac:dyDescent="0.25">
      <c r="A5327" s="924">
        <f t="shared" si="83"/>
        <v>5327</v>
      </c>
      <c r="B5327" s="924">
        <v>12.3</v>
      </c>
    </row>
    <row r="5328" spans="1:2" x14ac:dyDescent="0.25">
      <c r="A5328" s="924">
        <f t="shared" si="83"/>
        <v>5328</v>
      </c>
      <c r="B5328" s="924">
        <v>12.3</v>
      </c>
    </row>
    <row r="5329" spans="1:2" x14ac:dyDescent="0.25">
      <c r="A5329" s="924">
        <f t="shared" si="83"/>
        <v>5329</v>
      </c>
      <c r="B5329" s="924">
        <v>12.3</v>
      </c>
    </row>
    <row r="5330" spans="1:2" x14ac:dyDescent="0.25">
      <c r="A5330" s="924">
        <f t="shared" si="83"/>
        <v>5330</v>
      </c>
      <c r="B5330" s="924">
        <v>12.3</v>
      </c>
    </row>
    <row r="5331" spans="1:2" x14ac:dyDescent="0.25">
      <c r="A5331" s="924">
        <f t="shared" si="83"/>
        <v>5331</v>
      </c>
      <c r="B5331" s="924">
        <v>12.3</v>
      </c>
    </row>
    <row r="5332" spans="1:2" x14ac:dyDescent="0.25">
      <c r="A5332" s="924">
        <f t="shared" si="83"/>
        <v>5332</v>
      </c>
      <c r="B5332" s="924">
        <v>12.3</v>
      </c>
    </row>
    <row r="5333" spans="1:2" x14ac:dyDescent="0.25">
      <c r="A5333" s="924">
        <f t="shared" si="83"/>
        <v>5333</v>
      </c>
      <c r="B5333" s="924">
        <v>12.3</v>
      </c>
    </row>
    <row r="5334" spans="1:2" x14ac:dyDescent="0.25">
      <c r="A5334" s="924">
        <f t="shared" si="83"/>
        <v>5334</v>
      </c>
      <c r="B5334" s="924">
        <v>12.3</v>
      </c>
    </row>
    <row r="5335" spans="1:2" x14ac:dyDescent="0.25">
      <c r="A5335" s="924">
        <f t="shared" si="83"/>
        <v>5335</v>
      </c>
      <c r="B5335" s="924">
        <v>12.4</v>
      </c>
    </row>
    <row r="5336" spans="1:2" x14ac:dyDescent="0.25">
      <c r="A5336" s="924">
        <f t="shared" si="83"/>
        <v>5336</v>
      </c>
      <c r="B5336" s="924">
        <v>12.4</v>
      </c>
    </row>
    <row r="5337" spans="1:2" x14ac:dyDescent="0.25">
      <c r="A5337" s="924">
        <f t="shared" si="83"/>
        <v>5337</v>
      </c>
      <c r="B5337" s="924">
        <v>12.4</v>
      </c>
    </row>
    <row r="5338" spans="1:2" x14ac:dyDescent="0.25">
      <c r="A5338" s="924">
        <f t="shared" si="83"/>
        <v>5338</v>
      </c>
      <c r="B5338" s="924">
        <v>12.4</v>
      </c>
    </row>
    <row r="5339" spans="1:2" x14ac:dyDescent="0.25">
      <c r="A5339" s="924">
        <f t="shared" si="83"/>
        <v>5339</v>
      </c>
      <c r="B5339" s="924">
        <v>12.4</v>
      </c>
    </row>
    <row r="5340" spans="1:2" x14ac:dyDescent="0.25">
      <c r="A5340" s="924">
        <f t="shared" si="83"/>
        <v>5340</v>
      </c>
      <c r="B5340" s="924">
        <v>12.4</v>
      </c>
    </row>
    <row r="5341" spans="1:2" x14ac:dyDescent="0.25">
      <c r="A5341" s="924">
        <f t="shared" si="83"/>
        <v>5341</v>
      </c>
      <c r="B5341" s="924">
        <v>12.4</v>
      </c>
    </row>
    <row r="5342" spans="1:2" x14ac:dyDescent="0.25">
      <c r="A5342" s="924">
        <f t="shared" si="83"/>
        <v>5342</v>
      </c>
      <c r="B5342" s="924">
        <v>12.4</v>
      </c>
    </row>
    <row r="5343" spans="1:2" x14ac:dyDescent="0.25">
      <c r="A5343" s="924">
        <f t="shared" si="83"/>
        <v>5343</v>
      </c>
      <c r="B5343" s="924">
        <v>12.4</v>
      </c>
    </row>
    <row r="5344" spans="1:2" x14ac:dyDescent="0.25">
      <c r="A5344" s="924">
        <f t="shared" si="83"/>
        <v>5344</v>
      </c>
      <c r="B5344" s="924">
        <v>12.4</v>
      </c>
    </row>
    <row r="5345" spans="1:2" x14ac:dyDescent="0.25">
      <c r="A5345" s="924">
        <f t="shared" si="83"/>
        <v>5345</v>
      </c>
      <c r="B5345" s="924">
        <v>12.4</v>
      </c>
    </row>
    <row r="5346" spans="1:2" x14ac:dyDescent="0.25">
      <c r="A5346" s="924">
        <f t="shared" si="83"/>
        <v>5346</v>
      </c>
      <c r="B5346" s="924">
        <v>12.4</v>
      </c>
    </row>
    <row r="5347" spans="1:2" x14ac:dyDescent="0.25">
      <c r="A5347" s="924">
        <f t="shared" si="83"/>
        <v>5347</v>
      </c>
      <c r="B5347" s="924">
        <v>12.4</v>
      </c>
    </row>
    <row r="5348" spans="1:2" x14ac:dyDescent="0.25">
      <c r="A5348" s="924">
        <f t="shared" si="83"/>
        <v>5348</v>
      </c>
      <c r="B5348" s="924">
        <v>12.4</v>
      </c>
    </row>
    <row r="5349" spans="1:2" x14ac:dyDescent="0.25">
      <c r="A5349" s="924">
        <f t="shared" si="83"/>
        <v>5349</v>
      </c>
      <c r="B5349" s="924">
        <v>12.4</v>
      </c>
    </row>
    <row r="5350" spans="1:2" x14ac:dyDescent="0.25">
      <c r="A5350" s="924">
        <f t="shared" si="83"/>
        <v>5350</v>
      </c>
      <c r="B5350" s="924">
        <v>12.4</v>
      </c>
    </row>
    <row r="5351" spans="1:2" x14ac:dyDescent="0.25">
      <c r="A5351" s="924">
        <f t="shared" si="83"/>
        <v>5351</v>
      </c>
      <c r="B5351" s="924">
        <v>12.4</v>
      </c>
    </row>
    <row r="5352" spans="1:2" x14ac:dyDescent="0.25">
      <c r="A5352" s="924">
        <f t="shared" si="83"/>
        <v>5352</v>
      </c>
      <c r="B5352" s="924">
        <v>12.4</v>
      </c>
    </row>
    <row r="5353" spans="1:2" x14ac:dyDescent="0.25">
      <c r="A5353" s="924">
        <f t="shared" si="83"/>
        <v>5353</v>
      </c>
      <c r="B5353" s="924">
        <v>12.4</v>
      </c>
    </row>
    <row r="5354" spans="1:2" x14ac:dyDescent="0.25">
      <c r="A5354" s="924">
        <f t="shared" si="83"/>
        <v>5354</v>
      </c>
      <c r="B5354" s="924">
        <v>12.4</v>
      </c>
    </row>
    <row r="5355" spans="1:2" x14ac:dyDescent="0.25">
      <c r="A5355" s="924">
        <f t="shared" si="83"/>
        <v>5355</v>
      </c>
      <c r="B5355" s="924">
        <v>12.4</v>
      </c>
    </row>
    <row r="5356" spans="1:2" x14ac:dyDescent="0.25">
      <c r="A5356" s="924">
        <f t="shared" si="83"/>
        <v>5356</v>
      </c>
      <c r="B5356" s="924">
        <v>12.4</v>
      </c>
    </row>
    <row r="5357" spans="1:2" x14ac:dyDescent="0.25">
      <c r="A5357" s="924">
        <f t="shared" si="83"/>
        <v>5357</v>
      </c>
      <c r="B5357" s="924">
        <v>12.4</v>
      </c>
    </row>
    <row r="5358" spans="1:2" x14ac:dyDescent="0.25">
      <c r="A5358" s="924">
        <f t="shared" si="83"/>
        <v>5358</v>
      </c>
      <c r="B5358" s="924">
        <v>12.4</v>
      </c>
    </row>
    <row r="5359" spans="1:2" x14ac:dyDescent="0.25">
      <c r="A5359" s="924">
        <f t="shared" si="83"/>
        <v>5359</v>
      </c>
      <c r="B5359" s="924">
        <v>12.4</v>
      </c>
    </row>
    <row r="5360" spans="1:2" x14ac:dyDescent="0.25">
      <c r="A5360" s="924">
        <f t="shared" si="83"/>
        <v>5360</v>
      </c>
      <c r="B5360" s="924">
        <v>12.4</v>
      </c>
    </row>
    <row r="5361" spans="1:2" x14ac:dyDescent="0.25">
      <c r="A5361" s="924">
        <f t="shared" si="83"/>
        <v>5361</v>
      </c>
      <c r="B5361" s="924">
        <v>12.4</v>
      </c>
    </row>
    <row r="5362" spans="1:2" x14ac:dyDescent="0.25">
      <c r="A5362" s="924">
        <f t="shared" si="83"/>
        <v>5362</v>
      </c>
      <c r="B5362" s="924">
        <v>12.4</v>
      </c>
    </row>
    <row r="5363" spans="1:2" x14ac:dyDescent="0.25">
      <c r="A5363" s="924">
        <f t="shared" si="83"/>
        <v>5363</v>
      </c>
      <c r="B5363" s="924">
        <v>12.4</v>
      </c>
    </row>
    <row r="5364" spans="1:2" x14ac:dyDescent="0.25">
      <c r="A5364" s="924">
        <f t="shared" si="83"/>
        <v>5364</v>
      </c>
      <c r="B5364" s="924">
        <v>12.4</v>
      </c>
    </row>
    <row r="5365" spans="1:2" x14ac:dyDescent="0.25">
      <c r="A5365" s="924">
        <f t="shared" si="83"/>
        <v>5365</v>
      </c>
      <c r="B5365" s="924">
        <v>12.4</v>
      </c>
    </row>
    <row r="5366" spans="1:2" x14ac:dyDescent="0.25">
      <c r="A5366" s="924">
        <f t="shared" si="83"/>
        <v>5366</v>
      </c>
      <c r="B5366" s="924">
        <v>12.4</v>
      </c>
    </row>
    <row r="5367" spans="1:2" x14ac:dyDescent="0.25">
      <c r="A5367" s="924">
        <f t="shared" si="83"/>
        <v>5367</v>
      </c>
      <c r="B5367" s="924">
        <v>12.4</v>
      </c>
    </row>
    <row r="5368" spans="1:2" x14ac:dyDescent="0.25">
      <c r="A5368" s="924">
        <f t="shared" si="83"/>
        <v>5368</v>
      </c>
      <c r="B5368" s="924">
        <v>12.4</v>
      </c>
    </row>
    <row r="5369" spans="1:2" x14ac:dyDescent="0.25">
      <c r="A5369" s="924">
        <f t="shared" si="83"/>
        <v>5369</v>
      </c>
      <c r="B5369" s="924">
        <v>12.4</v>
      </c>
    </row>
    <row r="5370" spans="1:2" x14ac:dyDescent="0.25">
      <c r="A5370" s="924">
        <f t="shared" si="83"/>
        <v>5370</v>
      </c>
      <c r="B5370" s="924">
        <v>12.4</v>
      </c>
    </row>
    <row r="5371" spans="1:2" x14ac:dyDescent="0.25">
      <c r="A5371" s="924">
        <f t="shared" si="83"/>
        <v>5371</v>
      </c>
      <c r="B5371" s="924">
        <v>12.4</v>
      </c>
    </row>
    <row r="5372" spans="1:2" x14ac:dyDescent="0.25">
      <c r="A5372" s="924">
        <f t="shared" si="83"/>
        <v>5372</v>
      </c>
      <c r="B5372" s="924">
        <v>12.4</v>
      </c>
    </row>
    <row r="5373" spans="1:2" x14ac:dyDescent="0.25">
      <c r="A5373" s="924">
        <f t="shared" si="83"/>
        <v>5373</v>
      </c>
      <c r="B5373" s="924">
        <v>12.4</v>
      </c>
    </row>
    <row r="5374" spans="1:2" x14ac:dyDescent="0.25">
      <c r="A5374" s="924">
        <f t="shared" si="83"/>
        <v>5374</v>
      </c>
      <c r="B5374" s="924">
        <v>12.5</v>
      </c>
    </row>
    <row r="5375" spans="1:2" x14ac:dyDescent="0.25">
      <c r="A5375" s="924">
        <f t="shared" si="83"/>
        <v>5375</v>
      </c>
      <c r="B5375" s="924">
        <v>12.5</v>
      </c>
    </row>
    <row r="5376" spans="1:2" x14ac:dyDescent="0.25">
      <c r="A5376" s="924">
        <f t="shared" si="83"/>
        <v>5376</v>
      </c>
      <c r="B5376" s="924">
        <v>12.5</v>
      </c>
    </row>
    <row r="5377" spans="1:2" x14ac:dyDescent="0.25">
      <c r="A5377" s="924">
        <f t="shared" si="83"/>
        <v>5377</v>
      </c>
      <c r="B5377" s="924">
        <v>12.5</v>
      </c>
    </row>
    <row r="5378" spans="1:2" x14ac:dyDescent="0.25">
      <c r="A5378" s="924">
        <f t="shared" si="83"/>
        <v>5378</v>
      </c>
      <c r="B5378" s="924">
        <v>12.5</v>
      </c>
    </row>
    <row r="5379" spans="1:2" x14ac:dyDescent="0.25">
      <c r="A5379" s="924">
        <f t="shared" ref="A5379:A5442" si="84">A5378+1</f>
        <v>5379</v>
      </c>
      <c r="B5379" s="924">
        <v>12.5</v>
      </c>
    </row>
    <row r="5380" spans="1:2" x14ac:dyDescent="0.25">
      <c r="A5380" s="924">
        <f t="shared" si="84"/>
        <v>5380</v>
      </c>
      <c r="B5380" s="924">
        <v>12.5</v>
      </c>
    </row>
    <row r="5381" spans="1:2" x14ac:dyDescent="0.25">
      <c r="A5381" s="924">
        <f t="shared" si="84"/>
        <v>5381</v>
      </c>
      <c r="B5381" s="924">
        <v>12.5</v>
      </c>
    </row>
    <row r="5382" spans="1:2" x14ac:dyDescent="0.25">
      <c r="A5382" s="924">
        <f t="shared" si="84"/>
        <v>5382</v>
      </c>
      <c r="B5382" s="924">
        <v>12.5</v>
      </c>
    </row>
    <row r="5383" spans="1:2" x14ac:dyDescent="0.25">
      <c r="A5383" s="924">
        <f t="shared" si="84"/>
        <v>5383</v>
      </c>
      <c r="B5383" s="924">
        <v>12.5</v>
      </c>
    </row>
    <row r="5384" spans="1:2" x14ac:dyDescent="0.25">
      <c r="A5384" s="924">
        <f t="shared" si="84"/>
        <v>5384</v>
      </c>
      <c r="B5384" s="924">
        <v>12.5</v>
      </c>
    </row>
    <row r="5385" spans="1:2" x14ac:dyDescent="0.25">
      <c r="A5385" s="924">
        <f t="shared" si="84"/>
        <v>5385</v>
      </c>
      <c r="B5385" s="924">
        <v>12.5</v>
      </c>
    </row>
    <row r="5386" spans="1:2" x14ac:dyDescent="0.25">
      <c r="A5386" s="924">
        <f t="shared" si="84"/>
        <v>5386</v>
      </c>
      <c r="B5386" s="924">
        <v>12.5</v>
      </c>
    </row>
    <row r="5387" spans="1:2" x14ac:dyDescent="0.25">
      <c r="A5387" s="924">
        <f t="shared" si="84"/>
        <v>5387</v>
      </c>
      <c r="B5387" s="924">
        <v>12.5</v>
      </c>
    </row>
    <row r="5388" spans="1:2" x14ac:dyDescent="0.25">
      <c r="A5388" s="924">
        <f t="shared" si="84"/>
        <v>5388</v>
      </c>
      <c r="B5388" s="924">
        <v>12.5</v>
      </c>
    </row>
    <row r="5389" spans="1:2" x14ac:dyDescent="0.25">
      <c r="A5389" s="924">
        <f t="shared" si="84"/>
        <v>5389</v>
      </c>
      <c r="B5389" s="924">
        <v>12.5</v>
      </c>
    </row>
    <row r="5390" spans="1:2" x14ac:dyDescent="0.25">
      <c r="A5390" s="924">
        <f t="shared" si="84"/>
        <v>5390</v>
      </c>
      <c r="B5390" s="924">
        <v>12.5</v>
      </c>
    </row>
    <row r="5391" spans="1:2" x14ac:dyDescent="0.25">
      <c r="A5391" s="924">
        <f t="shared" si="84"/>
        <v>5391</v>
      </c>
      <c r="B5391" s="924">
        <v>12.5</v>
      </c>
    </row>
    <row r="5392" spans="1:2" x14ac:dyDescent="0.25">
      <c r="A5392" s="924">
        <f t="shared" si="84"/>
        <v>5392</v>
      </c>
      <c r="B5392" s="924">
        <v>12.5</v>
      </c>
    </row>
    <row r="5393" spans="1:2" x14ac:dyDescent="0.25">
      <c r="A5393" s="924">
        <f t="shared" si="84"/>
        <v>5393</v>
      </c>
      <c r="B5393" s="924">
        <v>12.5</v>
      </c>
    </row>
    <row r="5394" spans="1:2" x14ac:dyDescent="0.25">
      <c r="A5394" s="924">
        <f t="shared" si="84"/>
        <v>5394</v>
      </c>
      <c r="B5394" s="924">
        <v>12.5</v>
      </c>
    </row>
    <row r="5395" spans="1:2" x14ac:dyDescent="0.25">
      <c r="A5395" s="924">
        <f t="shared" si="84"/>
        <v>5395</v>
      </c>
      <c r="B5395" s="924">
        <v>12.5</v>
      </c>
    </row>
    <row r="5396" spans="1:2" x14ac:dyDescent="0.25">
      <c r="A5396" s="924">
        <f t="shared" si="84"/>
        <v>5396</v>
      </c>
      <c r="B5396" s="924">
        <v>12.5</v>
      </c>
    </row>
    <row r="5397" spans="1:2" x14ac:dyDescent="0.25">
      <c r="A5397" s="924">
        <f t="shared" si="84"/>
        <v>5397</v>
      </c>
      <c r="B5397" s="924">
        <v>12.5</v>
      </c>
    </row>
    <row r="5398" spans="1:2" x14ac:dyDescent="0.25">
      <c r="A5398" s="924">
        <f t="shared" si="84"/>
        <v>5398</v>
      </c>
      <c r="B5398" s="924">
        <v>12.5</v>
      </c>
    </row>
    <row r="5399" spans="1:2" x14ac:dyDescent="0.25">
      <c r="A5399" s="924">
        <f t="shared" si="84"/>
        <v>5399</v>
      </c>
      <c r="B5399" s="924">
        <v>12.5</v>
      </c>
    </row>
    <row r="5400" spans="1:2" x14ac:dyDescent="0.25">
      <c r="A5400" s="924">
        <f t="shared" si="84"/>
        <v>5400</v>
      </c>
      <c r="B5400" s="924">
        <v>12.5</v>
      </c>
    </row>
    <row r="5401" spans="1:2" x14ac:dyDescent="0.25">
      <c r="A5401" s="924">
        <f t="shared" si="84"/>
        <v>5401</v>
      </c>
      <c r="B5401" s="924">
        <v>12.5</v>
      </c>
    </row>
    <row r="5402" spans="1:2" x14ac:dyDescent="0.25">
      <c r="A5402" s="924">
        <f t="shared" si="84"/>
        <v>5402</v>
      </c>
      <c r="B5402" s="924">
        <v>12.5</v>
      </c>
    </row>
    <row r="5403" spans="1:2" x14ac:dyDescent="0.25">
      <c r="A5403" s="924">
        <f t="shared" si="84"/>
        <v>5403</v>
      </c>
      <c r="B5403" s="924">
        <v>12.5</v>
      </c>
    </row>
    <row r="5404" spans="1:2" x14ac:dyDescent="0.25">
      <c r="A5404" s="924">
        <f t="shared" si="84"/>
        <v>5404</v>
      </c>
      <c r="B5404" s="924">
        <v>12.5</v>
      </c>
    </row>
    <row r="5405" spans="1:2" x14ac:dyDescent="0.25">
      <c r="A5405" s="924">
        <f t="shared" si="84"/>
        <v>5405</v>
      </c>
      <c r="B5405" s="924">
        <v>12.5</v>
      </c>
    </row>
    <row r="5406" spans="1:2" x14ac:dyDescent="0.25">
      <c r="A5406" s="924">
        <f t="shared" si="84"/>
        <v>5406</v>
      </c>
      <c r="B5406" s="924">
        <v>12.5</v>
      </c>
    </row>
    <row r="5407" spans="1:2" x14ac:dyDescent="0.25">
      <c r="A5407" s="924">
        <f t="shared" si="84"/>
        <v>5407</v>
      </c>
      <c r="B5407" s="924">
        <v>12.5</v>
      </c>
    </row>
    <row r="5408" spans="1:2" x14ac:dyDescent="0.25">
      <c r="A5408" s="924">
        <f t="shared" si="84"/>
        <v>5408</v>
      </c>
      <c r="B5408" s="924">
        <v>12.5</v>
      </c>
    </row>
    <row r="5409" spans="1:2" x14ac:dyDescent="0.25">
      <c r="A5409" s="924">
        <f t="shared" si="84"/>
        <v>5409</v>
      </c>
      <c r="B5409" s="924">
        <v>12.5</v>
      </c>
    </row>
    <row r="5410" spans="1:2" x14ac:dyDescent="0.25">
      <c r="A5410" s="924">
        <f t="shared" si="84"/>
        <v>5410</v>
      </c>
      <c r="B5410" s="924">
        <v>12.5</v>
      </c>
    </row>
    <row r="5411" spans="1:2" x14ac:dyDescent="0.25">
      <c r="A5411" s="924">
        <f t="shared" si="84"/>
        <v>5411</v>
      </c>
      <c r="B5411" s="924">
        <v>12.5</v>
      </c>
    </row>
    <row r="5412" spans="1:2" x14ac:dyDescent="0.25">
      <c r="A5412" s="924">
        <f t="shared" si="84"/>
        <v>5412</v>
      </c>
      <c r="B5412" s="924">
        <v>12.5</v>
      </c>
    </row>
    <row r="5413" spans="1:2" x14ac:dyDescent="0.25">
      <c r="A5413" s="924">
        <f t="shared" si="84"/>
        <v>5413</v>
      </c>
      <c r="B5413" s="924">
        <v>12.5</v>
      </c>
    </row>
    <row r="5414" spans="1:2" x14ac:dyDescent="0.25">
      <c r="A5414" s="924">
        <f t="shared" si="84"/>
        <v>5414</v>
      </c>
      <c r="B5414" s="924">
        <v>12.5</v>
      </c>
    </row>
    <row r="5415" spans="1:2" x14ac:dyDescent="0.25">
      <c r="A5415" s="924">
        <f t="shared" si="84"/>
        <v>5415</v>
      </c>
      <c r="B5415" s="924">
        <v>12.5</v>
      </c>
    </row>
    <row r="5416" spans="1:2" x14ac:dyDescent="0.25">
      <c r="A5416" s="924">
        <f t="shared" si="84"/>
        <v>5416</v>
      </c>
      <c r="B5416" s="924">
        <v>12.5</v>
      </c>
    </row>
    <row r="5417" spans="1:2" x14ac:dyDescent="0.25">
      <c r="A5417" s="924">
        <f t="shared" si="84"/>
        <v>5417</v>
      </c>
      <c r="B5417" s="924">
        <v>12.5</v>
      </c>
    </row>
    <row r="5418" spans="1:2" x14ac:dyDescent="0.25">
      <c r="A5418" s="924">
        <f t="shared" si="84"/>
        <v>5418</v>
      </c>
      <c r="B5418" s="924">
        <v>12.5</v>
      </c>
    </row>
    <row r="5419" spans="1:2" x14ac:dyDescent="0.25">
      <c r="A5419" s="924">
        <f t="shared" si="84"/>
        <v>5419</v>
      </c>
      <c r="B5419" s="924">
        <v>12.5</v>
      </c>
    </row>
    <row r="5420" spans="1:2" x14ac:dyDescent="0.25">
      <c r="A5420" s="924">
        <f t="shared" si="84"/>
        <v>5420</v>
      </c>
      <c r="B5420" s="924">
        <v>12.5</v>
      </c>
    </row>
    <row r="5421" spans="1:2" x14ac:dyDescent="0.25">
      <c r="A5421" s="924">
        <f t="shared" si="84"/>
        <v>5421</v>
      </c>
      <c r="B5421" s="924">
        <v>12.5</v>
      </c>
    </row>
    <row r="5422" spans="1:2" x14ac:dyDescent="0.25">
      <c r="A5422" s="924">
        <f t="shared" si="84"/>
        <v>5422</v>
      </c>
      <c r="B5422" s="924">
        <v>12.5</v>
      </c>
    </row>
    <row r="5423" spans="1:2" x14ac:dyDescent="0.25">
      <c r="A5423" s="924">
        <f t="shared" si="84"/>
        <v>5423</v>
      </c>
      <c r="B5423" s="924">
        <v>12.5</v>
      </c>
    </row>
    <row r="5424" spans="1:2" x14ac:dyDescent="0.25">
      <c r="A5424" s="924">
        <f t="shared" si="84"/>
        <v>5424</v>
      </c>
      <c r="B5424" s="924">
        <v>12.5</v>
      </c>
    </row>
    <row r="5425" spans="1:2" x14ac:dyDescent="0.25">
      <c r="A5425" s="924">
        <f t="shared" si="84"/>
        <v>5425</v>
      </c>
      <c r="B5425" s="924">
        <v>12.5</v>
      </c>
    </row>
    <row r="5426" spans="1:2" x14ac:dyDescent="0.25">
      <c r="A5426" s="924">
        <f t="shared" si="84"/>
        <v>5426</v>
      </c>
      <c r="B5426" s="924">
        <v>12.5</v>
      </c>
    </row>
    <row r="5427" spans="1:2" x14ac:dyDescent="0.25">
      <c r="A5427" s="924">
        <f t="shared" si="84"/>
        <v>5427</v>
      </c>
      <c r="B5427" s="924">
        <v>12.5</v>
      </c>
    </row>
    <row r="5428" spans="1:2" x14ac:dyDescent="0.25">
      <c r="A5428" s="924">
        <f t="shared" si="84"/>
        <v>5428</v>
      </c>
      <c r="B5428" s="924">
        <v>12.5</v>
      </c>
    </row>
    <row r="5429" spans="1:2" x14ac:dyDescent="0.25">
      <c r="A5429" s="924">
        <f t="shared" si="84"/>
        <v>5429</v>
      </c>
      <c r="B5429" s="924">
        <v>12.5</v>
      </c>
    </row>
    <row r="5430" spans="1:2" x14ac:dyDescent="0.25">
      <c r="A5430" s="924">
        <f t="shared" si="84"/>
        <v>5430</v>
      </c>
      <c r="B5430" s="924">
        <v>12.5</v>
      </c>
    </row>
    <row r="5431" spans="1:2" x14ac:dyDescent="0.25">
      <c r="A5431" s="924">
        <f t="shared" si="84"/>
        <v>5431</v>
      </c>
      <c r="B5431" s="924">
        <v>12.5</v>
      </c>
    </row>
    <row r="5432" spans="1:2" x14ac:dyDescent="0.25">
      <c r="A5432" s="924">
        <f t="shared" si="84"/>
        <v>5432</v>
      </c>
      <c r="B5432" s="924">
        <v>12.5</v>
      </c>
    </row>
    <row r="5433" spans="1:2" x14ac:dyDescent="0.25">
      <c r="A5433" s="924">
        <f t="shared" si="84"/>
        <v>5433</v>
      </c>
      <c r="B5433" s="924">
        <v>12.5</v>
      </c>
    </row>
    <row r="5434" spans="1:2" x14ac:dyDescent="0.25">
      <c r="A5434" s="924">
        <f t="shared" si="84"/>
        <v>5434</v>
      </c>
      <c r="B5434" s="924">
        <v>12.5</v>
      </c>
    </row>
    <row r="5435" spans="1:2" x14ac:dyDescent="0.25">
      <c r="A5435" s="924">
        <f t="shared" si="84"/>
        <v>5435</v>
      </c>
      <c r="B5435" s="924">
        <v>12.5</v>
      </c>
    </row>
    <row r="5436" spans="1:2" x14ac:dyDescent="0.25">
      <c r="A5436" s="924">
        <f t="shared" si="84"/>
        <v>5436</v>
      </c>
      <c r="B5436" s="924">
        <v>12.5</v>
      </c>
    </row>
    <row r="5437" spans="1:2" x14ac:dyDescent="0.25">
      <c r="A5437" s="924">
        <f t="shared" si="84"/>
        <v>5437</v>
      </c>
      <c r="B5437" s="924">
        <v>12.6</v>
      </c>
    </row>
    <row r="5438" spans="1:2" x14ac:dyDescent="0.25">
      <c r="A5438" s="924">
        <f t="shared" si="84"/>
        <v>5438</v>
      </c>
      <c r="B5438" s="924">
        <v>12.6</v>
      </c>
    </row>
    <row r="5439" spans="1:2" x14ac:dyDescent="0.25">
      <c r="A5439" s="924">
        <f t="shared" si="84"/>
        <v>5439</v>
      </c>
      <c r="B5439" s="924">
        <v>12.6</v>
      </c>
    </row>
    <row r="5440" spans="1:2" x14ac:dyDescent="0.25">
      <c r="A5440" s="924">
        <f t="shared" si="84"/>
        <v>5440</v>
      </c>
      <c r="B5440" s="924">
        <v>12.6</v>
      </c>
    </row>
    <row r="5441" spans="1:2" x14ac:dyDescent="0.25">
      <c r="A5441" s="924">
        <f t="shared" si="84"/>
        <v>5441</v>
      </c>
      <c r="B5441" s="924">
        <v>12.6</v>
      </c>
    </row>
    <row r="5442" spans="1:2" x14ac:dyDescent="0.25">
      <c r="A5442" s="924">
        <f t="shared" si="84"/>
        <v>5442</v>
      </c>
      <c r="B5442" s="924">
        <v>12.6</v>
      </c>
    </row>
    <row r="5443" spans="1:2" x14ac:dyDescent="0.25">
      <c r="A5443" s="924">
        <f t="shared" ref="A5443:A5506" si="85">A5442+1</f>
        <v>5443</v>
      </c>
      <c r="B5443" s="924">
        <v>12.6</v>
      </c>
    </row>
    <row r="5444" spans="1:2" x14ac:dyDescent="0.25">
      <c r="A5444" s="924">
        <f t="shared" si="85"/>
        <v>5444</v>
      </c>
      <c r="B5444" s="924">
        <v>12.6</v>
      </c>
    </row>
    <row r="5445" spans="1:2" x14ac:dyDescent="0.25">
      <c r="A5445" s="924">
        <f t="shared" si="85"/>
        <v>5445</v>
      </c>
      <c r="B5445" s="924">
        <v>12.6</v>
      </c>
    </row>
    <row r="5446" spans="1:2" x14ac:dyDescent="0.25">
      <c r="A5446" s="924">
        <f t="shared" si="85"/>
        <v>5446</v>
      </c>
      <c r="B5446" s="924">
        <v>12.6</v>
      </c>
    </row>
    <row r="5447" spans="1:2" x14ac:dyDescent="0.25">
      <c r="A5447" s="924">
        <f t="shared" si="85"/>
        <v>5447</v>
      </c>
      <c r="B5447" s="924">
        <v>12.6</v>
      </c>
    </row>
    <row r="5448" spans="1:2" x14ac:dyDescent="0.25">
      <c r="A5448" s="924">
        <f t="shared" si="85"/>
        <v>5448</v>
      </c>
      <c r="B5448" s="924">
        <v>12.6</v>
      </c>
    </row>
    <row r="5449" spans="1:2" x14ac:dyDescent="0.25">
      <c r="A5449" s="924">
        <f t="shared" si="85"/>
        <v>5449</v>
      </c>
      <c r="B5449" s="924">
        <v>12.6</v>
      </c>
    </row>
    <row r="5450" spans="1:2" x14ac:dyDescent="0.25">
      <c r="A5450" s="924">
        <f t="shared" si="85"/>
        <v>5450</v>
      </c>
      <c r="B5450" s="924">
        <v>12.6</v>
      </c>
    </row>
    <row r="5451" spans="1:2" x14ac:dyDescent="0.25">
      <c r="A5451" s="924">
        <f t="shared" si="85"/>
        <v>5451</v>
      </c>
      <c r="B5451" s="924">
        <v>12.6</v>
      </c>
    </row>
    <row r="5452" spans="1:2" x14ac:dyDescent="0.25">
      <c r="A5452" s="924">
        <f t="shared" si="85"/>
        <v>5452</v>
      </c>
      <c r="B5452" s="924">
        <v>12.6</v>
      </c>
    </row>
    <row r="5453" spans="1:2" x14ac:dyDescent="0.25">
      <c r="A5453" s="924">
        <f t="shared" si="85"/>
        <v>5453</v>
      </c>
      <c r="B5453" s="924">
        <v>12.6</v>
      </c>
    </row>
    <row r="5454" spans="1:2" x14ac:dyDescent="0.25">
      <c r="A5454" s="924">
        <f t="shared" si="85"/>
        <v>5454</v>
      </c>
      <c r="B5454" s="924">
        <v>12.6</v>
      </c>
    </row>
    <row r="5455" spans="1:2" x14ac:dyDescent="0.25">
      <c r="A5455" s="924">
        <f t="shared" si="85"/>
        <v>5455</v>
      </c>
      <c r="B5455" s="924">
        <v>12.6</v>
      </c>
    </row>
    <row r="5456" spans="1:2" x14ac:dyDescent="0.25">
      <c r="A5456" s="924">
        <f t="shared" si="85"/>
        <v>5456</v>
      </c>
      <c r="B5456" s="924">
        <v>12.6</v>
      </c>
    </row>
    <row r="5457" spans="1:2" x14ac:dyDescent="0.25">
      <c r="A5457" s="924">
        <f t="shared" si="85"/>
        <v>5457</v>
      </c>
      <c r="B5457" s="924">
        <v>12.6</v>
      </c>
    </row>
    <row r="5458" spans="1:2" x14ac:dyDescent="0.25">
      <c r="A5458" s="924">
        <f t="shared" si="85"/>
        <v>5458</v>
      </c>
      <c r="B5458" s="924">
        <v>12.6</v>
      </c>
    </row>
    <row r="5459" spans="1:2" x14ac:dyDescent="0.25">
      <c r="A5459" s="924">
        <f t="shared" si="85"/>
        <v>5459</v>
      </c>
      <c r="B5459" s="924">
        <v>12.6</v>
      </c>
    </row>
    <row r="5460" spans="1:2" x14ac:dyDescent="0.25">
      <c r="A5460" s="924">
        <f t="shared" si="85"/>
        <v>5460</v>
      </c>
      <c r="B5460" s="924">
        <v>12.6</v>
      </c>
    </row>
    <row r="5461" spans="1:2" x14ac:dyDescent="0.25">
      <c r="A5461" s="924">
        <f t="shared" si="85"/>
        <v>5461</v>
      </c>
      <c r="B5461" s="924">
        <v>12.6</v>
      </c>
    </row>
    <row r="5462" spans="1:2" x14ac:dyDescent="0.25">
      <c r="A5462" s="924">
        <f t="shared" si="85"/>
        <v>5462</v>
      </c>
      <c r="B5462" s="924">
        <v>12.6</v>
      </c>
    </row>
    <row r="5463" spans="1:2" x14ac:dyDescent="0.25">
      <c r="A5463" s="924">
        <f t="shared" si="85"/>
        <v>5463</v>
      </c>
      <c r="B5463" s="924">
        <v>12.6</v>
      </c>
    </row>
    <row r="5464" spans="1:2" x14ac:dyDescent="0.25">
      <c r="A5464" s="924">
        <f t="shared" si="85"/>
        <v>5464</v>
      </c>
      <c r="B5464" s="924">
        <v>12.6</v>
      </c>
    </row>
    <row r="5465" spans="1:2" x14ac:dyDescent="0.25">
      <c r="A5465" s="924">
        <f t="shared" si="85"/>
        <v>5465</v>
      </c>
      <c r="B5465" s="924">
        <v>12.6</v>
      </c>
    </row>
    <row r="5466" spans="1:2" x14ac:dyDescent="0.25">
      <c r="A5466" s="924">
        <f t="shared" si="85"/>
        <v>5466</v>
      </c>
      <c r="B5466" s="924">
        <v>12.6</v>
      </c>
    </row>
    <row r="5467" spans="1:2" x14ac:dyDescent="0.25">
      <c r="A5467" s="924">
        <f t="shared" si="85"/>
        <v>5467</v>
      </c>
      <c r="B5467" s="924">
        <v>12.6</v>
      </c>
    </row>
    <row r="5468" spans="1:2" x14ac:dyDescent="0.25">
      <c r="A5468" s="924">
        <f t="shared" si="85"/>
        <v>5468</v>
      </c>
      <c r="B5468" s="924">
        <v>12.6</v>
      </c>
    </row>
    <row r="5469" spans="1:2" x14ac:dyDescent="0.25">
      <c r="A5469" s="924">
        <f t="shared" si="85"/>
        <v>5469</v>
      </c>
      <c r="B5469" s="924">
        <v>12.6</v>
      </c>
    </row>
    <row r="5470" spans="1:2" x14ac:dyDescent="0.25">
      <c r="A5470" s="924">
        <f t="shared" si="85"/>
        <v>5470</v>
      </c>
      <c r="B5470" s="924">
        <v>12.6</v>
      </c>
    </row>
    <row r="5471" spans="1:2" x14ac:dyDescent="0.25">
      <c r="A5471" s="924">
        <f t="shared" si="85"/>
        <v>5471</v>
      </c>
      <c r="B5471" s="924">
        <v>12.6</v>
      </c>
    </row>
    <row r="5472" spans="1:2" x14ac:dyDescent="0.25">
      <c r="A5472" s="924">
        <f t="shared" si="85"/>
        <v>5472</v>
      </c>
      <c r="B5472" s="924">
        <v>12.6</v>
      </c>
    </row>
    <row r="5473" spans="1:2" x14ac:dyDescent="0.25">
      <c r="A5473" s="924">
        <f t="shared" si="85"/>
        <v>5473</v>
      </c>
      <c r="B5473" s="924">
        <v>12.6</v>
      </c>
    </row>
    <row r="5474" spans="1:2" x14ac:dyDescent="0.25">
      <c r="A5474" s="924">
        <f t="shared" si="85"/>
        <v>5474</v>
      </c>
      <c r="B5474" s="924">
        <v>12.6</v>
      </c>
    </row>
    <row r="5475" spans="1:2" x14ac:dyDescent="0.25">
      <c r="A5475" s="924">
        <f t="shared" si="85"/>
        <v>5475</v>
      </c>
      <c r="B5475" s="924">
        <v>12.6</v>
      </c>
    </row>
    <row r="5476" spans="1:2" x14ac:dyDescent="0.25">
      <c r="A5476" s="924">
        <f t="shared" si="85"/>
        <v>5476</v>
      </c>
      <c r="B5476" s="924">
        <v>12.6</v>
      </c>
    </row>
    <row r="5477" spans="1:2" x14ac:dyDescent="0.25">
      <c r="A5477" s="924">
        <f t="shared" si="85"/>
        <v>5477</v>
      </c>
      <c r="B5477" s="924">
        <v>12.6</v>
      </c>
    </row>
    <row r="5478" spans="1:2" x14ac:dyDescent="0.25">
      <c r="A5478" s="924">
        <f t="shared" si="85"/>
        <v>5478</v>
      </c>
      <c r="B5478" s="924">
        <v>12.6</v>
      </c>
    </row>
    <row r="5479" spans="1:2" x14ac:dyDescent="0.25">
      <c r="A5479" s="924">
        <f t="shared" si="85"/>
        <v>5479</v>
      </c>
      <c r="B5479" s="924">
        <v>12.6</v>
      </c>
    </row>
    <row r="5480" spans="1:2" x14ac:dyDescent="0.25">
      <c r="A5480" s="924">
        <f t="shared" si="85"/>
        <v>5480</v>
      </c>
      <c r="B5480" s="924">
        <v>12.6</v>
      </c>
    </row>
    <row r="5481" spans="1:2" x14ac:dyDescent="0.25">
      <c r="A5481" s="924">
        <f t="shared" si="85"/>
        <v>5481</v>
      </c>
      <c r="B5481" s="924">
        <v>12.6</v>
      </c>
    </row>
    <row r="5482" spans="1:2" x14ac:dyDescent="0.25">
      <c r="A5482" s="924">
        <f t="shared" si="85"/>
        <v>5482</v>
      </c>
      <c r="B5482" s="924">
        <v>12.6</v>
      </c>
    </row>
    <row r="5483" spans="1:2" x14ac:dyDescent="0.25">
      <c r="A5483" s="924">
        <f t="shared" si="85"/>
        <v>5483</v>
      </c>
      <c r="B5483" s="924">
        <v>12.6</v>
      </c>
    </row>
    <row r="5484" spans="1:2" x14ac:dyDescent="0.25">
      <c r="A5484" s="924">
        <f t="shared" si="85"/>
        <v>5484</v>
      </c>
      <c r="B5484" s="924">
        <v>12.6</v>
      </c>
    </row>
    <row r="5485" spans="1:2" x14ac:dyDescent="0.25">
      <c r="A5485" s="924">
        <f t="shared" si="85"/>
        <v>5485</v>
      </c>
      <c r="B5485" s="924">
        <v>12.6</v>
      </c>
    </row>
    <row r="5486" spans="1:2" x14ac:dyDescent="0.25">
      <c r="A5486" s="924">
        <f t="shared" si="85"/>
        <v>5486</v>
      </c>
      <c r="B5486" s="924">
        <v>12.7</v>
      </c>
    </row>
    <row r="5487" spans="1:2" x14ac:dyDescent="0.25">
      <c r="A5487" s="924">
        <f t="shared" si="85"/>
        <v>5487</v>
      </c>
      <c r="B5487" s="924">
        <v>12.7</v>
      </c>
    </row>
    <row r="5488" spans="1:2" x14ac:dyDescent="0.25">
      <c r="A5488" s="924">
        <f t="shared" si="85"/>
        <v>5488</v>
      </c>
      <c r="B5488" s="924">
        <v>12.7</v>
      </c>
    </row>
    <row r="5489" spans="1:2" x14ac:dyDescent="0.25">
      <c r="A5489" s="924">
        <f t="shared" si="85"/>
        <v>5489</v>
      </c>
      <c r="B5489" s="924">
        <v>12.7</v>
      </c>
    </row>
    <row r="5490" spans="1:2" x14ac:dyDescent="0.25">
      <c r="A5490" s="924">
        <f t="shared" si="85"/>
        <v>5490</v>
      </c>
      <c r="B5490" s="924">
        <v>12.7</v>
      </c>
    </row>
    <row r="5491" spans="1:2" x14ac:dyDescent="0.25">
      <c r="A5491" s="924">
        <f t="shared" si="85"/>
        <v>5491</v>
      </c>
      <c r="B5491" s="924">
        <v>12.7</v>
      </c>
    </row>
    <row r="5492" spans="1:2" x14ac:dyDescent="0.25">
      <c r="A5492" s="924">
        <f t="shared" si="85"/>
        <v>5492</v>
      </c>
      <c r="B5492" s="924">
        <v>12.7</v>
      </c>
    </row>
    <row r="5493" spans="1:2" x14ac:dyDescent="0.25">
      <c r="A5493" s="924">
        <f t="shared" si="85"/>
        <v>5493</v>
      </c>
      <c r="B5493" s="924">
        <v>12.7</v>
      </c>
    </row>
    <row r="5494" spans="1:2" x14ac:dyDescent="0.25">
      <c r="A5494" s="924">
        <f t="shared" si="85"/>
        <v>5494</v>
      </c>
      <c r="B5494" s="924">
        <v>12.7</v>
      </c>
    </row>
    <row r="5495" spans="1:2" x14ac:dyDescent="0.25">
      <c r="A5495" s="924">
        <f t="shared" si="85"/>
        <v>5495</v>
      </c>
      <c r="B5495" s="924">
        <v>12.7</v>
      </c>
    </row>
    <row r="5496" spans="1:2" x14ac:dyDescent="0.25">
      <c r="A5496" s="924">
        <f t="shared" si="85"/>
        <v>5496</v>
      </c>
      <c r="B5496" s="924">
        <v>12.7</v>
      </c>
    </row>
    <row r="5497" spans="1:2" x14ac:dyDescent="0.25">
      <c r="A5497" s="924">
        <f t="shared" si="85"/>
        <v>5497</v>
      </c>
      <c r="B5497" s="924">
        <v>12.7</v>
      </c>
    </row>
    <row r="5498" spans="1:2" x14ac:dyDescent="0.25">
      <c r="A5498" s="924">
        <f t="shared" si="85"/>
        <v>5498</v>
      </c>
      <c r="B5498" s="924">
        <v>12.7</v>
      </c>
    </row>
    <row r="5499" spans="1:2" x14ac:dyDescent="0.25">
      <c r="A5499" s="924">
        <f t="shared" si="85"/>
        <v>5499</v>
      </c>
      <c r="B5499" s="924">
        <v>12.7</v>
      </c>
    </row>
    <row r="5500" spans="1:2" x14ac:dyDescent="0.25">
      <c r="A5500" s="924">
        <f t="shared" si="85"/>
        <v>5500</v>
      </c>
      <c r="B5500" s="924">
        <v>12.7</v>
      </c>
    </row>
    <row r="5501" spans="1:2" x14ac:dyDescent="0.25">
      <c r="A5501" s="924">
        <f t="shared" si="85"/>
        <v>5501</v>
      </c>
      <c r="B5501" s="924">
        <v>12.7</v>
      </c>
    </row>
    <row r="5502" spans="1:2" x14ac:dyDescent="0.25">
      <c r="A5502" s="924">
        <f t="shared" si="85"/>
        <v>5502</v>
      </c>
      <c r="B5502" s="924">
        <v>12.7</v>
      </c>
    </row>
    <row r="5503" spans="1:2" x14ac:dyDescent="0.25">
      <c r="A5503" s="924">
        <f t="shared" si="85"/>
        <v>5503</v>
      </c>
      <c r="B5503" s="924">
        <v>12.7</v>
      </c>
    </row>
    <row r="5504" spans="1:2" x14ac:dyDescent="0.25">
      <c r="A5504" s="924">
        <f t="shared" si="85"/>
        <v>5504</v>
      </c>
      <c r="B5504" s="924">
        <v>12.7</v>
      </c>
    </row>
    <row r="5505" spans="1:2" x14ac:dyDescent="0.25">
      <c r="A5505" s="924">
        <f t="shared" si="85"/>
        <v>5505</v>
      </c>
      <c r="B5505" s="924">
        <v>12.7</v>
      </c>
    </row>
    <row r="5506" spans="1:2" x14ac:dyDescent="0.25">
      <c r="A5506" s="924">
        <f t="shared" si="85"/>
        <v>5506</v>
      </c>
      <c r="B5506" s="924">
        <v>12.7</v>
      </c>
    </row>
    <row r="5507" spans="1:2" x14ac:dyDescent="0.25">
      <c r="A5507" s="924">
        <f t="shared" ref="A5507:A5570" si="86">A5506+1</f>
        <v>5507</v>
      </c>
      <c r="B5507" s="924">
        <v>12.7</v>
      </c>
    </row>
    <row r="5508" spans="1:2" x14ac:dyDescent="0.25">
      <c r="A5508" s="924">
        <f t="shared" si="86"/>
        <v>5508</v>
      </c>
      <c r="B5508" s="924">
        <v>12.7</v>
      </c>
    </row>
    <row r="5509" spans="1:2" x14ac:dyDescent="0.25">
      <c r="A5509" s="924">
        <f t="shared" si="86"/>
        <v>5509</v>
      </c>
      <c r="B5509" s="924">
        <v>12.7</v>
      </c>
    </row>
    <row r="5510" spans="1:2" x14ac:dyDescent="0.25">
      <c r="A5510" s="924">
        <f t="shared" si="86"/>
        <v>5510</v>
      </c>
      <c r="B5510" s="924">
        <v>12.7</v>
      </c>
    </row>
    <row r="5511" spans="1:2" x14ac:dyDescent="0.25">
      <c r="A5511" s="924">
        <f t="shared" si="86"/>
        <v>5511</v>
      </c>
      <c r="B5511" s="924">
        <v>12.7</v>
      </c>
    </row>
    <row r="5512" spans="1:2" x14ac:dyDescent="0.25">
      <c r="A5512" s="924">
        <f t="shared" si="86"/>
        <v>5512</v>
      </c>
      <c r="B5512" s="924">
        <v>12.7</v>
      </c>
    </row>
    <row r="5513" spans="1:2" x14ac:dyDescent="0.25">
      <c r="A5513" s="924">
        <f t="shared" si="86"/>
        <v>5513</v>
      </c>
      <c r="B5513" s="924">
        <v>12.7</v>
      </c>
    </row>
    <row r="5514" spans="1:2" x14ac:dyDescent="0.25">
      <c r="A5514" s="924">
        <f t="shared" si="86"/>
        <v>5514</v>
      </c>
      <c r="B5514" s="924">
        <v>12.7</v>
      </c>
    </row>
    <row r="5515" spans="1:2" x14ac:dyDescent="0.25">
      <c r="A5515" s="924">
        <f t="shared" si="86"/>
        <v>5515</v>
      </c>
      <c r="B5515" s="924">
        <v>12.7</v>
      </c>
    </row>
    <row r="5516" spans="1:2" x14ac:dyDescent="0.25">
      <c r="A5516" s="924">
        <f t="shared" si="86"/>
        <v>5516</v>
      </c>
      <c r="B5516" s="924">
        <v>12.7</v>
      </c>
    </row>
    <row r="5517" spans="1:2" x14ac:dyDescent="0.25">
      <c r="A5517" s="924">
        <f t="shared" si="86"/>
        <v>5517</v>
      </c>
      <c r="B5517" s="924">
        <v>12.7</v>
      </c>
    </row>
    <row r="5518" spans="1:2" x14ac:dyDescent="0.25">
      <c r="A5518" s="924">
        <f t="shared" si="86"/>
        <v>5518</v>
      </c>
      <c r="B5518" s="924">
        <v>12.7</v>
      </c>
    </row>
    <row r="5519" spans="1:2" x14ac:dyDescent="0.25">
      <c r="A5519" s="924">
        <f t="shared" si="86"/>
        <v>5519</v>
      </c>
      <c r="B5519" s="924">
        <v>12.7</v>
      </c>
    </row>
    <row r="5520" spans="1:2" x14ac:dyDescent="0.25">
      <c r="A5520" s="924">
        <f t="shared" si="86"/>
        <v>5520</v>
      </c>
      <c r="B5520" s="924">
        <v>12.7</v>
      </c>
    </row>
    <row r="5521" spans="1:2" x14ac:dyDescent="0.25">
      <c r="A5521" s="924">
        <f t="shared" si="86"/>
        <v>5521</v>
      </c>
      <c r="B5521" s="924">
        <v>12.7</v>
      </c>
    </row>
    <row r="5522" spans="1:2" x14ac:dyDescent="0.25">
      <c r="A5522" s="924">
        <f t="shared" si="86"/>
        <v>5522</v>
      </c>
      <c r="B5522" s="924">
        <v>12.7</v>
      </c>
    </row>
    <row r="5523" spans="1:2" x14ac:dyDescent="0.25">
      <c r="A5523" s="924">
        <f t="shared" si="86"/>
        <v>5523</v>
      </c>
      <c r="B5523" s="924">
        <v>12.7</v>
      </c>
    </row>
    <row r="5524" spans="1:2" x14ac:dyDescent="0.25">
      <c r="A5524" s="924">
        <f t="shared" si="86"/>
        <v>5524</v>
      </c>
      <c r="B5524" s="924">
        <v>12.7</v>
      </c>
    </row>
    <row r="5525" spans="1:2" x14ac:dyDescent="0.25">
      <c r="A5525" s="924">
        <f t="shared" si="86"/>
        <v>5525</v>
      </c>
      <c r="B5525" s="924">
        <v>12.7</v>
      </c>
    </row>
    <row r="5526" spans="1:2" x14ac:dyDescent="0.25">
      <c r="A5526" s="924">
        <f t="shared" si="86"/>
        <v>5526</v>
      </c>
      <c r="B5526" s="924">
        <v>12.7</v>
      </c>
    </row>
    <row r="5527" spans="1:2" x14ac:dyDescent="0.25">
      <c r="A5527" s="924">
        <f t="shared" si="86"/>
        <v>5527</v>
      </c>
      <c r="B5527" s="924">
        <v>12.7</v>
      </c>
    </row>
    <row r="5528" spans="1:2" x14ac:dyDescent="0.25">
      <c r="A5528" s="924">
        <f t="shared" si="86"/>
        <v>5528</v>
      </c>
      <c r="B5528" s="924">
        <v>12.7</v>
      </c>
    </row>
    <row r="5529" spans="1:2" x14ac:dyDescent="0.25">
      <c r="A5529" s="924">
        <f t="shared" si="86"/>
        <v>5529</v>
      </c>
      <c r="B5529" s="924">
        <v>12.7</v>
      </c>
    </row>
    <row r="5530" spans="1:2" x14ac:dyDescent="0.25">
      <c r="A5530" s="924">
        <f t="shared" si="86"/>
        <v>5530</v>
      </c>
      <c r="B5530" s="924">
        <v>12.7</v>
      </c>
    </row>
    <row r="5531" spans="1:2" x14ac:dyDescent="0.25">
      <c r="A5531" s="924">
        <f t="shared" si="86"/>
        <v>5531</v>
      </c>
      <c r="B5531" s="924">
        <v>12.7</v>
      </c>
    </row>
    <row r="5532" spans="1:2" x14ac:dyDescent="0.25">
      <c r="A5532" s="924">
        <f t="shared" si="86"/>
        <v>5532</v>
      </c>
      <c r="B5532" s="924">
        <v>12.7</v>
      </c>
    </row>
    <row r="5533" spans="1:2" x14ac:dyDescent="0.25">
      <c r="A5533" s="924">
        <f t="shared" si="86"/>
        <v>5533</v>
      </c>
      <c r="B5533" s="924">
        <v>12.7</v>
      </c>
    </row>
    <row r="5534" spans="1:2" x14ac:dyDescent="0.25">
      <c r="A5534" s="924">
        <f t="shared" si="86"/>
        <v>5534</v>
      </c>
      <c r="B5534" s="924">
        <v>12.7</v>
      </c>
    </row>
    <row r="5535" spans="1:2" x14ac:dyDescent="0.25">
      <c r="A5535" s="924">
        <f t="shared" si="86"/>
        <v>5535</v>
      </c>
      <c r="B5535" s="924">
        <v>12.7</v>
      </c>
    </row>
    <row r="5536" spans="1:2" x14ac:dyDescent="0.25">
      <c r="A5536" s="924">
        <f t="shared" si="86"/>
        <v>5536</v>
      </c>
      <c r="B5536" s="924">
        <v>12.7</v>
      </c>
    </row>
    <row r="5537" spans="1:2" x14ac:dyDescent="0.25">
      <c r="A5537" s="924">
        <f t="shared" si="86"/>
        <v>5537</v>
      </c>
      <c r="B5537" s="924">
        <v>12.7</v>
      </c>
    </row>
    <row r="5538" spans="1:2" x14ac:dyDescent="0.25">
      <c r="A5538" s="924">
        <f t="shared" si="86"/>
        <v>5538</v>
      </c>
      <c r="B5538" s="924">
        <v>12.7</v>
      </c>
    </row>
    <row r="5539" spans="1:2" x14ac:dyDescent="0.25">
      <c r="A5539" s="924">
        <f t="shared" si="86"/>
        <v>5539</v>
      </c>
      <c r="B5539" s="924">
        <v>12.8</v>
      </c>
    </row>
    <row r="5540" spans="1:2" x14ac:dyDescent="0.25">
      <c r="A5540" s="924">
        <f t="shared" si="86"/>
        <v>5540</v>
      </c>
      <c r="B5540" s="924">
        <v>12.8</v>
      </c>
    </row>
    <row r="5541" spans="1:2" x14ac:dyDescent="0.25">
      <c r="A5541" s="924">
        <f t="shared" si="86"/>
        <v>5541</v>
      </c>
      <c r="B5541" s="924">
        <v>12.8</v>
      </c>
    </row>
    <row r="5542" spans="1:2" x14ac:dyDescent="0.25">
      <c r="A5542" s="924">
        <f t="shared" si="86"/>
        <v>5542</v>
      </c>
      <c r="B5542" s="924">
        <v>12.8</v>
      </c>
    </row>
    <row r="5543" spans="1:2" x14ac:dyDescent="0.25">
      <c r="A5543" s="924">
        <f t="shared" si="86"/>
        <v>5543</v>
      </c>
      <c r="B5543" s="924">
        <v>12.8</v>
      </c>
    </row>
    <row r="5544" spans="1:2" x14ac:dyDescent="0.25">
      <c r="A5544" s="924">
        <f t="shared" si="86"/>
        <v>5544</v>
      </c>
      <c r="B5544" s="924">
        <v>12.8</v>
      </c>
    </row>
    <row r="5545" spans="1:2" x14ac:dyDescent="0.25">
      <c r="A5545" s="924">
        <f t="shared" si="86"/>
        <v>5545</v>
      </c>
      <c r="B5545" s="924">
        <v>12.8</v>
      </c>
    </row>
    <row r="5546" spans="1:2" x14ac:dyDescent="0.25">
      <c r="A5546" s="924">
        <f t="shared" si="86"/>
        <v>5546</v>
      </c>
      <c r="B5546" s="924">
        <v>12.8</v>
      </c>
    </row>
    <row r="5547" spans="1:2" x14ac:dyDescent="0.25">
      <c r="A5547" s="924">
        <f t="shared" si="86"/>
        <v>5547</v>
      </c>
      <c r="B5547" s="924">
        <v>12.8</v>
      </c>
    </row>
    <row r="5548" spans="1:2" x14ac:dyDescent="0.25">
      <c r="A5548" s="924">
        <f t="shared" si="86"/>
        <v>5548</v>
      </c>
      <c r="B5548" s="924">
        <v>12.8</v>
      </c>
    </row>
    <row r="5549" spans="1:2" x14ac:dyDescent="0.25">
      <c r="A5549" s="924">
        <f t="shared" si="86"/>
        <v>5549</v>
      </c>
      <c r="B5549" s="924">
        <v>12.8</v>
      </c>
    </row>
    <row r="5550" spans="1:2" x14ac:dyDescent="0.25">
      <c r="A5550" s="924">
        <f t="shared" si="86"/>
        <v>5550</v>
      </c>
      <c r="B5550" s="924">
        <v>12.8</v>
      </c>
    </row>
    <row r="5551" spans="1:2" x14ac:dyDescent="0.25">
      <c r="A5551" s="924">
        <f t="shared" si="86"/>
        <v>5551</v>
      </c>
      <c r="B5551" s="924">
        <v>12.8</v>
      </c>
    </row>
    <row r="5552" spans="1:2" x14ac:dyDescent="0.25">
      <c r="A5552" s="924">
        <f t="shared" si="86"/>
        <v>5552</v>
      </c>
      <c r="B5552" s="924">
        <v>12.8</v>
      </c>
    </row>
    <row r="5553" spans="1:2" x14ac:dyDescent="0.25">
      <c r="A5553" s="924">
        <f t="shared" si="86"/>
        <v>5553</v>
      </c>
      <c r="B5553" s="924">
        <v>12.8</v>
      </c>
    </row>
    <row r="5554" spans="1:2" x14ac:dyDescent="0.25">
      <c r="A5554" s="924">
        <f t="shared" si="86"/>
        <v>5554</v>
      </c>
      <c r="B5554" s="924">
        <v>12.8</v>
      </c>
    </row>
    <row r="5555" spans="1:2" x14ac:dyDescent="0.25">
      <c r="A5555" s="924">
        <f t="shared" si="86"/>
        <v>5555</v>
      </c>
      <c r="B5555" s="924">
        <v>12.8</v>
      </c>
    </row>
    <row r="5556" spans="1:2" x14ac:dyDescent="0.25">
      <c r="A5556" s="924">
        <f t="shared" si="86"/>
        <v>5556</v>
      </c>
      <c r="B5556" s="924">
        <v>12.8</v>
      </c>
    </row>
    <row r="5557" spans="1:2" x14ac:dyDescent="0.25">
      <c r="A5557" s="924">
        <f t="shared" si="86"/>
        <v>5557</v>
      </c>
      <c r="B5557" s="924">
        <v>12.8</v>
      </c>
    </row>
    <row r="5558" spans="1:2" x14ac:dyDescent="0.25">
      <c r="A5558" s="924">
        <f t="shared" si="86"/>
        <v>5558</v>
      </c>
      <c r="B5558" s="924">
        <v>12.8</v>
      </c>
    </row>
    <row r="5559" spans="1:2" x14ac:dyDescent="0.25">
      <c r="A5559" s="924">
        <f t="shared" si="86"/>
        <v>5559</v>
      </c>
      <c r="B5559" s="924">
        <v>12.8</v>
      </c>
    </row>
    <row r="5560" spans="1:2" x14ac:dyDescent="0.25">
      <c r="A5560" s="924">
        <f t="shared" si="86"/>
        <v>5560</v>
      </c>
      <c r="B5560" s="924">
        <v>12.8</v>
      </c>
    </row>
    <row r="5561" spans="1:2" x14ac:dyDescent="0.25">
      <c r="A5561" s="924">
        <f t="shared" si="86"/>
        <v>5561</v>
      </c>
      <c r="B5561" s="924">
        <v>12.8</v>
      </c>
    </row>
    <row r="5562" spans="1:2" x14ac:dyDescent="0.25">
      <c r="A5562" s="924">
        <f t="shared" si="86"/>
        <v>5562</v>
      </c>
      <c r="B5562" s="924">
        <v>12.8</v>
      </c>
    </row>
    <row r="5563" spans="1:2" x14ac:dyDescent="0.25">
      <c r="A5563" s="924">
        <f t="shared" si="86"/>
        <v>5563</v>
      </c>
      <c r="B5563" s="924">
        <v>12.8</v>
      </c>
    </row>
    <row r="5564" spans="1:2" x14ac:dyDescent="0.25">
      <c r="A5564" s="924">
        <f t="shared" si="86"/>
        <v>5564</v>
      </c>
      <c r="B5564" s="924">
        <v>12.8</v>
      </c>
    </row>
    <row r="5565" spans="1:2" x14ac:dyDescent="0.25">
      <c r="A5565" s="924">
        <f t="shared" si="86"/>
        <v>5565</v>
      </c>
      <c r="B5565" s="924">
        <v>12.8</v>
      </c>
    </row>
    <row r="5566" spans="1:2" x14ac:dyDescent="0.25">
      <c r="A5566" s="924">
        <f t="shared" si="86"/>
        <v>5566</v>
      </c>
      <c r="B5566" s="924">
        <v>12.8</v>
      </c>
    </row>
    <row r="5567" spans="1:2" x14ac:dyDescent="0.25">
      <c r="A5567" s="924">
        <f t="shared" si="86"/>
        <v>5567</v>
      </c>
      <c r="B5567" s="924">
        <v>12.8</v>
      </c>
    </row>
    <row r="5568" spans="1:2" x14ac:dyDescent="0.25">
      <c r="A5568" s="924">
        <f t="shared" si="86"/>
        <v>5568</v>
      </c>
      <c r="B5568" s="924">
        <v>12.8</v>
      </c>
    </row>
    <row r="5569" spans="1:2" x14ac:dyDescent="0.25">
      <c r="A5569" s="924">
        <f t="shared" si="86"/>
        <v>5569</v>
      </c>
      <c r="B5569" s="924">
        <v>12.8</v>
      </c>
    </row>
    <row r="5570" spans="1:2" x14ac:dyDescent="0.25">
      <c r="A5570" s="924">
        <f t="shared" si="86"/>
        <v>5570</v>
      </c>
      <c r="B5570" s="924">
        <v>12.8</v>
      </c>
    </row>
    <row r="5571" spans="1:2" x14ac:dyDescent="0.25">
      <c r="A5571" s="924">
        <f t="shared" ref="A5571:A5634" si="87">A5570+1</f>
        <v>5571</v>
      </c>
      <c r="B5571" s="924">
        <v>12.8</v>
      </c>
    </row>
    <row r="5572" spans="1:2" x14ac:dyDescent="0.25">
      <c r="A5572" s="924">
        <f t="shared" si="87"/>
        <v>5572</v>
      </c>
      <c r="B5572" s="924">
        <v>12.8</v>
      </c>
    </row>
    <row r="5573" spans="1:2" x14ac:dyDescent="0.25">
      <c r="A5573" s="924">
        <f t="shared" si="87"/>
        <v>5573</v>
      </c>
      <c r="B5573" s="924">
        <v>12.8</v>
      </c>
    </row>
    <row r="5574" spans="1:2" x14ac:dyDescent="0.25">
      <c r="A5574" s="924">
        <f t="shared" si="87"/>
        <v>5574</v>
      </c>
      <c r="B5574" s="924">
        <v>12.8</v>
      </c>
    </row>
    <row r="5575" spans="1:2" x14ac:dyDescent="0.25">
      <c r="A5575" s="924">
        <f t="shared" si="87"/>
        <v>5575</v>
      </c>
      <c r="B5575" s="924">
        <v>12.8</v>
      </c>
    </row>
    <row r="5576" spans="1:2" x14ac:dyDescent="0.25">
      <c r="A5576" s="924">
        <f t="shared" si="87"/>
        <v>5576</v>
      </c>
      <c r="B5576" s="924">
        <v>12.9</v>
      </c>
    </row>
    <row r="5577" spans="1:2" x14ac:dyDescent="0.25">
      <c r="A5577" s="924">
        <f t="shared" si="87"/>
        <v>5577</v>
      </c>
      <c r="B5577" s="924">
        <v>12.9</v>
      </c>
    </row>
    <row r="5578" spans="1:2" x14ac:dyDescent="0.25">
      <c r="A5578" s="924">
        <f t="shared" si="87"/>
        <v>5578</v>
      </c>
      <c r="B5578" s="924">
        <v>12.9</v>
      </c>
    </row>
    <row r="5579" spans="1:2" x14ac:dyDescent="0.25">
      <c r="A5579" s="924">
        <f t="shared" si="87"/>
        <v>5579</v>
      </c>
      <c r="B5579" s="924">
        <v>12.9</v>
      </c>
    </row>
    <row r="5580" spans="1:2" x14ac:dyDescent="0.25">
      <c r="A5580" s="924">
        <f t="shared" si="87"/>
        <v>5580</v>
      </c>
      <c r="B5580" s="924">
        <v>12.9</v>
      </c>
    </row>
    <row r="5581" spans="1:2" x14ac:dyDescent="0.25">
      <c r="A5581" s="924">
        <f t="shared" si="87"/>
        <v>5581</v>
      </c>
      <c r="B5581" s="924">
        <v>12.9</v>
      </c>
    </row>
    <row r="5582" spans="1:2" x14ac:dyDescent="0.25">
      <c r="A5582" s="924">
        <f t="shared" si="87"/>
        <v>5582</v>
      </c>
      <c r="B5582" s="924">
        <v>12.9</v>
      </c>
    </row>
    <row r="5583" spans="1:2" x14ac:dyDescent="0.25">
      <c r="A5583" s="924">
        <f t="shared" si="87"/>
        <v>5583</v>
      </c>
      <c r="B5583" s="924">
        <v>12.9</v>
      </c>
    </row>
    <row r="5584" spans="1:2" x14ac:dyDescent="0.25">
      <c r="A5584" s="924">
        <f t="shared" si="87"/>
        <v>5584</v>
      </c>
      <c r="B5584" s="924">
        <v>12.9</v>
      </c>
    </row>
    <row r="5585" spans="1:2" x14ac:dyDescent="0.25">
      <c r="A5585" s="924">
        <f t="shared" si="87"/>
        <v>5585</v>
      </c>
      <c r="B5585" s="924">
        <v>12.9</v>
      </c>
    </row>
    <row r="5586" spans="1:2" x14ac:dyDescent="0.25">
      <c r="A5586" s="924">
        <f t="shared" si="87"/>
        <v>5586</v>
      </c>
      <c r="B5586" s="924">
        <v>12.9</v>
      </c>
    </row>
    <row r="5587" spans="1:2" x14ac:dyDescent="0.25">
      <c r="A5587" s="924">
        <f t="shared" si="87"/>
        <v>5587</v>
      </c>
      <c r="B5587" s="924">
        <v>12.9</v>
      </c>
    </row>
    <row r="5588" spans="1:2" x14ac:dyDescent="0.25">
      <c r="A5588" s="924">
        <f t="shared" si="87"/>
        <v>5588</v>
      </c>
      <c r="B5588" s="924">
        <v>12.9</v>
      </c>
    </row>
    <row r="5589" spans="1:2" x14ac:dyDescent="0.25">
      <c r="A5589" s="924">
        <f t="shared" si="87"/>
        <v>5589</v>
      </c>
      <c r="B5589" s="924">
        <v>12.9</v>
      </c>
    </row>
    <row r="5590" spans="1:2" x14ac:dyDescent="0.25">
      <c r="A5590" s="924">
        <f t="shared" si="87"/>
        <v>5590</v>
      </c>
      <c r="B5590" s="924">
        <v>12.9</v>
      </c>
    </row>
    <row r="5591" spans="1:2" x14ac:dyDescent="0.25">
      <c r="A5591" s="924">
        <f t="shared" si="87"/>
        <v>5591</v>
      </c>
      <c r="B5591" s="924">
        <v>12.9</v>
      </c>
    </row>
    <row r="5592" spans="1:2" x14ac:dyDescent="0.25">
      <c r="A5592" s="924">
        <f t="shared" si="87"/>
        <v>5592</v>
      </c>
      <c r="B5592" s="924">
        <v>12.9</v>
      </c>
    </row>
    <row r="5593" spans="1:2" x14ac:dyDescent="0.25">
      <c r="A5593" s="924">
        <f t="shared" si="87"/>
        <v>5593</v>
      </c>
      <c r="B5593" s="924">
        <v>12.9</v>
      </c>
    </row>
    <row r="5594" spans="1:2" x14ac:dyDescent="0.25">
      <c r="A5594" s="924">
        <f t="shared" si="87"/>
        <v>5594</v>
      </c>
      <c r="B5594" s="924">
        <v>12.9</v>
      </c>
    </row>
    <row r="5595" spans="1:2" x14ac:dyDescent="0.25">
      <c r="A5595" s="924">
        <f t="shared" si="87"/>
        <v>5595</v>
      </c>
      <c r="B5595" s="924">
        <v>12.9</v>
      </c>
    </row>
    <row r="5596" spans="1:2" x14ac:dyDescent="0.25">
      <c r="A5596" s="924">
        <f t="shared" si="87"/>
        <v>5596</v>
      </c>
      <c r="B5596" s="924">
        <v>12.9</v>
      </c>
    </row>
    <row r="5597" spans="1:2" x14ac:dyDescent="0.25">
      <c r="A5597" s="924">
        <f t="shared" si="87"/>
        <v>5597</v>
      </c>
      <c r="B5597" s="924">
        <v>12.9</v>
      </c>
    </row>
    <row r="5598" spans="1:2" x14ac:dyDescent="0.25">
      <c r="A5598" s="924">
        <f t="shared" si="87"/>
        <v>5598</v>
      </c>
      <c r="B5598" s="924">
        <v>12.9</v>
      </c>
    </row>
    <row r="5599" spans="1:2" x14ac:dyDescent="0.25">
      <c r="A5599" s="924">
        <f t="shared" si="87"/>
        <v>5599</v>
      </c>
      <c r="B5599" s="924">
        <v>12.9</v>
      </c>
    </row>
    <row r="5600" spans="1:2" x14ac:dyDescent="0.25">
      <c r="A5600" s="924">
        <f t="shared" si="87"/>
        <v>5600</v>
      </c>
      <c r="B5600" s="924">
        <v>12.9</v>
      </c>
    </row>
    <row r="5601" spans="1:2" x14ac:dyDescent="0.25">
      <c r="A5601" s="924">
        <f t="shared" si="87"/>
        <v>5601</v>
      </c>
      <c r="B5601" s="924">
        <v>12.9</v>
      </c>
    </row>
    <row r="5602" spans="1:2" x14ac:dyDescent="0.25">
      <c r="A5602" s="924">
        <f t="shared" si="87"/>
        <v>5602</v>
      </c>
      <c r="B5602" s="924">
        <v>12.9</v>
      </c>
    </row>
    <row r="5603" spans="1:2" x14ac:dyDescent="0.25">
      <c r="A5603" s="924">
        <f t="shared" si="87"/>
        <v>5603</v>
      </c>
      <c r="B5603" s="924">
        <v>12.9</v>
      </c>
    </row>
    <row r="5604" spans="1:2" x14ac:dyDescent="0.25">
      <c r="A5604" s="924">
        <f t="shared" si="87"/>
        <v>5604</v>
      </c>
      <c r="B5604" s="924">
        <v>12.9</v>
      </c>
    </row>
    <row r="5605" spans="1:2" x14ac:dyDescent="0.25">
      <c r="A5605" s="924">
        <f t="shared" si="87"/>
        <v>5605</v>
      </c>
      <c r="B5605" s="924">
        <v>12.9</v>
      </c>
    </row>
    <row r="5606" spans="1:2" x14ac:dyDescent="0.25">
      <c r="A5606" s="924">
        <f t="shared" si="87"/>
        <v>5606</v>
      </c>
      <c r="B5606" s="924">
        <v>12.9</v>
      </c>
    </row>
    <row r="5607" spans="1:2" x14ac:dyDescent="0.25">
      <c r="A5607" s="924">
        <f t="shared" si="87"/>
        <v>5607</v>
      </c>
      <c r="B5607" s="924">
        <v>12.9</v>
      </c>
    </row>
    <row r="5608" spans="1:2" x14ac:dyDescent="0.25">
      <c r="A5608" s="924">
        <f t="shared" si="87"/>
        <v>5608</v>
      </c>
      <c r="B5608" s="924">
        <v>12.9</v>
      </c>
    </row>
    <row r="5609" spans="1:2" x14ac:dyDescent="0.25">
      <c r="A5609" s="924">
        <f t="shared" si="87"/>
        <v>5609</v>
      </c>
      <c r="B5609" s="924">
        <v>12.9</v>
      </c>
    </row>
    <row r="5610" spans="1:2" x14ac:dyDescent="0.25">
      <c r="A5610" s="924">
        <f t="shared" si="87"/>
        <v>5610</v>
      </c>
      <c r="B5610" s="924">
        <v>12.9</v>
      </c>
    </row>
    <row r="5611" spans="1:2" x14ac:dyDescent="0.25">
      <c r="A5611" s="924">
        <f t="shared" si="87"/>
        <v>5611</v>
      </c>
      <c r="B5611" s="924">
        <v>12.9</v>
      </c>
    </row>
    <row r="5612" spans="1:2" x14ac:dyDescent="0.25">
      <c r="A5612" s="924">
        <f t="shared" si="87"/>
        <v>5612</v>
      </c>
      <c r="B5612" s="924">
        <v>12.9</v>
      </c>
    </row>
    <row r="5613" spans="1:2" x14ac:dyDescent="0.25">
      <c r="A5613" s="924">
        <f t="shared" si="87"/>
        <v>5613</v>
      </c>
      <c r="B5613" s="924">
        <v>12.9</v>
      </c>
    </row>
    <row r="5614" spans="1:2" x14ac:dyDescent="0.25">
      <c r="A5614" s="924">
        <f t="shared" si="87"/>
        <v>5614</v>
      </c>
      <c r="B5614" s="924">
        <v>12.9</v>
      </c>
    </row>
    <row r="5615" spans="1:2" x14ac:dyDescent="0.25">
      <c r="A5615" s="924">
        <f t="shared" si="87"/>
        <v>5615</v>
      </c>
      <c r="B5615" s="924">
        <v>12.9</v>
      </c>
    </row>
    <row r="5616" spans="1:2" x14ac:dyDescent="0.25">
      <c r="A5616" s="924">
        <f t="shared" si="87"/>
        <v>5616</v>
      </c>
      <c r="B5616" s="924">
        <v>12.9</v>
      </c>
    </row>
    <row r="5617" spans="1:2" x14ac:dyDescent="0.25">
      <c r="A5617" s="924">
        <f t="shared" si="87"/>
        <v>5617</v>
      </c>
      <c r="B5617" s="924">
        <v>12.9</v>
      </c>
    </row>
    <row r="5618" spans="1:2" x14ac:dyDescent="0.25">
      <c r="A5618" s="924">
        <f t="shared" si="87"/>
        <v>5618</v>
      </c>
      <c r="B5618" s="924">
        <v>13</v>
      </c>
    </row>
    <row r="5619" spans="1:2" x14ac:dyDescent="0.25">
      <c r="A5619" s="924">
        <f t="shared" si="87"/>
        <v>5619</v>
      </c>
      <c r="B5619" s="924">
        <v>13</v>
      </c>
    </row>
    <row r="5620" spans="1:2" x14ac:dyDescent="0.25">
      <c r="A5620" s="924">
        <f t="shared" si="87"/>
        <v>5620</v>
      </c>
      <c r="B5620" s="924">
        <v>13</v>
      </c>
    </row>
    <row r="5621" spans="1:2" x14ac:dyDescent="0.25">
      <c r="A5621" s="924">
        <f t="shared" si="87"/>
        <v>5621</v>
      </c>
      <c r="B5621" s="924">
        <v>13</v>
      </c>
    </row>
    <row r="5622" spans="1:2" x14ac:dyDescent="0.25">
      <c r="A5622" s="924">
        <f t="shared" si="87"/>
        <v>5622</v>
      </c>
      <c r="B5622" s="924">
        <v>13</v>
      </c>
    </row>
    <row r="5623" spans="1:2" x14ac:dyDescent="0.25">
      <c r="A5623" s="924">
        <f t="shared" si="87"/>
        <v>5623</v>
      </c>
      <c r="B5623" s="924">
        <v>13</v>
      </c>
    </row>
    <row r="5624" spans="1:2" x14ac:dyDescent="0.25">
      <c r="A5624" s="924">
        <f t="shared" si="87"/>
        <v>5624</v>
      </c>
      <c r="B5624" s="924">
        <v>13</v>
      </c>
    </row>
    <row r="5625" spans="1:2" x14ac:dyDescent="0.25">
      <c r="A5625" s="924">
        <f t="shared" si="87"/>
        <v>5625</v>
      </c>
      <c r="B5625" s="924">
        <v>13</v>
      </c>
    </row>
    <row r="5626" spans="1:2" x14ac:dyDescent="0.25">
      <c r="A5626" s="924">
        <f t="shared" si="87"/>
        <v>5626</v>
      </c>
      <c r="B5626" s="924">
        <v>13</v>
      </c>
    </row>
    <row r="5627" spans="1:2" x14ac:dyDescent="0.25">
      <c r="A5627" s="924">
        <f t="shared" si="87"/>
        <v>5627</v>
      </c>
      <c r="B5627" s="924">
        <v>13</v>
      </c>
    </row>
    <row r="5628" spans="1:2" x14ac:dyDescent="0.25">
      <c r="A5628" s="924">
        <f t="shared" si="87"/>
        <v>5628</v>
      </c>
      <c r="B5628" s="924">
        <v>13</v>
      </c>
    </row>
    <row r="5629" spans="1:2" x14ac:dyDescent="0.25">
      <c r="A5629" s="924">
        <f t="shared" si="87"/>
        <v>5629</v>
      </c>
      <c r="B5629" s="924">
        <v>13</v>
      </c>
    </row>
    <row r="5630" spans="1:2" x14ac:dyDescent="0.25">
      <c r="A5630" s="924">
        <f t="shared" si="87"/>
        <v>5630</v>
      </c>
      <c r="B5630" s="924">
        <v>13</v>
      </c>
    </row>
    <row r="5631" spans="1:2" x14ac:dyDescent="0.25">
      <c r="A5631" s="924">
        <f t="shared" si="87"/>
        <v>5631</v>
      </c>
      <c r="B5631" s="924">
        <v>13</v>
      </c>
    </row>
    <row r="5632" spans="1:2" x14ac:dyDescent="0.25">
      <c r="A5632" s="924">
        <f t="shared" si="87"/>
        <v>5632</v>
      </c>
      <c r="B5632" s="924">
        <v>13</v>
      </c>
    </row>
    <row r="5633" spans="1:2" x14ac:dyDescent="0.25">
      <c r="A5633" s="924">
        <f t="shared" si="87"/>
        <v>5633</v>
      </c>
      <c r="B5633" s="924">
        <v>13</v>
      </c>
    </row>
    <row r="5634" spans="1:2" x14ac:dyDescent="0.25">
      <c r="A5634" s="924">
        <f t="shared" si="87"/>
        <v>5634</v>
      </c>
      <c r="B5634" s="924">
        <v>13</v>
      </c>
    </row>
    <row r="5635" spans="1:2" x14ac:dyDescent="0.25">
      <c r="A5635" s="924">
        <f t="shared" ref="A5635:A5698" si="88">A5634+1</f>
        <v>5635</v>
      </c>
      <c r="B5635" s="924">
        <v>13</v>
      </c>
    </row>
    <row r="5636" spans="1:2" x14ac:dyDescent="0.25">
      <c r="A5636" s="924">
        <f t="shared" si="88"/>
        <v>5636</v>
      </c>
      <c r="B5636" s="924">
        <v>13</v>
      </c>
    </row>
    <row r="5637" spans="1:2" x14ac:dyDescent="0.25">
      <c r="A5637" s="924">
        <f t="shared" si="88"/>
        <v>5637</v>
      </c>
      <c r="B5637" s="924">
        <v>13</v>
      </c>
    </row>
    <row r="5638" spans="1:2" x14ac:dyDescent="0.25">
      <c r="A5638" s="924">
        <f t="shared" si="88"/>
        <v>5638</v>
      </c>
      <c r="B5638" s="924">
        <v>13</v>
      </c>
    </row>
    <row r="5639" spans="1:2" x14ac:dyDescent="0.25">
      <c r="A5639" s="924">
        <f t="shared" si="88"/>
        <v>5639</v>
      </c>
      <c r="B5639" s="924">
        <v>13</v>
      </c>
    </row>
    <row r="5640" spans="1:2" x14ac:dyDescent="0.25">
      <c r="A5640" s="924">
        <f t="shared" si="88"/>
        <v>5640</v>
      </c>
      <c r="B5640" s="924">
        <v>13</v>
      </c>
    </row>
    <row r="5641" spans="1:2" x14ac:dyDescent="0.25">
      <c r="A5641" s="924">
        <f t="shared" si="88"/>
        <v>5641</v>
      </c>
      <c r="B5641" s="924">
        <v>13</v>
      </c>
    </row>
    <row r="5642" spans="1:2" x14ac:dyDescent="0.25">
      <c r="A5642" s="924">
        <f t="shared" si="88"/>
        <v>5642</v>
      </c>
      <c r="B5642" s="924">
        <v>13</v>
      </c>
    </row>
    <row r="5643" spans="1:2" x14ac:dyDescent="0.25">
      <c r="A5643" s="924">
        <f t="shared" si="88"/>
        <v>5643</v>
      </c>
      <c r="B5643" s="924">
        <v>13</v>
      </c>
    </row>
    <row r="5644" spans="1:2" x14ac:dyDescent="0.25">
      <c r="A5644" s="924">
        <f t="shared" si="88"/>
        <v>5644</v>
      </c>
      <c r="B5644" s="924">
        <v>13</v>
      </c>
    </row>
    <row r="5645" spans="1:2" x14ac:dyDescent="0.25">
      <c r="A5645" s="924">
        <f t="shared" si="88"/>
        <v>5645</v>
      </c>
      <c r="B5645" s="924">
        <v>13</v>
      </c>
    </row>
    <row r="5646" spans="1:2" x14ac:dyDescent="0.25">
      <c r="A5646" s="924">
        <f t="shared" si="88"/>
        <v>5646</v>
      </c>
      <c r="B5646" s="924">
        <v>13</v>
      </c>
    </row>
    <row r="5647" spans="1:2" x14ac:dyDescent="0.25">
      <c r="A5647" s="924">
        <f t="shared" si="88"/>
        <v>5647</v>
      </c>
      <c r="B5647" s="924">
        <v>13</v>
      </c>
    </row>
    <row r="5648" spans="1:2" x14ac:dyDescent="0.25">
      <c r="A5648" s="924">
        <f t="shared" si="88"/>
        <v>5648</v>
      </c>
      <c r="B5648" s="924">
        <v>13</v>
      </c>
    </row>
    <row r="5649" spans="1:2" x14ac:dyDescent="0.25">
      <c r="A5649" s="924">
        <f t="shared" si="88"/>
        <v>5649</v>
      </c>
      <c r="B5649" s="924">
        <v>13</v>
      </c>
    </row>
    <row r="5650" spans="1:2" x14ac:dyDescent="0.25">
      <c r="A5650" s="924">
        <f t="shared" si="88"/>
        <v>5650</v>
      </c>
      <c r="B5650" s="924">
        <v>13</v>
      </c>
    </row>
    <row r="5651" spans="1:2" x14ac:dyDescent="0.25">
      <c r="A5651" s="924">
        <f t="shared" si="88"/>
        <v>5651</v>
      </c>
      <c r="B5651" s="924">
        <v>13</v>
      </c>
    </row>
    <row r="5652" spans="1:2" x14ac:dyDescent="0.25">
      <c r="A5652" s="924">
        <f t="shared" si="88"/>
        <v>5652</v>
      </c>
      <c r="B5652" s="924">
        <v>13</v>
      </c>
    </row>
    <row r="5653" spans="1:2" x14ac:dyDescent="0.25">
      <c r="A5653" s="924">
        <f t="shared" si="88"/>
        <v>5653</v>
      </c>
      <c r="B5653" s="924">
        <v>13</v>
      </c>
    </row>
    <row r="5654" spans="1:2" x14ac:dyDescent="0.25">
      <c r="A5654" s="924">
        <f t="shared" si="88"/>
        <v>5654</v>
      </c>
      <c r="B5654" s="924">
        <v>13</v>
      </c>
    </row>
    <row r="5655" spans="1:2" x14ac:dyDescent="0.25">
      <c r="A5655" s="924">
        <f t="shared" si="88"/>
        <v>5655</v>
      </c>
      <c r="B5655" s="924">
        <v>13</v>
      </c>
    </row>
    <row r="5656" spans="1:2" x14ac:dyDescent="0.25">
      <c r="A5656" s="924">
        <f t="shared" si="88"/>
        <v>5656</v>
      </c>
      <c r="B5656" s="924">
        <v>13</v>
      </c>
    </row>
    <row r="5657" spans="1:2" x14ac:dyDescent="0.25">
      <c r="A5657" s="924">
        <f t="shared" si="88"/>
        <v>5657</v>
      </c>
      <c r="B5657" s="924">
        <v>13</v>
      </c>
    </row>
    <row r="5658" spans="1:2" x14ac:dyDescent="0.25">
      <c r="A5658" s="924">
        <f t="shared" si="88"/>
        <v>5658</v>
      </c>
      <c r="B5658" s="924">
        <v>13</v>
      </c>
    </row>
    <row r="5659" spans="1:2" x14ac:dyDescent="0.25">
      <c r="A5659" s="924">
        <f t="shared" si="88"/>
        <v>5659</v>
      </c>
      <c r="B5659" s="924">
        <v>13</v>
      </c>
    </row>
    <row r="5660" spans="1:2" x14ac:dyDescent="0.25">
      <c r="A5660" s="924">
        <f t="shared" si="88"/>
        <v>5660</v>
      </c>
      <c r="B5660" s="924">
        <v>13</v>
      </c>
    </row>
    <row r="5661" spans="1:2" x14ac:dyDescent="0.25">
      <c r="A5661" s="924">
        <f t="shared" si="88"/>
        <v>5661</v>
      </c>
      <c r="B5661" s="924">
        <v>13</v>
      </c>
    </row>
    <row r="5662" spans="1:2" x14ac:dyDescent="0.25">
      <c r="A5662" s="924">
        <f t="shared" si="88"/>
        <v>5662</v>
      </c>
      <c r="B5662" s="924">
        <v>13</v>
      </c>
    </row>
    <row r="5663" spans="1:2" x14ac:dyDescent="0.25">
      <c r="A5663" s="924">
        <f t="shared" si="88"/>
        <v>5663</v>
      </c>
      <c r="B5663" s="924">
        <v>13</v>
      </c>
    </row>
    <row r="5664" spans="1:2" x14ac:dyDescent="0.25">
      <c r="A5664" s="924">
        <f t="shared" si="88"/>
        <v>5664</v>
      </c>
      <c r="B5664" s="924">
        <v>13</v>
      </c>
    </row>
    <row r="5665" spans="1:2" x14ac:dyDescent="0.25">
      <c r="A5665" s="924">
        <f t="shared" si="88"/>
        <v>5665</v>
      </c>
      <c r="B5665" s="924">
        <v>13</v>
      </c>
    </row>
    <row r="5666" spans="1:2" x14ac:dyDescent="0.25">
      <c r="A5666" s="924">
        <f t="shared" si="88"/>
        <v>5666</v>
      </c>
      <c r="B5666" s="924">
        <v>13</v>
      </c>
    </row>
    <row r="5667" spans="1:2" x14ac:dyDescent="0.25">
      <c r="A5667" s="924">
        <f t="shared" si="88"/>
        <v>5667</v>
      </c>
      <c r="B5667" s="924">
        <v>13</v>
      </c>
    </row>
    <row r="5668" spans="1:2" x14ac:dyDescent="0.25">
      <c r="A5668" s="924">
        <f t="shared" si="88"/>
        <v>5668</v>
      </c>
      <c r="B5668" s="924">
        <v>13</v>
      </c>
    </row>
    <row r="5669" spans="1:2" x14ac:dyDescent="0.25">
      <c r="A5669" s="924">
        <f t="shared" si="88"/>
        <v>5669</v>
      </c>
      <c r="B5669" s="924">
        <v>13</v>
      </c>
    </row>
    <row r="5670" spans="1:2" x14ac:dyDescent="0.25">
      <c r="A5670" s="924">
        <f t="shared" si="88"/>
        <v>5670</v>
      </c>
      <c r="B5670" s="924">
        <v>13</v>
      </c>
    </row>
    <row r="5671" spans="1:2" x14ac:dyDescent="0.25">
      <c r="A5671" s="924">
        <f t="shared" si="88"/>
        <v>5671</v>
      </c>
      <c r="B5671" s="924">
        <v>13</v>
      </c>
    </row>
    <row r="5672" spans="1:2" x14ac:dyDescent="0.25">
      <c r="A5672" s="924">
        <f t="shared" si="88"/>
        <v>5672</v>
      </c>
      <c r="B5672" s="924">
        <v>13.1</v>
      </c>
    </row>
    <row r="5673" spans="1:2" x14ac:dyDescent="0.25">
      <c r="A5673" s="924">
        <f t="shared" si="88"/>
        <v>5673</v>
      </c>
      <c r="B5673" s="924">
        <v>13.1</v>
      </c>
    </row>
    <row r="5674" spans="1:2" x14ac:dyDescent="0.25">
      <c r="A5674" s="924">
        <f t="shared" si="88"/>
        <v>5674</v>
      </c>
      <c r="B5674" s="924">
        <v>13.1</v>
      </c>
    </row>
    <row r="5675" spans="1:2" x14ac:dyDescent="0.25">
      <c r="A5675" s="924">
        <f t="shared" si="88"/>
        <v>5675</v>
      </c>
      <c r="B5675" s="924">
        <v>13.1</v>
      </c>
    </row>
    <row r="5676" spans="1:2" x14ac:dyDescent="0.25">
      <c r="A5676" s="924">
        <f t="shared" si="88"/>
        <v>5676</v>
      </c>
      <c r="B5676" s="924">
        <v>13.1</v>
      </c>
    </row>
    <row r="5677" spans="1:2" x14ac:dyDescent="0.25">
      <c r="A5677" s="924">
        <f t="shared" si="88"/>
        <v>5677</v>
      </c>
      <c r="B5677" s="924">
        <v>13.1</v>
      </c>
    </row>
    <row r="5678" spans="1:2" x14ac:dyDescent="0.25">
      <c r="A5678" s="924">
        <f t="shared" si="88"/>
        <v>5678</v>
      </c>
      <c r="B5678" s="924">
        <v>13.1</v>
      </c>
    </row>
    <row r="5679" spans="1:2" x14ac:dyDescent="0.25">
      <c r="A5679" s="924">
        <f t="shared" si="88"/>
        <v>5679</v>
      </c>
      <c r="B5679" s="924">
        <v>13.1</v>
      </c>
    </row>
    <row r="5680" spans="1:2" x14ac:dyDescent="0.25">
      <c r="A5680" s="924">
        <f t="shared" si="88"/>
        <v>5680</v>
      </c>
      <c r="B5680" s="924">
        <v>13.1</v>
      </c>
    </row>
    <row r="5681" spans="1:2" x14ac:dyDescent="0.25">
      <c r="A5681" s="924">
        <f t="shared" si="88"/>
        <v>5681</v>
      </c>
      <c r="B5681" s="924">
        <v>13.1</v>
      </c>
    </row>
    <row r="5682" spans="1:2" x14ac:dyDescent="0.25">
      <c r="A5682" s="924">
        <f t="shared" si="88"/>
        <v>5682</v>
      </c>
      <c r="B5682" s="924">
        <v>13.1</v>
      </c>
    </row>
    <row r="5683" spans="1:2" x14ac:dyDescent="0.25">
      <c r="A5683" s="924">
        <f t="shared" si="88"/>
        <v>5683</v>
      </c>
      <c r="B5683" s="924">
        <v>13.1</v>
      </c>
    </row>
    <row r="5684" spans="1:2" x14ac:dyDescent="0.25">
      <c r="A5684" s="924">
        <f t="shared" si="88"/>
        <v>5684</v>
      </c>
      <c r="B5684" s="924">
        <v>13.1</v>
      </c>
    </row>
    <row r="5685" spans="1:2" x14ac:dyDescent="0.25">
      <c r="A5685" s="924">
        <f t="shared" si="88"/>
        <v>5685</v>
      </c>
      <c r="B5685" s="924">
        <v>13.1</v>
      </c>
    </row>
    <row r="5686" spans="1:2" x14ac:dyDescent="0.25">
      <c r="A5686" s="924">
        <f t="shared" si="88"/>
        <v>5686</v>
      </c>
      <c r="B5686" s="924">
        <v>13.1</v>
      </c>
    </row>
    <row r="5687" spans="1:2" x14ac:dyDescent="0.25">
      <c r="A5687" s="924">
        <f t="shared" si="88"/>
        <v>5687</v>
      </c>
      <c r="B5687" s="924">
        <v>13.1</v>
      </c>
    </row>
    <row r="5688" spans="1:2" x14ac:dyDescent="0.25">
      <c r="A5688" s="924">
        <f t="shared" si="88"/>
        <v>5688</v>
      </c>
      <c r="B5688" s="924">
        <v>13.1</v>
      </c>
    </row>
    <row r="5689" spans="1:2" x14ac:dyDescent="0.25">
      <c r="A5689" s="924">
        <f t="shared" si="88"/>
        <v>5689</v>
      </c>
      <c r="B5689" s="924">
        <v>13.1</v>
      </c>
    </row>
    <row r="5690" spans="1:2" x14ac:dyDescent="0.25">
      <c r="A5690" s="924">
        <f t="shared" si="88"/>
        <v>5690</v>
      </c>
      <c r="B5690" s="924">
        <v>13.1</v>
      </c>
    </row>
    <row r="5691" spans="1:2" x14ac:dyDescent="0.25">
      <c r="A5691" s="924">
        <f t="shared" si="88"/>
        <v>5691</v>
      </c>
      <c r="B5691" s="924">
        <v>13.1</v>
      </c>
    </row>
    <row r="5692" spans="1:2" x14ac:dyDescent="0.25">
      <c r="A5692" s="924">
        <f t="shared" si="88"/>
        <v>5692</v>
      </c>
      <c r="B5692" s="924">
        <v>13.1</v>
      </c>
    </row>
    <row r="5693" spans="1:2" x14ac:dyDescent="0.25">
      <c r="A5693" s="924">
        <f t="shared" si="88"/>
        <v>5693</v>
      </c>
      <c r="B5693" s="924">
        <v>13.1</v>
      </c>
    </row>
    <row r="5694" spans="1:2" x14ac:dyDescent="0.25">
      <c r="A5694" s="924">
        <f t="shared" si="88"/>
        <v>5694</v>
      </c>
      <c r="B5694" s="924">
        <v>13.1</v>
      </c>
    </row>
    <row r="5695" spans="1:2" x14ac:dyDescent="0.25">
      <c r="A5695" s="924">
        <f t="shared" si="88"/>
        <v>5695</v>
      </c>
      <c r="B5695" s="924">
        <v>13.1</v>
      </c>
    </row>
    <row r="5696" spans="1:2" x14ac:dyDescent="0.25">
      <c r="A5696" s="924">
        <f t="shared" si="88"/>
        <v>5696</v>
      </c>
      <c r="B5696" s="924">
        <v>13.1</v>
      </c>
    </row>
    <row r="5697" spans="1:2" x14ac:dyDescent="0.25">
      <c r="A5697" s="924">
        <f t="shared" si="88"/>
        <v>5697</v>
      </c>
      <c r="B5697" s="924">
        <v>13.1</v>
      </c>
    </row>
    <row r="5698" spans="1:2" x14ac:dyDescent="0.25">
      <c r="A5698" s="924">
        <f t="shared" si="88"/>
        <v>5698</v>
      </c>
      <c r="B5698" s="924">
        <v>13.1</v>
      </c>
    </row>
    <row r="5699" spans="1:2" x14ac:dyDescent="0.25">
      <c r="A5699" s="924">
        <f t="shared" ref="A5699:A5762" si="89">A5698+1</f>
        <v>5699</v>
      </c>
      <c r="B5699" s="924">
        <v>13.1</v>
      </c>
    </row>
    <row r="5700" spans="1:2" x14ac:dyDescent="0.25">
      <c r="A5700" s="924">
        <f t="shared" si="89"/>
        <v>5700</v>
      </c>
      <c r="B5700" s="924">
        <v>13.1</v>
      </c>
    </row>
    <row r="5701" spans="1:2" x14ac:dyDescent="0.25">
      <c r="A5701" s="924">
        <f t="shared" si="89"/>
        <v>5701</v>
      </c>
      <c r="B5701" s="924">
        <v>13.1</v>
      </c>
    </row>
    <row r="5702" spans="1:2" x14ac:dyDescent="0.25">
      <c r="A5702" s="924">
        <f t="shared" si="89"/>
        <v>5702</v>
      </c>
      <c r="B5702" s="924">
        <v>13.1</v>
      </c>
    </row>
    <row r="5703" spans="1:2" x14ac:dyDescent="0.25">
      <c r="A5703" s="924">
        <f t="shared" si="89"/>
        <v>5703</v>
      </c>
      <c r="B5703" s="924">
        <v>13.1</v>
      </c>
    </row>
    <row r="5704" spans="1:2" x14ac:dyDescent="0.25">
      <c r="A5704" s="924">
        <f t="shared" si="89"/>
        <v>5704</v>
      </c>
      <c r="B5704" s="924">
        <v>13.1</v>
      </c>
    </row>
    <row r="5705" spans="1:2" x14ac:dyDescent="0.25">
      <c r="A5705" s="924">
        <f t="shared" si="89"/>
        <v>5705</v>
      </c>
      <c r="B5705" s="924">
        <v>13.1</v>
      </c>
    </row>
    <row r="5706" spans="1:2" x14ac:dyDescent="0.25">
      <c r="A5706" s="924">
        <f t="shared" si="89"/>
        <v>5706</v>
      </c>
      <c r="B5706" s="924">
        <v>13.1</v>
      </c>
    </row>
    <row r="5707" spans="1:2" x14ac:dyDescent="0.25">
      <c r="A5707" s="924">
        <f t="shared" si="89"/>
        <v>5707</v>
      </c>
      <c r="B5707" s="924">
        <v>13.1</v>
      </c>
    </row>
    <row r="5708" spans="1:2" x14ac:dyDescent="0.25">
      <c r="A5708" s="924">
        <f t="shared" si="89"/>
        <v>5708</v>
      </c>
      <c r="B5708" s="924">
        <v>13.1</v>
      </c>
    </row>
    <row r="5709" spans="1:2" x14ac:dyDescent="0.25">
      <c r="A5709" s="924">
        <f t="shared" si="89"/>
        <v>5709</v>
      </c>
      <c r="B5709" s="924">
        <v>13.1</v>
      </c>
    </row>
    <row r="5710" spans="1:2" x14ac:dyDescent="0.25">
      <c r="A5710" s="924">
        <f t="shared" si="89"/>
        <v>5710</v>
      </c>
      <c r="B5710" s="924">
        <v>13.1</v>
      </c>
    </row>
    <row r="5711" spans="1:2" x14ac:dyDescent="0.25">
      <c r="A5711" s="924">
        <f t="shared" si="89"/>
        <v>5711</v>
      </c>
      <c r="B5711" s="924">
        <v>13.1</v>
      </c>
    </row>
    <row r="5712" spans="1:2" x14ac:dyDescent="0.25">
      <c r="A5712" s="924">
        <f t="shared" si="89"/>
        <v>5712</v>
      </c>
      <c r="B5712" s="924">
        <v>13.1</v>
      </c>
    </row>
    <row r="5713" spans="1:2" x14ac:dyDescent="0.25">
      <c r="A5713" s="924">
        <f t="shared" si="89"/>
        <v>5713</v>
      </c>
      <c r="B5713" s="924">
        <v>13.1</v>
      </c>
    </row>
    <row r="5714" spans="1:2" x14ac:dyDescent="0.25">
      <c r="A5714" s="924">
        <f t="shared" si="89"/>
        <v>5714</v>
      </c>
      <c r="B5714" s="924">
        <v>13.1</v>
      </c>
    </row>
    <row r="5715" spans="1:2" x14ac:dyDescent="0.25">
      <c r="A5715" s="924">
        <f t="shared" si="89"/>
        <v>5715</v>
      </c>
      <c r="B5715" s="924">
        <v>13.1</v>
      </c>
    </row>
    <row r="5716" spans="1:2" x14ac:dyDescent="0.25">
      <c r="A5716" s="924">
        <f t="shared" si="89"/>
        <v>5716</v>
      </c>
      <c r="B5716" s="924">
        <v>13.1</v>
      </c>
    </row>
    <row r="5717" spans="1:2" x14ac:dyDescent="0.25">
      <c r="A5717" s="924">
        <f t="shared" si="89"/>
        <v>5717</v>
      </c>
      <c r="B5717" s="924">
        <v>13.1</v>
      </c>
    </row>
    <row r="5718" spans="1:2" x14ac:dyDescent="0.25">
      <c r="A5718" s="924">
        <f t="shared" si="89"/>
        <v>5718</v>
      </c>
      <c r="B5718" s="924">
        <v>13.1</v>
      </c>
    </row>
    <row r="5719" spans="1:2" x14ac:dyDescent="0.25">
      <c r="A5719" s="924">
        <f t="shared" si="89"/>
        <v>5719</v>
      </c>
      <c r="B5719" s="924">
        <v>13.2</v>
      </c>
    </row>
    <row r="5720" spans="1:2" x14ac:dyDescent="0.25">
      <c r="A5720" s="924">
        <f t="shared" si="89"/>
        <v>5720</v>
      </c>
      <c r="B5720" s="924">
        <v>13.2</v>
      </c>
    </row>
    <row r="5721" spans="1:2" x14ac:dyDescent="0.25">
      <c r="A5721" s="924">
        <f t="shared" si="89"/>
        <v>5721</v>
      </c>
      <c r="B5721" s="924">
        <v>13.2</v>
      </c>
    </row>
    <row r="5722" spans="1:2" x14ac:dyDescent="0.25">
      <c r="A5722" s="924">
        <f t="shared" si="89"/>
        <v>5722</v>
      </c>
      <c r="B5722" s="924">
        <v>13.2</v>
      </c>
    </row>
    <row r="5723" spans="1:2" x14ac:dyDescent="0.25">
      <c r="A5723" s="924">
        <f t="shared" si="89"/>
        <v>5723</v>
      </c>
      <c r="B5723" s="924">
        <v>13.2</v>
      </c>
    </row>
    <row r="5724" spans="1:2" x14ac:dyDescent="0.25">
      <c r="A5724" s="924">
        <f t="shared" si="89"/>
        <v>5724</v>
      </c>
      <c r="B5724" s="924">
        <v>13.2</v>
      </c>
    </row>
    <row r="5725" spans="1:2" x14ac:dyDescent="0.25">
      <c r="A5725" s="924">
        <f t="shared" si="89"/>
        <v>5725</v>
      </c>
      <c r="B5725" s="924">
        <v>13.2</v>
      </c>
    </row>
    <row r="5726" spans="1:2" x14ac:dyDescent="0.25">
      <c r="A5726" s="924">
        <f t="shared" si="89"/>
        <v>5726</v>
      </c>
      <c r="B5726" s="924">
        <v>13.2</v>
      </c>
    </row>
    <row r="5727" spans="1:2" x14ac:dyDescent="0.25">
      <c r="A5727" s="924">
        <f t="shared" si="89"/>
        <v>5727</v>
      </c>
      <c r="B5727" s="924">
        <v>13.2</v>
      </c>
    </row>
    <row r="5728" spans="1:2" x14ac:dyDescent="0.25">
      <c r="A5728" s="924">
        <f t="shared" si="89"/>
        <v>5728</v>
      </c>
      <c r="B5728" s="924">
        <v>13.2</v>
      </c>
    </row>
    <row r="5729" spans="1:2" x14ac:dyDescent="0.25">
      <c r="A5729" s="924">
        <f t="shared" si="89"/>
        <v>5729</v>
      </c>
      <c r="B5729" s="924">
        <v>13.2</v>
      </c>
    </row>
    <row r="5730" spans="1:2" x14ac:dyDescent="0.25">
      <c r="A5730" s="924">
        <f t="shared" si="89"/>
        <v>5730</v>
      </c>
      <c r="B5730" s="924">
        <v>13.2</v>
      </c>
    </row>
    <row r="5731" spans="1:2" x14ac:dyDescent="0.25">
      <c r="A5731" s="924">
        <f t="shared" si="89"/>
        <v>5731</v>
      </c>
      <c r="B5731" s="924">
        <v>13.2</v>
      </c>
    </row>
    <row r="5732" spans="1:2" x14ac:dyDescent="0.25">
      <c r="A5732" s="924">
        <f t="shared" si="89"/>
        <v>5732</v>
      </c>
      <c r="B5732" s="924">
        <v>13.2</v>
      </c>
    </row>
    <row r="5733" spans="1:2" x14ac:dyDescent="0.25">
      <c r="A5733" s="924">
        <f t="shared" si="89"/>
        <v>5733</v>
      </c>
      <c r="B5733" s="924">
        <v>13.2</v>
      </c>
    </row>
    <row r="5734" spans="1:2" x14ac:dyDescent="0.25">
      <c r="A5734" s="924">
        <f t="shared" si="89"/>
        <v>5734</v>
      </c>
      <c r="B5734" s="924">
        <v>13.2</v>
      </c>
    </row>
    <row r="5735" spans="1:2" x14ac:dyDescent="0.25">
      <c r="A5735" s="924">
        <f t="shared" si="89"/>
        <v>5735</v>
      </c>
      <c r="B5735" s="924">
        <v>13.2</v>
      </c>
    </row>
    <row r="5736" spans="1:2" x14ac:dyDescent="0.25">
      <c r="A5736" s="924">
        <f t="shared" si="89"/>
        <v>5736</v>
      </c>
      <c r="B5736" s="924">
        <v>13.2</v>
      </c>
    </row>
    <row r="5737" spans="1:2" x14ac:dyDescent="0.25">
      <c r="A5737" s="924">
        <f t="shared" si="89"/>
        <v>5737</v>
      </c>
      <c r="B5737" s="924">
        <v>13.2</v>
      </c>
    </row>
    <row r="5738" spans="1:2" x14ac:dyDescent="0.25">
      <c r="A5738" s="924">
        <f t="shared" si="89"/>
        <v>5738</v>
      </c>
      <c r="B5738" s="924">
        <v>13.2</v>
      </c>
    </row>
    <row r="5739" spans="1:2" x14ac:dyDescent="0.25">
      <c r="A5739" s="924">
        <f t="shared" si="89"/>
        <v>5739</v>
      </c>
      <c r="B5739" s="924">
        <v>13.2</v>
      </c>
    </row>
    <row r="5740" spans="1:2" x14ac:dyDescent="0.25">
      <c r="A5740" s="924">
        <f t="shared" si="89"/>
        <v>5740</v>
      </c>
      <c r="B5740" s="924">
        <v>13.2</v>
      </c>
    </row>
    <row r="5741" spans="1:2" x14ac:dyDescent="0.25">
      <c r="A5741" s="924">
        <f t="shared" si="89"/>
        <v>5741</v>
      </c>
      <c r="B5741" s="924">
        <v>13.2</v>
      </c>
    </row>
    <row r="5742" spans="1:2" x14ac:dyDescent="0.25">
      <c r="A5742" s="924">
        <f t="shared" si="89"/>
        <v>5742</v>
      </c>
      <c r="B5742" s="924">
        <v>13.2</v>
      </c>
    </row>
    <row r="5743" spans="1:2" x14ac:dyDescent="0.25">
      <c r="A5743" s="924">
        <f t="shared" si="89"/>
        <v>5743</v>
      </c>
      <c r="B5743" s="924">
        <v>13.2</v>
      </c>
    </row>
    <row r="5744" spans="1:2" x14ac:dyDescent="0.25">
      <c r="A5744" s="924">
        <f t="shared" si="89"/>
        <v>5744</v>
      </c>
      <c r="B5744" s="924">
        <v>13.2</v>
      </c>
    </row>
    <row r="5745" spans="1:2" x14ac:dyDescent="0.25">
      <c r="A5745" s="924">
        <f t="shared" si="89"/>
        <v>5745</v>
      </c>
      <c r="B5745" s="924">
        <v>13.2</v>
      </c>
    </row>
    <row r="5746" spans="1:2" x14ac:dyDescent="0.25">
      <c r="A5746" s="924">
        <f t="shared" si="89"/>
        <v>5746</v>
      </c>
      <c r="B5746" s="924">
        <v>13.2</v>
      </c>
    </row>
    <row r="5747" spans="1:2" x14ac:dyDescent="0.25">
      <c r="A5747" s="924">
        <f t="shared" si="89"/>
        <v>5747</v>
      </c>
      <c r="B5747" s="924">
        <v>13.2</v>
      </c>
    </row>
    <row r="5748" spans="1:2" x14ac:dyDescent="0.25">
      <c r="A5748" s="924">
        <f t="shared" si="89"/>
        <v>5748</v>
      </c>
      <c r="B5748" s="924">
        <v>13.2</v>
      </c>
    </row>
    <row r="5749" spans="1:2" x14ac:dyDescent="0.25">
      <c r="A5749" s="924">
        <f t="shared" si="89"/>
        <v>5749</v>
      </c>
      <c r="B5749" s="924">
        <v>13.2</v>
      </c>
    </row>
    <row r="5750" spans="1:2" x14ac:dyDescent="0.25">
      <c r="A5750" s="924">
        <f t="shared" si="89"/>
        <v>5750</v>
      </c>
      <c r="B5750" s="924">
        <v>13.2</v>
      </c>
    </row>
    <row r="5751" spans="1:2" x14ac:dyDescent="0.25">
      <c r="A5751" s="924">
        <f t="shared" si="89"/>
        <v>5751</v>
      </c>
      <c r="B5751" s="924">
        <v>13.2</v>
      </c>
    </row>
    <row r="5752" spans="1:2" x14ac:dyDescent="0.25">
      <c r="A5752" s="924">
        <f t="shared" si="89"/>
        <v>5752</v>
      </c>
      <c r="B5752" s="924">
        <v>13.2</v>
      </c>
    </row>
    <row r="5753" spans="1:2" x14ac:dyDescent="0.25">
      <c r="A5753" s="924">
        <f t="shared" si="89"/>
        <v>5753</v>
      </c>
      <c r="B5753" s="924">
        <v>13.2</v>
      </c>
    </row>
    <row r="5754" spans="1:2" x14ac:dyDescent="0.25">
      <c r="A5754" s="924">
        <f t="shared" si="89"/>
        <v>5754</v>
      </c>
      <c r="B5754" s="924">
        <v>13.2</v>
      </c>
    </row>
    <row r="5755" spans="1:2" x14ac:dyDescent="0.25">
      <c r="A5755" s="924">
        <f t="shared" si="89"/>
        <v>5755</v>
      </c>
      <c r="B5755" s="924">
        <v>13.2</v>
      </c>
    </row>
    <row r="5756" spans="1:2" x14ac:dyDescent="0.25">
      <c r="A5756" s="924">
        <f t="shared" si="89"/>
        <v>5756</v>
      </c>
      <c r="B5756" s="924">
        <v>13.2</v>
      </c>
    </row>
    <row r="5757" spans="1:2" x14ac:dyDescent="0.25">
      <c r="A5757" s="924">
        <f t="shared" si="89"/>
        <v>5757</v>
      </c>
      <c r="B5757" s="924">
        <v>13.2</v>
      </c>
    </row>
    <row r="5758" spans="1:2" x14ac:dyDescent="0.25">
      <c r="A5758" s="924">
        <f t="shared" si="89"/>
        <v>5758</v>
      </c>
      <c r="B5758" s="924">
        <v>13.2</v>
      </c>
    </row>
    <row r="5759" spans="1:2" x14ac:dyDescent="0.25">
      <c r="A5759" s="924">
        <f t="shared" si="89"/>
        <v>5759</v>
      </c>
      <c r="B5759" s="924">
        <v>13.2</v>
      </c>
    </row>
    <row r="5760" spans="1:2" x14ac:dyDescent="0.25">
      <c r="A5760" s="924">
        <f t="shared" si="89"/>
        <v>5760</v>
      </c>
      <c r="B5760" s="924">
        <v>13.2</v>
      </c>
    </row>
    <row r="5761" spans="1:2" x14ac:dyDescent="0.25">
      <c r="A5761" s="924">
        <f t="shared" si="89"/>
        <v>5761</v>
      </c>
      <c r="B5761" s="924">
        <v>13.2</v>
      </c>
    </row>
    <row r="5762" spans="1:2" x14ac:dyDescent="0.25">
      <c r="A5762" s="924">
        <f t="shared" si="89"/>
        <v>5762</v>
      </c>
      <c r="B5762" s="924">
        <v>13.2</v>
      </c>
    </row>
    <row r="5763" spans="1:2" x14ac:dyDescent="0.25">
      <c r="A5763" s="924">
        <f t="shared" ref="A5763:A5826" si="90">A5762+1</f>
        <v>5763</v>
      </c>
      <c r="B5763" s="924">
        <v>13.2</v>
      </c>
    </row>
    <row r="5764" spans="1:2" x14ac:dyDescent="0.25">
      <c r="A5764" s="924">
        <f t="shared" si="90"/>
        <v>5764</v>
      </c>
      <c r="B5764" s="924">
        <v>13.2</v>
      </c>
    </row>
    <row r="5765" spans="1:2" x14ac:dyDescent="0.25">
      <c r="A5765" s="924">
        <f t="shared" si="90"/>
        <v>5765</v>
      </c>
      <c r="B5765" s="924">
        <v>13.2</v>
      </c>
    </row>
    <row r="5766" spans="1:2" x14ac:dyDescent="0.25">
      <c r="A5766" s="924">
        <f t="shared" si="90"/>
        <v>5766</v>
      </c>
      <c r="B5766" s="924">
        <v>13.2</v>
      </c>
    </row>
    <row r="5767" spans="1:2" x14ac:dyDescent="0.25">
      <c r="A5767" s="924">
        <f t="shared" si="90"/>
        <v>5767</v>
      </c>
      <c r="B5767" s="924">
        <v>13.3</v>
      </c>
    </row>
    <row r="5768" spans="1:2" x14ac:dyDescent="0.25">
      <c r="A5768" s="924">
        <f t="shared" si="90"/>
        <v>5768</v>
      </c>
      <c r="B5768" s="924">
        <v>13.3</v>
      </c>
    </row>
    <row r="5769" spans="1:2" x14ac:dyDescent="0.25">
      <c r="A5769" s="924">
        <f t="shared" si="90"/>
        <v>5769</v>
      </c>
      <c r="B5769" s="924">
        <v>13.3</v>
      </c>
    </row>
    <row r="5770" spans="1:2" x14ac:dyDescent="0.25">
      <c r="A5770" s="924">
        <f t="shared" si="90"/>
        <v>5770</v>
      </c>
      <c r="B5770" s="924">
        <v>13.3</v>
      </c>
    </row>
    <row r="5771" spans="1:2" x14ac:dyDescent="0.25">
      <c r="A5771" s="924">
        <f t="shared" si="90"/>
        <v>5771</v>
      </c>
      <c r="B5771" s="924">
        <v>13.3</v>
      </c>
    </row>
    <row r="5772" spans="1:2" x14ac:dyDescent="0.25">
      <c r="A5772" s="924">
        <f t="shared" si="90"/>
        <v>5772</v>
      </c>
      <c r="B5772" s="924">
        <v>13.3</v>
      </c>
    </row>
    <row r="5773" spans="1:2" x14ac:dyDescent="0.25">
      <c r="A5773" s="924">
        <f t="shared" si="90"/>
        <v>5773</v>
      </c>
      <c r="B5773" s="924">
        <v>13.3</v>
      </c>
    </row>
    <row r="5774" spans="1:2" x14ac:dyDescent="0.25">
      <c r="A5774" s="924">
        <f t="shared" si="90"/>
        <v>5774</v>
      </c>
      <c r="B5774" s="924">
        <v>13.3</v>
      </c>
    </row>
    <row r="5775" spans="1:2" x14ac:dyDescent="0.25">
      <c r="A5775" s="924">
        <f t="shared" si="90"/>
        <v>5775</v>
      </c>
      <c r="B5775" s="924">
        <v>13.3</v>
      </c>
    </row>
    <row r="5776" spans="1:2" x14ac:dyDescent="0.25">
      <c r="A5776" s="924">
        <f t="shared" si="90"/>
        <v>5776</v>
      </c>
      <c r="B5776" s="924">
        <v>13.3</v>
      </c>
    </row>
    <row r="5777" spans="1:2" x14ac:dyDescent="0.25">
      <c r="A5777" s="924">
        <f t="shared" si="90"/>
        <v>5777</v>
      </c>
      <c r="B5777" s="924">
        <v>13.3</v>
      </c>
    </row>
    <row r="5778" spans="1:2" x14ac:dyDescent="0.25">
      <c r="A5778" s="924">
        <f t="shared" si="90"/>
        <v>5778</v>
      </c>
      <c r="B5778" s="924">
        <v>13.3</v>
      </c>
    </row>
    <row r="5779" spans="1:2" x14ac:dyDescent="0.25">
      <c r="A5779" s="924">
        <f t="shared" si="90"/>
        <v>5779</v>
      </c>
      <c r="B5779" s="924">
        <v>13.3</v>
      </c>
    </row>
    <row r="5780" spans="1:2" x14ac:dyDescent="0.25">
      <c r="A5780" s="924">
        <f t="shared" si="90"/>
        <v>5780</v>
      </c>
      <c r="B5780" s="924">
        <v>13.3</v>
      </c>
    </row>
    <row r="5781" spans="1:2" x14ac:dyDescent="0.25">
      <c r="A5781" s="924">
        <f t="shared" si="90"/>
        <v>5781</v>
      </c>
      <c r="B5781" s="924">
        <v>13.3</v>
      </c>
    </row>
    <row r="5782" spans="1:2" x14ac:dyDescent="0.25">
      <c r="A5782" s="924">
        <f t="shared" si="90"/>
        <v>5782</v>
      </c>
      <c r="B5782" s="924">
        <v>13.3</v>
      </c>
    </row>
    <row r="5783" spans="1:2" x14ac:dyDescent="0.25">
      <c r="A5783" s="924">
        <f t="shared" si="90"/>
        <v>5783</v>
      </c>
      <c r="B5783" s="924">
        <v>13.3</v>
      </c>
    </row>
    <row r="5784" spans="1:2" x14ac:dyDescent="0.25">
      <c r="A5784" s="924">
        <f t="shared" si="90"/>
        <v>5784</v>
      </c>
      <c r="B5784" s="924">
        <v>13.3</v>
      </c>
    </row>
    <row r="5785" spans="1:2" x14ac:dyDescent="0.25">
      <c r="A5785" s="924">
        <f t="shared" si="90"/>
        <v>5785</v>
      </c>
      <c r="B5785" s="924">
        <v>13.3</v>
      </c>
    </row>
    <row r="5786" spans="1:2" x14ac:dyDescent="0.25">
      <c r="A5786" s="924">
        <f t="shared" si="90"/>
        <v>5786</v>
      </c>
      <c r="B5786" s="924">
        <v>13.3</v>
      </c>
    </row>
    <row r="5787" spans="1:2" x14ac:dyDescent="0.25">
      <c r="A5787" s="924">
        <f t="shared" si="90"/>
        <v>5787</v>
      </c>
      <c r="B5787" s="924">
        <v>13.3</v>
      </c>
    </row>
    <row r="5788" spans="1:2" x14ac:dyDescent="0.25">
      <c r="A5788" s="924">
        <f t="shared" si="90"/>
        <v>5788</v>
      </c>
      <c r="B5788" s="924">
        <v>13.3</v>
      </c>
    </row>
    <row r="5789" spans="1:2" x14ac:dyDescent="0.25">
      <c r="A5789" s="924">
        <f t="shared" si="90"/>
        <v>5789</v>
      </c>
      <c r="B5789" s="924">
        <v>13.3</v>
      </c>
    </row>
    <row r="5790" spans="1:2" x14ac:dyDescent="0.25">
      <c r="A5790" s="924">
        <f t="shared" si="90"/>
        <v>5790</v>
      </c>
      <c r="B5790" s="924">
        <v>13.3</v>
      </c>
    </row>
    <row r="5791" spans="1:2" x14ac:dyDescent="0.25">
      <c r="A5791" s="924">
        <f t="shared" si="90"/>
        <v>5791</v>
      </c>
      <c r="B5791" s="924">
        <v>13.3</v>
      </c>
    </row>
    <row r="5792" spans="1:2" x14ac:dyDescent="0.25">
      <c r="A5792" s="924">
        <f t="shared" si="90"/>
        <v>5792</v>
      </c>
      <c r="B5792" s="924">
        <v>13.3</v>
      </c>
    </row>
    <row r="5793" spans="1:2" x14ac:dyDescent="0.25">
      <c r="A5793" s="924">
        <f t="shared" si="90"/>
        <v>5793</v>
      </c>
      <c r="B5793" s="924">
        <v>13.3</v>
      </c>
    </row>
    <row r="5794" spans="1:2" x14ac:dyDescent="0.25">
      <c r="A5794" s="924">
        <f t="shared" si="90"/>
        <v>5794</v>
      </c>
      <c r="B5794" s="924">
        <v>13.3</v>
      </c>
    </row>
    <row r="5795" spans="1:2" x14ac:dyDescent="0.25">
      <c r="A5795" s="924">
        <f t="shared" si="90"/>
        <v>5795</v>
      </c>
      <c r="B5795" s="924">
        <v>13.3</v>
      </c>
    </row>
    <row r="5796" spans="1:2" x14ac:dyDescent="0.25">
      <c r="A5796" s="924">
        <f t="shared" si="90"/>
        <v>5796</v>
      </c>
      <c r="B5796" s="924">
        <v>13.3</v>
      </c>
    </row>
    <row r="5797" spans="1:2" x14ac:dyDescent="0.25">
      <c r="A5797" s="924">
        <f t="shared" si="90"/>
        <v>5797</v>
      </c>
      <c r="B5797" s="924">
        <v>13.3</v>
      </c>
    </row>
    <row r="5798" spans="1:2" x14ac:dyDescent="0.25">
      <c r="A5798" s="924">
        <f t="shared" si="90"/>
        <v>5798</v>
      </c>
      <c r="B5798" s="924">
        <v>13.3</v>
      </c>
    </row>
    <row r="5799" spans="1:2" x14ac:dyDescent="0.25">
      <c r="A5799" s="924">
        <f t="shared" si="90"/>
        <v>5799</v>
      </c>
      <c r="B5799" s="924">
        <v>13.3</v>
      </c>
    </row>
    <row r="5800" spans="1:2" x14ac:dyDescent="0.25">
      <c r="A5800" s="924">
        <f t="shared" si="90"/>
        <v>5800</v>
      </c>
      <c r="B5800" s="924">
        <v>13.3</v>
      </c>
    </row>
    <row r="5801" spans="1:2" x14ac:dyDescent="0.25">
      <c r="A5801" s="924">
        <f t="shared" si="90"/>
        <v>5801</v>
      </c>
      <c r="B5801" s="924">
        <v>13.3</v>
      </c>
    </row>
    <row r="5802" spans="1:2" x14ac:dyDescent="0.25">
      <c r="A5802" s="924">
        <f t="shared" si="90"/>
        <v>5802</v>
      </c>
      <c r="B5802" s="924">
        <v>13.3</v>
      </c>
    </row>
    <row r="5803" spans="1:2" x14ac:dyDescent="0.25">
      <c r="A5803" s="924">
        <f t="shared" si="90"/>
        <v>5803</v>
      </c>
      <c r="B5803" s="924">
        <v>13.3</v>
      </c>
    </row>
    <row r="5804" spans="1:2" x14ac:dyDescent="0.25">
      <c r="A5804" s="924">
        <f t="shared" si="90"/>
        <v>5804</v>
      </c>
      <c r="B5804" s="924">
        <v>13.3</v>
      </c>
    </row>
    <row r="5805" spans="1:2" x14ac:dyDescent="0.25">
      <c r="A5805" s="924">
        <f t="shared" si="90"/>
        <v>5805</v>
      </c>
      <c r="B5805" s="924">
        <v>13.3</v>
      </c>
    </row>
    <row r="5806" spans="1:2" x14ac:dyDescent="0.25">
      <c r="A5806" s="924">
        <f t="shared" si="90"/>
        <v>5806</v>
      </c>
      <c r="B5806" s="924">
        <v>13.3</v>
      </c>
    </row>
    <row r="5807" spans="1:2" x14ac:dyDescent="0.25">
      <c r="A5807" s="924">
        <f t="shared" si="90"/>
        <v>5807</v>
      </c>
      <c r="B5807" s="924">
        <v>13.3</v>
      </c>
    </row>
    <row r="5808" spans="1:2" x14ac:dyDescent="0.25">
      <c r="A5808" s="924">
        <f t="shared" si="90"/>
        <v>5808</v>
      </c>
      <c r="B5808" s="924">
        <v>13.3</v>
      </c>
    </row>
    <row r="5809" spans="1:2" x14ac:dyDescent="0.25">
      <c r="A5809" s="924">
        <f t="shared" si="90"/>
        <v>5809</v>
      </c>
      <c r="B5809" s="924">
        <v>13.3</v>
      </c>
    </row>
    <row r="5810" spans="1:2" x14ac:dyDescent="0.25">
      <c r="A5810" s="924">
        <f t="shared" si="90"/>
        <v>5810</v>
      </c>
      <c r="B5810" s="924">
        <v>13.3</v>
      </c>
    </row>
    <row r="5811" spans="1:2" x14ac:dyDescent="0.25">
      <c r="A5811" s="924">
        <f t="shared" si="90"/>
        <v>5811</v>
      </c>
      <c r="B5811" s="924">
        <v>13.3</v>
      </c>
    </row>
    <row r="5812" spans="1:2" x14ac:dyDescent="0.25">
      <c r="A5812" s="924">
        <f t="shared" si="90"/>
        <v>5812</v>
      </c>
      <c r="B5812" s="924">
        <v>13.3</v>
      </c>
    </row>
    <row r="5813" spans="1:2" x14ac:dyDescent="0.25">
      <c r="A5813" s="924">
        <f t="shared" si="90"/>
        <v>5813</v>
      </c>
      <c r="B5813" s="924">
        <v>13.3</v>
      </c>
    </row>
    <row r="5814" spans="1:2" x14ac:dyDescent="0.25">
      <c r="A5814" s="924">
        <f t="shared" si="90"/>
        <v>5814</v>
      </c>
      <c r="B5814" s="924">
        <v>13.3</v>
      </c>
    </row>
    <row r="5815" spans="1:2" x14ac:dyDescent="0.25">
      <c r="A5815" s="924">
        <f t="shared" si="90"/>
        <v>5815</v>
      </c>
      <c r="B5815" s="924">
        <v>13.3</v>
      </c>
    </row>
    <row r="5816" spans="1:2" x14ac:dyDescent="0.25">
      <c r="A5816" s="924">
        <f t="shared" si="90"/>
        <v>5816</v>
      </c>
      <c r="B5816" s="924">
        <v>13.3</v>
      </c>
    </row>
    <row r="5817" spans="1:2" x14ac:dyDescent="0.25">
      <c r="A5817" s="924">
        <f t="shared" si="90"/>
        <v>5817</v>
      </c>
      <c r="B5817" s="924">
        <v>13.3</v>
      </c>
    </row>
    <row r="5818" spans="1:2" x14ac:dyDescent="0.25">
      <c r="A5818" s="924">
        <f t="shared" si="90"/>
        <v>5818</v>
      </c>
      <c r="B5818" s="924">
        <v>13.3</v>
      </c>
    </row>
    <row r="5819" spans="1:2" x14ac:dyDescent="0.25">
      <c r="A5819" s="924">
        <f t="shared" si="90"/>
        <v>5819</v>
      </c>
      <c r="B5819" s="924">
        <v>13.3</v>
      </c>
    </row>
    <row r="5820" spans="1:2" x14ac:dyDescent="0.25">
      <c r="A5820" s="924">
        <f t="shared" si="90"/>
        <v>5820</v>
      </c>
      <c r="B5820" s="924">
        <v>13.3</v>
      </c>
    </row>
    <row r="5821" spans="1:2" x14ac:dyDescent="0.25">
      <c r="A5821" s="924">
        <f t="shared" si="90"/>
        <v>5821</v>
      </c>
      <c r="B5821" s="924">
        <v>13.3</v>
      </c>
    </row>
    <row r="5822" spans="1:2" x14ac:dyDescent="0.25">
      <c r="A5822" s="924">
        <f t="shared" si="90"/>
        <v>5822</v>
      </c>
      <c r="B5822" s="924">
        <v>13.3</v>
      </c>
    </row>
    <row r="5823" spans="1:2" x14ac:dyDescent="0.25">
      <c r="A5823" s="924">
        <f t="shared" si="90"/>
        <v>5823</v>
      </c>
      <c r="B5823" s="924">
        <v>13.3</v>
      </c>
    </row>
    <row r="5824" spans="1:2" x14ac:dyDescent="0.25">
      <c r="A5824" s="924">
        <f t="shared" si="90"/>
        <v>5824</v>
      </c>
      <c r="B5824" s="924">
        <v>13.3</v>
      </c>
    </row>
    <row r="5825" spans="1:2" x14ac:dyDescent="0.25">
      <c r="A5825" s="924">
        <f t="shared" si="90"/>
        <v>5825</v>
      </c>
      <c r="B5825" s="924">
        <v>13.3</v>
      </c>
    </row>
    <row r="5826" spans="1:2" x14ac:dyDescent="0.25">
      <c r="A5826" s="924">
        <f t="shared" si="90"/>
        <v>5826</v>
      </c>
      <c r="B5826" s="924">
        <v>13.3</v>
      </c>
    </row>
    <row r="5827" spans="1:2" x14ac:dyDescent="0.25">
      <c r="A5827" s="924">
        <f t="shared" ref="A5827:A5890" si="91">A5826+1</f>
        <v>5827</v>
      </c>
      <c r="B5827" s="924">
        <v>13.4</v>
      </c>
    </row>
    <row r="5828" spans="1:2" x14ac:dyDescent="0.25">
      <c r="A5828" s="924">
        <f t="shared" si="91"/>
        <v>5828</v>
      </c>
      <c r="B5828" s="924">
        <v>13.4</v>
      </c>
    </row>
    <row r="5829" spans="1:2" x14ac:dyDescent="0.25">
      <c r="A5829" s="924">
        <f t="shared" si="91"/>
        <v>5829</v>
      </c>
      <c r="B5829" s="924">
        <v>13.4</v>
      </c>
    </row>
    <row r="5830" spans="1:2" x14ac:dyDescent="0.25">
      <c r="A5830" s="924">
        <f t="shared" si="91"/>
        <v>5830</v>
      </c>
      <c r="B5830" s="924">
        <v>13.4</v>
      </c>
    </row>
    <row r="5831" spans="1:2" x14ac:dyDescent="0.25">
      <c r="A5831" s="924">
        <f t="shared" si="91"/>
        <v>5831</v>
      </c>
      <c r="B5831" s="924">
        <v>13.4</v>
      </c>
    </row>
    <row r="5832" spans="1:2" x14ac:dyDescent="0.25">
      <c r="A5832" s="924">
        <f t="shared" si="91"/>
        <v>5832</v>
      </c>
      <c r="B5832" s="924">
        <v>13.4</v>
      </c>
    </row>
    <row r="5833" spans="1:2" x14ac:dyDescent="0.25">
      <c r="A5833" s="924">
        <f t="shared" si="91"/>
        <v>5833</v>
      </c>
      <c r="B5833" s="924">
        <v>13.4</v>
      </c>
    </row>
    <row r="5834" spans="1:2" x14ac:dyDescent="0.25">
      <c r="A5834" s="924">
        <f t="shared" si="91"/>
        <v>5834</v>
      </c>
      <c r="B5834" s="924">
        <v>13.4</v>
      </c>
    </row>
    <row r="5835" spans="1:2" x14ac:dyDescent="0.25">
      <c r="A5835" s="924">
        <f t="shared" si="91"/>
        <v>5835</v>
      </c>
      <c r="B5835" s="924">
        <v>13.4</v>
      </c>
    </row>
    <row r="5836" spans="1:2" x14ac:dyDescent="0.25">
      <c r="A5836" s="924">
        <f t="shared" si="91"/>
        <v>5836</v>
      </c>
      <c r="B5836" s="924">
        <v>13.4</v>
      </c>
    </row>
    <row r="5837" spans="1:2" x14ac:dyDescent="0.25">
      <c r="A5837" s="924">
        <f t="shared" si="91"/>
        <v>5837</v>
      </c>
      <c r="B5837" s="924">
        <v>13.4</v>
      </c>
    </row>
    <row r="5838" spans="1:2" x14ac:dyDescent="0.25">
      <c r="A5838" s="924">
        <f t="shared" si="91"/>
        <v>5838</v>
      </c>
      <c r="B5838" s="924">
        <v>13.4</v>
      </c>
    </row>
    <row r="5839" spans="1:2" x14ac:dyDescent="0.25">
      <c r="A5839" s="924">
        <f t="shared" si="91"/>
        <v>5839</v>
      </c>
      <c r="B5839" s="924">
        <v>13.4</v>
      </c>
    </row>
    <row r="5840" spans="1:2" x14ac:dyDescent="0.25">
      <c r="A5840" s="924">
        <f t="shared" si="91"/>
        <v>5840</v>
      </c>
      <c r="B5840" s="924">
        <v>13.4</v>
      </c>
    </row>
    <row r="5841" spans="1:2" x14ac:dyDescent="0.25">
      <c r="A5841" s="924">
        <f t="shared" si="91"/>
        <v>5841</v>
      </c>
      <c r="B5841" s="924">
        <v>13.4</v>
      </c>
    </row>
    <row r="5842" spans="1:2" x14ac:dyDescent="0.25">
      <c r="A5842" s="924">
        <f t="shared" si="91"/>
        <v>5842</v>
      </c>
      <c r="B5842" s="924">
        <v>13.4</v>
      </c>
    </row>
    <row r="5843" spans="1:2" x14ac:dyDescent="0.25">
      <c r="A5843" s="924">
        <f t="shared" si="91"/>
        <v>5843</v>
      </c>
      <c r="B5843" s="924">
        <v>13.4</v>
      </c>
    </row>
    <row r="5844" spans="1:2" x14ac:dyDescent="0.25">
      <c r="A5844" s="924">
        <f t="shared" si="91"/>
        <v>5844</v>
      </c>
      <c r="B5844" s="924">
        <v>13.4</v>
      </c>
    </row>
    <row r="5845" spans="1:2" x14ac:dyDescent="0.25">
      <c r="A5845" s="924">
        <f t="shared" si="91"/>
        <v>5845</v>
      </c>
      <c r="B5845" s="924">
        <v>13.4</v>
      </c>
    </row>
    <row r="5846" spans="1:2" x14ac:dyDescent="0.25">
      <c r="A5846" s="924">
        <f t="shared" si="91"/>
        <v>5846</v>
      </c>
      <c r="B5846" s="924">
        <v>13.4</v>
      </c>
    </row>
    <row r="5847" spans="1:2" x14ac:dyDescent="0.25">
      <c r="A5847" s="924">
        <f t="shared" si="91"/>
        <v>5847</v>
      </c>
      <c r="B5847" s="924">
        <v>13.4</v>
      </c>
    </row>
    <row r="5848" spans="1:2" x14ac:dyDescent="0.25">
      <c r="A5848" s="924">
        <f t="shared" si="91"/>
        <v>5848</v>
      </c>
      <c r="B5848" s="924">
        <v>13.4</v>
      </c>
    </row>
    <row r="5849" spans="1:2" x14ac:dyDescent="0.25">
      <c r="A5849" s="924">
        <f t="shared" si="91"/>
        <v>5849</v>
      </c>
      <c r="B5849" s="924">
        <v>13.4</v>
      </c>
    </row>
    <row r="5850" spans="1:2" x14ac:dyDescent="0.25">
      <c r="A5850" s="924">
        <f t="shared" si="91"/>
        <v>5850</v>
      </c>
      <c r="B5850" s="924">
        <v>13.4</v>
      </c>
    </row>
    <row r="5851" spans="1:2" x14ac:dyDescent="0.25">
      <c r="A5851" s="924">
        <f t="shared" si="91"/>
        <v>5851</v>
      </c>
      <c r="B5851" s="924">
        <v>13.4</v>
      </c>
    </row>
    <row r="5852" spans="1:2" x14ac:dyDescent="0.25">
      <c r="A5852" s="924">
        <f t="shared" si="91"/>
        <v>5852</v>
      </c>
      <c r="B5852" s="924">
        <v>13.4</v>
      </c>
    </row>
    <row r="5853" spans="1:2" x14ac:dyDescent="0.25">
      <c r="A5853" s="924">
        <f t="shared" si="91"/>
        <v>5853</v>
      </c>
      <c r="B5853" s="924">
        <v>13.4</v>
      </c>
    </row>
    <row r="5854" spans="1:2" x14ac:dyDescent="0.25">
      <c r="A5854" s="924">
        <f t="shared" si="91"/>
        <v>5854</v>
      </c>
      <c r="B5854" s="924">
        <v>13.4</v>
      </c>
    </row>
    <row r="5855" spans="1:2" x14ac:dyDescent="0.25">
      <c r="A5855" s="924">
        <f t="shared" si="91"/>
        <v>5855</v>
      </c>
      <c r="B5855" s="924">
        <v>13.4</v>
      </c>
    </row>
    <row r="5856" spans="1:2" x14ac:dyDescent="0.25">
      <c r="A5856" s="924">
        <f t="shared" si="91"/>
        <v>5856</v>
      </c>
      <c r="B5856" s="924">
        <v>13.4</v>
      </c>
    </row>
    <row r="5857" spans="1:2" x14ac:dyDescent="0.25">
      <c r="A5857" s="924">
        <f t="shared" si="91"/>
        <v>5857</v>
      </c>
      <c r="B5857" s="924">
        <v>13.4</v>
      </c>
    </row>
    <row r="5858" spans="1:2" x14ac:dyDescent="0.25">
      <c r="A5858" s="924">
        <f t="shared" si="91"/>
        <v>5858</v>
      </c>
      <c r="B5858" s="924">
        <v>13.4</v>
      </c>
    </row>
    <row r="5859" spans="1:2" x14ac:dyDescent="0.25">
      <c r="A5859" s="924">
        <f t="shared" si="91"/>
        <v>5859</v>
      </c>
      <c r="B5859" s="924">
        <v>13.4</v>
      </c>
    </row>
    <row r="5860" spans="1:2" x14ac:dyDescent="0.25">
      <c r="A5860" s="924">
        <f t="shared" si="91"/>
        <v>5860</v>
      </c>
      <c r="B5860" s="924">
        <v>13.4</v>
      </c>
    </row>
    <row r="5861" spans="1:2" x14ac:dyDescent="0.25">
      <c r="A5861" s="924">
        <f t="shared" si="91"/>
        <v>5861</v>
      </c>
      <c r="B5861" s="924">
        <v>13.4</v>
      </c>
    </row>
    <row r="5862" spans="1:2" x14ac:dyDescent="0.25">
      <c r="A5862" s="924">
        <f t="shared" si="91"/>
        <v>5862</v>
      </c>
      <c r="B5862" s="924">
        <v>13.4</v>
      </c>
    </row>
    <row r="5863" spans="1:2" x14ac:dyDescent="0.25">
      <c r="A5863" s="924">
        <f t="shared" si="91"/>
        <v>5863</v>
      </c>
      <c r="B5863" s="924">
        <v>13.4</v>
      </c>
    </row>
    <row r="5864" spans="1:2" x14ac:dyDescent="0.25">
      <c r="A5864" s="924">
        <f t="shared" si="91"/>
        <v>5864</v>
      </c>
      <c r="B5864" s="924">
        <v>13.4</v>
      </c>
    </row>
    <row r="5865" spans="1:2" x14ac:dyDescent="0.25">
      <c r="A5865" s="924">
        <f t="shared" si="91"/>
        <v>5865</v>
      </c>
      <c r="B5865" s="924">
        <v>13.4</v>
      </c>
    </row>
    <row r="5866" spans="1:2" x14ac:dyDescent="0.25">
      <c r="A5866" s="924">
        <f t="shared" si="91"/>
        <v>5866</v>
      </c>
      <c r="B5866" s="924">
        <v>13.5</v>
      </c>
    </row>
    <row r="5867" spans="1:2" x14ac:dyDescent="0.25">
      <c r="A5867" s="924">
        <f t="shared" si="91"/>
        <v>5867</v>
      </c>
      <c r="B5867" s="924">
        <v>13.5</v>
      </c>
    </row>
    <row r="5868" spans="1:2" x14ac:dyDescent="0.25">
      <c r="A5868" s="924">
        <f t="shared" si="91"/>
        <v>5868</v>
      </c>
      <c r="B5868" s="924">
        <v>13.5</v>
      </c>
    </row>
    <row r="5869" spans="1:2" x14ac:dyDescent="0.25">
      <c r="A5869" s="924">
        <f t="shared" si="91"/>
        <v>5869</v>
      </c>
      <c r="B5869" s="924">
        <v>13.5</v>
      </c>
    </row>
    <row r="5870" spans="1:2" x14ac:dyDescent="0.25">
      <c r="A5870" s="924">
        <f t="shared" si="91"/>
        <v>5870</v>
      </c>
      <c r="B5870" s="924">
        <v>13.5</v>
      </c>
    </row>
    <row r="5871" spans="1:2" x14ac:dyDescent="0.25">
      <c r="A5871" s="924">
        <f t="shared" si="91"/>
        <v>5871</v>
      </c>
      <c r="B5871" s="924">
        <v>13.5</v>
      </c>
    </row>
    <row r="5872" spans="1:2" x14ac:dyDescent="0.25">
      <c r="A5872" s="924">
        <f t="shared" si="91"/>
        <v>5872</v>
      </c>
      <c r="B5872" s="924">
        <v>13.5</v>
      </c>
    </row>
    <row r="5873" spans="1:2" x14ac:dyDescent="0.25">
      <c r="A5873" s="924">
        <f t="shared" si="91"/>
        <v>5873</v>
      </c>
      <c r="B5873" s="924">
        <v>13.5</v>
      </c>
    </row>
    <row r="5874" spans="1:2" x14ac:dyDescent="0.25">
      <c r="A5874" s="924">
        <f t="shared" si="91"/>
        <v>5874</v>
      </c>
      <c r="B5874" s="924">
        <v>13.5</v>
      </c>
    </row>
    <row r="5875" spans="1:2" x14ac:dyDescent="0.25">
      <c r="A5875" s="924">
        <f t="shared" si="91"/>
        <v>5875</v>
      </c>
      <c r="B5875" s="924">
        <v>13.5</v>
      </c>
    </row>
    <row r="5876" spans="1:2" x14ac:dyDescent="0.25">
      <c r="A5876" s="924">
        <f t="shared" si="91"/>
        <v>5876</v>
      </c>
      <c r="B5876" s="924">
        <v>13.5</v>
      </c>
    </row>
    <row r="5877" spans="1:2" x14ac:dyDescent="0.25">
      <c r="A5877" s="924">
        <f t="shared" si="91"/>
        <v>5877</v>
      </c>
      <c r="B5877" s="924">
        <v>13.5</v>
      </c>
    </row>
    <row r="5878" spans="1:2" x14ac:dyDescent="0.25">
      <c r="A5878" s="924">
        <f t="shared" si="91"/>
        <v>5878</v>
      </c>
      <c r="B5878" s="924">
        <v>13.5</v>
      </c>
    </row>
    <row r="5879" spans="1:2" x14ac:dyDescent="0.25">
      <c r="A5879" s="924">
        <f t="shared" si="91"/>
        <v>5879</v>
      </c>
      <c r="B5879" s="924">
        <v>13.5</v>
      </c>
    </row>
    <row r="5880" spans="1:2" x14ac:dyDescent="0.25">
      <c r="A5880" s="924">
        <f t="shared" si="91"/>
        <v>5880</v>
      </c>
      <c r="B5880" s="924">
        <v>13.5</v>
      </c>
    </row>
    <row r="5881" spans="1:2" x14ac:dyDescent="0.25">
      <c r="A5881" s="924">
        <f t="shared" si="91"/>
        <v>5881</v>
      </c>
      <c r="B5881" s="924">
        <v>13.5</v>
      </c>
    </row>
    <row r="5882" spans="1:2" x14ac:dyDescent="0.25">
      <c r="A5882" s="924">
        <f t="shared" si="91"/>
        <v>5882</v>
      </c>
      <c r="B5882" s="924">
        <v>13.5</v>
      </c>
    </row>
    <row r="5883" spans="1:2" x14ac:dyDescent="0.25">
      <c r="A5883" s="924">
        <f t="shared" si="91"/>
        <v>5883</v>
      </c>
      <c r="B5883" s="924">
        <v>13.5</v>
      </c>
    </row>
    <row r="5884" spans="1:2" x14ac:dyDescent="0.25">
      <c r="A5884" s="924">
        <f t="shared" si="91"/>
        <v>5884</v>
      </c>
      <c r="B5884" s="924">
        <v>13.5</v>
      </c>
    </row>
    <row r="5885" spans="1:2" x14ac:dyDescent="0.25">
      <c r="A5885" s="924">
        <f t="shared" si="91"/>
        <v>5885</v>
      </c>
      <c r="B5885" s="924">
        <v>13.5</v>
      </c>
    </row>
    <row r="5886" spans="1:2" x14ac:dyDescent="0.25">
      <c r="A5886" s="924">
        <f t="shared" si="91"/>
        <v>5886</v>
      </c>
      <c r="B5886" s="924">
        <v>13.5</v>
      </c>
    </row>
    <row r="5887" spans="1:2" x14ac:dyDescent="0.25">
      <c r="A5887" s="924">
        <f t="shared" si="91"/>
        <v>5887</v>
      </c>
      <c r="B5887" s="924">
        <v>13.5</v>
      </c>
    </row>
    <row r="5888" spans="1:2" x14ac:dyDescent="0.25">
      <c r="A5888" s="924">
        <f t="shared" si="91"/>
        <v>5888</v>
      </c>
      <c r="B5888" s="924">
        <v>13.5</v>
      </c>
    </row>
    <row r="5889" spans="1:2" x14ac:dyDescent="0.25">
      <c r="A5889" s="924">
        <f t="shared" si="91"/>
        <v>5889</v>
      </c>
      <c r="B5889" s="924">
        <v>13.5</v>
      </c>
    </row>
    <row r="5890" spans="1:2" x14ac:dyDescent="0.25">
      <c r="A5890" s="924">
        <f t="shared" si="91"/>
        <v>5890</v>
      </c>
      <c r="B5890" s="924">
        <v>13.5</v>
      </c>
    </row>
    <row r="5891" spans="1:2" x14ac:dyDescent="0.25">
      <c r="A5891" s="924">
        <f t="shared" ref="A5891:A5954" si="92">A5890+1</f>
        <v>5891</v>
      </c>
      <c r="B5891" s="924">
        <v>13.5</v>
      </c>
    </row>
    <row r="5892" spans="1:2" x14ac:dyDescent="0.25">
      <c r="A5892" s="924">
        <f t="shared" si="92"/>
        <v>5892</v>
      </c>
      <c r="B5892" s="924">
        <v>13.5</v>
      </c>
    </row>
    <row r="5893" spans="1:2" x14ac:dyDescent="0.25">
      <c r="A5893" s="924">
        <f t="shared" si="92"/>
        <v>5893</v>
      </c>
      <c r="B5893" s="924">
        <v>13.5</v>
      </c>
    </row>
    <row r="5894" spans="1:2" x14ac:dyDescent="0.25">
      <c r="A5894" s="924">
        <f t="shared" si="92"/>
        <v>5894</v>
      </c>
      <c r="B5894" s="924">
        <v>13.5</v>
      </c>
    </row>
    <row r="5895" spans="1:2" x14ac:dyDescent="0.25">
      <c r="A5895" s="924">
        <f t="shared" si="92"/>
        <v>5895</v>
      </c>
      <c r="B5895" s="924">
        <v>13.5</v>
      </c>
    </row>
    <row r="5896" spans="1:2" x14ac:dyDescent="0.25">
      <c r="A5896" s="924">
        <f t="shared" si="92"/>
        <v>5896</v>
      </c>
      <c r="B5896" s="924">
        <v>13.5</v>
      </c>
    </row>
    <row r="5897" spans="1:2" x14ac:dyDescent="0.25">
      <c r="A5897" s="924">
        <f t="shared" si="92"/>
        <v>5897</v>
      </c>
      <c r="B5897" s="924">
        <v>13.5</v>
      </c>
    </row>
    <row r="5898" spans="1:2" x14ac:dyDescent="0.25">
      <c r="A5898" s="924">
        <f t="shared" si="92"/>
        <v>5898</v>
      </c>
      <c r="B5898" s="924">
        <v>13.5</v>
      </c>
    </row>
    <row r="5899" spans="1:2" x14ac:dyDescent="0.25">
      <c r="A5899" s="924">
        <f t="shared" si="92"/>
        <v>5899</v>
      </c>
      <c r="B5899" s="924">
        <v>13.5</v>
      </c>
    </row>
    <row r="5900" spans="1:2" x14ac:dyDescent="0.25">
      <c r="A5900" s="924">
        <f t="shared" si="92"/>
        <v>5900</v>
      </c>
      <c r="B5900" s="924">
        <v>13.5</v>
      </c>
    </row>
    <row r="5901" spans="1:2" x14ac:dyDescent="0.25">
      <c r="A5901" s="924">
        <f t="shared" si="92"/>
        <v>5901</v>
      </c>
      <c r="B5901" s="924">
        <v>13.5</v>
      </c>
    </row>
    <row r="5902" spans="1:2" x14ac:dyDescent="0.25">
      <c r="A5902" s="924">
        <f t="shared" si="92"/>
        <v>5902</v>
      </c>
      <c r="B5902" s="924">
        <v>13.5</v>
      </c>
    </row>
    <row r="5903" spans="1:2" x14ac:dyDescent="0.25">
      <c r="A5903" s="924">
        <f t="shared" si="92"/>
        <v>5903</v>
      </c>
      <c r="B5903" s="924">
        <v>13.5</v>
      </c>
    </row>
    <row r="5904" spans="1:2" x14ac:dyDescent="0.25">
      <c r="A5904" s="924">
        <f t="shared" si="92"/>
        <v>5904</v>
      </c>
      <c r="B5904" s="924">
        <v>13.5</v>
      </c>
    </row>
    <row r="5905" spans="1:2" x14ac:dyDescent="0.25">
      <c r="A5905" s="924">
        <f t="shared" si="92"/>
        <v>5905</v>
      </c>
      <c r="B5905" s="924">
        <v>13.5</v>
      </c>
    </row>
    <row r="5906" spans="1:2" x14ac:dyDescent="0.25">
      <c r="A5906" s="924">
        <f t="shared" si="92"/>
        <v>5906</v>
      </c>
      <c r="B5906" s="924">
        <v>13.5</v>
      </c>
    </row>
    <row r="5907" spans="1:2" x14ac:dyDescent="0.25">
      <c r="A5907" s="924">
        <f t="shared" si="92"/>
        <v>5907</v>
      </c>
      <c r="B5907" s="924">
        <v>13.5</v>
      </c>
    </row>
    <row r="5908" spans="1:2" x14ac:dyDescent="0.25">
      <c r="A5908" s="924">
        <f t="shared" si="92"/>
        <v>5908</v>
      </c>
      <c r="B5908" s="924">
        <v>13.5</v>
      </c>
    </row>
    <row r="5909" spans="1:2" x14ac:dyDescent="0.25">
      <c r="A5909" s="924">
        <f t="shared" si="92"/>
        <v>5909</v>
      </c>
      <c r="B5909" s="924">
        <v>13.5</v>
      </c>
    </row>
    <row r="5910" spans="1:2" x14ac:dyDescent="0.25">
      <c r="A5910" s="924">
        <f t="shared" si="92"/>
        <v>5910</v>
      </c>
      <c r="B5910" s="924">
        <v>13.5</v>
      </c>
    </row>
    <row r="5911" spans="1:2" x14ac:dyDescent="0.25">
      <c r="A5911" s="924">
        <f t="shared" si="92"/>
        <v>5911</v>
      </c>
      <c r="B5911" s="924">
        <v>13.5</v>
      </c>
    </row>
    <row r="5912" spans="1:2" x14ac:dyDescent="0.25">
      <c r="A5912" s="924">
        <f t="shared" si="92"/>
        <v>5912</v>
      </c>
      <c r="B5912" s="924">
        <v>13.5</v>
      </c>
    </row>
    <row r="5913" spans="1:2" x14ac:dyDescent="0.25">
      <c r="A5913" s="924">
        <f t="shared" si="92"/>
        <v>5913</v>
      </c>
      <c r="B5913" s="924">
        <v>13.5</v>
      </c>
    </row>
    <row r="5914" spans="1:2" x14ac:dyDescent="0.25">
      <c r="A5914" s="924">
        <f t="shared" si="92"/>
        <v>5914</v>
      </c>
      <c r="B5914" s="924">
        <v>13.5</v>
      </c>
    </row>
    <row r="5915" spans="1:2" x14ac:dyDescent="0.25">
      <c r="A5915" s="924">
        <f t="shared" si="92"/>
        <v>5915</v>
      </c>
      <c r="B5915" s="924">
        <v>13.5</v>
      </c>
    </row>
    <row r="5916" spans="1:2" x14ac:dyDescent="0.25">
      <c r="A5916" s="924">
        <f t="shared" si="92"/>
        <v>5916</v>
      </c>
      <c r="B5916" s="924">
        <v>13.5</v>
      </c>
    </row>
    <row r="5917" spans="1:2" x14ac:dyDescent="0.25">
      <c r="A5917" s="924">
        <f t="shared" si="92"/>
        <v>5917</v>
      </c>
      <c r="B5917" s="924">
        <v>13.5</v>
      </c>
    </row>
    <row r="5918" spans="1:2" x14ac:dyDescent="0.25">
      <c r="A5918" s="924">
        <f t="shared" si="92"/>
        <v>5918</v>
      </c>
      <c r="B5918" s="924">
        <v>13.5</v>
      </c>
    </row>
    <row r="5919" spans="1:2" x14ac:dyDescent="0.25">
      <c r="A5919" s="924">
        <f t="shared" si="92"/>
        <v>5919</v>
      </c>
      <c r="B5919" s="924">
        <v>13.5</v>
      </c>
    </row>
    <row r="5920" spans="1:2" x14ac:dyDescent="0.25">
      <c r="A5920" s="924">
        <f t="shared" si="92"/>
        <v>5920</v>
      </c>
      <c r="B5920" s="924">
        <v>13.5</v>
      </c>
    </row>
    <row r="5921" spans="1:2" x14ac:dyDescent="0.25">
      <c r="A5921" s="924">
        <f t="shared" si="92"/>
        <v>5921</v>
      </c>
      <c r="B5921" s="924">
        <v>13.5</v>
      </c>
    </row>
    <row r="5922" spans="1:2" x14ac:dyDescent="0.25">
      <c r="A5922" s="924">
        <f t="shared" si="92"/>
        <v>5922</v>
      </c>
      <c r="B5922" s="924">
        <v>13.5</v>
      </c>
    </row>
    <row r="5923" spans="1:2" x14ac:dyDescent="0.25">
      <c r="A5923" s="924">
        <f t="shared" si="92"/>
        <v>5923</v>
      </c>
      <c r="B5923" s="924">
        <v>13.5</v>
      </c>
    </row>
    <row r="5924" spans="1:2" x14ac:dyDescent="0.25">
      <c r="A5924" s="924">
        <f t="shared" si="92"/>
        <v>5924</v>
      </c>
      <c r="B5924" s="924">
        <v>13.6</v>
      </c>
    </row>
    <row r="5925" spans="1:2" x14ac:dyDescent="0.25">
      <c r="A5925" s="924">
        <f t="shared" si="92"/>
        <v>5925</v>
      </c>
      <c r="B5925" s="924">
        <v>13.6</v>
      </c>
    </row>
    <row r="5926" spans="1:2" x14ac:dyDescent="0.25">
      <c r="A5926" s="924">
        <f t="shared" si="92"/>
        <v>5926</v>
      </c>
      <c r="B5926" s="924">
        <v>13.6</v>
      </c>
    </row>
    <row r="5927" spans="1:2" x14ac:dyDescent="0.25">
      <c r="A5927" s="924">
        <f t="shared" si="92"/>
        <v>5927</v>
      </c>
      <c r="B5927" s="924">
        <v>13.6</v>
      </c>
    </row>
    <row r="5928" spans="1:2" x14ac:dyDescent="0.25">
      <c r="A5928" s="924">
        <f t="shared" si="92"/>
        <v>5928</v>
      </c>
      <c r="B5928" s="924">
        <v>13.6</v>
      </c>
    </row>
    <row r="5929" spans="1:2" x14ac:dyDescent="0.25">
      <c r="A5929" s="924">
        <f t="shared" si="92"/>
        <v>5929</v>
      </c>
      <c r="B5929" s="924">
        <v>13.6</v>
      </c>
    </row>
    <row r="5930" spans="1:2" x14ac:dyDescent="0.25">
      <c r="A5930" s="924">
        <f t="shared" si="92"/>
        <v>5930</v>
      </c>
      <c r="B5930" s="924">
        <v>13.6</v>
      </c>
    </row>
    <row r="5931" spans="1:2" x14ac:dyDescent="0.25">
      <c r="A5931" s="924">
        <f t="shared" si="92"/>
        <v>5931</v>
      </c>
      <c r="B5931" s="924">
        <v>13.6</v>
      </c>
    </row>
    <row r="5932" spans="1:2" x14ac:dyDescent="0.25">
      <c r="A5932" s="924">
        <f t="shared" si="92"/>
        <v>5932</v>
      </c>
      <c r="B5932" s="924">
        <v>13.6</v>
      </c>
    </row>
    <row r="5933" spans="1:2" x14ac:dyDescent="0.25">
      <c r="A5933" s="924">
        <f t="shared" si="92"/>
        <v>5933</v>
      </c>
      <c r="B5933" s="924">
        <v>13.6</v>
      </c>
    </row>
    <row r="5934" spans="1:2" x14ac:dyDescent="0.25">
      <c r="A5934" s="924">
        <f t="shared" si="92"/>
        <v>5934</v>
      </c>
      <c r="B5934" s="924">
        <v>13.6</v>
      </c>
    </row>
    <row r="5935" spans="1:2" x14ac:dyDescent="0.25">
      <c r="A5935" s="924">
        <f t="shared" si="92"/>
        <v>5935</v>
      </c>
      <c r="B5935" s="924">
        <v>13.6</v>
      </c>
    </row>
    <row r="5936" spans="1:2" x14ac:dyDescent="0.25">
      <c r="A5936" s="924">
        <f t="shared" si="92"/>
        <v>5936</v>
      </c>
      <c r="B5936" s="924">
        <v>13.6</v>
      </c>
    </row>
    <row r="5937" spans="1:2" x14ac:dyDescent="0.25">
      <c r="A5937" s="924">
        <f t="shared" si="92"/>
        <v>5937</v>
      </c>
      <c r="B5937" s="924">
        <v>13.6</v>
      </c>
    </row>
    <row r="5938" spans="1:2" x14ac:dyDescent="0.25">
      <c r="A5938" s="924">
        <f t="shared" si="92"/>
        <v>5938</v>
      </c>
      <c r="B5938" s="924">
        <v>13.6</v>
      </c>
    </row>
    <row r="5939" spans="1:2" x14ac:dyDescent="0.25">
      <c r="A5939" s="924">
        <f t="shared" si="92"/>
        <v>5939</v>
      </c>
      <c r="B5939" s="924">
        <v>13.6</v>
      </c>
    </row>
    <row r="5940" spans="1:2" x14ac:dyDescent="0.25">
      <c r="A5940" s="924">
        <f t="shared" si="92"/>
        <v>5940</v>
      </c>
      <c r="B5940" s="924">
        <v>13.6</v>
      </c>
    </row>
    <row r="5941" spans="1:2" x14ac:dyDescent="0.25">
      <c r="A5941" s="924">
        <f t="shared" si="92"/>
        <v>5941</v>
      </c>
      <c r="B5941" s="924">
        <v>13.6</v>
      </c>
    </row>
    <row r="5942" spans="1:2" x14ac:dyDescent="0.25">
      <c r="A5942" s="924">
        <f t="shared" si="92"/>
        <v>5942</v>
      </c>
      <c r="B5942" s="924">
        <v>13.6</v>
      </c>
    </row>
    <row r="5943" spans="1:2" x14ac:dyDescent="0.25">
      <c r="A5943" s="924">
        <f t="shared" si="92"/>
        <v>5943</v>
      </c>
      <c r="B5943" s="924">
        <v>13.6</v>
      </c>
    </row>
    <row r="5944" spans="1:2" x14ac:dyDescent="0.25">
      <c r="A5944" s="924">
        <f t="shared" si="92"/>
        <v>5944</v>
      </c>
      <c r="B5944" s="924">
        <v>13.6</v>
      </c>
    </row>
    <row r="5945" spans="1:2" x14ac:dyDescent="0.25">
      <c r="A5945" s="924">
        <f t="shared" si="92"/>
        <v>5945</v>
      </c>
      <c r="B5945" s="924">
        <v>13.6</v>
      </c>
    </row>
    <row r="5946" spans="1:2" x14ac:dyDescent="0.25">
      <c r="A5946" s="924">
        <f t="shared" si="92"/>
        <v>5946</v>
      </c>
      <c r="B5946" s="924">
        <v>13.6</v>
      </c>
    </row>
    <row r="5947" spans="1:2" x14ac:dyDescent="0.25">
      <c r="A5947" s="924">
        <f t="shared" si="92"/>
        <v>5947</v>
      </c>
      <c r="B5947" s="924">
        <v>13.6</v>
      </c>
    </row>
    <row r="5948" spans="1:2" x14ac:dyDescent="0.25">
      <c r="A5948" s="924">
        <f t="shared" si="92"/>
        <v>5948</v>
      </c>
      <c r="B5948" s="924">
        <v>13.6</v>
      </c>
    </row>
    <row r="5949" spans="1:2" x14ac:dyDescent="0.25">
      <c r="A5949" s="924">
        <f t="shared" si="92"/>
        <v>5949</v>
      </c>
      <c r="B5949" s="924">
        <v>13.6</v>
      </c>
    </row>
    <row r="5950" spans="1:2" x14ac:dyDescent="0.25">
      <c r="A5950" s="924">
        <f t="shared" si="92"/>
        <v>5950</v>
      </c>
      <c r="B5950" s="924">
        <v>13.6</v>
      </c>
    </row>
    <row r="5951" spans="1:2" x14ac:dyDescent="0.25">
      <c r="A5951" s="924">
        <f t="shared" si="92"/>
        <v>5951</v>
      </c>
      <c r="B5951" s="924">
        <v>13.6</v>
      </c>
    </row>
    <row r="5952" spans="1:2" x14ac:dyDescent="0.25">
      <c r="A5952" s="924">
        <f t="shared" si="92"/>
        <v>5952</v>
      </c>
      <c r="B5952" s="924">
        <v>13.6</v>
      </c>
    </row>
    <row r="5953" spans="1:2" x14ac:dyDescent="0.25">
      <c r="A5953" s="924">
        <f t="shared" si="92"/>
        <v>5953</v>
      </c>
      <c r="B5953" s="924">
        <v>13.6</v>
      </c>
    </row>
    <row r="5954" spans="1:2" x14ac:dyDescent="0.25">
      <c r="A5954" s="924">
        <f t="shared" si="92"/>
        <v>5954</v>
      </c>
      <c r="B5954" s="924">
        <v>13.6</v>
      </c>
    </row>
    <row r="5955" spans="1:2" x14ac:dyDescent="0.25">
      <c r="A5955" s="924">
        <f t="shared" ref="A5955:A6018" si="93">A5954+1</f>
        <v>5955</v>
      </c>
      <c r="B5955" s="924">
        <v>13.6</v>
      </c>
    </row>
    <row r="5956" spans="1:2" x14ac:dyDescent="0.25">
      <c r="A5956" s="924">
        <f t="shared" si="93"/>
        <v>5956</v>
      </c>
      <c r="B5956" s="924">
        <v>13.6</v>
      </c>
    </row>
    <row r="5957" spans="1:2" x14ac:dyDescent="0.25">
      <c r="A5957" s="924">
        <f t="shared" si="93"/>
        <v>5957</v>
      </c>
      <c r="B5957" s="924">
        <v>13.6</v>
      </c>
    </row>
    <row r="5958" spans="1:2" x14ac:dyDescent="0.25">
      <c r="A5958" s="924">
        <f t="shared" si="93"/>
        <v>5958</v>
      </c>
      <c r="B5958" s="924">
        <v>13.6</v>
      </c>
    </row>
    <row r="5959" spans="1:2" x14ac:dyDescent="0.25">
      <c r="A5959" s="924">
        <f t="shared" si="93"/>
        <v>5959</v>
      </c>
      <c r="B5959" s="924">
        <v>13.6</v>
      </c>
    </row>
    <row r="5960" spans="1:2" x14ac:dyDescent="0.25">
      <c r="A5960" s="924">
        <f t="shared" si="93"/>
        <v>5960</v>
      </c>
      <c r="B5960" s="924">
        <v>13.6</v>
      </c>
    </row>
    <row r="5961" spans="1:2" x14ac:dyDescent="0.25">
      <c r="A5961" s="924">
        <f t="shared" si="93"/>
        <v>5961</v>
      </c>
      <c r="B5961" s="924">
        <v>13.6</v>
      </c>
    </row>
    <row r="5962" spans="1:2" x14ac:dyDescent="0.25">
      <c r="A5962" s="924">
        <f t="shared" si="93"/>
        <v>5962</v>
      </c>
      <c r="B5962" s="924">
        <v>13.6</v>
      </c>
    </row>
    <row r="5963" spans="1:2" x14ac:dyDescent="0.25">
      <c r="A5963" s="924">
        <f t="shared" si="93"/>
        <v>5963</v>
      </c>
      <c r="B5963" s="924">
        <v>13.6</v>
      </c>
    </row>
    <row r="5964" spans="1:2" x14ac:dyDescent="0.25">
      <c r="A5964" s="924">
        <f t="shared" si="93"/>
        <v>5964</v>
      </c>
      <c r="B5964" s="924">
        <v>13.6</v>
      </c>
    </row>
    <row r="5965" spans="1:2" x14ac:dyDescent="0.25">
      <c r="A5965" s="924">
        <f t="shared" si="93"/>
        <v>5965</v>
      </c>
      <c r="B5965" s="924">
        <v>13.6</v>
      </c>
    </row>
    <row r="5966" spans="1:2" x14ac:dyDescent="0.25">
      <c r="A5966" s="924">
        <f t="shared" si="93"/>
        <v>5966</v>
      </c>
      <c r="B5966" s="924">
        <v>13.6</v>
      </c>
    </row>
    <row r="5967" spans="1:2" x14ac:dyDescent="0.25">
      <c r="A5967" s="924">
        <f t="shared" si="93"/>
        <v>5967</v>
      </c>
      <c r="B5967" s="924">
        <v>13.7</v>
      </c>
    </row>
    <row r="5968" spans="1:2" x14ac:dyDescent="0.25">
      <c r="A5968" s="924">
        <f t="shared" si="93"/>
        <v>5968</v>
      </c>
      <c r="B5968" s="924">
        <v>13.7</v>
      </c>
    </row>
    <row r="5969" spans="1:2" x14ac:dyDescent="0.25">
      <c r="A5969" s="924">
        <f t="shared" si="93"/>
        <v>5969</v>
      </c>
      <c r="B5969" s="924">
        <v>13.7</v>
      </c>
    </row>
    <row r="5970" spans="1:2" x14ac:dyDescent="0.25">
      <c r="A5970" s="924">
        <f t="shared" si="93"/>
        <v>5970</v>
      </c>
      <c r="B5970" s="924">
        <v>13.7</v>
      </c>
    </row>
    <row r="5971" spans="1:2" x14ac:dyDescent="0.25">
      <c r="A5971" s="924">
        <f t="shared" si="93"/>
        <v>5971</v>
      </c>
      <c r="B5971" s="924">
        <v>13.7</v>
      </c>
    </row>
    <row r="5972" spans="1:2" x14ac:dyDescent="0.25">
      <c r="A5972" s="924">
        <f t="shared" si="93"/>
        <v>5972</v>
      </c>
      <c r="B5972" s="924">
        <v>13.7</v>
      </c>
    </row>
    <row r="5973" spans="1:2" x14ac:dyDescent="0.25">
      <c r="A5973" s="924">
        <f t="shared" si="93"/>
        <v>5973</v>
      </c>
      <c r="B5973" s="924">
        <v>13.7</v>
      </c>
    </row>
    <row r="5974" spans="1:2" x14ac:dyDescent="0.25">
      <c r="A5974" s="924">
        <f t="shared" si="93"/>
        <v>5974</v>
      </c>
      <c r="B5974" s="924">
        <v>13.7</v>
      </c>
    </row>
    <row r="5975" spans="1:2" x14ac:dyDescent="0.25">
      <c r="A5975" s="924">
        <f t="shared" si="93"/>
        <v>5975</v>
      </c>
      <c r="B5975" s="924">
        <v>13.7</v>
      </c>
    </row>
    <row r="5976" spans="1:2" x14ac:dyDescent="0.25">
      <c r="A5976" s="924">
        <f t="shared" si="93"/>
        <v>5976</v>
      </c>
      <c r="B5976" s="924">
        <v>13.7</v>
      </c>
    </row>
    <row r="5977" spans="1:2" x14ac:dyDescent="0.25">
      <c r="A5977" s="924">
        <f t="shared" si="93"/>
        <v>5977</v>
      </c>
      <c r="B5977" s="924">
        <v>13.7</v>
      </c>
    </row>
    <row r="5978" spans="1:2" x14ac:dyDescent="0.25">
      <c r="A5978" s="924">
        <f t="shared" si="93"/>
        <v>5978</v>
      </c>
      <c r="B5978" s="924">
        <v>13.7</v>
      </c>
    </row>
    <row r="5979" spans="1:2" x14ac:dyDescent="0.25">
      <c r="A5979" s="924">
        <f t="shared" si="93"/>
        <v>5979</v>
      </c>
      <c r="B5979" s="924">
        <v>13.7</v>
      </c>
    </row>
    <row r="5980" spans="1:2" x14ac:dyDescent="0.25">
      <c r="A5980" s="924">
        <f t="shared" si="93"/>
        <v>5980</v>
      </c>
      <c r="B5980" s="924">
        <v>13.7</v>
      </c>
    </row>
    <row r="5981" spans="1:2" x14ac:dyDescent="0.25">
      <c r="A5981" s="924">
        <f t="shared" si="93"/>
        <v>5981</v>
      </c>
      <c r="B5981" s="924">
        <v>13.7</v>
      </c>
    </row>
    <row r="5982" spans="1:2" x14ac:dyDescent="0.25">
      <c r="A5982" s="924">
        <f t="shared" si="93"/>
        <v>5982</v>
      </c>
      <c r="B5982" s="924">
        <v>13.7</v>
      </c>
    </row>
    <row r="5983" spans="1:2" x14ac:dyDescent="0.25">
      <c r="A5983" s="924">
        <f t="shared" si="93"/>
        <v>5983</v>
      </c>
      <c r="B5983" s="924">
        <v>13.7</v>
      </c>
    </row>
    <row r="5984" spans="1:2" x14ac:dyDescent="0.25">
      <c r="A5984" s="924">
        <f t="shared" si="93"/>
        <v>5984</v>
      </c>
      <c r="B5984" s="924">
        <v>13.7</v>
      </c>
    </row>
    <row r="5985" spans="1:2" x14ac:dyDescent="0.25">
      <c r="A5985" s="924">
        <f t="shared" si="93"/>
        <v>5985</v>
      </c>
      <c r="B5985" s="924">
        <v>13.7</v>
      </c>
    </row>
    <row r="5986" spans="1:2" x14ac:dyDescent="0.25">
      <c r="A5986" s="924">
        <f t="shared" si="93"/>
        <v>5986</v>
      </c>
      <c r="B5986" s="924">
        <v>13.7</v>
      </c>
    </row>
    <row r="5987" spans="1:2" x14ac:dyDescent="0.25">
      <c r="A5987" s="924">
        <f t="shared" si="93"/>
        <v>5987</v>
      </c>
      <c r="B5987" s="924">
        <v>13.7</v>
      </c>
    </row>
    <row r="5988" spans="1:2" x14ac:dyDescent="0.25">
      <c r="A5988" s="924">
        <f t="shared" si="93"/>
        <v>5988</v>
      </c>
      <c r="B5988" s="924">
        <v>13.7</v>
      </c>
    </row>
    <row r="5989" spans="1:2" x14ac:dyDescent="0.25">
      <c r="A5989" s="924">
        <f t="shared" si="93"/>
        <v>5989</v>
      </c>
      <c r="B5989" s="924">
        <v>13.7</v>
      </c>
    </row>
    <row r="5990" spans="1:2" x14ac:dyDescent="0.25">
      <c r="A5990" s="924">
        <f t="shared" si="93"/>
        <v>5990</v>
      </c>
      <c r="B5990" s="924">
        <v>13.7</v>
      </c>
    </row>
    <row r="5991" spans="1:2" x14ac:dyDescent="0.25">
      <c r="A5991" s="924">
        <f t="shared" si="93"/>
        <v>5991</v>
      </c>
      <c r="B5991" s="924">
        <v>13.7</v>
      </c>
    </row>
    <row r="5992" spans="1:2" x14ac:dyDescent="0.25">
      <c r="A5992" s="924">
        <f t="shared" si="93"/>
        <v>5992</v>
      </c>
      <c r="B5992" s="924">
        <v>13.7</v>
      </c>
    </row>
    <row r="5993" spans="1:2" x14ac:dyDescent="0.25">
      <c r="A5993" s="924">
        <f t="shared" si="93"/>
        <v>5993</v>
      </c>
      <c r="B5993" s="924">
        <v>13.7</v>
      </c>
    </row>
    <row r="5994" spans="1:2" x14ac:dyDescent="0.25">
      <c r="A5994" s="924">
        <f t="shared" si="93"/>
        <v>5994</v>
      </c>
      <c r="B5994" s="924">
        <v>13.7</v>
      </c>
    </row>
    <row r="5995" spans="1:2" x14ac:dyDescent="0.25">
      <c r="A5995" s="924">
        <f t="shared" si="93"/>
        <v>5995</v>
      </c>
      <c r="B5995" s="924">
        <v>13.7</v>
      </c>
    </row>
    <row r="5996" spans="1:2" x14ac:dyDescent="0.25">
      <c r="A5996" s="924">
        <f t="shared" si="93"/>
        <v>5996</v>
      </c>
      <c r="B5996" s="924">
        <v>13.7</v>
      </c>
    </row>
    <row r="5997" spans="1:2" x14ac:dyDescent="0.25">
      <c r="A5997" s="924">
        <f t="shared" si="93"/>
        <v>5997</v>
      </c>
      <c r="B5997" s="924">
        <v>13.7</v>
      </c>
    </row>
    <row r="5998" spans="1:2" x14ac:dyDescent="0.25">
      <c r="A5998" s="924">
        <f t="shared" si="93"/>
        <v>5998</v>
      </c>
      <c r="B5998" s="924">
        <v>13.7</v>
      </c>
    </row>
    <row r="5999" spans="1:2" x14ac:dyDescent="0.25">
      <c r="A5999" s="924">
        <f t="shared" si="93"/>
        <v>5999</v>
      </c>
      <c r="B5999" s="924">
        <v>13.7</v>
      </c>
    </row>
    <row r="6000" spans="1:2" x14ac:dyDescent="0.25">
      <c r="A6000" s="924">
        <f t="shared" si="93"/>
        <v>6000</v>
      </c>
      <c r="B6000" s="924">
        <v>13.7</v>
      </c>
    </row>
    <row r="6001" spans="1:2" x14ac:dyDescent="0.25">
      <c r="A6001" s="924">
        <f t="shared" si="93"/>
        <v>6001</v>
      </c>
      <c r="B6001" s="924">
        <v>13.7</v>
      </c>
    </row>
    <row r="6002" spans="1:2" x14ac:dyDescent="0.25">
      <c r="A6002" s="924">
        <f t="shared" si="93"/>
        <v>6002</v>
      </c>
      <c r="B6002" s="924">
        <v>13.7</v>
      </c>
    </row>
    <row r="6003" spans="1:2" x14ac:dyDescent="0.25">
      <c r="A6003" s="924">
        <f t="shared" si="93"/>
        <v>6003</v>
      </c>
      <c r="B6003" s="924">
        <v>13.7</v>
      </c>
    </row>
    <row r="6004" spans="1:2" x14ac:dyDescent="0.25">
      <c r="A6004" s="924">
        <f t="shared" si="93"/>
        <v>6004</v>
      </c>
      <c r="B6004" s="924">
        <v>13.7</v>
      </c>
    </row>
    <row r="6005" spans="1:2" x14ac:dyDescent="0.25">
      <c r="A6005" s="924">
        <f t="shared" si="93"/>
        <v>6005</v>
      </c>
      <c r="B6005" s="924">
        <v>13.7</v>
      </c>
    </row>
    <row r="6006" spans="1:2" x14ac:dyDescent="0.25">
      <c r="A6006" s="924">
        <f t="shared" si="93"/>
        <v>6006</v>
      </c>
      <c r="B6006" s="924">
        <v>13.7</v>
      </c>
    </row>
    <row r="6007" spans="1:2" x14ac:dyDescent="0.25">
      <c r="A6007" s="924">
        <f t="shared" si="93"/>
        <v>6007</v>
      </c>
      <c r="B6007" s="924">
        <v>13.7</v>
      </c>
    </row>
    <row r="6008" spans="1:2" x14ac:dyDescent="0.25">
      <c r="A6008" s="924">
        <f t="shared" si="93"/>
        <v>6008</v>
      </c>
      <c r="B6008" s="924">
        <v>13.7</v>
      </c>
    </row>
    <row r="6009" spans="1:2" x14ac:dyDescent="0.25">
      <c r="A6009" s="924">
        <f t="shared" si="93"/>
        <v>6009</v>
      </c>
      <c r="B6009" s="924">
        <v>13.7</v>
      </c>
    </row>
    <row r="6010" spans="1:2" x14ac:dyDescent="0.25">
      <c r="A6010" s="924">
        <f t="shared" si="93"/>
        <v>6010</v>
      </c>
      <c r="B6010" s="924">
        <v>13.7</v>
      </c>
    </row>
    <row r="6011" spans="1:2" x14ac:dyDescent="0.25">
      <c r="A6011" s="924">
        <f t="shared" si="93"/>
        <v>6011</v>
      </c>
      <c r="B6011" s="924">
        <v>13.7</v>
      </c>
    </row>
    <row r="6012" spans="1:2" x14ac:dyDescent="0.25">
      <c r="A6012" s="924">
        <f t="shared" si="93"/>
        <v>6012</v>
      </c>
      <c r="B6012" s="924">
        <v>13.7</v>
      </c>
    </row>
    <row r="6013" spans="1:2" x14ac:dyDescent="0.25">
      <c r="A6013" s="924">
        <f t="shared" si="93"/>
        <v>6013</v>
      </c>
      <c r="B6013" s="924">
        <v>13.7</v>
      </c>
    </row>
    <row r="6014" spans="1:2" x14ac:dyDescent="0.25">
      <c r="A6014" s="924">
        <f t="shared" si="93"/>
        <v>6014</v>
      </c>
      <c r="B6014" s="924">
        <v>13.7</v>
      </c>
    </row>
    <row r="6015" spans="1:2" x14ac:dyDescent="0.25">
      <c r="A6015" s="924">
        <f t="shared" si="93"/>
        <v>6015</v>
      </c>
      <c r="B6015" s="924">
        <v>13.7</v>
      </c>
    </row>
    <row r="6016" spans="1:2" x14ac:dyDescent="0.25">
      <c r="A6016" s="924">
        <f t="shared" si="93"/>
        <v>6016</v>
      </c>
      <c r="B6016" s="924">
        <v>13.7</v>
      </c>
    </row>
    <row r="6017" spans="1:2" x14ac:dyDescent="0.25">
      <c r="A6017" s="924">
        <f t="shared" si="93"/>
        <v>6017</v>
      </c>
      <c r="B6017" s="924">
        <v>13.7</v>
      </c>
    </row>
    <row r="6018" spans="1:2" x14ac:dyDescent="0.25">
      <c r="A6018" s="924">
        <f t="shared" si="93"/>
        <v>6018</v>
      </c>
      <c r="B6018" s="924">
        <v>13.7</v>
      </c>
    </row>
    <row r="6019" spans="1:2" x14ac:dyDescent="0.25">
      <c r="A6019" s="924">
        <f t="shared" ref="A6019:A6082" si="94">A6018+1</f>
        <v>6019</v>
      </c>
      <c r="B6019" s="924">
        <v>13.7</v>
      </c>
    </row>
    <row r="6020" spans="1:2" x14ac:dyDescent="0.25">
      <c r="A6020" s="924">
        <f t="shared" si="94"/>
        <v>6020</v>
      </c>
      <c r="B6020" s="924">
        <v>13.7</v>
      </c>
    </row>
    <row r="6021" spans="1:2" x14ac:dyDescent="0.25">
      <c r="A6021" s="924">
        <f t="shared" si="94"/>
        <v>6021</v>
      </c>
      <c r="B6021" s="924">
        <v>13.7</v>
      </c>
    </row>
    <row r="6022" spans="1:2" x14ac:dyDescent="0.25">
      <c r="A6022" s="924">
        <f t="shared" si="94"/>
        <v>6022</v>
      </c>
      <c r="B6022" s="924">
        <v>13.7</v>
      </c>
    </row>
    <row r="6023" spans="1:2" x14ac:dyDescent="0.25">
      <c r="A6023" s="924">
        <f t="shared" si="94"/>
        <v>6023</v>
      </c>
      <c r="B6023" s="924">
        <v>13.7</v>
      </c>
    </row>
    <row r="6024" spans="1:2" x14ac:dyDescent="0.25">
      <c r="A6024" s="924">
        <f t="shared" si="94"/>
        <v>6024</v>
      </c>
      <c r="B6024" s="924">
        <v>13.7</v>
      </c>
    </row>
    <row r="6025" spans="1:2" x14ac:dyDescent="0.25">
      <c r="A6025" s="924">
        <f t="shared" si="94"/>
        <v>6025</v>
      </c>
      <c r="B6025" s="924">
        <v>13.7</v>
      </c>
    </row>
    <row r="6026" spans="1:2" x14ac:dyDescent="0.25">
      <c r="A6026" s="924">
        <f t="shared" si="94"/>
        <v>6026</v>
      </c>
      <c r="B6026" s="924">
        <v>13.7</v>
      </c>
    </row>
    <row r="6027" spans="1:2" x14ac:dyDescent="0.25">
      <c r="A6027" s="924">
        <f t="shared" si="94"/>
        <v>6027</v>
      </c>
      <c r="B6027" s="924">
        <v>13.7</v>
      </c>
    </row>
    <row r="6028" spans="1:2" x14ac:dyDescent="0.25">
      <c r="A6028" s="924">
        <f t="shared" si="94"/>
        <v>6028</v>
      </c>
      <c r="B6028" s="924">
        <v>13.7</v>
      </c>
    </row>
    <row r="6029" spans="1:2" x14ac:dyDescent="0.25">
      <c r="A6029" s="924">
        <f t="shared" si="94"/>
        <v>6029</v>
      </c>
      <c r="B6029" s="924">
        <v>13.7</v>
      </c>
    </row>
    <row r="6030" spans="1:2" x14ac:dyDescent="0.25">
      <c r="A6030" s="924">
        <f t="shared" si="94"/>
        <v>6030</v>
      </c>
      <c r="B6030" s="924">
        <v>13.7</v>
      </c>
    </row>
    <row r="6031" spans="1:2" x14ac:dyDescent="0.25">
      <c r="A6031" s="924">
        <f t="shared" si="94"/>
        <v>6031</v>
      </c>
      <c r="B6031" s="924">
        <v>13.7</v>
      </c>
    </row>
    <row r="6032" spans="1:2" x14ac:dyDescent="0.25">
      <c r="A6032" s="924">
        <f t="shared" si="94"/>
        <v>6032</v>
      </c>
      <c r="B6032" s="924">
        <v>13.8</v>
      </c>
    </row>
    <row r="6033" spans="1:2" x14ac:dyDescent="0.25">
      <c r="A6033" s="924">
        <f t="shared" si="94"/>
        <v>6033</v>
      </c>
      <c r="B6033" s="924">
        <v>13.8</v>
      </c>
    </row>
    <row r="6034" spans="1:2" x14ac:dyDescent="0.25">
      <c r="A6034" s="924">
        <f t="shared" si="94"/>
        <v>6034</v>
      </c>
      <c r="B6034" s="924">
        <v>13.8</v>
      </c>
    </row>
    <row r="6035" spans="1:2" x14ac:dyDescent="0.25">
      <c r="A6035" s="924">
        <f t="shared" si="94"/>
        <v>6035</v>
      </c>
      <c r="B6035" s="924">
        <v>13.8</v>
      </c>
    </row>
    <row r="6036" spans="1:2" x14ac:dyDescent="0.25">
      <c r="A6036" s="924">
        <f t="shared" si="94"/>
        <v>6036</v>
      </c>
      <c r="B6036" s="924">
        <v>13.8</v>
      </c>
    </row>
    <row r="6037" spans="1:2" x14ac:dyDescent="0.25">
      <c r="A6037" s="924">
        <f t="shared" si="94"/>
        <v>6037</v>
      </c>
      <c r="B6037" s="924">
        <v>13.8</v>
      </c>
    </row>
    <row r="6038" spans="1:2" x14ac:dyDescent="0.25">
      <c r="A6038" s="924">
        <f t="shared" si="94"/>
        <v>6038</v>
      </c>
      <c r="B6038" s="924">
        <v>13.8</v>
      </c>
    </row>
    <row r="6039" spans="1:2" x14ac:dyDescent="0.25">
      <c r="A6039" s="924">
        <f t="shared" si="94"/>
        <v>6039</v>
      </c>
      <c r="B6039" s="924">
        <v>13.8</v>
      </c>
    </row>
    <row r="6040" spans="1:2" x14ac:dyDescent="0.25">
      <c r="A6040" s="924">
        <f t="shared" si="94"/>
        <v>6040</v>
      </c>
      <c r="B6040" s="924">
        <v>13.8</v>
      </c>
    </row>
    <row r="6041" spans="1:2" x14ac:dyDescent="0.25">
      <c r="A6041" s="924">
        <f t="shared" si="94"/>
        <v>6041</v>
      </c>
      <c r="B6041" s="924">
        <v>13.8</v>
      </c>
    </row>
    <row r="6042" spans="1:2" x14ac:dyDescent="0.25">
      <c r="A6042" s="924">
        <f t="shared" si="94"/>
        <v>6042</v>
      </c>
      <c r="B6042" s="924">
        <v>13.8</v>
      </c>
    </row>
    <row r="6043" spans="1:2" x14ac:dyDescent="0.25">
      <c r="A6043" s="924">
        <f t="shared" si="94"/>
        <v>6043</v>
      </c>
      <c r="B6043" s="924">
        <v>13.8</v>
      </c>
    </row>
    <row r="6044" spans="1:2" x14ac:dyDescent="0.25">
      <c r="A6044" s="924">
        <f t="shared" si="94"/>
        <v>6044</v>
      </c>
      <c r="B6044" s="924">
        <v>13.8</v>
      </c>
    </row>
    <row r="6045" spans="1:2" x14ac:dyDescent="0.25">
      <c r="A6045" s="924">
        <f t="shared" si="94"/>
        <v>6045</v>
      </c>
      <c r="B6045" s="924">
        <v>13.8</v>
      </c>
    </row>
    <row r="6046" spans="1:2" x14ac:dyDescent="0.25">
      <c r="A6046" s="924">
        <f t="shared" si="94"/>
        <v>6046</v>
      </c>
      <c r="B6046" s="924">
        <v>13.8</v>
      </c>
    </row>
    <row r="6047" spans="1:2" x14ac:dyDescent="0.25">
      <c r="A6047" s="924">
        <f t="shared" si="94"/>
        <v>6047</v>
      </c>
      <c r="B6047" s="924">
        <v>13.8</v>
      </c>
    </row>
    <row r="6048" spans="1:2" x14ac:dyDescent="0.25">
      <c r="A6048" s="924">
        <f t="shared" si="94"/>
        <v>6048</v>
      </c>
      <c r="B6048" s="924">
        <v>13.8</v>
      </c>
    </row>
    <row r="6049" spans="1:2" x14ac:dyDescent="0.25">
      <c r="A6049" s="924">
        <f t="shared" si="94"/>
        <v>6049</v>
      </c>
      <c r="B6049" s="924">
        <v>13.8</v>
      </c>
    </row>
    <row r="6050" spans="1:2" x14ac:dyDescent="0.25">
      <c r="A6050" s="924">
        <f t="shared" si="94"/>
        <v>6050</v>
      </c>
      <c r="B6050" s="924">
        <v>13.8</v>
      </c>
    </row>
    <row r="6051" spans="1:2" x14ac:dyDescent="0.25">
      <c r="A6051" s="924">
        <f t="shared" si="94"/>
        <v>6051</v>
      </c>
      <c r="B6051" s="924">
        <v>13.8</v>
      </c>
    </row>
    <row r="6052" spans="1:2" x14ac:dyDescent="0.25">
      <c r="A6052" s="924">
        <f t="shared" si="94"/>
        <v>6052</v>
      </c>
      <c r="B6052" s="924">
        <v>13.8</v>
      </c>
    </row>
    <row r="6053" spans="1:2" x14ac:dyDescent="0.25">
      <c r="A6053" s="924">
        <f t="shared" si="94"/>
        <v>6053</v>
      </c>
      <c r="B6053" s="924">
        <v>13.8</v>
      </c>
    </row>
    <row r="6054" spans="1:2" x14ac:dyDescent="0.25">
      <c r="A6054" s="924">
        <f t="shared" si="94"/>
        <v>6054</v>
      </c>
      <c r="B6054" s="924">
        <v>13.8</v>
      </c>
    </row>
    <row r="6055" spans="1:2" x14ac:dyDescent="0.25">
      <c r="A6055" s="924">
        <f t="shared" si="94"/>
        <v>6055</v>
      </c>
      <c r="B6055" s="924">
        <v>13.8</v>
      </c>
    </row>
    <row r="6056" spans="1:2" x14ac:dyDescent="0.25">
      <c r="A6056" s="924">
        <f t="shared" si="94"/>
        <v>6056</v>
      </c>
      <c r="B6056" s="924">
        <v>13.8</v>
      </c>
    </row>
    <row r="6057" spans="1:2" x14ac:dyDescent="0.25">
      <c r="A6057" s="924">
        <f t="shared" si="94"/>
        <v>6057</v>
      </c>
      <c r="B6057" s="924">
        <v>13.8</v>
      </c>
    </row>
    <row r="6058" spans="1:2" x14ac:dyDescent="0.25">
      <c r="A6058" s="924">
        <f t="shared" si="94"/>
        <v>6058</v>
      </c>
      <c r="B6058" s="924">
        <v>13.8</v>
      </c>
    </row>
    <row r="6059" spans="1:2" x14ac:dyDescent="0.25">
      <c r="A6059" s="924">
        <f t="shared" si="94"/>
        <v>6059</v>
      </c>
      <c r="B6059" s="924">
        <v>13.8</v>
      </c>
    </row>
    <row r="6060" spans="1:2" x14ac:dyDescent="0.25">
      <c r="A6060" s="924">
        <f t="shared" si="94"/>
        <v>6060</v>
      </c>
      <c r="B6060" s="924">
        <v>13.8</v>
      </c>
    </row>
    <row r="6061" spans="1:2" x14ac:dyDescent="0.25">
      <c r="A6061" s="924">
        <f t="shared" si="94"/>
        <v>6061</v>
      </c>
      <c r="B6061" s="924">
        <v>13.8</v>
      </c>
    </row>
    <row r="6062" spans="1:2" x14ac:dyDescent="0.25">
      <c r="A6062" s="924">
        <f t="shared" si="94"/>
        <v>6062</v>
      </c>
      <c r="B6062" s="924">
        <v>13.8</v>
      </c>
    </row>
    <row r="6063" spans="1:2" x14ac:dyDescent="0.25">
      <c r="A6063" s="924">
        <f t="shared" si="94"/>
        <v>6063</v>
      </c>
      <c r="B6063" s="924">
        <v>13.8</v>
      </c>
    </row>
    <row r="6064" spans="1:2" x14ac:dyDescent="0.25">
      <c r="A6064" s="924">
        <f t="shared" si="94"/>
        <v>6064</v>
      </c>
      <c r="B6064" s="924">
        <v>13.8</v>
      </c>
    </row>
    <row r="6065" spans="1:2" x14ac:dyDescent="0.25">
      <c r="A6065" s="924">
        <f t="shared" si="94"/>
        <v>6065</v>
      </c>
      <c r="B6065" s="924">
        <v>13.8</v>
      </c>
    </row>
    <row r="6066" spans="1:2" x14ac:dyDescent="0.25">
      <c r="A6066" s="924">
        <f t="shared" si="94"/>
        <v>6066</v>
      </c>
      <c r="B6066" s="924">
        <v>13.8</v>
      </c>
    </row>
    <row r="6067" spans="1:2" x14ac:dyDescent="0.25">
      <c r="A6067" s="924">
        <f t="shared" si="94"/>
        <v>6067</v>
      </c>
      <c r="B6067" s="924">
        <v>13.8</v>
      </c>
    </row>
    <row r="6068" spans="1:2" x14ac:dyDescent="0.25">
      <c r="A6068" s="924">
        <f t="shared" si="94"/>
        <v>6068</v>
      </c>
      <c r="B6068" s="924">
        <v>13.8</v>
      </c>
    </row>
    <row r="6069" spans="1:2" x14ac:dyDescent="0.25">
      <c r="A6069" s="924">
        <f t="shared" si="94"/>
        <v>6069</v>
      </c>
      <c r="B6069" s="924">
        <v>13.8</v>
      </c>
    </row>
    <row r="6070" spans="1:2" x14ac:dyDescent="0.25">
      <c r="A6070" s="924">
        <f t="shared" si="94"/>
        <v>6070</v>
      </c>
      <c r="B6070" s="924">
        <v>13.8</v>
      </c>
    </row>
    <row r="6071" spans="1:2" x14ac:dyDescent="0.25">
      <c r="A6071" s="924">
        <f t="shared" si="94"/>
        <v>6071</v>
      </c>
      <c r="B6071" s="924">
        <v>13.8</v>
      </c>
    </row>
    <row r="6072" spans="1:2" x14ac:dyDescent="0.25">
      <c r="A6072" s="924">
        <f t="shared" si="94"/>
        <v>6072</v>
      </c>
      <c r="B6072" s="924">
        <v>13.8</v>
      </c>
    </row>
    <row r="6073" spans="1:2" x14ac:dyDescent="0.25">
      <c r="A6073" s="924">
        <f t="shared" si="94"/>
        <v>6073</v>
      </c>
      <c r="B6073" s="924">
        <v>13.8</v>
      </c>
    </row>
    <row r="6074" spans="1:2" x14ac:dyDescent="0.25">
      <c r="A6074" s="924">
        <f t="shared" si="94"/>
        <v>6074</v>
      </c>
      <c r="B6074" s="924">
        <v>13.8</v>
      </c>
    </row>
    <row r="6075" spans="1:2" x14ac:dyDescent="0.25">
      <c r="A6075" s="924">
        <f t="shared" si="94"/>
        <v>6075</v>
      </c>
      <c r="B6075" s="924">
        <v>13.8</v>
      </c>
    </row>
    <row r="6076" spans="1:2" x14ac:dyDescent="0.25">
      <c r="A6076" s="924">
        <f t="shared" si="94"/>
        <v>6076</v>
      </c>
      <c r="B6076" s="924">
        <v>13.8</v>
      </c>
    </row>
    <row r="6077" spans="1:2" x14ac:dyDescent="0.25">
      <c r="A6077" s="924">
        <f t="shared" si="94"/>
        <v>6077</v>
      </c>
      <c r="B6077" s="924">
        <v>13.8</v>
      </c>
    </row>
    <row r="6078" spans="1:2" x14ac:dyDescent="0.25">
      <c r="A6078" s="924">
        <f t="shared" si="94"/>
        <v>6078</v>
      </c>
      <c r="B6078" s="924">
        <v>13.8</v>
      </c>
    </row>
    <row r="6079" spans="1:2" x14ac:dyDescent="0.25">
      <c r="A6079" s="924">
        <f t="shared" si="94"/>
        <v>6079</v>
      </c>
      <c r="B6079" s="924">
        <v>13.8</v>
      </c>
    </row>
    <row r="6080" spans="1:2" x14ac:dyDescent="0.25">
      <c r="A6080" s="924">
        <f t="shared" si="94"/>
        <v>6080</v>
      </c>
      <c r="B6080" s="924">
        <v>13.8</v>
      </c>
    </row>
    <row r="6081" spans="1:2" x14ac:dyDescent="0.25">
      <c r="A6081" s="924">
        <f t="shared" si="94"/>
        <v>6081</v>
      </c>
      <c r="B6081" s="924">
        <v>13.8</v>
      </c>
    </row>
    <row r="6082" spans="1:2" x14ac:dyDescent="0.25">
      <c r="A6082" s="924">
        <f t="shared" si="94"/>
        <v>6082</v>
      </c>
      <c r="B6082" s="924">
        <v>13.8</v>
      </c>
    </row>
    <row r="6083" spans="1:2" x14ac:dyDescent="0.25">
      <c r="A6083" s="924">
        <f t="shared" ref="A6083:A6146" si="95">A6082+1</f>
        <v>6083</v>
      </c>
      <c r="B6083" s="924">
        <v>13.8</v>
      </c>
    </row>
    <row r="6084" spans="1:2" x14ac:dyDescent="0.25">
      <c r="A6084" s="924">
        <f t="shared" si="95"/>
        <v>6084</v>
      </c>
      <c r="B6084" s="924">
        <v>13.8</v>
      </c>
    </row>
    <row r="6085" spans="1:2" x14ac:dyDescent="0.25">
      <c r="A6085" s="924">
        <f t="shared" si="95"/>
        <v>6085</v>
      </c>
      <c r="B6085" s="924">
        <v>13.8</v>
      </c>
    </row>
    <row r="6086" spans="1:2" x14ac:dyDescent="0.25">
      <c r="A6086" s="924">
        <f t="shared" si="95"/>
        <v>6086</v>
      </c>
      <c r="B6086" s="924">
        <v>13.8</v>
      </c>
    </row>
    <row r="6087" spans="1:2" x14ac:dyDescent="0.25">
      <c r="A6087" s="924">
        <f t="shared" si="95"/>
        <v>6087</v>
      </c>
      <c r="B6087" s="924">
        <v>13.8</v>
      </c>
    </row>
    <row r="6088" spans="1:2" x14ac:dyDescent="0.25">
      <c r="A6088" s="924">
        <f t="shared" si="95"/>
        <v>6088</v>
      </c>
      <c r="B6088" s="924">
        <v>13.8</v>
      </c>
    </row>
    <row r="6089" spans="1:2" x14ac:dyDescent="0.25">
      <c r="A6089" s="924">
        <f t="shared" si="95"/>
        <v>6089</v>
      </c>
      <c r="B6089" s="924">
        <v>13.8</v>
      </c>
    </row>
    <row r="6090" spans="1:2" x14ac:dyDescent="0.25">
      <c r="A6090" s="924">
        <f t="shared" si="95"/>
        <v>6090</v>
      </c>
      <c r="B6090" s="924">
        <v>13.8</v>
      </c>
    </row>
    <row r="6091" spans="1:2" x14ac:dyDescent="0.25">
      <c r="A6091" s="924">
        <f t="shared" si="95"/>
        <v>6091</v>
      </c>
      <c r="B6091" s="924">
        <v>13.8</v>
      </c>
    </row>
    <row r="6092" spans="1:2" x14ac:dyDescent="0.25">
      <c r="A6092" s="924">
        <f t="shared" si="95"/>
        <v>6092</v>
      </c>
      <c r="B6092" s="924">
        <v>13.9</v>
      </c>
    </row>
    <row r="6093" spans="1:2" x14ac:dyDescent="0.25">
      <c r="A6093" s="924">
        <f t="shared" si="95"/>
        <v>6093</v>
      </c>
      <c r="B6093" s="924">
        <v>13.9</v>
      </c>
    </row>
    <row r="6094" spans="1:2" x14ac:dyDescent="0.25">
      <c r="A6094" s="924">
        <f t="shared" si="95"/>
        <v>6094</v>
      </c>
      <c r="B6094" s="924">
        <v>13.9</v>
      </c>
    </row>
    <row r="6095" spans="1:2" x14ac:dyDescent="0.25">
      <c r="A6095" s="924">
        <f t="shared" si="95"/>
        <v>6095</v>
      </c>
      <c r="B6095" s="924">
        <v>13.9</v>
      </c>
    </row>
    <row r="6096" spans="1:2" x14ac:dyDescent="0.25">
      <c r="A6096" s="924">
        <f t="shared" si="95"/>
        <v>6096</v>
      </c>
      <c r="B6096" s="924">
        <v>13.9</v>
      </c>
    </row>
    <row r="6097" spans="1:2" x14ac:dyDescent="0.25">
      <c r="A6097" s="924">
        <f t="shared" si="95"/>
        <v>6097</v>
      </c>
      <c r="B6097" s="924">
        <v>13.9</v>
      </c>
    </row>
    <row r="6098" spans="1:2" x14ac:dyDescent="0.25">
      <c r="A6098" s="924">
        <f t="shared" si="95"/>
        <v>6098</v>
      </c>
      <c r="B6098" s="924">
        <v>13.9</v>
      </c>
    </row>
    <row r="6099" spans="1:2" x14ac:dyDescent="0.25">
      <c r="A6099" s="924">
        <f t="shared" si="95"/>
        <v>6099</v>
      </c>
      <c r="B6099" s="924">
        <v>13.9</v>
      </c>
    </row>
    <row r="6100" spans="1:2" x14ac:dyDescent="0.25">
      <c r="A6100" s="924">
        <f t="shared" si="95"/>
        <v>6100</v>
      </c>
      <c r="B6100" s="924">
        <v>13.9</v>
      </c>
    </row>
    <row r="6101" spans="1:2" x14ac:dyDescent="0.25">
      <c r="A6101" s="924">
        <f t="shared" si="95"/>
        <v>6101</v>
      </c>
      <c r="B6101" s="924">
        <v>13.9</v>
      </c>
    </row>
    <row r="6102" spans="1:2" x14ac:dyDescent="0.25">
      <c r="A6102" s="924">
        <f t="shared" si="95"/>
        <v>6102</v>
      </c>
      <c r="B6102" s="924">
        <v>13.9</v>
      </c>
    </row>
    <row r="6103" spans="1:2" x14ac:dyDescent="0.25">
      <c r="A6103" s="924">
        <f t="shared" si="95"/>
        <v>6103</v>
      </c>
      <c r="B6103" s="924">
        <v>13.9</v>
      </c>
    </row>
    <row r="6104" spans="1:2" x14ac:dyDescent="0.25">
      <c r="A6104" s="924">
        <f t="shared" si="95"/>
        <v>6104</v>
      </c>
      <c r="B6104" s="924">
        <v>13.9</v>
      </c>
    </row>
    <row r="6105" spans="1:2" x14ac:dyDescent="0.25">
      <c r="A6105" s="924">
        <f t="shared" si="95"/>
        <v>6105</v>
      </c>
      <c r="B6105" s="924">
        <v>13.9</v>
      </c>
    </row>
    <row r="6106" spans="1:2" x14ac:dyDescent="0.25">
      <c r="A6106" s="924">
        <f t="shared" si="95"/>
        <v>6106</v>
      </c>
      <c r="B6106" s="924">
        <v>13.9</v>
      </c>
    </row>
    <row r="6107" spans="1:2" x14ac:dyDescent="0.25">
      <c r="A6107" s="924">
        <f t="shared" si="95"/>
        <v>6107</v>
      </c>
      <c r="B6107" s="924">
        <v>13.9</v>
      </c>
    </row>
    <row r="6108" spans="1:2" x14ac:dyDescent="0.25">
      <c r="A6108" s="924">
        <f t="shared" si="95"/>
        <v>6108</v>
      </c>
      <c r="B6108" s="924">
        <v>13.9</v>
      </c>
    </row>
    <row r="6109" spans="1:2" x14ac:dyDescent="0.25">
      <c r="A6109" s="924">
        <f t="shared" si="95"/>
        <v>6109</v>
      </c>
      <c r="B6109" s="924">
        <v>13.9</v>
      </c>
    </row>
    <row r="6110" spans="1:2" x14ac:dyDescent="0.25">
      <c r="A6110" s="924">
        <f t="shared" si="95"/>
        <v>6110</v>
      </c>
      <c r="B6110" s="924">
        <v>13.9</v>
      </c>
    </row>
    <row r="6111" spans="1:2" x14ac:dyDescent="0.25">
      <c r="A6111" s="924">
        <f t="shared" si="95"/>
        <v>6111</v>
      </c>
      <c r="B6111" s="924">
        <v>13.9</v>
      </c>
    </row>
    <row r="6112" spans="1:2" x14ac:dyDescent="0.25">
      <c r="A6112" s="924">
        <f t="shared" si="95"/>
        <v>6112</v>
      </c>
      <c r="B6112" s="924">
        <v>13.9</v>
      </c>
    </row>
    <row r="6113" spans="1:2" x14ac:dyDescent="0.25">
      <c r="A6113" s="924">
        <f t="shared" si="95"/>
        <v>6113</v>
      </c>
      <c r="B6113" s="924">
        <v>13.9</v>
      </c>
    </row>
    <row r="6114" spans="1:2" x14ac:dyDescent="0.25">
      <c r="A6114" s="924">
        <f t="shared" si="95"/>
        <v>6114</v>
      </c>
      <c r="B6114" s="924">
        <v>13.9</v>
      </c>
    </row>
    <row r="6115" spans="1:2" x14ac:dyDescent="0.25">
      <c r="A6115" s="924">
        <f t="shared" si="95"/>
        <v>6115</v>
      </c>
      <c r="B6115" s="924">
        <v>13.9</v>
      </c>
    </row>
    <row r="6116" spans="1:2" x14ac:dyDescent="0.25">
      <c r="A6116" s="924">
        <f t="shared" si="95"/>
        <v>6116</v>
      </c>
      <c r="B6116" s="924">
        <v>13.9</v>
      </c>
    </row>
    <row r="6117" spans="1:2" x14ac:dyDescent="0.25">
      <c r="A6117" s="924">
        <f t="shared" si="95"/>
        <v>6117</v>
      </c>
      <c r="B6117" s="924">
        <v>13.9</v>
      </c>
    </row>
    <row r="6118" spans="1:2" x14ac:dyDescent="0.25">
      <c r="A6118" s="924">
        <f t="shared" si="95"/>
        <v>6118</v>
      </c>
      <c r="B6118" s="924">
        <v>13.9</v>
      </c>
    </row>
    <row r="6119" spans="1:2" x14ac:dyDescent="0.25">
      <c r="A6119" s="924">
        <f t="shared" si="95"/>
        <v>6119</v>
      </c>
      <c r="B6119" s="924">
        <v>13.9</v>
      </c>
    </row>
    <row r="6120" spans="1:2" x14ac:dyDescent="0.25">
      <c r="A6120" s="924">
        <f t="shared" si="95"/>
        <v>6120</v>
      </c>
      <c r="B6120" s="924">
        <v>13.9</v>
      </c>
    </row>
    <row r="6121" spans="1:2" x14ac:dyDescent="0.25">
      <c r="A6121" s="924">
        <f t="shared" si="95"/>
        <v>6121</v>
      </c>
      <c r="B6121" s="924">
        <v>13.9</v>
      </c>
    </row>
    <row r="6122" spans="1:2" x14ac:dyDescent="0.25">
      <c r="A6122" s="924">
        <f t="shared" si="95"/>
        <v>6122</v>
      </c>
      <c r="B6122" s="924">
        <v>13.9</v>
      </c>
    </row>
    <row r="6123" spans="1:2" x14ac:dyDescent="0.25">
      <c r="A6123" s="924">
        <f t="shared" si="95"/>
        <v>6123</v>
      </c>
      <c r="B6123" s="924">
        <v>13.9</v>
      </c>
    </row>
    <row r="6124" spans="1:2" x14ac:dyDescent="0.25">
      <c r="A6124" s="924">
        <f t="shared" si="95"/>
        <v>6124</v>
      </c>
      <c r="B6124" s="924">
        <v>13.9</v>
      </c>
    </row>
    <row r="6125" spans="1:2" x14ac:dyDescent="0.25">
      <c r="A6125" s="924">
        <f t="shared" si="95"/>
        <v>6125</v>
      </c>
      <c r="B6125" s="924">
        <v>13.9</v>
      </c>
    </row>
    <row r="6126" spans="1:2" x14ac:dyDescent="0.25">
      <c r="A6126" s="924">
        <f t="shared" si="95"/>
        <v>6126</v>
      </c>
      <c r="B6126" s="924">
        <v>13.9</v>
      </c>
    </row>
    <row r="6127" spans="1:2" x14ac:dyDescent="0.25">
      <c r="A6127" s="924">
        <f t="shared" si="95"/>
        <v>6127</v>
      </c>
      <c r="B6127" s="924">
        <v>13.9</v>
      </c>
    </row>
    <row r="6128" spans="1:2" x14ac:dyDescent="0.25">
      <c r="A6128" s="924">
        <f t="shared" si="95"/>
        <v>6128</v>
      </c>
      <c r="B6128" s="924">
        <v>13.9</v>
      </c>
    </row>
    <row r="6129" spans="1:2" x14ac:dyDescent="0.25">
      <c r="A6129" s="924">
        <f t="shared" si="95"/>
        <v>6129</v>
      </c>
      <c r="B6129" s="924">
        <v>14</v>
      </c>
    </row>
    <row r="6130" spans="1:2" x14ac:dyDescent="0.25">
      <c r="A6130" s="924">
        <f t="shared" si="95"/>
        <v>6130</v>
      </c>
      <c r="B6130" s="924">
        <v>14</v>
      </c>
    </row>
    <row r="6131" spans="1:2" x14ac:dyDescent="0.25">
      <c r="A6131" s="924">
        <f t="shared" si="95"/>
        <v>6131</v>
      </c>
      <c r="B6131" s="924">
        <v>14</v>
      </c>
    </row>
    <row r="6132" spans="1:2" x14ac:dyDescent="0.25">
      <c r="A6132" s="924">
        <f t="shared" si="95"/>
        <v>6132</v>
      </c>
      <c r="B6132" s="924">
        <v>14</v>
      </c>
    </row>
    <row r="6133" spans="1:2" x14ac:dyDescent="0.25">
      <c r="A6133" s="924">
        <f t="shared" si="95"/>
        <v>6133</v>
      </c>
      <c r="B6133" s="924">
        <v>14</v>
      </c>
    </row>
    <row r="6134" spans="1:2" x14ac:dyDescent="0.25">
      <c r="A6134" s="924">
        <f t="shared" si="95"/>
        <v>6134</v>
      </c>
      <c r="B6134" s="924">
        <v>14</v>
      </c>
    </row>
    <row r="6135" spans="1:2" x14ac:dyDescent="0.25">
      <c r="A6135" s="924">
        <f t="shared" si="95"/>
        <v>6135</v>
      </c>
      <c r="B6135" s="924">
        <v>14</v>
      </c>
    </row>
    <row r="6136" spans="1:2" x14ac:dyDescent="0.25">
      <c r="A6136" s="924">
        <f t="shared" si="95"/>
        <v>6136</v>
      </c>
      <c r="B6136" s="924">
        <v>14</v>
      </c>
    </row>
    <row r="6137" spans="1:2" x14ac:dyDescent="0.25">
      <c r="A6137" s="924">
        <f t="shared" si="95"/>
        <v>6137</v>
      </c>
      <c r="B6137" s="924">
        <v>14</v>
      </c>
    </row>
    <row r="6138" spans="1:2" x14ac:dyDescent="0.25">
      <c r="A6138" s="924">
        <f t="shared" si="95"/>
        <v>6138</v>
      </c>
      <c r="B6138" s="924">
        <v>14</v>
      </c>
    </row>
    <row r="6139" spans="1:2" x14ac:dyDescent="0.25">
      <c r="A6139" s="924">
        <f t="shared" si="95"/>
        <v>6139</v>
      </c>
      <c r="B6139" s="924">
        <v>14</v>
      </c>
    </row>
    <row r="6140" spans="1:2" x14ac:dyDescent="0.25">
      <c r="A6140" s="924">
        <f t="shared" si="95"/>
        <v>6140</v>
      </c>
      <c r="B6140" s="924">
        <v>14</v>
      </c>
    </row>
    <row r="6141" spans="1:2" x14ac:dyDescent="0.25">
      <c r="A6141" s="924">
        <f t="shared" si="95"/>
        <v>6141</v>
      </c>
      <c r="B6141" s="924">
        <v>14</v>
      </c>
    </row>
    <row r="6142" spans="1:2" x14ac:dyDescent="0.25">
      <c r="A6142" s="924">
        <f t="shared" si="95"/>
        <v>6142</v>
      </c>
      <c r="B6142" s="924">
        <v>14</v>
      </c>
    </row>
    <row r="6143" spans="1:2" x14ac:dyDescent="0.25">
      <c r="A6143" s="924">
        <f t="shared" si="95"/>
        <v>6143</v>
      </c>
      <c r="B6143" s="924">
        <v>14</v>
      </c>
    </row>
    <row r="6144" spans="1:2" x14ac:dyDescent="0.25">
      <c r="A6144" s="924">
        <f t="shared" si="95"/>
        <v>6144</v>
      </c>
      <c r="B6144" s="924">
        <v>14</v>
      </c>
    </row>
    <row r="6145" spans="1:2" x14ac:dyDescent="0.25">
      <c r="A6145" s="924">
        <f t="shared" si="95"/>
        <v>6145</v>
      </c>
      <c r="B6145" s="924">
        <v>14</v>
      </c>
    </row>
    <row r="6146" spans="1:2" x14ac:dyDescent="0.25">
      <c r="A6146" s="924">
        <f t="shared" si="95"/>
        <v>6146</v>
      </c>
      <c r="B6146" s="924">
        <v>14</v>
      </c>
    </row>
    <row r="6147" spans="1:2" x14ac:dyDescent="0.25">
      <c r="A6147" s="924">
        <f t="shared" ref="A6147:A6210" si="96">A6146+1</f>
        <v>6147</v>
      </c>
      <c r="B6147" s="924">
        <v>14</v>
      </c>
    </row>
    <row r="6148" spans="1:2" x14ac:dyDescent="0.25">
      <c r="A6148" s="924">
        <f t="shared" si="96"/>
        <v>6148</v>
      </c>
      <c r="B6148" s="924">
        <v>14</v>
      </c>
    </row>
    <row r="6149" spans="1:2" x14ac:dyDescent="0.25">
      <c r="A6149" s="924">
        <f t="shared" si="96"/>
        <v>6149</v>
      </c>
      <c r="B6149" s="924">
        <v>14</v>
      </c>
    </row>
    <row r="6150" spans="1:2" x14ac:dyDescent="0.25">
      <c r="A6150" s="924">
        <f t="shared" si="96"/>
        <v>6150</v>
      </c>
      <c r="B6150" s="924">
        <v>14</v>
      </c>
    </row>
    <row r="6151" spans="1:2" x14ac:dyDescent="0.25">
      <c r="A6151" s="924">
        <f t="shared" si="96"/>
        <v>6151</v>
      </c>
      <c r="B6151" s="924">
        <v>14</v>
      </c>
    </row>
    <row r="6152" spans="1:2" x14ac:dyDescent="0.25">
      <c r="A6152" s="924">
        <f t="shared" si="96"/>
        <v>6152</v>
      </c>
      <c r="B6152" s="924">
        <v>14</v>
      </c>
    </row>
    <row r="6153" spans="1:2" x14ac:dyDescent="0.25">
      <c r="A6153" s="924">
        <f t="shared" si="96"/>
        <v>6153</v>
      </c>
      <c r="B6153" s="924">
        <v>14</v>
      </c>
    </row>
    <row r="6154" spans="1:2" x14ac:dyDescent="0.25">
      <c r="A6154" s="924">
        <f t="shared" si="96"/>
        <v>6154</v>
      </c>
      <c r="B6154" s="924">
        <v>14</v>
      </c>
    </row>
    <row r="6155" spans="1:2" x14ac:dyDescent="0.25">
      <c r="A6155" s="924">
        <f t="shared" si="96"/>
        <v>6155</v>
      </c>
      <c r="B6155" s="924">
        <v>14</v>
      </c>
    </row>
    <row r="6156" spans="1:2" x14ac:dyDescent="0.25">
      <c r="A6156" s="924">
        <f t="shared" si="96"/>
        <v>6156</v>
      </c>
      <c r="B6156" s="924">
        <v>14</v>
      </c>
    </row>
    <row r="6157" spans="1:2" x14ac:dyDescent="0.25">
      <c r="A6157" s="924">
        <f t="shared" si="96"/>
        <v>6157</v>
      </c>
      <c r="B6157" s="924">
        <v>14</v>
      </c>
    </row>
    <row r="6158" spans="1:2" x14ac:dyDescent="0.25">
      <c r="A6158" s="924">
        <f t="shared" si="96"/>
        <v>6158</v>
      </c>
      <c r="B6158" s="924">
        <v>14</v>
      </c>
    </row>
    <row r="6159" spans="1:2" x14ac:dyDescent="0.25">
      <c r="A6159" s="924">
        <f t="shared" si="96"/>
        <v>6159</v>
      </c>
      <c r="B6159" s="924">
        <v>14</v>
      </c>
    </row>
    <row r="6160" spans="1:2" x14ac:dyDescent="0.25">
      <c r="A6160" s="924">
        <f t="shared" si="96"/>
        <v>6160</v>
      </c>
      <c r="B6160" s="924">
        <v>14</v>
      </c>
    </row>
    <row r="6161" spans="1:2" x14ac:dyDescent="0.25">
      <c r="A6161" s="924">
        <f t="shared" si="96"/>
        <v>6161</v>
      </c>
      <c r="B6161" s="924">
        <v>14</v>
      </c>
    </row>
    <row r="6162" spans="1:2" x14ac:dyDescent="0.25">
      <c r="A6162" s="924">
        <f t="shared" si="96"/>
        <v>6162</v>
      </c>
      <c r="B6162" s="924">
        <v>14</v>
      </c>
    </row>
    <row r="6163" spans="1:2" x14ac:dyDescent="0.25">
      <c r="A6163" s="924">
        <f t="shared" si="96"/>
        <v>6163</v>
      </c>
      <c r="B6163" s="924">
        <v>14</v>
      </c>
    </row>
    <row r="6164" spans="1:2" x14ac:dyDescent="0.25">
      <c r="A6164" s="924">
        <f t="shared" si="96"/>
        <v>6164</v>
      </c>
      <c r="B6164" s="924">
        <v>14</v>
      </c>
    </row>
    <row r="6165" spans="1:2" x14ac:dyDescent="0.25">
      <c r="A6165" s="924">
        <f t="shared" si="96"/>
        <v>6165</v>
      </c>
      <c r="B6165" s="924">
        <v>14</v>
      </c>
    </row>
    <row r="6166" spans="1:2" x14ac:dyDescent="0.25">
      <c r="A6166" s="924">
        <f t="shared" si="96"/>
        <v>6166</v>
      </c>
      <c r="B6166" s="924">
        <v>14</v>
      </c>
    </row>
    <row r="6167" spans="1:2" x14ac:dyDescent="0.25">
      <c r="A6167" s="924">
        <f t="shared" si="96"/>
        <v>6167</v>
      </c>
      <c r="B6167" s="924">
        <v>14</v>
      </c>
    </row>
    <row r="6168" spans="1:2" x14ac:dyDescent="0.25">
      <c r="A6168" s="924">
        <f t="shared" si="96"/>
        <v>6168</v>
      </c>
      <c r="B6168" s="924">
        <v>14</v>
      </c>
    </row>
    <row r="6169" spans="1:2" x14ac:dyDescent="0.25">
      <c r="A6169" s="924">
        <f t="shared" si="96"/>
        <v>6169</v>
      </c>
      <c r="B6169" s="924">
        <v>14</v>
      </c>
    </row>
    <row r="6170" spans="1:2" x14ac:dyDescent="0.25">
      <c r="A6170" s="924">
        <f t="shared" si="96"/>
        <v>6170</v>
      </c>
      <c r="B6170" s="924">
        <v>14</v>
      </c>
    </row>
    <row r="6171" spans="1:2" x14ac:dyDescent="0.25">
      <c r="A6171" s="924">
        <f t="shared" si="96"/>
        <v>6171</v>
      </c>
      <c r="B6171" s="924">
        <v>14</v>
      </c>
    </row>
    <row r="6172" spans="1:2" x14ac:dyDescent="0.25">
      <c r="A6172" s="924">
        <f t="shared" si="96"/>
        <v>6172</v>
      </c>
      <c r="B6172" s="924">
        <v>14</v>
      </c>
    </row>
    <row r="6173" spans="1:2" x14ac:dyDescent="0.25">
      <c r="A6173" s="924">
        <f t="shared" si="96"/>
        <v>6173</v>
      </c>
      <c r="B6173" s="924">
        <v>14</v>
      </c>
    </row>
    <row r="6174" spans="1:2" x14ac:dyDescent="0.25">
      <c r="A6174" s="924">
        <f t="shared" si="96"/>
        <v>6174</v>
      </c>
      <c r="B6174" s="924">
        <v>14</v>
      </c>
    </row>
    <row r="6175" spans="1:2" x14ac:dyDescent="0.25">
      <c r="A6175" s="924">
        <f t="shared" si="96"/>
        <v>6175</v>
      </c>
      <c r="B6175" s="924">
        <v>14</v>
      </c>
    </row>
    <row r="6176" spans="1:2" x14ac:dyDescent="0.25">
      <c r="A6176" s="924">
        <f t="shared" si="96"/>
        <v>6176</v>
      </c>
      <c r="B6176" s="924">
        <v>14</v>
      </c>
    </row>
    <row r="6177" spans="1:2" x14ac:dyDescent="0.25">
      <c r="A6177" s="924">
        <f t="shared" si="96"/>
        <v>6177</v>
      </c>
      <c r="B6177" s="924">
        <v>14</v>
      </c>
    </row>
    <row r="6178" spans="1:2" x14ac:dyDescent="0.25">
      <c r="A6178" s="924">
        <f t="shared" si="96"/>
        <v>6178</v>
      </c>
      <c r="B6178" s="924">
        <v>14</v>
      </c>
    </row>
    <row r="6179" spans="1:2" x14ac:dyDescent="0.25">
      <c r="A6179" s="924">
        <f t="shared" si="96"/>
        <v>6179</v>
      </c>
      <c r="B6179" s="924">
        <v>14</v>
      </c>
    </row>
    <row r="6180" spans="1:2" x14ac:dyDescent="0.25">
      <c r="A6180" s="924">
        <f t="shared" si="96"/>
        <v>6180</v>
      </c>
      <c r="B6180" s="924">
        <v>14</v>
      </c>
    </row>
    <row r="6181" spans="1:2" x14ac:dyDescent="0.25">
      <c r="A6181" s="924">
        <f t="shared" si="96"/>
        <v>6181</v>
      </c>
      <c r="B6181" s="924">
        <v>14</v>
      </c>
    </row>
    <row r="6182" spans="1:2" x14ac:dyDescent="0.25">
      <c r="A6182" s="924">
        <f t="shared" si="96"/>
        <v>6182</v>
      </c>
      <c r="B6182" s="924">
        <v>14</v>
      </c>
    </row>
    <row r="6183" spans="1:2" x14ac:dyDescent="0.25">
      <c r="A6183" s="924">
        <f t="shared" si="96"/>
        <v>6183</v>
      </c>
      <c r="B6183" s="924">
        <v>14</v>
      </c>
    </row>
    <row r="6184" spans="1:2" x14ac:dyDescent="0.25">
      <c r="A6184" s="924">
        <f t="shared" si="96"/>
        <v>6184</v>
      </c>
      <c r="B6184" s="924">
        <v>14.1</v>
      </c>
    </row>
    <row r="6185" spans="1:2" x14ac:dyDescent="0.25">
      <c r="A6185" s="924">
        <f t="shared" si="96"/>
        <v>6185</v>
      </c>
      <c r="B6185" s="924">
        <v>14.1</v>
      </c>
    </row>
    <row r="6186" spans="1:2" x14ac:dyDescent="0.25">
      <c r="A6186" s="924">
        <f t="shared" si="96"/>
        <v>6186</v>
      </c>
      <c r="B6186" s="924">
        <v>14.1</v>
      </c>
    </row>
    <row r="6187" spans="1:2" x14ac:dyDescent="0.25">
      <c r="A6187" s="924">
        <f t="shared" si="96"/>
        <v>6187</v>
      </c>
      <c r="B6187" s="924">
        <v>14.1</v>
      </c>
    </row>
    <row r="6188" spans="1:2" x14ac:dyDescent="0.25">
      <c r="A6188" s="924">
        <f t="shared" si="96"/>
        <v>6188</v>
      </c>
      <c r="B6188" s="924">
        <v>14.1</v>
      </c>
    </row>
    <row r="6189" spans="1:2" x14ac:dyDescent="0.25">
      <c r="A6189" s="924">
        <f t="shared" si="96"/>
        <v>6189</v>
      </c>
      <c r="B6189" s="924">
        <v>14.1</v>
      </c>
    </row>
    <row r="6190" spans="1:2" x14ac:dyDescent="0.25">
      <c r="A6190" s="924">
        <f t="shared" si="96"/>
        <v>6190</v>
      </c>
      <c r="B6190" s="924">
        <v>14.1</v>
      </c>
    </row>
    <row r="6191" spans="1:2" x14ac:dyDescent="0.25">
      <c r="A6191" s="924">
        <f t="shared" si="96"/>
        <v>6191</v>
      </c>
      <c r="B6191" s="924">
        <v>14.1</v>
      </c>
    </row>
    <row r="6192" spans="1:2" x14ac:dyDescent="0.25">
      <c r="A6192" s="924">
        <f t="shared" si="96"/>
        <v>6192</v>
      </c>
      <c r="B6192" s="924">
        <v>14.1</v>
      </c>
    </row>
    <row r="6193" spans="1:2" x14ac:dyDescent="0.25">
      <c r="A6193" s="924">
        <f t="shared" si="96"/>
        <v>6193</v>
      </c>
      <c r="B6193" s="924">
        <v>14.1</v>
      </c>
    </row>
    <row r="6194" spans="1:2" x14ac:dyDescent="0.25">
      <c r="A6194" s="924">
        <f t="shared" si="96"/>
        <v>6194</v>
      </c>
      <c r="B6194" s="924">
        <v>14.1</v>
      </c>
    </row>
    <row r="6195" spans="1:2" x14ac:dyDescent="0.25">
      <c r="A6195" s="924">
        <f t="shared" si="96"/>
        <v>6195</v>
      </c>
      <c r="B6195" s="924">
        <v>14.1</v>
      </c>
    </row>
    <row r="6196" spans="1:2" x14ac:dyDescent="0.25">
      <c r="A6196" s="924">
        <f t="shared" si="96"/>
        <v>6196</v>
      </c>
      <c r="B6196" s="924">
        <v>14.1</v>
      </c>
    </row>
    <row r="6197" spans="1:2" x14ac:dyDescent="0.25">
      <c r="A6197" s="924">
        <f t="shared" si="96"/>
        <v>6197</v>
      </c>
      <c r="B6197" s="924">
        <v>14.1</v>
      </c>
    </row>
    <row r="6198" spans="1:2" x14ac:dyDescent="0.25">
      <c r="A6198" s="924">
        <f t="shared" si="96"/>
        <v>6198</v>
      </c>
      <c r="B6198" s="924">
        <v>14.1</v>
      </c>
    </row>
    <row r="6199" spans="1:2" x14ac:dyDescent="0.25">
      <c r="A6199" s="924">
        <f t="shared" si="96"/>
        <v>6199</v>
      </c>
      <c r="B6199" s="924">
        <v>14.1</v>
      </c>
    </row>
    <row r="6200" spans="1:2" x14ac:dyDescent="0.25">
      <c r="A6200" s="924">
        <f t="shared" si="96"/>
        <v>6200</v>
      </c>
      <c r="B6200" s="924">
        <v>14.1</v>
      </c>
    </row>
    <row r="6201" spans="1:2" x14ac:dyDescent="0.25">
      <c r="A6201" s="924">
        <f t="shared" si="96"/>
        <v>6201</v>
      </c>
      <c r="B6201" s="924">
        <v>14.1</v>
      </c>
    </row>
    <row r="6202" spans="1:2" x14ac:dyDescent="0.25">
      <c r="A6202" s="924">
        <f t="shared" si="96"/>
        <v>6202</v>
      </c>
      <c r="B6202" s="924">
        <v>14.1</v>
      </c>
    </row>
    <row r="6203" spans="1:2" x14ac:dyDescent="0.25">
      <c r="A6203" s="924">
        <f t="shared" si="96"/>
        <v>6203</v>
      </c>
      <c r="B6203" s="924">
        <v>14.1</v>
      </c>
    </row>
    <row r="6204" spans="1:2" x14ac:dyDescent="0.25">
      <c r="A6204" s="924">
        <f t="shared" si="96"/>
        <v>6204</v>
      </c>
      <c r="B6204" s="924">
        <v>14.1</v>
      </c>
    </row>
    <row r="6205" spans="1:2" x14ac:dyDescent="0.25">
      <c r="A6205" s="924">
        <f t="shared" si="96"/>
        <v>6205</v>
      </c>
      <c r="B6205" s="924">
        <v>14.1</v>
      </c>
    </row>
    <row r="6206" spans="1:2" x14ac:dyDescent="0.25">
      <c r="A6206" s="924">
        <f t="shared" si="96"/>
        <v>6206</v>
      </c>
      <c r="B6206" s="924">
        <v>14.1</v>
      </c>
    </row>
    <row r="6207" spans="1:2" x14ac:dyDescent="0.25">
      <c r="A6207" s="924">
        <f t="shared" si="96"/>
        <v>6207</v>
      </c>
      <c r="B6207" s="924">
        <v>14.1</v>
      </c>
    </row>
    <row r="6208" spans="1:2" x14ac:dyDescent="0.25">
      <c r="A6208" s="924">
        <f t="shared" si="96"/>
        <v>6208</v>
      </c>
      <c r="B6208" s="924">
        <v>14.1</v>
      </c>
    </row>
    <row r="6209" spans="1:2" x14ac:dyDescent="0.25">
      <c r="A6209" s="924">
        <f t="shared" si="96"/>
        <v>6209</v>
      </c>
      <c r="B6209" s="924">
        <v>14.1</v>
      </c>
    </row>
    <row r="6210" spans="1:2" x14ac:dyDescent="0.25">
      <c r="A6210" s="924">
        <f t="shared" si="96"/>
        <v>6210</v>
      </c>
      <c r="B6210" s="924">
        <v>14.1</v>
      </c>
    </row>
    <row r="6211" spans="1:2" x14ac:dyDescent="0.25">
      <c r="A6211" s="924">
        <f t="shared" ref="A6211:A6274" si="97">A6210+1</f>
        <v>6211</v>
      </c>
      <c r="B6211" s="924">
        <v>14.1</v>
      </c>
    </row>
    <row r="6212" spans="1:2" x14ac:dyDescent="0.25">
      <c r="A6212" s="924">
        <f t="shared" si="97"/>
        <v>6212</v>
      </c>
      <c r="B6212" s="924">
        <v>14.1</v>
      </c>
    </row>
    <row r="6213" spans="1:2" x14ac:dyDescent="0.25">
      <c r="A6213" s="924">
        <f t="shared" si="97"/>
        <v>6213</v>
      </c>
      <c r="B6213" s="924">
        <v>14.1</v>
      </c>
    </row>
    <row r="6214" spans="1:2" x14ac:dyDescent="0.25">
      <c r="A6214" s="924">
        <f t="shared" si="97"/>
        <v>6214</v>
      </c>
      <c r="B6214" s="924">
        <v>14.1</v>
      </c>
    </row>
    <row r="6215" spans="1:2" x14ac:dyDescent="0.25">
      <c r="A6215" s="924">
        <f t="shared" si="97"/>
        <v>6215</v>
      </c>
      <c r="B6215" s="924">
        <v>14.1</v>
      </c>
    </row>
    <row r="6216" spans="1:2" x14ac:dyDescent="0.25">
      <c r="A6216" s="924">
        <f t="shared" si="97"/>
        <v>6216</v>
      </c>
      <c r="B6216" s="924">
        <v>14.1</v>
      </c>
    </row>
    <row r="6217" spans="1:2" x14ac:dyDescent="0.25">
      <c r="A6217" s="924">
        <f t="shared" si="97"/>
        <v>6217</v>
      </c>
      <c r="B6217" s="924">
        <v>14.1</v>
      </c>
    </row>
    <row r="6218" spans="1:2" x14ac:dyDescent="0.25">
      <c r="A6218" s="924">
        <f t="shared" si="97"/>
        <v>6218</v>
      </c>
      <c r="B6218" s="924">
        <v>14.1</v>
      </c>
    </row>
    <row r="6219" spans="1:2" x14ac:dyDescent="0.25">
      <c r="A6219" s="924">
        <f t="shared" si="97"/>
        <v>6219</v>
      </c>
      <c r="B6219" s="924">
        <v>14.1</v>
      </c>
    </row>
    <row r="6220" spans="1:2" x14ac:dyDescent="0.25">
      <c r="A6220" s="924">
        <f t="shared" si="97"/>
        <v>6220</v>
      </c>
      <c r="B6220" s="924">
        <v>14.1</v>
      </c>
    </row>
    <row r="6221" spans="1:2" x14ac:dyDescent="0.25">
      <c r="A6221" s="924">
        <f t="shared" si="97"/>
        <v>6221</v>
      </c>
      <c r="B6221" s="924">
        <v>14.1</v>
      </c>
    </row>
    <row r="6222" spans="1:2" x14ac:dyDescent="0.25">
      <c r="A6222" s="924">
        <f t="shared" si="97"/>
        <v>6222</v>
      </c>
      <c r="B6222" s="924">
        <v>14.1</v>
      </c>
    </row>
    <row r="6223" spans="1:2" x14ac:dyDescent="0.25">
      <c r="A6223" s="924">
        <f t="shared" si="97"/>
        <v>6223</v>
      </c>
      <c r="B6223" s="924">
        <v>14.1</v>
      </c>
    </row>
    <row r="6224" spans="1:2" x14ac:dyDescent="0.25">
      <c r="A6224" s="924">
        <f t="shared" si="97"/>
        <v>6224</v>
      </c>
      <c r="B6224" s="924">
        <v>14.1</v>
      </c>
    </row>
    <row r="6225" spans="1:2" x14ac:dyDescent="0.25">
      <c r="A6225" s="924">
        <f t="shared" si="97"/>
        <v>6225</v>
      </c>
      <c r="B6225" s="924">
        <v>14.1</v>
      </c>
    </row>
    <row r="6226" spans="1:2" x14ac:dyDescent="0.25">
      <c r="A6226" s="924">
        <f t="shared" si="97"/>
        <v>6226</v>
      </c>
      <c r="B6226" s="924">
        <v>14.1</v>
      </c>
    </row>
    <row r="6227" spans="1:2" x14ac:dyDescent="0.25">
      <c r="A6227" s="924">
        <f t="shared" si="97"/>
        <v>6227</v>
      </c>
      <c r="B6227" s="924">
        <v>14.2</v>
      </c>
    </row>
    <row r="6228" spans="1:2" x14ac:dyDescent="0.25">
      <c r="A6228" s="924">
        <f t="shared" si="97"/>
        <v>6228</v>
      </c>
      <c r="B6228" s="924">
        <v>14.2</v>
      </c>
    </row>
    <row r="6229" spans="1:2" x14ac:dyDescent="0.25">
      <c r="A6229" s="924">
        <f t="shared" si="97"/>
        <v>6229</v>
      </c>
      <c r="B6229" s="924">
        <v>14.2</v>
      </c>
    </row>
    <row r="6230" spans="1:2" x14ac:dyDescent="0.25">
      <c r="A6230" s="924">
        <f t="shared" si="97"/>
        <v>6230</v>
      </c>
      <c r="B6230" s="924">
        <v>14.2</v>
      </c>
    </row>
    <row r="6231" spans="1:2" x14ac:dyDescent="0.25">
      <c r="A6231" s="924">
        <f t="shared" si="97"/>
        <v>6231</v>
      </c>
      <c r="B6231" s="924">
        <v>14.2</v>
      </c>
    </row>
    <row r="6232" spans="1:2" x14ac:dyDescent="0.25">
      <c r="A6232" s="924">
        <f t="shared" si="97"/>
        <v>6232</v>
      </c>
      <c r="B6232" s="924">
        <v>14.2</v>
      </c>
    </row>
    <row r="6233" spans="1:2" x14ac:dyDescent="0.25">
      <c r="A6233" s="924">
        <f t="shared" si="97"/>
        <v>6233</v>
      </c>
      <c r="B6233" s="924">
        <v>14.2</v>
      </c>
    </row>
    <row r="6234" spans="1:2" x14ac:dyDescent="0.25">
      <c r="A6234" s="924">
        <f t="shared" si="97"/>
        <v>6234</v>
      </c>
      <c r="B6234" s="924">
        <v>14.2</v>
      </c>
    </row>
    <row r="6235" spans="1:2" x14ac:dyDescent="0.25">
      <c r="A6235" s="924">
        <f t="shared" si="97"/>
        <v>6235</v>
      </c>
      <c r="B6235" s="924">
        <v>14.2</v>
      </c>
    </row>
    <row r="6236" spans="1:2" x14ac:dyDescent="0.25">
      <c r="A6236" s="924">
        <f t="shared" si="97"/>
        <v>6236</v>
      </c>
      <c r="B6236" s="924">
        <v>14.2</v>
      </c>
    </row>
    <row r="6237" spans="1:2" x14ac:dyDescent="0.25">
      <c r="A6237" s="924">
        <f t="shared" si="97"/>
        <v>6237</v>
      </c>
      <c r="B6237" s="924">
        <v>14.2</v>
      </c>
    </row>
    <row r="6238" spans="1:2" x14ac:dyDescent="0.25">
      <c r="A6238" s="924">
        <f t="shared" si="97"/>
        <v>6238</v>
      </c>
      <c r="B6238" s="924">
        <v>14.2</v>
      </c>
    </row>
    <row r="6239" spans="1:2" x14ac:dyDescent="0.25">
      <c r="A6239" s="924">
        <f t="shared" si="97"/>
        <v>6239</v>
      </c>
      <c r="B6239" s="924">
        <v>14.2</v>
      </c>
    </row>
    <row r="6240" spans="1:2" x14ac:dyDescent="0.25">
      <c r="A6240" s="924">
        <f t="shared" si="97"/>
        <v>6240</v>
      </c>
      <c r="B6240" s="924">
        <v>14.2</v>
      </c>
    </row>
    <row r="6241" spans="1:2" x14ac:dyDescent="0.25">
      <c r="A6241" s="924">
        <f t="shared" si="97"/>
        <v>6241</v>
      </c>
      <c r="B6241" s="924">
        <v>14.2</v>
      </c>
    </row>
    <row r="6242" spans="1:2" x14ac:dyDescent="0.25">
      <c r="A6242" s="924">
        <f t="shared" si="97"/>
        <v>6242</v>
      </c>
      <c r="B6242" s="924">
        <v>14.2</v>
      </c>
    </row>
    <row r="6243" spans="1:2" x14ac:dyDescent="0.25">
      <c r="A6243" s="924">
        <f t="shared" si="97"/>
        <v>6243</v>
      </c>
      <c r="B6243" s="924">
        <v>14.2</v>
      </c>
    </row>
    <row r="6244" spans="1:2" x14ac:dyDescent="0.25">
      <c r="A6244" s="924">
        <f t="shared" si="97"/>
        <v>6244</v>
      </c>
      <c r="B6244" s="924">
        <v>14.2</v>
      </c>
    </row>
    <row r="6245" spans="1:2" x14ac:dyDescent="0.25">
      <c r="A6245" s="924">
        <f t="shared" si="97"/>
        <v>6245</v>
      </c>
      <c r="B6245" s="924">
        <v>14.2</v>
      </c>
    </row>
    <row r="6246" spans="1:2" x14ac:dyDescent="0.25">
      <c r="A6246" s="924">
        <f t="shared" si="97"/>
        <v>6246</v>
      </c>
      <c r="B6246" s="924">
        <v>14.2</v>
      </c>
    </row>
    <row r="6247" spans="1:2" x14ac:dyDescent="0.25">
      <c r="A6247" s="924">
        <f t="shared" si="97"/>
        <v>6247</v>
      </c>
      <c r="B6247" s="924">
        <v>14.2</v>
      </c>
    </row>
    <row r="6248" spans="1:2" x14ac:dyDescent="0.25">
      <c r="A6248" s="924">
        <f t="shared" si="97"/>
        <v>6248</v>
      </c>
      <c r="B6248" s="924">
        <v>14.2</v>
      </c>
    </row>
    <row r="6249" spans="1:2" x14ac:dyDescent="0.25">
      <c r="A6249" s="924">
        <f t="shared" si="97"/>
        <v>6249</v>
      </c>
      <c r="B6249" s="924">
        <v>14.2</v>
      </c>
    </row>
    <row r="6250" spans="1:2" x14ac:dyDescent="0.25">
      <c r="A6250" s="924">
        <f t="shared" si="97"/>
        <v>6250</v>
      </c>
      <c r="B6250" s="924">
        <v>14.2</v>
      </c>
    </row>
    <row r="6251" spans="1:2" x14ac:dyDescent="0.25">
      <c r="A6251" s="924">
        <f t="shared" si="97"/>
        <v>6251</v>
      </c>
      <c r="B6251" s="924">
        <v>14.2</v>
      </c>
    </row>
    <row r="6252" spans="1:2" x14ac:dyDescent="0.25">
      <c r="A6252" s="924">
        <f t="shared" si="97"/>
        <v>6252</v>
      </c>
      <c r="B6252" s="924">
        <v>14.2</v>
      </c>
    </row>
    <row r="6253" spans="1:2" x14ac:dyDescent="0.25">
      <c r="A6253" s="924">
        <f t="shared" si="97"/>
        <v>6253</v>
      </c>
      <c r="B6253" s="924">
        <v>14.2</v>
      </c>
    </row>
    <row r="6254" spans="1:2" x14ac:dyDescent="0.25">
      <c r="A6254" s="924">
        <f t="shared" si="97"/>
        <v>6254</v>
      </c>
      <c r="B6254" s="924">
        <v>14.2</v>
      </c>
    </row>
    <row r="6255" spans="1:2" x14ac:dyDescent="0.25">
      <c r="A6255" s="924">
        <f t="shared" si="97"/>
        <v>6255</v>
      </c>
      <c r="B6255" s="924">
        <v>14.2</v>
      </c>
    </row>
    <row r="6256" spans="1:2" x14ac:dyDescent="0.25">
      <c r="A6256" s="924">
        <f t="shared" si="97"/>
        <v>6256</v>
      </c>
      <c r="B6256" s="924">
        <v>14.2</v>
      </c>
    </row>
    <row r="6257" spans="1:2" x14ac:dyDescent="0.25">
      <c r="A6257" s="924">
        <f t="shared" si="97"/>
        <v>6257</v>
      </c>
      <c r="B6257" s="924">
        <v>14.2</v>
      </c>
    </row>
    <row r="6258" spans="1:2" x14ac:dyDescent="0.25">
      <c r="A6258" s="924">
        <f t="shared" si="97"/>
        <v>6258</v>
      </c>
      <c r="B6258" s="924">
        <v>14.2</v>
      </c>
    </row>
    <row r="6259" spans="1:2" x14ac:dyDescent="0.25">
      <c r="A6259" s="924">
        <f t="shared" si="97"/>
        <v>6259</v>
      </c>
      <c r="B6259" s="924">
        <v>14.2</v>
      </c>
    </row>
    <row r="6260" spans="1:2" x14ac:dyDescent="0.25">
      <c r="A6260" s="924">
        <f t="shared" si="97"/>
        <v>6260</v>
      </c>
      <c r="B6260" s="924">
        <v>14.2</v>
      </c>
    </row>
    <row r="6261" spans="1:2" x14ac:dyDescent="0.25">
      <c r="A6261" s="924">
        <f t="shared" si="97"/>
        <v>6261</v>
      </c>
      <c r="B6261" s="924">
        <v>14.2</v>
      </c>
    </row>
    <row r="6262" spans="1:2" x14ac:dyDescent="0.25">
      <c r="A6262" s="924">
        <f t="shared" si="97"/>
        <v>6262</v>
      </c>
      <c r="B6262" s="924">
        <v>14.2</v>
      </c>
    </row>
    <row r="6263" spans="1:2" x14ac:dyDescent="0.25">
      <c r="A6263" s="924">
        <f t="shared" si="97"/>
        <v>6263</v>
      </c>
      <c r="B6263" s="924">
        <v>14.2</v>
      </c>
    </row>
    <row r="6264" spans="1:2" x14ac:dyDescent="0.25">
      <c r="A6264" s="924">
        <f t="shared" si="97"/>
        <v>6264</v>
      </c>
      <c r="B6264" s="924">
        <v>14.2</v>
      </c>
    </row>
    <row r="6265" spans="1:2" x14ac:dyDescent="0.25">
      <c r="A6265" s="924">
        <f t="shared" si="97"/>
        <v>6265</v>
      </c>
      <c r="B6265" s="924">
        <v>14.2</v>
      </c>
    </row>
    <row r="6266" spans="1:2" x14ac:dyDescent="0.25">
      <c r="A6266" s="924">
        <f t="shared" si="97"/>
        <v>6266</v>
      </c>
      <c r="B6266" s="924">
        <v>14.2</v>
      </c>
    </row>
    <row r="6267" spans="1:2" x14ac:dyDescent="0.25">
      <c r="A6267" s="924">
        <f t="shared" si="97"/>
        <v>6267</v>
      </c>
      <c r="B6267" s="924">
        <v>14.2</v>
      </c>
    </row>
    <row r="6268" spans="1:2" x14ac:dyDescent="0.25">
      <c r="A6268" s="924">
        <f t="shared" si="97"/>
        <v>6268</v>
      </c>
      <c r="B6268" s="924">
        <v>14.2</v>
      </c>
    </row>
    <row r="6269" spans="1:2" x14ac:dyDescent="0.25">
      <c r="A6269" s="924">
        <f t="shared" si="97"/>
        <v>6269</v>
      </c>
      <c r="B6269" s="924">
        <v>14.2</v>
      </c>
    </row>
    <row r="6270" spans="1:2" x14ac:dyDescent="0.25">
      <c r="A6270" s="924">
        <f t="shared" si="97"/>
        <v>6270</v>
      </c>
      <c r="B6270" s="924">
        <v>14.2</v>
      </c>
    </row>
    <row r="6271" spans="1:2" x14ac:dyDescent="0.25">
      <c r="A6271" s="924">
        <f t="shared" si="97"/>
        <v>6271</v>
      </c>
      <c r="B6271" s="924">
        <v>14.2</v>
      </c>
    </row>
    <row r="6272" spans="1:2" x14ac:dyDescent="0.25">
      <c r="A6272" s="924">
        <f t="shared" si="97"/>
        <v>6272</v>
      </c>
      <c r="B6272" s="924">
        <v>14.2</v>
      </c>
    </row>
    <row r="6273" spans="1:2" x14ac:dyDescent="0.25">
      <c r="A6273" s="924">
        <f t="shared" si="97"/>
        <v>6273</v>
      </c>
      <c r="B6273" s="924">
        <v>14.3</v>
      </c>
    </row>
    <row r="6274" spans="1:2" x14ac:dyDescent="0.25">
      <c r="A6274" s="924">
        <f t="shared" si="97"/>
        <v>6274</v>
      </c>
      <c r="B6274" s="924">
        <v>14.3</v>
      </c>
    </row>
    <row r="6275" spans="1:2" x14ac:dyDescent="0.25">
      <c r="A6275" s="924">
        <f t="shared" ref="A6275:A6338" si="98">A6274+1</f>
        <v>6275</v>
      </c>
      <c r="B6275" s="924">
        <v>14.3</v>
      </c>
    </row>
    <row r="6276" spans="1:2" x14ac:dyDescent="0.25">
      <c r="A6276" s="924">
        <f t="shared" si="98"/>
        <v>6276</v>
      </c>
      <c r="B6276" s="924">
        <v>14.3</v>
      </c>
    </row>
    <row r="6277" spans="1:2" x14ac:dyDescent="0.25">
      <c r="A6277" s="924">
        <f t="shared" si="98"/>
        <v>6277</v>
      </c>
      <c r="B6277" s="924">
        <v>14.3</v>
      </c>
    </row>
    <row r="6278" spans="1:2" x14ac:dyDescent="0.25">
      <c r="A6278" s="924">
        <f t="shared" si="98"/>
        <v>6278</v>
      </c>
      <c r="B6278" s="924">
        <v>14.3</v>
      </c>
    </row>
    <row r="6279" spans="1:2" x14ac:dyDescent="0.25">
      <c r="A6279" s="924">
        <f t="shared" si="98"/>
        <v>6279</v>
      </c>
      <c r="B6279" s="924">
        <v>14.3</v>
      </c>
    </row>
    <row r="6280" spans="1:2" x14ac:dyDescent="0.25">
      <c r="A6280" s="924">
        <f t="shared" si="98"/>
        <v>6280</v>
      </c>
      <c r="B6280" s="924">
        <v>14.3</v>
      </c>
    </row>
    <row r="6281" spans="1:2" x14ac:dyDescent="0.25">
      <c r="A6281" s="924">
        <f t="shared" si="98"/>
        <v>6281</v>
      </c>
      <c r="B6281" s="924">
        <v>14.3</v>
      </c>
    </row>
    <row r="6282" spans="1:2" x14ac:dyDescent="0.25">
      <c r="A6282" s="924">
        <f t="shared" si="98"/>
        <v>6282</v>
      </c>
      <c r="B6282" s="924">
        <v>14.3</v>
      </c>
    </row>
    <row r="6283" spans="1:2" x14ac:dyDescent="0.25">
      <c r="A6283" s="924">
        <f t="shared" si="98"/>
        <v>6283</v>
      </c>
      <c r="B6283" s="924">
        <v>14.3</v>
      </c>
    </row>
    <row r="6284" spans="1:2" x14ac:dyDescent="0.25">
      <c r="A6284" s="924">
        <f t="shared" si="98"/>
        <v>6284</v>
      </c>
      <c r="B6284" s="924">
        <v>14.3</v>
      </c>
    </row>
    <row r="6285" spans="1:2" x14ac:dyDescent="0.25">
      <c r="A6285" s="924">
        <f t="shared" si="98"/>
        <v>6285</v>
      </c>
      <c r="B6285" s="924">
        <v>14.3</v>
      </c>
    </row>
    <row r="6286" spans="1:2" x14ac:dyDescent="0.25">
      <c r="A6286" s="924">
        <f t="shared" si="98"/>
        <v>6286</v>
      </c>
      <c r="B6286" s="924">
        <v>14.3</v>
      </c>
    </row>
    <row r="6287" spans="1:2" x14ac:dyDescent="0.25">
      <c r="A6287" s="924">
        <f t="shared" si="98"/>
        <v>6287</v>
      </c>
      <c r="B6287" s="924">
        <v>14.3</v>
      </c>
    </row>
    <row r="6288" spans="1:2" x14ac:dyDescent="0.25">
      <c r="A6288" s="924">
        <f t="shared" si="98"/>
        <v>6288</v>
      </c>
      <c r="B6288" s="924">
        <v>14.3</v>
      </c>
    </row>
    <row r="6289" spans="1:2" x14ac:dyDescent="0.25">
      <c r="A6289" s="924">
        <f t="shared" si="98"/>
        <v>6289</v>
      </c>
      <c r="B6289" s="924">
        <v>14.3</v>
      </c>
    </row>
    <row r="6290" spans="1:2" x14ac:dyDescent="0.25">
      <c r="A6290" s="924">
        <f t="shared" si="98"/>
        <v>6290</v>
      </c>
      <c r="B6290" s="924">
        <v>14.3</v>
      </c>
    </row>
    <row r="6291" spans="1:2" x14ac:dyDescent="0.25">
      <c r="A6291" s="924">
        <f t="shared" si="98"/>
        <v>6291</v>
      </c>
      <c r="B6291" s="924">
        <v>14.3</v>
      </c>
    </row>
    <row r="6292" spans="1:2" x14ac:dyDescent="0.25">
      <c r="A6292" s="924">
        <f t="shared" si="98"/>
        <v>6292</v>
      </c>
      <c r="B6292" s="924">
        <v>14.3</v>
      </c>
    </row>
    <row r="6293" spans="1:2" x14ac:dyDescent="0.25">
      <c r="A6293" s="924">
        <f t="shared" si="98"/>
        <v>6293</v>
      </c>
      <c r="B6293" s="924">
        <v>14.3</v>
      </c>
    </row>
    <row r="6294" spans="1:2" x14ac:dyDescent="0.25">
      <c r="A6294" s="924">
        <f t="shared" si="98"/>
        <v>6294</v>
      </c>
      <c r="B6294" s="924">
        <v>14.3</v>
      </c>
    </row>
    <row r="6295" spans="1:2" x14ac:dyDescent="0.25">
      <c r="A6295" s="924">
        <f t="shared" si="98"/>
        <v>6295</v>
      </c>
      <c r="B6295" s="924">
        <v>14.3</v>
      </c>
    </row>
    <row r="6296" spans="1:2" x14ac:dyDescent="0.25">
      <c r="A6296" s="924">
        <f t="shared" si="98"/>
        <v>6296</v>
      </c>
      <c r="B6296" s="924">
        <v>14.3</v>
      </c>
    </row>
    <row r="6297" spans="1:2" x14ac:dyDescent="0.25">
      <c r="A6297" s="924">
        <f t="shared" si="98"/>
        <v>6297</v>
      </c>
      <c r="B6297" s="924">
        <v>14.3</v>
      </c>
    </row>
    <row r="6298" spans="1:2" x14ac:dyDescent="0.25">
      <c r="A6298" s="924">
        <f t="shared" si="98"/>
        <v>6298</v>
      </c>
      <c r="B6298" s="924">
        <v>14.3</v>
      </c>
    </row>
    <row r="6299" spans="1:2" x14ac:dyDescent="0.25">
      <c r="A6299" s="924">
        <f t="shared" si="98"/>
        <v>6299</v>
      </c>
      <c r="B6299" s="924">
        <v>14.3</v>
      </c>
    </row>
    <row r="6300" spans="1:2" x14ac:dyDescent="0.25">
      <c r="A6300" s="924">
        <f t="shared" si="98"/>
        <v>6300</v>
      </c>
      <c r="B6300" s="924">
        <v>14.3</v>
      </c>
    </row>
    <row r="6301" spans="1:2" x14ac:dyDescent="0.25">
      <c r="A6301" s="924">
        <f t="shared" si="98"/>
        <v>6301</v>
      </c>
      <c r="B6301" s="924">
        <v>14.3</v>
      </c>
    </row>
    <row r="6302" spans="1:2" x14ac:dyDescent="0.25">
      <c r="A6302" s="924">
        <f t="shared" si="98"/>
        <v>6302</v>
      </c>
      <c r="B6302" s="924">
        <v>14.3</v>
      </c>
    </row>
    <row r="6303" spans="1:2" x14ac:dyDescent="0.25">
      <c r="A6303" s="924">
        <f t="shared" si="98"/>
        <v>6303</v>
      </c>
      <c r="B6303" s="924">
        <v>14.3</v>
      </c>
    </row>
    <row r="6304" spans="1:2" x14ac:dyDescent="0.25">
      <c r="A6304" s="924">
        <f t="shared" si="98"/>
        <v>6304</v>
      </c>
      <c r="B6304" s="924">
        <v>14.3</v>
      </c>
    </row>
    <row r="6305" spans="1:2" x14ac:dyDescent="0.25">
      <c r="A6305" s="924">
        <f t="shared" si="98"/>
        <v>6305</v>
      </c>
      <c r="B6305" s="924">
        <v>14.3</v>
      </c>
    </row>
    <row r="6306" spans="1:2" x14ac:dyDescent="0.25">
      <c r="A6306" s="924">
        <f t="shared" si="98"/>
        <v>6306</v>
      </c>
      <c r="B6306" s="924">
        <v>14.3</v>
      </c>
    </row>
    <row r="6307" spans="1:2" x14ac:dyDescent="0.25">
      <c r="A6307" s="924">
        <f t="shared" si="98"/>
        <v>6307</v>
      </c>
      <c r="B6307" s="924">
        <v>14.3</v>
      </c>
    </row>
    <row r="6308" spans="1:2" x14ac:dyDescent="0.25">
      <c r="A6308" s="924">
        <f t="shared" si="98"/>
        <v>6308</v>
      </c>
      <c r="B6308" s="924">
        <v>14.3</v>
      </c>
    </row>
    <row r="6309" spans="1:2" x14ac:dyDescent="0.25">
      <c r="A6309" s="924">
        <f t="shared" si="98"/>
        <v>6309</v>
      </c>
      <c r="B6309" s="924">
        <v>14.3</v>
      </c>
    </row>
    <row r="6310" spans="1:2" x14ac:dyDescent="0.25">
      <c r="A6310" s="924">
        <f t="shared" si="98"/>
        <v>6310</v>
      </c>
      <c r="B6310" s="924">
        <v>14.3</v>
      </c>
    </row>
    <row r="6311" spans="1:2" x14ac:dyDescent="0.25">
      <c r="A6311" s="924">
        <f t="shared" si="98"/>
        <v>6311</v>
      </c>
      <c r="B6311" s="924">
        <v>14.3</v>
      </c>
    </row>
    <row r="6312" spans="1:2" x14ac:dyDescent="0.25">
      <c r="A6312" s="924">
        <f t="shared" si="98"/>
        <v>6312</v>
      </c>
      <c r="B6312" s="924">
        <v>14.3</v>
      </c>
    </row>
    <row r="6313" spans="1:2" x14ac:dyDescent="0.25">
      <c r="A6313" s="924">
        <f t="shared" si="98"/>
        <v>6313</v>
      </c>
      <c r="B6313" s="924">
        <v>14.3</v>
      </c>
    </row>
    <row r="6314" spans="1:2" x14ac:dyDescent="0.25">
      <c r="A6314" s="924">
        <f t="shared" si="98"/>
        <v>6314</v>
      </c>
      <c r="B6314" s="924">
        <v>14.3</v>
      </c>
    </row>
    <row r="6315" spans="1:2" x14ac:dyDescent="0.25">
      <c r="A6315" s="924">
        <f t="shared" si="98"/>
        <v>6315</v>
      </c>
      <c r="B6315" s="924">
        <v>14.3</v>
      </c>
    </row>
    <row r="6316" spans="1:2" x14ac:dyDescent="0.25">
      <c r="A6316" s="924">
        <f t="shared" si="98"/>
        <v>6316</v>
      </c>
      <c r="B6316" s="924">
        <v>14.4</v>
      </c>
    </row>
    <row r="6317" spans="1:2" x14ac:dyDescent="0.25">
      <c r="A6317" s="924">
        <f t="shared" si="98"/>
        <v>6317</v>
      </c>
      <c r="B6317" s="924">
        <v>14.4</v>
      </c>
    </row>
    <row r="6318" spans="1:2" x14ac:dyDescent="0.25">
      <c r="A6318" s="924">
        <f t="shared" si="98"/>
        <v>6318</v>
      </c>
      <c r="B6318" s="924">
        <v>14.4</v>
      </c>
    </row>
    <row r="6319" spans="1:2" x14ac:dyDescent="0.25">
      <c r="A6319" s="924">
        <f t="shared" si="98"/>
        <v>6319</v>
      </c>
      <c r="B6319" s="924">
        <v>14.4</v>
      </c>
    </row>
    <row r="6320" spans="1:2" x14ac:dyDescent="0.25">
      <c r="A6320" s="924">
        <f t="shared" si="98"/>
        <v>6320</v>
      </c>
      <c r="B6320" s="924">
        <v>14.4</v>
      </c>
    </row>
    <row r="6321" spans="1:2" x14ac:dyDescent="0.25">
      <c r="A6321" s="924">
        <f t="shared" si="98"/>
        <v>6321</v>
      </c>
      <c r="B6321" s="924">
        <v>14.4</v>
      </c>
    </row>
    <row r="6322" spans="1:2" x14ac:dyDescent="0.25">
      <c r="A6322" s="924">
        <f t="shared" si="98"/>
        <v>6322</v>
      </c>
      <c r="B6322" s="924">
        <v>14.4</v>
      </c>
    </row>
    <row r="6323" spans="1:2" x14ac:dyDescent="0.25">
      <c r="A6323" s="924">
        <f t="shared" si="98"/>
        <v>6323</v>
      </c>
      <c r="B6323" s="924">
        <v>14.4</v>
      </c>
    </row>
    <row r="6324" spans="1:2" x14ac:dyDescent="0.25">
      <c r="A6324" s="924">
        <f t="shared" si="98"/>
        <v>6324</v>
      </c>
      <c r="B6324" s="924">
        <v>14.4</v>
      </c>
    </row>
    <row r="6325" spans="1:2" x14ac:dyDescent="0.25">
      <c r="A6325" s="924">
        <f t="shared" si="98"/>
        <v>6325</v>
      </c>
      <c r="B6325" s="924">
        <v>14.4</v>
      </c>
    </row>
    <row r="6326" spans="1:2" x14ac:dyDescent="0.25">
      <c r="A6326" s="924">
        <f t="shared" si="98"/>
        <v>6326</v>
      </c>
      <c r="B6326" s="924">
        <v>14.4</v>
      </c>
    </row>
    <row r="6327" spans="1:2" x14ac:dyDescent="0.25">
      <c r="A6327" s="924">
        <f t="shared" si="98"/>
        <v>6327</v>
      </c>
      <c r="B6327" s="924">
        <v>14.4</v>
      </c>
    </row>
    <row r="6328" spans="1:2" x14ac:dyDescent="0.25">
      <c r="A6328" s="924">
        <f t="shared" si="98"/>
        <v>6328</v>
      </c>
      <c r="B6328" s="924">
        <v>14.4</v>
      </c>
    </row>
    <row r="6329" spans="1:2" x14ac:dyDescent="0.25">
      <c r="A6329" s="924">
        <f t="shared" si="98"/>
        <v>6329</v>
      </c>
      <c r="B6329" s="924">
        <v>14.4</v>
      </c>
    </row>
    <row r="6330" spans="1:2" x14ac:dyDescent="0.25">
      <c r="A6330" s="924">
        <f t="shared" si="98"/>
        <v>6330</v>
      </c>
      <c r="B6330" s="924">
        <v>14.4</v>
      </c>
    </row>
    <row r="6331" spans="1:2" x14ac:dyDescent="0.25">
      <c r="A6331" s="924">
        <f t="shared" si="98"/>
        <v>6331</v>
      </c>
      <c r="B6331" s="924">
        <v>14.4</v>
      </c>
    </row>
    <row r="6332" spans="1:2" x14ac:dyDescent="0.25">
      <c r="A6332" s="924">
        <f t="shared" si="98"/>
        <v>6332</v>
      </c>
      <c r="B6332" s="924">
        <v>14.4</v>
      </c>
    </row>
    <row r="6333" spans="1:2" x14ac:dyDescent="0.25">
      <c r="A6333" s="924">
        <f t="shared" si="98"/>
        <v>6333</v>
      </c>
      <c r="B6333" s="924">
        <v>14.4</v>
      </c>
    </row>
    <row r="6334" spans="1:2" x14ac:dyDescent="0.25">
      <c r="A6334" s="924">
        <f t="shared" si="98"/>
        <v>6334</v>
      </c>
      <c r="B6334" s="924">
        <v>14.4</v>
      </c>
    </row>
    <row r="6335" spans="1:2" x14ac:dyDescent="0.25">
      <c r="A6335" s="924">
        <f t="shared" si="98"/>
        <v>6335</v>
      </c>
      <c r="B6335" s="924">
        <v>14.4</v>
      </c>
    </row>
    <row r="6336" spans="1:2" x14ac:dyDescent="0.25">
      <c r="A6336" s="924">
        <f t="shared" si="98"/>
        <v>6336</v>
      </c>
      <c r="B6336" s="924">
        <v>14.4</v>
      </c>
    </row>
    <row r="6337" spans="1:2" x14ac:dyDescent="0.25">
      <c r="A6337" s="924">
        <f t="shared" si="98"/>
        <v>6337</v>
      </c>
      <c r="B6337" s="924">
        <v>14.4</v>
      </c>
    </row>
    <row r="6338" spans="1:2" x14ac:dyDescent="0.25">
      <c r="A6338" s="924">
        <f t="shared" si="98"/>
        <v>6338</v>
      </c>
      <c r="B6338" s="924">
        <v>14.4</v>
      </c>
    </row>
    <row r="6339" spans="1:2" x14ac:dyDescent="0.25">
      <c r="A6339" s="924">
        <f t="shared" ref="A6339:A6402" si="99">A6338+1</f>
        <v>6339</v>
      </c>
      <c r="B6339" s="924">
        <v>14.4</v>
      </c>
    </row>
    <row r="6340" spans="1:2" x14ac:dyDescent="0.25">
      <c r="A6340" s="924">
        <f t="shared" si="99"/>
        <v>6340</v>
      </c>
      <c r="B6340" s="924">
        <v>14.4</v>
      </c>
    </row>
    <row r="6341" spans="1:2" x14ac:dyDescent="0.25">
      <c r="A6341" s="924">
        <f t="shared" si="99"/>
        <v>6341</v>
      </c>
      <c r="B6341" s="924">
        <v>14.4</v>
      </c>
    </row>
    <row r="6342" spans="1:2" x14ac:dyDescent="0.25">
      <c r="A6342" s="924">
        <f t="shared" si="99"/>
        <v>6342</v>
      </c>
      <c r="B6342" s="924">
        <v>14.4</v>
      </c>
    </row>
    <row r="6343" spans="1:2" x14ac:dyDescent="0.25">
      <c r="A6343" s="924">
        <f t="shared" si="99"/>
        <v>6343</v>
      </c>
      <c r="B6343" s="924">
        <v>14.4</v>
      </c>
    </row>
    <row r="6344" spans="1:2" x14ac:dyDescent="0.25">
      <c r="A6344" s="924">
        <f t="shared" si="99"/>
        <v>6344</v>
      </c>
      <c r="B6344" s="924">
        <v>14.4</v>
      </c>
    </row>
    <row r="6345" spans="1:2" x14ac:dyDescent="0.25">
      <c r="A6345" s="924">
        <f t="shared" si="99"/>
        <v>6345</v>
      </c>
      <c r="B6345" s="924">
        <v>14.4</v>
      </c>
    </row>
    <row r="6346" spans="1:2" x14ac:dyDescent="0.25">
      <c r="A6346" s="924">
        <f t="shared" si="99"/>
        <v>6346</v>
      </c>
      <c r="B6346" s="924">
        <v>14.4</v>
      </c>
    </row>
    <row r="6347" spans="1:2" x14ac:dyDescent="0.25">
      <c r="A6347" s="924">
        <f t="shared" si="99"/>
        <v>6347</v>
      </c>
      <c r="B6347" s="924">
        <v>14.4</v>
      </c>
    </row>
    <row r="6348" spans="1:2" x14ac:dyDescent="0.25">
      <c r="A6348" s="924">
        <f t="shared" si="99"/>
        <v>6348</v>
      </c>
      <c r="B6348" s="924">
        <v>14.4</v>
      </c>
    </row>
    <row r="6349" spans="1:2" x14ac:dyDescent="0.25">
      <c r="A6349" s="924">
        <f t="shared" si="99"/>
        <v>6349</v>
      </c>
      <c r="B6349" s="924">
        <v>14.4</v>
      </c>
    </row>
    <row r="6350" spans="1:2" x14ac:dyDescent="0.25">
      <c r="A6350" s="924">
        <f t="shared" si="99"/>
        <v>6350</v>
      </c>
      <c r="B6350" s="924">
        <v>14.4</v>
      </c>
    </row>
    <row r="6351" spans="1:2" x14ac:dyDescent="0.25">
      <c r="A6351" s="924">
        <f t="shared" si="99"/>
        <v>6351</v>
      </c>
      <c r="B6351" s="924">
        <v>14.4</v>
      </c>
    </row>
    <row r="6352" spans="1:2" x14ac:dyDescent="0.25">
      <c r="A6352" s="924">
        <f t="shared" si="99"/>
        <v>6352</v>
      </c>
      <c r="B6352" s="924">
        <v>14.4</v>
      </c>
    </row>
    <row r="6353" spans="1:2" x14ac:dyDescent="0.25">
      <c r="A6353" s="924">
        <f t="shared" si="99"/>
        <v>6353</v>
      </c>
      <c r="B6353" s="924">
        <v>14.4</v>
      </c>
    </row>
    <row r="6354" spans="1:2" x14ac:dyDescent="0.25">
      <c r="A6354" s="924">
        <f t="shared" si="99"/>
        <v>6354</v>
      </c>
      <c r="B6354" s="924">
        <v>14.4</v>
      </c>
    </row>
    <row r="6355" spans="1:2" x14ac:dyDescent="0.25">
      <c r="A6355" s="924">
        <f t="shared" si="99"/>
        <v>6355</v>
      </c>
      <c r="B6355" s="924">
        <v>14.4</v>
      </c>
    </row>
    <row r="6356" spans="1:2" x14ac:dyDescent="0.25">
      <c r="A6356" s="924">
        <f t="shared" si="99"/>
        <v>6356</v>
      </c>
      <c r="B6356" s="924">
        <v>14.4</v>
      </c>
    </row>
    <row r="6357" spans="1:2" x14ac:dyDescent="0.25">
      <c r="A6357" s="924">
        <f t="shared" si="99"/>
        <v>6357</v>
      </c>
      <c r="B6357" s="924">
        <v>14.4</v>
      </c>
    </row>
    <row r="6358" spans="1:2" x14ac:dyDescent="0.25">
      <c r="A6358" s="924">
        <f t="shared" si="99"/>
        <v>6358</v>
      </c>
      <c r="B6358" s="924">
        <v>14.4</v>
      </c>
    </row>
    <row r="6359" spans="1:2" x14ac:dyDescent="0.25">
      <c r="A6359" s="924">
        <f t="shared" si="99"/>
        <v>6359</v>
      </c>
      <c r="B6359" s="924">
        <v>14.5</v>
      </c>
    </row>
    <row r="6360" spans="1:2" x14ac:dyDescent="0.25">
      <c r="A6360" s="924">
        <f t="shared" si="99"/>
        <v>6360</v>
      </c>
      <c r="B6360" s="924">
        <v>14.5</v>
      </c>
    </row>
    <row r="6361" spans="1:2" x14ac:dyDescent="0.25">
      <c r="A6361" s="924">
        <f t="shared" si="99"/>
        <v>6361</v>
      </c>
      <c r="B6361" s="924">
        <v>14.5</v>
      </c>
    </row>
    <row r="6362" spans="1:2" x14ac:dyDescent="0.25">
      <c r="A6362" s="924">
        <f t="shared" si="99"/>
        <v>6362</v>
      </c>
      <c r="B6362" s="924">
        <v>14.5</v>
      </c>
    </row>
    <row r="6363" spans="1:2" x14ac:dyDescent="0.25">
      <c r="A6363" s="924">
        <f t="shared" si="99"/>
        <v>6363</v>
      </c>
      <c r="B6363" s="924">
        <v>14.5</v>
      </c>
    </row>
    <row r="6364" spans="1:2" x14ac:dyDescent="0.25">
      <c r="A6364" s="924">
        <f t="shared" si="99"/>
        <v>6364</v>
      </c>
      <c r="B6364" s="924">
        <v>14.5</v>
      </c>
    </row>
    <row r="6365" spans="1:2" x14ac:dyDescent="0.25">
      <c r="A6365" s="924">
        <f t="shared" si="99"/>
        <v>6365</v>
      </c>
      <c r="B6365" s="924">
        <v>14.5</v>
      </c>
    </row>
    <row r="6366" spans="1:2" x14ac:dyDescent="0.25">
      <c r="A6366" s="924">
        <f t="shared" si="99"/>
        <v>6366</v>
      </c>
      <c r="B6366" s="924">
        <v>14.5</v>
      </c>
    </row>
    <row r="6367" spans="1:2" x14ac:dyDescent="0.25">
      <c r="A6367" s="924">
        <f t="shared" si="99"/>
        <v>6367</v>
      </c>
      <c r="B6367" s="924">
        <v>14.5</v>
      </c>
    </row>
    <row r="6368" spans="1:2" x14ac:dyDescent="0.25">
      <c r="A6368" s="924">
        <f t="shared" si="99"/>
        <v>6368</v>
      </c>
      <c r="B6368" s="924">
        <v>14.5</v>
      </c>
    </row>
    <row r="6369" spans="1:2" x14ac:dyDescent="0.25">
      <c r="A6369" s="924">
        <f t="shared" si="99"/>
        <v>6369</v>
      </c>
      <c r="B6369" s="924">
        <v>14.5</v>
      </c>
    </row>
    <row r="6370" spans="1:2" x14ac:dyDescent="0.25">
      <c r="A6370" s="924">
        <f t="shared" si="99"/>
        <v>6370</v>
      </c>
      <c r="B6370" s="924">
        <v>14.5</v>
      </c>
    </row>
    <row r="6371" spans="1:2" x14ac:dyDescent="0.25">
      <c r="A6371" s="924">
        <f t="shared" si="99"/>
        <v>6371</v>
      </c>
      <c r="B6371" s="924">
        <v>14.5</v>
      </c>
    </row>
    <row r="6372" spans="1:2" x14ac:dyDescent="0.25">
      <c r="A6372" s="924">
        <f t="shared" si="99"/>
        <v>6372</v>
      </c>
      <c r="B6372" s="924">
        <v>14.5</v>
      </c>
    </row>
    <row r="6373" spans="1:2" x14ac:dyDescent="0.25">
      <c r="A6373" s="924">
        <f t="shared" si="99"/>
        <v>6373</v>
      </c>
      <c r="B6373" s="924">
        <v>14.5</v>
      </c>
    </row>
    <row r="6374" spans="1:2" x14ac:dyDescent="0.25">
      <c r="A6374" s="924">
        <f t="shared" si="99"/>
        <v>6374</v>
      </c>
      <c r="B6374" s="924">
        <v>14.5</v>
      </c>
    </row>
    <row r="6375" spans="1:2" x14ac:dyDescent="0.25">
      <c r="A6375" s="924">
        <f t="shared" si="99"/>
        <v>6375</v>
      </c>
      <c r="B6375" s="924">
        <v>14.5</v>
      </c>
    </row>
    <row r="6376" spans="1:2" x14ac:dyDescent="0.25">
      <c r="A6376" s="924">
        <f t="shared" si="99"/>
        <v>6376</v>
      </c>
      <c r="B6376" s="924">
        <v>14.5</v>
      </c>
    </row>
    <row r="6377" spans="1:2" x14ac:dyDescent="0.25">
      <c r="A6377" s="924">
        <f t="shared" si="99"/>
        <v>6377</v>
      </c>
      <c r="B6377" s="924">
        <v>14.5</v>
      </c>
    </row>
    <row r="6378" spans="1:2" x14ac:dyDescent="0.25">
      <c r="A6378" s="924">
        <f t="shared" si="99"/>
        <v>6378</v>
      </c>
      <c r="B6378" s="924">
        <v>14.5</v>
      </c>
    </row>
    <row r="6379" spans="1:2" x14ac:dyDescent="0.25">
      <c r="A6379" s="924">
        <f t="shared" si="99"/>
        <v>6379</v>
      </c>
      <c r="B6379" s="924">
        <v>14.5</v>
      </c>
    </row>
    <row r="6380" spans="1:2" x14ac:dyDescent="0.25">
      <c r="A6380" s="924">
        <f t="shared" si="99"/>
        <v>6380</v>
      </c>
      <c r="B6380" s="924">
        <v>14.5</v>
      </c>
    </row>
    <row r="6381" spans="1:2" x14ac:dyDescent="0.25">
      <c r="A6381" s="924">
        <f t="shared" si="99"/>
        <v>6381</v>
      </c>
      <c r="B6381" s="924">
        <v>14.5</v>
      </c>
    </row>
    <row r="6382" spans="1:2" x14ac:dyDescent="0.25">
      <c r="A6382" s="924">
        <f t="shared" si="99"/>
        <v>6382</v>
      </c>
      <c r="B6382" s="924">
        <v>14.5</v>
      </c>
    </row>
    <row r="6383" spans="1:2" x14ac:dyDescent="0.25">
      <c r="A6383" s="924">
        <f t="shared" si="99"/>
        <v>6383</v>
      </c>
      <c r="B6383" s="924">
        <v>14.5</v>
      </c>
    </row>
    <row r="6384" spans="1:2" x14ac:dyDescent="0.25">
      <c r="A6384" s="924">
        <f t="shared" si="99"/>
        <v>6384</v>
      </c>
      <c r="B6384" s="924">
        <v>14.5</v>
      </c>
    </row>
    <row r="6385" spans="1:2" x14ac:dyDescent="0.25">
      <c r="A6385" s="924">
        <f t="shared" si="99"/>
        <v>6385</v>
      </c>
      <c r="B6385" s="924">
        <v>14.5</v>
      </c>
    </row>
    <row r="6386" spans="1:2" x14ac:dyDescent="0.25">
      <c r="A6386" s="924">
        <f t="shared" si="99"/>
        <v>6386</v>
      </c>
      <c r="B6386" s="924">
        <v>14.5</v>
      </c>
    </row>
    <row r="6387" spans="1:2" x14ac:dyDescent="0.25">
      <c r="A6387" s="924">
        <f t="shared" si="99"/>
        <v>6387</v>
      </c>
      <c r="B6387" s="924">
        <v>14.5</v>
      </c>
    </row>
    <row r="6388" spans="1:2" x14ac:dyDescent="0.25">
      <c r="A6388" s="924">
        <f t="shared" si="99"/>
        <v>6388</v>
      </c>
      <c r="B6388" s="924">
        <v>14.5</v>
      </c>
    </row>
    <row r="6389" spans="1:2" x14ac:dyDescent="0.25">
      <c r="A6389" s="924">
        <f t="shared" si="99"/>
        <v>6389</v>
      </c>
      <c r="B6389" s="924">
        <v>14.5</v>
      </c>
    </row>
    <row r="6390" spans="1:2" x14ac:dyDescent="0.25">
      <c r="A6390" s="924">
        <f t="shared" si="99"/>
        <v>6390</v>
      </c>
      <c r="B6390" s="924">
        <v>14.5</v>
      </c>
    </row>
    <row r="6391" spans="1:2" x14ac:dyDescent="0.25">
      <c r="A6391" s="924">
        <f t="shared" si="99"/>
        <v>6391</v>
      </c>
      <c r="B6391" s="924">
        <v>14.5</v>
      </c>
    </row>
    <row r="6392" spans="1:2" x14ac:dyDescent="0.25">
      <c r="A6392" s="924">
        <f t="shared" si="99"/>
        <v>6392</v>
      </c>
      <c r="B6392" s="924">
        <v>14.5</v>
      </c>
    </row>
    <row r="6393" spans="1:2" x14ac:dyDescent="0.25">
      <c r="A6393" s="924">
        <f t="shared" si="99"/>
        <v>6393</v>
      </c>
      <c r="B6393" s="924">
        <v>14.5</v>
      </c>
    </row>
    <row r="6394" spans="1:2" x14ac:dyDescent="0.25">
      <c r="A6394" s="924">
        <f t="shared" si="99"/>
        <v>6394</v>
      </c>
      <c r="B6394" s="924">
        <v>14.5</v>
      </c>
    </row>
    <row r="6395" spans="1:2" x14ac:dyDescent="0.25">
      <c r="A6395" s="924">
        <f t="shared" si="99"/>
        <v>6395</v>
      </c>
      <c r="B6395" s="924">
        <v>14.5</v>
      </c>
    </row>
    <row r="6396" spans="1:2" x14ac:dyDescent="0.25">
      <c r="A6396" s="924">
        <f t="shared" si="99"/>
        <v>6396</v>
      </c>
      <c r="B6396" s="924">
        <v>14.5</v>
      </c>
    </row>
    <row r="6397" spans="1:2" x14ac:dyDescent="0.25">
      <c r="A6397" s="924">
        <f t="shared" si="99"/>
        <v>6397</v>
      </c>
      <c r="B6397" s="924">
        <v>14.5</v>
      </c>
    </row>
    <row r="6398" spans="1:2" x14ac:dyDescent="0.25">
      <c r="A6398" s="924">
        <f t="shared" si="99"/>
        <v>6398</v>
      </c>
      <c r="B6398" s="924">
        <v>14.5</v>
      </c>
    </row>
    <row r="6399" spans="1:2" x14ac:dyDescent="0.25">
      <c r="A6399" s="924">
        <f t="shared" si="99"/>
        <v>6399</v>
      </c>
      <c r="B6399" s="924">
        <v>14.5</v>
      </c>
    </row>
    <row r="6400" spans="1:2" x14ac:dyDescent="0.25">
      <c r="A6400" s="924">
        <f t="shared" si="99"/>
        <v>6400</v>
      </c>
      <c r="B6400" s="924">
        <v>14.5</v>
      </c>
    </row>
    <row r="6401" spans="1:2" x14ac:dyDescent="0.25">
      <c r="A6401" s="924">
        <f t="shared" si="99"/>
        <v>6401</v>
      </c>
      <c r="B6401" s="924">
        <v>14.5</v>
      </c>
    </row>
    <row r="6402" spans="1:2" x14ac:dyDescent="0.25">
      <c r="A6402" s="924">
        <f t="shared" si="99"/>
        <v>6402</v>
      </c>
      <c r="B6402" s="924">
        <v>14.6</v>
      </c>
    </row>
    <row r="6403" spans="1:2" x14ac:dyDescent="0.25">
      <c r="A6403" s="924">
        <f t="shared" ref="A6403:A6466" si="100">A6402+1</f>
        <v>6403</v>
      </c>
      <c r="B6403" s="924">
        <v>14.6</v>
      </c>
    </row>
    <row r="6404" spans="1:2" x14ac:dyDescent="0.25">
      <c r="A6404" s="924">
        <f t="shared" si="100"/>
        <v>6404</v>
      </c>
      <c r="B6404" s="924">
        <v>14.6</v>
      </c>
    </row>
    <row r="6405" spans="1:2" x14ac:dyDescent="0.25">
      <c r="A6405" s="924">
        <f t="shared" si="100"/>
        <v>6405</v>
      </c>
      <c r="B6405" s="924">
        <v>14.6</v>
      </c>
    </row>
    <row r="6406" spans="1:2" x14ac:dyDescent="0.25">
      <c r="A6406" s="924">
        <f t="shared" si="100"/>
        <v>6406</v>
      </c>
      <c r="B6406" s="924">
        <v>14.6</v>
      </c>
    </row>
    <row r="6407" spans="1:2" x14ac:dyDescent="0.25">
      <c r="A6407" s="924">
        <f t="shared" si="100"/>
        <v>6407</v>
      </c>
      <c r="B6407" s="924">
        <v>14.6</v>
      </c>
    </row>
    <row r="6408" spans="1:2" x14ac:dyDescent="0.25">
      <c r="A6408" s="924">
        <f t="shared" si="100"/>
        <v>6408</v>
      </c>
      <c r="B6408" s="924">
        <v>14.6</v>
      </c>
    </row>
    <row r="6409" spans="1:2" x14ac:dyDescent="0.25">
      <c r="A6409" s="924">
        <f t="shared" si="100"/>
        <v>6409</v>
      </c>
      <c r="B6409" s="924">
        <v>14.6</v>
      </c>
    </row>
    <row r="6410" spans="1:2" x14ac:dyDescent="0.25">
      <c r="A6410" s="924">
        <f t="shared" si="100"/>
        <v>6410</v>
      </c>
      <c r="B6410" s="924">
        <v>14.6</v>
      </c>
    </row>
    <row r="6411" spans="1:2" x14ac:dyDescent="0.25">
      <c r="A6411" s="924">
        <f t="shared" si="100"/>
        <v>6411</v>
      </c>
      <c r="B6411" s="924">
        <v>14.6</v>
      </c>
    </row>
    <row r="6412" spans="1:2" x14ac:dyDescent="0.25">
      <c r="A6412" s="924">
        <f t="shared" si="100"/>
        <v>6412</v>
      </c>
      <c r="B6412" s="924">
        <v>14.6</v>
      </c>
    </row>
    <row r="6413" spans="1:2" x14ac:dyDescent="0.25">
      <c r="A6413" s="924">
        <f t="shared" si="100"/>
        <v>6413</v>
      </c>
      <c r="B6413" s="924">
        <v>14.6</v>
      </c>
    </row>
    <row r="6414" spans="1:2" x14ac:dyDescent="0.25">
      <c r="A6414" s="924">
        <f t="shared" si="100"/>
        <v>6414</v>
      </c>
      <c r="B6414" s="924">
        <v>14.6</v>
      </c>
    </row>
    <row r="6415" spans="1:2" x14ac:dyDescent="0.25">
      <c r="A6415" s="924">
        <f t="shared" si="100"/>
        <v>6415</v>
      </c>
      <c r="B6415" s="924">
        <v>14.6</v>
      </c>
    </row>
    <row r="6416" spans="1:2" x14ac:dyDescent="0.25">
      <c r="A6416" s="924">
        <f t="shared" si="100"/>
        <v>6416</v>
      </c>
      <c r="B6416" s="924">
        <v>14.6</v>
      </c>
    </row>
    <row r="6417" spans="1:2" x14ac:dyDescent="0.25">
      <c r="A6417" s="924">
        <f t="shared" si="100"/>
        <v>6417</v>
      </c>
      <c r="B6417" s="924">
        <v>14.6</v>
      </c>
    </row>
    <row r="6418" spans="1:2" x14ac:dyDescent="0.25">
      <c r="A6418" s="924">
        <f t="shared" si="100"/>
        <v>6418</v>
      </c>
      <c r="B6418" s="924">
        <v>14.6</v>
      </c>
    </row>
    <row r="6419" spans="1:2" x14ac:dyDescent="0.25">
      <c r="A6419" s="924">
        <f t="shared" si="100"/>
        <v>6419</v>
      </c>
      <c r="B6419" s="924">
        <v>14.6</v>
      </c>
    </row>
    <row r="6420" spans="1:2" x14ac:dyDescent="0.25">
      <c r="A6420" s="924">
        <f t="shared" si="100"/>
        <v>6420</v>
      </c>
      <c r="B6420" s="924">
        <v>14.6</v>
      </c>
    </row>
    <row r="6421" spans="1:2" x14ac:dyDescent="0.25">
      <c r="A6421" s="924">
        <f t="shared" si="100"/>
        <v>6421</v>
      </c>
      <c r="B6421" s="924">
        <v>14.6</v>
      </c>
    </row>
    <row r="6422" spans="1:2" x14ac:dyDescent="0.25">
      <c r="A6422" s="924">
        <f t="shared" si="100"/>
        <v>6422</v>
      </c>
      <c r="B6422" s="924">
        <v>14.6</v>
      </c>
    </row>
    <row r="6423" spans="1:2" x14ac:dyDescent="0.25">
      <c r="A6423" s="924">
        <f t="shared" si="100"/>
        <v>6423</v>
      </c>
      <c r="B6423" s="924">
        <v>14.6</v>
      </c>
    </row>
    <row r="6424" spans="1:2" x14ac:dyDescent="0.25">
      <c r="A6424" s="924">
        <f t="shared" si="100"/>
        <v>6424</v>
      </c>
      <c r="B6424" s="924">
        <v>14.6</v>
      </c>
    </row>
    <row r="6425" spans="1:2" x14ac:dyDescent="0.25">
      <c r="A6425" s="924">
        <f t="shared" si="100"/>
        <v>6425</v>
      </c>
      <c r="B6425" s="924">
        <v>14.6</v>
      </c>
    </row>
    <row r="6426" spans="1:2" x14ac:dyDescent="0.25">
      <c r="A6426" s="924">
        <f t="shared" si="100"/>
        <v>6426</v>
      </c>
      <c r="B6426" s="924">
        <v>14.6</v>
      </c>
    </row>
    <row r="6427" spans="1:2" x14ac:dyDescent="0.25">
      <c r="A6427" s="924">
        <f t="shared" si="100"/>
        <v>6427</v>
      </c>
      <c r="B6427" s="924">
        <v>14.6</v>
      </c>
    </row>
    <row r="6428" spans="1:2" x14ac:dyDescent="0.25">
      <c r="A6428" s="924">
        <f t="shared" si="100"/>
        <v>6428</v>
      </c>
      <c r="B6428" s="924">
        <v>14.6</v>
      </c>
    </row>
    <row r="6429" spans="1:2" x14ac:dyDescent="0.25">
      <c r="A6429" s="924">
        <f t="shared" si="100"/>
        <v>6429</v>
      </c>
      <c r="B6429" s="924">
        <v>14.6</v>
      </c>
    </row>
    <row r="6430" spans="1:2" x14ac:dyDescent="0.25">
      <c r="A6430" s="924">
        <f t="shared" si="100"/>
        <v>6430</v>
      </c>
      <c r="B6430" s="924">
        <v>14.6</v>
      </c>
    </row>
    <row r="6431" spans="1:2" x14ac:dyDescent="0.25">
      <c r="A6431" s="924">
        <f t="shared" si="100"/>
        <v>6431</v>
      </c>
      <c r="B6431" s="924">
        <v>14.6</v>
      </c>
    </row>
    <row r="6432" spans="1:2" x14ac:dyDescent="0.25">
      <c r="A6432" s="924">
        <f t="shared" si="100"/>
        <v>6432</v>
      </c>
      <c r="B6432" s="924">
        <v>14.6</v>
      </c>
    </row>
    <row r="6433" spans="1:2" x14ac:dyDescent="0.25">
      <c r="A6433" s="924">
        <f t="shared" si="100"/>
        <v>6433</v>
      </c>
      <c r="B6433" s="924">
        <v>14.6</v>
      </c>
    </row>
    <row r="6434" spans="1:2" x14ac:dyDescent="0.25">
      <c r="A6434" s="924">
        <f t="shared" si="100"/>
        <v>6434</v>
      </c>
      <c r="B6434" s="924">
        <v>14.6</v>
      </c>
    </row>
    <row r="6435" spans="1:2" x14ac:dyDescent="0.25">
      <c r="A6435" s="924">
        <f t="shared" si="100"/>
        <v>6435</v>
      </c>
      <c r="B6435" s="924">
        <v>14.6</v>
      </c>
    </row>
    <row r="6436" spans="1:2" x14ac:dyDescent="0.25">
      <c r="A6436" s="924">
        <f t="shared" si="100"/>
        <v>6436</v>
      </c>
      <c r="B6436" s="924">
        <v>14.6</v>
      </c>
    </row>
    <row r="6437" spans="1:2" x14ac:dyDescent="0.25">
      <c r="A6437" s="924">
        <f t="shared" si="100"/>
        <v>6437</v>
      </c>
      <c r="B6437" s="924">
        <v>14.6</v>
      </c>
    </row>
    <row r="6438" spans="1:2" x14ac:dyDescent="0.25">
      <c r="A6438" s="924">
        <f t="shared" si="100"/>
        <v>6438</v>
      </c>
      <c r="B6438" s="924">
        <v>14.6</v>
      </c>
    </row>
    <row r="6439" spans="1:2" x14ac:dyDescent="0.25">
      <c r="A6439" s="924">
        <f t="shared" si="100"/>
        <v>6439</v>
      </c>
      <c r="B6439" s="924">
        <v>14.6</v>
      </c>
    </row>
    <row r="6440" spans="1:2" x14ac:dyDescent="0.25">
      <c r="A6440" s="924">
        <f t="shared" si="100"/>
        <v>6440</v>
      </c>
      <c r="B6440" s="924">
        <v>14.6</v>
      </c>
    </row>
    <row r="6441" spans="1:2" x14ac:dyDescent="0.25">
      <c r="A6441" s="924">
        <f t="shared" si="100"/>
        <v>6441</v>
      </c>
      <c r="B6441" s="924">
        <v>14.6</v>
      </c>
    </row>
    <row r="6442" spans="1:2" x14ac:dyDescent="0.25">
      <c r="A6442" s="924">
        <f t="shared" si="100"/>
        <v>6442</v>
      </c>
      <c r="B6442" s="924">
        <v>14.6</v>
      </c>
    </row>
    <row r="6443" spans="1:2" x14ac:dyDescent="0.25">
      <c r="A6443" s="924">
        <f t="shared" si="100"/>
        <v>6443</v>
      </c>
      <c r="B6443" s="924">
        <v>14.6</v>
      </c>
    </row>
    <row r="6444" spans="1:2" x14ac:dyDescent="0.25">
      <c r="A6444" s="924">
        <f t="shared" si="100"/>
        <v>6444</v>
      </c>
      <c r="B6444" s="924">
        <v>14.6</v>
      </c>
    </row>
    <row r="6445" spans="1:2" x14ac:dyDescent="0.25">
      <c r="A6445" s="924">
        <f t="shared" si="100"/>
        <v>6445</v>
      </c>
      <c r="B6445" s="924">
        <v>14.6</v>
      </c>
    </row>
    <row r="6446" spans="1:2" x14ac:dyDescent="0.25">
      <c r="A6446" s="924">
        <f t="shared" si="100"/>
        <v>6446</v>
      </c>
      <c r="B6446" s="924">
        <v>14.6</v>
      </c>
    </row>
    <row r="6447" spans="1:2" x14ac:dyDescent="0.25">
      <c r="A6447" s="924">
        <f t="shared" si="100"/>
        <v>6447</v>
      </c>
      <c r="B6447" s="924">
        <v>14.6</v>
      </c>
    </row>
    <row r="6448" spans="1:2" x14ac:dyDescent="0.25">
      <c r="A6448" s="924">
        <f t="shared" si="100"/>
        <v>6448</v>
      </c>
      <c r="B6448" s="924">
        <v>14.6</v>
      </c>
    </row>
    <row r="6449" spans="1:2" x14ac:dyDescent="0.25">
      <c r="A6449" s="924">
        <f t="shared" si="100"/>
        <v>6449</v>
      </c>
      <c r="B6449" s="924">
        <v>14.7</v>
      </c>
    </row>
    <row r="6450" spans="1:2" x14ac:dyDescent="0.25">
      <c r="A6450" s="924">
        <f t="shared" si="100"/>
        <v>6450</v>
      </c>
      <c r="B6450" s="924">
        <v>14.7</v>
      </c>
    </row>
    <row r="6451" spans="1:2" x14ac:dyDescent="0.25">
      <c r="A6451" s="924">
        <f t="shared" si="100"/>
        <v>6451</v>
      </c>
      <c r="B6451" s="924">
        <v>14.7</v>
      </c>
    </row>
    <row r="6452" spans="1:2" x14ac:dyDescent="0.25">
      <c r="A6452" s="924">
        <f t="shared" si="100"/>
        <v>6452</v>
      </c>
      <c r="B6452" s="924">
        <v>14.7</v>
      </c>
    </row>
    <row r="6453" spans="1:2" x14ac:dyDescent="0.25">
      <c r="A6453" s="924">
        <f t="shared" si="100"/>
        <v>6453</v>
      </c>
      <c r="B6453" s="924">
        <v>14.7</v>
      </c>
    </row>
    <row r="6454" spans="1:2" x14ac:dyDescent="0.25">
      <c r="A6454" s="924">
        <f t="shared" si="100"/>
        <v>6454</v>
      </c>
      <c r="B6454" s="924">
        <v>14.7</v>
      </c>
    </row>
    <row r="6455" spans="1:2" x14ac:dyDescent="0.25">
      <c r="A6455" s="924">
        <f t="shared" si="100"/>
        <v>6455</v>
      </c>
      <c r="B6455" s="924">
        <v>14.7</v>
      </c>
    </row>
    <row r="6456" spans="1:2" x14ac:dyDescent="0.25">
      <c r="A6456" s="924">
        <f t="shared" si="100"/>
        <v>6456</v>
      </c>
      <c r="B6456" s="924">
        <v>14.7</v>
      </c>
    </row>
    <row r="6457" spans="1:2" x14ac:dyDescent="0.25">
      <c r="A6457" s="924">
        <f t="shared" si="100"/>
        <v>6457</v>
      </c>
      <c r="B6457" s="924">
        <v>14.7</v>
      </c>
    </row>
    <row r="6458" spans="1:2" x14ac:dyDescent="0.25">
      <c r="A6458" s="924">
        <f t="shared" si="100"/>
        <v>6458</v>
      </c>
      <c r="B6458" s="924">
        <v>14.7</v>
      </c>
    </row>
    <row r="6459" spans="1:2" x14ac:dyDescent="0.25">
      <c r="A6459" s="924">
        <f t="shared" si="100"/>
        <v>6459</v>
      </c>
      <c r="B6459" s="924">
        <v>14.7</v>
      </c>
    </row>
    <row r="6460" spans="1:2" x14ac:dyDescent="0.25">
      <c r="A6460" s="924">
        <f t="shared" si="100"/>
        <v>6460</v>
      </c>
      <c r="B6460" s="924">
        <v>14.7</v>
      </c>
    </row>
    <row r="6461" spans="1:2" x14ac:dyDescent="0.25">
      <c r="A6461" s="924">
        <f t="shared" si="100"/>
        <v>6461</v>
      </c>
      <c r="B6461" s="924">
        <v>14.7</v>
      </c>
    </row>
    <row r="6462" spans="1:2" x14ac:dyDescent="0.25">
      <c r="A6462" s="924">
        <f t="shared" si="100"/>
        <v>6462</v>
      </c>
      <c r="B6462" s="924">
        <v>14.7</v>
      </c>
    </row>
    <row r="6463" spans="1:2" x14ac:dyDescent="0.25">
      <c r="A6463" s="924">
        <f t="shared" si="100"/>
        <v>6463</v>
      </c>
      <c r="B6463" s="924">
        <v>14.7</v>
      </c>
    </row>
    <row r="6464" spans="1:2" x14ac:dyDescent="0.25">
      <c r="A6464" s="924">
        <f t="shared" si="100"/>
        <v>6464</v>
      </c>
      <c r="B6464" s="924">
        <v>14.7</v>
      </c>
    </row>
    <row r="6465" spans="1:2" x14ac:dyDescent="0.25">
      <c r="A6465" s="924">
        <f t="shared" si="100"/>
        <v>6465</v>
      </c>
      <c r="B6465" s="924">
        <v>14.7</v>
      </c>
    </row>
    <row r="6466" spans="1:2" x14ac:dyDescent="0.25">
      <c r="A6466" s="924">
        <f t="shared" si="100"/>
        <v>6466</v>
      </c>
      <c r="B6466" s="924">
        <v>14.7</v>
      </c>
    </row>
    <row r="6467" spans="1:2" x14ac:dyDescent="0.25">
      <c r="A6467" s="924">
        <f t="shared" ref="A6467:A6530" si="101">A6466+1</f>
        <v>6467</v>
      </c>
      <c r="B6467" s="924">
        <v>14.7</v>
      </c>
    </row>
    <row r="6468" spans="1:2" x14ac:dyDescent="0.25">
      <c r="A6468" s="924">
        <f t="shared" si="101"/>
        <v>6468</v>
      </c>
      <c r="B6468" s="924">
        <v>14.7</v>
      </c>
    </row>
    <row r="6469" spans="1:2" x14ac:dyDescent="0.25">
      <c r="A6469" s="924">
        <f t="shared" si="101"/>
        <v>6469</v>
      </c>
      <c r="B6469" s="924">
        <v>14.7</v>
      </c>
    </row>
    <row r="6470" spans="1:2" x14ac:dyDescent="0.25">
      <c r="A6470" s="924">
        <f t="shared" si="101"/>
        <v>6470</v>
      </c>
      <c r="B6470" s="924">
        <v>14.7</v>
      </c>
    </row>
    <row r="6471" spans="1:2" x14ac:dyDescent="0.25">
      <c r="A6471" s="924">
        <f t="shared" si="101"/>
        <v>6471</v>
      </c>
      <c r="B6471" s="924">
        <v>14.7</v>
      </c>
    </row>
    <row r="6472" spans="1:2" x14ac:dyDescent="0.25">
      <c r="A6472" s="924">
        <f t="shared" si="101"/>
        <v>6472</v>
      </c>
      <c r="B6472" s="924">
        <v>14.7</v>
      </c>
    </row>
    <row r="6473" spans="1:2" x14ac:dyDescent="0.25">
      <c r="A6473" s="924">
        <f t="shared" si="101"/>
        <v>6473</v>
      </c>
      <c r="B6473" s="924">
        <v>14.7</v>
      </c>
    </row>
    <row r="6474" spans="1:2" x14ac:dyDescent="0.25">
      <c r="A6474" s="924">
        <f t="shared" si="101"/>
        <v>6474</v>
      </c>
      <c r="B6474" s="924">
        <v>14.7</v>
      </c>
    </row>
    <row r="6475" spans="1:2" x14ac:dyDescent="0.25">
      <c r="A6475" s="924">
        <f t="shared" si="101"/>
        <v>6475</v>
      </c>
      <c r="B6475" s="924">
        <v>14.7</v>
      </c>
    </row>
    <row r="6476" spans="1:2" x14ac:dyDescent="0.25">
      <c r="A6476" s="924">
        <f t="shared" si="101"/>
        <v>6476</v>
      </c>
      <c r="B6476" s="924">
        <v>14.7</v>
      </c>
    </row>
    <row r="6477" spans="1:2" x14ac:dyDescent="0.25">
      <c r="A6477" s="924">
        <f t="shared" si="101"/>
        <v>6477</v>
      </c>
      <c r="B6477" s="924">
        <v>14.7</v>
      </c>
    </row>
    <row r="6478" spans="1:2" x14ac:dyDescent="0.25">
      <c r="A6478" s="924">
        <f t="shared" si="101"/>
        <v>6478</v>
      </c>
      <c r="B6478" s="924">
        <v>14.7</v>
      </c>
    </row>
    <row r="6479" spans="1:2" x14ac:dyDescent="0.25">
      <c r="A6479" s="924">
        <f t="shared" si="101"/>
        <v>6479</v>
      </c>
      <c r="B6479" s="924">
        <v>14.7</v>
      </c>
    </row>
    <row r="6480" spans="1:2" x14ac:dyDescent="0.25">
      <c r="A6480" s="924">
        <f t="shared" si="101"/>
        <v>6480</v>
      </c>
      <c r="B6480" s="924">
        <v>14.7</v>
      </c>
    </row>
    <row r="6481" spans="1:2" x14ac:dyDescent="0.25">
      <c r="A6481" s="924">
        <f t="shared" si="101"/>
        <v>6481</v>
      </c>
      <c r="B6481" s="924">
        <v>14.7</v>
      </c>
    </row>
    <row r="6482" spans="1:2" x14ac:dyDescent="0.25">
      <c r="A6482" s="924">
        <f t="shared" si="101"/>
        <v>6482</v>
      </c>
      <c r="B6482" s="924">
        <v>14.7</v>
      </c>
    </row>
    <row r="6483" spans="1:2" x14ac:dyDescent="0.25">
      <c r="A6483" s="924">
        <f t="shared" si="101"/>
        <v>6483</v>
      </c>
      <c r="B6483" s="924">
        <v>14.7</v>
      </c>
    </row>
    <row r="6484" spans="1:2" x14ac:dyDescent="0.25">
      <c r="A6484" s="924">
        <f t="shared" si="101"/>
        <v>6484</v>
      </c>
      <c r="B6484" s="924">
        <v>14.7</v>
      </c>
    </row>
    <row r="6485" spans="1:2" x14ac:dyDescent="0.25">
      <c r="A6485" s="924">
        <f t="shared" si="101"/>
        <v>6485</v>
      </c>
      <c r="B6485" s="924">
        <v>14.7</v>
      </c>
    </row>
    <row r="6486" spans="1:2" x14ac:dyDescent="0.25">
      <c r="A6486" s="924">
        <f t="shared" si="101"/>
        <v>6486</v>
      </c>
      <c r="B6486" s="924">
        <v>14.7</v>
      </c>
    </row>
    <row r="6487" spans="1:2" x14ac:dyDescent="0.25">
      <c r="A6487" s="924">
        <f t="shared" si="101"/>
        <v>6487</v>
      </c>
      <c r="B6487" s="924">
        <v>14.7</v>
      </c>
    </row>
    <row r="6488" spans="1:2" x14ac:dyDescent="0.25">
      <c r="A6488" s="924">
        <f t="shared" si="101"/>
        <v>6488</v>
      </c>
      <c r="B6488" s="924">
        <v>14.7</v>
      </c>
    </row>
    <row r="6489" spans="1:2" x14ac:dyDescent="0.25">
      <c r="A6489" s="924">
        <f t="shared" si="101"/>
        <v>6489</v>
      </c>
      <c r="B6489" s="924">
        <v>14.7</v>
      </c>
    </row>
    <row r="6490" spans="1:2" x14ac:dyDescent="0.25">
      <c r="A6490" s="924">
        <f t="shared" si="101"/>
        <v>6490</v>
      </c>
      <c r="B6490" s="924">
        <v>14.7</v>
      </c>
    </row>
    <row r="6491" spans="1:2" x14ac:dyDescent="0.25">
      <c r="A6491" s="924">
        <f t="shared" si="101"/>
        <v>6491</v>
      </c>
      <c r="B6491" s="924">
        <v>14.7</v>
      </c>
    </row>
    <row r="6492" spans="1:2" x14ac:dyDescent="0.25">
      <c r="A6492" s="924">
        <f t="shared" si="101"/>
        <v>6492</v>
      </c>
      <c r="B6492" s="924">
        <v>14.7</v>
      </c>
    </row>
    <row r="6493" spans="1:2" x14ac:dyDescent="0.25">
      <c r="A6493" s="924">
        <f t="shared" si="101"/>
        <v>6493</v>
      </c>
      <c r="B6493" s="924">
        <v>14.7</v>
      </c>
    </row>
    <row r="6494" spans="1:2" x14ac:dyDescent="0.25">
      <c r="A6494" s="924">
        <f t="shared" si="101"/>
        <v>6494</v>
      </c>
      <c r="B6494" s="924">
        <v>14.7</v>
      </c>
    </row>
    <row r="6495" spans="1:2" x14ac:dyDescent="0.25">
      <c r="A6495" s="924">
        <f t="shared" si="101"/>
        <v>6495</v>
      </c>
      <c r="B6495" s="924">
        <v>14.7</v>
      </c>
    </row>
    <row r="6496" spans="1:2" x14ac:dyDescent="0.25">
      <c r="A6496" s="924">
        <f t="shared" si="101"/>
        <v>6496</v>
      </c>
      <c r="B6496" s="924">
        <v>14.8</v>
      </c>
    </row>
    <row r="6497" spans="1:2" x14ac:dyDescent="0.25">
      <c r="A6497" s="924">
        <f t="shared" si="101"/>
        <v>6497</v>
      </c>
      <c r="B6497" s="924">
        <v>14.8</v>
      </c>
    </row>
    <row r="6498" spans="1:2" x14ac:dyDescent="0.25">
      <c r="A6498" s="924">
        <f t="shared" si="101"/>
        <v>6498</v>
      </c>
      <c r="B6498" s="924">
        <v>14.8</v>
      </c>
    </row>
    <row r="6499" spans="1:2" x14ac:dyDescent="0.25">
      <c r="A6499" s="924">
        <f t="shared" si="101"/>
        <v>6499</v>
      </c>
      <c r="B6499" s="924">
        <v>14.8</v>
      </c>
    </row>
    <row r="6500" spans="1:2" x14ac:dyDescent="0.25">
      <c r="A6500" s="924">
        <f t="shared" si="101"/>
        <v>6500</v>
      </c>
      <c r="B6500" s="924">
        <v>14.8</v>
      </c>
    </row>
    <row r="6501" spans="1:2" x14ac:dyDescent="0.25">
      <c r="A6501" s="924">
        <f t="shared" si="101"/>
        <v>6501</v>
      </c>
      <c r="B6501" s="924">
        <v>14.8</v>
      </c>
    </row>
    <row r="6502" spans="1:2" x14ac:dyDescent="0.25">
      <c r="A6502" s="924">
        <f t="shared" si="101"/>
        <v>6502</v>
      </c>
      <c r="B6502" s="924">
        <v>14.8</v>
      </c>
    </row>
    <row r="6503" spans="1:2" x14ac:dyDescent="0.25">
      <c r="A6503" s="924">
        <f t="shared" si="101"/>
        <v>6503</v>
      </c>
      <c r="B6503" s="924">
        <v>14.8</v>
      </c>
    </row>
    <row r="6504" spans="1:2" x14ac:dyDescent="0.25">
      <c r="A6504" s="924">
        <f t="shared" si="101"/>
        <v>6504</v>
      </c>
      <c r="B6504" s="924">
        <v>14.8</v>
      </c>
    </row>
    <row r="6505" spans="1:2" x14ac:dyDescent="0.25">
      <c r="A6505" s="924">
        <f t="shared" si="101"/>
        <v>6505</v>
      </c>
      <c r="B6505" s="924">
        <v>14.8</v>
      </c>
    </row>
    <row r="6506" spans="1:2" x14ac:dyDescent="0.25">
      <c r="A6506" s="924">
        <f t="shared" si="101"/>
        <v>6506</v>
      </c>
      <c r="B6506" s="924">
        <v>14.8</v>
      </c>
    </row>
    <row r="6507" spans="1:2" x14ac:dyDescent="0.25">
      <c r="A6507" s="924">
        <f t="shared" si="101"/>
        <v>6507</v>
      </c>
      <c r="B6507" s="924">
        <v>14.8</v>
      </c>
    </row>
    <row r="6508" spans="1:2" x14ac:dyDescent="0.25">
      <c r="A6508" s="924">
        <f t="shared" si="101"/>
        <v>6508</v>
      </c>
      <c r="B6508" s="924">
        <v>14.8</v>
      </c>
    </row>
    <row r="6509" spans="1:2" x14ac:dyDescent="0.25">
      <c r="A6509" s="924">
        <f t="shared" si="101"/>
        <v>6509</v>
      </c>
      <c r="B6509" s="924">
        <v>14.8</v>
      </c>
    </row>
    <row r="6510" spans="1:2" x14ac:dyDescent="0.25">
      <c r="A6510" s="924">
        <f t="shared" si="101"/>
        <v>6510</v>
      </c>
      <c r="B6510" s="924">
        <v>14.8</v>
      </c>
    </row>
    <row r="6511" spans="1:2" x14ac:dyDescent="0.25">
      <c r="A6511" s="924">
        <f t="shared" si="101"/>
        <v>6511</v>
      </c>
      <c r="B6511" s="924">
        <v>14.8</v>
      </c>
    </row>
    <row r="6512" spans="1:2" x14ac:dyDescent="0.25">
      <c r="A6512" s="924">
        <f t="shared" si="101"/>
        <v>6512</v>
      </c>
      <c r="B6512" s="924">
        <v>14.8</v>
      </c>
    </row>
    <row r="6513" spans="1:2" x14ac:dyDescent="0.25">
      <c r="A6513" s="924">
        <f t="shared" si="101"/>
        <v>6513</v>
      </c>
      <c r="B6513" s="924">
        <v>14.8</v>
      </c>
    </row>
    <row r="6514" spans="1:2" x14ac:dyDescent="0.25">
      <c r="A6514" s="924">
        <f t="shared" si="101"/>
        <v>6514</v>
      </c>
      <c r="B6514" s="924">
        <v>14.8</v>
      </c>
    </row>
    <row r="6515" spans="1:2" x14ac:dyDescent="0.25">
      <c r="A6515" s="924">
        <f t="shared" si="101"/>
        <v>6515</v>
      </c>
      <c r="B6515" s="924">
        <v>14.8</v>
      </c>
    </row>
    <row r="6516" spans="1:2" x14ac:dyDescent="0.25">
      <c r="A6516" s="924">
        <f t="shared" si="101"/>
        <v>6516</v>
      </c>
      <c r="B6516" s="924">
        <v>14.8</v>
      </c>
    </row>
    <row r="6517" spans="1:2" x14ac:dyDescent="0.25">
      <c r="A6517" s="924">
        <f t="shared" si="101"/>
        <v>6517</v>
      </c>
      <c r="B6517" s="924">
        <v>14.8</v>
      </c>
    </row>
    <row r="6518" spans="1:2" x14ac:dyDescent="0.25">
      <c r="A6518" s="924">
        <f t="shared" si="101"/>
        <v>6518</v>
      </c>
      <c r="B6518" s="924">
        <v>14.8</v>
      </c>
    </row>
    <row r="6519" spans="1:2" x14ac:dyDescent="0.25">
      <c r="A6519" s="924">
        <f t="shared" si="101"/>
        <v>6519</v>
      </c>
      <c r="B6519" s="924">
        <v>14.8</v>
      </c>
    </row>
    <row r="6520" spans="1:2" x14ac:dyDescent="0.25">
      <c r="A6520" s="924">
        <f t="shared" si="101"/>
        <v>6520</v>
      </c>
      <c r="B6520" s="924">
        <v>14.8</v>
      </c>
    </row>
    <row r="6521" spans="1:2" x14ac:dyDescent="0.25">
      <c r="A6521" s="924">
        <f t="shared" si="101"/>
        <v>6521</v>
      </c>
      <c r="B6521" s="924">
        <v>14.8</v>
      </c>
    </row>
    <row r="6522" spans="1:2" x14ac:dyDescent="0.25">
      <c r="A6522" s="924">
        <f t="shared" si="101"/>
        <v>6522</v>
      </c>
      <c r="B6522" s="924">
        <v>14.8</v>
      </c>
    </row>
    <row r="6523" spans="1:2" x14ac:dyDescent="0.25">
      <c r="A6523" s="924">
        <f t="shared" si="101"/>
        <v>6523</v>
      </c>
      <c r="B6523" s="924">
        <v>14.8</v>
      </c>
    </row>
    <row r="6524" spans="1:2" x14ac:dyDescent="0.25">
      <c r="A6524" s="924">
        <f t="shared" si="101"/>
        <v>6524</v>
      </c>
      <c r="B6524" s="924">
        <v>14.8</v>
      </c>
    </row>
    <row r="6525" spans="1:2" x14ac:dyDescent="0.25">
      <c r="A6525" s="924">
        <f t="shared" si="101"/>
        <v>6525</v>
      </c>
      <c r="B6525" s="924">
        <v>14.8</v>
      </c>
    </row>
    <row r="6526" spans="1:2" x14ac:dyDescent="0.25">
      <c r="A6526" s="924">
        <f t="shared" si="101"/>
        <v>6526</v>
      </c>
      <c r="B6526" s="924">
        <v>14.8</v>
      </c>
    </row>
    <row r="6527" spans="1:2" x14ac:dyDescent="0.25">
      <c r="A6527" s="924">
        <f t="shared" si="101"/>
        <v>6527</v>
      </c>
      <c r="B6527" s="924">
        <v>14.8</v>
      </c>
    </row>
    <row r="6528" spans="1:2" x14ac:dyDescent="0.25">
      <c r="A6528" s="924">
        <f t="shared" si="101"/>
        <v>6528</v>
      </c>
      <c r="B6528" s="924">
        <v>14.8</v>
      </c>
    </row>
    <row r="6529" spans="1:2" x14ac:dyDescent="0.25">
      <c r="A6529" s="924">
        <f t="shared" si="101"/>
        <v>6529</v>
      </c>
      <c r="B6529" s="924">
        <v>14.8</v>
      </c>
    </row>
    <row r="6530" spans="1:2" x14ac:dyDescent="0.25">
      <c r="A6530" s="924">
        <f t="shared" si="101"/>
        <v>6530</v>
      </c>
      <c r="B6530" s="924">
        <v>14.8</v>
      </c>
    </row>
    <row r="6531" spans="1:2" x14ac:dyDescent="0.25">
      <c r="A6531" s="924">
        <f t="shared" ref="A6531:A6594" si="102">A6530+1</f>
        <v>6531</v>
      </c>
      <c r="B6531" s="924">
        <v>14.8</v>
      </c>
    </row>
    <row r="6532" spans="1:2" x14ac:dyDescent="0.25">
      <c r="A6532" s="924">
        <f t="shared" si="102"/>
        <v>6532</v>
      </c>
      <c r="B6532" s="924">
        <v>14.8</v>
      </c>
    </row>
    <row r="6533" spans="1:2" x14ac:dyDescent="0.25">
      <c r="A6533" s="924">
        <f t="shared" si="102"/>
        <v>6533</v>
      </c>
      <c r="B6533" s="924">
        <v>14.8</v>
      </c>
    </row>
    <row r="6534" spans="1:2" x14ac:dyDescent="0.25">
      <c r="A6534" s="924">
        <f t="shared" si="102"/>
        <v>6534</v>
      </c>
      <c r="B6534" s="924">
        <v>14.8</v>
      </c>
    </row>
    <row r="6535" spans="1:2" x14ac:dyDescent="0.25">
      <c r="A6535" s="924">
        <f t="shared" si="102"/>
        <v>6535</v>
      </c>
      <c r="B6535" s="924">
        <v>14.8</v>
      </c>
    </row>
    <row r="6536" spans="1:2" x14ac:dyDescent="0.25">
      <c r="A6536" s="924">
        <f t="shared" si="102"/>
        <v>6536</v>
      </c>
      <c r="B6536" s="924">
        <v>14.8</v>
      </c>
    </row>
    <row r="6537" spans="1:2" x14ac:dyDescent="0.25">
      <c r="A6537" s="924">
        <f t="shared" si="102"/>
        <v>6537</v>
      </c>
      <c r="B6537" s="924">
        <v>14.8</v>
      </c>
    </row>
    <row r="6538" spans="1:2" x14ac:dyDescent="0.25">
      <c r="A6538" s="924">
        <f t="shared" si="102"/>
        <v>6538</v>
      </c>
      <c r="B6538" s="924">
        <v>14.8</v>
      </c>
    </row>
    <row r="6539" spans="1:2" x14ac:dyDescent="0.25">
      <c r="A6539" s="924">
        <f t="shared" si="102"/>
        <v>6539</v>
      </c>
      <c r="B6539" s="924">
        <v>14.8</v>
      </c>
    </row>
    <row r="6540" spans="1:2" x14ac:dyDescent="0.25">
      <c r="A6540" s="924">
        <f t="shared" si="102"/>
        <v>6540</v>
      </c>
      <c r="B6540" s="924">
        <v>14.9</v>
      </c>
    </row>
    <row r="6541" spans="1:2" x14ac:dyDescent="0.25">
      <c r="A6541" s="924">
        <f t="shared" si="102"/>
        <v>6541</v>
      </c>
      <c r="B6541" s="924">
        <v>14.9</v>
      </c>
    </row>
    <row r="6542" spans="1:2" x14ac:dyDescent="0.25">
      <c r="A6542" s="924">
        <f t="shared" si="102"/>
        <v>6542</v>
      </c>
      <c r="B6542" s="924">
        <v>14.9</v>
      </c>
    </row>
    <row r="6543" spans="1:2" x14ac:dyDescent="0.25">
      <c r="A6543" s="924">
        <f t="shared" si="102"/>
        <v>6543</v>
      </c>
      <c r="B6543" s="924">
        <v>14.9</v>
      </c>
    </row>
    <row r="6544" spans="1:2" x14ac:dyDescent="0.25">
      <c r="A6544" s="924">
        <f t="shared" si="102"/>
        <v>6544</v>
      </c>
      <c r="B6544" s="924">
        <v>14.9</v>
      </c>
    </row>
    <row r="6545" spans="1:2" x14ac:dyDescent="0.25">
      <c r="A6545" s="924">
        <f t="shared" si="102"/>
        <v>6545</v>
      </c>
      <c r="B6545" s="924">
        <v>14.9</v>
      </c>
    </row>
    <row r="6546" spans="1:2" x14ac:dyDescent="0.25">
      <c r="A6546" s="924">
        <f t="shared" si="102"/>
        <v>6546</v>
      </c>
      <c r="B6546" s="924">
        <v>14.9</v>
      </c>
    </row>
    <row r="6547" spans="1:2" x14ac:dyDescent="0.25">
      <c r="A6547" s="924">
        <f t="shared" si="102"/>
        <v>6547</v>
      </c>
      <c r="B6547" s="924">
        <v>14.9</v>
      </c>
    </row>
    <row r="6548" spans="1:2" x14ac:dyDescent="0.25">
      <c r="A6548" s="924">
        <f t="shared" si="102"/>
        <v>6548</v>
      </c>
      <c r="B6548" s="924">
        <v>14.9</v>
      </c>
    </row>
    <row r="6549" spans="1:2" x14ac:dyDescent="0.25">
      <c r="A6549" s="924">
        <f t="shared" si="102"/>
        <v>6549</v>
      </c>
      <c r="B6549" s="924">
        <v>14.9</v>
      </c>
    </row>
    <row r="6550" spans="1:2" x14ac:dyDescent="0.25">
      <c r="A6550" s="924">
        <f t="shared" si="102"/>
        <v>6550</v>
      </c>
      <c r="B6550" s="924">
        <v>14.9</v>
      </c>
    </row>
    <row r="6551" spans="1:2" x14ac:dyDescent="0.25">
      <c r="A6551" s="924">
        <f t="shared" si="102"/>
        <v>6551</v>
      </c>
      <c r="B6551" s="924">
        <v>14.9</v>
      </c>
    </row>
    <row r="6552" spans="1:2" x14ac:dyDescent="0.25">
      <c r="A6552" s="924">
        <f t="shared" si="102"/>
        <v>6552</v>
      </c>
      <c r="B6552" s="924">
        <v>14.9</v>
      </c>
    </row>
    <row r="6553" spans="1:2" x14ac:dyDescent="0.25">
      <c r="A6553" s="924">
        <f t="shared" si="102"/>
        <v>6553</v>
      </c>
      <c r="B6553" s="924">
        <v>14.9</v>
      </c>
    </row>
    <row r="6554" spans="1:2" x14ac:dyDescent="0.25">
      <c r="A6554" s="924">
        <f t="shared" si="102"/>
        <v>6554</v>
      </c>
      <c r="B6554" s="924">
        <v>14.9</v>
      </c>
    </row>
    <row r="6555" spans="1:2" x14ac:dyDescent="0.25">
      <c r="A6555" s="924">
        <f t="shared" si="102"/>
        <v>6555</v>
      </c>
      <c r="B6555" s="924">
        <v>14.9</v>
      </c>
    </row>
    <row r="6556" spans="1:2" x14ac:dyDescent="0.25">
      <c r="A6556" s="924">
        <f t="shared" si="102"/>
        <v>6556</v>
      </c>
      <c r="B6556" s="924">
        <v>14.9</v>
      </c>
    </row>
    <row r="6557" spans="1:2" x14ac:dyDescent="0.25">
      <c r="A6557" s="924">
        <f t="shared" si="102"/>
        <v>6557</v>
      </c>
      <c r="B6557" s="924">
        <v>14.9</v>
      </c>
    </row>
    <row r="6558" spans="1:2" x14ac:dyDescent="0.25">
      <c r="A6558" s="924">
        <f t="shared" si="102"/>
        <v>6558</v>
      </c>
      <c r="B6558" s="924">
        <v>14.9</v>
      </c>
    </row>
    <row r="6559" spans="1:2" x14ac:dyDescent="0.25">
      <c r="A6559" s="924">
        <f t="shared" si="102"/>
        <v>6559</v>
      </c>
      <c r="B6559" s="924">
        <v>14.9</v>
      </c>
    </row>
    <row r="6560" spans="1:2" x14ac:dyDescent="0.25">
      <c r="A6560" s="924">
        <f t="shared" si="102"/>
        <v>6560</v>
      </c>
      <c r="B6560" s="924">
        <v>14.9</v>
      </c>
    </row>
    <row r="6561" spans="1:2" x14ac:dyDescent="0.25">
      <c r="A6561" s="924">
        <f t="shared" si="102"/>
        <v>6561</v>
      </c>
      <c r="B6561" s="924">
        <v>14.9</v>
      </c>
    </row>
    <row r="6562" spans="1:2" x14ac:dyDescent="0.25">
      <c r="A6562" s="924">
        <f t="shared" si="102"/>
        <v>6562</v>
      </c>
      <c r="B6562" s="924">
        <v>14.9</v>
      </c>
    </row>
    <row r="6563" spans="1:2" x14ac:dyDescent="0.25">
      <c r="A6563" s="924">
        <f t="shared" si="102"/>
        <v>6563</v>
      </c>
      <c r="B6563" s="924">
        <v>14.9</v>
      </c>
    </row>
    <row r="6564" spans="1:2" x14ac:dyDescent="0.25">
      <c r="A6564" s="924">
        <f t="shared" si="102"/>
        <v>6564</v>
      </c>
      <c r="B6564" s="924">
        <v>14.9</v>
      </c>
    </row>
    <row r="6565" spans="1:2" x14ac:dyDescent="0.25">
      <c r="A6565" s="924">
        <f t="shared" si="102"/>
        <v>6565</v>
      </c>
      <c r="B6565" s="924">
        <v>14.9</v>
      </c>
    </row>
    <row r="6566" spans="1:2" x14ac:dyDescent="0.25">
      <c r="A6566" s="924">
        <f t="shared" si="102"/>
        <v>6566</v>
      </c>
      <c r="B6566" s="924">
        <v>14.9</v>
      </c>
    </row>
    <row r="6567" spans="1:2" x14ac:dyDescent="0.25">
      <c r="A6567" s="924">
        <f t="shared" si="102"/>
        <v>6567</v>
      </c>
      <c r="B6567" s="924">
        <v>14.9</v>
      </c>
    </row>
    <row r="6568" spans="1:2" x14ac:dyDescent="0.25">
      <c r="A6568" s="924">
        <f t="shared" si="102"/>
        <v>6568</v>
      </c>
      <c r="B6568" s="924">
        <v>14.9</v>
      </c>
    </row>
    <row r="6569" spans="1:2" x14ac:dyDescent="0.25">
      <c r="A6569" s="924">
        <f t="shared" si="102"/>
        <v>6569</v>
      </c>
      <c r="B6569" s="924">
        <v>14.9</v>
      </c>
    </row>
    <row r="6570" spans="1:2" x14ac:dyDescent="0.25">
      <c r="A6570" s="924">
        <f t="shared" si="102"/>
        <v>6570</v>
      </c>
      <c r="B6570" s="924">
        <v>14.9</v>
      </c>
    </row>
    <row r="6571" spans="1:2" x14ac:dyDescent="0.25">
      <c r="A6571" s="924">
        <f t="shared" si="102"/>
        <v>6571</v>
      </c>
      <c r="B6571" s="924">
        <v>14.9</v>
      </c>
    </row>
    <row r="6572" spans="1:2" x14ac:dyDescent="0.25">
      <c r="A6572" s="924">
        <f t="shared" si="102"/>
        <v>6572</v>
      </c>
      <c r="B6572" s="924">
        <v>14.9</v>
      </c>
    </row>
    <row r="6573" spans="1:2" x14ac:dyDescent="0.25">
      <c r="A6573" s="924">
        <f t="shared" si="102"/>
        <v>6573</v>
      </c>
      <c r="B6573" s="924">
        <v>14.9</v>
      </c>
    </row>
    <row r="6574" spans="1:2" x14ac:dyDescent="0.25">
      <c r="A6574" s="924">
        <f t="shared" si="102"/>
        <v>6574</v>
      </c>
      <c r="B6574" s="924">
        <v>14.9</v>
      </c>
    </row>
    <row r="6575" spans="1:2" x14ac:dyDescent="0.25">
      <c r="A6575" s="924">
        <f t="shared" si="102"/>
        <v>6575</v>
      </c>
      <c r="B6575" s="924">
        <v>14.9</v>
      </c>
    </row>
    <row r="6576" spans="1:2" x14ac:dyDescent="0.25">
      <c r="A6576" s="924">
        <f t="shared" si="102"/>
        <v>6576</v>
      </c>
      <c r="B6576" s="924">
        <v>14.9</v>
      </c>
    </row>
    <row r="6577" spans="1:2" x14ac:dyDescent="0.25">
      <c r="A6577" s="924">
        <f t="shared" si="102"/>
        <v>6577</v>
      </c>
      <c r="B6577" s="924">
        <v>14.9</v>
      </c>
    </row>
    <row r="6578" spans="1:2" x14ac:dyDescent="0.25">
      <c r="A6578" s="924">
        <f t="shared" si="102"/>
        <v>6578</v>
      </c>
      <c r="B6578" s="924">
        <v>14.9</v>
      </c>
    </row>
    <row r="6579" spans="1:2" x14ac:dyDescent="0.25">
      <c r="A6579" s="924">
        <f t="shared" si="102"/>
        <v>6579</v>
      </c>
      <c r="B6579" s="924">
        <v>14.9</v>
      </c>
    </row>
    <row r="6580" spans="1:2" x14ac:dyDescent="0.25">
      <c r="A6580" s="924">
        <f t="shared" si="102"/>
        <v>6580</v>
      </c>
      <c r="B6580" s="924">
        <v>14.9</v>
      </c>
    </row>
    <row r="6581" spans="1:2" x14ac:dyDescent="0.25">
      <c r="A6581" s="924">
        <f t="shared" si="102"/>
        <v>6581</v>
      </c>
      <c r="B6581" s="924">
        <v>14.9</v>
      </c>
    </row>
    <row r="6582" spans="1:2" x14ac:dyDescent="0.25">
      <c r="A6582" s="924">
        <f t="shared" si="102"/>
        <v>6582</v>
      </c>
      <c r="B6582" s="924">
        <v>14.9</v>
      </c>
    </row>
    <row r="6583" spans="1:2" x14ac:dyDescent="0.25">
      <c r="A6583" s="924">
        <f t="shared" si="102"/>
        <v>6583</v>
      </c>
      <c r="B6583" s="924">
        <v>14.9</v>
      </c>
    </row>
    <row r="6584" spans="1:2" x14ac:dyDescent="0.25">
      <c r="A6584" s="924">
        <f t="shared" si="102"/>
        <v>6584</v>
      </c>
      <c r="B6584" s="924">
        <v>14.9</v>
      </c>
    </row>
    <row r="6585" spans="1:2" x14ac:dyDescent="0.25">
      <c r="A6585" s="924">
        <f t="shared" si="102"/>
        <v>6585</v>
      </c>
      <c r="B6585" s="924">
        <v>14.9</v>
      </c>
    </row>
    <row r="6586" spans="1:2" x14ac:dyDescent="0.25">
      <c r="A6586" s="924">
        <f t="shared" si="102"/>
        <v>6586</v>
      </c>
      <c r="B6586" s="924">
        <v>14.9</v>
      </c>
    </row>
    <row r="6587" spans="1:2" x14ac:dyDescent="0.25">
      <c r="A6587" s="924">
        <f t="shared" si="102"/>
        <v>6587</v>
      </c>
      <c r="B6587" s="924">
        <v>14.9</v>
      </c>
    </row>
    <row r="6588" spans="1:2" x14ac:dyDescent="0.25">
      <c r="A6588" s="924">
        <f t="shared" si="102"/>
        <v>6588</v>
      </c>
      <c r="B6588" s="924">
        <v>15</v>
      </c>
    </row>
    <row r="6589" spans="1:2" x14ac:dyDescent="0.25">
      <c r="A6589" s="924">
        <f t="shared" si="102"/>
        <v>6589</v>
      </c>
      <c r="B6589" s="924">
        <v>15</v>
      </c>
    </row>
    <row r="6590" spans="1:2" x14ac:dyDescent="0.25">
      <c r="A6590" s="924">
        <f t="shared" si="102"/>
        <v>6590</v>
      </c>
      <c r="B6590" s="924">
        <v>15</v>
      </c>
    </row>
    <row r="6591" spans="1:2" x14ac:dyDescent="0.25">
      <c r="A6591" s="924">
        <f t="shared" si="102"/>
        <v>6591</v>
      </c>
      <c r="B6591" s="924">
        <v>15</v>
      </c>
    </row>
    <row r="6592" spans="1:2" x14ac:dyDescent="0.25">
      <c r="A6592" s="924">
        <f t="shared" si="102"/>
        <v>6592</v>
      </c>
      <c r="B6592" s="924">
        <v>15</v>
      </c>
    </row>
    <row r="6593" spans="1:2" x14ac:dyDescent="0.25">
      <c r="A6593" s="924">
        <f t="shared" si="102"/>
        <v>6593</v>
      </c>
      <c r="B6593" s="924">
        <v>15</v>
      </c>
    </row>
    <row r="6594" spans="1:2" x14ac:dyDescent="0.25">
      <c r="A6594" s="924">
        <f t="shared" si="102"/>
        <v>6594</v>
      </c>
      <c r="B6594" s="924">
        <v>15</v>
      </c>
    </row>
    <row r="6595" spans="1:2" x14ac:dyDescent="0.25">
      <c r="A6595" s="924">
        <f t="shared" ref="A6595:A6658" si="103">A6594+1</f>
        <v>6595</v>
      </c>
      <c r="B6595" s="924">
        <v>15</v>
      </c>
    </row>
    <row r="6596" spans="1:2" x14ac:dyDescent="0.25">
      <c r="A6596" s="924">
        <f t="shared" si="103"/>
        <v>6596</v>
      </c>
      <c r="B6596" s="924">
        <v>15</v>
      </c>
    </row>
    <row r="6597" spans="1:2" x14ac:dyDescent="0.25">
      <c r="A6597" s="924">
        <f t="shared" si="103"/>
        <v>6597</v>
      </c>
      <c r="B6597" s="924">
        <v>15</v>
      </c>
    </row>
    <row r="6598" spans="1:2" x14ac:dyDescent="0.25">
      <c r="A6598" s="924">
        <f t="shared" si="103"/>
        <v>6598</v>
      </c>
      <c r="B6598" s="924">
        <v>15</v>
      </c>
    </row>
    <row r="6599" spans="1:2" x14ac:dyDescent="0.25">
      <c r="A6599" s="924">
        <f t="shared" si="103"/>
        <v>6599</v>
      </c>
      <c r="B6599" s="924">
        <v>15</v>
      </c>
    </row>
    <row r="6600" spans="1:2" x14ac:dyDescent="0.25">
      <c r="A6600" s="924">
        <f t="shared" si="103"/>
        <v>6600</v>
      </c>
      <c r="B6600" s="924">
        <v>15</v>
      </c>
    </row>
    <row r="6601" spans="1:2" x14ac:dyDescent="0.25">
      <c r="A6601" s="924">
        <f t="shared" si="103"/>
        <v>6601</v>
      </c>
      <c r="B6601" s="924">
        <v>15</v>
      </c>
    </row>
    <row r="6602" spans="1:2" x14ac:dyDescent="0.25">
      <c r="A6602" s="924">
        <f t="shared" si="103"/>
        <v>6602</v>
      </c>
      <c r="B6602" s="924">
        <v>15</v>
      </c>
    </row>
    <row r="6603" spans="1:2" x14ac:dyDescent="0.25">
      <c r="A6603" s="924">
        <f t="shared" si="103"/>
        <v>6603</v>
      </c>
      <c r="B6603" s="924">
        <v>15</v>
      </c>
    </row>
    <row r="6604" spans="1:2" x14ac:dyDescent="0.25">
      <c r="A6604" s="924">
        <f t="shared" si="103"/>
        <v>6604</v>
      </c>
      <c r="B6604" s="924">
        <v>15</v>
      </c>
    </row>
    <row r="6605" spans="1:2" x14ac:dyDescent="0.25">
      <c r="A6605" s="924">
        <f t="shared" si="103"/>
        <v>6605</v>
      </c>
      <c r="B6605" s="924">
        <v>15</v>
      </c>
    </row>
    <row r="6606" spans="1:2" x14ac:dyDescent="0.25">
      <c r="A6606" s="924">
        <f t="shared" si="103"/>
        <v>6606</v>
      </c>
      <c r="B6606" s="924">
        <v>15</v>
      </c>
    </row>
    <row r="6607" spans="1:2" x14ac:dyDescent="0.25">
      <c r="A6607" s="924">
        <f t="shared" si="103"/>
        <v>6607</v>
      </c>
      <c r="B6607" s="924">
        <v>15</v>
      </c>
    </row>
    <row r="6608" spans="1:2" x14ac:dyDescent="0.25">
      <c r="A6608" s="924">
        <f t="shared" si="103"/>
        <v>6608</v>
      </c>
      <c r="B6608" s="924">
        <v>15</v>
      </c>
    </row>
    <row r="6609" spans="1:2" x14ac:dyDescent="0.25">
      <c r="A6609" s="924">
        <f t="shared" si="103"/>
        <v>6609</v>
      </c>
      <c r="B6609" s="924">
        <v>15</v>
      </c>
    </row>
    <row r="6610" spans="1:2" x14ac:dyDescent="0.25">
      <c r="A6610" s="924">
        <f t="shared" si="103"/>
        <v>6610</v>
      </c>
      <c r="B6610" s="924">
        <v>15</v>
      </c>
    </row>
    <row r="6611" spans="1:2" x14ac:dyDescent="0.25">
      <c r="A6611" s="924">
        <f t="shared" si="103"/>
        <v>6611</v>
      </c>
      <c r="B6611" s="924">
        <v>15</v>
      </c>
    </row>
    <row r="6612" spans="1:2" x14ac:dyDescent="0.25">
      <c r="A6612" s="924">
        <f t="shared" si="103"/>
        <v>6612</v>
      </c>
      <c r="B6612" s="924">
        <v>15</v>
      </c>
    </row>
    <row r="6613" spans="1:2" x14ac:dyDescent="0.25">
      <c r="A6613" s="924">
        <f t="shared" si="103"/>
        <v>6613</v>
      </c>
      <c r="B6613" s="924">
        <v>15</v>
      </c>
    </row>
    <row r="6614" spans="1:2" x14ac:dyDescent="0.25">
      <c r="A6614" s="924">
        <f t="shared" si="103"/>
        <v>6614</v>
      </c>
      <c r="B6614" s="924">
        <v>15</v>
      </c>
    </row>
    <row r="6615" spans="1:2" x14ac:dyDescent="0.25">
      <c r="A6615" s="924">
        <f t="shared" si="103"/>
        <v>6615</v>
      </c>
      <c r="B6615" s="924">
        <v>15</v>
      </c>
    </row>
    <row r="6616" spans="1:2" x14ac:dyDescent="0.25">
      <c r="A6616" s="924">
        <f t="shared" si="103"/>
        <v>6616</v>
      </c>
      <c r="B6616" s="924">
        <v>15</v>
      </c>
    </row>
    <row r="6617" spans="1:2" x14ac:dyDescent="0.25">
      <c r="A6617" s="924">
        <f t="shared" si="103"/>
        <v>6617</v>
      </c>
      <c r="B6617" s="924">
        <v>15</v>
      </c>
    </row>
    <row r="6618" spans="1:2" x14ac:dyDescent="0.25">
      <c r="A6618" s="924">
        <f t="shared" si="103"/>
        <v>6618</v>
      </c>
      <c r="B6618" s="924">
        <v>15</v>
      </c>
    </row>
    <row r="6619" spans="1:2" x14ac:dyDescent="0.25">
      <c r="A6619" s="924">
        <f t="shared" si="103"/>
        <v>6619</v>
      </c>
      <c r="B6619" s="924">
        <v>15</v>
      </c>
    </row>
    <row r="6620" spans="1:2" x14ac:dyDescent="0.25">
      <c r="A6620" s="924">
        <f t="shared" si="103"/>
        <v>6620</v>
      </c>
      <c r="B6620" s="924">
        <v>15</v>
      </c>
    </row>
    <row r="6621" spans="1:2" x14ac:dyDescent="0.25">
      <c r="A6621" s="924">
        <f t="shared" si="103"/>
        <v>6621</v>
      </c>
      <c r="B6621" s="924">
        <v>15</v>
      </c>
    </row>
    <row r="6622" spans="1:2" x14ac:dyDescent="0.25">
      <c r="A6622" s="924">
        <f t="shared" si="103"/>
        <v>6622</v>
      </c>
      <c r="B6622" s="924">
        <v>15</v>
      </c>
    </row>
    <row r="6623" spans="1:2" x14ac:dyDescent="0.25">
      <c r="A6623" s="924">
        <f t="shared" si="103"/>
        <v>6623</v>
      </c>
      <c r="B6623" s="924">
        <v>15</v>
      </c>
    </row>
    <row r="6624" spans="1:2" x14ac:dyDescent="0.25">
      <c r="A6624" s="924">
        <f t="shared" si="103"/>
        <v>6624</v>
      </c>
      <c r="B6624" s="924">
        <v>15</v>
      </c>
    </row>
    <row r="6625" spans="1:2" x14ac:dyDescent="0.25">
      <c r="A6625" s="924">
        <f t="shared" si="103"/>
        <v>6625</v>
      </c>
      <c r="B6625" s="924">
        <v>15</v>
      </c>
    </row>
    <row r="6626" spans="1:2" x14ac:dyDescent="0.25">
      <c r="A6626" s="924">
        <f t="shared" si="103"/>
        <v>6626</v>
      </c>
      <c r="B6626" s="924">
        <v>15</v>
      </c>
    </row>
    <row r="6627" spans="1:2" x14ac:dyDescent="0.25">
      <c r="A6627" s="924">
        <f t="shared" si="103"/>
        <v>6627</v>
      </c>
      <c r="B6627" s="924">
        <v>15</v>
      </c>
    </row>
    <row r="6628" spans="1:2" x14ac:dyDescent="0.25">
      <c r="A6628" s="924">
        <f t="shared" si="103"/>
        <v>6628</v>
      </c>
      <c r="B6628" s="924">
        <v>15</v>
      </c>
    </row>
    <row r="6629" spans="1:2" x14ac:dyDescent="0.25">
      <c r="A6629" s="924">
        <f t="shared" si="103"/>
        <v>6629</v>
      </c>
      <c r="B6629" s="924">
        <v>15</v>
      </c>
    </row>
    <row r="6630" spans="1:2" x14ac:dyDescent="0.25">
      <c r="A6630" s="924">
        <f t="shared" si="103"/>
        <v>6630</v>
      </c>
      <c r="B6630" s="924">
        <v>15</v>
      </c>
    </row>
    <row r="6631" spans="1:2" x14ac:dyDescent="0.25">
      <c r="A6631" s="924">
        <f t="shared" si="103"/>
        <v>6631</v>
      </c>
      <c r="B6631" s="924">
        <v>15</v>
      </c>
    </row>
    <row r="6632" spans="1:2" x14ac:dyDescent="0.25">
      <c r="A6632" s="924">
        <f t="shared" si="103"/>
        <v>6632</v>
      </c>
      <c r="B6632" s="924">
        <v>15</v>
      </c>
    </row>
    <row r="6633" spans="1:2" x14ac:dyDescent="0.25">
      <c r="A6633" s="924">
        <f t="shared" si="103"/>
        <v>6633</v>
      </c>
      <c r="B6633" s="924">
        <v>15</v>
      </c>
    </row>
    <row r="6634" spans="1:2" x14ac:dyDescent="0.25">
      <c r="A6634" s="924">
        <f t="shared" si="103"/>
        <v>6634</v>
      </c>
      <c r="B6634" s="924">
        <v>15</v>
      </c>
    </row>
    <row r="6635" spans="1:2" x14ac:dyDescent="0.25">
      <c r="A6635" s="924">
        <f t="shared" si="103"/>
        <v>6635</v>
      </c>
      <c r="B6635" s="924">
        <v>15</v>
      </c>
    </row>
    <row r="6636" spans="1:2" x14ac:dyDescent="0.25">
      <c r="A6636" s="924">
        <f t="shared" si="103"/>
        <v>6636</v>
      </c>
      <c r="B6636" s="924">
        <v>15</v>
      </c>
    </row>
    <row r="6637" spans="1:2" x14ac:dyDescent="0.25">
      <c r="A6637" s="924">
        <f t="shared" si="103"/>
        <v>6637</v>
      </c>
      <c r="B6637" s="924">
        <v>15</v>
      </c>
    </row>
    <row r="6638" spans="1:2" x14ac:dyDescent="0.25">
      <c r="A6638" s="924">
        <f t="shared" si="103"/>
        <v>6638</v>
      </c>
      <c r="B6638" s="924">
        <v>15</v>
      </c>
    </row>
    <row r="6639" spans="1:2" x14ac:dyDescent="0.25">
      <c r="A6639" s="924">
        <f t="shared" si="103"/>
        <v>6639</v>
      </c>
      <c r="B6639" s="924">
        <v>15</v>
      </c>
    </row>
    <row r="6640" spans="1:2" x14ac:dyDescent="0.25">
      <c r="A6640" s="924">
        <f t="shared" si="103"/>
        <v>6640</v>
      </c>
      <c r="B6640" s="924">
        <v>15.1</v>
      </c>
    </row>
    <row r="6641" spans="1:2" x14ac:dyDescent="0.25">
      <c r="A6641" s="924">
        <f t="shared" si="103"/>
        <v>6641</v>
      </c>
      <c r="B6641" s="924">
        <v>15.1</v>
      </c>
    </row>
    <row r="6642" spans="1:2" x14ac:dyDescent="0.25">
      <c r="A6642" s="924">
        <f t="shared" si="103"/>
        <v>6642</v>
      </c>
      <c r="B6642" s="924">
        <v>15.1</v>
      </c>
    </row>
    <row r="6643" spans="1:2" x14ac:dyDescent="0.25">
      <c r="A6643" s="924">
        <f t="shared" si="103"/>
        <v>6643</v>
      </c>
      <c r="B6643" s="924">
        <v>15.1</v>
      </c>
    </row>
    <row r="6644" spans="1:2" x14ac:dyDescent="0.25">
      <c r="A6644" s="924">
        <f t="shared" si="103"/>
        <v>6644</v>
      </c>
      <c r="B6644" s="924">
        <v>15.1</v>
      </c>
    </row>
    <row r="6645" spans="1:2" x14ac:dyDescent="0.25">
      <c r="A6645" s="924">
        <f t="shared" si="103"/>
        <v>6645</v>
      </c>
      <c r="B6645" s="924">
        <v>15.1</v>
      </c>
    </row>
    <row r="6646" spans="1:2" x14ac:dyDescent="0.25">
      <c r="A6646" s="924">
        <f t="shared" si="103"/>
        <v>6646</v>
      </c>
      <c r="B6646" s="924">
        <v>15.1</v>
      </c>
    </row>
    <row r="6647" spans="1:2" x14ac:dyDescent="0.25">
      <c r="A6647" s="924">
        <f t="shared" si="103"/>
        <v>6647</v>
      </c>
      <c r="B6647" s="924">
        <v>15.1</v>
      </c>
    </row>
    <row r="6648" spans="1:2" x14ac:dyDescent="0.25">
      <c r="A6648" s="924">
        <f t="shared" si="103"/>
        <v>6648</v>
      </c>
      <c r="B6648" s="924">
        <v>15.1</v>
      </c>
    </row>
    <row r="6649" spans="1:2" x14ac:dyDescent="0.25">
      <c r="A6649" s="924">
        <f t="shared" si="103"/>
        <v>6649</v>
      </c>
      <c r="B6649" s="924">
        <v>15.1</v>
      </c>
    </row>
    <row r="6650" spans="1:2" x14ac:dyDescent="0.25">
      <c r="A6650" s="924">
        <f t="shared" si="103"/>
        <v>6650</v>
      </c>
      <c r="B6650" s="924">
        <v>15.1</v>
      </c>
    </row>
    <row r="6651" spans="1:2" x14ac:dyDescent="0.25">
      <c r="A6651" s="924">
        <f t="shared" si="103"/>
        <v>6651</v>
      </c>
      <c r="B6651" s="924">
        <v>15.1</v>
      </c>
    </row>
    <row r="6652" spans="1:2" x14ac:dyDescent="0.25">
      <c r="A6652" s="924">
        <f t="shared" si="103"/>
        <v>6652</v>
      </c>
      <c r="B6652" s="924">
        <v>15.1</v>
      </c>
    </row>
    <row r="6653" spans="1:2" x14ac:dyDescent="0.25">
      <c r="A6653" s="924">
        <f t="shared" si="103"/>
        <v>6653</v>
      </c>
      <c r="B6653" s="924">
        <v>15.1</v>
      </c>
    </row>
    <row r="6654" spans="1:2" x14ac:dyDescent="0.25">
      <c r="A6654" s="924">
        <f t="shared" si="103"/>
        <v>6654</v>
      </c>
      <c r="B6654" s="924">
        <v>15.1</v>
      </c>
    </row>
    <row r="6655" spans="1:2" x14ac:dyDescent="0.25">
      <c r="A6655" s="924">
        <f t="shared" si="103"/>
        <v>6655</v>
      </c>
      <c r="B6655" s="924">
        <v>15.1</v>
      </c>
    </row>
    <row r="6656" spans="1:2" x14ac:dyDescent="0.25">
      <c r="A6656" s="924">
        <f t="shared" si="103"/>
        <v>6656</v>
      </c>
      <c r="B6656" s="924">
        <v>15.1</v>
      </c>
    </row>
    <row r="6657" spans="1:2" x14ac:dyDescent="0.25">
      <c r="A6657" s="924">
        <f t="shared" si="103"/>
        <v>6657</v>
      </c>
      <c r="B6657" s="924">
        <v>15.1</v>
      </c>
    </row>
    <row r="6658" spans="1:2" x14ac:dyDescent="0.25">
      <c r="A6658" s="924">
        <f t="shared" si="103"/>
        <v>6658</v>
      </c>
      <c r="B6658" s="924">
        <v>15.1</v>
      </c>
    </row>
    <row r="6659" spans="1:2" x14ac:dyDescent="0.25">
      <c r="A6659" s="924">
        <f t="shared" ref="A6659:A6722" si="104">A6658+1</f>
        <v>6659</v>
      </c>
      <c r="B6659" s="924">
        <v>15.1</v>
      </c>
    </row>
    <row r="6660" spans="1:2" x14ac:dyDescent="0.25">
      <c r="A6660" s="924">
        <f t="shared" si="104"/>
        <v>6660</v>
      </c>
      <c r="B6660" s="924">
        <v>15.1</v>
      </c>
    </row>
    <row r="6661" spans="1:2" x14ac:dyDescent="0.25">
      <c r="A6661" s="924">
        <f t="shared" si="104"/>
        <v>6661</v>
      </c>
      <c r="B6661" s="924">
        <v>15.1</v>
      </c>
    </row>
    <row r="6662" spans="1:2" x14ac:dyDescent="0.25">
      <c r="A6662" s="924">
        <f t="shared" si="104"/>
        <v>6662</v>
      </c>
      <c r="B6662" s="924">
        <v>15.1</v>
      </c>
    </row>
    <row r="6663" spans="1:2" x14ac:dyDescent="0.25">
      <c r="A6663" s="924">
        <f t="shared" si="104"/>
        <v>6663</v>
      </c>
      <c r="B6663" s="924">
        <v>15.1</v>
      </c>
    </row>
    <row r="6664" spans="1:2" x14ac:dyDescent="0.25">
      <c r="A6664" s="924">
        <f t="shared" si="104"/>
        <v>6664</v>
      </c>
      <c r="B6664" s="924">
        <v>15.1</v>
      </c>
    </row>
    <row r="6665" spans="1:2" x14ac:dyDescent="0.25">
      <c r="A6665" s="924">
        <f t="shared" si="104"/>
        <v>6665</v>
      </c>
      <c r="B6665" s="924">
        <v>15.1</v>
      </c>
    </row>
    <row r="6666" spans="1:2" x14ac:dyDescent="0.25">
      <c r="A6666" s="924">
        <f t="shared" si="104"/>
        <v>6666</v>
      </c>
      <c r="B6666" s="924">
        <v>15.1</v>
      </c>
    </row>
    <row r="6667" spans="1:2" x14ac:dyDescent="0.25">
      <c r="A6667" s="924">
        <f t="shared" si="104"/>
        <v>6667</v>
      </c>
      <c r="B6667" s="924">
        <v>15.1</v>
      </c>
    </row>
    <row r="6668" spans="1:2" x14ac:dyDescent="0.25">
      <c r="A6668" s="924">
        <f t="shared" si="104"/>
        <v>6668</v>
      </c>
      <c r="B6668" s="924">
        <v>15.1</v>
      </c>
    </row>
    <row r="6669" spans="1:2" x14ac:dyDescent="0.25">
      <c r="A6669" s="924">
        <f t="shared" si="104"/>
        <v>6669</v>
      </c>
      <c r="B6669" s="924">
        <v>15.1</v>
      </c>
    </row>
    <row r="6670" spans="1:2" x14ac:dyDescent="0.25">
      <c r="A6670" s="924">
        <f t="shared" si="104"/>
        <v>6670</v>
      </c>
      <c r="B6670" s="924">
        <v>15.1</v>
      </c>
    </row>
    <row r="6671" spans="1:2" x14ac:dyDescent="0.25">
      <c r="A6671" s="924">
        <f t="shared" si="104"/>
        <v>6671</v>
      </c>
      <c r="B6671" s="924">
        <v>15.1</v>
      </c>
    </row>
    <row r="6672" spans="1:2" x14ac:dyDescent="0.25">
      <c r="A6672" s="924">
        <f t="shared" si="104"/>
        <v>6672</v>
      </c>
      <c r="B6672" s="924">
        <v>15.1</v>
      </c>
    </row>
    <row r="6673" spans="1:2" x14ac:dyDescent="0.25">
      <c r="A6673" s="924">
        <f t="shared" si="104"/>
        <v>6673</v>
      </c>
      <c r="B6673" s="924">
        <v>15.1</v>
      </c>
    </row>
    <row r="6674" spans="1:2" x14ac:dyDescent="0.25">
      <c r="A6674" s="924">
        <f t="shared" si="104"/>
        <v>6674</v>
      </c>
      <c r="B6674" s="924">
        <v>15.1</v>
      </c>
    </row>
    <row r="6675" spans="1:2" x14ac:dyDescent="0.25">
      <c r="A6675" s="924">
        <f t="shared" si="104"/>
        <v>6675</v>
      </c>
      <c r="B6675" s="924">
        <v>15.1</v>
      </c>
    </row>
    <row r="6676" spans="1:2" x14ac:dyDescent="0.25">
      <c r="A6676" s="924">
        <f t="shared" si="104"/>
        <v>6676</v>
      </c>
      <c r="B6676" s="924">
        <v>15.1</v>
      </c>
    </row>
    <row r="6677" spans="1:2" x14ac:dyDescent="0.25">
      <c r="A6677" s="924">
        <f t="shared" si="104"/>
        <v>6677</v>
      </c>
      <c r="B6677" s="924">
        <v>15.1</v>
      </c>
    </row>
    <row r="6678" spans="1:2" x14ac:dyDescent="0.25">
      <c r="A6678" s="924">
        <f t="shared" si="104"/>
        <v>6678</v>
      </c>
      <c r="B6678" s="924">
        <v>15.1</v>
      </c>
    </row>
    <row r="6679" spans="1:2" x14ac:dyDescent="0.25">
      <c r="A6679" s="924">
        <f t="shared" si="104"/>
        <v>6679</v>
      </c>
      <c r="B6679" s="924">
        <v>15.1</v>
      </c>
    </row>
    <row r="6680" spans="1:2" x14ac:dyDescent="0.25">
      <c r="A6680" s="924">
        <f t="shared" si="104"/>
        <v>6680</v>
      </c>
      <c r="B6680" s="924">
        <v>15.1</v>
      </c>
    </row>
    <row r="6681" spans="1:2" x14ac:dyDescent="0.25">
      <c r="A6681" s="924">
        <f t="shared" si="104"/>
        <v>6681</v>
      </c>
      <c r="B6681" s="924">
        <v>15.1</v>
      </c>
    </row>
    <row r="6682" spans="1:2" x14ac:dyDescent="0.25">
      <c r="A6682" s="924">
        <f t="shared" si="104"/>
        <v>6682</v>
      </c>
      <c r="B6682" s="924">
        <v>15.1</v>
      </c>
    </row>
    <row r="6683" spans="1:2" x14ac:dyDescent="0.25">
      <c r="A6683" s="924">
        <f t="shared" si="104"/>
        <v>6683</v>
      </c>
      <c r="B6683" s="924">
        <v>15.1</v>
      </c>
    </row>
    <row r="6684" spans="1:2" x14ac:dyDescent="0.25">
      <c r="A6684" s="924">
        <f t="shared" si="104"/>
        <v>6684</v>
      </c>
      <c r="B6684" s="924">
        <v>15.1</v>
      </c>
    </row>
    <row r="6685" spans="1:2" x14ac:dyDescent="0.25">
      <c r="A6685" s="924">
        <f t="shared" si="104"/>
        <v>6685</v>
      </c>
      <c r="B6685" s="924">
        <v>15.1</v>
      </c>
    </row>
    <row r="6686" spans="1:2" x14ac:dyDescent="0.25">
      <c r="A6686" s="924">
        <f t="shared" si="104"/>
        <v>6686</v>
      </c>
      <c r="B6686" s="924">
        <v>15.1</v>
      </c>
    </row>
    <row r="6687" spans="1:2" x14ac:dyDescent="0.25">
      <c r="A6687" s="924">
        <f t="shared" si="104"/>
        <v>6687</v>
      </c>
      <c r="B6687" s="924">
        <v>15.1</v>
      </c>
    </row>
    <row r="6688" spans="1:2" x14ac:dyDescent="0.25">
      <c r="A6688" s="924">
        <f t="shared" si="104"/>
        <v>6688</v>
      </c>
      <c r="B6688" s="924">
        <v>15.1</v>
      </c>
    </row>
    <row r="6689" spans="1:2" x14ac:dyDescent="0.25">
      <c r="A6689" s="924">
        <f t="shared" si="104"/>
        <v>6689</v>
      </c>
      <c r="B6689" s="924">
        <v>15.1</v>
      </c>
    </row>
    <row r="6690" spans="1:2" x14ac:dyDescent="0.25">
      <c r="A6690" s="924">
        <f t="shared" si="104"/>
        <v>6690</v>
      </c>
      <c r="B6690" s="924">
        <v>15.1</v>
      </c>
    </row>
    <row r="6691" spans="1:2" x14ac:dyDescent="0.25">
      <c r="A6691" s="924">
        <f t="shared" si="104"/>
        <v>6691</v>
      </c>
      <c r="B6691" s="924">
        <v>15.1</v>
      </c>
    </row>
    <row r="6692" spans="1:2" x14ac:dyDescent="0.25">
      <c r="A6692" s="924">
        <f t="shared" si="104"/>
        <v>6692</v>
      </c>
      <c r="B6692" s="924">
        <v>15.1</v>
      </c>
    </row>
    <row r="6693" spans="1:2" x14ac:dyDescent="0.25">
      <c r="A6693" s="924">
        <f t="shared" si="104"/>
        <v>6693</v>
      </c>
      <c r="B6693" s="924">
        <v>15.1</v>
      </c>
    </row>
    <row r="6694" spans="1:2" x14ac:dyDescent="0.25">
      <c r="A6694" s="924">
        <f t="shared" si="104"/>
        <v>6694</v>
      </c>
      <c r="B6694" s="924">
        <v>15.1</v>
      </c>
    </row>
    <row r="6695" spans="1:2" x14ac:dyDescent="0.25">
      <c r="A6695" s="924">
        <f t="shared" si="104"/>
        <v>6695</v>
      </c>
      <c r="B6695" s="924">
        <v>15.1</v>
      </c>
    </row>
    <row r="6696" spans="1:2" x14ac:dyDescent="0.25">
      <c r="A6696" s="924">
        <f t="shared" si="104"/>
        <v>6696</v>
      </c>
      <c r="B6696" s="924">
        <v>15.1</v>
      </c>
    </row>
    <row r="6697" spans="1:2" x14ac:dyDescent="0.25">
      <c r="A6697" s="924">
        <f t="shared" si="104"/>
        <v>6697</v>
      </c>
      <c r="B6697" s="924">
        <v>15.1</v>
      </c>
    </row>
    <row r="6698" spans="1:2" x14ac:dyDescent="0.25">
      <c r="A6698" s="924">
        <f t="shared" si="104"/>
        <v>6698</v>
      </c>
      <c r="B6698" s="924">
        <v>15.1</v>
      </c>
    </row>
    <row r="6699" spans="1:2" x14ac:dyDescent="0.25">
      <c r="A6699" s="924">
        <f t="shared" si="104"/>
        <v>6699</v>
      </c>
      <c r="B6699" s="924">
        <v>15.1</v>
      </c>
    </row>
    <row r="6700" spans="1:2" x14ac:dyDescent="0.25">
      <c r="A6700" s="924">
        <f t="shared" si="104"/>
        <v>6700</v>
      </c>
      <c r="B6700" s="924">
        <v>15.2</v>
      </c>
    </row>
    <row r="6701" spans="1:2" x14ac:dyDescent="0.25">
      <c r="A6701" s="924">
        <f t="shared" si="104"/>
        <v>6701</v>
      </c>
      <c r="B6701" s="924">
        <v>15.2</v>
      </c>
    </row>
    <row r="6702" spans="1:2" x14ac:dyDescent="0.25">
      <c r="A6702" s="924">
        <f t="shared" si="104"/>
        <v>6702</v>
      </c>
      <c r="B6702" s="924">
        <v>15.2</v>
      </c>
    </row>
    <row r="6703" spans="1:2" x14ac:dyDescent="0.25">
      <c r="A6703" s="924">
        <f t="shared" si="104"/>
        <v>6703</v>
      </c>
      <c r="B6703" s="924">
        <v>15.2</v>
      </c>
    </row>
    <row r="6704" spans="1:2" x14ac:dyDescent="0.25">
      <c r="A6704" s="924">
        <f t="shared" si="104"/>
        <v>6704</v>
      </c>
      <c r="B6704" s="924">
        <v>15.2</v>
      </c>
    </row>
    <row r="6705" spans="1:2" x14ac:dyDescent="0.25">
      <c r="A6705" s="924">
        <f t="shared" si="104"/>
        <v>6705</v>
      </c>
      <c r="B6705" s="924">
        <v>15.2</v>
      </c>
    </row>
    <row r="6706" spans="1:2" x14ac:dyDescent="0.25">
      <c r="A6706" s="924">
        <f t="shared" si="104"/>
        <v>6706</v>
      </c>
      <c r="B6706" s="924">
        <v>15.2</v>
      </c>
    </row>
    <row r="6707" spans="1:2" x14ac:dyDescent="0.25">
      <c r="A6707" s="924">
        <f t="shared" si="104"/>
        <v>6707</v>
      </c>
      <c r="B6707" s="924">
        <v>15.2</v>
      </c>
    </row>
    <row r="6708" spans="1:2" x14ac:dyDescent="0.25">
      <c r="A6708" s="924">
        <f t="shared" si="104"/>
        <v>6708</v>
      </c>
      <c r="B6708" s="924">
        <v>15.2</v>
      </c>
    </row>
    <row r="6709" spans="1:2" x14ac:dyDescent="0.25">
      <c r="A6709" s="924">
        <f t="shared" si="104"/>
        <v>6709</v>
      </c>
      <c r="B6709" s="924">
        <v>15.2</v>
      </c>
    </row>
    <row r="6710" spans="1:2" x14ac:dyDescent="0.25">
      <c r="A6710" s="924">
        <f t="shared" si="104"/>
        <v>6710</v>
      </c>
      <c r="B6710" s="924">
        <v>15.2</v>
      </c>
    </row>
    <row r="6711" spans="1:2" x14ac:dyDescent="0.25">
      <c r="A6711" s="924">
        <f t="shared" si="104"/>
        <v>6711</v>
      </c>
      <c r="B6711" s="924">
        <v>15.2</v>
      </c>
    </row>
    <row r="6712" spans="1:2" x14ac:dyDescent="0.25">
      <c r="A6712" s="924">
        <f t="shared" si="104"/>
        <v>6712</v>
      </c>
      <c r="B6712" s="924">
        <v>15.2</v>
      </c>
    </row>
    <row r="6713" spans="1:2" x14ac:dyDescent="0.25">
      <c r="A6713" s="924">
        <f t="shared" si="104"/>
        <v>6713</v>
      </c>
      <c r="B6713" s="924">
        <v>15.2</v>
      </c>
    </row>
    <row r="6714" spans="1:2" x14ac:dyDescent="0.25">
      <c r="A6714" s="924">
        <f t="shared" si="104"/>
        <v>6714</v>
      </c>
      <c r="B6714" s="924">
        <v>15.2</v>
      </c>
    </row>
    <row r="6715" spans="1:2" x14ac:dyDescent="0.25">
      <c r="A6715" s="924">
        <f t="shared" si="104"/>
        <v>6715</v>
      </c>
      <c r="B6715" s="924">
        <v>15.2</v>
      </c>
    </row>
    <row r="6716" spans="1:2" x14ac:dyDescent="0.25">
      <c r="A6716" s="924">
        <f t="shared" si="104"/>
        <v>6716</v>
      </c>
      <c r="B6716" s="924">
        <v>15.2</v>
      </c>
    </row>
    <row r="6717" spans="1:2" x14ac:dyDescent="0.25">
      <c r="A6717" s="924">
        <f t="shared" si="104"/>
        <v>6717</v>
      </c>
      <c r="B6717" s="924">
        <v>15.2</v>
      </c>
    </row>
    <row r="6718" spans="1:2" x14ac:dyDescent="0.25">
      <c r="A6718" s="924">
        <f t="shared" si="104"/>
        <v>6718</v>
      </c>
      <c r="B6718" s="924">
        <v>15.2</v>
      </c>
    </row>
    <row r="6719" spans="1:2" x14ac:dyDescent="0.25">
      <c r="A6719" s="924">
        <f t="shared" si="104"/>
        <v>6719</v>
      </c>
      <c r="B6719" s="924">
        <v>15.2</v>
      </c>
    </row>
    <row r="6720" spans="1:2" x14ac:dyDescent="0.25">
      <c r="A6720" s="924">
        <f t="shared" si="104"/>
        <v>6720</v>
      </c>
      <c r="B6720" s="924">
        <v>15.2</v>
      </c>
    </row>
    <row r="6721" spans="1:2" x14ac:dyDescent="0.25">
      <c r="A6721" s="924">
        <f t="shared" si="104"/>
        <v>6721</v>
      </c>
      <c r="B6721" s="924">
        <v>15.2</v>
      </c>
    </row>
    <row r="6722" spans="1:2" x14ac:dyDescent="0.25">
      <c r="A6722" s="924">
        <f t="shared" si="104"/>
        <v>6722</v>
      </c>
      <c r="B6722" s="924">
        <v>15.2</v>
      </c>
    </row>
    <row r="6723" spans="1:2" x14ac:dyDescent="0.25">
      <c r="A6723" s="924">
        <f t="shared" ref="A6723:A6786" si="105">A6722+1</f>
        <v>6723</v>
      </c>
      <c r="B6723" s="924">
        <v>15.2</v>
      </c>
    </row>
    <row r="6724" spans="1:2" x14ac:dyDescent="0.25">
      <c r="A6724" s="924">
        <f t="shared" si="105"/>
        <v>6724</v>
      </c>
      <c r="B6724" s="924">
        <v>15.2</v>
      </c>
    </row>
    <row r="6725" spans="1:2" x14ac:dyDescent="0.25">
      <c r="A6725" s="924">
        <f t="shared" si="105"/>
        <v>6725</v>
      </c>
      <c r="B6725" s="924">
        <v>15.2</v>
      </c>
    </row>
    <row r="6726" spans="1:2" x14ac:dyDescent="0.25">
      <c r="A6726" s="924">
        <f t="shared" si="105"/>
        <v>6726</v>
      </c>
      <c r="B6726" s="924">
        <v>15.2</v>
      </c>
    </row>
    <row r="6727" spans="1:2" x14ac:dyDescent="0.25">
      <c r="A6727" s="924">
        <f t="shared" si="105"/>
        <v>6727</v>
      </c>
      <c r="B6727" s="924">
        <v>15.2</v>
      </c>
    </row>
    <row r="6728" spans="1:2" x14ac:dyDescent="0.25">
      <c r="A6728" s="924">
        <f t="shared" si="105"/>
        <v>6728</v>
      </c>
      <c r="B6728" s="924">
        <v>15.2</v>
      </c>
    </row>
    <row r="6729" spans="1:2" x14ac:dyDescent="0.25">
      <c r="A6729" s="924">
        <f t="shared" si="105"/>
        <v>6729</v>
      </c>
      <c r="B6729" s="924">
        <v>15.2</v>
      </c>
    </row>
    <row r="6730" spans="1:2" x14ac:dyDescent="0.25">
      <c r="A6730" s="924">
        <f t="shared" si="105"/>
        <v>6730</v>
      </c>
      <c r="B6730" s="924">
        <v>15.2</v>
      </c>
    </row>
    <row r="6731" spans="1:2" x14ac:dyDescent="0.25">
      <c r="A6731" s="924">
        <f t="shared" si="105"/>
        <v>6731</v>
      </c>
      <c r="B6731" s="924">
        <v>15.2</v>
      </c>
    </row>
    <row r="6732" spans="1:2" x14ac:dyDescent="0.25">
      <c r="A6732" s="924">
        <f t="shared" si="105"/>
        <v>6732</v>
      </c>
      <c r="B6732" s="924">
        <v>15.2</v>
      </c>
    </row>
    <row r="6733" spans="1:2" x14ac:dyDescent="0.25">
      <c r="A6733" s="924">
        <f t="shared" si="105"/>
        <v>6733</v>
      </c>
      <c r="B6733" s="924">
        <v>15.2</v>
      </c>
    </row>
    <row r="6734" spans="1:2" x14ac:dyDescent="0.25">
      <c r="A6734" s="924">
        <f t="shared" si="105"/>
        <v>6734</v>
      </c>
      <c r="B6734" s="924">
        <v>15.2</v>
      </c>
    </row>
    <row r="6735" spans="1:2" x14ac:dyDescent="0.25">
      <c r="A6735" s="924">
        <f t="shared" si="105"/>
        <v>6735</v>
      </c>
      <c r="B6735" s="924">
        <v>15.2</v>
      </c>
    </row>
    <row r="6736" spans="1:2" x14ac:dyDescent="0.25">
      <c r="A6736" s="924">
        <f t="shared" si="105"/>
        <v>6736</v>
      </c>
      <c r="B6736" s="924">
        <v>15.2</v>
      </c>
    </row>
    <row r="6737" spans="1:2" x14ac:dyDescent="0.25">
      <c r="A6737" s="924">
        <f t="shared" si="105"/>
        <v>6737</v>
      </c>
      <c r="B6737" s="924">
        <v>15.2</v>
      </c>
    </row>
    <row r="6738" spans="1:2" x14ac:dyDescent="0.25">
      <c r="A6738" s="924">
        <f t="shared" si="105"/>
        <v>6738</v>
      </c>
      <c r="B6738" s="924">
        <v>15.2</v>
      </c>
    </row>
    <row r="6739" spans="1:2" x14ac:dyDescent="0.25">
      <c r="A6739" s="924">
        <f t="shared" si="105"/>
        <v>6739</v>
      </c>
      <c r="B6739" s="924">
        <v>15.2</v>
      </c>
    </row>
    <row r="6740" spans="1:2" x14ac:dyDescent="0.25">
      <c r="A6740" s="924">
        <f t="shared" si="105"/>
        <v>6740</v>
      </c>
      <c r="B6740" s="924">
        <v>15.2</v>
      </c>
    </row>
    <row r="6741" spans="1:2" x14ac:dyDescent="0.25">
      <c r="A6741" s="924">
        <f t="shared" si="105"/>
        <v>6741</v>
      </c>
      <c r="B6741" s="924">
        <v>15.2</v>
      </c>
    </row>
    <row r="6742" spans="1:2" x14ac:dyDescent="0.25">
      <c r="A6742" s="924">
        <f t="shared" si="105"/>
        <v>6742</v>
      </c>
      <c r="B6742" s="924">
        <v>15.2</v>
      </c>
    </row>
    <row r="6743" spans="1:2" x14ac:dyDescent="0.25">
      <c r="A6743" s="924">
        <f t="shared" si="105"/>
        <v>6743</v>
      </c>
      <c r="B6743" s="924">
        <v>15.3</v>
      </c>
    </row>
    <row r="6744" spans="1:2" x14ac:dyDescent="0.25">
      <c r="A6744" s="924">
        <f t="shared" si="105"/>
        <v>6744</v>
      </c>
      <c r="B6744" s="924">
        <v>15.3</v>
      </c>
    </row>
    <row r="6745" spans="1:2" x14ac:dyDescent="0.25">
      <c r="A6745" s="924">
        <f t="shared" si="105"/>
        <v>6745</v>
      </c>
      <c r="B6745" s="924">
        <v>15.3</v>
      </c>
    </row>
    <row r="6746" spans="1:2" x14ac:dyDescent="0.25">
      <c r="A6746" s="924">
        <f t="shared" si="105"/>
        <v>6746</v>
      </c>
      <c r="B6746" s="924">
        <v>15.3</v>
      </c>
    </row>
    <row r="6747" spans="1:2" x14ac:dyDescent="0.25">
      <c r="A6747" s="924">
        <f t="shared" si="105"/>
        <v>6747</v>
      </c>
      <c r="B6747" s="924">
        <v>15.3</v>
      </c>
    </row>
    <row r="6748" spans="1:2" x14ac:dyDescent="0.25">
      <c r="A6748" s="924">
        <f t="shared" si="105"/>
        <v>6748</v>
      </c>
      <c r="B6748" s="924">
        <v>15.3</v>
      </c>
    </row>
    <row r="6749" spans="1:2" x14ac:dyDescent="0.25">
      <c r="A6749" s="924">
        <f t="shared" si="105"/>
        <v>6749</v>
      </c>
      <c r="B6749" s="924">
        <v>15.3</v>
      </c>
    </row>
    <row r="6750" spans="1:2" x14ac:dyDescent="0.25">
      <c r="A6750" s="924">
        <f t="shared" si="105"/>
        <v>6750</v>
      </c>
      <c r="B6750" s="924">
        <v>15.3</v>
      </c>
    </row>
    <row r="6751" spans="1:2" x14ac:dyDescent="0.25">
      <c r="A6751" s="924">
        <f t="shared" si="105"/>
        <v>6751</v>
      </c>
      <c r="B6751" s="924">
        <v>15.3</v>
      </c>
    </row>
    <row r="6752" spans="1:2" x14ac:dyDescent="0.25">
      <c r="A6752" s="924">
        <f t="shared" si="105"/>
        <v>6752</v>
      </c>
      <c r="B6752" s="924">
        <v>15.3</v>
      </c>
    </row>
    <row r="6753" spans="1:2" x14ac:dyDescent="0.25">
      <c r="A6753" s="924">
        <f t="shared" si="105"/>
        <v>6753</v>
      </c>
      <c r="B6753" s="924">
        <v>15.3</v>
      </c>
    </row>
    <row r="6754" spans="1:2" x14ac:dyDescent="0.25">
      <c r="A6754" s="924">
        <f t="shared" si="105"/>
        <v>6754</v>
      </c>
      <c r="B6754" s="924">
        <v>15.3</v>
      </c>
    </row>
    <row r="6755" spans="1:2" x14ac:dyDescent="0.25">
      <c r="A6755" s="924">
        <f t="shared" si="105"/>
        <v>6755</v>
      </c>
      <c r="B6755" s="924">
        <v>15.3</v>
      </c>
    </row>
    <row r="6756" spans="1:2" x14ac:dyDescent="0.25">
      <c r="A6756" s="924">
        <f t="shared" si="105"/>
        <v>6756</v>
      </c>
      <c r="B6756" s="924">
        <v>15.3</v>
      </c>
    </row>
    <row r="6757" spans="1:2" x14ac:dyDescent="0.25">
      <c r="A6757" s="924">
        <f t="shared" si="105"/>
        <v>6757</v>
      </c>
      <c r="B6757" s="924">
        <v>15.3</v>
      </c>
    </row>
    <row r="6758" spans="1:2" x14ac:dyDescent="0.25">
      <c r="A6758" s="924">
        <f t="shared" si="105"/>
        <v>6758</v>
      </c>
      <c r="B6758" s="924">
        <v>15.3</v>
      </c>
    </row>
    <row r="6759" spans="1:2" x14ac:dyDescent="0.25">
      <c r="A6759" s="924">
        <f t="shared" si="105"/>
        <v>6759</v>
      </c>
      <c r="B6759" s="924">
        <v>15.3</v>
      </c>
    </row>
    <row r="6760" spans="1:2" x14ac:dyDescent="0.25">
      <c r="A6760" s="924">
        <f t="shared" si="105"/>
        <v>6760</v>
      </c>
      <c r="B6760" s="924">
        <v>15.3</v>
      </c>
    </row>
    <row r="6761" spans="1:2" x14ac:dyDescent="0.25">
      <c r="A6761" s="924">
        <f t="shared" si="105"/>
        <v>6761</v>
      </c>
      <c r="B6761" s="924">
        <v>15.3</v>
      </c>
    </row>
    <row r="6762" spans="1:2" x14ac:dyDescent="0.25">
      <c r="A6762" s="924">
        <f t="shared" si="105"/>
        <v>6762</v>
      </c>
      <c r="B6762" s="924">
        <v>15.3</v>
      </c>
    </row>
    <row r="6763" spans="1:2" x14ac:dyDescent="0.25">
      <c r="A6763" s="924">
        <f t="shared" si="105"/>
        <v>6763</v>
      </c>
      <c r="B6763" s="924">
        <v>15.3</v>
      </c>
    </row>
    <row r="6764" spans="1:2" x14ac:dyDescent="0.25">
      <c r="A6764" s="924">
        <f t="shared" si="105"/>
        <v>6764</v>
      </c>
      <c r="B6764" s="924">
        <v>15.3</v>
      </c>
    </row>
    <row r="6765" spans="1:2" x14ac:dyDescent="0.25">
      <c r="A6765" s="924">
        <f t="shared" si="105"/>
        <v>6765</v>
      </c>
      <c r="B6765" s="924">
        <v>15.3</v>
      </c>
    </row>
    <row r="6766" spans="1:2" x14ac:dyDescent="0.25">
      <c r="A6766" s="924">
        <f t="shared" si="105"/>
        <v>6766</v>
      </c>
      <c r="B6766" s="924">
        <v>15.3</v>
      </c>
    </row>
    <row r="6767" spans="1:2" x14ac:dyDescent="0.25">
      <c r="A6767" s="924">
        <f t="shared" si="105"/>
        <v>6767</v>
      </c>
      <c r="B6767" s="924">
        <v>15.3</v>
      </c>
    </row>
    <row r="6768" spans="1:2" x14ac:dyDescent="0.25">
      <c r="A6768" s="924">
        <f t="shared" si="105"/>
        <v>6768</v>
      </c>
      <c r="B6768" s="924">
        <v>15.3</v>
      </c>
    </row>
    <row r="6769" spans="1:2" x14ac:dyDescent="0.25">
      <c r="A6769" s="924">
        <f t="shared" si="105"/>
        <v>6769</v>
      </c>
      <c r="B6769" s="924">
        <v>15.3</v>
      </c>
    </row>
    <row r="6770" spans="1:2" x14ac:dyDescent="0.25">
      <c r="A6770" s="924">
        <f t="shared" si="105"/>
        <v>6770</v>
      </c>
      <c r="B6770" s="924">
        <v>15.3</v>
      </c>
    </row>
    <row r="6771" spans="1:2" x14ac:dyDescent="0.25">
      <c r="A6771" s="924">
        <f t="shared" si="105"/>
        <v>6771</v>
      </c>
      <c r="B6771" s="924">
        <v>15.3</v>
      </c>
    </row>
    <row r="6772" spans="1:2" x14ac:dyDescent="0.25">
      <c r="A6772" s="924">
        <f t="shared" si="105"/>
        <v>6772</v>
      </c>
      <c r="B6772" s="924">
        <v>15.3</v>
      </c>
    </row>
    <row r="6773" spans="1:2" x14ac:dyDescent="0.25">
      <c r="A6773" s="924">
        <f t="shared" si="105"/>
        <v>6773</v>
      </c>
      <c r="B6773" s="924">
        <v>15.3</v>
      </c>
    </row>
    <row r="6774" spans="1:2" x14ac:dyDescent="0.25">
      <c r="A6774" s="924">
        <f t="shared" si="105"/>
        <v>6774</v>
      </c>
      <c r="B6774" s="924">
        <v>15.3</v>
      </c>
    </row>
    <row r="6775" spans="1:2" x14ac:dyDescent="0.25">
      <c r="A6775" s="924">
        <f t="shared" si="105"/>
        <v>6775</v>
      </c>
      <c r="B6775" s="924">
        <v>15.3</v>
      </c>
    </row>
    <row r="6776" spans="1:2" x14ac:dyDescent="0.25">
      <c r="A6776" s="924">
        <f t="shared" si="105"/>
        <v>6776</v>
      </c>
      <c r="B6776" s="924">
        <v>15.3</v>
      </c>
    </row>
    <row r="6777" spans="1:2" x14ac:dyDescent="0.25">
      <c r="A6777" s="924">
        <f t="shared" si="105"/>
        <v>6777</v>
      </c>
      <c r="B6777" s="924">
        <v>15.3</v>
      </c>
    </row>
    <row r="6778" spans="1:2" x14ac:dyDescent="0.25">
      <c r="A6778" s="924">
        <f t="shared" si="105"/>
        <v>6778</v>
      </c>
      <c r="B6778" s="924">
        <v>15.3</v>
      </c>
    </row>
    <row r="6779" spans="1:2" x14ac:dyDescent="0.25">
      <c r="A6779" s="924">
        <f t="shared" si="105"/>
        <v>6779</v>
      </c>
      <c r="B6779" s="924">
        <v>15.3</v>
      </c>
    </row>
    <row r="6780" spans="1:2" x14ac:dyDescent="0.25">
      <c r="A6780" s="924">
        <f t="shared" si="105"/>
        <v>6780</v>
      </c>
      <c r="B6780" s="924">
        <v>15.3</v>
      </c>
    </row>
    <row r="6781" spans="1:2" x14ac:dyDescent="0.25">
      <c r="A6781" s="924">
        <f t="shared" si="105"/>
        <v>6781</v>
      </c>
      <c r="B6781" s="924">
        <v>15.3</v>
      </c>
    </row>
    <row r="6782" spans="1:2" x14ac:dyDescent="0.25">
      <c r="A6782" s="924">
        <f t="shared" si="105"/>
        <v>6782</v>
      </c>
      <c r="B6782" s="924">
        <v>15.3</v>
      </c>
    </row>
    <row r="6783" spans="1:2" x14ac:dyDescent="0.25">
      <c r="A6783" s="924">
        <f t="shared" si="105"/>
        <v>6783</v>
      </c>
      <c r="B6783" s="924">
        <v>15.3</v>
      </c>
    </row>
    <row r="6784" spans="1:2" x14ac:dyDescent="0.25">
      <c r="A6784" s="924">
        <f t="shared" si="105"/>
        <v>6784</v>
      </c>
      <c r="B6784" s="924">
        <v>15.4</v>
      </c>
    </row>
    <row r="6785" spans="1:2" x14ac:dyDescent="0.25">
      <c r="A6785" s="924">
        <f t="shared" si="105"/>
        <v>6785</v>
      </c>
      <c r="B6785" s="924">
        <v>15.4</v>
      </c>
    </row>
    <row r="6786" spans="1:2" x14ac:dyDescent="0.25">
      <c r="A6786" s="924">
        <f t="shared" si="105"/>
        <v>6786</v>
      </c>
      <c r="B6786" s="924">
        <v>15.4</v>
      </c>
    </row>
    <row r="6787" spans="1:2" x14ac:dyDescent="0.25">
      <c r="A6787" s="924">
        <f t="shared" ref="A6787:A6850" si="106">A6786+1</f>
        <v>6787</v>
      </c>
      <c r="B6787" s="924">
        <v>15.4</v>
      </c>
    </row>
    <row r="6788" spans="1:2" x14ac:dyDescent="0.25">
      <c r="A6788" s="924">
        <f t="shared" si="106"/>
        <v>6788</v>
      </c>
      <c r="B6788" s="924">
        <v>15.4</v>
      </c>
    </row>
    <row r="6789" spans="1:2" x14ac:dyDescent="0.25">
      <c r="A6789" s="924">
        <f t="shared" si="106"/>
        <v>6789</v>
      </c>
      <c r="B6789" s="924">
        <v>15.4</v>
      </c>
    </row>
    <row r="6790" spans="1:2" x14ac:dyDescent="0.25">
      <c r="A6790" s="924">
        <f t="shared" si="106"/>
        <v>6790</v>
      </c>
      <c r="B6790" s="924">
        <v>15.4</v>
      </c>
    </row>
    <row r="6791" spans="1:2" x14ac:dyDescent="0.25">
      <c r="A6791" s="924">
        <f t="shared" si="106"/>
        <v>6791</v>
      </c>
      <c r="B6791" s="924">
        <v>15.4</v>
      </c>
    </row>
    <row r="6792" spans="1:2" x14ac:dyDescent="0.25">
      <c r="A6792" s="924">
        <f t="shared" si="106"/>
        <v>6792</v>
      </c>
      <c r="B6792" s="924">
        <v>15.4</v>
      </c>
    </row>
    <row r="6793" spans="1:2" x14ac:dyDescent="0.25">
      <c r="A6793" s="924">
        <f t="shared" si="106"/>
        <v>6793</v>
      </c>
      <c r="B6793" s="924">
        <v>15.4</v>
      </c>
    </row>
    <row r="6794" spans="1:2" x14ac:dyDescent="0.25">
      <c r="A6794" s="924">
        <f t="shared" si="106"/>
        <v>6794</v>
      </c>
      <c r="B6794" s="924">
        <v>15.4</v>
      </c>
    </row>
    <row r="6795" spans="1:2" x14ac:dyDescent="0.25">
      <c r="A6795" s="924">
        <f t="shared" si="106"/>
        <v>6795</v>
      </c>
      <c r="B6795" s="924">
        <v>15.4</v>
      </c>
    </row>
    <row r="6796" spans="1:2" x14ac:dyDescent="0.25">
      <c r="A6796" s="924">
        <f t="shared" si="106"/>
        <v>6796</v>
      </c>
      <c r="B6796" s="924">
        <v>15.4</v>
      </c>
    </row>
    <row r="6797" spans="1:2" x14ac:dyDescent="0.25">
      <c r="A6797" s="924">
        <f t="shared" si="106"/>
        <v>6797</v>
      </c>
      <c r="B6797" s="924">
        <v>15.4</v>
      </c>
    </row>
    <row r="6798" spans="1:2" x14ac:dyDescent="0.25">
      <c r="A6798" s="924">
        <f t="shared" si="106"/>
        <v>6798</v>
      </c>
      <c r="B6798" s="924">
        <v>15.4</v>
      </c>
    </row>
    <row r="6799" spans="1:2" x14ac:dyDescent="0.25">
      <c r="A6799" s="924">
        <f t="shared" si="106"/>
        <v>6799</v>
      </c>
      <c r="B6799" s="924">
        <v>15.4</v>
      </c>
    </row>
    <row r="6800" spans="1:2" x14ac:dyDescent="0.25">
      <c r="A6800" s="924">
        <f t="shared" si="106"/>
        <v>6800</v>
      </c>
      <c r="B6800" s="924">
        <v>15.4</v>
      </c>
    </row>
    <row r="6801" spans="1:2" x14ac:dyDescent="0.25">
      <c r="A6801" s="924">
        <f t="shared" si="106"/>
        <v>6801</v>
      </c>
      <c r="B6801" s="924">
        <v>15.4</v>
      </c>
    </row>
    <row r="6802" spans="1:2" x14ac:dyDescent="0.25">
      <c r="A6802" s="924">
        <f t="shared" si="106"/>
        <v>6802</v>
      </c>
      <c r="B6802" s="924">
        <v>15.4</v>
      </c>
    </row>
    <row r="6803" spans="1:2" x14ac:dyDescent="0.25">
      <c r="A6803" s="924">
        <f t="shared" si="106"/>
        <v>6803</v>
      </c>
      <c r="B6803" s="924">
        <v>15.4</v>
      </c>
    </row>
    <row r="6804" spans="1:2" x14ac:dyDescent="0.25">
      <c r="A6804" s="924">
        <f t="shared" si="106"/>
        <v>6804</v>
      </c>
      <c r="B6804" s="924">
        <v>15.4</v>
      </c>
    </row>
    <row r="6805" spans="1:2" x14ac:dyDescent="0.25">
      <c r="A6805" s="924">
        <f t="shared" si="106"/>
        <v>6805</v>
      </c>
      <c r="B6805" s="924">
        <v>15.4</v>
      </c>
    </row>
    <row r="6806" spans="1:2" x14ac:dyDescent="0.25">
      <c r="A6806" s="924">
        <f t="shared" si="106"/>
        <v>6806</v>
      </c>
      <c r="B6806" s="924">
        <v>15.4</v>
      </c>
    </row>
    <row r="6807" spans="1:2" x14ac:dyDescent="0.25">
      <c r="A6807" s="924">
        <f t="shared" si="106"/>
        <v>6807</v>
      </c>
      <c r="B6807" s="924">
        <v>15.4</v>
      </c>
    </row>
    <row r="6808" spans="1:2" x14ac:dyDescent="0.25">
      <c r="A6808" s="924">
        <f t="shared" si="106"/>
        <v>6808</v>
      </c>
      <c r="B6808" s="924">
        <v>15.4</v>
      </c>
    </row>
    <row r="6809" spans="1:2" x14ac:dyDescent="0.25">
      <c r="A6809" s="924">
        <f t="shared" si="106"/>
        <v>6809</v>
      </c>
      <c r="B6809" s="924">
        <v>15.4</v>
      </c>
    </row>
    <row r="6810" spans="1:2" x14ac:dyDescent="0.25">
      <c r="A6810" s="924">
        <f t="shared" si="106"/>
        <v>6810</v>
      </c>
      <c r="B6810" s="924">
        <v>15.4</v>
      </c>
    </row>
    <row r="6811" spans="1:2" x14ac:dyDescent="0.25">
      <c r="A6811" s="924">
        <f t="shared" si="106"/>
        <v>6811</v>
      </c>
      <c r="B6811" s="924">
        <v>15.4</v>
      </c>
    </row>
    <row r="6812" spans="1:2" x14ac:dyDescent="0.25">
      <c r="A6812" s="924">
        <f t="shared" si="106"/>
        <v>6812</v>
      </c>
      <c r="B6812" s="924">
        <v>15.4</v>
      </c>
    </row>
    <row r="6813" spans="1:2" x14ac:dyDescent="0.25">
      <c r="A6813" s="924">
        <f t="shared" si="106"/>
        <v>6813</v>
      </c>
      <c r="B6813" s="924">
        <v>15.4</v>
      </c>
    </row>
    <row r="6814" spans="1:2" x14ac:dyDescent="0.25">
      <c r="A6814" s="924">
        <f t="shared" si="106"/>
        <v>6814</v>
      </c>
      <c r="B6814" s="924">
        <v>15.4</v>
      </c>
    </row>
    <row r="6815" spans="1:2" x14ac:dyDescent="0.25">
      <c r="A6815" s="924">
        <f t="shared" si="106"/>
        <v>6815</v>
      </c>
      <c r="B6815" s="924">
        <v>15.4</v>
      </c>
    </row>
    <row r="6816" spans="1:2" x14ac:dyDescent="0.25">
      <c r="A6816" s="924">
        <f t="shared" si="106"/>
        <v>6816</v>
      </c>
      <c r="B6816" s="924">
        <v>15.4</v>
      </c>
    </row>
    <row r="6817" spans="1:2" x14ac:dyDescent="0.25">
      <c r="A6817" s="924">
        <f t="shared" si="106"/>
        <v>6817</v>
      </c>
      <c r="B6817" s="924">
        <v>15.4</v>
      </c>
    </row>
    <row r="6818" spans="1:2" x14ac:dyDescent="0.25">
      <c r="A6818" s="924">
        <f t="shared" si="106"/>
        <v>6818</v>
      </c>
      <c r="B6818" s="924">
        <v>15.4</v>
      </c>
    </row>
    <row r="6819" spans="1:2" x14ac:dyDescent="0.25">
      <c r="A6819" s="924">
        <f t="shared" si="106"/>
        <v>6819</v>
      </c>
      <c r="B6819" s="924">
        <v>15.4</v>
      </c>
    </row>
    <row r="6820" spans="1:2" x14ac:dyDescent="0.25">
      <c r="A6820" s="924">
        <f t="shared" si="106"/>
        <v>6820</v>
      </c>
      <c r="B6820" s="924">
        <v>15.5</v>
      </c>
    </row>
    <row r="6821" spans="1:2" x14ac:dyDescent="0.25">
      <c r="A6821" s="924">
        <f t="shared" si="106"/>
        <v>6821</v>
      </c>
      <c r="B6821" s="924">
        <v>15.5</v>
      </c>
    </row>
    <row r="6822" spans="1:2" x14ac:dyDescent="0.25">
      <c r="A6822" s="924">
        <f t="shared" si="106"/>
        <v>6822</v>
      </c>
      <c r="B6822" s="924">
        <v>15.5</v>
      </c>
    </row>
    <row r="6823" spans="1:2" x14ac:dyDescent="0.25">
      <c r="A6823" s="924">
        <f t="shared" si="106"/>
        <v>6823</v>
      </c>
      <c r="B6823" s="924">
        <v>15.5</v>
      </c>
    </row>
    <row r="6824" spans="1:2" x14ac:dyDescent="0.25">
      <c r="A6824" s="924">
        <f t="shared" si="106"/>
        <v>6824</v>
      </c>
      <c r="B6824" s="924">
        <v>15.5</v>
      </c>
    </row>
    <row r="6825" spans="1:2" x14ac:dyDescent="0.25">
      <c r="A6825" s="924">
        <f t="shared" si="106"/>
        <v>6825</v>
      </c>
      <c r="B6825" s="924">
        <v>15.5</v>
      </c>
    </row>
    <row r="6826" spans="1:2" x14ac:dyDescent="0.25">
      <c r="A6826" s="924">
        <f t="shared" si="106"/>
        <v>6826</v>
      </c>
      <c r="B6826" s="924">
        <v>15.5</v>
      </c>
    </row>
    <row r="6827" spans="1:2" x14ac:dyDescent="0.25">
      <c r="A6827" s="924">
        <f t="shared" si="106"/>
        <v>6827</v>
      </c>
      <c r="B6827" s="924">
        <v>15.5</v>
      </c>
    </row>
    <row r="6828" spans="1:2" x14ac:dyDescent="0.25">
      <c r="A6828" s="924">
        <f t="shared" si="106"/>
        <v>6828</v>
      </c>
      <c r="B6828" s="924">
        <v>15.5</v>
      </c>
    </row>
    <row r="6829" spans="1:2" x14ac:dyDescent="0.25">
      <c r="A6829" s="924">
        <f t="shared" si="106"/>
        <v>6829</v>
      </c>
      <c r="B6829" s="924">
        <v>15.5</v>
      </c>
    </row>
    <row r="6830" spans="1:2" x14ac:dyDescent="0.25">
      <c r="A6830" s="924">
        <f t="shared" si="106"/>
        <v>6830</v>
      </c>
      <c r="B6830" s="924">
        <v>15.5</v>
      </c>
    </row>
    <row r="6831" spans="1:2" x14ac:dyDescent="0.25">
      <c r="A6831" s="924">
        <f t="shared" si="106"/>
        <v>6831</v>
      </c>
      <c r="B6831" s="924">
        <v>15.5</v>
      </c>
    </row>
    <row r="6832" spans="1:2" x14ac:dyDescent="0.25">
      <c r="A6832" s="924">
        <f t="shared" si="106"/>
        <v>6832</v>
      </c>
      <c r="B6832" s="924">
        <v>15.5</v>
      </c>
    </row>
    <row r="6833" spans="1:2" x14ac:dyDescent="0.25">
      <c r="A6833" s="924">
        <f t="shared" si="106"/>
        <v>6833</v>
      </c>
      <c r="B6833" s="924">
        <v>15.5</v>
      </c>
    </row>
    <row r="6834" spans="1:2" x14ac:dyDescent="0.25">
      <c r="A6834" s="924">
        <f t="shared" si="106"/>
        <v>6834</v>
      </c>
      <c r="B6834" s="924">
        <v>15.5</v>
      </c>
    </row>
    <row r="6835" spans="1:2" x14ac:dyDescent="0.25">
      <c r="A6835" s="924">
        <f t="shared" si="106"/>
        <v>6835</v>
      </c>
      <c r="B6835" s="924">
        <v>15.5</v>
      </c>
    </row>
    <row r="6836" spans="1:2" x14ac:dyDescent="0.25">
      <c r="A6836" s="924">
        <f t="shared" si="106"/>
        <v>6836</v>
      </c>
      <c r="B6836" s="924">
        <v>15.5</v>
      </c>
    </row>
    <row r="6837" spans="1:2" x14ac:dyDescent="0.25">
      <c r="A6837" s="924">
        <f t="shared" si="106"/>
        <v>6837</v>
      </c>
      <c r="B6837" s="924">
        <v>15.5</v>
      </c>
    </row>
    <row r="6838" spans="1:2" x14ac:dyDescent="0.25">
      <c r="A6838" s="924">
        <f t="shared" si="106"/>
        <v>6838</v>
      </c>
      <c r="B6838" s="924">
        <v>15.5</v>
      </c>
    </row>
    <row r="6839" spans="1:2" x14ac:dyDescent="0.25">
      <c r="A6839" s="924">
        <f t="shared" si="106"/>
        <v>6839</v>
      </c>
      <c r="B6839" s="924">
        <v>15.5</v>
      </c>
    </row>
    <row r="6840" spans="1:2" x14ac:dyDescent="0.25">
      <c r="A6840" s="924">
        <f t="shared" si="106"/>
        <v>6840</v>
      </c>
      <c r="B6840" s="924">
        <v>15.5</v>
      </c>
    </row>
    <row r="6841" spans="1:2" x14ac:dyDescent="0.25">
      <c r="A6841" s="924">
        <f t="shared" si="106"/>
        <v>6841</v>
      </c>
      <c r="B6841" s="924">
        <v>15.5</v>
      </c>
    </row>
    <row r="6842" spans="1:2" x14ac:dyDescent="0.25">
      <c r="A6842" s="924">
        <f t="shared" si="106"/>
        <v>6842</v>
      </c>
      <c r="B6842" s="924">
        <v>15.5</v>
      </c>
    </row>
    <row r="6843" spans="1:2" x14ac:dyDescent="0.25">
      <c r="A6843" s="924">
        <f t="shared" si="106"/>
        <v>6843</v>
      </c>
      <c r="B6843" s="924">
        <v>15.5</v>
      </c>
    </row>
    <row r="6844" spans="1:2" x14ac:dyDescent="0.25">
      <c r="A6844" s="924">
        <f t="shared" si="106"/>
        <v>6844</v>
      </c>
      <c r="B6844" s="924">
        <v>15.5</v>
      </c>
    </row>
    <row r="6845" spans="1:2" x14ac:dyDescent="0.25">
      <c r="A6845" s="924">
        <f t="shared" si="106"/>
        <v>6845</v>
      </c>
      <c r="B6845" s="924">
        <v>15.5</v>
      </c>
    </row>
    <row r="6846" spans="1:2" x14ac:dyDescent="0.25">
      <c r="A6846" s="924">
        <f t="shared" si="106"/>
        <v>6846</v>
      </c>
      <c r="B6846" s="924">
        <v>15.5</v>
      </c>
    </row>
    <row r="6847" spans="1:2" x14ac:dyDescent="0.25">
      <c r="A6847" s="924">
        <f t="shared" si="106"/>
        <v>6847</v>
      </c>
      <c r="B6847" s="924">
        <v>15.5</v>
      </c>
    </row>
    <row r="6848" spans="1:2" x14ac:dyDescent="0.25">
      <c r="A6848" s="924">
        <f t="shared" si="106"/>
        <v>6848</v>
      </c>
      <c r="B6848" s="924">
        <v>15.5</v>
      </c>
    </row>
    <row r="6849" spans="1:2" x14ac:dyDescent="0.25">
      <c r="A6849" s="924">
        <f t="shared" si="106"/>
        <v>6849</v>
      </c>
      <c r="B6849" s="924">
        <v>15.5</v>
      </c>
    </row>
    <row r="6850" spans="1:2" x14ac:dyDescent="0.25">
      <c r="A6850" s="924">
        <f t="shared" si="106"/>
        <v>6850</v>
      </c>
      <c r="B6850" s="924">
        <v>15.6</v>
      </c>
    </row>
    <row r="6851" spans="1:2" x14ac:dyDescent="0.25">
      <c r="A6851" s="924">
        <f t="shared" ref="A6851:A6914" si="107">A6850+1</f>
        <v>6851</v>
      </c>
      <c r="B6851" s="924">
        <v>15.6</v>
      </c>
    </row>
    <row r="6852" spans="1:2" x14ac:dyDescent="0.25">
      <c r="A6852" s="924">
        <f t="shared" si="107"/>
        <v>6852</v>
      </c>
      <c r="B6852" s="924">
        <v>15.6</v>
      </c>
    </row>
    <row r="6853" spans="1:2" x14ac:dyDescent="0.25">
      <c r="A6853" s="924">
        <f t="shared" si="107"/>
        <v>6853</v>
      </c>
      <c r="B6853" s="924">
        <v>15.6</v>
      </c>
    </row>
    <row r="6854" spans="1:2" x14ac:dyDescent="0.25">
      <c r="A6854" s="924">
        <f t="shared" si="107"/>
        <v>6854</v>
      </c>
      <c r="B6854" s="924">
        <v>15.6</v>
      </c>
    </row>
    <row r="6855" spans="1:2" x14ac:dyDescent="0.25">
      <c r="A6855" s="924">
        <f t="shared" si="107"/>
        <v>6855</v>
      </c>
      <c r="B6855" s="924">
        <v>15.6</v>
      </c>
    </row>
    <row r="6856" spans="1:2" x14ac:dyDescent="0.25">
      <c r="A6856" s="924">
        <f t="shared" si="107"/>
        <v>6856</v>
      </c>
      <c r="B6856" s="924">
        <v>15.6</v>
      </c>
    </row>
    <row r="6857" spans="1:2" x14ac:dyDescent="0.25">
      <c r="A6857" s="924">
        <f t="shared" si="107"/>
        <v>6857</v>
      </c>
      <c r="B6857" s="924">
        <v>15.6</v>
      </c>
    </row>
    <row r="6858" spans="1:2" x14ac:dyDescent="0.25">
      <c r="A6858" s="924">
        <f t="shared" si="107"/>
        <v>6858</v>
      </c>
      <c r="B6858" s="924">
        <v>15.6</v>
      </c>
    </row>
    <row r="6859" spans="1:2" x14ac:dyDescent="0.25">
      <c r="A6859" s="924">
        <f t="shared" si="107"/>
        <v>6859</v>
      </c>
      <c r="B6859" s="924">
        <v>15.6</v>
      </c>
    </row>
    <row r="6860" spans="1:2" x14ac:dyDescent="0.25">
      <c r="A6860" s="924">
        <f t="shared" si="107"/>
        <v>6860</v>
      </c>
      <c r="B6860" s="924">
        <v>15.6</v>
      </c>
    </row>
    <row r="6861" spans="1:2" x14ac:dyDescent="0.25">
      <c r="A6861" s="924">
        <f t="shared" si="107"/>
        <v>6861</v>
      </c>
      <c r="B6861" s="924">
        <v>15.6</v>
      </c>
    </row>
    <row r="6862" spans="1:2" x14ac:dyDescent="0.25">
      <c r="A6862" s="924">
        <f t="shared" si="107"/>
        <v>6862</v>
      </c>
      <c r="B6862" s="924">
        <v>15.6</v>
      </c>
    </row>
    <row r="6863" spans="1:2" x14ac:dyDescent="0.25">
      <c r="A6863" s="924">
        <f t="shared" si="107"/>
        <v>6863</v>
      </c>
      <c r="B6863" s="924">
        <v>15.6</v>
      </c>
    </row>
    <row r="6864" spans="1:2" x14ac:dyDescent="0.25">
      <c r="A6864" s="924">
        <f t="shared" si="107"/>
        <v>6864</v>
      </c>
      <c r="B6864" s="924">
        <v>15.6</v>
      </c>
    </row>
    <row r="6865" spans="1:2" x14ac:dyDescent="0.25">
      <c r="A6865" s="924">
        <f t="shared" si="107"/>
        <v>6865</v>
      </c>
      <c r="B6865" s="924">
        <v>15.6</v>
      </c>
    </row>
    <row r="6866" spans="1:2" x14ac:dyDescent="0.25">
      <c r="A6866" s="924">
        <f t="shared" si="107"/>
        <v>6866</v>
      </c>
      <c r="B6866" s="924">
        <v>15.6</v>
      </c>
    </row>
    <row r="6867" spans="1:2" x14ac:dyDescent="0.25">
      <c r="A6867" s="924">
        <f t="shared" si="107"/>
        <v>6867</v>
      </c>
      <c r="B6867" s="924">
        <v>15.6</v>
      </c>
    </row>
    <row r="6868" spans="1:2" x14ac:dyDescent="0.25">
      <c r="A6868" s="924">
        <f t="shared" si="107"/>
        <v>6868</v>
      </c>
      <c r="B6868" s="924">
        <v>15.6</v>
      </c>
    </row>
    <row r="6869" spans="1:2" x14ac:dyDescent="0.25">
      <c r="A6869" s="924">
        <f t="shared" si="107"/>
        <v>6869</v>
      </c>
      <c r="B6869" s="924">
        <v>15.6</v>
      </c>
    </row>
    <row r="6870" spans="1:2" x14ac:dyDescent="0.25">
      <c r="A6870" s="924">
        <f t="shared" si="107"/>
        <v>6870</v>
      </c>
      <c r="B6870" s="924">
        <v>15.6</v>
      </c>
    </row>
    <row r="6871" spans="1:2" x14ac:dyDescent="0.25">
      <c r="A6871" s="924">
        <f t="shared" si="107"/>
        <v>6871</v>
      </c>
      <c r="B6871" s="924">
        <v>15.6</v>
      </c>
    </row>
    <row r="6872" spans="1:2" x14ac:dyDescent="0.25">
      <c r="A6872" s="924">
        <f t="shared" si="107"/>
        <v>6872</v>
      </c>
      <c r="B6872" s="924">
        <v>15.6</v>
      </c>
    </row>
    <row r="6873" spans="1:2" x14ac:dyDescent="0.25">
      <c r="A6873" s="924">
        <f t="shared" si="107"/>
        <v>6873</v>
      </c>
      <c r="B6873" s="924">
        <v>15.6</v>
      </c>
    </row>
    <row r="6874" spans="1:2" x14ac:dyDescent="0.25">
      <c r="A6874" s="924">
        <f t="shared" si="107"/>
        <v>6874</v>
      </c>
      <c r="B6874" s="924">
        <v>15.6</v>
      </c>
    </row>
    <row r="6875" spans="1:2" x14ac:dyDescent="0.25">
      <c r="A6875" s="924">
        <f t="shared" si="107"/>
        <v>6875</v>
      </c>
      <c r="B6875" s="924">
        <v>15.6</v>
      </c>
    </row>
    <row r="6876" spans="1:2" x14ac:dyDescent="0.25">
      <c r="A6876" s="924">
        <f t="shared" si="107"/>
        <v>6876</v>
      </c>
      <c r="B6876" s="924">
        <v>15.6</v>
      </c>
    </row>
    <row r="6877" spans="1:2" x14ac:dyDescent="0.25">
      <c r="A6877" s="924">
        <f t="shared" si="107"/>
        <v>6877</v>
      </c>
      <c r="B6877" s="924">
        <v>15.6</v>
      </c>
    </row>
    <row r="6878" spans="1:2" x14ac:dyDescent="0.25">
      <c r="A6878" s="924">
        <f t="shared" si="107"/>
        <v>6878</v>
      </c>
      <c r="B6878" s="924">
        <v>15.6</v>
      </c>
    </row>
    <row r="6879" spans="1:2" x14ac:dyDescent="0.25">
      <c r="A6879" s="924">
        <f t="shared" si="107"/>
        <v>6879</v>
      </c>
      <c r="B6879" s="924">
        <v>15.6</v>
      </c>
    </row>
    <row r="6880" spans="1:2" x14ac:dyDescent="0.25">
      <c r="A6880" s="924">
        <f t="shared" si="107"/>
        <v>6880</v>
      </c>
      <c r="B6880" s="924">
        <v>15.6</v>
      </c>
    </row>
    <row r="6881" spans="1:2" x14ac:dyDescent="0.25">
      <c r="A6881" s="924">
        <f t="shared" si="107"/>
        <v>6881</v>
      </c>
      <c r="B6881" s="924">
        <v>15.6</v>
      </c>
    </row>
    <row r="6882" spans="1:2" x14ac:dyDescent="0.25">
      <c r="A6882" s="924">
        <f t="shared" si="107"/>
        <v>6882</v>
      </c>
      <c r="B6882" s="924">
        <v>15.6</v>
      </c>
    </row>
    <row r="6883" spans="1:2" x14ac:dyDescent="0.25">
      <c r="A6883" s="924">
        <f t="shared" si="107"/>
        <v>6883</v>
      </c>
      <c r="B6883" s="924">
        <v>15.6</v>
      </c>
    </row>
    <row r="6884" spans="1:2" x14ac:dyDescent="0.25">
      <c r="A6884" s="924">
        <f t="shared" si="107"/>
        <v>6884</v>
      </c>
      <c r="B6884" s="924">
        <v>15.6</v>
      </c>
    </row>
    <row r="6885" spans="1:2" x14ac:dyDescent="0.25">
      <c r="A6885" s="924">
        <f t="shared" si="107"/>
        <v>6885</v>
      </c>
      <c r="B6885" s="924">
        <v>15.6</v>
      </c>
    </row>
    <row r="6886" spans="1:2" x14ac:dyDescent="0.25">
      <c r="A6886" s="924">
        <f t="shared" si="107"/>
        <v>6886</v>
      </c>
      <c r="B6886" s="924">
        <v>15.6</v>
      </c>
    </row>
    <row r="6887" spans="1:2" x14ac:dyDescent="0.25">
      <c r="A6887" s="924">
        <f t="shared" si="107"/>
        <v>6887</v>
      </c>
      <c r="B6887" s="924">
        <v>15.6</v>
      </c>
    </row>
    <row r="6888" spans="1:2" x14ac:dyDescent="0.25">
      <c r="A6888" s="924">
        <f t="shared" si="107"/>
        <v>6888</v>
      </c>
      <c r="B6888" s="924">
        <v>15.6</v>
      </c>
    </row>
    <row r="6889" spans="1:2" x14ac:dyDescent="0.25">
      <c r="A6889" s="924">
        <f t="shared" si="107"/>
        <v>6889</v>
      </c>
      <c r="B6889" s="924">
        <v>15.6</v>
      </c>
    </row>
    <row r="6890" spans="1:2" x14ac:dyDescent="0.25">
      <c r="A6890" s="924">
        <f t="shared" si="107"/>
        <v>6890</v>
      </c>
      <c r="B6890" s="924">
        <v>15.6</v>
      </c>
    </row>
    <row r="6891" spans="1:2" x14ac:dyDescent="0.25">
      <c r="A6891" s="924">
        <f t="shared" si="107"/>
        <v>6891</v>
      </c>
      <c r="B6891" s="924">
        <v>15.6</v>
      </c>
    </row>
    <row r="6892" spans="1:2" x14ac:dyDescent="0.25">
      <c r="A6892" s="924">
        <f t="shared" si="107"/>
        <v>6892</v>
      </c>
      <c r="B6892" s="924">
        <v>15.6</v>
      </c>
    </row>
    <row r="6893" spans="1:2" x14ac:dyDescent="0.25">
      <c r="A6893" s="924">
        <f t="shared" si="107"/>
        <v>6893</v>
      </c>
      <c r="B6893" s="924">
        <v>15.6</v>
      </c>
    </row>
    <row r="6894" spans="1:2" x14ac:dyDescent="0.25">
      <c r="A6894" s="924">
        <f t="shared" si="107"/>
        <v>6894</v>
      </c>
      <c r="B6894" s="924">
        <v>15.6</v>
      </c>
    </row>
    <row r="6895" spans="1:2" x14ac:dyDescent="0.25">
      <c r="A6895" s="924">
        <f t="shared" si="107"/>
        <v>6895</v>
      </c>
      <c r="B6895" s="924">
        <v>15.6</v>
      </c>
    </row>
    <row r="6896" spans="1:2" x14ac:dyDescent="0.25">
      <c r="A6896" s="924">
        <f t="shared" si="107"/>
        <v>6896</v>
      </c>
      <c r="B6896" s="924">
        <v>15.7</v>
      </c>
    </row>
    <row r="6897" spans="1:2" x14ac:dyDescent="0.25">
      <c r="A6897" s="924">
        <f t="shared" si="107"/>
        <v>6897</v>
      </c>
      <c r="B6897" s="924">
        <v>15.7</v>
      </c>
    </row>
    <row r="6898" spans="1:2" x14ac:dyDescent="0.25">
      <c r="A6898" s="924">
        <f t="shared" si="107"/>
        <v>6898</v>
      </c>
      <c r="B6898" s="924">
        <v>15.7</v>
      </c>
    </row>
    <row r="6899" spans="1:2" x14ac:dyDescent="0.25">
      <c r="A6899" s="924">
        <f t="shared" si="107"/>
        <v>6899</v>
      </c>
      <c r="B6899" s="924">
        <v>15.7</v>
      </c>
    </row>
    <row r="6900" spans="1:2" x14ac:dyDescent="0.25">
      <c r="A6900" s="924">
        <f t="shared" si="107"/>
        <v>6900</v>
      </c>
      <c r="B6900" s="924">
        <v>15.7</v>
      </c>
    </row>
    <row r="6901" spans="1:2" x14ac:dyDescent="0.25">
      <c r="A6901" s="924">
        <f t="shared" si="107"/>
        <v>6901</v>
      </c>
      <c r="B6901" s="924">
        <v>15.7</v>
      </c>
    </row>
    <row r="6902" spans="1:2" x14ac:dyDescent="0.25">
      <c r="A6902" s="924">
        <f t="shared" si="107"/>
        <v>6902</v>
      </c>
      <c r="B6902" s="924">
        <v>15.7</v>
      </c>
    </row>
    <row r="6903" spans="1:2" x14ac:dyDescent="0.25">
      <c r="A6903" s="924">
        <f t="shared" si="107"/>
        <v>6903</v>
      </c>
      <c r="B6903" s="924">
        <v>15.7</v>
      </c>
    </row>
    <row r="6904" spans="1:2" x14ac:dyDescent="0.25">
      <c r="A6904" s="924">
        <f t="shared" si="107"/>
        <v>6904</v>
      </c>
      <c r="B6904" s="924">
        <v>15.7</v>
      </c>
    </row>
    <row r="6905" spans="1:2" x14ac:dyDescent="0.25">
      <c r="A6905" s="924">
        <f t="shared" si="107"/>
        <v>6905</v>
      </c>
      <c r="B6905" s="924">
        <v>15.7</v>
      </c>
    </row>
    <row r="6906" spans="1:2" x14ac:dyDescent="0.25">
      <c r="A6906" s="924">
        <f t="shared" si="107"/>
        <v>6906</v>
      </c>
      <c r="B6906" s="924">
        <v>15.7</v>
      </c>
    </row>
    <row r="6907" spans="1:2" x14ac:dyDescent="0.25">
      <c r="A6907" s="924">
        <f t="shared" si="107"/>
        <v>6907</v>
      </c>
      <c r="B6907" s="924">
        <v>15.7</v>
      </c>
    </row>
    <row r="6908" spans="1:2" x14ac:dyDescent="0.25">
      <c r="A6908" s="924">
        <f t="shared" si="107"/>
        <v>6908</v>
      </c>
      <c r="B6908" s="924">
        <v>15.7</v>
      </c>
    </row>
    <row r="6909" spans="1:2" x14ac:dyDescent="0.25">
      <c r="A6909" s="924">
        <f t="shared" si="107"/>
        <v>6909</v>
      </c>
      <c r="B6909" s="924">
        <v>15.7</v>
      </c>
    </row>
    <row r="6910" spans="1:2" x14ac:dyDescent="0.25">
      <c r="A6910" s="924">
        <f t="shared" si="107"/>
        <v>6910</v>
      </c>
      <c r="B6910" s="924">
        <v>15.7</v>
      </c>
    </row>
    <row r="6911" spans="1:2" x14ac:dyDescent="0.25">
      <c r="A6911" s="924">
        <f t="shared" si="107"/>
        <v>6911</v>
      </c>
      <c r="B6911" s="924">
        <v>15.7</v>
      </c>
    </row>
    <row r="6912" spans="1:2" x14ac:dyDescent="0.25">
      <c r="A6912" s="924">
        <f t="shared" si="107"/>
        <v>6912</v>
      </c>
      <c r="B6912" s="924">
        <v>15.7</v>
      </c>
    </row>
    <row r="6913" spans="1:2" x14ac:dyDescent="0.25">
      <c r="A6913" s="924">
        <f t="shared" si="107"/>
        <v>6913</v>
      </c>
      <c r="B6913" s="924">
        <v>15.7</v>
      </c>
    </row>
    <row r="6914" spans="1:2" x14ac:dyDescent="0.25">
      <c r="A6914" s="924">
        <f t="shared" si="107"/>
        <v>6914</v>
      </c>
      <c r="B6914" s="924">
        <v>15.7</v>
      </c>
    </row>
    <row r="6915" spans="1:2" x14ac:dyDescent="0.25">
      <c r="A6915" s="924">
        <f t="shared" ref="A6915:A6978" si="108">A6914+1</f>
        <v>6915</v>
      </c>
      <c r="B6915" s="924">
        <v>15.7</v>
      </c>
    </row>
    <row r="6916" spans="1:2" x14ac:dyDescent="0.25">
      <c r="A6916" s="924">
        <f t="shared" si="108"/>
        <v>6916</v>
      </c>
      <c r="B6916" s="924">
        <v>15.7</v>
      </c>
    </row>
    <row r="6917" spans="1:2" x14ac:dyDescent="0.25">
      <c r="A6917" s="924">
        <f t="shared" si="108"/>
        <v>6917</v>
      </c>
      <c r="B6917" s="924">
        <v>15.7</v>
      </c>
    </row>
    <row r="6918" spans="1:2" x14ac:dyDescent="0.25">
      <c r="A6918" s="924">
        <f t="shared" si="108"/>
        <v>6918</v>
      </c>
      <c r="B6918" s="924">
        <v>15.7</v>
      </c>
    </row>
    <row r="6919" spans="1:2" x14ac:dyDescent="0.25">
      <c r="A6919" s="924">
        <f t="shared" si="108"/>
        <v>6919</v>
      </c>
      <c r="B6919" s="924">
        <v>15.7</v>
      </c>
    </row>
    <row r="6920" spans="1:2" x14ac:dyDescent="0.25">
      <c r="A6920" s="924">
        <f t="shared" si="108"/>
        <v>6920</v>
      </c>
      <c r="B6920" s="924">
        <v>15.7</v>
      </c>
    </row>
    <row r="6921" spans="1:2" x14ac:dyDescent="0.25">
      <c r="A6921" s="924">
        <f t="shared" si="108"/>
        <v>6921</v>
      </c>
      <c r="B6921" s="924">
        <v>15.7</v>
      </c>
    </row>
    <row r="6922" spans="1:2" x14ac:dyDescent="0.25">
      <c r="A6922" s="924">
        <f t="shared" si="108"/>
        <v>6922</v>
      </c>
      <c r="B6922" s="924">
        <v>15.7</v>
      </c>
    </row>
    <row r="6923" spans="1:2" x14ac:dyDescent="0.25">
      <c r="A6923" s="924">
        <f t="shared" si="108"/>
        <v>6923</v>
      </c>
      <c r="B6923" s="924">
        <v>15.7</v>
      </c>
    </row>
    <row r="6924" spans="1:2" x14ac:dyDescent="0.25">
      <c r="A6924" s="924">
        <f t="shared" si="108"/>
        <v>6924</v>
      </c>
      <c r="B6924" s="924">
        <v>15.7</v>
      </c>
    </row>
    <row r="6925" spans="1:2" x14ac:dyDescent="0.25">
      <c r="A6925" s="924">
        <f t="shared" si="108"/>
        <v>6925</v>
      </c>
      <c r="B6925" s="924">
        <v>15.7</v>
      </c>
    </row>
    <row r="6926" spans="1:2" x14ac:dyDescent="0.25">
      <c r="A6926" s="924">
        <f t="shared" si="108"/>
        <v>6926</v>
      </c>
      <c r="B6926" s="924">
        <v>15.7</v>
      </c>
    </row>
    <row r="6927" spans="1:2" x14ac:dyDescent="0.25">
      <c r="A6927" s="924">
        <f t="shared" si="108"/>
        <v>6927</v>
      </c>
      <c r="B6927" s="924">
        <v>15.7</v>
      </c>
    </row>
    <row r="6928" spans="1:2" x14ac:dyDescent="0.25">
      <c r="A6928" s="924">
        <f t="shared" si="108"/>
        <v>6928</v>
      </c>
      <c r="B6928" s="924">
        <v>15.7</v>
      </c>
    </row>
    <row r="6929" spans="1:2" x14ac:dyDescent="0.25">
      <c r="A6929" s="924">
        <f t="shared" si="108"/>
        <v>6929</v>
      </c>
      <c r="B6929" s="924">
        <v>15.7</v>
      </c>
    </row>
    <row r="6930" spans="1:2" x14ac:dyDescent="0.25">
      <c r="A6930" s="924">
        <f t="shared" si="108"/>
        <v>6930</v>
      </c>
      <c r="B6930" s="924">
        <v>15.7</v>
      </c>
    </row>
    <row r="6931" spans="1:2" x14ac:dyDescent="0.25">
      <c r="A6931" s="924">
        <f t="shared" si="108"/>
        <v>6931</v>
      </c>
      <c r="B6931" s="924">
        <v>15.7</v>
      </c>
    </row>
    <row r="6932" spans="1:2" x14ac:dyDescent="0.25">
      <c r="A6932" s="924">
        <f t="shared" si="108"/>
        <v>6932</v>
      </c>
      <c r="B6932" s="924">
        <v>15.7</v>
      </c>
    </row>
    <row r="6933" spans="1:2" x14ac:dyDescent="0.25">
      <c r="A6933" s="924">
        <f t="shared" si="108"/>
        <v>6933</v>
      </c>
      <c r="B6933" s="924">
        <v>15.7</v>
      </c>
    </row>
    <row r="6934" spans="1:2" x14ac:dyDescent="0.25">
      <c r="A6934" s="924">
        <f t="shared" si="108"/>
        <v>6934</v>
      </c>
      <c r="B6934" s="924">
        <v>15.7</v>
      </c>
    </row>
    <row r="6935" spans="1:2" x14ac:dyDescent="0.25">
      <c r="A6935" s="924">
        <f t="shared" si="108"/>
        <v>6935</v>
      </c>
      <c r="B6935" s="924">
        <v>15.7</v>
      </c>
    </row>
    <row r="6936" spans="1:2" x14ac:dyDescent="0.25">
      <c r="A6936" s="924">
        <f t="shared" si="108"/>
        <v>6936</v>
      </c>
      <c r="B6936" s="924">
        <v>15.8</v>
      </c>
    </row>
    <row r="6937" spans="1:2" x14ac:dyDescent="0.25">
      <c r="A6937" s="924">
        <f t="shared" si="108"/>
        <v>6937</v>
      </c>
      <c r="B6937" s="924">
        <v>15.8</v>
      </c>
    </row>
    <row r="6938" spans="1:2" x14ac:dyDescent="0.25">
      <c r="A6938" s="924">
        <f t="shared" si="108"/>
        <v>6938</v>
      </c>
      <c r="B6938" s="924">
        <v>15.8</v>
      </c>
    </row>
    <row r="6939" spans="1:2" x14ac:dyDescent="0.25">
      <c r="A6939" s="924">
        <f t="shared" si="108"/>
        <v>6939</v>
      </c>
      <c r="B6939" s="924">
        <v>15.8</v>
      </c>
    </row>
    <row r="6940" spans="1:2" x14ac:dyDescent="0.25">
      <c r="A6940" s="924">
        <f t="shared" si="108"/>
        <v>6940</v>
      </c>
      <c r="B6940" s="924">
        <v>15.8</v>
      </c>
    </row>
    <row r="6941" spans="1:2" x14ac:dyDescent="0.25">
      <c r="A6941" s="924">
        <f t="shared" si="108"/>
        <v>6941</v>
      </c>
      <c r="B6941" s="924">
        <v>15.8</v>
      </c>
    </row>
    <row r="6942" spans="1:2" x14ac:dyDescent="0.25">
      <c r="A6942" s="924">
        <f t="shared" si="108"/>
        <v>6942</v>
      </c>
      <c r="B6942" s="924">
        <v>15.8</v>
      </c>
    </row>
    <row r="6943" spans="1:2" x14ac:dyDescent="0.25">
      <c r="A6943" s="924">
        <f t="shared" si="108"/>
        <v>6943</v>
      </c>
      <c r="B6943" s="924">
        <v>15.8</v>
      </c>
    </row>
    <row r="6944" spans="1:2" x14ac:dyDescent="0.25">
      <c r="A6944" s="924">
        <f t="shared" si="108"/>
        <v>6944</v>
      </c>
      <c r="B6944" s="924">
        <v>15.8</v>
      </c>
    </row>
    <row r="6945" spans="1:2" x14ac:dyDescent="0.25">
      <c r="A6945" s="924">
        <f t="shared" si="108"/>
        <v>6945</v>
      </c>
      <c r="B6945" s="924">
        <v>15.8</v>
      </c>
    </row>
    <row r="6946" spans="1:2" x14ac:dyDescent="0.25">
      <c r="A6946" s="924">
        <f t="shared" si="108"/>
        <v>6946</v>
      </c>
      <c r="B6946" s="924">
        <v>15.8</v>
      </c>
    </row>
    <row r="6947" spans="1:2" x14ac:dyDescent="0.25">
      <c r="A6947" s="924">
        <f t="shared" si="108"/>
        <v>6947</v>
      </c>
      <c r="B6947" s="924">
        <v>15.8</v>
      </c>
    </row>
    <row r="6948" spans="1:2" x14ac:dyDescent="0.25">
      <c r="A6948" s="924">
        <f t="shared" si="108"/>
        <v>6948</v>
      </c>
      <c r="B6948" s="924">
        <v>15.8</v>
      </c>
    </row>
    <row r="6949" spans="1:2" x14ac:dyDescent="0.25">
      <c r="A6949" s="924">
        <f t="shared" si="108"/>
        <v>6949</v>
      </c>
      <c r="B6949" s="924">
        <v>15.8</v>
      </c>
    </row>
    <row r="6950" spans="1:2" x14ac:dyDescent="0.25">
      <c r="A6950" s="924">
        <f t="shared" si="108"/>
        <v>6950</v>
      </c>
      <c r="B6950" s="924">
        <v>15.8</v>
      </c>
    </row>
    <row r="6951" spans="1:2" x14ac:dyDescent="0.25">
      <c r="A6951" s="924">
        <f t="shared" si="108"/>
        <v>6951</v>
      </c>
      <c r="B6951" s="924">
        <v>15.8</v>
      </c>
    </row>
    <row r="6952" spans="1:2" x14ac:dyDescent="0.25">
      <c r="A6952" s="924">
        <f t="shared" si="108"/>
        <v>6952</v>
      </c>
      <c r="B6952" s="924">
        <v>15.8</v>
      </c>
    </row>
    <row r="6953" spans="1:2" x14ac:dyDescent="0.25">
      <c r="A6953" s="924">
        <f t="shared" si="108"/>
        <v>6953</v>
      </c>
      <c r="B6953" s="924">
        <v>15.8</v>
      </c>
    </row>
    <row r="6954" spans="1:2" x14ac:dyDescent="0.25">
      <c r="A6954" s="924">
        <f t="shared" si="108"/>
        <v>6954</v>
      </c>
      <c r="B6954" s="924">
        <v>15.8</v>
      </c>
    </row>
    <row r="6955" spans="1:2" x14ac:dyDescent="0.25">
      <c r="A6955" s="924">
        <f t="shared" si="108"/>
        <v>6955</v>
      </c>
      <c r="B6955" s="924">
        <v>15.8</v>
      </c>
    </row>
    <row r="6956" spans="1:2" x14ac:dyDescent="0.25">
      <c r="A6956" s="924">
        <f t="shared" si="108"/>
        <v>6956</v>
      </c>
      <c r="B6956" s="924">
        <v>15.8</v>
      </c>
    </row>
    <row r="6957" spans="1:2" x14ac:dyDescent="0.25">
      <c r="A6957" s="924">
        <f t="shared" si="108"/>
        <v>6957</v>
      </c>
      <c r="B6957" s="924">
        <v>15.8</v>
      </c>
    </row>
    <row r="6958" spans="1:2" x14ac:dyDescent="0.25">
      <c r="A6958" s="924">
        <f t="shared" si="108"/>
        <v>6958</v>
      </c>
      <c r="B6958" s="924">
        <v>15.8</v>
      </c>
    </row>
    <row r="6959" spans="1:2" x14ac:dyDescent="0.25">
      <c r="A6959" s="924">
        <f t="shared" si="108"/>
        <v>6959</v>
      </c>
      <c r="B6959" s="924">
        <v>15.8</v>
      </c>
    </row>
    <row r="6960" spans="1:2" x14ac:dyDescent="0.25">
      <c r="A6960" s="924">
        <f t="shared" si="108"/>
        <v>6960</v>
      </c>
      <c r="B6960" s="924">
        <v>15.8</v>
      </c>
    </row>
    <row r="6961" spans="1:2" x14ac:dyDescent="0.25">
      <c r="A6961" s="924">
        <f t="shared" si="108"/>
        <v>6961</v>
      </c>
      <c r="B6961" s="924">
        <v>15.8</v>
      </c>
    </row>
    <row r="6962" spans="1:2" x14ac:dyDescent="0.25">
      <c r="A6962" s="924">
        <f t="shared" si="108"/>
        <v>6962</v>
      </c>
      <c r="B6962" s="924">
        <v>15.8</v>
      </c>
    </row>
    <row r="6963" spans="1:2" x14ac:dyDescent="0.25">
      <c r="A6963" s="924">
        <f t="shared" si="108"/>
        <v>6963</v>
      </c>
      <c r="B6963" s="924">
        <v>15.8</v>
      </c>
    </row>
    <row r="6964" spans="1:2" x14ac:dyDescent="0.25">
      <c r="A6964" s="924">
        <f t="shared" si="108"/>
        <v>6964</v>
      </c>
      <c r="B6964" s="924">
        <v>15.8</v>
      </c>
    </row>
    <row r="6965" spans="1:2" x14ac:dyDescent="0.25">
      <c r="A6965" s="924">
        <f t="shared" si="108"/>
        <v>6965</v>
      </c>
      <c r="B6965" s="924">
        <v>15.8</v>
      </c>
    </row>
    <row r="6966" spans="1:2" x14ac:dyDescent="0.25">
      <c r="A6966" s="924">
        <f t="shared" si="108"/>
        <v>6966</v>
      </c>
      <c r="B6966" s="924">
        <v>15.8</v>
      </c>
    </row>
    <row r="6967" spans="1:2" x14ac:dyDescent="0.25">
      <c r="A6967" s="924">
        <f t="shared" si="108"/>
        <v>6967</v>
      </c>
      <c r="B6967" s="924">
        <v>15.8</v>
      </c>
    </row>
    <row r="6968" spans="1:2" x14ac:dyDescent="0.25">
      <c r="A6968" s="924">
        <f t="shared" si="108"/>
        <v>6968</v>
      </c>
      <c r="B6968" s="924">
        <v>15.8</v>
      </c>
    </row>
    <row r="6969" spans="1:2" x14ac:dyDescent="0.25">
      <c r="A6969" s="924">
        <f t="shared" si="108"/>
        <v>6969</v>
      </c>
      <c r="B6969" s="924">
        <v>15.8</v>
      </c>
    </row>
    <row r="6970" spans="1:2" x14ac:dyDescent="0.25">
      <c r="A6970" s="924">
        <f t="shared" si="108"/>
        <v>6970</v>
      </c>
      <c r="B6970" s="924">
        <v>15.8</v>
      </c>
    </row>
    <row r="6971" spans="1:2" x14ac:dyDescent="0.25">
      <c r="A6971" s="924">
        <f t="shared" si="108"/>
        <v>6971</v>
      </c>
      <c r="B6971" s="924">
        <v>15.8</v>
      </c>
    </row>
    <row r="6972" spans="1:2" x14ac:dyDescent="0.25">
      <c r="A6972" s="924">
        <f t="shared" si="108"/>
        <v>6972</v>
      </c>
      <c r="B6972" s="924">
        <v>15.8</v>
      </c>
    </row>
    <row r="6973" spans="1:2" x14ac:dyDescent="0.25">
      <c r="A6973" s="924">
        <f t="shared" si="108"/>
        <v>6973</v>
      </c>
      <c r="B6973" s="924">
        <v>15.8</v>
      </c>
    </row>
    <row r="6974" spans="1:2" x14ac:dyDescent="0.25">
      <c r="A6974" s="924">
        <f t="shared" si="108"/>
        <v>6974</v>
      </c>
      <c r="B6974" s="924">
        <v>15.8</v>
      </c>
    </row>
    <row r="6975" spans="1:2" x14ac:dyDescent="0.25">
      <c r="A6975" s="924">
        <f t="shared" si="108"/>
        <v>6975</v>
      </c>
      <c r="B6975" s="924">
        <v>15.8</v>
      </c>
    </row>
    <row r="6976" spans="1:2" x14ac:dyDescent="0.25">
      <c r="A6976" s="924">
        <f t="shared" si="108"/>
        <v>6976</v>
      </c>
      <c r="B6976" s="924">
        <v>15.8</v>
      </c>
    </row>
    <row r="6977" spans="1:2" x14ac:dyDescent="0.25">
      <c r="A6977" s="924">
        <f t="shared" si="108"/>
        <v>6977</v>
      </c>
      <c r="B6977" s="924">
        <v>15.9</v>
      </c>
    </row>
    <row r="6978" spans="1:2" x14ac:dyDescent="0.25">
      <c r="A6978" s="924">
        <f t="shared" si="108"/>
        <v>6978</v>
      </c>
      <c r="B6978" s="924">
        <v>15.9</v>
      </c>
    </row>
    <row r="6979" spans="1:2" x14ac:dyDescent="0.25">
      <c r="A6979" s="924">
        <f t="shared" ref="A6979:A7042" si="109">A6978+1</f>
        <v>6979</v>
      </c>
      <c r="B6979" s="924">
        <v>15.9</v>
      </c>
    </row>
    <row r="6980" spans="1:2" x14ac:dyDescent="0.25">
      <c r="A6980" s="924">
        <f t="shared" si="109"/>
        <v>6980</v>
      </c>
      <c r="B6980" s="924">
        <v>15.9</v>
      </c>
    </row>
    <row r="6981" spans="1:2" x14ac:dyDescent="0.25">
      <c r="A6981" s="924">
        <f t="shared" si="109"/>
        <v>6981</v>
      </c>
      <c r="B6981" s="924">
        <v>15.9</v>
      </c>
    </row>
    <row r="6982" spans="1:2" x14ac:dyDescent="0.25">
      <c r="A6982" s="924">
        <f t="shared" si="109"/>
        <v>6982</v>
      </c>
      <c r="B6982" s="924">
        <v>15.9</v>
      </c>
    </row>
    <row r="6983" spans="1:2" x14ac:dyDescent="0.25">
      <c r="A6983" s="924">
        <f t="shared" si="109"/>
        <v>6983</v>
      </c>
      <c r="B6983" s="924">
        <v>15.9</v>
      </c>
    </row>
    <row r="6984" spans="1:2" x14ac:dyDescent="0.25">
      <c r="A6984" s="924">
        <f t="shared" si="109"/>
        <v>6984</v>
      </c>
      <c r="B6984" s="924">
        <v>15.9</v>
      </c>
    </row>
    <row r="6985" spans="1:2" x14ac:dyDescent="0.25">
      <c r="A6985" s="924">
        <f t="shared" si="109"/>
        <v>6985</v>
      </c>
      <c r="B6985" s="924">
        <v>15.9</v>
      </c>
    </row>
    <row r="6986" spans="1:2" x14ac:dyDescent="0.25">
      <c r="A6986" s="924">
        <f t="shared" si="109"/>
        <v>6986</v>
      </c>
      <c r="B6986" s="924">
        <v>15.9</v>
      </c>
    </row>
    <row r="6987" spans="1:2" x14ac:dyDescent="0.25">
      <c r="A6987" s="924">
        <f t="shared" si="109"/>
        <v>6987</v>
      </c>
      <c r="B6987" s="924">
        <v>15.9</v>
      </c>
    </row>
    <row r="6988" spans="1:2" x14ac:dyDescent="0.25">
      <c r="A6988" s="924">
        <f t="shared" si="109"/>
        <v>6988</v>
      </c>
      <c r="B6988" s="924">
        <v>15.9</v>
      </c>
    </row>
    <row r="6989" spans="1:2" x14ac:dyDescent="0.25">
      <c r="A6989" s="924">
        <f t="shared" si="109"/>
        <v>6989</v>
      </c>
      <c r="B6989" s="924">
        <v>15.9</v>
      </c>
    </row>
    <row r="6990" spans="1:2" x14ac:dyDescent="0.25">
      <c r="A6990" s="924">
        <f t="shared" si="109"/>
        <v>6990</v>
      </c>
      <c r="B6990" s="924">
        <v>15.9</v>
      </c>
    </row>
    <row r="6991" spans="1:2" x14ac:dyDescent="0.25">
      <c r="A6991" s="924">
        <f t="shared" si="109"/>
        <v>6991</v>
      </c>
      <c r="B6991" s="924">
        <v>15.9</v>
      </c>
    </row>
    <row r="6992" spans="1:2" x14ac:dyDescent="0.25">
      <c r="A6992" s="924">
        <f t="shared" si="109"/>
        <v>6992</v>
      </c>
      <c r="B6992" s="924">
        <v>15.9</v>
      </c>
    </row>
    <row r="6993" spans="1:2" x14ac:dyDescent="0.25">
      <c r="A6993" s="924">
        <f t="shared" si="109"/>
        <v>6993</v>
      </c>
      <c r="B6993" s="924">
        <v>15.9</v>
      </c>
    </row>
    <row r="6994" spans="1:2" x14ac:dyDescent="0.25">
      <c r="A6994" s="924">
        <f t="shared" si="109"/>
        <v>6994</v>
      </c>
      <c r="B6994" s="924">
        <v>15.9</v>
      </c>
    </row>
    <row r="6995" spans="1:2" x14ac:dyDescent="0.25">
      <c r="A6995" s="924">
        <f t="shared" si="109"/>
        <v>6995</v>
      </c>
      <c r="B6995" s="924">
        <v>15.9</v>
      </c>
    </row>
    <row r="6996" spans="1:2" x14ac:dyDescent="0.25">
      <c r="A6996" s="924">
        <f t="shared" si="109"/>
        <v>6996</v>
      </c>
      <c r="B6996" s="924">
        <v>15.9</v>
      </c>
    </row>
    <row r="6997" spans="1:2" x14ac:dyDescent="0.25">
      <c r="A6997" s="924">
        <f t="shared" si="109"/>
        <v>6997</v>
      </c>
      <c r="B6997" s="924">
        <v>15.9</v>
      </c>
    </row>
    <row r="6998" spans="1:2" x14ac:dyDescent="0.25">
      <c r="A6998" s="924">
        <f t="shared" si="109"/>
        <v>6998</v>
      </c>
      <c r="B6998" s="924">
        <v>15.9</v>
      </c>
    </row>
    <row r="6999" spans="1:2" x14ac:dyDescent="0.25">
      <c r="A6999" s="924">
        <f t="shared" si="109"/>
        <v>6999</v>
      </c>
      <c r="B6999" s="924">
        <v>15.9</v>
      </c>
    </row>
    <row r="7000" spans="1:2" x14ac:dyDescent="0.25">
      <c r="A7000" s="924">
        <f t="shared" si="109"/>
        <v>7000</v>
      </c>
      <c r="B7000" s="924">
        <v>15.9</v>
      </c>
    </row>
    <row r="7001" spans="1:2" x14ac:dyDescent="0.25">
      <c r="A7001" s="924">
        <f t="shared" si="109"/>
        <v>7001</v>
      </c>
      <c r="B7001" s="924">
        <v>15.9</v>
      </c>
    </row>
    <row r="7002" spans="1:2" x14ac:dyDescent="0.25">
      <c r="A7002" s="924">
        <f t="shared" si="109"/>
        <v>7002</v>
      </c>
      <c r="B7002" s="924">
        <v>15.9</v>
      </c>
    </row>
    <row r="7003" spans="1:2" x14ac:dyDescent="0.25">
      <c r="A7003" s="924">
        <f t="shared" si="109"/>
        <v>7003</v>
      </c>
      <c r="B7003" s="924">
        <v>15.9</v>
      </c>
    </row>
    <row r="7004" spans="1:2" x14ac:dyDescent="0.25">
      <c r="A7004" s="924">
        <f t="shared" si="109"/>
        <v>7004</v>
      </c>
      <c r="B7004" s="924">
        <v>15.9</v>
      </c>
    </row>
    <row r="7005" spans="1:2" x14ac:dyDescent="0.25">
      <c r="A7005" s="924">
        <f t="shared" si="109"/>
        <v>7005</v>
      </c>
      <c r="B7005" s="924">
        <v>15.9</v>
      </c>
    </row>
    <row r="7006" spans="1:2" x14ac:dyDescent="0.25">
      <c r="A7006" s="924">
        <f t="shared" si="109"/>
        <v>7006</v>
      </c>
      <c r="B7006" s="924">
        <v>15.9</v>
      </c>
    </row>
    <row r="7007" spans="1:2" x14ac:dyDescent="0.25">
      <c r="A7007" s="924">
        <f t="shared" si="109"/>
        <v>7007</v>
      </c>
      <c r="B7007" s="924">
        <v>15.9</v>
      </c>
    </row>
    <row r="7008" spans="1:2" x14ac:dyDescent="0.25">
      <c r="A7008" s="924">
        <f t="shared" si="109"/>
        <v>7008</v>
      </c>
      <c r="B7008" s="924">
        <v>15.9</v>
      </c>
    </row>
    <row r="7009" spans="1:2" x14ac:dyDescent="0.25">
      <c r="A7009" s="924">
        <f t="shared" si="109"/>
        <v>7009</v>
      </c>
      <c r="B7009" s="924">
        <v>15.9</v>
      </c>
    </row>
    <row r="7010" spans="1:2" x14ac:dyDescent="0.25">
      <c r="A7010" s="924">
        <f t="shared" si="109"/>
        <v>7010</v>
      </c>
      <c r="B7010" s="924">
        <v>15.9</v>
      </c>
    </row>
    <row r="7011" spans="1:2" x14ac:dyDescent="0.25">
      <c r="A7011" s="924">
        <f t="shared" si="109"/>
        <v>7011</v>
      </c>
      <c r="B7011" s="924">
        <v>15.9</v>
      </c>
    </row>
    <row r="7012" spans="1:2" x14ac:dyDescent="0.25">
      <c r="A7012" s="924">
        <f t="shared" si="109"/>
        <v>7012</v>
      </c>
      <c r="B7012" s="924">
        <v>15.9</v>
      </c>
    </row>
    <row r="7013" spans="1:2" x14ac:dyDescent="0.25">
      <c r="A7013" s="924">
        <f t="shared" si="109"/>
        <v>7013</v>
      </c>
      <c r="B7013" s="924">
        <v>15.9</v>
      </c>
    </row>
    <row r="7014" spans="1:2" x14ac:dyDescent="0.25">
      <c r="A7014" s="924">
        <f t="shared" si="109"/>
        <v>7014</v>
      </c>
      <c r="B7014" s="924">
        <v>16</v>
      </c>
    </row>
    <row r="7015" spans="1:2" x14ac:dyDescent="0.25">
      <c r="A7015" s="924">
        <f t="shared" si="109"/>
        <v>7015</v>
      </c>
      <c r="B7015" s="924">
        <v>16</v>
      </c>
    </row>
    <row r="7016" spans="1:2" x14ac:dyDescent="0.25">
      <c r="A7016" s="924">
        <f t="shared" si="109"/>
        <v>7016</v>
      </c>
      <c r="B7016" s="924">
        <v>16</v>
      </c>
    </row>
    <row r="7017" spans="1:2" x14ac:dyDescent="0.25">
      <c r="A7017" s="924">
        <f t="shared" si="109"/>
        <v>7017</v>
      </c>
      <c r="B7017" s="924">
        <v>16</v>
      </c>
    </row>
    <row r="7018" spans="1:2" x14ac:dyDescent="0.25">
      <c r="A7018" s="924">
        <f t="shared" si="109"/>
        <v>7018</v>
      </c>
      <c r="B7018" s="924">
        <v>16</v>
      </c>
    </row>
    <row r="7019" spans="1:2" x14ac:dyDescent="0.25">
      <c r="A7019" s="924">
        <f t="shared" si="109"/>
        <v>7019</v>
      </c>
      <c r="B7019" s="924">
        <v>16</v>
      </c>
    </row>
    <row r="7020" spans="1:2" x14ac:dyDescent="0.25">
      <c r="A7020" s="924">
        <f t="shared" si="109"/>
        <v>7020</v>
      </c>
      <c r="B7020" s="924">
        <v>16</v>
      </c>
    </row>
    <row r="7021" spans="1:2" x14ac:dyDescent="0.25">
      <c r="A7021" s="924">
        <f t="shared" si="109"/>
        <v>7021</v>
      </c>
      <c r="B7021" s="924">
        <v>16</v>
      </c>
    </row>
    <row r="7022" spans="1:2" x14ac:dyDescent="0.25">
      <c r="A7022" s="924">
        <f t="shared" si="109"/>
        <v>7022</v>
      </c>
      <c r="B7022" s="924">
        <v>16</v>
      </c>
    </row>
    <row r="7023" spans="1:2" x14ac:dyDescent="0.25">
      <c r="A7023" s="924">
        <f t="shared" si="109"/>
        <v>7023</v>
      </c>
      <c r="B7023" s="924">
        <v>16</v>
      </c>
    </row>
    <row r="7024" spans="1:2" x14ac:dyDescent="0.25">
      <c r="A7024" s="924">
        <f t="shared" si="109"/>
        <v>7024</v>
      </c>
      <c r="B7024" s="924">
        <v>16</v>
      </c>
    </row>
    <row r="7025" spans="1:2" x14ac:dyDescent="0.25">
      <c r="A7025" s="924">
        <f t="shared" si="109"/>
        <v>7025</v>
      </c>
      <c r="B7025" s="924">
        <v>16</v>
      </c>
    </row>
    <row r="7026" spans="1:2" x14ac:dyDescent="0.25">
      <c r="A7026" s="924">
        <f t="shared" si="109"/>
        <v>7026</v>
      </c>
      <c r="B7026" s="924">
        <v>16</v>
      </c>
    </row>
    <row r="7027" spans="1:2" x14ac:dyDescent="0.25">
      <c r="A7027" s="924">
        <f t="shared" si="109"/>
        <v>7027</v>
      </c>
      <c r="B7027" s="924">
        <v>16</v>
      </c>
    </row>
    <row r="7028" spans="1:2" x14ac:dyDescent="0.25">
      <c r="A7028" s="924">
        <f t="shared" si="109"/>
        <v>7028</v>
      </c>
      <c r="B7028" s="924">
        <v>16</v>
      </c>
    </row>
    <row r="7029" spans="1:2" x14ac:dyDescent="0.25">
      <c r="A7029" s="924">
        <f t="shared" si="109"/>
        <v>7029</v>
      </c>
      <c r="B7029" s="924">
        <v>16</v>
      </c>
    </row>
    <row r="7030" spans="1:2" x14ac:dyDescent="0.25">
      <c r="A7030" s="924">
        <f t="shared" si="109"/>
        <v>7030</v>
      </c>
      <c r="B7030" s="924">
        <v>16</v>
      </c>
    </row>
    <row r="7031" spans="1:2" x14ac:dyDescent="0.25">
      <c r="A7031" s="924">
        <f t="shared" si="109"/>
        <v>7031</v>
      </c>
      <c r="B7031" s="924">
        <v>16</v>
      </c>
    </row>
    <row r="7032" spans="1:2" x14ac:dyDescent="0.25">
      <c r="A7032" s="924">
        <f t="shared" si="109"/>
        <v>7032</v>
      </c>
      <c r="B7032" s="924">
        <v>16</v>
      </c>
    </row>
    <row r="7033" spans="1:2" x14ac:dyDescent="0.25">
      <c r="A7033" s="924">
        <f t="shared" si="109"/>
        <v>7033</v>
      </c>
      <c r="B7033" s="924">
        <v>16</v>
      </c>
    </row>
    <row r="7034" spans="1:2" x14ac:dyDescent="0.25">
      <c r="A7034" s="924">
        <f t="shared" si="109"/>
        <v>7034</v>
      </c>
      <c r="B7034" s="924">
        <v>16</v>
      </c>
    </row>
    <row r="7035" spans="1:2" x14ac:dyDescent="0.25">
      <c r="A7035" s="924">
        <f t="shared" si="109"/>
        <v>7035</v>
      </c>
      <c r="B7035" s="924">
        <v>16</v>
      </c>
    </row>
    <row r="7036" spans="1:2" x14ac:dyDescent="0.25">
      <c r="A7036" s="924">
        <f t="shared" si="109"/>
        <v>7036</v>
      </c>
      <c r="B7036" s="924">
        <v>16</v>
      </c>
    </row>
    <row r="7037" spans="1:2" x14ac:dyDescent="0.25">
      <c r="A7037" s="924">
        <f t="shared" si="109"/>
        <v>7037</v>
      </c>
      <c r="B7037" s="924">
        <v>16</v>
      </c>
    </row>
    <row r="7038" spans="1:2" x14ac:dyDescent="0.25">
      <c r="A7038" s="924">
        <f t="shared" si="109"/>
        <v>7038</v>
      </c>
      <c r="B7038" s="924">
        <v>16</v>
      </c>
    </row>
    <row r="7039" spans="1:2" x14ac:dyDescent="0.25">
      <c r="A7039" s="924">
        <f t="shared" si="109"/>
        <v>7039</v>
      </c>
      <c r="B7039" s="924">
        <v>16</v>
      </c>
    </row>
    <row r="7040" spans="1:2" x14ac:dyDescent="0.25">
      <c r="A7040" s="924">
        <f t="shared" si="109"/>
        <v>7040</v>
      </c>
      <c r="B7040" s="924">
        <v>16</v>
      </c>
    </row>
    <row r="7041" spans="1:2" x14ac:dyDescent="0.25">
      <c r="A7041" s="924">
        <f t="shared" si="109"/>
        <v>7041</v>
      </c>
      <c r="B7041" s="924">
        <v>16</v>
      </c>
    </row>
    <row r="7042" spans="1:2" x14ac:dyDescent="0.25">
      <c r="A7042" s="924">
        <f t="shared" si="109"/>
        <v>7042</v>
      </c>
      <c r="B7042" s="924">
        <v>16</v>
      </c>
    </row>
    <row r="7043" spans="1:2" x14ac:dyDescent="0.25">
      <c r="A7043" s="924">
        <f t="shared" ref="A7043:A7106" si="110">A7042+1</f>
        <v>7043</v>
      </c>
      <c r="B7043" s="924">
        <v>16</v>
      </c>
    </row>
    <row r="7044" spans="1:2" x14ac:dyDescent="0.25">
      <c r="A7044" s="924">
        <f t="shared" si="110"/>
        <v>7044</v>
      </c>
      <c r="B7044" s="924">
        <v>16</v>
      </c>
    </row>
    <row r="7045" spans="1:2" x14ac:dyDescent="0.25">
      <c r="A7045" s="924">
        <f t="shared" si="110"/>
        <v>7045</v>
      </c>
      <c r="B7045" s="924">
        <v>16</v>
      </c>
    </row>
    <row r="7046" spans="1:2" x14ac:dyDescent="0.25">
      <c r="A7046" s="924">
        <f t="shared" si="110"/>
        <v>7046</v>
      </c>
      <c r="B7046" s="924">
        <v>16</v>
      </c>
    </row>
    <row r="7047" spans="1:2" x14ac:dyDescent="0.25">
      <c r="A7047" s="924">
        <f t="shared" si="110"/>
        <v>7047</v>
      </c>
      <c r="B7047" s="924">
        <v>16</v>
      </c>
    </row>
    <row r="7048" spans="1:2" x14ac:dyDescent="0.25">
      <c r="A7048" s="924">
        <f t="shared" si="110"/>
        <v>7048</v>
      </c>
      <c r="B7048" s="924">
        <v>16</v>
      </c>
    </row>
    <row r="7049" spans="1:2" x14ac:dyDescent="0.25">
      <c r="A7049" s="924">
        <f t="shared" si="110"/>
        <v>7049</v>
      </c>
      <c r="B7049" s="924">
        <v>16</v>
      </c>
    </row>
    <row r="7050" spans="1:2" x14ac:dyDescent="0.25">
      <c r="A7050" s="924">
        <f t="shared" si="110"/>
        <v>7050</v>
      </c>
      <c r="B7050" s="924">
        <v>16</v>
      </c>
    </row>
    <row r="7051" spans="1:2" x14ac:dyDescent="0.25">
      <c r="A7051" s="924">
        <f t="shared" si="110"/>
        <v>7051</v>
      </c>
      <c r="B7051" s="924">
        <v>16</v>
      </c>
    </row>
    <row r="7052" spans="1:2" x14ac:dyDescent="0.25">
      <c r="A7052" s="924">
        <f t="shared" si="110"/>
        <v>7052</v>
      </c>
      <c r="B7052" s="924">
        <v>16</v>
      </c>
    </row>
    <row r="7053" spans="1:2" x14ac:dyDescent="0.25">
      <c r="A7053" s="924">
        <f t="shared" si="110"/>
        <v>7053</v>
      </c>
      <c r="B7053" s="924">
        <v>16</v>
      </c>
    </row>
    <row r="7054" spans="1:2" x14ac:dyDescent="0.25">
      <c r="A7054" s="924">
        <f t="shared" si="110"/>
        <v>7054</v>
      </c>
      <c r="B7054" s="924">
        <v>16</v>
      </c>
    </row>
    <row r="7055" spans="1:2" x14ac:dyDescent="0.25">
      <c r="A7055" s="924">
        <f t="shared" si="110"/>
        <v>7055</v>
      </c>
      <c r="B7055" s="924">
        <v>16</v>
      </c>
    </row>
    <row r="7056" spans="1:2" x14ac:dyDescent="0.25">
      <c r="A7056" s="924">
        <f t="shared" si="110"/>
        <v>7056</v>
      </c>
      <c r="B7056" s="924">
        <v>16</v>
      </c>
    </row>
    <row r="7057" spans="1:2" x14ac:dyDescent="0.25">
      <c r="A7057" s="924">
        <f t="shared" si="110"/>
        <v>7057</v>
      </c>
      <c r="B7057" s="924">
        <v>16.100000000000001</v>
      </c>
    </row>
    <row r="7058" spans="1:2" x14ac:dyDescent="0.25">
      <c r="A7058" s="924">
        <f t="shared" si="110"/>
        <v>7058</v>
      </c>
      <c r="B7058" s="924">
        <v>16.100000000000001</v>
      </c>
    </row>
    <row r="7059" spans="1:2" x14ac:dyDescent="0.25">
      <c r="A7059" s="924">
        <f t="shared" si="110"/>
        <v>7059</v>
      </c>
      <c r="B7059" s="924">
        <v>16.100000000000001</v>
      </c>
    </row>
    <row r="7060" spans="1:2" x14ac:dyDescent="0.25">
      <c r="A7060" s="924">
        <f t="shared" si="110"/>
        <v>7060</v>
      </c>
      <c r="B7060" s="924">
        <v>16.100000000000001</v>
      </c>
    </row>
    <row r="7061" spans="1:2" x14ac:dyDescent="0.25">
      <c r="A7061" s="924">
        <f t="shared" si="110"/>
        <v>7061</v>
      </c>
      <c r="B7061" s="924">
        <v>16.100000000000001</v>
      </c>
    </row>
    <row r="7062" spans="1:2" x14ac:dyDescent="0.25">
      <c r="A7062" s="924">
        <f t="shared" si="110"/>
        <v>7062</v>
      </c>
      <c r="B7062" s="924">
        <v>16.100000000000001</v>
      </c>
    </row>
    <row r="7063" spans="1:2" x14ac:dyDescent="0.25">
      <c r="A7063" s="924">
        <f t="shared" si="110"/>
        <v>7063</v>
      </c>
      <c r="B7063" s="924">
        <v>16.100000000000001</v>
      </c>
    </row>
    <row r="7064" spans="1:2" x14ac:dyDescent="0.25">
      <c r="A7064" s="924">
        <f t="shared" si="110"/>
        <v>7064</v>
      </c>
      <c r="B7064" s="924">
        <v>16.100000000000001</v>
      </c>
    </row>
    <row r="7065" spans="1:2" x14ac:dyDescent="0.25">
      <c r="A7065" s="924">
        <f t="shared" si="110"/>
        <v>7065</v>
      </c>
      <c r="B7065" s="924">
        <v>16.100000000000001</v>
      </c>
    </row>
    <row r="7066" spans="1:2" x14ac:dyDescent="0.25">
      <c r="A7066" s="924">
        <f t="shared" si="110"/>
        <v>7066</v>
      </c>
      <c r="B7066" s="924">
        <v>16.100000000000001</v>
      </c>
    </row>
    <row r="7067" spans="1:2" x14ac:dyDescent="0.25">
      <c r="A7067" s="924">
        <f t="shared" si="110"/>
        <v>7067</v>
      </c>
      <c r="B7067" s="924">
        <v>16.100000000000001</v>
      </c>
    </row>
    <row r="7068" spans="1:2" x14ac:dyDescent="0.25">
      <c r="A7068" s="924">
        <f t="shared" si="110"/>
        <v>7068</v>
      </c>
      <c r="B7068" s="924">
        <v>16.100000000000001</v>
      </c>
    </row>
    <row r="7069" spans="1:2" x14ac:dyDescent="0.25">
      <c r="A7069" s="924">
        <f t="shared" si="110"/>
        <v>7069</v>
      </c>
      <c r="B7069" s="924">
        <v>16.100000000000001</v>
      </c>
    </row>
    <row r="7070" spans="1:2" x14ac:dyDescent="0.25">
      <c r="A7070" s="924">
        <f t="shared" si="110"/>
        <v>7070</v>
      </c>
      <c r="B7070" s="924">
        <v>16.100000000000001</v>
      </c>
    </row>
    <row r="7071" spans="1:2" x14ac:dyDescent="0.25">
      <c r="A7071" s="924">
        <f t="shared" si="110"/>
        <v>7071</v>
      </c>
      <c r="B7071" s="924">
        <v>16.100000000000001</v>
      </c>
    </row>
    <row r="7072" spans="1:2" x14ac:dyDescent="0.25">
      <c r="A7072" s="924">
        <f t="shared" si="110"/>
        <v>7072</v>
      </c>
      <c r="B7072" s="924">
        <v>16.100000000000001</v>
      </c>
    </row>
    <row r="7073" spans="1:2" x14ac:dyDescent="0.25">
      <c r="A7073" s="924">
        <f t="shared" si="110"/>
        <v>7073</v>
      </c>
      <c r="B7073" s="924">
        <v>16.100000000000001</v>
      </c>
    </row>
    <row r="7074" spans="1:2" x14ac:dyDescent="0.25">
      <c r="A7074" s="924">
        <f t="shared" si="110"/>
        <v>7074</v>
      </c>
      <c r="B7074" s="924">
        <v>16.100000000000001</v>
      </c>
    </row>
    <row r="7075" spans="1:2" x14ac:dyDescent="0.25">
      <c r="A7075" s="924">
        <f t="shared" si="110"/>
        <v>7075</v>
      </c>
      <c r="B7075" s="924">
        <v>16.100000000000001</v>
      </c>
    </row>
    <row r="7076" spans="1:2" x14ac:dyDescent="0.25">
      <c r="A7076" s="924">
        <f t="shared" si="110"/>
        <v>7076</v>
      </c>
      <c r="B7076" s="924">
        <v>16.100000000000001</v>
      </c>
    </row>
    <row r="7077" spans="1:2" x14ac:dyDescent="0.25">
      <c r="A7077" s="924">
        <f t="shared" si="110"/>
        <v>7077</v>
      </c>
      <c r="B7077" s="924">
        <v>16.100000000000001</v>
      </c>
    </row>
    <row r="7078" spans="1:2" x14ac:dyDescent="0.25">
      <c r="A7078" s="924">
        <f t="shared" si="110"/>
        <v>7078</v>
      </c>
      <c r="B7078" s="924">
        <v>16.100000000000001</v>
      </c>
    </row>
    <row r="7079" spans="1:2" x14ac:dyDescent="0.25">
      <c r="A7079" s="924">
        <f t="shared" si="110"/>
        <v>7079</v>
      </c>
      <c r="B7079" s="924">
        <v>16.100000000000001</v>
      </c>
    </row>
    <row r="7080" spans="1:2" x14ac:dyDescent="0.25">
      <c r="A7080" s="924">
        <f t="shared" si="110"/>
        <v>7080</v>
      </c>
      <c r="B7080" s="924">
        <v>16.100000000000001</v>
      </c>
    </row>
    <row r="7081" spans="1:2" x14ac:dyDescent="0.25">
      <c r="A7081" s="924">
        <f t="shared" si="110"/>
        <v>7081</v>
      </c>
      <c r="B7081" s="924">
        <v>16.100000000000001</v>
      </c>
    </row>
    <row r="7082" spans="1:2" x14ac:dyDescent="0.25">
      <c r="A7082" s="924">
        <f t="shared" si="110"/>
        <v>7082</v>
      </c>
      <c r="B7082" s="924">
        <v>16.100000000000001</v>
      </c>
    </row>
    <row r="7083" spans="1:2" x14ac:dyDescent="0.25">
      <c r="A7083" s="924">
        <f t="shared" si="110"/>
        <v>7083</v>
      </c>
      <c r="B7083" s="924">
        <v>16.100000000000001</v>
      </c>
    </row>
    <row r="7084" spans="1:2" x14ac:dyDescent="0.25">
      <c r="A7084" s="924">
        <f t="shared" si="110"/>
        <v>7084</v>
      </c>
      <c r="B7084" s="924">
        <v>16.100000000000001</v>
      </c>
    </row>
    <row r="7085" spans="1:2" x14ac:dyDescent="0.25">
      <c r="A7085" s="924">
        <f t="shared" si="110"/>
        <v>7085</v>
      </c>
      <c r="B7085" s="924">
        <v>16.100000000000001</v>
      </c>
    </row>
    <row r="7086" spans="1:2" x14ac:dyDescent="0.25">
      <c r="A7086" s="924">
        <f t="shared" si="110"/>
        <v>7086</v>
      </c>
      <c r="B7086" s="924">
        <v>16.100000000000001</v>
      </c>
    </row>
    <row r="7087" spans="1:2" x14ac:dyDescent="0.25">
      <c r="A7087" s="924">
        <f t="shared" si="110"/>
        <v>7087</v>
      </c>
      <c r="B7087" s="924">
        <v>16.100000000000001</v>
      </c>
    </row>
    <row r="7088" spans="1:2" x14ac:dyDescent="0.25">
      <c r="A7088" s="924">
        <f t="shared" si="110"/>
        <v>7088</v>
      </c>
      <c r="B7088" s="924">
        <v>16.100000000000001</v>
      </c>
    </row>
    <row r="7089" spans="1:2" x14ac:dyDescent="0.25">
      <c r="A7089" s="924">
        <f t="shared" si="110"/>
        <v>7089</v>
      </c>
      <c r="B7089" s="924">
        <v>16.2</v>
      </c>
    </row>
    <row r="7090" spans="1:2" x14ac:dyDescent="0.25">
      <c r="A7090" s="924">
        <f t="shared" si="110"/>
        <v>7090</v>
      </c>
      <c r="B7090" s="924">
        <v>16.2</v>
      </c>
    </row>
    <row r="7091" spans="1:2" x14ac:dyDescent="0.25">
      <c r="A7091" s="924">
        <f t="shared" si="110"/>
        <v>7091</v>
      </c>
      <c r="B7091" s="924">
        <v>16.2</v>
      </c>
    </row>
    <row r="7092" spans="1:2" x14ac:dyDescent="0.25">
      <c r="A7092" s="924">
        <f t="shared" si="110"/>
        <v>7092</v>
      </c>
      <c r="B7092" s="924">
        <v>16.2</v>
      </c>
    </row>
    <row r="7093" spans="1:2" x14ac:dyDescent="0.25">
      <c r="A7093" s="924">
        <f t="shared" si="110"/>
        <v>7093</v>
      </c>
      <c r="B7093" s="924">
        <v>16.2</v>
      </c>
    </row>
    <row r="7094" spans="1:2" x14ac:dyDescent="0.25">
      <c r="A7094" s="924">
        <f t="shared" si="110"/>
        <v>7094</v>
      </c>
      <c r="B7094" s="924">
        <v>16.2</v>
      </c>
    </row>
    <row r="7095" spans="1:2" x14ac:dyDescent="0.25">
      <c r="A7095" s="924">
        <f t="shared" si="110"/>
        <v>7095</v>
      </c>
      <c r="B7095" s="924">
        <v>16.2</v>
      </c>
    </row>
    <row r="7096" spans="1:2" x14ac:dyDescent="0.25">
      <c r="A7096" s="924">
        <f t="shared" si="110"/>
        <v>7096</v>
      </c>
      <c r="B7096" s="924">
        <v>16.2</v>
      </c>
    </row>
    <row r="7097" spans="1:2" x14ac:dyDescent="0.25">
      <c r="A7097" s="924">
        <f t="shared" si="110"/>
        <v>7097</v>
      </c>
      <c r="B7097" s="924">
        <v>16.2</v>
      </c>
    </row>
    <row r="7098" spans="1:2" x14ac:dyDescent="0.25">
      <c r="A7098" s="924">
        <f t="shared" si="110"/>
        <v>7098</v>
      </c>
      <c r="B7098" s="924">
        <v>16.2</v>
      </c>
    </row>
    <row r="7099" spans="1:2" x14ac:dyDescent="0.25">
      <c r="A7099" s="924">
        <f t="shared" si="110"/>
        <v>7099</v>
      </c>
      <c r="B7099" s="924">
        <v>16.2</v>
      </c>
    </row>
    <row r="7100" spans="1:2" x14ac:dyDescent="0.25">
      <c r="A7100" s="924">
        <f t="shared" si="110"/>
        <v>7100</v>
      </c>
      <c r="B7100" s="924">
        <v>16.2</v>
      </c>
    </row>
    <row r="7101" spans="1:2" x14ac:dyDescent="0.25">
      <c r="A7101" s="924">
        <f t="shared" si="110"/>
        <v>7101</v>
      </c>
      <c r="B7101" s="924">
        <v>16.2</v>
      </c>
    </row>
    <row r="7102" spans="1:2" x14ac:dyDescent="0.25">
      <c r="A7102" s="924">
        <f t="shared" si="110"/>
        <v>7102</v>
      </c>
      <c r="B7102" s="924">
        <v>16.2</v>
      </c>
    </row>
    <row r="7103" spans="1:2" x14ac:dyDescent="0.25">
      <c r="A7103" s="924">
        <f t="shared" si="110"/>
        <v>7103</v>
      </c>
      <c r="B7103" s="924">
        <v>16.2</v>
      </c>
    </row>
    <row r="7104" spans="1:2" x14ac:dyDescent="0.25">
      <c r="A7104" s="924">
        <f t="shared" si="110"/>
        <v>7104</v>
      </c>
      <c r="B7104" s="924">
        <v>16.2</v>
      </c>
    </row>
    <row r="7105" spans="1:2" x14ac:dyDescent="0.25">
      <c r="A7105" s="924">
        <f t="shared" si="110"/>
        <v>7105</v>
      </c>
      <c r="B7105" s="924">
        <v>16.2</v>
      </c>
    </row>
    <row r="7106" spans="1:2" x14ac:dyDescent="0.25">
      <c r="A7106" s="924">
        <f t="shared" si="110"/>
        <v>7106</v>
      </c>
      <c r="B7106" s="924">
        <v>16.2</v>
      </c>
    </row>
    <row r="7107" spans="1:2" x14ac:dyDescent="0.25">
      <c r="A7107" s="924">
        <f t="shared" ref="A7107:A7170" si="111">A7106+1</f>
        <v>7107</v>
      </c>
      <c r="B7107" s="924">
        <v>16.2</v>
      </c>
    </row>
    <row r="7108" spans="1:2" x14ac:dyDescent="0.25">
      <c r="A7108" s="924">
        <f t="shared" si="111"/>
        <v>7108</v>
      </c>
      <c r="B7108" s="924">
        <v>16.2</v>
      </c>
    </row>
    <row r="7109" spans="1:2" x14ac:dyDescent="0.25">
      <c r="A7109" s="924">
        <f t="shared" si="111"/>
        <v>7109</v>
      </c>
      <c r="B7109" s="924">
        <v>16.2</v>
      </c>
    </row>
    <row r="7110" spans="1:2" x14ac:dyDescent="0.25">
      <c r="A7110" s="924">
        <f t="shared" si="111"/>
        <v>7110</v>
      </c>
      <c r="B7110" s="924">
        <v>16.2</v>
      </c>
    </row>
    <row r="7111" spans="1:2" x14ac:dyDescent="0.25">
      <c r="A7111" s="924">
        <f t="shared" si="111"/>
        <v>7111</v>
      </c>
      <c r="B7111" s="924">
        <v>16.2</v>
      </c>
    </row>
    <row r="7112" spans="1:2" x14ac:dyDescent="0.25">
      <c r="A7112" s="924">
        <f t="shared" si="111"/>
        <v>7112</v>
      </c>
      <c r="B7112" s="924">
        <v>16.2</v>
      </c>
    </row>
    <row r="7113" spans="1:2" x14ac:dyDescent="0.25">
      <c r="A7113" s="924">
        <f t="shared" si="111"/>
        <v>7113</v>
      </c>
      <c r="B7113" s="924">
        <v>16.2</v>
      </c>
    </row>
    <row r="7114" spans="1:2" x14ac:dyDescent="0.25">
      <c r="A7114" s="924">
        <f t="shared" si="111"/>
        <v>7114</v>
      </c>
      <c r="B7114" s="924">
        <v>16.2</v>
      </c>
    </row>
    <row r="7115" spans="1:2" x14ac:dyDescent="0.25">
      <c r="A7115" s="924">
        <f t="shared" si="111"/>
        <v>7115</v>
      </c>
      <c r="B7115" s="924">
        <v>16.2</v>
      </c>
    </row>
    <row r="7116" spans="1:2" x14ac:dyDescent="0.25">
      <c r="A7116" s="924">
        <f t="shared" si="111"/>
        <v>7116</v>
      </c>
      <c r="B7116" s="924">
        <v>16.2</v>
      </c>
    </row>
    <row r="7117" spans="1:2" x14ac:dyDescent="0.25">
      <c r="A7117" s="924">
        <f t="shared" si="111"/>
        <v>7117</v>
      </c>
      <c r="B7117" s="924">
        <v>16.3</v>
      </c>
    </row>
    <row r="7118" spans="1:2" x14ac:dyDescent="0.25">
      <c r="A7118" s="924">
        <f t="shared" si="111"/>
        <v>7118</v>
      </c>
      <c r="B7118" s="924">
        <v>16.3</v>
      </c>
    </row>
    <row r="7119" spans="1:2" x14ac:dyDescent="0.25">
      <c r="A7119" s="924">
        <f t="shared" si="111"/>
        <v>7119</v>
      </c>
      <c r="B7119" s="924">
        <v>16.3</v>
      </c>
    </row>
    <row r="7120" spans="1:2" x14ac:dyDescent="0.25">
      <c r="A7120" s="924">
        <f t="shared" si="111"/>
        <v>7120</v>
      </c>
      <c r="B7120" s="924">
        <v>16.3</v>
      </c>
    </row>
    <row r="7121" spans="1:2" x14ac:dyDescent="0.25">
      <c r="A7121" s="924">
        <f t="shared" si="111"/>
        <v>7121</v>
      </c>
      <c r="B7121" s="924">
        <v>16.3</v>
      </c>
    </row>
    <row r="7122" spans="1:2" x14ac:dyDescent="0.25">
      <c r="A7122" s="924">
        <f t="shared" si="111"/>
        <v>7122</v>
      </c>
      <c r="B7122" s="924">
        <v>16.3</v>
      </c>
    </row>
    <row r="7123" spans="1:2" x14ac:dyDescent="0.25">
      <c r="A7123" s="924">
        <f t="shared" si="111"/>
        <v>7123</v>
      </c>
      <c r="B7123" s="924">
        <v>16.3</v>
      </c>
    </row>
    <row r="7124" spans="1:2" x14ac:dyDescent="0.25">
      <c r="A7124" s="924">
        <f t="shared" si="111"/>
        <v>7124</v>
      </c>
      <c r="B7124" s="924">
        <v>16.3</v>
      </c>
    </row>
    <row r="7125" spans="1:2" x14ac:dyDescent="0.25">
      <c r="A7125" s="924">
        <f t="shared" si="111"/>
        <v>7125</v>
      </c>
      <c r="B7125" s="924">
        <v>16.3</v>
      </c>
    </row>
    <row r="7126" spans="1:2" x14ac:dyDescent="0.25">
      <c r="A7126" s="924">
        <f t="shared" si="111"/>
        <v>7126</v>
      </c>
      <c r="B7126" s="924">
        <v>16.3</v>
      </c>
    </row>
    <row r="7127" spans="1:2" x14ac:dyDescent="0.25">
      <c r="A7127" s="924">
        <f t="shared" si="111"/>
        <v>7127</v>
      </c>
      <c r="B7127" s="924">
        <v>16.3</v>
      </c>
    </row>
    <row r="7128" spans="1:2" x14ac:dyDescent="0.25">
      <c r="A7128" s="924">
        <f t="shared" si="111"/>
        <v>7128</v>
      </c>
      <c r="B7128" s="924">
        <v>16.3</v>
      </c>
    </row>
    <row r="7129" spans="1:2" x14ac:dyDescent="0.25">
      <c r="A7129" s="924">
        <f t="shared" si="111"/>
        <v>7129</v>
      </c>
      <c r="B7129" s="924">
        <v>16.3</v>
      </c>
    </row>
    <row r="7130" spans="1:2" x14ac:dyDescent="0.25">
      <c r="A7130" s="924">
        <f t="shared" si="111"/>
        <v>7130</v>
      </c>
      <c r="B7130" s="924">
        <v>16.3</v>
      </c>
    </row>
    <row r="7131" spans="1:2" x14ac:dyDescent="0.25">
      <c r="A7131" s="924">
        <f t="shared" si="111"/>
        <v>7131</v>
      </c>
      <c r="B7131" s="924">
        <v>16.3</v>
      </c>
    </row>
    <row r="7132" spans="1:2" x14ac:dyDescent="0.25">
      <c r="A7132" s="924">
        <f t="shared" si="111"/>
        <v>7132</v>
      </c>
      <c r="B7132" s="924">
        <v>16.3</v>
      </c>
    </row>
    <row r="7133" spans="1:2" x14ac:dyDescent="0.25">
      <c r="A7133" s="924">
        <f t="shared" si="111"/>
        <v>7133</v>
      </c>
      <c r="B7133" s="924">
        <v>16.3</v>
      </c>
    </row>
    <row r="7134" spans="1:2" x14ac:dyDescent="0.25">
      <c r="A7134" s="924">
        <f t="shared" si="111"/>
        <v>7134</v>
      </c>
      <c r="B7134" s="924">
        <v>16.3</v>
      </c>
    </row>
    <row r="7135" spans="1:2" x14ac:dyDescent="0.25">
      <c r="A7135" s="924">
        <f t="shared" si="111"/>
        <v>7135</v>
      </c>
      <c r="B7135" s="924">
        <v>16.3</v>
      </c>
    </row>
    <row r="7136" spans="1:2" x14ac:dyDescent="0.25">
      <c r="A7136" s="924">
        <f t="shared" si="111"/>
        <v>7136</v>
      </c>
      <c r="B7136" s="924">
        <v>16.3</v>
      </c>
    </row>
    <row r="7137" spans="1:2" x14ac:dyDescent="0.25">
      <c r="A7137" s="924">
        <f t="shared" si="111"/>
        <v>7137</v>
      </c>
      <c r="B7137" s="924">
        <v>16.3</v>
      </c>
    </row>
    <row r="7138" spans="1:2" x14ac:dyDescent="0.25">
      <c r="A7138" s="924">
        <f t="shared" si="111"/>
        <v>7138</v>
      </c>
      <c r="B7138" s="924">
        <v>16.3</v>
      </c>
    </row>
    <row r="7139" spans="1:2" x14ac:dyDescent="0.25">
      <c r="A7139" s="924">
        <f t="shared" si="111"/>
        <v>7139</v>
      </c>
      <c r="B7139" s="924">
        <v>16.3</v>
      </c>
    </row>
    <row r="7140" spans="1:2" x14ac:dyDescent="0.25">
      <c r="A7140" s="924">
        <f t="shared" si="111"/>
        <v>7140</v>
      </c>
      <c r="B7140" s="924">
        <v>16.3</v>
      </c>
    </row>
    <row r="7141" spans="1:2" x14ac:dyDescent="0.25">
      <c r="A7141" s="924">
        <f t="shared" si="111"/>
        <v>7141</v>
      </c>
      <c r="B7141" s="924">
        <v>16.3</v>
      </c>
    </row>
    <row r="7142" spans="1:2" x14ac:dyDescent="0.25">
      <c r="A7142" s="924">
        <f t="shared" si="111"/>
        <v>7142</v>
      </c>
      <c r="B7142" s="924">
        <v>16.3</v>
      </c>
    </row>
    <row r="7143" spans="1:2" x14ac:dyDescent="0.25">
      <c r="A7143" s="924">
        <f t="shared" si="111"/>
        <v>7143</v>
      </c>
      <c r="B7143" s="924">
        <v>16.3</v>
      </c>
    </row>
    <row r="7144" spans="1:2" x14ac:dyDescent="0.25">
      <c r="A7144" s="924">
        <f t="shared" si="111"/>
        <v>7144</v>
      </c>
      <c r="B7144" s="924">
        <v>16.3</v>
      </c>
    </row>
    <row r="7145" spans="1:2" x14ac:dyDescent="0.25">
      <c r="A7145" s="924">
        <f t="shared" si="111"/>
        <v>7145</v>
      </c>
      <c r="B7145" s="924">
        <v>16.3</v>
      </c>
    </row>
    <row r="7146" spans="1:2" x14ac:dyDescent="0.25">
      <c r="A7146" s="924">
        <f t="shared" si="111"/>
        <v>7146</v>
      </c>
      <c r="B7146" s="924">
        <v>16.3</v>
      </c>
    </row>
    <row r="7147" spans="1:2" x14ac:dyDescent="0.25">
      <c r="A7147" s="924">
        <f t="shared" si="111"/>
        <v>7147</v>
      </c>
      <c r="B7147" s="924">
        <v>16.3</v>
      </c>
    </row>
    <row r="7148" spans="1:2" x14ac:dyDescent="0.25">
      <c r="A7148" s="924">
        <f t="shared" si="111"/>
        <v>7148</v>
      </c>
      <c r="B7148" s="924">
        <v>16.3</v>
      </c>
    </row>
    <row r="7149" spans="1:2" x14ac:dyDescent="0.25">
      <c r="A7149" s="924">
        <f t="shared" si="111"/>
        <v>7149</v>
      </c>
      <c r="B7149" s="924">
        <v>16.399999999999999</v>
      </c>
    </row>
    <row r="7150" spans="1:2" x14ac:dyDescent="0.25">
      <c r="A7150" s="924">
        <f t="shared" si="111"/>
        <v>7150</v>
      </c>
      <c r="B7150" s="924">
        <v>16.399999999999999</v>
      </c>
    </row>
    <row r="7151" spans="1:2" x14ac:dyDescent="0.25">
      <c r="A7151" s="924">
        <f t="shared" si="111"/>
        <v>7151</v>
      </c>
      <c r="B7151" s="924">
        <v>16.399999999999999</v>
      </c>
    </row>
    <row r="7152" spans="1:2" x14ac:dyDescent="0.25">
      <c r="A7152" s="924">
        <f t="shared" si="111"/>
        <v>7152</v>
      </c>
      <c r="B7152" s="924">
        <v>16.399999999999999</v>
      </c>
    </row>
    <row r="7153" spans="1:2" x14ac:dyDescent="0.25">
      <c r="A7153" s="924">
        <f t="shared" si="111"/>
        <v>7153</v>
      </c>
      <c r="B7153" s="924">
        <v>16.399999999999999</v>
      </c>
    </row>
    <row r="7154" spans="1:2" x14ac:dyDescent="0.25">
      <c r="A7154" s="924">
        <f t="shared" si="111"/>
        <v>7154</v>
      </c>
      <c r="B7154" s="924">
        <v>16.399999999999999</v>
      </c>
    </row>
    <row r="7155" spans="1:2" x14ac:dyDescent="0.25">
      <c r="A7155" s="924">
        <f t="shared" si="111"/>
        <v>7155</v>
      </c>
      <c r="B7155" s="924">
        <v>16.399999999999999</v>
      </c>
    </row>
    <row r="7156" spans="1:2" x14ac:dyDescent="0.25">
      <c r="A7156" s="924">
        <f t="shared" si="111"/>
        <v>7156</v>
      </c>
      <c r="B7156" s="924">
        <v>16.399999999999999</v>
      </c>
    </row>
    <row r="7157" spans="1:2" x14ac:dyDescent="0.25">
      <c r="A7157" s="924">
        <f t="shared" si="111"/>
        <v>7157</v>
      </c>
      <c r="B7157" s="924">
        <v>16.399999999999999</v>
      </c>
    </row>
    <row r="7158" spans="1:2" x14ac:dyDescent="0.25">
      <c r="A7158" s="924">
        <f t="shared" si="111"/>
        <v>7158</v>
      </c>
      <c r="B7158" s="924">
        <v>16.399999999999999</v>
      </c>
    </row>
    <row r="7159" spans="1:2" x14ac:dyDescent="0.25">
      <c r="A7159" s="924">
        <f t="shared" si="111"/>
        <v>7159</v>
      </c>
      <c r="B7159" s="924">
        <v>16.399999999999999</v>
      </c>
    </row>
    <row r="7160" spans="1:2" x14ac:dyDescent="0.25">
      <c r="A7160" s="924">
        <f t="shared" si="111"/>
        <v>7160</v>
      </c>
      <c r="B7160" s="924">
        <v>16.399999999999999</v>
      </c>
    </row>
    <row r="7161" spans="1:2" x14ac:dyDescent="0.25">
      <c r="A7161" s="924">
        <f t="shared" si="111"/>
        <v>7161</v>
      </c>
      <c r="B7161" s="924">
        <v>16.399999999999999</v>
      </c>
    </row>
    <row r="7162" spans="1:2" x14ac:dyDescent="0.25">
      <c r="A7162" s="924">
        <f t="shared" si="111"/>
        <v>7162</v>
      </c>
      <c r="B7162" s="924">
        <v>16.399999999999999</v>
      </c>
    </row>
    <row r="7163" spans="1:2" x14ac:dyDescent="0.25">
      <c r="A7163" s="924">
        <f t="shared" si="111"/>
        <v>7163</v>
      </c>
      <c r="B7163" s="924">
        <v>16.399999999999999</v>
      </c>
    </row>
    <row r="7164" spans="1:2" x14ac:dyDescent="0.25">
      <c r="A7164" s="924">
        <f t="shared" si="111"/>
        <v>7164</v>
      </c>
      <c r="B7164" s="924">
        <v>16.399999999999999</v>
      </c>
    </row>
    <row r="7165" spans="1:2" x14ac:dyDescent="0.25">
      <c r="A7165" s="924">
        <f t="shared" si="111"/>
        <v>7165</v>
      </c>
      <c r="B7165" s="924">
        <v>16.399999999999999</v>
      </c>
    </row>
    <row r="7166" spans="1:2" x14ac:dyDescent="0.25">
      <c r="A7166" s="924">
        <f t="shared" si="111"/>
        <v>7166</v>
      </c>
      <c r="B7166" s="924">
        <v>16.399999999999999</v>
      </c>
    </row>
    <row r="7167" spans="1:2" x14ac:dyDescent="0.25">
      <c r="A7167" s="924">
        <f t="shared" si="111"/>
        <v>7167</v>
      </c>
      <c r="B7167" s="924">
        <v>16.399999999999999</v>
      </c>
    </row>
    <row r="7168" spans="1:2" x14ac:dyDescent="0.25">
      <c r="A7168" s="924">
        <f t="shared" si="111"/>
        <v>7168</v>
      </c>
      <c r="B7168" s="924">
        <v>16.399999999999999</v>
      </c>
    </row>
    <row r="7169" spans="1:2" x14ac:dyDescent="0.25">
      <c r="A7169" s="924">
        <f t="shared" si="111"/>
        <v>7169</v>
      </c>
      <c r="B7169" s="924">
        <v>16.399999999999999</v>
      </c>
    </row>
    <row r="7170" spans="1:2" x14ac:dyDescent="0.25">
      <c r="A7170" s="924">
        <f t="shared" si="111"/>
        <v>7170</v>
      </c>
      <c r="B7170" s="924">
        <v>16.399999999999999</v>
      </c>
    </row>
    <row r="7171" spans="1:2" x14ac:dyDescent="0.25">
      <c r="A7171" s="924">
        <f t="shared" ref="A7171:A7234" si="112">A7170+1</f>
        <v>7171</v>
      </c>
      <c r="B7171" s="924">
        <v>16.399999999999999</v>
      </c>
    </row>
    <row r="7172" spans="1:2" x14ac:dyDescent="0.25">
      <c r="A7172" s="924">
        <f t="shared" si="112"/>
        <v>7172</v>
      </c>
      <c r="B7172" s="924">
        <v>16.399999999999999</v>
      </c>
    </row>
    <row r="7173" spans="1:2" x14ac:dyDescent="0.25">
      <c r="A7173" s="924">
        <f t="shared" si="112"/>
        <v>7173</v>
      </c>
      <c r="B7173" s="924">
        <v>16.399999999999999</v>
      </c>
    </row>
    <row r="7174" spans="1:2" x14ac:dyDescent="0.25">
      <c r="A7174" s="924">
        <f t="shared" si="112"/>
        <v>7174</v>
      </c>
      <c r="B7174" s="924">
        <v>16.399999999999999</v>
      </c>
    </row>
    <row r="7175" spans="1:2" x14ac:dyDescent="0.25">
      <c r="A7175" s="924">
        <f t="shared" si="112"/>
        <v>7175</v>
      </c>
      <c r="B7175" s="924">
        <v>16.399999999999999</v>
      </c>
    </row>
    <row r="7176" spans="1:2" x14ac:dyDescent="0.25">
      <c r="A7176" s="924">
        <f t="shared" si="112"/>
        <v>7176</v>
      </c>
      <c r="B7176" s="924">
        <v>16.399999999999999</v>
      </c>
    </row>
    <row r="7177" spans="1:2" x14ac:dyDescent="0.25">
      <c r="A7177" s="924">
        <f t="shared" si="112"/>
        <v>7177</v>
      </c>
      <c r="B7177" s="924">
        <v>16.399999999999999</v>
      </c>
    </row>
    <row r="7178" spans="1:2" x14ac:dyDescent="0.25">
      <c r="A7178" s="924">
        <f t="shared" si="112"/>
        <v>7178</v>
      </c>
      <c r="B7178" s="924">
        <v>16.399999999999999</v>
      </c>
    </row>
    <row r="7179" spans="1:2" x14ac:dyDescent="0.25">
      <c r="A7179" s="924">
        <f t="shared" si="112"/>
        <v>7179</v>
      </c>
      <c r="B7179" s="924">
        <v>16.399999999999999</v>
      </c>
    </row>
    <row r="7180" spans="1:2" x14ac:dyDescent="0.25">
      <c r="A7180" s="924">
        <f t="shared" si="112"/>
        <v>7180</v>
      </c>
      <c r="B7180" s="924">
        <v>16.399999999999999</v>
      </c>
    </row>
    <row r="7181" spans="1:2" x14ac:dyDescent="0.25">
      <c r="A7181" s="924">
        <f t="shared" si="112"/>
        <v>7181</v>
      </c>
      <c r="B7181" s="924">
        <v>16.399999999999999</v>
      </c>
    </row>
    <row r="7182" spans="1:2" x14ac:dyDescent="0.25">
      <c r="A7182" s="924">
        <f t="shared" si="112"/>
        <v>7182</v>
      </c>
      <c r="B7182" s="924">
        <v>16.399999999999999</v>
      </c>
    </row>
    <row r="7183" spans="1:2" x14ac:dyDescent="0.25">
      <c r="A7183" s="924">
        <f t="shared" si="112"/>
        <v>7183</v>
      </c>
      <c r="B7183" s="924">
        <v>16.399999999999999</v>
      </c>
    </row>
    <row r="7184" spans="1:2" x14ac:dyDescent="0.25">
      <c r="A7184" s="924">
        <f t="shared" si="112"/>
        <v>7184</v>
      </c>
      <c r="B7184" s="924">
        <v>16.399999999999999</v>
      </c>
    </row>
    <row r="7185" spans="1:2" x14ac:dyDescent="0.25">
      <c r="A7185" s="924">
        <f t="shared" si="112"/>
        <v>7185</v>
      </c>
      <c r="B7185" s="924">
        <v>16.399999999999999</v>
      </c>
    </row>
    <row r="7186" spans="1:2" x14ac:dyDescent="0.25">
      <c r="A7186" s="924">
        <f t="shared" si="112"/>
        <v>7186</v>
      </c>
      <c r="B7186" s="924">
        <v>16.399999999999999</v>
      </c>
    </row>
    <row r="7187" spans="1:2" x14ac:dyDescent="0.25">
      <c r="A7187" s="924">
        <f t="shared" si="112"/>
        <v>7187</v>
      </c>
      <c r="B7187" s="924">
        <v>16.399999999999999</v>
      </c>
    </row>
    <row r="7188" spans="1:2" x14ac:dyDescent="0.25">
      <c r="A7188" s="924">
        <f t="shared" si="112"/>
        <v>7188</v>
      </c>
      <c r="B7188" s="924">
        <v>16.5</v>
      </c>
    </row>
    <row r="7189" spans="1:2" x14ac:dyDescent="0.25">
      <c r="A7189" s="924">
        <f t="shared" si="112"/>
        <v>7189</v>
      </c>
      <c r="B7189" s="924">
        <v>16.5</v>
      </c>
    </row>
    <row r="7190" spans="1:2" x14ac:dyDescent="0.25">
      <c r="A7190" s="924">
        <f t="shared" si="112"/>
        <v>7190</v>
      </c>
      <c r="B7190" s="924">
        <v>16.5</v>
      </c>
    </row>
    <row r="7191" spans="1:2" x14ac:dyDescent="0.25">
      <c r="A7191" s="924">
        <f t="shared" si="112"/>
        <v>7191</v>
      </c>
      <c r="B7191" s="924">
        <v>16.5</v>
      </c>
    </row>
    <row r="7192" spans="1:2" x14ac:dyDescent="0.25">
      <c r="A7192" s="924">
        <f t="shared" si="112"/>
        <v>7192</v>
      </c>
      <c r="B7192" s="924">
        <v>16.5</v>
      </c>
    </row>
    <row r="7193" spans="1:2" x14ac:dyDescent="0.25">
      <c r="A7193" s="924">
        <f t="shared" si="112"/>
        <v>7193</v>
      </c>
      <c r="B7193" s="924">
        <v>16.5</v>
      </c>
    </row>
    <row r="7194" spans="1:2" x14ac:dyDescent="0.25">
      <c r="A7194" s="924">
        <f t="shared" si="112"/>
        <v>7194</v>
      </c>
      <c r="B7194" s="924">
        <v>16.5</v>
      </c>
    </row>
    <row r="7195" spans="1:2" x14ac:dyDescent="0.25">
      <c r="A7195" s="924">
        <f t="shared" si="112"/>
        <v>7195</v>
      </c>
      <c r="B7195" s="924">
        <v>16.5</v>
      </c>
    </row>
    <row r="7196" spans="1:2" x14ac:dyDescent="0.25">
      <c r="A7196" s="924">
        <f t="shared" si="112"/>
        <v>7196</v>
      </c>
      <c r="B7196" s="924">
        <v>16.5</v>
      </c>
    </row>
    <row r="7197" spans="1:2" x14ac:dyDescent="0.25">
      <c r="A7197" s="924">
        <f t="shared" si="112"/>
        <v>7197</v>
      </c>
      <c r="B7197" s="924">
        <v>16.5</v>
      </c>
    </row>
    <row r="7198" spans="1:2" x14ac:dyDescent="0.25">
      <c r="A7198" s="924">
        <f t="shared" si="112"/>
        <v>7198</v>
      </c>
      <c r="B7198" s="924">
        <v>16.5</v>
      </c>
    </row>
    <row r="7199" spans="1:2" x14ac:dyDescent="0.25">
      <c r="A7199" s="924">
        <f t="shared" si="112"/>
        <v>7199</v>
      </c>
      <c r="B7199" s="924">
        <v>16.5</v>
      </c>
    </row>
    <row r="7200" spans="1:2" x14ac:dyDescent="0.25">
      <c r="A7200" s="924">
        <f t="shared" si="112"/>
        <v>7200</v>
      </c>
      <c r="B7200" s="924">
        <v>16.5</v>
      </c>
    </row>
    <row r="7201" spans="1:2" x14ac:dyDescent="0.25">
      <c r="A7201" s="924">
        <f t="shared" si="112"/>
        <v>7201</v>
      </c>
      <c r="B7201" s="924">
        <v>16.5</v>
      </c>
    </row>
    <row r="7202" spans="1:2" x14ac:dyDescent="0.25">
      <c r="A7202" s="924">
        <f t="shared" si="112"/>
        <v>7202</v>
      </c>
      <c r="B7202" s="924">
        <v>16.5</v>
      </c>
    </row>
    <row r="7203" spans="1:2" x14ac:dyDescent="0.25">
      <c r="A7203" s="924">
        <f t="shared" si="112"/>
        <v>7203</v>
      </c>
      <c r="B7203" s="924">
        <v>16.5</v>
      </c>
    </row>
    <row r="7204" spans="1:2" x14ac:dyDescent="0.25">
      <c r="A7204" s="924">
        <f t="shared" si="112"/>
        <v>7204</v>
      </c>
      <c r="B7204" s="924">
        <v>16.5</v>
      </c>
    </row>
    <row r="7205" spans="1:2" x14ac:dyDescent="0.25">
      <c r="A7205" s="924">
        <f t="shared" si="112"/>
        <v>7205</v>
      </c>
      <c r="B7205" s="924">
        <v>16.5</v>
      </c>
    </row>
    <row r="7206" spans="1:2" x14ac:dyDescent="0.25">
      <c r="A7206" s="924">
        <f t="shared" si="112"/>
        <v>7206</v>
      </c>
      <c r="B7206" s="924">
        <v>16.5</v>
      </c>
    </row>
    <row r="7207" spans="1:2" x14ac:dyDescent="0.25">
      <c r="A7207" s="924">
        <f t="shared" si="112"/>
        <v>7207</v>
      </c>
      <c r="B7207" s="924">
        <v>16.5</v>
      </c>
    </row>
    <row r="7208" spans="1:2" x14ac:dyDescent="0.25">
      <c r="A7208" s="924">
        <f t="shared" si="112"/>
        <v>7208</v>
      </c>
      <c r="B7208" s="924">
        <v>16.5</v>
      </c>
    </row>
    <row r="7209" spans="1:2" x14ac:dyDescent="0.25">
      <c r="A7209" s="924">
        <f t="shared" si="112"/>
        <v>7209</v>
      </c>
      <c r="B7209" s="924">
        <v>16.5</v>
      </c>
    </row>
    <row r="7210" spans="1:2" x14ac:dyDescent="0.25">
      <c r="A7210" s="924">
        <f t="shared" si="112"/>
        <v>7210</v>
      </c>
      <c r="B7210" s="924">
        <v>16.5</v>
      </c>
    </row>
    <row r="7211" spans="1:2" x14ac:dyDescent="0.25">
      <c r="A7211" s="924">
        <f t="shared" si="112"/>
        <v>7211</v>
      </c>
      <c r="B7211" s="924">
        <v>16.5</v>
      </c>
    </row>
    <row r="7212" spans="1:2" x14ac:dyDescent="0.25">
      <c r="A7212" s="924">
        <f t="shared" si="112"/>
        <v>7212</v>
      </c>
      <c r="B7212" s="924">
        <v>16.5</v>
      </c>
    </row>
    <row r="7213" spans="1:2" x14ac:dyDescent="0.25">
      <c r="A7213" s="924">
        <f t="shared" si="112"/>
        <v>7213</v>
      </c>
      <c r="B7213" s="924">
        <v>16.5</v>
      </c>
    </row>
    <row r="7214" spans="1:2" x14ac:dyDescent="0.25">
      <c r="A7214" s="924">
        <f t="shared" si="112"/>
        <v>7214</v>
      </c>
      <c r="B7214" s="924">
        <v>16.5</v>
      </c>
    </row>
    <row r="7215" spans="1:2" x14ac:dyDescent="0.25">
      <c r="A7215" s="924">
        <f t="shared" si="112"/>
        <v>7215</v>
      </c>
      <c r="B7215" s="924">
        <v>16.5</v>
      </c>
    </row>
    <row r="7216" spans="1:2" x14ac:dyDescent="0.25">
      <c r="A7216" s="924">
        <f t="shared" si="112"/>
        <v>7216</v>
      </c>
      <c r="B7216" s="924">
        <v>16.5</v>
      </c>
    </row>
    <row r="7217" spans="1:2" x14ac:dyDescent="0.25">
      <c r="A7217" s="924">
        <f t="shared" si="112"/>
        <v>7217</v>
      </c>
      <c r="B7217" s="924">
        <v>16.5</v>
      </c>
    </row>
    <row r="7218" spans="1:2" x14ac:dyDescent="0.25">
      <c r="A7218" s="924">
        <f t="shared" si="112"/>
        <v>7218</v>
      </c>
      <c r="B7218" s="924">
        <v>16.5</v>
      </c>
    </row>
    <row r="7219" spans="1:2" x14ac:dyDescent="0.25">
      <c r="A7219" s="924">
        <f t="shared" si="112"/>
        <v>7219</v>
      </c>
      <c r="B7219" s="924">
        <v>16.600000000000001</v>
      </c>
    </row>
    <row r="7220" spans="1:2" x14ac:dyDescent="0.25">
      <c r="A7220" s="924">
        <f t="shared" si="112"/>
        <v>7220</v>
      </c>
      <c r="B7220" s="924">
        <v>16.600000000000001</v>
      </c>
    </row>
    <row r="7221" spans="1:2" x14ac:dyDescent="0.25">
      <c r="A7221" s="924">
        <f t="shared" si="112"/>
        <v>7221</v>
      </c>
      <c r="B7221" s="924">
        <v>16.600000000000001</v>
      </c>
    </row>
    <row r="7222" spans="1:2" x14ac:dyDescent="0.25">
      <c r="A7222" s="924">
        <f t="shared" si="112"/>
        <v>7222</v>
      </c>
      <c r="B7222" s="924">
        <v>16.600000000000001</v>
      </c>
    </row>
    <row r="7223" spans="1:2" x14ac:dyDescent="0.25">
      <c r="A7223" s="924">
        <f t="shared" si="112"/>
        <v>7223</v>
      </c>
      <c r="B7223" s="924">
        <v>16.600000000000001</v>
      </c>
    </row>
    <row r="7224" spans="1:2" x14ac:dyDescent="0.25">
      <c r="A7224" s="924">
        <f t="shared" si="112"/>
        <v>7224</v>
      </c>
      <c r="B7224" s="924">
        <v>16.600000000000001</v>
      </c>
    </row>
    <row r="7225" spans="1:2" x14ac:dyDescent="0.25">
      <c r="A7225" s="924">
        <f t="shared" si="112"/>
        <v>7225</v>
      </c>
      <c r="B7225" s="924">
        <v>16.600000000000001</v>
      </c>
    </row>
    <row r="7226" spans="1:2" x14ac:dyDescent="0.25">
      <c r="A7226" s="924">
        <f t="shared" si="112"/>
        <v>7226</v>
      </c>
      <c r="B7226" s="924">
        <v>16.600000000000001</v>
      </c>
    </row>
    <row r="7227" spans="1:2" x14ac:dyDescent="0.25">
      <c r="A7227" s="924">
        <f t="shared" si="112"/>
        <v>7227</v>
      </c>
      <c r="B7227" s="924">
        <v>16.600000000000001</v>
      </c>
    </row>
    <row r="7228" spans="1:2" x14ac:dyDescent="0.25">
      <c r="A7228" s="924">
        <f t="shared" si="112"/>
        <v>7228</v>
      </c>
      <c r="B7228" s="924">
        <v>16.600000000000001</v>
      </c>
    </row>
    <row r="7229" spans="1:2" x14ac:dyDescent="0.25">
      <c r="A7229" s="924">
        <f t="shared" si="112"/>
        <v>7229</v>
      </c>
      <c r="B7229" s="924">
        <v>16.600000000000001</v>
      </c>
    </row>
    <row r="7230" spans="1:2" x14ac:dyDescent="0.25">
      <c r="A7230" s="924">
        <f t="shared" si="112"/>
        <v>7230</v>
      </c>
      <c r="B7230" s="924">
        <v>16.600000000000001</v>
      </c>
    </row>
    <row r="7231" spans="1:2" x14ac:dyDescent="0.25">
      <c r="A7231" s="924">
        <f t="shared" si="112"/>
        <v>7231</v>
      </c>
      <c r="B7231" s="924">
        <v>16.600000000000001</v>
      </c>
    </row>
    <row r="7232" spans="1:2" x14ac:dyDescent="0.25">
      <c r="A7232" s="924">
        <f t="shared" si="112"/>
        <v>7232</v>
      </c>
      <c r="B7232" s="924">
        <v>16.600000000000001</v>
      </c>
    </row>
    <row r="7233" spans="1:2" x14ac:dyDescent="0.25">
      <c r="A7233" s="924">
        <f t="shared" si="112"/>
        <v>7233</v>
      </c>
      <c r="B7233" s="924">
        <v>16.600000000000001</v>
      </c>
    </row>
    <row r="7234" spans="1:2" x14ac:dyDescent="0.25">
      <c r="A7234" s="924">
        <f t="shared" si="112"/>
        <v>7234</v>
      </c>
      <c r="B7234" s="924">
        <v>16.600000000000001</v>
      </c>
    </row>
    <row r="7235" spans="1:2" x14ac:dyDescent="0.25">
      <c r="A7235" s="924">
        <f t="shared" ref="A7235:A7298" si="113">A7234+1</f>
        <v>7235</v>
      </c>
      <c r="B7235" s="924">
        <v>16.600000000000001</v>
      </c>
    </row>
    <row r="7236" spans="1:2" x14ac:dyDescent="0.25">
      <c r="A7236" s="924">
        <f t="shared" si="113"/>
        <v>7236</v>
      </c>
      <c r="B7236" s="924">
        <v>16.600000000000001</v>
      </c>
    </row>
    <row r="7237" spans="1:2" x14ac:dyDescent="0.25">
      <c r="A7237" s="924">
        <f t="shared" si="113"/>
        <v>7237</v>
      </c>
      <c r="B7237" s="924">
        <v>16.600000000000001</v>
      </c>
    </row>
    <row r="7238" spans="1:2" x14ac:dyDescent="0.25">
      <c r="A7238" s="924">
        <f t="shared" si="113"/>
        <v>7238</v>
      </c>
      <c r="B7238" s="924">
        <v>16.600000000000001</v>
      </c>
    </row>
    <row r="7239" spans="1:2" x14ac:dyDescent="0.25">
      <c r="A7239" s="924">
        <f t="shared" si="113"/>
        <v>7239</v>
      </c>
      <c r="B7239" s="924">
        <v>16.600000000000001</v>
      </c>
    </row>
    <row r="7240" spans="1:2" x14ac:dyDescent="0.25">
      <c r="A7240" s="924">
        <f t="shared" si="113"/>
        <v>7240</v>
      </c>
      <c r="B7240" s="924">
        <v>16.600000000000001</v>
      </c>
    </row>
    <row r="7241" spans="1:2" x14ac:dyDescent="0.25">
      <c r="A7241" s="924">
        <f t="shared" si="113"/>
        <v>7241</v>
      </c>
      <c r="B7241" s="924">
        <v>16.600000000000001</v>
      </c>
    </row>
    <row r="7242" spans="1:2" x14ac:dyDescent="0.25">
      <c r="A7242" s="924">
        <f t="shared" si="113"/>
        <v>7242</v>
      </c>
      <c r="B7242" s="924">
        <v>16.600000000000001</v>
      </c>
    </row>
    <row r="7243" spans="1:2" x14ac:dyDescent="0.25">
      <c r="A7243" s="924">
        <f t="shared" si="113"/>
        <v>7243</v>
      </c>
      <c r="B7243" s="924">
        <v>16.600000000000001</v>
      </c>
    </row>
    <row r="7244" spans="1:2" x14ac:dyDescent="0.25">
      <c r="A7244" s="924">
        <f t="shared" si="113"/>
        <v>7244</v>
      </c>
      <c r="B7244" s="924">
        <v>16.600000000000001</v>
      </c>
    </row>
    <row r="7245" spans="1:2" x14ac:dyDescent="0.25">
      <c r="A7245" s="924">
        <f t="shared" si="113"/>
        <v>7245</v>
      </c>
      <c r="B7245" s="924">
        <v>16.600000000000001</v>
      </c>
    </row>
    <row r="7246" spans="1:2" x14ac:dyDescent="0.25">
      <c r="A7246" s="924">
        <f t="shared" si="113"/>
        <v>7246</v>
      </c>
      <c r="B7246" s="924">
        <v>16.600000000000001</v>
      </c>
    </row>
    <row r="7247" spans="1:2" x14ac:dyDescent="0.25">
      <c r="A7247" s="924">
        <f t="shared" si="113"/>
        <v>7247</v>
      </c>
      <c r="B7247" s="924">
        <v>16.600000000000001</v>
      </c>
    </row>
    <row r="7248" spans="1:2" x14ac:dyDescent="0.25">
      <c r="A7248" s="924">
        <f t="shared" si="113"/>
        <v>7248</v>
      </c>
      <c r="B7248" s="924">
        <v>16.600000000000001</v>
      </c>
    </row>
    <row r="7249" spans="1:2" x14ac:dyDescent="0.25">
      <c r="A7249" s="924">
        <f t="shared" si="113"/>
        <v>7249</v>
      </c>
      <c r="B7249" s="924">
        <v>16.600000000000001</v>
      </c>
    </row>
    <row r="7250" spans="1:2" x14ac:dyDescent="0.25">
      <c r="A7250" s="924">
        <f t="shared" si="113"/>
        <v>7250</v>
      </c>
      <c r="B7250" s="924">
        <v>16.600000000000001</v>
      </c>
    </row>
    <row r="7251" spans="1:2" x14ac:dyDescent="0.25">
      <c r="A7251" s="924">
        <f t="shared" si="113"/>
        <v>7251</v>
      </c>
      <c r="B7251" s="924">
        <v>16.600000000000001</v>
      </c>
    </row>
    <row r="7252" spans="1:2" x14ac:dyDescent="0.25">
      <c r="A7252" s="924">
        <f t="shared" si="113"/>
        <v>7252</v>
      </c>
      <c r="B7252" s="924">
        <v>16.600000000000001</v>
      </c>
    </row>
    <row r="7253" spans="1:2" x14ac:dyDescent="0.25">
      <c r="A7253" s="924">
        <f t="shared" si="113"/>
        <v>7253</v>
      </c>
      <c r="B7253" s="924">
        <v>16.600000000000001</v>
      </c>
    </row>
    <row r="7254" spans="1:2" x14ac:dyDescent="0.25">
      <c r="A7254" s="924">
        <f t="shared" si="113"/>
        <v>7254</v>
      </c>
      <c r="B7254" s="924">
        <v>16.600000000000001</v>
      </c>
    </row>
    <row r="7255" spans="1:2" x14ac:dyDescent="0.25">
      <c r="A7255" s="924">
        <f t="shared" si="113"/>
        <v>7255</v>
      </c>
      <c r="B7255" s="924">
        <v>16.7</v>
      </c>
    </row>
    <row r="7256" spans="1:2" x14ac:dyDescent="0.25">
      <c r="A7256" s="924">
        <f t="shared" si="113"/>
        <v>7256</v>
      </c>
      <c r="B7256" s="924">
        <v>16.7</v>
      </c>
    </row>
    <row r="7257" spans="1:2" x14ac:dyDescent="0.25">
      <c r="A7257" s="924">
        <f t="shared" si="113"/>
        <v>7257</v>
      </c>
      <c r="B7257" s="924">
        <v>16.7</v>
      </c>
    </row>
    <row r="7258" spans="1:2" x14ac:dyDescent="0.25">
      <c r="A7258" s="924">
        <f t="shared" si="113"/>
        <v>7258</v>
      </c>
      <c r="B7258" s="924">
        <v>16.7</v>
      </c>
    </row>
    <row r="7259" spans="1:2" x14ac:dyDescent="0.25">
      <c r="A7259" s="924">
        <f t="shared" si="113"/>
        <v>7259</v>
      </c>
      <c r="B7259" s="924">
        <v>16.7</v>
      </c>
    </row>
    <row r="7260" spans="1:2" x14ac:dyDescent="0.25">
      <c r="A7260" s="924">
        <f t="shared" si="113"/>
        <v>7260</v>
      </c>
      <c r="B7260" s="924">
        <v>16.7</v>
      </c>
    </row>
    <row r="7261" spans="1:2" x14ac:dyDescent="0.25">
      <c r="A7261" s="924">
        <f t="shared" si="113"/>
        <v>7261</v>
      </c>
      <c r="B7261" s="924">
        <v>16.7</v>
      </c>
    </row>
    <row r="7262" spans="1:2" x14ac:dyDescent="0.25">
      <c r="A7262" s="924">
        <f t="shared" si="113"/>
        <v>7262</v>
      </c>
      <c r="B7262" s="924">
        <v>16.7</v>
      </c>
    </row>
    <row r="7263" spans="1:2" x14ac:dyDescent="0.25">
      <c r="A7263" s="924">
        <f t="shared" si="113"/>
        <v>7263</v>
      </c>
      <c r="B7263" s="924">
        <v>16.7</v>
      </c>
    </row>
    <row r="7264" spans="1:2" x14ac:dyDescent="0.25">
      <c r="A7264" s="924">
        <f t="shared" si="113"/>
        <v>7264</v>
      </c>
      <c r="B7264" s="924">
        <v>16.7</v>
      </c>
    </row>
    <row r="7265" spans="1:2" x14ac:dyDescent="0.25">
      <c r="A7265" s="924">
        <f t="shared" si="113"/>
        <v>7265</v>
      </c>
      <c r="B7265" s="924">
        <v>16.7</v>
      </c>
    </row>
    <row r="7266" spans="1:2" x14ac:dyDescent="0.25">
      <c r="A7266" s="924">
        <f t="shared" si="113"/>
        <v>7266</v>
      </c>
      <c r="B7266" s="924">
        <v>16.7</v>
      </c>
    </row>
    <row r="7267" spans="1:2" x14ac:dyDescent="0.25">
      <c r="A7267" s="924">
        <f t="shared" si="113"/>
        <v>7267</v>
      </c>
      <c r="B7267" s="924">
        <v>16.7</v>
      </c>
    </row>
    <row r="7268" spans="1:2" x14ac:dyDescent="0.25">
      <c r="A7268" s="924">
        <f t="shared" si="113"/>
        <v>7268</v>
      </c>
      <c r="B7268" s="924">
        <v>16.7</v>
      </c>
    </row>
    <row r="7269" spans="1:2" x14ac:dyDescent="0.25">
      <c r="A7269" s="924">
        <f t="shared" si="113"/>
        <v>7269</v>
      </c>
      <c r="B7269" s="924">
        <v>16.7</v>
      </c>
    </row>
    <row r="7270" spans="1:2" x14ac:dyDescent="0.25">
      <c r="A7270" s="924">
        <f t="shared" si="113"/>
        <v>7270</v>
      </c>
      <c r="B7270" s="924">
        <v>16.7</v>
      </c>
    </row>
    <row r="7271" spans="1:2" x14ac:dyDescent="0.25">
      <c r="A7271" s="924">
        <f t="shared" si="113"/>
        <v>7271</v>
      </c>
      <c r="B7271" s="924">
        <v>16.7</v>
      </c>
    </row>
    <row r="7272" spans="1:2" x14ac:dyDescent="0.25">
      <c r="A7272" s="924">
        <f t="shared" si="113"/>
        <v>7272</v>
      </c>
      <c r="B7272" s="924">
        <v>16.7</v>
      </c>
    </row>
    <row r="7273" spans="1:2" x14ac:dyDescent="0.25">
      <c r="A7273" s="924">
        <f t="shared" si="113"/>
        <v>7273</v>
      </c>
      <c r="B7273" s="924">
        <v>16.7</v>
      </c>
    </row>
    <row r="7274" spans="1:2" x14ac:dyDescent="0.25">
      <c r="A7274" s="924">
        <f t="shared" si="113"/>
        <v>7274</v>
      </c>
      <c r="B7274" s="924">
        <v>16.7</v>
      </c>
    </row>
    <row r="7275" spans="1:2" x14ac:dyDescent="0.25">
      <c r="A7275" s="924">
        <f t="shared" si="113"/>
        <v>7275</v>
      </c>
      <c r="B7275" s="924">
        <v>16.7</v>
      </c>
    </row>
    <row r="7276" spans="1:2" x14ac:dyDescent="0.25">
      <c r="A7276" s="924">
        <f t="shared" si="113"/>
        <v>7276</v>
      </c>
      <c r="B7276" s="924">
        <v>16.7</v>
      </c>
    </row>
    <row r="7277" spans="1:2" x14ac:dyDescent="0.25">
      <c r="A7277" s="924">
        <f t="shared" si="113"/>
        <v>7277</v>
      </c>
      <c r="B7277" s="924">
        <v>16.7</v>
      </c>
    </row>
    <row r="7278" spans="1:2" x14ac:dyDescent="0.25">
      <c r="A7278" s="924">
        <f t="shared" si="113"/>
        <v>7278</v>
      </c>
      <c r="B7278" s="924">
        <v>16.7</v>
      </c>
    </row>
    <row r="7279" spans="1:2" x14ac:dyDescent="0.25">
      <c r="A7279" s="924">
        <f t="shared" si="113"/>
        <v>7279</v>
      </c>
      <c r="B7279" s="924">
        <v>16.7</v>
      </c>
    </row>
    <row r="7280" spans="1:2" x14ac:dyDescent="0.25">
      <c r="A7280" s="924">
        <f t="shared" si="113"/>
        <v>7280</v>
      </c>
      <c r="B7280" s="924">
        <v>16.7</v>
      </c>
    </row>
    <row r="7281" spans="1:2" x14ac:dyDescent="0.25">
      <c r="A7281" s="924">
        <f t="shared" si="113"/>
        <v>7281</v>
      </c>
      <c r="B7281" s="924">
        <v>16.7</v>
      </c>
    </row>
    <row r="7282" spans="1:2" x14ac:dyDescent="0.25">
      <c r="A7282" s="924">
        <f t="shared" si="113"/>
        <v>7282</v>
      </c>
      <c r="B7282" s="924">
        <v>16.7</v>
      </c>
    </row>
    <row r="7283" spans="1:2" x14ac:dyDescent="0.25">
      <c r="A7283" s="924">
        <f t="shared" si="113"/>
        <v>7283</v>
      </c>
      <c r="B7283" s="924">
        <v>16.7</v>
      </c>
    </row>
    <row r="7284" spans="1:2" x14ac:dyDescent="0.25">
      <c r="A7284" s="924">
        <f t="shared" si="113"/>
        <v>7284</v>
      </c>
      <c r="B7284" s="924">
        <v>16.7</v>
      </c>
    </row>
    <row r="7285" spans="1:2" x14ac:dyDescent="0.25">
      <c r="A7285" s="924">
        <f t="shared" si="113"/>
        <v>7285</v>
      </c>
      <c r="B7285" s="924">
        <v>16.7</v>
      </c>
    </row>
    <row r="7286" spans="1:2" x14ac:dyDescent="0.25">
      <c r="A7286" s="924">
        <f t="shared" si="113"/>
        <v>7286</v>
      </c>
      <c r="B7286" s="924">
        <v>16.7</v>
      </c>
    </row>
    <row r="7287" spans="1:2" x14ac:dyDescent="0.25">
      <c r="A7287" s="924">
        <f t="shared" si="113"/>
        <v>7287</v>
      </c>
      <c r="B7287" s="924">
        <v>16.7</v>
      </c>
    </row>
    <row r="7288" spans="1:2" x14ac:dyDescent="0.25">
      <c r="A7288" s="924">
        <f t="shared" si="113"/>
        <v>7288</v>
      </c>
      <c r="B7288" s="924">
        <v>16.7</v>
      </c>
    </row>
    <row r="7289" spans="1:2" x14ac:dyDescent="0.25">
      <c r="A7289" s="924">
        <f t="shared" si="113"/>
        <v>7289</v>
      </c>
      <c r="B7289" s="924">
        <v>16.7</v>
      </c>
    </row>
    <row r="7290" spans="1:2" x14ac:dyDescent="0.25">
      <c r="A7290" s="924">
        <f t="shared" si="113"/>
        <v>7290</v>
      </c>
      <c r="B7290" s="924">
        <v>16.7</v>
      </c>
    </row>
    <row r="7291" spans="1:2" x14ac:dyDescent="0.25">
      <c r="A7291" s="924">
        <f t="shared" si="113"/>
        <v>7291</v>
      </c>
      <c r="B7291" s="924">
        <v>16.7</v>
      </c>
    </row>
    <row r="7292" spans="1:2" x14ac:dyDescent="0.25">
      <c r="A7292" s="924">
        <f t="shared" si="113"/>
        <v>7292</v>
      </c>
      <c r="B7292" s="924">
        <v>16.7</v>
      </c>
    </row>
    <row r="7293" spans="1:2" x14ac:dyDescent="0.25">
      <c r="A7293" s="924">
        <f t="shared" si="113"/>
        <v>7293</v>
      </c>
      <c r="B7293" s="924">
        <v>16.8</v>
      </c>
    </row>
    <row r="7294" spans="1:2" x14ac:dyDescent="0.25">
      <c r="A7294" s="924">
        <f t="shared" si="113"/>
        <v>7294</v>
      </c>
      <c r="B7294" s="924">
        <v>16.8</v>
      </c>
    </row>
    <row r="7295" spans="1:2" x14ac:dyDescent="0.25">
      <c r="A7295" s="924">
        <f t="shared" si="113"/>
        <v>7295</v>
      </c>
      <c r="B7295" s="924">
        <v>16.8</v>
      </c>
    </row>
    <row r="7296" spans="1:2" x14ac:dyDescent="0.25">
      <c r="A7296" s="924">
        <f t="shared" si="113"/>
        <v>7296</v>
      </c>
      <c r="B7296" s="924">
        <v>16.8</v>
      </c>
    </row>
    <row r="7297" spans="1:2" x14ac:dyDescent="0.25">
      <c r="A7297" s="924">
        <f t="shared" si="113"/>
        <v>7297</v>
      </c>
      <c r="B7297" s="924">
        <v>16.8</v>
      </c>
    </row>
    <row r="7298" spans="1:2" x14ac:dyDescent="0.25">
      <c r="A7298" s="924">
        <f t="shared" si="113"/>
        <v>7298</v>
      </c>
      <c r="B7298" s="924">
        <v>16.8</v>
      </c>
    </row>
    <row r="7299" spans="1:2" x14ac:dyDescent="0.25">
      <c r="A7299" s="924">
        <f t="shared" ref="A7299:A7362" si="114">A7298+1</f>
        <v>7299</v>
      </c>
      <c r="B7299" s="924">
        <v>16.8</v>
      </c>
    </row>
    <row r="7300" spans="1:2" x14ac:dyDescent="0.25">
      <c r="A7300" s="924">
        <f t="shared" si="114"/>
        <v>7300</v>
      </c>
      <c r="B7300" s="924">
        <v>16.8</v>
      </c>
    </row>
    <row r="7301" spans="1:2" x14ac:dyDescent="0.25">
      <c r="A7301" s="924">
        <f t="shared" si="114"/>
        <v>7301</v>
      </c>
      <c r="B7301" s="924">
        <v>16.8</v>
      </c>
    </row>
    <row r="7302" spans="1:2" x14ac:dyDescent="0.25">
      <c r="A7302" s="924">
        <f t="shared" si="114"/>
        <v>7302</v>
      </c>
      <c r="B7302" s="924">
        <v>16.8</v>
      </c>
    </row>
    <row r="7303" spans="1:2" x14ac:dyDescent="0.25">
      <c r="A7303" s="924">
        <f t="shared" si="114"/>
        <v>7303</v>
      </c>
      <c r="B7303" s="924">
        <v>16.8</v>
      </c>
    </row>
    <row r="7304" spans="1:2" x14ac:dyDescent="0.25">
      <c r="A7304" s="924">
        <f t="shared" si="114"/>
        <v>7304</v>
      </c>
      <c r="B7304" s="924">
        <v>16.8</v>
      </c>
    </row>
    <row r="7305" spans="1:2" x14ac:dyDescent="0.25">
      <c r="A7305" s="924">
        <f t="shared" si="114"/>
        <v>7305</v>
      </c>
      <c r="B7305" s="924">
        <v>16.8</v>
      </c>
    </row>
    <row r="7306" spans="1:2" x14ac:dyDescent="0.25">
      <c r="A7306" s="924">
        <f t="shared" si="114"/>
        <v>7306</v>
      </c>
      <c r="B7306" s="924">
        <v>16.8</v>
      </c>
    </row>
    <row r="7307" spans="1:2" x14ac:dyDescent="0.25">
      <c r="A7307" s="924">
        <f t="shared" si="114"/>
        <v>7307</v>
      </c>
      <c r="B7307" s="924">
        <v>16.8</v>
      </c>
    </row>
    <row r="7308" spans="1:2" x14ac:dyDescent="0.25">
      <c r="A7308" s="924">
        <f t="shared" si="114"/>
        <v>7308</v>
      </c>
      <c r="B7308" s="924">
        <v>16.8</v>
      </c>
    </row>
    <row r="7309" spans="1:2" x14ac:dyDescent="0.25">
      <c r="A7309" s="924">
        <f t="shared" si="114"/>
        <v>7309</v>
      </c>
      <c r="B7309" s="924">
        <v>16.8</v>
      </c>
    </row>
    <row r="7310" spans="1:2" x14ac:dyDescent="0.25">
      <c r="A7310" s="924">
        <f t="shared" si="114"/>
        <v>7310</v>
      </c>
      <c r="B7310" s="924">
        <v>16.8</v>
      </c>
    </row>
    <row r="7311" spans="1:2" x14ac:dyDescent="0.25">
      <c r="A7311" s="924">
        <f t="shared" si="114"/>
        <v>7311</v>
      </c>
      <c r="B7311" s="924">
        <v>16.8</v>
      </c>
    </row>
    <row r="7312" spans="1:2" x14ac:dyDescent="0.25">
      <c r="A7312" s="924">
        <f t="shared" si="114"/>
        <v>7312</v>
      </c>
      <c r="B7312" s="924">
        <v>16.8</v>
      </c>
    </row>
    <row r="7313" spans="1:2" x14ac:dyDescent="0.25">
      <c r="A7313" s="924">
        <f t="shared" si="114"/>
        <v>7313</v>
      </c>
      <c r="B7313" s="924">
        <v>16.8</v>
      </c>
    </row>
    <row r="7314" spans="1:2" x14ac:dyDescent="0.25">
      <c r="A7314" s="924">
        <f t="shared" si="114"/>
        <v>7314</v>
      </c>
      <c r="B7314" s="924">
        <v>16.8</v>
      </c>
    </row>
    <row r="7315" spans="1:2" x14ac:dyDescent="0.25">
      <c r="A7315" s="924">
        <f t="shared" si="114"/>
        <v>7315</v>
      </c>
      <c r="B7315" s="924">
        <v>16.8</v>
      </c>
    </row>
    <row r="7316" spans="1:2" x14ac:dyDescent="0.25">
      <c r="A7316" s="924">
        <f t="shared" si="114"/>
        <v>7316</v>
      </c>
      <c r="B7316" s="924">
        <v>16.8</v>
      </c>
    </row>
    <row r="7317" spans="1:2" x14ac:dyDescent="0.25">
      <c r="A7317" s="924">
        <f t="shared" si="114"/>
        <v>7317</v>
      </c>
      <c r="B7317" s="924">
        <v>16.8</v>
      </c>
    </row>
    <row r="7318" spans="1:2" x14ac:dyDescent="0.25">
      <c r="A7318" s="924">
        <f t="shared" si="114"/>
        <v>7318</v>
      </c>
      <c r="B7318" s="924">
        <v>16.8</v>
      </c>
    </row>
    <row r="7319" spans="1:2" x14ac:dyDescent="0.25">
      <c r="A7319" s="924">
        <f t="shared" si="114"/>
        <v>7319</v>
      </c>
      <c r="B7319" s="924">
        <v>16.8</v>
      </c>
    </row>
    <row r="7320" spans="1:2" x14ac:dyDescent="0.25">
      <c r="A7320" s="924">
        <f t="shared" si="114"/>
        <v>7320</v>
      </c>
      <c r="B7320" s="924">
        <v>16.8</v>
      </c>
    </row>
    <row r="7321" spans="1:2" x14ac:dyDescent="0.25">
      <c r="A7321" s="924">
        <f t="shared" si="114"/>
        <v>7321</v>
      </c>
      <c r="B7321" s="924">
        <v>16.8</v>
      </c>
    </row>
    <row r="7322" spans="1:2" x14ac:dyDescent="0.25">
      <c r="A7322" s="924">
        <f t="shared" si="114"/>
        <v>7322</v>
      </c>
      <c r="B7322" s="924">
        <v>16.8</v>
      </c>
    </row>
    <row r="7323" spans="1:2" x14ac:dyDescent="0.25">
      <c r="A7323" s="924">
        <f t="shared" si="114"/>
        <v>7323</v>
      </c>
      <c r="B7323" s="924">
        <v>16.8</v>
      </c>
    </row>
    <row r="7324" spans="1:2" x14ac:dyDescent="0.25">
      <c r="A7324" s="924">
        <f t="shared" si="114"/>
        <v>7324</v>
      </c>
      <c r="B7324" s="924">
        <v>16.8</v>
      </c>
    </row>
    <row r="7325" spans="1:2" x14ac:dyDescent="0.25">
      <c r="A7325" s="924">
        <f t="shared" si="114"/>
        <v>7325</v>
      </c>
      <c r="B7325" s="924">
        <v>16.8</v>
      </c>
    </row>
    <row r="7326" spans="1:2" x14ac:dyDescent="0.25">
      <c r="A7326" s="924">
        <f t="shared" si="114"/>
        <v>7326</v>
      </c>
      <c r="B7326" s="924">
        <v>16.8</v>
      </c>
    </row>
    <row r="7327" spans="1:2" x14ac:dyDescent="0.25">
      <c r="A7327" s="924">
        <f t="shared" si="114"/>
        <v>7327</v>
      </c>
      <c r="B7327" s="924">
        <v>16.8</v>
      </c>
    </row>
    <row r="7328" spans="1:2" x14ac:dyDescent="0.25">
      <c r="A7328" s="924">
        <f t="shared" si="114"/>
        <v>7328</v>
      </c>
      <c r="B7328" s="924">
        <v>16.8</v>
      </c>
    </row>
    <row r="7329" spans="1:2" x14ac:dyDescent="0.25">
      <c r="A7329" s="924">
        <f t="shared" si="114"/>
        <v>7329</v>
      </c>
      <c r="B7329" s="924">
        <v>16.8</v>
      </c>
    </row>
    <row r="7330" spans="1:2" x14ac:dyDescent="0.25">
      <c r="A7330" s="924">
        <f t="shared" si="114"/>
        <v>7330</v>
      </c>
      <c r="B7330" s="924">
        <v>16.8</v>
      </c>
    </row>
    <row r="7331" spans="1:2" x14ac:dyDescent="0.25">
      <c r="A7331" s="924">
        <f t="shared" si="114"/>
        <v>7331</v>
      </c>
      <c r="B7331" s="924">
        <v>16.8</v>
      </c>
    </row>
    <row r="7332" spans="1:2" x14ac:dyDescent="0.25">
      <c r="A7332" s="924">
        <f t="shared" si="114"/>
        <v>7332</v>
      </c>
      <c r="B7332" s="924">
        <v>16.8</v>
      </c>
    </row>
    <row r="7333" spans="1:2" x14ac:dyDescent="0.25">
      <c r="A7333" s="924">
        <f t="shared" si="114"/>
        <v>7333</v>
      </c>
      <c r="B7333" s="924">
        <v>16.8</v>
      </c>
    </row>
    <row r="7334" spans="1:2" x14ac:dyDescent="0.25">
      <c r="A7334" s="924">
        <f t="shared" si="114"/>
        <v>7334</v>
      </c>
      <c r="B7334" s="924">
        <v>16.8</v>
      </c>
    </row>
    <row r="7335" spans="1:2" x14ac:dyDescent="0.25">
      <c r="A7335" s="924">
        <f t="shared" si="114"/>
        <v>7335</v>
      </c>
      <c r="B7335" s="924">
        <v>16.8</v>
      </c>
    </row>
    <row r="7336" spans="1:2" x14ac:dyDescent="0.25">
      <c r="A7336" s="924">
        <f t="shared" si="114"/>
        <v>7336</v>
      </c>
      <c r="B7336" s="924">
        <v>16.8</v>
      </c>
    </row>
    <row r="7337" spans="1:2" x14ac:dyDescent="0.25">
      <c r="A7337" s="924">
        <f t="shared" si="114"/>
        <v>7337</v>
      </c>
      <c r="B7337" s="924">
        <v>16.8</v>
      </c>
    </row>
    <row r="7338" spans="1:2" x14ac:dyDescent="0.25">
      <c r="A7338" s="924">
        <f t="shared" si="114"/>
        <v>7338</v>
      </c>
      <c r="B7338" s="924">
        <v>16.8</v>
      </c>
    </row>
    <row r="7339" spans="1:2" x14ac:dyDescent="0.25">
      <c r="A7339" s="924">
        <f t="shared" si="114"/>
        <v>7339</v>
      </c>
      <c r="B7339" s="924">
        <v>16.8</v>
      </c>
    </row>
    <row r="7340" spans="1:2" x14ac:dyDescent="0.25">
      <c r="A7340" s="924">
        <f t="shared" si="114"/>
        <v>7340</v>
      </c>
      <c r="B7340" s="924">
        <v>16.8</v>
      </c>
    </row>
    <row r="7341" spans="1:2" x14ac:dyDescent="0.25">
      <c r="A7341" s="924">
        <f t="shared" si="114"/>
        <v>7341</v>
      </c>
      <c r="B7341" s="924">
        <v>16.899999999999999</v>
      </c>
    </row>
    <row r="7342" spans="1:2" x14ac:dyDescent="0.25">
      <c r="A7342" s="924">
        <f t="shared" si="114"/>
        <v>7342</v>
      </c>
      <c r="B7342" s="924">
        <v>16.899999999999999</v>
      </c>
    </row>
    <row r="7343" spans="1:2" x14ac:dyDescent="0.25">
      <c r="A7343" s="924">
        <f t="shared" si="114"/>
        <v>7343</v>
      </c>
      <c r="B7343" s="924">
        <v>16.899999999999999</v>
      </c>
    </row>
    <row r="7344" spans="1:2" x14ac:dyDescent="0.25">
      <c r="A7344" s="924">
        <f t="shared" si="114"/>
        <v>7344</v>
      </c>
      <c r="B7344" s="924">
        <v>16.899999999999999</v>
      </c>
    </row>
    <row r="7345" spans="1:2" x14ac:dyDescent="0.25">
      <c r="A7345" s="924">
        <f t="shared" si="114"/>
        <v>7345</v>
      </c>
      <c r="B7345" s="924">
        <v>16.899999999999999</v>
      </c>
    </row>
    <row r="7346" spans="1:2" x14ac:dyDescent="0.25">
      <c r="A7346" s="924">
        <f t="shared" si="114"/>
        <v>7346</v>
      </c>
      <c r="B7346" s="924">
        <v>16.899999999999999</v>
      </c>
    </row>
    <row r="7347" spans="1:2" x14ac:dyDescent="0.25">
      <c r="A7347" s="924">
        <f t="shared" si="114"/>
        <v>7347</v>
      </c>
      <c r="B7347" s="924">
        <v>16.899999999999999</v>
      </c>
    </row>
    <row r="7348" spans="1:2" x14ac:dyDescent="0.25">
      <c r="A7348" s="924">
        <f t="shared" si="114"/>
        <v>7348</v>
      </c>
      <c r="B7348" s="924">
        <v>16.899999999999999</v>
      </c>
    </row>
    <row r="7349" spans="1:2" x14ac:dyDescent="0.25">
      <c r="A7349" s="924">
        <f t="shared" si="114"/>
        <v>7349</v>
      </c>
      <c r="B7349" s="924">
        <v>16.899999999999999</v>
      </c>
    </row>
    <row r="7350" spans="1:2" x14ac:dyDescent="0.25">
      <c r="A7350" s="924">
        <f t="shared" si="114"/>
        <v>7350</v>
      </c>
      <c r="B7350" s="924">
        <v>16.899999999999999</v>
      </c>
    </row>
    <row r="7351" spans="1:2" x14ac:dyDescent="0.25">
      <c r="A7351" s="924">
        <f t="shared" si="114"/>
        <v>7351</v>
      </c>
      <c r="B7351" s="924">
        <v>16.899999999999999</v>
      </c>
    </row>
    <row r="7352" spans="1:2" x14ac:dyDescent="0.25">
      <c r="A7352" s="924">
        <f t="shared" si="114"/>
        <v>7352</v>
      </c>
      <c r="B7352" s="924">
        <v>16.899999999999999</v>
      </c>
    </row>
    <row r="7353" spans="1:2" x14ac:dyDescent="0.25">
      <c r="A7353" s="924">
        <f t="shared" si="114"/>
        <v>7353</v>
      </c>
      <c r="B7353" s="924">
        <v>16.899999999999999</v>
      </c>
    </row>
    <row r="7354" spans="1:2" x14ac:dyDescent="0.25">
      <c r="A7354" s="924">
        <f t="shared" si="114"/>
        <v>7354</v>
      </c>
      <c r="B7354" s="924">
        <v>16.899999999999999</v>
      </c>
    </row>
    <row r="7355" spans="1:2" x14ac:dyDescent="0.25">
      <c r="A7355" s="924">
        <f t="shared" si="114"/>
        <v>7355</v>
      </c>
      <c r="B7355" s="924">
        <v>16.899999999999999</v>
      </c>
    </row>
    <row r="7356" spans="1:2" x14ac:dyDescent="0.25">
      <c r="A7356" s="924">
        <f t="shared" si="114"/>
        <v>7356</v>
      </c>
      <c r="B7356" s="924">
        <v>16.899999999999999</v>
      </c>
    </row>
    <row r="7357" spans="1:2" x14ac:dyDescent="0.25">
      <c r="A7357" s="924">
        <f t="shared" si="114"/>
        <v>7357</v>
      </c>
      <c r="B7357" s="924">
        <v>16.899999999999999</v>
      </c>
    </row>
    <row r="7358" spans="1:2" x14ac:dyDescent="0.25">
      <c r="A7358" s="924">
        <f t="shared" si="114"/>
        <v>7358</v>
      </c>
      <c r="B7358" s="924">
        <v>16.899999999999999</v>
      </c>
    </row>
    <row r="7359" spans="1:2" x14ac:dyDescent="0.25">
      <c r="A7359" s="924">
        <f t="shared" si="114"/>
        <v>7359</v>
      </c>
      <c r="B7359" s="924">
        <v>16.899999999999999</v>
      </c>
    </row>
    <row r="7360" spans="1:2" x14ac:dyDescent="0.25">
      <c r="A7360" s="924">
        <f t="shared" si="114"/>
        <v>7360</v>
      </c>
      <c r="B7360" s="924">
        <v>16.899999999999999</v>
      </c>
    </row>
    <row r="7361" spans="1:2" x14ac:dyDescent="0.25">
      <c r="A7361" s="924">
        <f t="shared" si="114"/>
        <v>7361</v>
      </c>
      <c r="B7361" s="924">
        <v>16.899999999999999</v>
      </c>
    </row>
    <row r="7362" spans="1:2" x14ac:dyDescent="0.25">
      <c r="A7362" s="924">
        <f t="shared" si="114"/>
        <v>7362</v>
      </c>
      <c r="B7362" s="924">
        <v>16.899999999999999</v>
      </c>
    </row>
    <row r="7363" spans="1:2" x14ac:dyDescent="0.25">
      <c r="A7363" s="924">
        <f t="shared" ref="A7363:A7426" si="115">A7362+1</f>
        <v>7363</v>
      </c>
      <c r="B7363" s="924">
        <v>16.899999999999999</v>
      </c>
    </row>
    <row r="7364" spans="1:2" x14ac:dyDescent="0.25">
      <c r="A7364" s="924">
        <f t="shared" si="115"/>
        <v>7364</v>
      </c>
      <c r="B7364" s="924">
        <v>16.899999999999999</v>
      </c>
    </row>
    <row r="7365" spans="1:2" x14ac:dyDescent="0.25">
      <c r="A7365" s="924">
        <f t="shared" si="115"/>
        <v>7365</v>
      </c>
      <c r="B7365" s="924">
        <v>16.899999999999999</v>
      </c>
    </row>
    <row r="7366" spans="1:2" x14ac:dyDescent="0.25">
      <c r="A7366" s="924">
        <f t="shared" si="115"/>
        <v>7366</v>
      </c>
      <c r="B7366" s="924">
        <v>16.899999999999999</v>
      </c>
    </row>
    <row r="7367" spans="1:2" x14ac:dyDescent="0.25">
      <c r="A7367" s="924">
        <f t="shared" si="115"/>
        <v>7367</v>
      </c>
      <c r="B7367" s="924">
        <v>16.899999999999999</v>
      </c>
    </row>
    <row r="7368" spans="1:2" x14ac:dyDescent="0.25">
      <c r="A7368" s="924">
        <f t="shared" si="115"/>
        <v>7368</v>
      </c>
      <c r="B7368" s="924">
        <v>16.899999999999999</v>
      </c>
    </row>
    <row r="7369" spans="1:2" x14ac:dyDescent="0.25">
      <c r="A7369" s="924">
        <f t="shared" si="115"/>
        <v>7369</v>
      </c>
      <c r="B7369" s="924">
        <v>16.899999999999999</v>
      </c>
    </row>
    <row r="7370" spans="1:2" x14ac:dyDescent="0.25">
      <c r="A7370" s="924">
        <f t="shared" si="115"/>
        <v>7370</v>
      </c>
      <c r="B7370" s="924">
        <v>16.899999999999999</v>
      </c>
    </row>
    <row r="7371" spans="1:2" x14ac:dyDescent="0.25">
      <c r="A7371" s="924">
        <f t="shared" si="115"/>
        <v>7371</v>
      </c>
      <c r="B7371" s="924">
        <v>16.899999999999999</v>
      </c>
    </row>
    <row r="7372" spans="1:2" x14ac:dyDescent="0.25">
      <c r="A7372" s="924">
        <f t="shared" si="115"/>
        <v>7372</v>
      </c>
      <c r="B7372" s="924">
        <v>16.899999999999999</v>
      </c>
    </row>
    <row r="7373" spans="1:2" x14ac:dyDescent="0.25">
      <c r="A7373" s="924">
        <f t="shared" si="115"/>
        <v>7373</v>
      </c>
      <c r="B7373" s="924">
        <v>17</v>
      </c>
    </row>
    <row r="7374" spans="1:2" x14ac:dyDescent="0.25">
      <c r="A7374" s="924">
        <f t="shared" si="115"/>
        <v>7374</v>
      </c>
      <c r="B7374" s="924">
        <v>17</v>
      </c>
    </row>
    <row r="7375" spans="1:2" x14ac:dyDescent="0.25">
      <c r="A7375" s="924">
        <f t="shared" si="115"/>
        <v>7375</v>
      </c>
      <c r="B7375" s="924">
        <v>17</v>
      </c>
    </row>
    <row r="7376" spans="1:2" x14ac:dyDescent="0.25">
      <c r="A7376" s="924">
        <f t="shared" si="115"/>
        <v>7376</v>
      </c>
      <c r="B7376" s="924">
        <v>17</v>
      </c>
    </row>
    <row r="7377" spans="1:2" x14ac:dyDescent="0.25">
      <c r="A7377" s="924">
        <f t="shared" si="115"/>
        <v>7377</v>
      </c>
      <c r="B7377" s="924">
        <v>17</v>
      </c>
    </row>
    <row r="7378" spans="1:2" x14ac:dyDescent="0.25">
      <c r="A7378" s="924">
        <f t="shared" si="115"/>
        <v>7378</v>
      </c>
      <c r="B7378" s="924">
        <v>17</v>
      </c>
    </row>
    <row r="7379" spans="1:2" x14ac:dyDescent="0.25">
      <c r="A7379" s="924">
        <f t="shared" si="115"/>
        <v>7379</v>
      </c>
      <c r="B7379" s="924">
        <v>17</v>
      </c>
    </row>
    <row r="7380" spans="1:2" x14ac:dyDescent="0.25">
      <c r="A7380" s="924">
        <f t="shared" si="115"/>
        <v>7380</v>
      </c>
      <c r="B7380" s="924">
        <v>17</v>
      </c>
    </row>
    <row r="7381" spans="1:2" x14ac:dyDescent="0.25">
      <c r="A7381" s="924">
        <f t="shared" si="115"/>
        <v>7381</v>
      </c>
      <c r="B7381" s="924">
        <v>17</v>
      </c>
    </row>
    <row r="7382" spans="1:2" x14ac:dyDescent="0.25">
      <c r="A7382" s="924">
        <f t="shared" si="115"/>
        <v>7382</v>
      </c>
      <c r="B7382" s="924">
        <v>17</v>
      </c>
    </row>
    <row r="7383" spans="1:2" x14ac:dyDescent="0.25">
      <c r="A7383" s="924">
        <f t="shared" si="115"/>
        <v>7383</v>
      </c>
      <c r="B7383" s="924">
        <v>17</v>
      </c>
    </row>
    <row r="7384" spans="1:2" x14ac:dyDescent="0.25">
      <c r="A7384" s="924">
        <f t="shared" si="115"/>
        <v>7384</v>
      </c>
      <c r="B7384" s="924">
        <v>17</v>
      </c>
    </row>
    <row r="7385" spans="1:2" x14ac:dyDescent="0.25">
      <c r="A7385" s="924">
        <f t="shared" si="115"/>
        <v>7385</v>
      </c>
      <c r="B7385" s="924">
        <v>17</v>
      </c>
    </row>
    <row r="7386" spans="1:2" x14ac:dyDescent="0.25">
      <c r="A7386" s="924">
        <f t="shared" si="115"/>
        <v>7386</v>
      </c>
      <c r="B7386" s="924">
        <v>17</v>
      </c>
    </row>
    <row r="7387" spans="1:2" x14ac:dyDescent="0.25">
      <c r="A7387" s="924">
        <f t="shared" si="115"/>
        <v>7387</v>
      </c>
      <c r="B7387" s="924">
        <v>17</v>
      </c>
    </row>
    <row r="7388" spans="1:2" x14ac:dyDescent="0.25">
      <c r="A7388" s="924">
        <f t="shared" si="115"/>
        <v>7388</v>
      </c>
      <c r="B7388" s="924">
        <v>17</v>
      </c>
    </row>
    <row r="7389" spans="1:2" x14ac:dyDescent="0.25">
      <c r="A7389" s="924">
        <f t="shared" si="115"/>
        <v>7389</v>
      </c>
      <c r="B7389" s="924">
        <v>17</v>
      </c>
    </row>
    <row r="7390" spans="1:2" x14ac:dyDescent="0.25">
      <c r="A7390" s="924">
        <f t="shared" si="115"/>
        <v>7390</v>
      </c>
      <c r="B7390" s="924">
        <v>17</v>
      </c>
    </row>
    <row r="7391" spans="1:2" x14ac:dyDescent="0.25">
      <c r="A7391" s="924">
        <f t="shared" si="115"/>
        <v>7391</v>
      </c>
      <c r="B7391" s="924">
        <v>17</v>
      </c>
    </row>
    <row r="7392" spans="1:2" x14ac:dyDescent="0.25">
      <c r="A7392" s="924">
        <f t="shared" si="115"/>
        <v>7392</v>
      </c>
      <c r="B7392" s="924">
        <v>17</v>
      </c>
    </row>
    <row r="7393" spans="1:2" x14ac:dyDescent="0.25">
      <c r="A7393" s="924">
        <f t="shared" si="115"/>
        <v>7393</v>
      </c>
      <c r="B7393" s="924">
        <v>17</v>
      </c>
    </row>
    <row r="7394" spans="1:2" x14ac:dyDescent="0.25">
      <c r="A7394" s="924">
        <f t="shared" si="115"/>
        <v>7394</v>
      </c>
      <c r="B7394" s="924">
        <v>17</v>
      </c>
    </row>
    <row r="7395" spans="1:2" x14ac:dyDescent="0.25">
      <c r="A7395" s="924">
        <f t="shared" si="115"/>
        <v>7395</v>
      </c>
      <c r="B7395" s="924">
        <v>17</v>
      </c>
    </row>
    <row r="7396" spans="1:2" x14ac:dyDescent="0.25">
      <c r="A7396" s="924">
        <f t="shared" si="115"/>
        <v>7396</v>
      </c>
      <c r="B7396" s="924">
        <v>17</v>
      </c>
    </row>
    <row r="7397" spans="1:2" x14ac:dyDescent="0.25">
      <c r="A7397" s="924">
        <f t="shared" si="115"/>
        <v>7397</v>
      </c>
      <c r="B7397" s="924">
        <v>17</v>
      </c>
    </row>
    <row r="7398" spans="1:2" x14ac:dyDescent="0.25">
      <c r="A7398" s="924">
        <f t="shared" si="115"/>
        <v>7398</v>
      </c>
      <c r="B7398" s="924">
        <v>17</v>
      </c>
    </row>
    <row r="7399" spans="1:2" x14ac:dyDescent="0.25">
      <c r="A7399" s="924">
        <f t="shared" si="115"/>
        <v>7399</v>
      </c>
      <c r="B7399" s="924">
        <v>17</v>
      </c>
    </row>
    <row r="7400" spans="1:2" x14ac:dyDescent="0.25">
      <c r="A7400" s="924">
        <f t="shared" si="115"/>
        <v>7400</v>
      </c>
      <c r="B7400" s="924">
        <v>17</v>
      </c>
    </row>
    <row r="7401" spans="1:2" x14ac:dyDescent="0.25">
      <c r="A7401" s="924">
        <f t="shared" si="115"/>
        <v>7401</v>
      </c>
      <c r="B7401" s="924">
        <v>17</v>
      </c>
    </row>
    <row r="7402" spans="1:2" x14ac:dyDescent="0.25">
      <c r="A7402" s="924">
        <f t="shared" si="115"/>
        <v>7402</v>
      </c>
      <c r="B7402" s="924">
        <v>17.100000000000001</v>
      </c>
    </row>
    <row r="7403" spans="1:2" x14ac:dyDescent="0.25">
      <c r="A7403" s="924">
        <f t="shared" si="115"/>
        <v>7403</v>
      </c>
      <c r="B7403" s="924">
        <v>17.100000000000001</v>
      </c>
    </row>
    <row r="7404" spans="1:2" x14ac:dyDescent="0.25">
      <c r="A7404" s="924">
        <f t="shared" si="115"/>
        <v>7404</v>
      </c>
      <c r="B7404" s="924">
        <v>17.100000000000001</v>
      </c>
    </row>
    <row r="7405" spans="1:2" x14ac:dyDescent="0.25">
      <c r="A7405" s="924">
        <f t="shared" si="115"/>
        <v>7405</v>
      </c>
      <c r="B7405" s="924">
        <v>17.100000000000001</v>
      </c>
    </row>
    <row r="7406" spans="1:2" x14ac:dyDescent="0.25">
      <c r="A7406" s="924">
        <f t="shared" si="115"/>
        <v>7406</v>
      </c>
      <c r="B7406" s="924">
        <v>17.100000000000001</v>
      </c>
    </row>
    <row r="7407" spans="1:2" x14ac:dyDescent="0.25">
      <c r="A7407" s="924">
        <f t="shared" si="115"/>
        <v>7407</v>
      </c>
      <c r="B7407" s="924">
        <v>17.100000000000001</v>
      </c>
    </row>
    <row r="7408" spans="1:2" x14ac:dyDescent="0.25">
      <c r="A7408" s="924">
        <f t="shared" si="115"/>
        <v>7408</v>
      </c>
      <c r="B7408" s="924">
        <v>17.100000000000001</v>
      </c>
    </row>
    <row r="7409" spans="1:2" x14ac:dyDescent="0.25">
      <c r="A7409" s="924">
        <f t="shared" si="115"/>
        <v>7409</v>
      </c>
      <c r="B7409" s="924">
        <v>17.100000000000001</v>
      </c>
    </row>
    <row r="7410" spans="1:2" x14ac:dyDescent="0.25">
      <c r="A7410" s="924">
        <f t="shared" si="115"/>
        <v>7410</v>
      </c>
      <c r="B7410" s="924">
        <v>17.100000000000001</v>
      </c>
    </row>
    <row r="7411" spans="1:2" x14ac:dyDescent="0.25">
      <c r="A7411" s="924">
        <f t="shared" si="115"/>
        <v>7411</v>
      </c>
      <c r="B7411" s="924">
        <v>17.100000000000001</v>
      </c>
    </row>
    <row r="7412" spans="1:2" x14ac:dyDescent="0.25">
      <c r="A7412" s="924">
        <f t="shared" si="115"/>
        <v>7412</v>
      </c>
      <c r="B7412" s="924">
        <v>17.100000000000001</v>
      </c>
    </row>
    <row r="7413" spans="1:2" x14ac:dyDescent="0.25">
      <c r="A7413" s="924">
        <f t="shared" si="115"/>
        <v>7413</v>
      </c>
      <c r="B7413" s="924">
        <v>17.100000000000001</v>
      </c>
    </row>
    <row r="7414" spans="1:2" x14ac:dyDescent="0.25">
      <c r="A7414" s="924">
        <f t="shared" si="115"/>
        <v>7414</v>
      </c>
      <c r="B7414" s="924">
        <v>17.100000000000001</v>
      </c>
    </row>
    <row r="7415" spans="1:2" x14ac:dyDescent="0.25">
      <c r="A7415" s="924">
        <f t="shared" si="115"/>
        <v>7415</v>
      </c>
      <c r="B7415" s="924">
        <v>17.100000000000001</v>
      </c>
    </row>
    <row r="7416" spans="1:2" x14ac:dyDescent="0.25">
      <c r="A7416" s="924">
        <f t="shared" si="115"/>
        <v>7416</v>
      </c>
      <c r="B7416" s="924">
        <v>17.100000000000001</v>
      </c>
    </row>
    <row r="7417" spans="1:2" x14ac:dyDescent="0.25">
      <c r="A7417" s="924">
        <f t="shared" si="115"/>
        <v>7417</v>
      </c>
      <c r="B7417" s="924">
        <v>17.100000000000001</v>
      </c>
    </row>
    <row r="7418" spans="1:2" x14ac:dyDescent="0.25">
      <c r="A7418" s="924">
        <f t="shared" si="115"/>
        <v>7418</v>
      </c>
      <c r="B7418" s="924">
        <v>17.100000000000001</v>
      </c>
    </row>
    <row r="7419" spans="1:2" x14ac:dyDescent="0.25">
      <c r="A7419" s="924">
        <f t="shared" si="115"/>
        <v>7419</v>
      </c>
      <c r="B7419" s="924">
        <v>17.100000000000001</v>
      </c>
    </row>
    <row r="7420" spans="1:2" x14ac:dyDescent="0.25">
      <c r="A7420" s="924">
        <f t="shared" si="115"/>
        <v>7420</v>
      </c>
      <c r="B7420" s="924">
        <v>17.100000000000001</v>
      </c>
    </row>
    <row r="7421" spans="1:2" x14ac:dyDescent="0.25">
      <c r="A7421" s="924">
        <f t="shared" si="115"/>
        <v>7421</v>
      </c>
      <c r="B7421" s="924">
        <v>17.100000000000001</v>
      </c>
    </row>
    <row r="7422" spans="1:2" x14ac:dyDescent="0.25">
      <c r="A7422" s="924">
        <f t="shared" si="115"/>
        <v>7422</v>
      </c>
      <c r="B7422" s="924">
        <v>17.100000000000001</v>
      </c>
    </row>
    <row r="7423" spans="1:2" x14ac:dyDescent="0.25">
      <c r="A7423" s="924">
        <f t="shared" si="115"/>
        <v>7423</v>
      </c>
      <c r="B7423" s="924">
        <v>17.100000000000001</v>
      </c>
    </row>
    <row r="7424" spans="1:2" x14ac:dyDescent="0.25">
      <c r="A7424" s="924">
        <f t="shared" si="115"/>
        <v>7424</v>
      </c>
      <c r="B7424" s="924">
        <v>17.100000000000001</v>
      </c>
    </row>
    <row r="7425" spans="1:2" x14ac:dyDescent="0.25">
      <c r="A7425" s="924">
        <f t="shared" si="115"/>
        <v>7425</v>
      </c>
      <c r="B7425" s="924">
        <v>17.100000000000001</v>
      </c>
    </row>
    <row r="7426" spans="1:2" x14ac:dyDescent="0.25">
      <c r="A7426" s="924">
        <f t="shared" si="115"/>
        <v>7426</v>
      </c>
      <c r="B7426" s="924">
        <v>17.100000000000001</v>
      </c>
    </row>
    <row r="7427" spans="1:2" x14ac:dyDescent="0.25">
      <c r="A7427" s="924">
        <f t="shared" ref="A7427:A7490" si="116">A7426+1</f>
        <v>7427</v>
      </c>
      <c r="B7427" s="924">
        <v>17.100000000000001</v>
      </c>
    </row>
    <row r="7428" spans="1:2" x14ac:dyDescent="0.25">
      <c r="A7428" s="924">
        <f t="shared" si="116"/>
        <v>7428</v>
      </c>
      <c r="B7428" s="924">
        <v>17.100000000000001</v>
      </c>
    </row>
    <row r="7429" spans="1:2" x14ac:dyDescent="0.25">
      <c r="A7429" s="924">
        <f t="shared" si="116"/>
        <v>7429</v>
      </c>
      <c r="B7429" s="924">
        <v>17.100000000000001</v>
      </c>
    </row>
    <row r="7430" spans="1:2" x14ac:dyDescent="0.25">
      <c r="A7430" s="924">
        <f t="shared" si="116"/>
        <v>7430</v>
      </c>
      <c r="B7430" s="924">
        <v>17.100000000000001</v>
      </c>
    </row>
    <row r="7431" spans="1:2" x14ac:dyDescent="0.25">
      <c r="A7431" s="924">
        <f t="shared" si="116"/>
        <v>7431</v>
      </c>
      <c r="B7431" s="924">
        <v>17.2</v>
      </c>
    </row>
    <row r="7432" spans="1:2" x14ac:dyDescent="0.25">
      <c r="A7432" s="924">
        <f t="shared" si="116"/>
        <v>7432</v>
      </c>
      <c r="B7432" s="924">
        <v>17.2</v>
      </c>
    </row>
    <row r="7433" spans="1:2" x14ac:dyDescent="0.25">
      <c r="A7433" s="924">
        <f t="shared" si="116"/>
        <v>7433</v>
      </c>
      <c r="B7433" s="924">
        <v>17.2</v>
      </c>
    </row>
    <row r="7434" spans="1:2" x14ac:dyDescent="0.25">
      <c r="A7434" s="924">
        <f t="shared" si="116"/>
        <v>7434</v>
      </c>
      <c r="B7434" s="924">
        <v>17.2</v>
      </c>
    </row>
    <row r="7435" spans="1:2" x14ac:dyDescent="0.25">
      <c r="A7435" s="924">
        <f t="shared" si="116"/>
        <v>7435</v>
      </c>
      <c r="B7435" s="924">
        <v>17.2</v>
      </c>
    </row>
    <row r="7436" spans="1:2" x14ac:dyDescent="0.25">
      <c r="A7436" s="924">
        <f t="shared" si="116"/>
        <v>7436</v>
      </c>
      <c r="B7436" s="924">
        <v>17.2</v>
      </c>
    </row>
    <row r="7437" spans="1:2" x14ac:dyDescent="0.25">
      <c r="A7437" s="924">
        <f t="shared" si="116"/>
        <v>7437</v>
      </c>
      <c r="B7437" s="924">
        <v>17.2</v>
      </c>
    </row>
    <row r="7438" spans="1:2" x14ac:dyDescent="0.25">
      <c r="A7438" s="924">
        <f t="shared" si="116"/>
        <v>7438</v>
      </c>
      <c r="B7438" s="924">
        <v>17.2</v>
      </c>
    </row>
    <row r="7439" spans="1:2" x14ac:dyDescent="0.25">
      <c r="A7439" s="924">
        <f t="shared" si="116"/>
        <v>7439</v>
      </c>
      <c r="B7439" s="924">
        <v>17.2</v>
      </c>
    </row>
    <row r="7440" spans="1:2" x14ac:dyDescent="0.25">
      <c r="A7440" s="924">
        <f t="shared" si="116"/>
        <v>7440</v>
      </c>
      <c r="B7440" s="924">
        <v>17.2</v>
      </c>
    </row>
    <row r="7441" spans="1:2" x14ac:dyDescent="0.25">
      <c r="A7441" s="924">
        <f t="shared" si="116"/>
        <v>7441</v>
      </c>
      <c r="B7441" s="924">
        <v>17.2</v>
      </c>
    </row>
    <row r="7442" spans="1:2" x14ac:dyDescent="0.25">
      <c r="A7442" s="924">
        <f t="shared" si="116"/>
        <v>7442</v>
      </c>
      <c r="B7442" s="924">
        <v>17.2</v>
      </c>
    </row>
    <row r="7443" spans="1:2" x14ac:dyDescent="0.25">
      <c r="A7443" s="924">
        <f t="shared" si="116"/>
        <v>7443</v>
      </c>
      <c r="B7443" s="924">
        <v>17.2</v>
      </c>
    </row>
    <row r="7444" spans="1:2" x14ac:dyDescent="0.25">
      <c r="A7444" s="924">
        <f t="shared" si="116"/>
        <v>7444</v>
      </c>
      <c r="B7444" s="924">
        <v>17.2</v>
      </c>
    </row>
    <row r="7445" spans="1:2" x14ac:dyDescent="0.25">
      <c r="A7445" s="924">
        <f t="shared" si="116"/>
        <v>7445</v>
      </c>
      <c r="B7445" s="924">
        <v>17.2</v>
      </c>
    </row>
    <row r="7446" spans="1:2" x14ac:dyDescent="0.25">
      <c r="A7446" s="924">
        <f t="shared" si="116"/>
        <v>7446</v>
      </c>
      <c r="B7446" s="924">
        <v>17.2</v>
      </c>
    </row>
    <row r="7447" spans="1:2" x14ac:dyDescent="0.25">
      <c r="A7447" s="924">
        <f t="shared" si="116"/>
        <v>7447</v>
      </c>
      <c r="B7447" s="924">
        <v>17.2</v>
      </c>
    </row>
    <row r="7448" spans="1:2" x14ac:dyDescent="0.25">
      <c r="A7448" s="924">
        <f t="shared" si="116"/>
        <v>7448</v>
      </c>
      <c r="B7448" s="924">
        <v>17.2</v>
      </c>
    </row>
    <row r="7449" spans="1:2" x14ac:dyDescent="0.25">
      <c r="A7449" s="924">
        <f t="shared" si="116"/>
        <v>7449</v>
      </c>
      <c r="B7449" s="924">
        <v>17.2</v>
      </c>
    </row>
    <row r="7450" spans="1:2" x14ac:dyDescent="0.25">
      <c r="A7450" s="924">
        <f t="shared" si="116"/>
        <v>7450</v>
      </c>
      <c r="B7450" s="924">
        <v>17.2</v>
      </c>
    </row>
    <row r="7451" spans="1:2" x14ac:dyDescent="0.25">
      <c r="A7451" s="924">
        <f t="shared" si="116"/>
        <v>7451</v>
      </c>
      <c r="B7451" s="924">
        <v>17.2</v>
      </c>
    </row>
    <row r="7452" spans="1:2" x14ac:dyDescent="0.25">
      <c r="A7452" s="924">
        <f t="shared" si="116"/>
        <v>7452</v>
      </c>
      <c r="B7452" s="924">
        <v>17.2</v>
      </c>
    </row>
    <row r="7453" spans="1:2" x14ac:dyDescent="0.25">
      <c r="A7453" s="924">
        <f t="shared" si="116"/>
        <v>7453</v>
      </c>
      <c r="B7453" s="924">
        <v>17.2</v>
      </c>
    </row>
    <row r="7454" spans="1:2" x14ac:dyDescent="0.25">
      <c r="A7454" s="924">
        <f t="shared" si="116"/>
        <v>7454</v>
      </c>
      <c r="B7454" s="924">
        <v>17.2</v>
      </c>
    </row>
    <row r="7455" spans="1:2" x14ac:dyDescent="0.25">
      <c r="A7455" s="924">
        <f t="shared" si="116"/>
        <v>7455</v>
      </c>
      <c r="B7455" s="924">
        <v>17.2</v>
      </c>
    </row>
    <row r="7456" spans="1:2" x14ac:dyDescent="0.25">
      <c r="A7456" s="924">
        <f t="shared" si="116"/>
        <v>7456</v>
      </c>
      <c r="B7456" s="924">
        <v>17.2</v>
      </c>
    </row>
    <row r="7457" spans="1:2" x14ac:dyDescent="0.25">
      <c r="A7457" s="924">
        <f t="shared" si="116"/>
        <v>7457</v>
      </c>
      <c r="B7457" s="924">
        <v>17.2</v>
      </c>
    </row>
    <row r="7458" spans="1:2" x14ac:dyDescent="0.25">
      <c r="A7458" s="924">
        <f t="shared" si="116"/>
        <v>7458</v>
      </c>
      <c r="B7458" s="924">
        <v>17.2</v>
      </c>
    </row>
    <row r="7459" spans="1:2" x14ac:dyDescent="0.25">
      <c r="A7459" s="924">
        <f t="shared" si="116"/>
        <v>7459</v>
      </c>
      <c r="B7459" s="924">
        <v>17.2</v>
      </c>
    </row>
    <row r="7460" spans="1:2" x14ac:dyDescent="0.25">
      <c r="A7460" s="924">
        <f t="shared" si="116"/>
        <v>7460</v>
      </c>
      <c r="B7460" s="924">
        <v>17.2</v>
      </c>
    </row>
    <row r="7461" spans="1:2" x14ac:dyDescent="0.25">
      <c r="A7461" s="924">
        <f t="shared" si="116"/>
        <v>7461</v>
      </c>
      <c r="B7461" s="924">
        <v>17.2</v>
      </c>
    </row>
    <row r="7462" spans="1:2" x14ac:dyDescent="0.25">
      <c r="A7462" s="924">
        <f t="shared" si="116"/>
        <v>7462</v>
      </c>
      <c r="B7462" s="924">
        <v>17.3</v>
      </c>
    </row>
    <row r="7463" spans="1:2" x14ac:dyDescent="0.25">
      <c r="A7463" s="924">
        <f t="shared" si="116"/>
        <v>7463</v>
      </c>
      <c r="B7463" s="924">
        <v>17.3</v>
      </c>
    </row>
    <row r="7464" spans="1:2" x14ac:dyDescent="0.25">
      <c r="A7464" s="924">
        <f t="shared" si="116"/>
        <v>7464</v>
      </c>
      <c r="B7464" s="924">
        <v>17.3</v>
      </c>
    </row>
    <row r="7465" spans="1:2" x14ac:dyDescent="0.25">
      <c r="A7465" s="924">
        <f t="shared" si="116"/>
        <v>7465</v>
      </c>
      <c r="B7465" s="924">
        <v>17.3</v>
      </c>
    </row>
    <row r="7466" spans="1:2" x14ac:dyDescent="0.25">
      <c r="A7466" s="924">
        <f t="shared" si="116"/>
        <v>7466</v>
      </c>
      <c r="B7466" s="924">
        <v>17.3</v>
      </c>
    </row>
    <row r="7467" spans="1:2" x14ac:dyDescent="0.25">
      <c r="A7467" s="924">
        <f t="shared" si="116"/>
        <v>7467</v>
      </c>
      <c r="B7467" s="924">
        <v>17.3</v>
      </c>
    </row>
    <row r="7468" spans="1:2" x14ac:dyDescent="0.25">
      <c r="A7468" s="924">
        <f t="shared" si="116"/>
        <v>7468</v>
      </c>
      <c r="B7468" s="924">
        <v>17.3</v>
      </c>
    </row>
    <row r="7469" spans="1:2" x14ac:dyDescent="0.25">
      <c r="A7469" s="924">
        <f t="shared" si="116"/>
        <v>7469</v>
      </c>
      <c r="B7469" s="924">
        <v>17.3</v>
      </c>
    </row>
    <row r="7470" spans="1:2" x14ac:dyDescent="0.25">
      <c r="A7470" s="924">
        <f t="shared" si="116"/>
        <v>7470</v>
      </c>
      <c r="B7470" s="924">
        <v>17.3</v>
      </c>
    </row>
    <row r="7471" spans="1:2" x14ac:dyDescent="0.25">
      <c r="A7471" s="924">
        <f t="shared" si="116"/>
        <v>7471</v>
      </c>
      <c r="B7471" s="924">
        <v>17.3</v>
      </c>
    </row>
    <row r="7472" spans="1:2" x14ac:dyDescent="0.25">
      <c r="A7472" s="924">
        <f t="shared" si="116"/>
        <v>7472</v>
      </c>
      <c r="B7472" s="924">
        <v>17.3</v>
      </c>
    </row>
    <row r="7473" spans="1:2" x14ac:dyDescent="0.25">
      <c r="A7473" s="924">
        <f t="shared" si="116"/>
        <v>7473</v>
      </c>
      <c r="B7473" s="924">
        <v>17.3</v>
      </c>
    </row>
    <row r="7474" spans="1:2" x14ac:dyDescent="0.25">
      <c r="A7474" s="924">
        <f t="shared" si="116"/>
        <v>7474</v>
      </c>
      <c r="B7474" s="924">
        <v>17.3</v>
      </c>
    </row>
    <row r="7475" spans="1:2" x14ac:dyDescent="0.25">
      <c r="A7475" s="924">
        <f t="shared" si="116"/>
        <v>7475</v>
      </c>
      <c r="B7475" s="924">
        <v>17.3</v>
      </c>
    </row>
    <row r="7476" spans="1:2" x14ac:dyDescent="0.25">
      <c r="A7476" s="924">
        <f t="shared" si="116"/>
        <v>7476</v>
      </c>
      <c r="B7476" s="924">
        <v>17.3</v>
      </c>
    </row>
    <row r="7477" spans="1:2" x14ac:dyDescent="0.25">
      <c r="A7477" s="924">
        <f t="shared" si="116"/>
        <v>7477</v>
      </c>
      <c r="B7477" s="924">
        <v>17.3</v>
      </c>
    </row>
    <row r="7478" spans="1:2" x14ac:dyDescent="0.25">
      <c r="A7478" s="924">
        <f t="shared" si="116"/>
        <v>7478</v>
      </c>
      <c r="B7478" s="924">
        <v>17.3</v>
      </c>
    </row>
    <row r="7479" spans="1:2" x14ac:dyDescent="0.25">
      <c r="A7479" s="924">
        <f t="shared" si="116"/>
        <v>7479</v>
      </c>
      <c r="B7479" s="924">
        <v>17.3</v>
      </c>
    </row>
    <row r="7480" spans="1:2" x14ac:dyDescent="0.25">
      <c r="A7480" s="924">
        <f t="shared" si="116"/>
        <v>7480</v>
      </c>
      <c r="B7480" s="924">
        <v>17.3</v>
      </c>
    </row>
    <row r="7481" spans="1:2" x14ac:dyDescent="0.25">
      <c r="A7481" s="924">
        <f t="shared" si="116"/>
        <v>7481</v>
      </c>
      <c r="B7481" s="924">
        <v>17.3</v>
      </c>
    </row>
    <row r="7482" spans="1:2" x14ac:dyDescent="0.25">
      <c r="A7482" s="924">
        <f t="shared" si="116"/>
        <v>7482</v>
      </c>
      <c r="B7482" s="924">
        <v>17.3</v>
      </c>
    </row>
    <row r="7483" spans="1:2" x14ac:dyDescent="0.25">
      <c r="A7483" s="924">
        <f t="shared" si="116"/>
        <v>7483</v>
      </c>
      <c r="B7483" s="924">
        <v>17.3</v>
      </c>
    </row>
    <row r="7484" spans="1:2" x14ac:dyDescent="0.25">
      <c r="A7484" s="924">
        <f t="shared" si="116"/>
        <v>7484</v>
      </c>
      <c r="B7484" s="924">
        <v>17.3</v>
      </c>
    </row>
    <row r="7485" spans="1:2" x14ac:dyDescent="0.25">
      <c r="A7485" s="924">
        <f t="shared" si="116"/>
        <v>7485</v>
      </c>
      <c r="B7485" s="924">
        <v>17.3</v>
      </c>
    </row>
    <row r="7486" spans="1:2" x14ac:dyDescent="0.25">
      <c r="A7486" s="924">
        <f t="shared" si="116"/>
        <v>7486</v>
      </c>
      <c r="B7486" s="924">
        <v>17.3</v>
      </c>
    </row>
    <row r="7487" spans="1:2" x14ac:dyDescent="0.25">
      <c r="A7487" s="924">
        <f t="shared" si="116"/>
        <v>7487</v>
      </c>
      <c r="B7487" s="924">
        <v>17.3</v>
      </c>
    </row>
    <row r="7488" spans="1:2" x14ac:dyDescent="0.25">
      <c r="A7488" s="924">
        <f t="shared" si="116"/>
        <v>7488</v>
      </c>
      <c r="B7488" s="924">
        <v>17.3</v>
      </c>
    </row>
    <row r="7489" spans="1:2" x14ac:dyDescent="0.25">
      <c r="A7489" s="924">
        <f t="shared" si="116"/>
        <v>7489</v>
      </c>
      <c r="B7489" s="924">
        <v>17.3</v>
      </c>
    </row>
    <row r="7490" spans="1:2" x14ac:dyDescent="0.25">
      <c r="A7490" s="924">
        <f t="shared" si="116"/>
        <v>7490</v>
      </c>
      <c r="B7490" s="924">
        <v>17.3</v>
      </c>
    </row>
    <row r="7491" spans="1:2" x14ac:dyDescent="0.25">
      <c r="A7491" s="924">
        <f t="shared" ref="A7491:A7554" si="117">A7490+1</f>
        <v>7491</v>
      </c>
      <c r="B7491" s="924">
        <v>17.3</v>
      </c>
    </row>
    <row r="7492" spans="1:2" x14ac:dyDescent="0.25">
      <c r="A7492" s="924">
        <f t="shared" si="117"/>
        <v>7492</v>
      </c>
      <c r="B7492" s="924">
        <v>17.3</v>
      </c>
    </row>
    <row r="7493" spans="1:2" x14ac:dyDescent="0.25">
      <c r="A7493" s="924">
        <f t="shared" si="117"/>
        <v>7493</v>
      </c>
      <c r="B7493" s="924">
        <v>17.3</v>
      </c>
    </row>
    <row r="7494" spans="1:2" x14ac:dyDescent="0.25">
      <c r="A7494" s="924">
        <f t="shared" si="117"/>
        <v>7494</v>
      </c>
      <c r="B7494" s="924">
        <v>17.3</v>
      </c>
    </row>
    <row r="7495" spans="1:2" x14ac:dyDescent="0.25">
      <c r="A7495" s="924">
        <f t="shared" si="117"/>
        <v>7495</v>
      </c>
      <c r="B7495" s="924">
        <v>17.3</v>
      </c>
    </row>
    <row r="7496" spans="1:2" x14ac:dyDescent="0.25">
      <c r="A7496" s="924">
        <f t="shared" si="117"/>
        <v>7496</v>
      </c>
      <c r="B7496" s="924">
        <v>17.3</v>
      </c>
    </row>
    <row r="7497" spans="1:2" x14ac:dyDescent="0.25">
      <c r="A7497" s="924">
        <f t="shared" si="117"/>
        <v>7497</v>
      </c>
      <c r="B7497" s="924">
        <v>17.3</v>
      </c>
    </row>
    <row r="7498" spans="1:2" x14ac:dyDescent="0.25">
      <c r="A7498" s="924">
        <f t="shared" si="117"/>
        <v>7498</v>
      </c>
      <c r="B7498" s="924">
        <v>17.3</v>
      </c>
    </row>
    <row r="7499" spans="1:2" x14ac:dyDescent="0.25">
      <c r="A7499" s="924">
        <f t="shared" si="117"/>
        <v>7499</v>
      </c>
      <c r="B7499" s="924">
        <v>17.3</v>
      </c>
    </row>
    <row r="7500" spans="1:2" x14ac:dyDescent="0.25">
      <c r="A7500" s="924">
        <f t="shared" si="117"/>
        <v>7500</v>
      </c>
      <c r="B7500" s="924">
        <v>17.3</v>
      </c>
    </row>
    <row r="7501" spans="1:2" x14ac:dyDescent="0.25">
      <c r="A7501" s="924">
        <f t="shared" si="117"/>
        <v>7501</v>
      </c>
      <c r="B7501" s="924">
        <v>17.399999999999999</v>
      </c>
    </row>
    <row r="7502" spans="1:2" x14ac:dyDescent="0.25">
      <c r="A7502" s="924">
        <f t="shared" si="117"/>
        <v>7502</v>
      </c>
      <c r="B7502" s="924">
        <v>17.399999999999999</v>
      </c>
    </row>
    <row r="7503" spans="1:2" x14ac:dyDescent="0.25">
      <c r="A7503" s="924">
        <f t="shared" si="117"/>
        <v>7503</v>
      </c>
      <c r="B7503" s="924">
        <v>17.399999999999999</v>
      </c>
    </row>
    <row r="7504" spans="1:2" x14ac:dyDescent="0.25">
      <c r="A7504" s="924">
        <f t="shared" si="117"/>
        <v>7504</v>
      </c>
      <c r="B7504" s="924">
        <v>17.399999999999999</v>
      </c>
    </row>
    <row r="7505" spans="1:2" x14ac:dyDescent="0.25">
      <c r="A7505" s="924">
        <f t="shared" si="117"/>
        <v>7505</v>
      </c>
      <c r="B7505" s="924">
        <v>17.399999999999999</v>
      </c>
    </row>
    <row r="7506" spans="1:2" x14ac:dyDescent="0.25">
      <c r="A7506" s="924">
        <f t="shared" si="117"/>
        <v>7506</v>
      </c>
      <c r="B7506" s="924">
        <v>17.399999999999999</v>
      </c>
    </row>
    <row r="7507" spans="1:2" x14ac:dyDescent="0.25">
      <c r="A7507" s="924">
        <f t="shared" si="117"/>
        <v>7507</v>
      </c>
      <c r="B7507" s="924">
        <v>17.399999999999999</v>
      </c>
    </row>
    <row r="7508" spans="1:2" x14ac:dyDescent="0.25">
      <c r="A7508" s="924">
        <f t="shared" si="117"/>
        <v>7508</v>
      </c>
      <c r="B7508" s="924">
        <v>17.399999999999999</v>
      </c>
    </row>
    <row r="7509" spans="1:2" x14ac:dyDescent="0.25">
      <c r="A7509" s="924">
        <f t="shared" si="117"/>
        <v>7509</v>
      </c>
      <c r="B7509" s="924">
        <v>17.399999999999999</v>
      </c>
    </row>
    <row r="7510" spans="1:2" x14ac:dyDescent="0.25">
      <c r="A7510" s="924">
        <f t="shared" si="117"/>
        <v>7510</v>
      </c>
      <c r="B7510" s="924">
        <v>17.399999999999999</v>
      </c>
    </row>
    <row r="7511" spans="1:2" x14ac:dyDescent="0.25">
      <c r="A7511" s="924">
        <f t="shared" si="117"/>
        <v>7511</v>
      </c>
      <c r="B7511" s="924">
        <v>17.399999999999999</v>
      </c>
    </row>
    <row r="7512" spans="1:2" x14ac:dyDescent="0.25">
      <c r="A7512" s="924">
        <f t="shared" si="117"/>
        <v>7512</v>
      </c>
      <c r="B7512" s="924">
        <v>17.399999999999999</v>
      </c>
    </row>
    <row r="7513" spans="1:2" x14ac:dyDescent="0.25">
      <c r="A7513" s="924">
        <f t="shared" si="117"/>
        <v>7513</v>
      </c>
      <c r="B7513" s="924">
        <v>17.399999999999999</v>
      </c>
    </row>
    <row r="7514" spans="1:2" x14ac:dyDescent="0.25">
      <c r="A7514" s="924">
        <f t="shared" si="117"/>
        <v>7514</v>
      </c>
      <c r="B7514" s="924">
        <v>17.399999999999999</v>
      </c>
    </row>
    <row r="7515" spans="1:2" x14ac:dyDescent="0.25">
      <c r="A7515" s="924">
        <f t="shared" si="117"/>
        <v>7515</v>
      </c>
      <c r="B7515" s="924">
        <v>17.399999999999999</v>
      </c>
    </row>
    <row r="7516" spans="1:2" x14ac:dyDescent="0.25">
      <c r="A7516" s="924">
        <f t="shared" si="117"/>
        <v>7516</v>
      </c>
      <c r="B7516" s="924">
        <v>17.399999999999999</v>
      </c>
    </row>
    <row r="7517" spans="1:2" x14ac:dyDescent="0.25">
      <c r="A7517" s="924">
        <f t="shared" si="117"/>
        <v>7517</v>
      </c>
      <c r="B7517" s="924">
        <v>17.399999999999999</v>
      </c>
    </row>
    <row r="7518" spans="1:2" x14ac:dyDescent="0.25">
      <c r="A7518" s="924">
        <f t="shared" si="117"/>
        <v>7518</v>
      </c>
      <c r="B7518" s="924">
        <v>17.399999999999999</v>
      </c>
    </row>
    <row r="7519" spans="1:2" x14ac:dyDescent="0.25">
      <c r="A7519" s="924">
        <f t="shared" si="117"/>
        <v>7519</v>
      </c>
      <c r="B7519" s="924">
        <v>17.399999999999999</v>
      </c>
    </row>
    <row r="7520" spans="1:2" x14ac:dyDescent="0.25">
      <c r="A7520" s="924">
        <f t="shared" si="117"/>
        <v>7520</v>
      </c>
      <c r="B7520" s="924">
        <v>17.399999999999999</v>
      </c>
    </row>
    <row r="7521" spans="1:2" x14ac:dyDescent="0.25">
      <c r="A7521" s="924">
        <f t="shared" si="117"/>
        <v>7521</v>
      </c>
      <c r="B7521" s="924">
        <v>17.399999999999999</v>
      </c>
    </row>
    <row r="7522" spans="1:2" x14ac:dyDescent="0.25">
      <c r="A7522" s="924">
        <f t="shared" si="117"/>
        <v>7522</v>
      </c>
      <c r="B7522" s="924">
        <v>17.399999999999999</v>
      </c>
    </row>
    <row r="7523" spans="1:2" x14ac:dyDescent="0.25">
      <c r="A7523" s="924">
        <f t="shared" si="117"/>
        <v>7523</v>
      </c>
      <c r="B7523" s="924">
        <v>17.399999999999999</v>
      </c>
    </row>
    <row r="7524" spans="1:2" x14ac:dyDescent="0.25">
      <c r="A7524" s="924">
        <f t="shared" si="117"/>
        <v>7524</v>
      </c>
      <c r="B7524" s="924">
        <v>17.399999999999999</v>
      </c>
    </row>
    <row r="7525" spans="1:2" x14ac:dyDescent="0.25">
      <c r="A7525" s="924">
        <f t="shared" si="117"/>
        <v>7525</v>
      </c>
      <c r="B7525" s="924">
        <v>17.399999999999999</v>
      </c>
    </row>
    <row r="7526" spans="1:2" x14ac:dyDescent="0.25">
      <c r="A7526" s="924">
        <f t="shared" si="117"/>
        <v>7526</v>
      </c>
      <c r="B7526" s="924">
        <v>17.399999999999999</v>
      </c>
    </row>
    <row r="7527" spans="1:2" x14ac:dyDescent="0.25">
      <c r="A7527" s="924">
        <f t="shared" si="117"/>
        <v>7527</v>
      </c>
      <c r="B7527" s="924">
        <v>17.399999999999999</v>
      </c>
    </row>
    <row r="7528" spans="1:2" x14ac:dyDescent="0.25">
      <c r="A7528" s="924">
        <f t="shared" si="117"/>
        <v>7528</v>
      </c>
      <c r="B7528" s="924">
        <v>17.399999999999999</v>
      </c>
    </row>
    <row r="7529" spans="1:2" x14ac:dyDescent="0.25">
      <c r="A7529" s="924">
        <f t="shared" si="117"/>
        <v>7529</v>
      </c>
      <c r="B7529" s="924">
        <v>17.399999999999999</v>
      </c>
    </row>
    <row r="7530" spans="1:2" x14ac:dyDescent="0.25">
      <c r="A7530" s="924">
        <f t="shared" si="117"/>
        <v>7530</v>
      </c>
      <c r="B7530" s="924">
        <v>17.399999999999999</v>
      </c>
    </row>
    <row r="7531" spans="1:2" x14ac:dyDescent="0.25">
      <c r="A7531" s="924">
        <f t="shared" si="117"/>
        <v>7531</v>
      </c>
      <c r="B7531" s="924">
        <v>17.399999999999999</v>
      </c>
    </row>
    <row r="7532" spans="1:2" x14ac:dyDescent="0.25">
      <c r="A7532" s="924">
        <f t="shared" si="117"/>
        <v>7532</v>
      </c>
      <c r="B7532" s="924">
        <v>17.399999999999999</v>
      </c>
    </row>
    <row r="7533" spans="1:2" x14ac:dyDescent="0.25">
      <c r="A7533" s="924">
        <f t="shared" si="117"/>
        <v>7533</v>
      </c>
      <c r="B7533" s="924">
        <v>17.399999999999999</v>
      </c>
    </row>
    <row r="7534" spans="1:2" x14ac:dyDescent="0.25">
      <c r="A7534" s="924">
        <f t="shared" si="117"/>
        <v>7534</v>
      </c>
      <c r="B7534" s="924">
        <v>17.399999999999999</v>
      </c>
    </row>
    <row r="7535" spans="1:2" x14ac:dyDescent="0.25">
      <c r="A7535" s="924">
        <f t="shared" si="117"/>
        <v>7535</v>
      </c>
      <c r="B7535" s="924">
        <v>17.399999999999999</v>
      </c>
    </row>
    <row r="7536" spans="1:2" x14ac:dyDescent="0.25">
      <c r="A7536" s="924">
        <f t="shared" si="117"/>
        <v>7536</v>
      </c>
      <c r="B7536" s="924">
        <v>17.399999999999999</v>
      </c>
    </row>
    <row r="7537" spans="1:2" x14ac:dyDescent="0.25">
      <c r="A7537" s="924">
        <f t="shared" si="117"/>
        <v>7537</v>
      </c>
      <c r="B7537" s="924">
        <v>17.399999999999999</v>
      </c>
    </row>
    <row r="7538" spans="1:2" x14ac:dyDescent="0.25">
      <c r="A7538" s="924">
        <f t="shared" si="117"/>
        <v>7538</v>
      </c>
      <c r="B7538" s="924">
        <v>17.5</v>
      </c>
    </row>
    <row r="7539" spans="1:2" x14ac:dyDescent="0.25">
      <c r="A7539" s="924">
        <f t="shared" si="117"/>
        <v>7539</v>
      </c>
      <c r="B7539" s="924">
        <v>17.5</v>
      </c>
    </row>
    <row r="7540" spans="1:2" x14ac:dyDescent="0.25">
      <c r="A7540" s="924">
        <f t="shared" si="117"/>
        <v>7540</v>
      </c>
      <c r="B7540" s="924">
        <v>17.5</v>
      </c>
    </row>
    <row r="7541" spans="1:2" x14ac:dyDescent="0.25">
      <c r="A7541" s="924">
        <f t="shared" si="117"/>
        <v>7541</v>
      </c>
      <c r="B7541" s="924">
        <v>17.5</v>
      </c>
    </row>
    <row r="7542" spans="1:2" x14ac:dyDescent="0.25">
      <c r="A7542" s="924">
        <f t="shared" si="117"/>
        <v>7542</v>
      </c>
      <c r="B7542" s="924">
        <v>17.5</v>
      </c>
    </row>
    <row r="7543" spans="1:2" x14ac:dyDescent="0.25">
      <c r="A7543" s="924">
        <f t="shared" si="117"/>
        <v>7543</v>
      </c>
      <c r="B7543" s="924">
        <v>17.5</v>
      </c>
    </row>
    <row r="7544" spans="1:2" x14ac:dyDescent="0.25">
      <c r="A7544" s="924">
        <f t="shared" si="117"/>
        <v>7544</v>
      </c>
      <c r="B7544" s="924">
        <v>17.5</v>
      </c>
    </row>
    <row r="7545" spans="1:2" x14ac:dyDescent="0.25">
      <c r="A7545" s="924">
        <f t="shared" si="117"/>
        <v>7545</v>
      </c>
      <c r="B7545" s="924">
        <v>17.5</v>
      </c>
    </row>
    <row r="7546" spans="1:2" x14ac:dyDescent="0.25">
      <c r="A7546" s="924">
        <f t="shared" si="117"/>
        <v>7546</v>
      </c>
      <c r="B7546" s="924">
        <v>17.5</v>
      </c>
    </row>
    <row r="7547" spans="1:2" x14ac:dyDescent="0.25">
      <c r="A7547" s="924">
        <f t="shared" si="117"/>
        <v>7547</v>
      </c>
      <c r="B7547" s="924">
        <v>17.5</v>
      </c>
    </row>
    <row r="7548" spans="1:2" x14ac:dyDescent="0.25">
      <c r="A7548" s="924">
        <f t="shared" si="117"/>
        <v>7548</v>
      </c>
      <c r="B7548" s="924">
        <v>17.5</v>
      </c>
    </row>
    <row r="7549" spans="1:2" x14ac:dyDescent="0.25">
      <c r="A7549" s="924">
        <f t="shared" si="117"/>
        <v>7549</v>
      </c>
      <c r="B7549" s="924">
        <v>17.5</v>
      </c>
    </row>
    <row r="7550" spans="1:2" x14ac:dyDescent="0.25">
      <c r="A7550" s="924">
        <f t="shared" si="117"/>
        <v>7550</v>
      </c>
      <c r="B7550" s="924">
        <v>17.5</v>
      </c>
    </row>
    <row r="7551" spans="1:2" x14ac:dyDescent="0.25">
      <c r="A7551" s="924">
        <f t="shared" si="117"/>
        <v>7551</v>
      </c>
      <c r="B7551" s="924">
        <v>17.5</v>
      </c>
    </row>
    <row r="7552" spans="1:2" x14ac:dyDescent="0.25">
      <c r="A7552" s="924">
        <f t="shared" si="117"/>
        <v>7552</v>
      </c>
      <c r="B7552" s="924">
        <v>17.5</v>
      </c>
    </row>
    <row r="7553" spans="1:2" x14ac:dyDescent="0.25">
      <c r="A7553" s="924">
        <f t="shared" si="117"/>
        <v>7553</v>
      </c>
      <c r="B7553" s="924">
        <v>17.5</v>
      </c>
    </row>
    <row r="7554" spans="1:2" x14ac:dyDescent="0.25">
      <c r="A7554" s="924">
        <f t="shared" si="117"/>
        <v>7554</v>
      </c>
      <c r="B7554" s="924">
        <v>17.5</v>
      </c>
    </row>
    <row r="7555" spans="1:2" x14ac:dyDescent="0.25">
      <c r="A7555" s="924">
        <f t="shared" ref="A7555:A7618" si="118">A7554+1</f>
        <v>7555</v>
      </c>
      <c r="B7555" s="924">
        <v>17.5</v>
      </c>
    </row>
    <row r="7556" spans="1:2" x14ac:dyDescent="0.25">
      <c r="A7556" s="924">
        <f t="shared" si="118"/>
        <v>7556</v>
      </c>
      <c r="B7556" s="924">
        <v>17.5</v>
      </c>
    </row>
    <row r="7557" spans="1:2" x14ac:dyDescent="0.25">
      <c r="A7557" s="924">
        <f t="shared" si="118"/>
        <v>7557</v>
      </c>
      <c r="B7557" s="924">
        <v>17.5</v>
      </c>
    </row>
    <row r="7558" spans="1:2" x14ac:dyDescent="0.25">
      <c r="A7558" s="924">
        <f t="shared" si="118"/>
        <v>7558</v>
      </c>
      <c r="B7558" s="924">
        <v>17.5</v>
      </c>
    </row>
    <row r="7559" spans="1:2" x14ac:dyDescent="0.25">
      <c r="A7559" s="924">
        <f t="shared" si="118"/>
        <v>7559</v>
      </c>
      <c r="B7559" s="924">
        <v>17.5</v>
      </c>
    </row>
    <row r="7560" spans="1:2" x14ac:dyDescent="0.25">
      <c r="A7560" s="924">
        <f t="shared" si="118"/>
        <v>7560</v>
      </c>
      <c r="B7560" s="924">
        <v>17.600000000000001</v>
      </c>
    </row>
    <row r="7561" spans="1:2" x14ac:dyDescent="0.25">
      <c r="A7561" s="924">
        <f t="shared" si="118"/>
        <v>7561</v>
      </c>
      <c r="B7561" s="924">
        <v>17.600000000000001</v>
      </c>
    </row>
    <row r="7562" spans="1:2" x14ac:dyDescent="0.25">
      <c r="A7562" s="924">
        <f t="shared" si="118"/>
        <v>7562</v>
      </c>
      <c r="B7562" s="924">
        <v>17.600000000000001</v>
      </c>
    </row>
    <row r="7563" spans="1:2" x14ac:dyDescent="0.25">
      <c r="A7563" s="924">
        <f t="shared" si="118"/>
        <v>7563</v>
      </c>
      <c r="B7563" s="924">
        <v>17.600000000000001</v>
      </c>
    </row>
    <row r="7564" spans="1:2" x14ac:dyDescent="0.25">
      <c r="A7564" s="924">
        <f t="shared" si="118"/>
        <v>7564</v>
      </c>
      <c r="B7564" s="924">
        <v>17.600000000000001</v>
      </c>
    </row>
    <row r="7565" spans="1:2" x14ac:dyDescent="0.25">
      <c r="A7565" s="924">
        <f t="shared" si="118"/>
        <v>7565</v>
      </c>
      <c r="B7565" s="924">
        <v>17.600000000000001</v>
      </c>
    </row>
    <row r="7566" spans="1:2" x14ac:dyDescent="0.25">
      <c r="A7566" s="924">
        <f t="shared" si="118"/>
        <v>7566</v>
      </c>
      <c r="B7566" s="924">
        <v>17.600000000000001</v>
      </c>
    </row>
    <row r="7567" spans="1:2" x14ac:dyDescent="0.25">
      <c r="A7567" s="924">
        <f t="shared" si="118"/>
        <v>7567</v>
      </c>
      <c r="B7567" s="924">
        <v>17.600000000000001</v>
      </c>
    </row>
    <row r="7568" spans="1:2" x14ac:dyDescent="0.25">
      <c r="A7568" s="924">
        <f t="shared" si="118"/>
        <v>7568</v>
      </c>
      <c r="B7568" s="924">
        <v>17.600000000000001</v>
      </c>
    </row>
    <row r="7569" spans="1:2" x14ac:dyDescent="0.25">
      <c r="A7569" s="924">
        <f t="shared" si="118"/>
        <v>7569</v>
      </c>
      <c r="B7569" s="924">
        <v>17.600000000000001</v>
      </c>
    </row>
    <row r="7570" spans="1:2" x14ac:dyDescent="0.25">
      <c r="A7570" s="924">
        <f t="shared" si="118"/>
        <v>7570</v>
      </c>
      <c r="B7570" s="924">
        <v>17.600000000000001</v>
      </c>
    </row>
    <row r="7571" spans="1:2" x14ac:dyDescent="0.25">
      <c r="A7571" s="924">
        <f t="shared" si="118"/>
        <v>7571</v>
      </c>
      <c r="B7571" s="924">
        <v>17.600000000000001</v>
      </c>
    </row>
    <row r="7572" spans="1:2" x14ac:dyDescent="0.25">
      <c r="A7572" s="924">
        <f t="shared" si="118"/>
        <v>7572</v>
      </c>
      <c r="B7572" s="924">
        <v>17.600000000000001</v>
      </c>
    </row>
    <row r="7573" spans="1:2" x14ac:dyDescent="0.25">
      <c r="A7573" s="924">
        <f t="shared" si="118"/>
        <v>7573</v>
      </c>
      <c r="B7573" s="924">
        <v>17.600000000000001</v>
      </c>
    </row>
    <row r="7574" spans="1:2" x14ac:dyDescent="0.25">
      <c r="A7574" s="924">
        <f t="shared" si="118"/>
        <v>7574</v>
      </c>
      <c r="B7574" s="924">
        <v>17.600000000000001</v>
      </c>
    </row>
    <row r="7575" spans="1:2" x14ac:dyDescent="0.25">
      <c r="A7575" s="924">
        <f t="shared" si="118"/>
        <v>7575</v>
      </c>
      <c r="B7575" s="924">
        <v>17.600000000000001</v>
      </c>
    </row>
    <row r="7576" spans="1:2" x14ac:dyDescent="0.25">
      <c r="A7576" s="924">
        <f t="shared" si="118"/>
        <v>7576</v>
      </c>
      <c r="B7576" s="924">
        <v>17.600000000000001</v>
      </c>
    </row>
    <row r="7577" spans="1:2" x14ac:dyDescent="0.25">
      <c r="A7577" s="924">
        <f t="shared" si="118"/>
        <v>7577</v>
      </c>
      <c r="B7577" s="924">
        <v>17.600000000000001</v>
      </c>
    </row>
    <row r="7578" spans="1:2" x14ac:dyDescent="0.25">
      <c r="A7578" s="924">
        <f t="shared" si="118"/>
        <v>7578</v>
      </c>
      <c r="B7578" s="924">
        <v>17.600000000000001</v>
      </c>
    </row>
    <row r="7579" spans="1:2" x14ac:dyDescent="0.25">
      <c r="A7579" s="924">
        <f t="shared" si="118"/>
        <v>7579</v>
      </c>
      <c r="B7579" s="924">
        <v>17.600000000000001</v>
      </c>
    </row>
    <row r="7580" spans="1:2" x14ac:dyDescent="0.25">
      <c r="A7580" s="924">
        <f t="shared" si="118"/>
        <v>7580</v>
      </c>
      <c r="B7580" s="924">
        <v>17.600000000000001</v>
      </c>
    </row>
    <row r="7581" spans="1:2" x14ac:dyDescent="0.25">
      <c r="A7581" s="924">
        <f t="shared" si="118"/>
        <v>7581</v>
      </c>
      <c r="B7581" s="924">
        <v>17.600000000000001</v>
      </c>
    </row>
    <row r="7582" spans="1:2" x14ac:dyDescent="0.25">
      <c r="A7582" s="924">
        <f t="shared" si="118"/>
        <v>7582</v>
      </c>
      <c r="B7582" s="924">
        <v>17.600000000000001</v>
      </c>
    </row>
    <row r="7583" spans="1:2" x14ac:dyDescent="0.25">
      <c r="A7583" s="924">
        <f t="shared" si="118"/>
        <v>7583</v>
      </c>
      <c r="B7583" s="924">
        <v>17.600000000000001</v>
      </c>
    </row>
    <row r="7584" spans="1:2" x14ac:dyDescent="0.25">
      <c r="A7584" s="924">
        <f t="shared" si="118"/>
        <v>7584</v>
      </c>
      <c r="B7584" s="924">
        <v>17.600000000000001</v>
      </c>
    </row>
    <row r="7585" spans="1:2" x14ac:dyDescent="0.25">
      <c r="A7585" s="924">
        <f t="shared" si="118"/>
        <v>7585</v>
      </c>
      <c r="B7585" s="924">
        <v>17.600000000000001</v>
      </c>
    </row>
    <row r="7586" spans="1:2" x14ac:dyDescent="0.25">
      <c r="A7586" s="924">
        <f t="shared" si="118"/>
        <v>7586</v>
      </c>
      <c r="B7586" s="924">
        <v>17.600000000000001</v>
      </c>
    </row>
    <row r="7587" spans="1:2" x14ac:dyDescent="0.25">
      <c r="A7587" s="924">
        <f t="shared" si="118"/>
        <v>7587</v>
      </c>
      <c r="B7587" s="924">
        <v>17.600000000000001</v>
      </c>
    </row>
    <row r="7588" spans="1:2" x14ac:dyDescent="0.25">
      <c r="A7588" s="924">
        <f t="shared" si="118"/>
        <v>7588</v>
      </c>
      <c r="B7588" s="924">
        <v>17.600000000000001</v>
      </c>
    </row>
    <row r="7589" spans="1:2" x14ac:dyDescent="0.25">
      <c r="A7589" s="924">
        <f t="shared" si="118"/>
        <v>7589</v>
      </c>
      <c r="B7589" s="924">
        <v>17.600000000000001</v>
      </c>
    </row>
    <row r="7590" spans="1:2" x14ac:dyDescent="0.25">
      <c r="A7590" s="924">
        <f t="shared" si="118"/>
        <v>7590</v>
      </c>
      <c r="B7590" s="924">
        <v>17.600000000000001</v>
      </c>
    </row>
    <row r="7591" spans="1:2" x14ac:dyDescent="0.25">
      <c r="A7591" s="924">
        <f t="shared" si="118"/>
        <v>7591</v>
      </c>
      <c r="B7591" s="924">
        <v>17.600000000000001</v>
      </c>
    </row>
    <row r="7592" spans="1:2" x14ac:dyDescent="0.25">
      <c r="A7592" s="924">
        <f t="shared" si="118"/>
        <v>7592</v>
      </c>
      <c r="B7592" s="924">
        <v>17.600000000000001</v>
      </c>
    </row>
    <row r="7593" spans="1:2" x14ac:dyDescent="0.25">
      <c r="A7593" s="924">
        <f t="shared" si="118"/>
        <v>7593</v>
      </c>
      <c r="B7593" s="924">
        <v>17.600000000000001</v>
      </c>
    </row>
    <row r="7594" spans="1:2" x14ac:dyDescent="0.25">
      <c r="A7594" s="924">
        <f t="shared" si="118"/>
        <v>7594</v>
      </c>
      <c r="B7594" s="924">
        <v>17.600000000000001</v>
      </c>
    </row>
    <row r="7595" spans="1:2" x14ac:dyDescent="0.25">
      <c r="A7595" s="924">
        <f t="shared" si="118"/>
        <v>7595</v>
      </c>
      <c r="B7595" s="924">
        <v>17.7</v>
      </c>
    </row>
    <row r="7596" spans="1:2" x14ac:dyDescent="0.25">
      <c r="A7596" s="924">
        <f t="shared" si="118"/>
        <v>7596</v>
      </c>
      <c r="B7596" s="924">
        <v>17.7</v>
      </c>
    </row>
    <row r="7597" spans="1:2" x14ac:dyDescent="0.25">
      <c r="A7597" s="924">
        <f t="shared" si="118"/>
        <v>7597</v>
      </c>
      <c r="B7597" s="924">
        <v>17.7</v>
      </c>
    </row>
    <row r="7598" spans="1:2" x14ac:dyDescent="0.25">
      <c r="A7598" s="924">
        <f t="shared" si="118"/>
        <v>7598</v>
      </c>
      <c r="B7598" s="924">
        <v>17.7</v>
      </c>
    </row>
    <row r="7599" spans="1:2" x14ac:dyDescent="0.25">
      <c r="A7599" s="924">
        <f t="shared" si="118"/>
        <v>7599</v>
      </c>
      <c r="B7599" s="924">
        <v>17.7</v>
      </c>
    </row>
    <row r="7600" spans="1:2" x14ac:dyDescent="0.25">
      <c r="A7600" s="924">
        <f t="shared" si="118"/>
        <v>7600</v>
      </c>
      <c r="B7600" s="924">
        <v>17.7</v>
      </c>
    </row>
    <row r="7601" spans="1:2" x14ac:dyDescent="0.25">
      <c r="A7601" s="924">
        <f t="shared" si="118"/>
        <v>7601</v>
      </c>
      <c r="B7601" s="924">
        <v>17.7</v>
      </c>
    </row>
    <row r="7602" spans="1:2" x14ac:dyDescent="0.25">
      <c r="A7602" s="924">
        <f t="shared" si="118"/>
        <v>7602</v>
      </c>
      <c r="B7602" s="924">
        <v>17.7</v>
      </c>
    </row>
    <row r="7603" spans="1:2" x14ac:dyDescent="0.25">
      <c r="A7603" s="924">
        <f t="shared" si="118"/>
        <v>7603</v>
      </c>
      <c r="B7603" s="924">
        <v>17.7</v>
      </c>
    </row>
    <row r="7604" spans="1:2" x14ac:dyDescent="0.25">
      <c r="A7604" s="924">
        <f t="shared" si="118"/>
        <v>7604</v>
      </c>
      <c r="B7604" s="924">
        <v>17.7</v>
      </c>
    </row>
    <row r="7605" spans="1:2" x14ac:dyDescent="0.25">
      <c r="A7605" s="924">
        <f t="shared" si="118"/>
        <v>7605</v>
      </c>
      <c r="B7605" s="924">
        <v>17.7</v>
      </c>
    </row>
    <row r="7606" spans="1:2" x14ac:dyDescent="0.25">
      <c r="A7606" s="924">
        <f t="shared" si="118"/>
        <v>7606</v>
      </c>
      <c r="B7606" s="924">
        <v>17.7</v>
      </c>
    </row>
    <row r="7607" spans="1:2" x14ac:dyDescent="0.25">
      <c r="A7607" s="924">
        <f t="shared" si="118"/>
        <v>7607</v>
      </c>
      <c r="B7607" s="924">
        <v>17.7</v>
      </c>
    </row>
    <row r="7608" spans="1:2" x14ac:dyDescent="0.25">
      <c r="A7608" s="924">
        <f t="shared" si="118"/>
        <v>7608</v>
      </c>
      <c r="B7608" s="924">
        <v>17.7</v>
      </c>
    </row>
    <row r="7609" spans="1:2" x14ac:dyDescent="0.25">
      <c r="A7609" s="924">
        <f t="shared" si="118"/>
        <v>7609</v>
      </c>
      <c r="B7609" s="924">
        <v>17.7</v>
      </c>
    </row>
    <row r="7610" spans="1:2" x14ac:dyDescent="0.25">
      <c r="A7610" s="924">
        <f t="shared" si="118"/>
        <v>7610</v>
      </c>
      <c r="B7610" s="924">
        <v>17.7</v>
      </c>
    </row>
    <row r="7611" spans="1:2" x14ac:dyDescent="0.25">
      <c r="A7611" s="924">
        <f t="shared" si="118"/>
        <v>7611</v>
      </c>
      <c r="B7611" s="924">
        <v>17.7</v>
      </c>
    </row>
    <row r="7612" spans="1:2" x14ac:dyDescent="0.25">
      <c r="A7612" s="924">
        <f t="shared" si="118"/>
        <v>7612</v>
      </c>
      <c r="B7612" s="924">
        <v>17.7</v>
      </c>
    </row>
    <row r="7613" spans="1:2" x14ac:dyDescent="0.25">
      <c r="A7613" s="924">
        <f t="shared" si="118"/>
        <v>7613</v>
      </c>
      <c r="B7613" s="924">
        <v>17.7</v>
      </c>
    </row>
    <row r="7614" spans="1:2" x14ac:dyDescent="0.25">
      <c r="A7614" s="924">
        <f t="shared" si="118"/>
        <v>7614</v>
      </c>
      <c r="B7614" s="924">
        <v>17.7</v>
      </c>
    </row>
    <row r="7615" spans="1:2" x14ac:dyDescent="0.25">
      <c r="A7615" s="924">
        <f t="shared" si="118"/>
        <v>7615</v>
      </c>
      <c r="B7615" s="924">
        <v>17.7</v>
      </c>
    </row>
    <row r="7616" spans="1:2" x14ac:dyDescent="0.25">
      <c r="A7616" s="924">
        <f t="shared" si="118"/>
        <v>7616</v>
      </c>
      <c r="B7616" s="924">
        <v>17.7</v>
      </c>
    </row>
    <row r="7617" spans="1:2" x14ac:dyDescent="0.25">
      <c r="A7617" s="924">
        <f t="shared" si="118"/>
        <v>7617</v>
      </c>
      <c r="B7617" s="924">
        <v>17.7</v>
      </c>
    </row>
    <row r="7618" spans="1:2" x14ac:dyDescent="0.25">
      <c r="A7618" s="924">
        <f t="shared" si="118"/>
        <v>7618</v>
      </c>
      <c r="B7618" s="924">
        <v>17.7</v>
      </c>
    </row>
    <row r="7619" spans="1:2" x14ac:dyDescent="0.25">
      <c r="A7619" s="924">
        <f t="shared" ref="A7619:A7682" si="119">A7618+1</f>
        <v>7619</v>
      </c>
      <c r="B7619" s="924">
        <v>17.7</v>
      </c>
    </row>
    <row r="7620" spans="1:2" x14ac:dyDescent="0.25">
      <c r="A7620" s="924">
        <f t="shared" si="119"/>
        <v>7620</v>
      </c>
      <c r="B7620" s="924">
        <v>17.7</v>
      </c>
    </row>
    <row r="7621" spans="1:2" x14ac:dyDescent="0.25">
      <c r="A7621" s="924">
        <f t="shared" si="119"/>
        <v>7621</v>
      </c>
      <c r="B7621" s="924">
        <v>17.7</v>
      </c>
    </row>
    <row r="7622" spans="1:2" x14ac:dyDescent="0.25">
      <c r="A7622" s="924">
        <f t="shared" si="119"/>
        <v>7622</v>
      </c>
      <c r="B7622" s="924">
        <v>17.7</v>
      </c>
    </row>
    <row r="7623" spans="1:2" x14ac:dyDescent="0.25">
      <c r="A7623" s="924">
        <f t="shared" si="119"/>
        <v>7623</v>
      </c>
      <c r="B7623" s="924">
        <v>17.7</v>
      </c>
    </row>
    <row r="7624" spans="1:2" x14ac:dyDescent="0.25">
      <c r="A7624" s="924">
        <f t="shared" si="119"/>
        <v>7624</v>
      </c>
      <c r="B7624" s="924">
        <v>17.7</v>
      </c>
    </row>
    <row r="7625" spans="1:2" x14ac:dyDescent="0.25">
      <c r="A7625" s="924">
        <f t="shared" si="119"/>
        <v>7625</v>
      </c>
      <c r="B7625" s="924">
        <v>17.7</v>
      </c>
    </row>
    <row r="7626" spans="1:2" x14ac:dyDescent="0.25">
      <c r="A7626" s="924">
        <f t="shared" si="119"/>
        <v>7626</v>
      </c>
      <c r="B7626" s="924">
        <v>17.7</v>
      </c>
    </row>
    <row r="7627" spans="1:2" x14ac:dyDescent="0.25">
      <c r="A7627" s="924">
        <f t="shared" si="119"/>
        <v>7627</v>
      </c>
      <c r="B7627" s="924">
        <v>17.7</v>
      </c>
    </row>
    <row r="7628" spans="1:2" x14ac:dyDescent="0.25">
      <c r="A7628" s="924">
        <f t="shared" si="119"/>
        <v>7628</v>
      </c>
      <c r="B7628" s="924">
        <v>17.7</v>
      </c>
    </row>
    <row r="7629" spans="1:2" x14ac:dyDescent="0.25">
      <c r="A7629" s="924">
        <f t="shared" si="119"/>
        <v>7629</v>
      </c>
      <c r="B7629" s="924">
        <v>17.8</v>
      </c>
    </row>
    <row r="7630" spans="1:2" x14ac:dyDescent="0.25">
      <c r="A7630" s="924">
        <f t="shared" si="119"/>
        <v>7630</v>
      </c>
      <c r="B7630" s="924">
        <v>17.8</v>
      </c>
    </row>
    <row r="7631" spans="1:2" x14ac:dyDescent="0.25">
      <c r="A7631" s="924">
        <f t="shared" si="119"/>
        <v>7631</v>
      </c>
      <c r="B7631" s="924">
        <v>17.8</v>
      </c>
    </row>
    <row r="7632" spans="1:2" x14ac:dyDescent="0.25">
      <c r="A7632" s="924">
        <f t="shared" si="119"/>
        <v>7632</v>
      </c>
      <c r="B7632" s="924">
        <v>17.8</v>
      </c>
    </row>
    <row r="7633" spans="1:2" x14ac:dyDescent="0.25">
      <c r="A7633" s="924">
        <f t="shared" si="119"/>
        <v>7633</v>
      </c>
      <c r="B7633" s="924">
        <v>17.8</v>
      </c>
    </row>
    <row r="7634" spans="1:2" x14ac:dyDescent="0.25">
      <c r="A7634" s="924">
        <f t="shared" si="119"/>
        <v>7634</v>
      </c>
      <c r="B7634" s="924">
        <v>17.8</v>
      </c>
    </row>
    <row r="7635" spans="1:2" x14ac:dyDescent="0.25">
      <c r="A7635" s="924">
        <f t="shared" si="119"/>
        <v>7635</v>
      </c>
      <c r="B7635" s="924">
        <v>17.8</v>
      </c>
    </row>
    <row r="7636" spans="1:2" x14ac:dyDescent="0.25">
      <c r="A7636" s="924">
        <f t="shared" si="119"/>
        <v>7636</v>
      </c>
      <c r="B7636" s="924">
        <v>17.8</v>
      </c>
    </row>
    <row r="7637" spans="1:2" x14ac:dyDescent="0.25">
      <c r="A7637" s="924">
        <f t="shared" si="119"/>
        <v>7637</v>
      </c>
      <c r="B7637" s="924">
        <v>17.8</v>
      </c>
    </row>
    <row r="7638" spans="1:2" x14ac:dyDescent="0.25">
      <c r="A7638" s="924">
        <f t="shared" si="119"/>
        <v>7638</v>
      </c>
      <c r="B7638" s="924">
        <v>17.8</v>
      </c>
    </row>
    <row r="7639" spans="1:2" x14ac:dyDescent="0.25">
      <c r="A7639" s="924">
        <f t="shared" si="119"/>
        <v>7639</v>
      </c>
      <c r="B7639" s="924">
        <v>17.8</v>
      </c>
    </row>
    <row r="7640" spans="1:2" x14ac:dyDescent="0.25">
      <c r="A7640" s="924">
        <f t="shared" si="119"/>
        <v>7640</v>
      </c>
      <c r="B7640" s="924">
        <v>17.8</v>
      </c>
    </row>
    <row r="7641" spans="1:2" x14ac:dyDescent="0.25">
      <c r="A7641" s="924">
        <f t="shared" si="119"/>
        <v>7641</v>
      </c>
      <c r="B7641" s="924">
        <v>17.8</v>
      </c>
    </row>
    <row r="7642" spans="1:2" x14ac:dyDescent="0.25">
      <c r="A7642" s="924">
        <f t="shared" si="119"/>
        <v>7642</v>
      </c>
      <c r="B7642" s="924">
        <v>17.8</v>
      </c>
    </row>
    <row r="7643" spans="1:2" x14ac:dyDescent="0.25">
      <c r="A7643" s="924">
        <f t="shared" si="119"/>
        <v>7643</v>
      </c>
      <c r="B7643" s="924">
        <v>17.8</v>
      </c>
    </row>
    <row r="7644" spans="1:2" x14ac:dyDescent="0.25">
      <c r="A7644" s="924">
        <f t="shared" si="119"/>
        <v>7644</v>
      </c>
      <c r="B7644" s="924">
        <v>17.8</v>
      </c>
    </row>
    <row r="7645" spans="1:2" x14ac:dyDescent="0.25">
      <c r="A7645" s="924">
        <f t="shared" si="119"/>
        <v>7645</v>
      </c>
      <c r="B7645" s="924">
        <v>17.8</v>
      </c>
    </row>
    <row r="7646" spans="1:2" x14ac:dyDescent="0.25">
      <c r="A7646" s="924">
        <f t="shared" si="119"/>
        <v>7646</v>
      </c>
      <c r="B7646" s="924">
        <v>17.8</v>
      </c>
    </row>
    <row r="7647" spans="1:2" x14ac:dyDescent="0.25">
      <c r="A7647" s="924">
        <f t="shared" si="119"/>
        <v>7647</v>
      </c>
      <c r="B7647" s="924">
        <v>17.8</v>
      </c>
    </row>
    <row r="7648" spans="1:2" x14ac:dyDescent="0.25">
      <c r="A7648" s="924">
        <f t="shared" si="119"/>
        <v>7648</v>
      </c>
      <c r="B7648" s="924">
        <v>17.899999999999999</v>
      </c>
    </row>
    <row r="7649" spans="1:2" x14ac:dyDescent="0.25">
      <c r="A7649" s="924">
        <f t="shared" si="119"/>
        <v>7649</v>
      </c>
      <c r="B7649" s="924">
        <v>17.899999999999999</v>
      </c>
    </row>
    <row r="7650" spans="1:2" x14ac:dyDescent="0.25">
      <c r="A7650" s="924">
        <f t="shared" si="119"/>
        <v>7650</v>
      </c>
      <c r="B7650" s="924">
        <v>17.899999999999999</v>
      </c>
    </row>
    <row r="7651" spans="1:2" x14ac:dyDescent="0.25">
      <c r="A7651" s="924">
        <f t="shared" si="119"/>
        <v>7651</v>
      </c>
      <c r="B7651" s="924">
        <v>17.899999999999999</v>
      </c>
    </row>
    <row r="7652" spans="1:2" x14ac:dyDescent="0.25">
      <c r="A7652" s="924">
        <f t="shared" si="119"/>
        <v>7652</v>
      </c>
      <c r="B7652" s="924">
        <v>17.899999999999999</v>
      </c>
    </row>
    <row r="7653" spans="1:2" x14ac:dyDescent="0.25">
      <c r="A7653" s="924">
        <f t="shared" si="119"/>
        <v>7653</v>
      </c>
      <c r="B7653" s="924">
        <v>17.899999999999999</v>
      </c>
    </row>
    <row r="7654" spans="1:2" x14ac:dyDescent="0.25">
      <c r="A7654" s="924">
        <f t="shared" si="119"/>
        <v>7654</v>
      </c>
      <c r="B7654" s="924">
        <v>17.899999999999999</v>
      </c>
    </row>
    <row r="7655" spans="1:2" x14ac:dyDescent="0.25">
      <c r="A7655" s="924">
        <f t="shared" si="119"/>
        <v>7655</v>
      </c>
      <c r="B7655" s="924">
        <v>17.899999999999999</v>
      </c>
    </row>
    <row r="7656" spans="1:2" x14ac:dyDescent="0.25">
      <c r="A7656" s="924">
        <f t="shared" si="119"/>
        <v>7656</v>
      </c>
      <c r="B7656" s="924">
        <v>17.899999999999999</v>
      </c>
    </row>
    <row r="7657" spans="1:2" x14ac:dyDescent="0.25">
      <c r="A7657" s="924">
        <f t="shared" si="119"/>
        <v>7657</v>
      </c>
      <c r="B7657" s="924">
        <v>17.899999999999999</v>
      </c>
    </row>
    <row r="7658" spans="1:2" x14ac:dyDescent="0.25">
      <c r="A7658" s="924">
        <f t="shared" si="119"/>
        <v>7658</v>
      </c>
      <c r="B7658" s="924">
        <v>17.899999999999999</v>
      </c>
    </row>
    <row r="7659" spans="1:2" x14ac:dyDescent="0.25">
      <c r="A7659" s="924">
        <f t="shared" si="119"/>
        <v>7659</v>
      </c>
      <c r="B7659" s="924">
        <v>17.899999999999999</v>
      </c>
    </row>
    <row r="7660" spans="1:2" x14ac:dyDescent="0.25">
      <c r="A7660" s="924">
        <f t="shared" si="119"/>
        <v>7660</v>
      </c>
      <c r="B7660" s="924">
        <v>17.899999999999999</v>
      </c>
    </row>
    <row r="7661" spans="1:2" x14ac:dyDescent="0.25">
      <c r="A7661" s="924">
        <f t="shared" si="119"/>
        <v>7661</v>
      </c>
      <c r="B7661" s="924">
        <v>17.899999999999999</v>
      </c>
    </row>
    <row r="7662" spans="1:2" x14ac:dyDescent="0.25">
      <c r="A7662" s="924">
        <f t="shared" si="119"/>
        <v>7662</v>
      </c>
      <c r="B7662" s="924">
        <v>17.899999999999999</v>
      </c>
    </row>
    <row r="7663" spans="1:2" x14ac:dyDescent="0.25">
      <c r="A7663" s="924">
        <f t="shared" si="119"/>
        <v>7663</v>
      </c>
      <c r="B7663" s="924">
        <v>17.899999999999999</v>
      </c>
    </row>
    <row r="7664" spans="1:2" x14ac:dyDescent="0.25">
      <c r="A7664" s="924">
        <f t="shared" si="119"/>
        <v>7664</v>
      </c>
      <c r="B7664" s="924">
        <v>17.899999999999999</v>
      </c>
    </row>
    <row r="7665" spans="1:2" x14ac:dyDescent="0.25">
      <c r="A7665" s="924">
        <f t="shared" si="119"/>
        <v>7665</v>
      </c>
      <c r="B7665" s="924">
        <v>17.899999999999999</v>
      </c>
    </row>
    <row r="7666" spans="1:2" x14ac:dyDescent="0.25">
      <c r="A7666" s="924">
        <f t="shared" si="119"/>
        <v>7666</v>
      </c>
      <c r="B7666" s="924">
        <v>17.899999999999999</v>
      </c>
    </row>
    <row r="7667" spans="1:2" x14ac:dyDescent="0.25">
      <c r="A7667" s="924">
        <f t="shared" si="119"/>
        <v>7667</v>
      </c>
      <c r="B7667" s="924">
        <v>17.899999999999999</v>
      </c>
    </row>
    <row r="7668" spans="1:2" x14ac:dyDescent="0.25">
      <c r="A7668" s="924">
        <f t="shared" si="119"/>
        <v>7668</v>
      </c>
      <c r="B7668" s="924">
        <v>17.899999999999999</v>
      </c>
    </row>
    <row r="7669" spans="1:2" x14ac:dyDescent="0.25">
      <c r="A7669" s="924">
        <f t="shared" si="119"/>
        <v>7669</v>
      </c>
      <c r="B7669" s="924">
        <v>17.899999999999999</v>
      </c>
    </row>
    <row r="7670" spans="1:2" x14ac:dyDescent="0.25">
      <c r="A7670" s="924">
        <f t="shared" si="119"/>
        <v>7670</v>
      </c>
      <c r="B7670" s="924">
        <v>17.899999999999999</v>
      </c>
    </row>
    <row r="7671" spans="1:2" x14ac:dyDescent="0.25">
      <c r="A7671" s="924">
        <f t="shared" si="119"/>
        <v>7671</v>
      </c>
      <c r="B7671" s="924">
        <v>17.899999999999999</v>
      </c>
    </row>
    <row r="7672" spans="1:2" x14ac:dyDescent="0.25">
      <c r="A7672" s="924">
        <f t="shared" si="119"/>
        <v>7672</v>
      </c>
      <c r="B7672" s="924">
        <v>17.899999999999999</v>
      </c>
    </row>
    <row r="7673" spans="1:2" x14ac:dyDescent="0.25">
      <c r="A7673" s="924">
        <f t="shared" si="119"/>
        <v>7673</v>
      </c>
      <c r="B7673" s="924">
        <v>17.899999999999999</v>
      </c>
    </row>
    <row r="7674" spans="1:2" x14ac:dyDescent="0.25">
      <c r="A7674" s="924">
        <f t="shared" si="119"/>
        <v>7674</v>
      </c>
      <c r="B7674" s="924">
        <v>17.899999999999999</v>
      </c>
    </row>
    <row r="7675" spans="1:2" x14ac:dyDescent="0.25">
      <c r="A7675" s="924">
        <f t="shared" si="119"/>
        <v>7675</v>
      </c>
      <c r="B7675" s="924">
        <v>17.899999999999999</v>
      </c>
    </row>
    <row r="7676" spans="1:2" x14ac:dyDescent="0.25">
      <c r="A7676" s="924">
        <f t="shared" si="119"/>
        <v>7676</v>
      </c>
      <c r="B7676" s="924">
        <v>17.899999999999999</v>
      </c>
    </row>
    <row r="7677" spans="1:2" x14ac:dyDescent="0.25">
      <c r="A7677" s="924">
        <f t="shared" si="119"/>
        <v>7677</v>
      </c>
      <c r="B7677" s="924">
        <v>17.899999999999999</v>
      </c>
    </row>
    <row r="7678" spans="1:2" x14ac:dyDescent="0.25">
      <c r="A7678" s="924">
        <f t="shared" si="119"/>
        <v>7678</v>
      </c>
      <c r="B7678" s="924">
        <v>18</v>
      </c>
    </row>
    <row r="7679" spans="1:2" x14ac:dyDescent="0.25">
      <c r="A7679" s="924">
        <f t="shared" si="119"/>
        <v>7679</v>
      </c>
      <c r="B7679" s="924">
        <v>18</v>
      </c>
    </row>
    <row r="7680" spans="1:2" x14ac:dyDescent="0.25">
      <c r="A7680" s="924">
        <f t="shared" si="119"/>
        <v>7680</v>
      </c>
      <c r="B7680" s="924">
        <v>18</v>
      </c>
    </row>
    <row r="7681" spans="1:2" x14ac:dyDescent="0.25">
      <c r="A7681" s="924">
        <f t="shared" si="119"/>
        <v>7681</v>
      </c>
      <c r="B7681" s="924">
        <v>18</v>
      </c>
    </row>
    <row r="7682" spans="1:2" x14ac:dyDescent="0.25">
      <c r="A7682" s="924">
        <f t="shared" si="119"/>
        <v>7682</v>
      </c>
      <c r="B7682" s="924">
        <v>18</v>
      </c>
    </row>
    <row r="7683" spans="1:2" x14ac:dyDescent="0.25">
      <c r="A7683" s="924">
        <f t="shared" ref="A7683:A7746" si="120">A7682+1</f>
        <v>7683</v>
      </c>
      <c r="B7683" s="924">
        <v>18</v>
      </c>
    </row>
    <row r="7684" spans="1:2" x14ac:dyDescent="0.25">
      <c r="A7684" s="924">
        <f t="shared" si="120"/>
        <v>7684</v>
      </c>
      <c r="B7684" s="924">
        <v>18</v>
      </c>
    </row>
    <row r="7685" spans="1:2" x14ac:dyDescent="0.25">
      <c r="A7685" s="924">
        <f t="shared" si="120"/>
        <v>7685</v>
      </c>
      <c r="B7685" s="924">
        <v>18</v>
      </c>
    </row>
    <row r="7686" spans="1:2" x14ac:dyDescent="0.25">
      <c r="A7686" s="924">
        <f t="shared" si="120"/>
        <v>7686</v>
      </c>
      <c r="B7686" s="924">
        <v>18</v>
      </c>
    </row>
    <row r="7687" spans="1:2" x14ac:dyDescent="0.25">
      <c r="A7687" s="924">
        <f t="shared" si="120"/>
        <v>7687</v>
      </c>
      <c r="B7687" s="924">
        <v>18</v>
      </c>
    </row>
    <row r="7688" spans="1:2" x14ac:dyDescent="0.25">
      <c r="A7688" s="924">
        <f t="shared" si="120"/>
        <v>7688</v>
      </c>
      <c r="B7688" s="924">
        <v>18</v>
      </c>
    </row>
    <row r="7689" spans="1:2" x14ac:dyDescent="0.25">
      <c r="A7689" s="924">
        <f t="shared" si="120"/>
        <v>7689</v>
      </c>
      <c r="B7689" s="924">
        <v>18</v>
      </c>
    </row>
    <row r="7690" spans="1:2" x14ac:dyDescent="0.25">
      <c r="A7690" s="924">
        <f t="shared" si="120"/>
        <v>7690</v>
      </c>
      <c r="B7690" s="924">
        <v>18</v>
      </c>
    </row>
    <row r="7691" spans="1:2" x14ac:dyDescent="0.25">
      <c r="A7691" s="924">
        <f t="shared" si="120"/>
        <v>7691</v>
      </c>
      <c r="B7691" s="924">
        <v>18</v>
      </c>
    </row>
    <row r="7692" spans="1:2" x14ac:dyDescent="0.25">
      <c r="A7692" s="924">
        <f t="shared" si="120"/>
        <v>7692</v>
      </c>
      <c r="B7692" s="924">
        <v>18</v>
      </c>
    </row>
    <row r="7693" spans="1:2" x14ac:dyDescent="0.25">
      <c r="A7693" s="924">
        <f t="shared" si="120"/>
        <v>7693</v>
      </c>
      <c r="B7693" s="924">
        <v>18</v>
      </c>
    </row>
    <row r="7694" spans="1:2" x14ac:dyDescent="0.25">
      <c r="A7694" s="924">
        <f t="shared" si="120"/>
        <v>7694</v>
      </c>
      <c r="B7694" s="924">
        <v>18</v>
      </c>
    </row>
    <row r="7695" spans="1:2" x14ac:dyDescent="0.25">
      <c r="A7695" s="924">
        <f t="shared" si="120"/>
        <v>7695</v>
      </c>
      <c r="B7695" s="924">
        <v>18</v>
      </c>
    </row>
    <row r="7696" spans="1:2" x14ac:dyDescent="0.25">
      <c r="A7696" s="924">
        <f t="shared" si="120"/>
        <v>7696</v>
      </c>
      <c r="B7696" s="924">
        <v>18</v>
      </c>
    </row>
    <row r="7697" spans="1:2" x14ac:dyDescent="0.25">
      <c r="A7697" s="924">
        <f t="shared" si="120"/>
        <v>7697</v>
      </c>
      <c r="B7697" s="924">
        <v>18</v>
      </c>
    </row>
    <row r="7698" spans="1:2" x14ac:dyDescent="0.25">
      <c r="A7698" s="924">
        <f t="shared" si="120"/>
        <v>7698</v>
      </c>
      <c r="B7698" s="924">
        <v>18</v>
      </c>
    </row>
    <row r="7699" spans="1:2" x14ac:dyDescent="0.25">
      <c r="A7699" s="924">
        <f t="shared" si="120"/>
        <v>7699</v>
      </c>
      <c r="B7699" s="924">
        <v>18</v>
      </c>
    </row>
    <row r="7700" spans="1:2" x14ac:dyDescent="0.25">
      <c r="A7700" s="924">
        <f t="shared" si="120"/>
        <v>7700</v>
      </c>
      <c r="B7700" s="924">
        <v>18</v>
      </c>
    </row>
    <row r="7701" spans="1:2" x14ac:dyDescent="0.25">
      <c r="A7701" s="924">
        <f t="shared" si="120"/>
        <v>7701</v>
      </c>
      <c r="B7701" s="924">
        <v>18</v>
      </c>
    </row>
    <row r="7702" spans="1:2" x14ac:dyDescent="0.25">
      <c r="A7702" s="924">
        <f t="shared" si="120"/>
        <v>7702</v>
      </c>
      <c r="B7702" s="924">
        <v>18</v>
      </c>
    </row>
    <row r="7703" spans="1:2" x14ac:dyDescent="0.25">
      <c r="A7703" s="924">
        <f t="shared" si="120"/>
        <v>7703</v>
      </c>
      <c r="B7703" s="924">
        <v>18.100000000000001</v>
      </c>
    </row>
    <row r="7704" spans="1:2" x14ac:dyDescent="0.25">
      <c r="A7704" s="924">
        <f t="shared" si="120"/>
        <v>7704</v>
      </c>
      <c r="B7704" s="924">
        <v>18.100000000000001</v>
      </c>
    </row>
    <row r="7705" spans="1:2" x14ac:dyDescent="0.25">
      <c r="A7705" s="924">
        <f t="shared" si="120"/>
        <v>7705</v>
      </c>
      <c r="B7705" s="924">
        <v>18.100000000000001</v>
      </c>
    </row>
    <row r="7706" spans="1:2" x14ac:dyDescent="0.25">
      <c r="A7706" s="924">
        <f t="shared" si="120"/>
        <v>7706</v>
      </c>
      <c r="B7706" s="924">
        <v>18.100000000000001</v>
      </c>
    </row>
    <row r="7707" spans="1:2" x14ac:dyDescent="0.25">
      <c r="A7707" s="924">
        <f t="shared" si="120"/>
        <v>7707</v>
      </c>
      <c r="B7707" s="924">
        <v>18.100000000000001</v>
      </c>
    </row>
    <row r="7708" spans="1:2" x14ac:dyDescent="0.25">
      <c r="A7708" s="924">
        <f t="shared" si="120"/>
        <v>7708</v>
      </c>
      <c r="B7708" s="924">
        <v>18.100000000000001</v>
      </c>
    </row>
    <row r="7709" spans="1:2" x14ac:dyDescent="0.25">
      <c r="A7709" s="924">
        <f t="shared" si="120"/>
        <v>7709</v>
      </c>
      <c r="B7709" s="924">
        <v>18.100000000000001</v>
      </c>
    </row>
    <row r="7710" spans="1:2" x14ac:dyDescent="0.25">
      <c r="A7710" s="924">
        <f t="shared" si="120"/>
        <v>7710</v>
      </c>
      <c r="B7710" s="924">
        <v>18.100000000000001</v>
      </c>
    </row>
    <row r="7711" spans="1:2" x14ac:dyDescent="0.25">
      <c r="A7711" s="924">
        <f t="shared" si="120"/>
        <v>7711</v>
      </c>
      <c r="B7711" s="924">
        <v>18.100000000000001</v>
      </c>
    </row>
    <row r="7712" spans="1:2" x14ac:dyDescent="0.25">
      <c r="A7712" s="924">
        <f t="shared" si="120"/>
        <v>7712</v>
      </c>
      <c r="B7712" s="924">
        <v>18.100000000000001</v>
      </c>
    </row>
    <row r="7713" spans="1:2" x14ac:dyDescent="0.25">
      <c r="A7713" s="924">
        <f t="shared" si="120"/>
        <v>7713</v>
      </c>
      <c r="B7713" s="924">
        <v>18.100000000000001</v>
      </c>
    </row>
    <row r="7714" spans="1:2" x14ac:dyDescent="0.25">
      <c r="A7714" s="924">
        <f t="shared" si="120"/>
        <v>7714</v>
      </c>
      <c r="B7714" s="924">
        <v>18.100000000000001</v>
      </c>
    </row>
    <row r="7715" spans="1:2" x14ac:dyDescent="0.25">
      <c r="A7715" s="924">
        <f t="shared" si="120"/>
        <v>7715</v>
      </c>
      <c r="B7715" s="924">
        <v>18.100000000000001</v>
      </c>
    </row>
    <row r="7716" spans="1:2" x14ac:dyDescent="0.25">
      <c r="A7716" s="924">
        <f t="shared" si="120"/>
        <v>7716</v>
      </c>
      <c r="B7716" s="924">
        <v>18.100000000000001</v>
      </c>
    </row>
    <row r="7717" spans="1:2" x14ac:dyDescent="0.25">
      <c r="A7717" s="924">
        <f t="shared" si="120"/>
        <v>7717</v>
      </c>
      <c r="B7717" s="924">
        <v>18.100000000000001</v>
      </c>
    </row>
    <row r="7718" spans="1:2" x14ac:dyDescent="0.25">
      <c r="A7718" s="924">
        <f t="shared" si="120"/>
        <v>7718</v>
      </c>
      <c r="B7718" s="924">
        <v>18.2</v>
      </c>
    </row>
    <row r="7719" spans="1:2" x14ac:dyDescent="0.25">
      <c r="A7719" s="924">
        <f t="shared" si="120"/>
        <v>7719</v>
      </c>
      <c r="B7719" s="924">
        <v>18.2</v>
      </c>
    </row>
    <row r="7720" spans="1:2" x14ac:dyDescent="0.25">
      <c r="A7720" s="924">
        <f t="shared" si="120"/>
        <v>7720</v>
      </c>
      <c r="B7720" s="924">
        <v>18.2</v>
      </c>
    </row>
    <row r="7721" spans="1:2" x14ac:dyDescent="0.25">
      <c r="A7721" s="924">
        <f t="shared" si="120"/>
        <v>7721</v>
      </c>
      <c r="B7721" s="924">
        <v>18.2</v>
      </c>
    </row>
    <row r="7722" spans="1:2" x14ac:dyDescent="0.25">
      <c r="A7722" s="924">
        <f t="shared" si="120"/>
        <v>7722</v>
      </c>
      <c r="B7722" s="924">
        <v>18.2</v>
      </c>
    </row>
    <row r="7723" spans="1:2" x14ac:dyDescent="0.25">
      <c r="A7723" s="924">
        <f t="shared" si="120"/>
        <v>7723</v>
      </c>
      <c r="B7723" s="924">
        <v>18.2</v>
      </c>
    </row>
    <row r="7724" spans="1:2" x14ac:dyDescent="0.25">
      <c r="A7724" s="924">
        <f t="shared" si="120"/>
        <v>7724</v>
      </c>
      <c r="B7724" s="924">
        <v>18.2</v>
      </c>
    </row>
    <row r="7725" spans="1:2" x14ac:dyDescent="0.25">
      <c r="A7725" s="924">
        <f t="shared" si="120"/>
        <v>7725</v>
      </c>
      <c r="B7725" s="924">
        <v>18.2</v>
      </c>
    </row>
    <row r="7726" spans="1:2" x14ac:dyDescent="0.25">
      <c r="A7726" s="924">
        <f t="shared" si="120"/>
        <v>7726</v>
      </c>
      <c r="B7726" s="924">
        <v>18.2</v>
      </c>
    </row>
    <row r="7727" spans="1:2" x14ac:dyDescent="0.25">
      <c r="A7727" s="924">
        <f t="shared" si="120"/>
        <v>7727</v>
      </c>
      <c r="B7727" s="924">
        <v>18.2</v>
      </c>
    </row>
    <row r="7728" spans="1:2" x14ac:dyDescent="0.25">
      <c r="A7728" s="924">
        <f t="shared" si="120"/>
        <v>7728</v>
      </c>
      <c r="B7728" s="924">
        <v>18.2</v>
      </c>
    </row>
    <row r="7729" spans="1:2" x14ac:dyDescent="0.25">
      <c r="A7729" s="924">
        <f t="shared" si="120"/>
        <v>7729</v>
      </c>
      <c r="B7729" s="924">
        <v>18.2</v>
      </c>
    </row>
    <row r="7730" spans="1:2" x14ac:dyDescent="0.25">
      <c r="A7730" s="924">
        <f t="shared" si="120"/>
        <v>7730</v>
      </c>
      <c r="B7730" s="924">
        <v>18.2</v>
      </c>
    </row>
    <row r="7731" spans="1:2" x14ac:dyDescent="0.25">
      <c r="A7731" s="924">
        <f t="shared" si="120"/>
        <v>7731</v>
      </c>
      <c r="B7731" s="924">
        <v>18.2</v>
      </c>
    </row>
    <row r="7732" spans="1:2" x14ac:dyDescent="0.25">
      <c r="A7732" s="924">
        <f t="shared" si="120"/>
        <v>7732</v>
      </c>
      <c r="B7732" s="924">
        <v>18.2</v>
      </c>
    </row>
    <row r="7733" spans="1:2" x14ac:dyDescent="0.25">
      <c r="A7733" s="924">
        <f t="shared" si="120"/>
        <v>7733</v>
      </c>
      <c r="B7733" s="924">
        <v>18.2</v>
      </c>
    </row>
    <row r="7734" spans="1:2" x14ac:dyDescent="0.25">
      <c r="A7734" s="924">
        <f t="shared" si="120"/>
        <v>7734</v>
      </c>
      <c r="B7734" s="924">
        <v>18.2</v>
      </c>
    </row>
    <row r="7735" spans="1:2" x14ac:dyDescent="0.25">
      <c r="A7735" s="924">
        <f t="shared" si="120"/>
        <v>7735</v>
      </c>
      <c r="B7735" s="924">
        <v>18.2</v>
      </c>
    </row>
    <row r="7736" spans="1:2" x14ac:dyDescent="0.25">
      <c r="A7736" s="924">
        <f t="shared" si="120"/>
        <v>7736</v>
      </c>
      <c r="B7736" s="924">
        <v>18.2</v>
      </c>
    </row>
    <row r="7737" spans="1:2" x14ac:dyDescent="0.25">
      <c r="A7737" s="924">
        <f t="shared" si="120"/>
        <v>7737</v>
      </c>
      <c r="B7737" s="924">
        <v>18.2</v>
      </c>
    </row>
    <row r="7738" spans="1:2" x14ac:dyDescent="0.25">
      <c r="A7738" s="924">
        <f t="shared" si="120"/>
        <v>7738</v>
      </c>
      <c r="B7738" s="924">
        <v>18.2</v>
      </c>
    </row>
    <row r="7739" spans="1:2" x14ac:dyDescent="0.25">
      <c r="A7739" s="924">
        <f t="shared" si="120"/>
        <v>7739</v>
      </c>
      <c r="B7739" s="924">
        <v>18.2</v>
      </c>
    </row>
    <row r="7740" spans="1:2" x14ac:dyDescent="0.25">
      <c r="A7740" s="924">
        <f t="shared" si="120"/>
        <v>7740</v>
      </c>
      <c r="B7740" s="924">
        <v>18.2</v>
      </c>
    </row>
    <row r="7741" spans="1:2" x14ac:dyDescent="0.25">
      <c r="A7741" s="924">
        <f t="shared" si="120"/>
        <v>7741</v>
      </c>
      <c r="B7741" s="924">
        <v>18.3</v>
      </c>
    </row>
    <row r="7742" spans="1:2" x14ac:dyDescent="0.25">
      <c r="A7742" s="924">
        <f t="shared" si="120"/>
        <v>7742</v>
      </c>
      <c r="B7742" s="924">
        <v>18.3</v>
      </c>
    </row>
    <row r="7743" spans="1:2" x14ac:dyDescent="0.25">
      <c r="A7743" s="924">
        <f t="shared" si="120"/>
        <v>7743</v>
      </c>
      <c r="B7743" s="924">
        <v>18.3</v>
      </c>
    </row>
    <row r="7744" spans="1:2" x14ac:dyDescent="0.25">
      <c r="A7744" s="924">
        <f t="shared" si="120"/>
        <v>7744</v>
      </c>
      <c r="B7744" s="924">
        <v>18.3</v>
      </c>
    </row>
    <row r="7745" spans="1:2" x14ac:dyDescent="0.25">
      <c r="A7745" s="924">
        <f t="shared" si="120"/>
        <v>7745</v>
      </c>
      <c r="B7745" s="924">
        <v>18.3</v>
      </c>
    </row>
    <row r="7746" spans="1:2" x14ac:dyDescent="0.25">
      <c r="A7746" s="924">
        <f t="shared" si="120"/>
        <v>7746</v>
      </c>
      <c r="B7746" s="924">
        <v>18.3</v>
      </c>
    </row>
    <row r="7747" spans="1:2" x14ac:dyDescent="0.25">
      <c r="A7747" s="924">
        <f t="shared" ref="A7747:A7810" si="121">A7746+1</f>
        <v>7747</v>
      </c>
      <c r="B7747" s="924">
        <v>18.3</v>
      </c>
    </row>
    <row r="7748" spans="1:2" x14ac:dyDescent="0.25">
      <c r="A7748" s="924">
        <f t="shared" si="121"/>
        <v>7748</v>
      </c>
      <c r="B7748" s="924">
        <v>18.3</v>
      </c>
    </row>
    <row r="7749" spans="1:2" x14ac:dyDescent="0.25">
      <c r="A7749" s="924">
        <f t="shared" si="121"/>
        <v>7749</v>
      </c>
      <c r="B7749" s="924">
        <v>18.3</v>
      </c>
    </row>
    <row r="7750" spans="1:2" x14ac:dyDescent="0.25">
      <c r="A7750" s="924">
        <f t="shared" si="121"/>
        <v>7750</v>
      </c>
      <c r="B7750" s="924">
        <v>18.3</v>
      </c>
    </row>
    <row r="7751" spans="1:2" x14ac:dyDescent="0.25">
      <c r="A7751" s="924">
        <f t="shared" si="121"/>
        <v>7751</v>
      </c>
      <c r="B7751" s="924">
        <v>18.3</v>
      </c>
    </row>
    <row r="7752" spans="1:2" x14ac:dyDescent="0.25">
      <c r="A7752" s="924">
        <f t="shared" si="121"/>
        <v>7752</v>
      </c>
      <c r="B7752" s="924">
        <v>18.3</v>
      </c>
    </row>
    <row r="7753" spans="1:2" x14ac:dyDescent="0.25">
      <c r="A7753" s="924">
        <f t="shared" si="121"/>
        <v>7753</v>
      </c>
      <c r="B7753" s="924">
        <v>18.3</v>
      </c>
    </row>
    <row r="7754" spans="1:2" x14ac:dyDescent="0.25">
      <c r="A7754" s="924">
        <f t="shared" si="121"/>
        <v>7754</v>
      </c>
      <c r="B7754" s="924">
        <v>18.3</v>
      </c>
    </row>
    <row r="7755" spans="1:2" x14ac:dyDescent="0.25">
      <c r="A7755" s="924">
        <f t="shared" si="121"/>
        <v>7755</v>
      </c>
      <c r="B7755" s="924">
        <v>18.3</v>
      </c>
    </row>
    <row r="7756" spans="1:2" x14ac:dyDescent="0.25">
      <c r="A7756" s="924">
        <f t="shared" si="121"/>
        <v>7756</v>
      </c>
      <c r="B7756" s="924">
        <v>18.3</v>
      </c>
    </row>
    <row r="7757" spans="1:2" x14ac:dyDescent="0.25">
      <c r="A7757" s="924">
        <f t="shared" si="121"/>
        <v>7757</v>
      </c>
      <c r="B7757" s="924">
        <v>18.3</v>
      </c>
    </row>
    <row r="7758" spans="1:2" x14ac:dyDescent="0.25">
      <c r="A7758" s="924">
        <f t="shared" si="121"/>
        <v>7758</v>
      </c>
      <c r="B7758" s="924">
        <v>18.3</v>
      </c>
    </row>
    <row r="7759" spans="1:2" x14ac:dyDescent="0.25">
      <c r="A7759" s="924">
        <f t="shared" si="121"/>
        <v>7759</v>
      </c>
      <c r="B7759" s="924">
        <v>18.3</v>
      </c>
    </row>
    <row r="7760" spans="1:2" x14ac:dyDescent="0.25">
      <c r="A7760" s="924">
        <f t="shared" si="121"/>
        <v>7760</v>
      </c>
      <c r="B7760" s="924">
        <v>18.3</v>
      </c>
    </row>
    <row r="7761" spans="1:2" x14ac:dyDescent="0.25">
      <c r="A7761" s="924">
        <f t="shared" si="121"/>
        <v>7761</v>
      </c>
      <c r="B7761" s="924">
        <v>18.3</v>
      </c>
    </row>
    <row r="7762" spans="1:2" x14ac:dyDescent="0.25">
      <c r="A7762" s="924">
        <f t="shared" si="121"/>
        <v>7762</v>
      </c>
      <c r="B7762" s="924">
        <v>18.3</v>
      </c>
    </row>
    <row r="7763" spans="1:2" x14ac:dyDescent="0.25">
      <c r="A7763" s="924">
        <f t="shared" si="121"/>
        <v>7763</v>
      </c>
      <c r="B7763" s="924">
        <v>18.3</v>
      </c>
    </row>
    <row r="7764" spans="1:2" x14ac:dyDescent="0.25">
      <c r="A7764" s="924">
        <f t="shared" si="121"/>
        <v>7764</v>
      </c>
      <c r="B7764" s="924">
        <v>18.3</v>
      </c>
    </row>
    <row r="7765" spans="1:2" x14ac:dyDescent="0.25">
      <c r="A7765" s="924">
        <f t="shared" si="121"/>
        <v>7765</v>
      </c>
      <c r="B7765" s="924">
        <v>18.399999999999999</v>
      </c>
    </row>
    <row r="7766" spans="1:2" x14ac:dyDescent="0.25">
      <c r="A7766" s="924">
        <f t="shared" si="121"/>
        <v>7766</v>
      </c>
      <c r="B7766" s="924">
        <v>18.399999999999999</v>
      </c>
    </row>
    <row r="7767" spans="1:2" x14ac:dyDescent="0.25">
      <c r="A7767" s="924">
        <f t="shared" si="121"/>
        <v>7767</v>
      </c>
      <c r="B7767" s="924">
        <v>18.399999999999999</v>
      </c>
    </row>
    <row r="7768" spans="1:2" x14ac:dyDescent="0.25">
      <c r="A7768" s="924">
        <f t="shared" si="121"/>
        <v>7768</v>
      </c>
      <c r="B7768" s="924">
        <v>18.399999999999999</v>
      </c>
    </row>
    <row r="7769" spans="1:2" x14ac:dyDescent="0.25">
      <c r="A7769" s="924">
        <f t="shared" si="121"/>
        <v>7769</v>
      </c>
      <c r="B7769" s="924">
        <v>18.399999999999999</v>
      </c>
    </row>
    <row r="7770" spans="1:2" x14ac:dyDescent="0.25">
      <c r="A7770" s="924">
        <f t="shared" si="121"/>
        <v>7770</v>
      </c>
      <c r="B7770" s="924">
        <v>18.399999999999999</v>
      </c>
    </row>
    <row r="7771" spans="1:2" x14ac:dyDescent="0.25">
      <c r="A7771" s="924">
        <f t="shared" si="121"/>
        <v>7771</v>
      </c>
      <c r="B7771" s="924">
        <v>18.399999999999999</v>
      </c>
    </row>
    <row r="7772" spans="1:2" x14ac:dyDescent="0.25">
      <c r="A7772" s="924">
        <f t="shared" si="121"/>
        <v>7772</v>
      </c>
      <c r="B7772" s="924">
        <v>18.399999999999999</v>
      </c>
    </row>
    <row r="7773" spans="1:2" x14ac:dyDescent="0.25">
      <c r="A7773" s="924">
        <f t="shared" si="121"/>
        <v>7773</v>
      </c>
      <c r="B7773" s="924">
        <v>18.399999999999999</v>
      </c>
    </row>
    <row r="7774" spans="1:2" x14ac:dyDescent="0.25">
      <c r="A7774" s="924">
        <f t="shared" si="121"/>
        <v>7774</v>
      </c>
      <c r="B7774" s="924">
        <v>18.399999999999999</v>
      </c>
    </row>
    <row r="7775" spans="1:2" x14ac:dyDescent="0.25">
      <c r="A7775" s="924">
        <f t="shared" si="121"/>
        <v>7775</v>
      </c>
      <c r="B7775" s="924">
        <v>18.399999999999999</v>
      </c>
    </row>
    <row r="7776" spans="1:2" x14ac:dyDescent="0.25">
      <c r="A7776" s="924">
        <f t="shared" si="121"/>
        <v>7776</v>
      </c>
      <c r="B7776" s="924">
        <v>18.399999999999999</v>
      </c>
    </row>
    <row r="7777" spans="1:2" x14ac:dyDescent="0.25">
      <c r="A7777" s="924">
        <f t="shared" si="121"/>
        <v>7777</v>
      </c>
      <c r="B7777" s="924">
        <v>18.399999999999999</v>
      </c>
    </row>
    <row r="7778" spans="1:2" x14ac:dyDescent="0.25">
      <c r="A7778" s="924">
        <f t="shared" si="121"/>
        <v>7778</v>
      </c>
      <c r="B7778" s="924">
        <v>18.399999999999999</v>
      </c>
    </row>
    <row r="7779" spans="1:2" x14ac:dyDescent="0.25">
      <c r="A7779" s="924">
        <f t="shared" si="121"/>
        <v>7779</v>
      </c>
      <c r="B7779" s="924">
        <v>18.399999999999999</v>
      </c>
    </row>
    <row r="7780" spans="1:2" x14ac:dyDescent="0.25">
      <c r="A7780" s="924">
        <f t="shared" si="121"/>
        <v>7780</v>
      </c>
      <c r="B7780" s="924">
        <v>18.399999999999999</v>
      </c>
    </row>
    <row r="7781" spans="1:2" x14ac:dyDescent="0.25">
      <c r="A7781" s="924">
        <f t="shared" si="121"/>
        <v>7781</v>
      </c>
      <c r="B7781" s="924">
        <v>18.399999999999999</v>
      </c>
    </row>
    <row r="7782" spans="1:2" x14ac:dyDescent="0.25">
      <c r="A7782" s="924">
        <f t="shared" si="121"/>
        <v>7782</v>
      </c>
      <c r="B7782" s="924">
        <v>18.399999999999999</v>
      </c>
    </row>
    <row r="7783" spans="1:2" x14ac:dyDescent="0.25">
      <c r="A7783" s="924">
        <f t="shared" si="121"/>
        <v>7783</v>
      </c>
      <c r="B7783" s="924">
        <v>18.399999999999999</v>
      </c>
    </row>
    <row r="7784" spans="1:2" x14ac:dyDescent="0.25">
      <c r="A7784" s="924">
        <f t="shared" si="121"/>
        <v>7784</v>
      </c>
      <c r="B7784" s="924">
        <v>18.399999999999999</v>
      </c>
    </row>
    <row r="7785" spans="1:2" x14ac:dyDescent="0.25">
      <c r="A7785" s="924">
        <f t="shared" si="121"/>
        <v>7785</v>
      </c>
      <c r="B7785" s="924">
        <v>18.5</v>
      </c>
    </row>
    <row r="7786" spans="1:2" x14ac:dyDescent="0.25">
      <c r="A7786" s="924">
        <f t="shared" si="121"/>
        <v>7786</v>
      </c>
      <c r="B7786" s="924">
        <v>18.5</v>
      </c>
    </row>
    <row r="7787" spans="1:2" x14ac:dyDescent="0.25">
      <c r="A7787" s="924">
        <f t="shared" si="121"/>
        <v>7787</v>
      </c>
      <c r="B7787" s="924">
        <v>18.5</v>
      </c>
    </row>
    <row r="7788" spans="1:2" x14ac:dyDescent="0.25">
      <c r="A7788" s="924">
        <f t="shared" si="121"/>
        <v>7788</v>
      </c>
      <c r="B7788" s="924">
        <v>18.5</v>
      </c>
    </row>
    <row r="7789" spans="1:2" x14ac:dyDescent="0.25">
      <c r="A7789" s="924">
        <f t="shared" si="121"/>
        <v>7789</v>
      </c>
      <c r="B7789" s="924">
        <v>18.5</v>
      </c>
    </row>
    <row r="7790" spans="1:2" x14ac:dyDescent="0.25">
      <c r="A7790" s="924">
        <f t="shared" si="121"/>
        <v>7790</v>
      </c>
      <c r="B7790" s="924">
        <v>18.5</v>
      </c>
    </row>
    <row r="7791" spans="1:2" x14ac:dyDescent="0.25">
      <c r="A7791" s="924">
        <f t="shared" si="121"/>
        <v>7791</v>
      </c>
      <c r="B7791" s="924">
        <v>18.5</v>
      </c>
    </row>
    <row r="7792" spans="1:2" x14ac:dyDescent="0.25">
      <c r="A7792" s="924">
        <f t="shared" si="121"/>
        <v>7792</v>
      </c>
      <c r="B7792" s="924">
        <v>18.5</v>
      </c>
    </row>
    <row r="7793" spans="1:2" x14ac:dyDescent="0.25">
      <c r="A7793" s="924">
        <f t="shared" si="121"/>
        <v>7793</v>
      </c>
      <c r="B7793" s="924">
        <v>18.5</v>
      </c>
    </row>
    <row r="7794" spans="1:2" x14ac:dyDescent="0.25">
      <c r="A7794" s="924">
        <f t="shared" si="121"/>
        <v>7794</v>
      </c>
      <c r="B7794" s="924">
        <v>18.5</v>
      </c>
    </row>
    <row r="7795" spans="1:2" x14ac:dyDescent="0.25">
      <c r="A7795" s="924">
        <f t="shared" si="121"/>
        <v>7795</v>
      </c>
      <c r="B7795" s="924">
        <v>18.5</v>
      </c>
    </row>
    <row r="7796" spans="1:2" x14ac:dyDescent="0.25">
      <c r="A7796" s="924">
        <f t="shared" si="121"/>
        <v>7796</v>
      </c>
      <c r="B7796" s="924">
        <v>18.5</v>
      </c>
    </row>
    <row r="7797" spans="1:2" x14ac:dyDescent="0.25">
      <c r="A7797" s="924">
        <f t="shared" si="121"/>
        <v>7797</v>
      </c>
      <c r="B7797" s="924">
        <v>18.5</v>
      </c>
    </row>
    <row r="7798" spans="1:2" x14ac:dyDescent="0.25">
      <c r="A7798" s="924">
        <f t="shared" si="121"/>
        <v>7798</v>
      </c>
      <c r="B7798" s="924">
        <v>18.5</v>
      </c>
    </row>
    <row r="7799" spans="1:2" x14ac:dyDescent="0.25">
      <c r="A7799" s="924">
        <f t="shared" si="121"/>
        <v>7799</v>
      </c>
      <c r="B7799" s="924">
        <v>18.5</v>
      </c>
    </row>
    <row r="7800" spans="1:2" x14ac:dyDescent="0.25">
      <c r="A7800" s="924">
        <f t="shared" si="121"/>
        <v>7800</v>
      </c>
      <c r="B7800" s="924">
        <v>18.5</v>
      </c>
    </row>
    <row r="7801" spans="1:2" x14ac:dyDescent="0.25">
      <c r="A7801" s="924">
        <f t="shared" si="121"/>
        <v>7801</v>
      </c>
      <c r="B7801" s="924">
        <v>18.5</v>
      </c>
    </row>
    <row r="7802" spans="1:2" x14ac:dyDescent="0.25">
      <c r="A7802" s="924">
        <f t="shared" si="121"/>
        <v>7802</v>
      </c>
      <c r="B7802" s="924">
        <v>18.5</v>
      </c>
    </row>
    <row r="7803" spans="1:2" x14ac:dyDescent="0.25">
      <c r="A7803" s="924">
        <f t="shared" si="121"/>
        <v>7803</v>
      </c>
      <c r="B7803" s="924">
        <v>18.5</v>
      </c>
    </row>
    <row r="7804" spans="1:2" x14ac:dyDescent="0.25">
      <c r="A7804" s="924">
        <f t="shared" si="121"/>
        <v>7804</v>
      </c>
      <c r="B7804" s="924">
        <v>18.5</v>
      </c>
    </row>
    <row r="7805" spans="1:2" x14ac:dyDescent="0.25">
      <c r="A7805" s="924">
        <f t="shared" si="121"/>
        <v>7805</v>
      </c>
      <c r="B7805" s="924">
        <v>18.5</v>
      </c>
    </row>
    <row r="7806" spans="1:2" x14ac:dyDescent="0.25">
      <c r="A7806" s="924">
        <f t="shared" si="121"/>
        <v>7806</v>
      </c>
      <c r="B7806" s="924">
        <v>18.5</v>
      </c>
    </row>
    <row r="7807" spans="1:2" x14ac:dyDescent="0.25">
      <c r="A7807" s="924">
        <f t="shared" si="121"/>
        <v>7807</v>
      </c>
      <c r="B7807" s="924">
        <v>18.5</v>
      </c>
    </row>
    <row r="7808" spans="1:2" x14ac:dyDescent="0.25">
      <c r="A7808" s="924">
        <f t="shared" si="121"/>
        <v>7808</v>
      </c>
      <c r="B7808" s="924">
        <v>18.5</v>
      </c>
    </row>
    <row r="7809" spans="1:2" x14ac:dyDescent="0.25">
      <c r="A7809" s="924">
        <f t="shared" si="121"/>
        <v>7809</v>
      </c>
      <c r="B7809" s="924">
        <v>18.5</v>
      </c>
    </row>
    <row r="7810" spans="1:2" x14ac:dyDescent="0.25">
      <c r="A7810" s="924">
        <f t="shared" si="121"/>
        <v>7810</v>
      </c>
      <c r="B7810" s="924">
        <v>18.600000000000001</v>
      </c>
    </row>
    <row r="7811" spans="1:2" x14ac:dyDescent="0.25">
      <c r="A7811" s="924">
        <f t="shared" ref="A7811:A7874" si="122">A7810+1</f>
        <v>7811</v>
      </c>
      <c r="B7811" s="924">
        <v>18.600000000000001</v>
      </c>
    </row>
    <row r="7812" spans="1:2" x14ac:dyDescent="0.25">
      <c r="A7812" s="924">
        <f t="shared" si="122"/>
        <v>7812</v>
      </c>
      <c r="B7812" s="924">
        <v>18.600000000000001</v>
      </c>
    </row>
    <row r="7813" spans="1:2" x14ac:dyDescent="0.25">
      <c r="A7813" s="924">
        <f t="shared" si="122"/>
        <v>7813</v>
      </c>
      <c r="B7813" s="924">
        <v>18.600000000000001</v>
      </c>
    </row>
    <row r="7814" spans="1:2" x14ac:dyDescent="0.25">
      <c r="A7814" s="924">
        <f t="shared" si="122"/>
        <v>7814</v>
      </c>
      <c r="B7814" s="924">
        <v>18.600000000000001</v>
      </c>
    </row>
    <row r="7815" spans="1:2" x14ac:dyDescent="0.25">
      <c r="A7815" s="924">
        <f t="shared" si="122"/>
        <v>7815</v>
      </c>
      <c r="B7815" s="924">
        <v>18.600000000000001</v>
      </c>
    </row>
    <row r="7816" spans="1:2" x14ac:dyDescent="0.25">
      <c r="A7816" s="924">
        <f t="shared" si="122"/>
        <v>7816</v>
      </c>
      <c r="B7816" s="924">
        <v>18.600000000000001</v>
      </c>
    </row>
    <row r="7817" spans="1:2" x14ac:dyDescent="0.25">
      <c r="A7817" s="924">
        <f t="shared" si="122"/>
        <v>7817</v>
      </c>
      <c r="B7817" s="924">
        <v>18.600000000000001</v>
      </c>
    </row>
    <row r="7818" spans="1:2" x14ac:dyDescent="0.25">
      <c r="A7818" s="924">
        <f t="shared" si="122"/>
        <v>7818</v>
      </c>
      <c r="B7818" s="924">
        <v>18.600000000000001</v>
      </c>
    </row>
    <row r="7819" spans="1:2" x14ac:dyDescent="0.25">
      <c r="A7819" s="924">
        <f t="shared" si="122"/>
        <v>7819</v>
      </c>
      <c r="B7819" s="924">
        <v>18.600000000000001</v>
      </c>
    </row>
    <row r="7820" spans="1:2" x14ac:dyDescent="0.25">
      <c r="A7820" s="924">
        <f t="shared" si="122"/>
        <v>7820</v>
      </c>
      <c r="B7820" s="924">
        <v>18.600000000000001</v>
      </c>
    </row>
    <row r="7821" spans="1:2" x14ac:dyDescent="0.25">
      <c r="A7821" s="924">
        <f t="shared" si="122"/>
        <v>7821</v>
      </c>
      <c r="B7821" s="924">
        <v>18.600000000000001</v>
      </c>
    </row>
    <row r="7822" spans="1:2" x14ac:dyDescent="0.25">
      <c r="A7822" s="924">
        <f t="shared" si="122"/>
        <v>7822</v>
      </c>
      <c r="B7822" s="924">
        <v>18.600000000000001</v>
      </c>
    </row>
    <row r="7823" spans="1:2" x14ac:dyDescent="0.25">
      <c r="A7823" s="924">
        <f t="shared" si="122"/>
        <v>7823</v>
      </c>
      <c r="B7823" s="924">
        <v>18.600000000000001</v>
      </c>
    </row>
    <row r="7824" spans="1:2" x14ac:dyDescent="0.25">
      <c r="A7824" s="924">
        <f t="shared" si="122"/>
        <v>7824</v>
      </c>
      <c r="B7824" s="924">
        <v>18.600000000000001</v>
      </c>
    </row>
    <row r="7825" spans="1:2" x14ac:dyDescent="0.25">
      <c r="A7825" s="924">
        <f t="shared" si="122"/>
        <v>7825</v>
      </c>
      <c r="B7825" s="924">
        <v>18.600000000000001</v>
      </c>
    </row>
    <row r="7826" spans="1:2" x14ac:dyDescent="0.25">
      <c r="A7826" s="924">
        <f t="shared" si="122"/>
        <v>7826</v>
      </c>
      <c r="B7826" s="924">
        <v>18.600000000000001</v>
      </c>
    </row>
    <row r="7827" spans="1:2" x14ac:dyDescent="0.25">
      <c r="A7827" s="924">
        <f t="shared" si="122"/>
        <v>7827</v>
      </c>
      <c r="B7827" s="924">
        <v>18.600000000000001</v>
      </c>
    </row>
    <row r="7828" spans="1:2" x14ac:dyDescent="0.25">
      <c r="A7828" s="924">
        <f t="shared" si="122"/>
        <v>7828</v>
      </c>
      <c r="B7828" s="924">
        <v>18.600000000000001</v>
      </c>
    </row>
    <row r="7829" spans="1:2" x14ac:dyDescent="0.25">
      <c r="A7829" s="924">
        <f t="shared" si="122"/>
        <v>7829</v>
      </c>
      <c r="B7829" s="924">
        <v>18.600000000000001</v>
      </c>
    </row>
    <row r="7830" spans="1:2" x14ac:dyDescent="0.25">
      <c r="A7830" s="924">
        <f t="shared" si="122"/>
        <v>7830</v>
      </c>
      <c r="B7830" s="924">
        <v>18.600000000000001</v>
      </c>
    </row>
    <row r="7831" spans="1:2" x14ac:dyDescent="0.25">
      <c r="A7831" s="924">
        <f t="shared" si="122"/>
        <v>7831</v>
      </c>
      <c r="B7831" s="924">
        <v>18.600000000000001</v>
      </c>
    </row>
    <row r="7832" spans="1:2" x14ac:dyDescent="0.25">
      <c r="A7832" s="924">
        <f t="shared" si="122"/>
        <v>7832</v>
      </c>
      <c r="B7832" s="924">
        <v>18.600000000000001</v>
      </c>
    </row>
    <row r="7833" spans="1:2" x14ac:dyDescent="0.25">
      <c r="A7833" s="924">
        <f t="shared" si="122"/>
        <v>7833</v>
      </c>
      <c r="B7833" s="924">
        <v>18.600000000000001</v>
      </c>
    </row>
    <row r="7834" spans="1:2" x14ac:dyDescent="0.25">
      <c r="A7834" s="924">
        <f t="shared" si="122"/>
        <v>7834</v>
      </c>
      <c r="B7834" s="924">
        <v>18.600000000000001</v>
      </c>
    </row>
    <row r="7835" spans="1:2" x14ac:dyDescent="0.25">
      <c r="A7835" s="924">
        <f t="shared" si="122"/>
        <v>7835</v>
      </c>
      <c r="B7835" s="924">
        <v>18.7</v>
      </c>
    </row>
    <row r="7836" spans="1:2" x14ac:dyDescent="0.25">
      <c r="A7836" s="924">
        <f t="shared" si="122"/>
        <v>7836</v>
      </c>
      <c r="B7836" s="924">
        <v>18.7</v>
      </c>
    </row>
    <row r="7837" spans="1:2" x14ac:dyDescent="0.25">
      <c r="A7837" s="924">
        <f t="shared" si="122"/>
        <v>7837</v>
      </c>
      <c r="B7837" s="924">
        <v>18.7</v>
      </c>
    </row>
    <row r="7838" spans="1:2" x14ac:dyDescent="0.25">
      <c r="A7838" s="924">
        <f t="shared" si="122"/>
        <v>7838</v>
      </c>
      <c r="B7838" s="924">
        <v>18.7</v>
      </c>
    </row>
    <row r="7839" spans="1:2" x14ac:dyDescent="0.25">
      <c r="A7839" s="924">
        <f t="shared" si="122"/>
        <v>7839</v>
      </c>
      <c r="B7839" s="924">
        <v>18.7</v>
      </c>
    </row>
    <row r="7840" spans="1:2" x14ac:dyDescent="0.25">
      <c r="A7840" s="924">
        <f t="shared" si="122"/>
        <v>7840</v>
      </c>
      <c r="B7840" s="924">
        <v>18.7</v>
      </c>
    </row>
    <row r="7841" spans="1:2" x14ac:dyDescent="0.25">
      <c r="A7841" s="924">
        <f t="shared" si="122"/>
        <v>7841</v>
      </c>
      <c r="B7841" s="924">
        <v>18.7</v>
      </c>
    </row>
    <row r="7842" spans="1:2" x14ac:dyDescent="0.25">
      <c r="A7842" s="924">
        <f t="shared" si="122"/>
        <v>7842</v>
      </c>
      <c r="B7842" s="924">
        <v>18.7</v>
      </c>
    </row>
    <row r="7843" spans="1:2" x14ac:dyDescent="0.25">
      <c r="A7843" s="924">
        <f t="shared" si="122"/>
        <v>7843</v>
      </c>
      <c r="B7843" s="924">
        <v>18.7</v>
      </c>
    </row>
    <row r="7844" spans="1:2" x14ac:dyDescent="0.25">
      <c r="A7844" s="924">
        <f t="shared" si="122"/>
        <v>7844</v>
      </c>
      <c r="B7844" s="924">
        <v>18.7</v>
      </c>
    </row>
    <row r="7845" spans="1:2" x14ac:dyDescent="0.25">
      <c r="A7845" s="924">
        <f t="shared" si="122"/>
        <v>7845</v>
      </c>
      <c r="B7845" s="924">
        <v>18.7</v>
      </c>
    </row>
    <row r="7846" spans="1:2" x14ac:dyDescent="0.25">
      <c r="A7846" s="924">
        <f t="shared" si="122"/>
        <v>7846</v>
      </c>
      <c r="B7846" s="924">
        <v>18.7</v>
      </c>
    </row>
    <row r="7847" spans="1:2" x14ac:dyDescent="0.25">
      <c r="A7847" s="924">
        <f t="shared" si="122"/>
        <v>7847</v>
      </c>
      <c r="B7847" s="924">
        <v>18.7</v>
      </c>
    </row>
    <row r="7848" spans="1:2" x14ac:dyDescent="0.25">
      <c r="A7848" s="924">
        <f t="shared" si="122"/>
        <v>7848</v>
      </c>
      <c r="B7848" s="924">
        <v>18.7</v>
      </c>
    </row>
    <row r="7849" spans="1:2" x14ac:dyDescent="0.25">
      <c r="A7849" s="924">
        <f t="shared" si="122"/>
        <v>7849</v>
      </c>
      <c r="B7849" s="924">
        <v>18.7</v>
      </c>
    </row>
    <row r="7850" spans="1:2" x14ac:dyDescent="0.25">
      <c r="A7850" s="924">
        <f t="shared" si="122"/>
        <v>7850</v>
      </c>
      <c r="B7850" s="924">
        <v>18.7</v>
      </c>
    </row>
    <row r="7851" spans="1:2" x14ac:dyDescent="0.25">
      <c r="A7851" s="924">
        <f t="shared" si="122"/>
        <v>7851</v>
      </c>
      <c r="B7851" s="924">
        <v>18.7</v>
      </c>
    </row>
    <row r="7852" spans="1:2" x14ac:dyDescent="0.25">
      <c r="A7852" s="924">
        <f t="shared" si="122"/>
        <v>7852</v>
      </c>
      <c r="B7852" s="924">
        <v>18.7</v>
      </c>
    </row>
    <row r="7853" spans="1:2" x14ac:dyDescent="0.25">
      <c r="A7853" s="924">
        <f t="shared" si="122"/>
        <v>7853</v>
      </c>
      <c r="B7853" s="924">
        <v>18.7</v>
      </c>
    </row>
    <row r="7854" spans="1:2" x14ac:dyDescent="0.25">
      <c r="A7854" s="924">
        <f t="shared" si="122"/>
        <v>7854</v>
      </c>
      <c r="B7854" s="924">
        <v>18.7</v>
      </c>
    </row>
    <row r="7855" spans="1:2" x14ac:dyDescent="0.25">
      <c r="A7855" s="924">
        <f t="shared" si="122"/>
        <v>7855</v>
      </c>
      <c r="B7855" s="924">
        <v>18.7</v>
      </c>
    </row>
    <row r="7856" spans="1:2" x14ac:dyDescent="0.25">
      <c r="A7856" s="924">
        <f t="shared" si="122"/>
        <v>7856</v>
      </c>
      <c r="B7856" s="924">
        <v>18.7</v>
      </c>
    </row>
    <row r="7857" spans="1:2" x14ac:dyDescent="0.25">
      <c r="A7857" s="924">
        <f t="shared" si="122"/>
        <v>7857</v>
      </c>
      <c r="B7857" s="924">
        <v>18.7</v>
      </c>
    </row>
    <row r="7858" spans="1:2" x14ac:dyDescent="0.25">
      <c r="A7858" s="924">
        <f t="shared" si="122"/>
        <v>7858</v>
      </c>
      <c r="B7858" s="924">
        <v>18.7</v>
      </c>
    </row>
    <row r="7859" spans="1:2" x14ac:dyDescent="0.25">
      <c r="A7859" s="924">
        <f t="shared" si="122"/>
        <v>7859</v>
      </c>
      <c r="B7859" s="924">
        <v>18.7</v>
      </c>
    </row>
    <row r="7860" spans="1:2" x14ac:dyDescent="0.25">
      <c r="A7860" s="924">
        <f t="shared" si="122"/>
        <v>7860</v>
      </c>
      <c r="B7860" s="924">
        <v>18.7</v>
      </c>
    </row>
    <row r="7861" spans="1:2" x14ac:dyDescent="0.25">
      <c r="A7861" s="924">
        <f t="shared" si="122"/>
        <v>7861</v>
      </c>
      <c r="B7861" s="924">
        <v>18.7</v>
      </c>
    </row>
    <row r="7862" spans="1:2" x14ac:dyDescent="0.25">
      <c r="A7862" s="924">
        <f t="shared" si="122"/>
        <v>7862</v>
      </c>
      <c r="B7862" s="924">
        <v>18.7</v>
      </c>
    </row>
    <row r="7863" spans="1:2" x14ac:dyDescent="0.25">
      <c r="A7863" s="924">
        <f t="shared" si="122"/>
        <v>7863</v>
      </c>
      <c r="B7863" s="924">
        <v>18.7</v>
      </c>
    </row>
    <row r="7864" spans="1:2" x14ac:dyDescent="0.25">
      <c r="A7864" s="924">
        <f t="shared" si="122"/>
        <v>7864</v>
      </c>
      <c r="B7864" s="924">
        <v>18.8</v>
      </c>
    </row>
    <row r="7865" spans="1:2" x14ac:dyDescent="0.25">
      <c r="A7865" s="924">
        <f t="shared" si="122"/>
        <v>7865</v>
      </c>
      <c r="B7865" s="924">
        <v>18.8</v>
      </c>
    </row>
    <row r="7866" spans="1:2" x14ac:dyDescent="0.25">
      <c r="A7866" s="924">
        <f t="shared" si="122"/>
        <v>7866</v>
      </c>
      <c r="B7866" s="924">
        <v>18.8</v>
      </c>
    </row>
    <row r="7867" spans="1:2" x14ac:dyDescent="0.25">
      <c r="A7867" s="924">
        <f t="shared" si="122"/>
        <v>7867</v>
      </c>
      <c r="B7867" s="924">
        <v>18.8</v>
      </c>
    </row>
    <row r="7868" spans="1:2" x14ac:dyDescent="0.25">
      <c r="A7868" s="924">
        <f t="shared" si="122"/>
        <v>7868</v>
      </c>
      <c r="B7868" s="924">
        <v>18.8</v>
      </c>
    </row>
    <row r="7869" spans="1:2" x14ac:dyDescent="0.25">
      <c r="A7869" s="924">
        <f t="shared" si="122"/>
        <v>7869</v>
      </c>
      <c r="B7869" s="924">
        <v>18.8</v>
      </c>
    </row>
    <row r="7870" spans="1:2" x14ac:dyDescent="0.25">
      <c r="A7870" s="924">
        <f t="shared" si="122"/>
        <v>7870</v>
      </c>
      <c r="B7870" s="924">
        <v>18.8</v>
      </c>
    </row>
    <row r="7871" spans="1:2" x14ac:dyDescent="0.25">
      <c r="A7871" s="924">
        <f t="shared" si="122"/>
        <v>7871</v>
      </c>
      <c r="B7871" s="924">
        <v>18.8</v>
      </c>
    </row>
    <row r="7872" spans="1:2" x14ac:dyDescent="0.25">
      <c r="A7872" s="924">
        <f t="shared" si="122"/>
        <v>7872</v>
      </c>
      <c r="B7872" s="924">
        <v>18.8</v>
      </c>
    </row>
    <row r="7873" spans="1:2" x14ac:dyDescent="0.25">
      <c r="A7873" s="924">
        <f t="shared" si="122"/>
        <v>7873</v>
      </c>
      <c r="B7873" s="924">
        <v>18.8</v>
      </c>
    </row>
    <row r="7874" spans="1:2" x14ac:dyDescent="0.25">
      <c r="A7874" s="924">
        <f t="shared" si="122"/>
        <v>7874</v>
      </c>
      <c r="B7874" s="924">
        <v>18.8</v>
      </c>
    </row>
    <row r="7875" spans="1:2" x14ac:dyDescent="0.25">
      <c r="A7875" s="924">
        <f t="shared" ref="A7875:A7938" si="123">A7874+1</f>
        <v>7875</v>
      </c>
      <c r="B7875" s="924">
        <v>18.8</v>
      </c>
    </row>
    <row r="7876" spans="1:2" x14ac:dyDescent="0.25">
      <c r="A7876" s="924">
        <f t="shared" si="123"/>
        <v>7876</v>
      </c>
      <c r="B7876" s="924">
        <v>18.8</v>
      </c>
    </row>
    <row r="7877" spans="1:2" x14ac:dyDescent="0.25">
      <c r="A7877" s="924">
        <f t="shared" si="123"/>
        <v>7877</v>
      </c>
      <c r="B7877" s="924">
        <v>18.8</v>
      </c>
    </row>
    <row r="7878" spans="1:2" x14ac:dyDescent="0.25">
      <c r="A7878" s="924">
        <f t="shared" si="123"/>
        <v>7878</v>
      </c>
      <c r="B7878" s="924">
        <v>18.8</v>
      </c>
    </row>
    <row r="7879" spans="1:2" x14ac:dyDescent="0.25">
      <c r="A7879" s="924">
        <f t="shared" si="123"/>
        <v>7879</v>
      </c>
      <c r="B7879" s="924">
        <v>18.8</v>
      </c>
    </row>
    <row r="7880" spans="1:2" x14ac:dyDescent="0.25">
      <c r="A7880" s="924">
        <f t="shared" si="123"/>
        <v>7880</v>
      </c>
      <c r="B7880" s="924">
        <v>18.8</v>
      </c>
    </row>
    <row r="7881" spans="1:2" x14ac:dyDescent="0.25">
      <c r="A7881" s="924">
        <f t="shared" si="123"/>
        <v>7881</v>
      </c>
      <c r="B7881" s="924">
        <v>18.8</v>
      </c>
    </row>
    <row r="7882" spans="1:2" x14ac:dyDescent="0.25">
      <c r="A7882" s="924">
        <f t="shared" si="123"/>
        <v>7882</v>
      </c>
      <c r="B7882" s="924">
        <v>18.8</v>
      </c>
    </row>
    <row r="7883" spans="1:2" x14ac:dyDescent="0.25">
      <c r="A7883" s="924">
        <f t="shared" si="123"/>
        <v>7883</v>
      </c>
      <c r="B7883" s="924">
        <v>18.8</v>
      </c>
    </row>
    <row r="7884" spans="1:2" x14ac:dyDescent="0.25">
      <c r="A7884" s="924">
        <f t="shared" si="123"/>
        <v>7884</v>
      </c>
      <c r="B7884" s="924">
        <v>18.8</v>
      </c>
    </row>
    <row r="7885" spans="1:2" x14ac:dyDescent="0.25">
      <c r="A7885" s="924">
        <f t="shared" si="123"/>
        <v>7885</v>
      </c>
      <c r="B7885" s="924">
        <v>18.8</v>
      </c>
    </row>
    <row r="7886" spans="1:2" x14ac:dyDescent="0.25">
      <c r="A7886" s="924">
        <f t="shared" si="123"/>
        <v>7886</v>
      </c>
      <c r="B7886" s="924">
        <v>18.8</v>
      </c>
    </row>
    <row r="7887" spans="1:2" x14ac:dyDescent="0.25">
      <c r="A7887" s="924">
        <f t="shared" si="123"/>
        <v>7887</v>
      </c>
      <c r="B7887" s="924">
        <v>18.8</v>
      </c>
    </row>
    <row r="7888" spans="1:2" x14ac:dyDescent="0.25">
      <c r="A7888" s="924">
        <f t="shared" si="123"/>
        <v>7888</v>
      </c>
      <c r="B7888" s="924">
        <v>18.8</v>
      </c>
    </row>
    <row r="7889" spans="1:2" x14ac:dyDescent="0.25">
      <c r="A7889" s="924">
        <f t="shared" si="123"/>
        <v>7889</v>
      </c>
      <c r="B7889" s="924">
        <v>18.8</v>
      </c>
    </row>
    <row r="7890" spans="1:2" x14ac:dyDescent="0.25">
      <c r="A7890" s="924">
        <f t="shared" si="123"/>
        <v>7890</v>
      </c>
      <c r="B7890" s="924">
        <v>18.8</v>
      </c>
    </row>
    <row r="7891" spans="1:2" x14ac:dyDescent="0.25">
      <c r="A7891" s="924">
        <f t="shared" si="123"/>
        <v>7891</v>
      </c>
      <c r="B7891" s="924">
        <v>18.899999999999999</v>
      </c>
    </row>
    <row r="7892" spans="1:2" x14ac:dyDescent="0.25">
      <c r="A7892" s="924">
        <f t="shared" si="123"/>
        <v>7892</v>
      </c>
      <c r="B7892" s="924">
        <v>18.899999999999999</v>
      </c>
    </row>
    <row r="7893" spans="1:2" x14ac:dyDescent="0.25">
      <c r="A7893" s="924">
        <f t="shared" si="123"/>
        <v>7893</v>
      </c>
      <c r="B7893" s="924">
        <v>18.899999999999999</v>
      </c>
    </row>
    <row r="7894" spans="1:2" x14ac:dyDescent="0.25">
      <c r="A7894" s="924">
        <f t="shared" si="123"/>
        <v>7894</v>
      </c>
      <c r="B7894" s="924">
        <v>18.899999999999999</v>
      </c>
    </row>
    <row r="7895" spans="1:2" x14ac:dyDescent="0.25">
      <c r="A7895" s="924">
        <f t="shared" si="123"/>
        <v>7895</v>
      </c>
      <c r="B7895" s="924">
        <v>18.899999999999999</v>
      </c>
    </row>
    <row r="7896" spans="1:2" x14ac:dyDescent="0.25">
      <c r="A7896" s="924">
        <f t="shared" si="123"/>
        <v>7896</v>
      </c>
      <c r="B7896" s="924">
        <v>18.899999999999999</v>
      </c>
    </row>
    <row r="7897" spans="1:2" x14ac:dyDescent="0.25">
      <c r="A7897" s="924">
        <f t="shared" si="123"/>
        <v>7897</v>
      </c>
      <c r="B7897" s="924">
        <v>18.899999999999999</v>
      </c>
    </row>
    <row r="7898" spans="1:2" x14ac:dyDescent="0.25">
      <c r="A7898" s="924">
        <f t="shared" si="123"/>
        <v>7898</v>
      </c>
      <c r="B7898" s="924">
        <v>18.899999999999999</v>
      </c>
    </row>
    <row r="7899" spans="1:2" x14ac:dyDescent="0.25">
      <c r="A7899" s="924">
        <f t="shared" si="123"/>
        <v>7899</v>
      </c>
      <c r="B7899" s="924">
        <v>18.899999999999999</v>
      </c>
    </row>
    <row r="7900" spans="1:2" x14ac:dyDescent="0.25">
      <c r="A7900" s="924">
        <f t="shared" si="123"/>
        <v>7900</v>
      </c>
      <c r="B7900" s="924">
        <v>18.899999999999999</v>
      </c>
    </row>
    <row r="7901" spans="1:2" x14ac:dyDescent="0.25">
      <c r="A7901" s="924">
        <f t="shared" si="123"/>
        <v>7901</v>
      </c>
      <c r="B7901" s="924">
        <v>18.899999999999999</v>
      </c>
    </row>
    <row r="7902" spans="1:2" x14ac:dyDescent="0.25">
      <c r="A7902" s="924">
        <f t="shared" si="123"/>
        <v>7902</v>
      </c>
      <c r="B7902" s="924">
        <v>18.899999999999999</v>
      </c>
    </row>
    <row r="7903" spans="1:2" x14ac:dyDescent="0.25">
      <c r="A7903" s="924">
        <f t="shared" si="123"/>
        <v>7903</v>
      </c>
      <c r="B7903" s="924">
        <v>18.899999999999999</v>
      </c>
    </row>
    <row r="7904" spans="1:2" x14ac:dyDescent="0.25">
      <c r="A7904" s="924">
        <f t="shared" si="123"/>
        <v>7904</v>
      </c>
      <c r="B7904" s="924">
        <v>18.899999999999999</v>
      </c>
    </row>
    <row r="7905" spans="1:2" x14ac:dyDescent="0.25">
      <c r="A7905" s="924">
        <f t="shared" si="123"/>
        <v>7905</v>
      </c>
      <c r="B7905" s="924">
        <v>18.899999999999999</v>
      </c>
    </row>
    <row r="7906" spans="1:2" x14ac:dyDescent="0.25">
      <c r="A7906" s="924">
        <f t="shared" si="123"/>
        <v>7906</v>
      </c>
      <c r="B7906" s="924">
        <v>18.899999999999999</v>
      </c>
    </row>
    <row r="7907" spans="1:2" x14ac:dyDescent="0.25">
      <c r="A7907" s="924">
        <f t="shared" si="123"/>
        <v>7907</v>
      </c>
      <c r="B7907" s="924">
        <v>18.899999999999999</v>
      </c>
    </row>
    <row r="7908" spans="1:2" x14ac:dyDescent="0.25">
      <c r="A7908" s="924">
        <f t="shared" si="123"/>
        <v>7908</v>
      </c>
      <c r="B7908" s="924">
        <v>19</v>
      </c>
    </row>
    <row r="7909" spans="1:2" x14ac:dyDescent="0.25">
      <c r="A7909" s="924">
        <f t="shared" si="123"/>
        <v>7909</v>
      </c>
      <c r="B7909" s="924">
        <v>19</v>
      </c>
    </row>
    <row r="7910" spans="1:2" x14ac:dyDescent="0.25">
      <c r="A7910" s="924">
        <f t="shared" si="123"/>
        <v>7910</v>
      </c>
      <c r="B7910" s="924">
        <v>19</v>
      </c>
    </row>
    <row r="7911" spans="1:2" x14ac:dyDescent="0.25">
      <c r="A7911" s="924">
        <f t="shared" si="123"/>
        <v>7911</v>
      </c>
      <c r="B7911" s="924">
        <v>19</v>
      </c>
    </row>
    <row r="7912" spans="1:2" x14ac:dyDescent="0.25">
      <c r="A7912" s="924">
        <f t="shared" si="123"/>
        <v>7912</v>
      </c>
      <c r="B7912" s="924">
        <v>19</v>
      </c>
    </row>
    <row r="7913" spans="1:2" x14ac:dyDescent="0.25">
      <c r="A7913" s="924">
        <f t="shared" si="123"/>
        <v>7913</v>
      </c>
      <c r="B7913" s="924">
        <v>19</v>
      </c>
    </row>
    <row r="7914" spans="1:2" x14ac:dyDescent="0.25">
      <c r="A7914" s="924">
        <f t="shared" si="123"/>
        <v>7914</v>
      </c>
      <c r="B7914" s="924">
        <v>19</v>
      </c>
    </row>
    <row r="7915" spans="1:2" x14ac:dyDescent="0.25">
      <c r="A7915" s="924">
        <f t="shared" si="123"/>
        <v>7915</v>
      </c>
      <c r="B7915" s="924">
        <v>19</v>
      </c>
    </row>
    <row r="7916" spans="1:2" x14ac:dyDescent="0.25">
      <c r="A7916" s="924">
        <f t="shared" si="123"/>
        <v>7916</v>
      </c>
      <c r="B7916" s="924">
        <v>19</v>
      </c>
    </row>
    <row r="7917" spans="1:2" x14ac:dyDescent="0.25">
      <c r="A7917" s="924">
        <f t="shared" si="123"/>
        <v>7917</v>
      </c>
      <c r="B7917" s="924">
        <v>19</v>
      </c>
    </row>
    <row r="7918" spans="1:2" x14ac:dyDescent="0.25">
      <c r="A7918" s="924">
        <f t="shared" si="123"/>
        <v>7918</v>
      </c>
      <c r="B7918" s="924">
        <v>19</v>
      </c>
    </row>
    <row r="7919" spans="1:2" x14ac:dyDescent="0.25">
      <c r="A7919" s="924">
        <f t="shared" si="123"/>
        <v>7919</v>
      </c>
      <c r="B7919" s="924">
        <v>19</v>
      </c>
    </row>
    <row r="7920" spans="1:2" x14ac:dyDescent="0.25">
      <c r="A7920" s="924">
        <f t="shared" si="123"/>
        <v>7920</v>
      </c>
      <c r="B7920" s="924">
        <v>19</v>
      </c>
    </row>
    <row r="7921" spans="1:2" x14ac:dyDescent="0.25">
      <c r="A7921" s="924">
        <f t="shared" si="123"/>
        <v>7921</v>
      </c>
      <c r="B7921" s="924">
        <v>19</v>
      </c>
    </row>
    <row r="7922" spans="1:2" x14ac:dyDescent="0.25">
      <c r="A7922" s="924">
        <f t="shared" si="123"/>
        <v>7922</v>
      </c>
      <c r="B7922" s="924">
        <v>19</v>
      </c>
    </row>
    <row r="7923" spans="1:2" x14ac:dyDescent="0.25">
      <c r="A7923" s="924">
        <f t="shared" si="123"/>
        <v>7923</v>
      </c>
      <c r="B7923" s="924">
        <v>19</v>
      </c>
    </row>
    <row r="7924" spans="1:2" x14ac:dyDescent="0.25">
      <c r="A7924" s="924">
        <f t="shared" si="123"/>
        <v>7924</v>
      </c>
      <c r="B7924" s="924">
        <v>19</v>
      </c>
    </row>
    <row r="7925" spans="1:2" x14ac:dyDescent="0.25">
      <c r="A7925" s="924">
        <f t="shared" si="123"/>
        <v>7925</v>
      </c>
      <c r="B7925" s="924">
        <v>19</v>
      </c>
    </row>
    <row r="7926" spans="1:2" x14ac:dyDescent="0.25">
      <c r="A7926" s="924">
        <f t="shared" si="123"/>
        <v>7926</v>
      </c>
      <c r="B7926" s="924">
        <v>19</v>
      </c>
    </row>
    <row r="7927" spans="1:2" x14ac:dyDescent="0.25">
      <c r="A7927" s="924">
        <f t="shared" si="123"/>
        <v>7927</v>
      </c>
      <c r="B7927" s="924">
        <v>19</v>
      </c>
    </row>
    <row r="7928" spans="1:2" x14ac:dyDescent="0.25">
      <c r="A7928" s="924">
        <f t="shared" si="123"/>
        <v>7928</v>
      </c>
      <c r="B7928" s="924">
        <v>19</v>
      </c>
    </row>
    <row r="7929" spans="1:2" x14ac:dyDescent="0.25">
      <c r="A7929" s="924">
        <f t="shared" si="123"/>
        <v>7929</v>
      </c>
      <c r="B7929" s="924">
        <v>19</v>
      </c>
    </row>
    <row r="7930" spans="1:2" x14ac:dyDescent="0.25">
      <c r="A7930" s="924">
        <f t="shared" si="123"/>
        <v>7930</v>
      </c>
      <c r="B7930" s="924">
        <v>19</v>
      </c>
    </row>
    <row r="7931" spans="1:2" x14ac:dyDescent="0.25">
      <c r="A7931" s="924">
        <f t="shared" si="123"/>
        <v>7931</v>
      </c>
      <c r="B7931" s="924">
        <v>19</v>
      </c>
    </row>
    <row r="7932" spans="1:2" x14ac:dyDescent="0.25">
      <c r="A7932" s="924">
        <f t="shared" si="123"/>
        <v>7932</v>
      </c>
      <c r="B7932" s="924">
        <v>19</v>
      </c>
    </row>
    <row r="7933" spans="1:2" x14ac:dyDescent="0.25">
      <c r="A7933" s="924">
        <f t="shared" si="123"/>
        <v>7933</v>
      </c>
      <c r="B7933" s="924">
        <v>19</v>
      </c>
    </row>
    <row r="7934" spans="1:2" x14ac:dyDescent="0.25">
      <c r="A7934" s="924">
        <f t="shared" si="123"/>
        <v>7934</v>
      </c>
      <c r="B7934" s="924">
        <v>19</v>
      </c>
    </row>
    <row r="7935" spans="1:2" x14ac:dyDescent="0.25">
      <c r="A7935" s="924">
        <f t="shared" si="123"/>
        <v>7935</v>
      </c>
      <c r="B7935" s="924">
        <v>19</v>
      </c>
    </row>
    <row r="7936" spans="1:2" x14ac:dyDescent="0.25">
      <c r="A7936" s="924">
        <f t="shared" si="123"/>
        <v>7936</v>
      </c>
      <c r="B7936" s="924">
        <v>19</v>
      </c>
    </row>
    <row r="7937" spans="1:2" x14ac:dyDescent="0.25">
      <c r="A7937" s="924">
        <f t="shared" si="123"/>
        <v>7937</v>
      </c>
      <c r="B7937" s="924">
        <v>19</v>
      </c>
    </row>
    <row r="7938" spans="1:2" x14ac:dyDescent="0.25">
      <c r="A7938" s="924">
        <f t="shared" si="123"/>
        <v>7938</v>
      </c>
      <c r="B7938" s="924">
        <v>19</v>
      </c>
    </row>
    <row r="7939" spans="1:2" x14ac:dyDescent="0.25">
      <c r="A7939" s="924">
        <f t="shared" ref="A7939:A8002" si="124">A7938+1</f>
        <v>7939</v>
      </c>
      <c r="B7939" s="924">
        <v>19</v>
      </c>
    </row>
    <row r="7940" spans="1:2" x14ac:dyDescent="0.25">
      <c r="A7940" s="924">
        <f t="shared" si="124"/>
        <v>7940</v>
      </c>
      <c r="B7940" s="924">
        <v>19</v>
      </c>
    </row>
    <row r="7941" spans="1:2" x14ac:dyDescent="0.25">
      <c r="A7941" s="924">
        <f t="shared" si="124"/>
        <v>7941</v>
      </c>
      <c r="B7941" s="924">
        <v>19.100000000000001</v>
      </c>
    </row>
    <row r="7942" spans="1:2" x14ac:dyDescent="0.25">
      <c r="A7942" s="924">
        <f t="shared" si="124"/>
        <v>7942</v>
      </c>
      <c r="B7942" s="924">
        <v>19.100000000000001</v>
      </c>
    </row>
    <row r="7943" spans="1:2" x14ac:dyDescent="0.25">
      <c r="A7943" s="924">
        <f t="shared" si="124"/>
        <v>7943</v>
      </c>
      <c r="B7943" s="924">
        <v>19.100000000000001</v>
      </c>
    </row>
    <row r="7944" spans="1:2" x14ac:dyDescent="0.25">
      <c r="A7944" s="924">
        <f t="shared" si="124"/>
        <v>7944</v>
      </c>
      <c r="B7944" s="924">
        <v>19.100000000000001</v>
      </c>
    </row>
    <row r="7945" spans="1:2" x14ac:dyDescent="0.25">
      <c r="A7945" s="924">
        <f t="shared" si="124"/>
        <v>7945</v>
      </c>
      <c r="B7945" s="924">
        <v>19.100000000000001</v>
      </c>
    </row>
    <row r="7946" spans="1:2" x14ac:dyDescent="0.25">
      <c r="A7946" s="924">
        <f t="shared" si="124"/>
        <v>7946</v>
      </c>
      <c r="B7946" s="924">
        <v>19.100000000000001</v>
      </c>
    </row>
    <row r="7947" spans="1:2" x14ac:dyDescent="0.25">
      <c r="A7947" s="924">
        <f t="shared" si="124"/>
        <v>7947</v>
      </c>
      <c r="B7947" s="924">
        <v>19.100000000000001</v>
      </c>
    </row>
    <row r="7948" spans="1:2" x14ac:dyDescent="0.25">
      <c r="A7948" s="924">
        <f t="shared" si="124"/>
        <v>7948</v>
      </c>
      <c r="B7948" s="924">
        <v>19.100000000000001</v>
      </c>
    </row>
    <row r="7949" spans="1:2" x14ac:dyDescent="0.25">
      <c r="A7949" s="924">
        <f t="shared" si="124"/>
        <v>7949</v>
      </c>
      <c r="B7949" s="924">
        <v>19.100000000000001</v>
      </c>
    </row>
    <row r="7950" spans="1:2" x14ac:dyDescent="0.25">
      <c r="A7950" s="924">
        <f t="shared" si="124"/>
        <v>7950</v>
      </c>
      <c r="B7950" s="924">
        <v>19.100000000000001</v>
      </c>
    </row>
    <row r="7951" spans="1:2" x14ac:dyDescent="0.25">
      <c r="A7951" s="924">
        <f t="shared" si="124"/>
        <v>7951</v>
      </c>
      <c r="B7951" s="924">
        <v>19.100000000000001</v>
      </c>
    </row>
    <row r="7952" spans="1:2" x14ac:dyDescent="0.25">
      <c r="A7952" s="924">
        <f t="shared" si="124"/>
        <v>7952</v>
      </c>
      <c r="B7952" s="924">
        <v>19.100000000000001</v>
      </c>
    </row>
    <row r="7953" spans="1:2" x14ac:dyDescent="0.25">
      <c r="A7953" s="924">
        <f t="shared" si="124"/>
        <v>7953</v>
      </c>
      <c r="B7953" s="924">
        <v>19.100000000000001</v>
      </c>
    </row>
    <row r="7954" spans="1:2" x14ac:dyDescent="0.25">
      <c r="A7954" s="924">
        <f t="shared" si="124"/>
        <v>7954</v>
      </c>
      <c r="B7954" s="924">
        <v>19.100000000000001</v>
      </c>
    </row>
    <row r="7955" spans="1:2" x14ac:dyDescent="0.25">
      <c r="A7955" s="924">
        <f t="shared" si="124"/>
        <v>7955</v>
      </c>
      <c r="B7955" s="924">
        <v>19.100000000000001</v>
      </c>
    </row>
    <row r="7956" spans="1:2" x14ac:dyDescent="0.25">
      <c r="A7956" s="924">
        <f t="shared" si="124"/>
        <v>7956</v>
      </c>
      <c r="B7956" s="924">
        <v>19.100000000000001</v>
      </c>
    </row>
    <row r="7957" spans="1:2" x14ac:dyDescent="0.25">
      <c r="A7957" s="924">
        <f t="shared" si="124"/>
        <v>7957</v>
      </c>
      <c r="B7957" s="924">
        <v>19.100000000000001</v>
      </c>
    </row>
    <row r="7958" spans="1:2" x14ac:dyDescent="0.25">
      <c r="A7958" s="924">
        <f t="shared" si="124"/>
        <v>7958</v>
      </c>
      <c r="B7958" s="924">
        <v>19.2</v>
      </c>
    </row>
    <row r="7959" spans="1:2" x14ac:dyDescent="0.25">
      <c r="A7959" s="924">
        <f t="shared" si="124"/>
        <v>7959</v>
      </c>
      <c r="B7959" s="924">
        <v>19.2</v>
      </c>
    </row>
    <row r="7960" spans="1:2" x14ac:dyDescent="0.25">
      <c r="A7960" s="924">
        <f t="shared" si="124"/>
        <v>7960</v>
      </c>
      <c r="B7960" s="924">
        <v>19.2</v>
      </c>
    </row>
    <row r="7961" spans="1:2" x14ac:dyDescent="0.25">
      <c r="A7961" s="924">
        <f t="shared" si="124"/>
        <v>7961</v>
      </c>
      <c r="B7961" s="924">
        <v>19.2</v>
      </c>
    </row>
    <row r="7962" spans="1:2" x14ac:dyDescent="0.25">
      <c r="A7962" s="924">
        <f t="shared" si="124"/>
        <v>7962</v>
      </c>
      <c r="B7962" s="924">
        <v>19.2</v>
      </c>
    </row>
    <row r="7963" spans="1:2" x14ac:dyDescent="0.25">
      <c r="A7963" s="924">
        <f t="shared" si="124"/>
        <v>7963</v>
      </c>
      <c r="B7963" s="924">
        <v>19.2</v>
      </c>
    </row>
    <row r="7964" spans="1:2" x14ac:dyDescent="0.25">
      <c r="A7964" s="924">
        <f t="shared" si="124"/>
        <v>7964</v>
      </c>
      <c r="B7964" s="924">
        <v>19.2</v>
      </c>
    </row>
    <row r="7965" spans="1:2" x14ac:dyDescent="0.25">
      <c r="A7965" s="924">
        <f t="shared" si="124"/>
        <v>7965</v>
      </c>
      <c r="B7965" s="924">
        <v>19.2</v>
      </c>
    </row>
    <row r="7966" spans="1:2" x14ac:dyDescent="0.25">
      <c r="A7966" s="924">
        <f t="shared" si="124"/>
        <v>7966</v>
      </c>
      <c r="B7966" s="924">
        <v>19.2</v>
      </c>
    </row>
    <row r="7967" spans="1:2" x14ac:dyDescent="0.25">
      <c r="A7967" s="924">
        <f t="shared" si="124"/>
        <v>7967</v>
      </c>
      <c r="B7967" s="924">
        <v>19.2</v>
      </c>
    </row>
    <row r="7968" spans="1:2" x14ac:dyDescent="0.25">
      <c r="A7968" s="924">
        <f t="shared" si="124"/>
        <v>7968</v>
      </c>
      <c r="B7968" s="924">
        <v>19.2</v>
      </c>
    </row>
    <row r="7969" spans="1:2" x14ac:dyDescent="0.25">
      <c r="A7969" s="924">
        <f t="shared" si="124"/>
        <v>7969</v>
      </c>
      <c r="B7969" s="924">
        <v>19.2</v>
      </c>
    </row>
    <row r="7970" spans="1:2" x14ac:dyDescent="0.25">
      <c r="A7970" s="924">
        <f t="shared" si="124"/>
        <v>7970</v>
      </c>
      <c r="B7970" s="924">
        <v>19.2</v>
      </c>
    </row>
    <row r="7971" spans="1:2" x14ac:dyDescent="0.25">
      <c r="A7971" s="924">
        <f t="shared" si="124"/>
        <v>7971</v>
      </c>
      <c r="B7971" s="924">
        <v>19.2</v>
      </c>
    </row>
    <row r="7972" spans="1:2" x14ac:dyDescent="0.25">
      <c r="A7972" s="924">
        <f t="shared" si="124"/>
        <v>7972</v>
      </c>
      <c r="B7972" s="924">
        <v>19.2</v>
      </c>
    </row>
    <row r="7973" spans="1:2" x14ac:dyDescent="0.25">
      <c r="A7973" s="924">
        <f t="shared" si="124"/>
        <v>7973</v>
      </c>
      <c r="B7973" s="924">
        <v>19.2</v>
      </c>
    </row>
    <row r="7974" spans="1:2" x14ac:dyDescent="0.25">
      <c r="A7974" s="924">
        <f t="shared" si="124"/>
        <v>7974</v>
      </c>
      <c r="B7974" s="924">
        <v>19.2</v>
      </c>
    </row>
    <row r="7975" spans="1:2" x14ac:dyDescent="0.25">
      <c r="A7975" s="924">
        <f t="shared" si="124"/>
        <v>7975</v>
      </c>
      <c r="B7975" s="924">
        <v>19.2</v>
      </c>
    </row>
    <row r="7976" spans="1:2" x14ac:dyDescent="0.25">
      <c r="A7976" s="924">
        <f t="shared" si="124"/>
        <v>7976</v>
      </c>
      <c r="B7976" s="924">
        <v>19.2</v>
      </c>
    </row>
    <row r="7977" spans="1:2" x14ac:dyDescent="0.25">
      <c r="A7977" s="924">
        <f t="shared" si="124"/>
        <v>7977</v>
      </c>
      <c r="B7977" s="924">
        <v>19.2</v>
      </c>
    </row>
    <row r="7978" spans="1:2" x14ac:dyDescent="0.25">
      <c r="A7978" s="924">
        <f t="shared" si="124"/>
        <v>7978</v>
      </c>
      <c r="B7978" s="924">
        <v>19.2</v>
      </c>
    </row>
    <row r="7979" spans="1:2" x14ac:dyDescent="0.25">
      <c r="A7979" s="924">
        <f t="shared" si="124"/>
        <v>7979</v>
      </c>
      <c r="B7979" s="924">
        <v>19.2</v>
      </c>
    </row>
    <row r="7980" spans="1:2" x14ac:dyDescent="0.25">
      <c r="A7980" s="924">
        <f t="shared" si="124"/>
        <v>7980</v>
      </c>
      <c r="B7980" s="924">
        <v>19.2</v>
      </c>
    </row>
    <row r="7981" spans="1:2" x14ac:dyDescent="0.25">
      <c r="A7981" s="924">
        <f t="shared" si="124"/>
        <v>7981</v>
      </c>
      <c r="B7981" s="924">
        <v>19.2</v>
      </c>
    </row>
    <row r="7982" spans="1:2" x14ac:dyDescent="0.25">
      <c r="A7982" s="924">
        <f t="shared" si="124"/>
        <v>7982</v>
      </c>
      <c r="B7982" s="924">
        <v>19.2</v>
      </c>
    </row>
    <row r="7983" spans="1:2" x14ac:dyDescent="0.25">
      <c r="A7983" s="924">
        <f t="shared" si="124"/>
        <v>7983</v>
      </c>
      <c r="B7983" s="924">
        <v>19.2</v>
      </c>
    </row>
    <row r="7984" spans="1:2" x14ac:dyDescent="0.25">
      <c r="A7984" s="924">
        <f t="shared" si="124"/>
        <v>7984</v>
      </c>
      <c r="B7984" s="924">
        <v>19.2</v>
      </c>
    </row>
    <row r="7985" spans="1:2" x14ac:dyDescent="0.25">
      <c r="A7985" s="924">
        <f t="shared" si="124"/>
        <v>7985</v>
      </c>
      <c r="B7985" s="924">
        <v>19.3</v>
      </c>
    </row>
    <row r="7986" spans="1:2" x14ac:dyDescent="0.25">
      <c r="A7986" s="924">
        <f t="shared" si="124"/>
        <v>7986</v>
      </c>
      <c r="B7986" s="924">
        <v>19.3</v>
      </c>
    </row>
    <row r="7987" spans="1:2" x14ac:dyDescent="0.25">
      <c r="A7987" s="924">
        <f t="shared" si="124"/>
        <v>7987</v>
      </c>
      <c r="B7987" s="924">
        <v>19.3</v>
      </c>
    </row>
    <row r="7988" spans="1:2" x14ac:dyDescent="0.25">
      <c r="A7988" s="924">
        <f t="shared" si="124"/>
        <v>7988</v>
      </c>
      <c r="B7988" s="924">
        <v>19.3</v>
      </c>
    </row>
    <row r="7989" spans="1:2" x14ac:dyDescent="0.25">
      <c r="A7989" s="924">
        <f t="shared" si="124"/>
        <v>7989</v>
      </c>
      <c r="B7989" s="924">
        <v>19.3</v>
      </c>
    </row>
    <row r="7990" spans="1:2" x14ac:dyDescent="0.25">
      <c r="A7990" s="924">
        <f t="shared" si="124"/>
        <v>7990</v>
      </c>
      <c r="B7990" s="924">
        <v>19.3</v>
      </c>
    </row>
    <row r="7991" spans="1:2" x14ac:dyDescent="0.25">
      <c r="A7991" s="924">
        <f t="shared" si="124"/>
        <v>7991</v>
      </c>
      <c r="B7991" s="924">
        <v>19.3</v>
      </c>
    </row>
    <row r="7992" spans="1:2" x14ac:dyDescent="0.25">
      <c r="A7992" s="924">
        <f t="shared" si="124"/>
        <v>7992</v>
      </c>
      <c r="B7992" s="924">
        <v>19.3</v>
      </c>
    </row>
    <row r="7993" spans="1:2" x14ac:dyDescent="0.25">
      <c r="A7993" s="924">
        <f t="shared" si="124"/>
        <v>7993</v>
      </c>
      <c r="B7993" s="924">
        <v>19.3</v>
      </c>
    </row>
    <row r="7994" spans="1:2" x14ac:dyDescent="0.25">
      <c r="A7994" s="924">
        <f t="shared" si="124"/>
        <v>7994</v>
      </c>
      <c r="B7994" s="924">
        <v>19.3</v>
      </c>
    </row>
    <row r="7995" spans="1:2" x14ac:dyDescent="0.25">
      <c r="A7995" s="924">
        <f t="shared" si="124"/>
        <v>7995</v>
      </c>
      <c r="B7995" s="924">
        <v>19.3</v>
      </c>
    </row>
    <row r="7996" spans="1:2" x14ac:dyDescent="0.25">
      <c r="A7996" s="924">
        <f t="shared" si="124"/>
        <v>7996</v>
      </c>
      <c r="B7996" s="924">
        <v>19.3</v>
      </c>
    </row>
    <row r="7997" spans="1:2" x14ac:dyDescent="0.25">
      <c r="A7997" s="924">
        <f t="shared" si="124"/>
        <v>7997</v>
      </c>
      <c r="B7997" s="924">
        <v>19.3</v>
      </c>
    </row>
    <row r="7998" spans="1:2" x14ac:dyDescent="0.25">
      <c r="A7998" s="924">
        <f t="shared" si="124"/>
        <v>7998</v>
      </c>
      <c r="B7998" s="924">
        <v>19.3</v>
      </c>
    </row>
    <row r="7999" spans="1:2" x14ac:dyDescent="0.25">
      <c r="A7999" s="924">
        <f t="shared" si="124"/>
        <v>7999</v>
      </c>
      <c r="B7999" s="924">
        <v>19.3</v>
      </c>
    </row>
    <row r="8000" spans="1:2" x14ac:dyDescent="0.25">
      <c r="A8000" s="924">
        <f t="shared" si="124"/>
        <v>8000</v>
      </c>
      <c r="B8000" s="924">
        <v>19.3</v>
      </c>
    </row>
    <row r="8001" spans="1:2" x14ac:dyDescent="0.25">
      <c r="A8001" s="924">
        <f t="shared" si="124"/>
        <v>8001</v>
      </c>
      <c r="B8001" s="924">
        <v>19.3</v>
      </c>
    </row>
    <row r="8002" spans="1:2" x14ac:dyDescent="0.25">
      <c r="A8002" s="924">
        <f t="shared" si="124"/>
        <v>8002</v>
      </c>
      <c r="B8002" s="924">
        <v>19.3</v>
      </c>
    </row>
    <row r="8003" spans="1:2" x14ac:dyDescent="0.25">
      <c r="A8003" s="924">
        <f t="shared" ref="A8003:A8066" si="125">A8002+1</f>
        <v>8003</v>
      </c>
      <c r="B8003" s="924">
        <v>19.3</v>
      </c>
    </row>
    <row r="8004" spans="1:2" x14ac:dyDescent="0.25">
      <c r="A8004" s="924">
        <f t="shared" si="125"/>
        <v>8004</v>
      </c>
      <c r="B8004" s="924">
        <v>19.3</v>
      </c>
    </row>
    <row r="8005" spans="1:2" x14ac:dyDescent="0.25">
      <c r="A8005" s="924">
        <f t="shared" si="125"/>
        <v>8005</v>
      </c>
      <c r="B8005" s="924">
        <v>19.3</v>
      </c>
    </row>
    <row r="8006" spans="1:2" x14ac:dyDescent="0.25">
      <c r="A8006" s="924">
        <f t="shared" si="125"/>
        <v>8006</v>
      </c>
      <c r="B8006" s="924">
        <v>19.3</v>
      </c>
    </row>
    <row r="8007" spans="1:2" x14ac:dyDescent="0.25">
      <c r="A8007" s="924">
        <f t="shared" si="125"/>
        <v>8007</v>
      </c>
      <c r="B8007" s="924">
        <v>19.3</v>
      </c>
    </row>
    <row r="8008" spans="1:2" x14ac:dyDescent="0.25">
      <c r="A8008" s="924">
        <f t="shared" si="125"/>
        <v>8008</v>
      </c>
      <c r="B8008" s="924">
        <v>19.3</v>
      </c>
    </row>
    <row r="8009" spans="1:2" x14ac:dyDescent="0.25">
      <c r="A8009" s="924">
        <f t="shared" si="125"/>
        <v>8009</v>
      </c>
      <c r="B8009" s="924">
        <v>19.3</v>
      </c>
    </row>
    <row r="8010" spans="1:2" x14ac:dyDescent="0.25">
      <c r="A8010" s="924">
        <f t="shared" si="125"/>
        <v>8010</v>
      </c>
      <c r="B8010" s="924">
        <v>19.3</v>
      </c>
    </row>
    <row r="8011" spans="1:2" x14ac:dyDescent="0.25">
      <c r="A8011" s="924">
        <f t="shared" si="125"/>
        <v>8011</v>
      </c>
      <c r="B8011" s="924">
        <v>19.3</v>
      </c>
    </row>
    <row r="8012" spans="1:2" x14ac:dyDescent="0.25">
      <c r="A8012" s="924">
        <f t="shared" si="125"/>
        <v>8012</v>
      </c>
      <c r="B8012" s="924">
        <v>19.399999999999999</v>
      </c>
    </row>
    <row r="8013" spans="1:2" x14ac:dyDescent="0.25">
      <c r="A8013" s="924">
        <f t="shared" si="125"/>
        <v>8013</v>
      </c>
      <c r="B8013" s="924">
        <v>19.399999999999999</v>
      </c>
    </row>
    <row r="8014" spans="1:2" x14ac:dyDescent="0.25">
      <c r="A8014" s="924">
        <f t="shared" si="125"/>
        <v>8014</v>
      </c>
      <c r="B8014" s="924">
        <v>19.399999999999999</v>
      </c>
    </row>
    <row r="8015" spans="1:2" x14ac:dyDescent="0.25">
      <c r="A8015" s="924">
        <f t="shared" si="125"/>
        <v>8015</v>
      </c>
      <c r="B8015" s="924">
        <v>19.399999999999999</v>
      </c>
    </row>
    <row r="8016" spans="1:2" x14ac:dyDescent="0.25">
      <c r="A8016" s="924">
        <f t="shared" si="125"/>
        <v>8016</v>
      </c>
      <c r="B8016" s="924">
        <v>19.399999999999999</v>
      </c>
    </row>
    <row r="8017" spans="1:2" x14ac:dyDescent="0.25">
      <c r="A8017" s="924">
        <f t="shared" si="125"/>
        <v>8017</v>
      </c>
      <c r="B8017" s="924">
        <v>19.399999999999999</v>
      </c>
    </row>
    <row r="8018" spans="1:2" x14ac:dyDescent="0.25">
      <c r="A8018" s="924">
        <f t="shared" si="125"/>
        <v>8018</v>
      </c>
      <c r="B8018" s="924">
        <v>19.399999999999999</v>
      </c>
    </row>
    <row r="8019" spans="1:2" x14ac:dyDescent="0.25">
      <c r="A8019" s="924">
        <f t="shared" si="125"/>
        <v>8019</v>
      </c>
      <c r="B8019" s="924">
        <v>19.399999999999999</v>
      </c>
    </row>
    <row r="8020" spans="1:2" x14ac:dyDescent="0.25">
      <c r="A8020" s="924">
        <f t="shared" si="125"/>
        <v>8020</v>
      </c>
      <c r="B8020" s="924">
        <v>19.399999999999999</v>
      </c>
    </row>
    <row r="8021" spans="1:2" x14ac:dyDescent="0.25">
      <c r="A8021" s="924">
        <f t="shared" si="125"/>
        <v>8021</v>
      </c>
      <c r="B8021" s="924">
        <v>19.399999999999999</v>
      </c>
    </row>
    <row r="8022" spans="1:2" x14ac:dyDescent="0.25">
      <c r="A8022" s="924">
        <f t="shared" si="125"/>
        <v>8022</v>
      </c>
      <c r="B8022" s="924">
        <v>19.399999999999999</v>
      </c>
    </row>
    <row r="8023" spans="1:2" x14ac:dyDescent="0.25">
      <c r="A8023" s="924">
        <f t="shared" si="125"/>
        <v>8023</v>
      </c>
      <c r="B8023" s="924">
        <v>19.399999999999999</v>
      </c>
    </row>
    <row r="8024" spans="1:2" x14ac:dyDescent="0.25">
      <c r="A8024" s="924">
        <f t="shared" si="125"/>
        <v>8024</v>
      </c>
      <c r="B8024" s="924">
        <v>19.399999999999999</v>
      </c>
    </row>
    <row r="8025" spans="1:2" x14ac:dyDescent="0.25">
      <c r="A8025" s="924">
        <f t="shared" si="125"/>
        <v>8025</v>
      </c>
      <c r="B8025" s="924">
        <v>19.399999999999999</v>
      </c>
    </row>
    <row r="8026" spans="1:2" x14ac:dyDescent="0.25">
      <c r="A8026" s="924">
        <f t="shared" si="125"/>
        <v>8026</v>
      </c>
      <c r="B8026" s="924">
        <v>19.399999999999999</v>
      </c>
    </row>
    <row r="8027" spans="1:2" x14ac:dyDescent="0.25">
      <c r="A8027" s="924">
        <f t="shared" si="125"/>
        <v>8027</v>
      </c>
      <c r="B8027" s="924">
        <v>19.399999999999999</v>
      </c>
    </row>
    <row r="8028" spans="1:2" x14ac:dyDescent="0.25">
      <c r="A8028" s="924">
        <f t="shared" si="125"/>
        <v>8028</v>
      </c>
      <c r="B8028" s="924">
        <v>19.399999999999999</v>
      </c>
    </row>
    <row r="8029" spans="1:2" x14ac:dyDescent="0.25">
      <c r="A8029" s="924">
        <f t="shared" si="125"/>
        <v>8029</v>
      </c>
      <c r="B8029" s="924">
        <v>19.399999999999999</v>
      </c>
    </row>
    <row r="8030" spans="1:2" x14ac:dyDescent="0.25">
      <c r="A8030" s="924">
        <f t="shared" si="125"/>
        <v>8030</v>
      </c>
      <c r="B8030" s="924">
        <v>19.399999999999999</v>
      </c>
    </row>
    <row r="8031" spans="1:2" x14ac:dyDescent="0.25">
      <c r="A8031" s="924">
        <f t="shared" si="125"/>
        <v>8031</v>
      </c>
      <c r="B8031" s="924">
        <v>19.399999999999999</v>
      </c>
    </row>
    <row r="8032" spans="1:2" x14ac:dyDescent="0.25">
      <c r="A8032" s="924">
        <f t="shared" si="125"/>
        <v>8032</v>
      </c>
      <c r="B8032" s="924">
        <v>19.399999999999999</v>
      </c>
    </row>
    <row r="8033" spans="1:2" x14ac:dyDescent="0.25">
      <c r="A8033" s="924">
        <f t="shared" si="125"/>
        <v>8033</v>
      </c>
      <c r="B8033" s="924">
        <v>19.399999999999999</v>
      </c>
    </row>
    <row r="8034" spans="1:2" x14ac:dyDescent="0.25">
      <c r="A8034" s="924">
        <f t="shared" si="125"/>
        <v>8034</v>
      </c>
      <c r="B8034" s="924">
        <v>19.5</v>
      </c>
    </row>
    <row r="8035" spans="1:2" x14ac:dyDescent="0.25">
      <c r="A8035" s="924">
        <f t="shared" si="125"/>
        <v>8035</v>
      </c>
      <c r="B8035" s="924">
        <v>19.5</v>
      </c>
    </row>
    <row r="8036" spans="1:2" x14ac:dyDescent="0.25">
      <c r="A8036" s="924">
        <f t="shared" si="125"/>
        <v>8036</v>
      </c>
      <c r="B8036" s="924">
        <v>19.5</v>
      </c>
    </row>
    <row r="8037" spans="1:2" x14ac:dyDescent="0.25">
      <c r="A8037" s="924">
        <f t="shared" si="125"/>
        <v>8037</v>
      </c>
      <c r="B8037" s="924">
        <v>19.5</v>
      </c>
    </row>
    <row r="8038" spans="1:2" x14ac:dyDescent="0.25">
      <c r="A8038" s="924">
        <f t="shared" si="125"/>
        <v>8038</v>
      </c>
      <c r="B8038" s="924">
        <v>19.5</v>
      </c>
    </row>
    <row r="8039" spans="1:2" x14ac:dyDescent="0.25">
      <c r="A8039" s="924">
        <f t="shared" si="125"/>
        <v>8039</v>
      </c>
      <c r="B8039" s="924">
        <v>19.5</v>
      </c>
    </row>
    <row r="8040" spans="1:2" x14ac:dyDescent="0.25">
      <c r="A8040" s="924">
        <f t="shared" si="125"/>
        <v>8040</v>
      </c>
      <c r="B8040" s="924">
        <v>19.5</v>
      </c>
    </row>
    <row r="8041" spans="1:2" x14ac:dyDescent="0.25">
      <c r="A8041" s="924">
        <f t="shared" si="125"/>
        <v>8041</v>
      </c>
      <c r="B8041" s="924">
        <v>19.5</v>
      </c>
    </row>
    <row r="8042" spans="1:2" x14ac:dyDescent="0.25">
      <c r="A8042" s="924">
        <f t="shared" si="125"/>
        <v>8042</v>
      </c>
      <c r="B8042" s="924">
        <v>19.5</v>
      </c>
    </row>
    <row r="8043" spans="1:2" x14ac:dyDescent="0.25">
      <c r="A8043" s="924">
        <f t="shared" si="125"/>
        <v>8043</v>
      </c>
      <c r="B8043" s="924">
        <v>19.5</v>
      </c>
    </row>
    <row r="8044" spans="1:2" x14ac:dyDescent="0.25">
      <c r="A8044" s="924">
        <f t="shared" si="125"/>
        <v>8044</v>
      </c>
      <c r="B8044" s="924">
        <v>19.5</v>
      </c>
    </row>
    <row r="8045" spans="1:2" x14ac:dyDescent="0.25">
      <c r="A8045" s="924">
        <f t="shared" si="125"/>
        <v>8045</v>
      </c>
      <c r="B8045" s="924">
        <v>19.5</v>
      </c>
    </row>
    <row r="8046" spans="1:2" x14ac:dyDescent="0.25">
      <c r="A8046" s="924">
        <f t="shared" si="125"/>
        <v>8046</v>
      </c>
      <c r="B8046" s="924">
        <v>19.5</v>
      </c>
    </row>
    <row r="8047" spans="1:2" x14ac:dyDescent="0.25">
      <c r="A8047" s="924">
        <f t="shared" si="125"/>
        <v>8047</v>
      </c>
      <c r="B8047" s="924">
        <v>19.5</v>
      </c>
    </row>
    <row r="8048" spans="1:2" x14ac:dyDescent="0.25">
      <c r="A8048" s="924">
        <f t="shared" si="125"/>
        <v>8048</v>
      </c>
      <c r="B8048" s="924">
        <v>19.5</v>
      </c>
    </row>
    <row r="8049" spans="1:2" x14ac:dyDescent="0.25">
      <c r="A8049" s="924">
        <f t="shared" si="125"/>
        <v>8049</v>
      </c>
      <c r="B8049" s="924">
        <v>19.5</v>
      </c>
    </row>
    <row r="8050" spans="1:2" x14ac:dyDescent="0.25">
      <c r="A8050" s="924">
        <f t="shared" si="125"/>
        <v>8050</v>
      </c>
      <c r="B8050" s="924">
        <v>19.600000000000001</v>
      </c>
    </row>
    <row r="8051" spans="1:2" x14ac:dyDescent="0.25">
      <c r="A8051" s="924">
        <f t="shared" si="125"/>
        <v>8051</v>
      </c>
      <c r="B8051" s="924">
        <v>19.600000000000001</v>
      </c>
    </row>
    <row r="8052" spans="1:2" x14ac:dyDescent="0.25">
      <c r="A8052" s="924">
        <f t="shared" si="125"/>
        <v>8052</v>
      </c>
      <c r="B8052" s="924">
        <v>19.600000000000001</v>
      </c>
    </row>
    <row r="8053" spans="1:2" x14ac:dyDescent="0.25">
      <c r="A8053" s="924">
        <f t="shared" si="125"/>
        <v>8053</v>
      </c>
      <c r="B8053" s="924">
        <v>19.600000000000001</v>
      </c>
    </row>
    <row r="8054" spans="1:2" x14ac:dyDescent="0.25">
      <c r="A8054" s="924">
        <f t="shared" si="125"/>
        <v>8054</v>
      </c>
      <c r="B8054" s="924">
        <v>19.600000000000001</v>
      </c>
    </row>
    <row r="8055" spans="1:2" x14ac:dyDescent="0.25">
      <c r="A8055" s="924">
        <f t="shared" si="125"/>
        <v>8055</v>
      </c>
      <c r="B8055" s="924">
        <v>19.600000000000001</v>
      </c>
    </row>
    <row r="8056" spans="1:2" x14ac:dyDescent="0.25">
      <c r="A8056" s="924">
        <f t="shared" si="125"/>
        <v>8056</v>
      </c>
      <c r="B8056" s="924">
        <v>19.600000000000001</v>
      </c>
    </row>
    <row r="8057" spans="1:2" x14ac:dyDescent="0.25">
      <c r="A8057" s="924">
        <f t="shared" si="125"/>
        <v>8057</v>
      </c>
      <c r="B8057" s="924">
        <v>19.600000000000001</v>
      </c>
    </row>
    <row r="8058" spans="1:2" x14ac:dyDescent="0.25">
      <c r="A8058" s="924">
        <f t="shared" si="125"/>
        <v>8058</v>
      </c>
      <c r="B8058" s="924">
        <v>19.600000000000001</v>
      </c>
    </row>
    <row r="8059" spans="1:2" x14ac:dyDescent="0.25">
      <c r="A8059" s="924">
        <f t="shared" si="125"/>
        <v>8059</v>
      </c>
      <c r="B8059" s="924">
        <v>19.600000000000001</v>
      </c>
    </row>
    <row r="8060" spans="1:2" x14ac:dyDescent="0.25">
      <c r="A8060" s="924">
        <f t="shared" si="125"/>
        <v>8060</v>
      </c>
      <c r="B8060" s="924">
        <v>19.600000000000001</v>
      </c>
    </row>
    <row r="8061" spans="1:2" x14ac:dyDescent="0.25">
      <c r="A8061" s="924">
        <f t="shared" si="125"/>
        <v>8061</v>
      </c>
      <c r="B8061" s="924">
        <v>19.600000000000001</v>
      </c>
    </row>
    <row r="8062" spans="1:2" x14ac:dyDescent="0.25">
      <c r="A8062" s="924">
        <f t="shared" si="125"/>
        <v>8062</v>
      </c>
      <c r="B8062" s="924">
        <v>19.600000000000001</v>
      </c>
    </row>
    <row r="8063" spans="1:2" x14ac:dyDescent="0.25">
      <c r="A8063" s="924">
        <f t="shared" si="125"/>
        <v>8063</v>
      </c>
      <c r="B8063" s="924">
        <v>19.7</v>
      </c>
    </row>
    <row r="8064" spans="1:2" x14ac:dyDescent="0.25">
      <c r="A8064" s="924">
        <f t="shared" si="125"/>
        <v>8064</v>
      </c>
      <c r="B8064" s="924">
        <v>19.7</v>
      </c>
    </row>
    <row r="8065" spans="1:2" x14ac:dyDescent="0.25">
      <c r="A8065" s="924">
        <f t="shared" si="125"/>
        <v>8065</v>
      </c>
      <c r="B8065" s="924">
        <v>19.7</v>
      </c>
    </row>
    <row r="8066" spans="1:2" x14ac:dyDescent="0.25">
      <c r="A8066" s="924">
        <f t="shared" si="125"/>
        <v>8066</v>
      </c>
      <c r="B8066" s="924">
        <v>19.7</v>
      </c>
    </row>
    <row r="8067" spans="1:2" x14ac:dyDescent="0.25">
      <c r="A8067" s="924">
        <f t="shared" ref="A8067:A8130" si="126">A8066+1</f>
        <v>8067</v>
      </c>
      <c r="B8067" s="924">
        <v>19.7</v>
      </c>
    </row>
    <row r="8068" spans="1:2" x14ac:dyDescent="0.25">
      <c r="A8068" s="924">
        <f t="shared" si="126"/>
        <v>8068</v>
      </c>
      <c r="B8068" s="924">
        <v>19.7</v>
      </c>
    </row>
    <row r="8069" spans="1:2" x14ac:dyDescent="0.25">
      <c r="A8069" s="924">
        <f t="shared" si="126"/>
        <v>8069</v>
      </c>
      <c r="B8069" s="924">
        <v>19.7</v>
      </c>
    </row>
    <row r="8070" spans="1:2" x14ac:dyDescent="0.25">
      <c r="A8070" s="924">
        <f t="shared" si="126"/>
        <v>8070</v>
      </c>
      <c r="B8070" s="924">
        <v>19.7</v>
      </c>
    </row>
    <row r="8071" spans="1:2" x14ac:dyDescent="0.25">
      <c r="A8071" s="924">
        <f t="shared" si="126"/>
        <v>8071</v>
      </c>
      <c r="B8071" s="924">
        <v>19.7</v>
      </c>
    </row>
    <row r="8072" spans="1:2" x14ac:dyDescent="0.25">
      <c r="A8072" s="924">
        <f t="shared" si="126"/>
        <v>8072</v>
      </c>
      <c r="B8072" s="924">
        <v>19.7</v>
      </c>
    </row>
    <row r="8073" spans="1:2" x14ac:dyDescent="0.25">
      <c r="A8073" s="924">
        <f t="shared" si="126"/>
        <v>8073</v>
      </c>
      <c r="B8073" s="924">
        <v>19.7</v>
      </c>
    </row>
    <row r="8074" spans="1:2" x14ac:dyDescent="0.25">
      <c r="A8074" s="924">
        <f t="shared" si="126"/>
        <v>8074</v>
      </c>
      <c r="B8074" s="924">
        <v>19.7</v>
      </c>
    </row>
    <row r="8075" spans="1:2" x14ac:dyDescent="0.25">
      <c r="A8075" s="924">
        <f t="shared" si="126"/>
        <v>8075</v>
      </c>
      <c r="B8075" s="924">
        <v>19.7</v>
      </c>
    </row>
    <row r="8076" spans="1:2" x14ac:dyDescent="0.25">
      <c r="A8076" s="924">
        <f t="shared" si="126"/>
        <v>8076</v>
      </c>
      <c r="B8076" s="924">
        <v>19.7</v>
      </c>
    </row>
    <row r="8077" spans="1:2" x14ac:dyDescent="0.25">
      <c r="A8077" s="924">
        <f t="shared" si="126"/>
        <v>8077</v>
      </c>
      <c r="B8077" s="924">
        <v>19.7</v>
      </c>
    </row>
    <row r="8078" spans="1:2" x14ac:dyDescent="0.25">
      <c r="A8078" s="924">
        <f t="shared" si="126"/>
        <v>8078</v>
      </c>
      <c r="B8078" s="924">
        <v>19.7</v>
      </c>
    </row>
    <row r="8079" spans="1:2" x14ac:dyDescent="0.25">
      <c r="A8079" s="924">
        <f t="shared" si="126"/>
        <v>8079</v>
      </c>
      <c r="B8079" s="924">
        <v>19.8</v>
      </c>
    </row>
    <row r="8080" spans="1:2" x14ac:dyDescent="0.25">
      <c r="A8080" s="924">
        <f t="shared" si="126"/>
        <v>8080</v>
      </c>
      <c r="B8080" s="924">
        <v>19.8</v>
      </c>
    </row>
    <row r="8081" spans="1:2" x14ac:dyDescent="0.25">
      <c r="A8081" s="924">
        <f t="shared" si="126"/>
        <v>8081</v>
      </c>
      <c r="B8081" s="924">
        <v>19.8</v>
      </c>
    </row>
    <row r="8082" spans="1:2" x14ac:dyDescent="0.25">
      <c r="A8082" s="924">
        <f t="shared" si="126"/>
        <v>8082</v>
      </c>
      <c r="B8082" s="924">
        <v>19.8</v>
      </c>
    </row>
    <row r="8083" spans="1:2" x14ac:dyDescent="0.25">
      <c r="A8083" s="924">
        <f t="shared" si="126"/>
        <v>8083</v>
      </c>
      <c r="B8083" s="924">
        <v>19.8</v>
      </c>
    </row>
    <row r="8084" spans="1:2" x14ac:dyDescent="0.25">
      <c r="A8084" s="924">
        <f t="shared" si="126"/>
        <v>8084</v>
      </c>
      <c r="B8084" s="924">
        <v>19.8</v>
      </c>
    </row>
    <row r="8085" spans="1:2" x14ac:dyDescent="0.25">
      <c r="A8085" s="924">
        <f t="shared" si="126"/>
        <v>8085</v>
      </c>
      <c r="B8085" s="924">
        <v>19.8</v>
      </c>
    </row>
    <row r="8086" spans="1:2" x14ac:dyDescent="0.25">
      <c r="A8086" s="924">
        <f t="shared" si="126"/>
        <v>8086</v>
      </c>
      <c r="B8086" s="924">
        <v>19.8</v>
      </c>
    </row>
    <row r="8087" spans="1:2" x14ac:dyDescent="0.25">
      <c r="A8087" s="924">
        <f t="shared" si="126"/>
        <v>8087</v>
      </c>
      <c r="B8087" s="924">
        <v>19.8</v>
      </c>
    </row>
    <row r="8088" spans="1:2" x14ac:dyDescent="0.25">
      <c r="A8088" s="924">
        <f t="shared" si="126"/>
        <v>8088</v>
      </c>
      <c r="B8088" s="924">
        <v>19.8</v>
      </c>
    </row>
    <row r="8089" spans="1:2" x14ac:dyDescent="0.25">
      <c r="A8089" s="924">
        <f t="shared" si="126"/>
        <v>8089</v>
      </c>
      <c r="B8089" s="924">
        <v>19.8</v>
      </c>
    </row>
    <row r="8090" spans="1:2" x14ac:dyDescent="0.25">
      <c r="A8090" s="924">
        <f t="shared" si="126"/>
        <v>8090</v>
      </c>
      <c r="B8090" s="924">
        <v>19.8</v>
      </c>
    </row>
    <row r="8091" spans="1:2" x14ac:dyDescent="0.25">
      <c r="A8091" s="924">
        <f t="shared" si="126"/>
        <v>8091</v>
      </c>
      <c r="B8091" s="924">
        <v>19.8</v>
      </c>
    </row>
    <row r="8092" spans="1:2" x14ac:dyDescent="0.25">
      <c r="A8092" s="924">
        <f t="shared" si="126"/>
        <v>8092</v>
      </c>
      <c r="B8092" s="924">
        <v>19.8</v>
      </c>
    </row>
    <row r="8093" spans="1:2" x14ac:dyDescent="0.25">
      <c r="A8093" s="924">
        <f t="shared" si="126"/>
        <v>8093</v>
      </c>
      <c r="B8093" s="924">
        <v>19.8</v>
      </c>
    </row>
    <row r="8094" spans="1:2" x14ac:dyDescent="0.25">
      <c r="A8094" s="924">
        <f t="shared" si="126"/>
        <v>8094</v>
      </c>
      <c r="B8094" s="924">
        <v>19.8</v>
      </c>
    </row>
    <row r="8095" spans="1:2" x14ac:dyDescent="0.25">
      <c r="A8095" s="924">
        <f t="shared" si="126"/>
        <v>8095</v>
      </c>
      <c r="B8095" s="924">
        <v>19.8</v>
      </c>
    </row>
    <row r="8096" spans="1:2" x14ac:dyDescent="0.25">
      <c r="A8096" s="924">
        <f t="shared" si="126"/>
        <v>8096</v>
      </c>
      <c r="B8096" s="924">
        <v>19.8</v>
      </c>
    </row>
    <row r="8097" spans="1:2" x14ac:dyDescent="0.25">
      <c r="A8097" s="924">
        <f t="shared" si="126"/>
        <v>8097</v>
      </c>
      <c r="B8097" s="924">
        <v>19.8</v>
      </c>
    </row>
    <row r="8098" spans="1:2" x14ac:dyDescent="0.25">
      <c r="A8098" s="924">
        <f t="shared" si="126"/>
        <v>8098</v>
      </c>
      <c r="B8098" s="924">
        <v>19.8</v>
      </c>
    </row>
    <row r="8099" spans="1:2" x14ac:dyDescent="0.25">
      <c r="A8099" s="924">
        <f t="shared" si="126"/>
        <v>8099</v>
      </c>
      <c r="B8099" s="924">
        <v>19.8</v>
      </c>
    </row>
    <row r="8100" spans="1:2" x14ac:dyDescent="0.25">
      <c r="A8100" s="924">
        <f t="shared" si="126"/>
        <v>8100</v>
      </c>
      <c r="B8100" s="924">
        <v>19.899999999999999</v>
      </c>
    </row>
    <row r="8101" spans="1:2" x14ac:dyDescent="0.25">
      <c r="A8101" s="924">
        <f t="shared" si="126"/>
        <v>8101</v>
      </c>
      <c r="B8101" s="924">
        <v>19.899999999999999</v>
      </c>
    </row>
    <row r="8102" spans="1:2" x14ac:dyDescent="0.25">
      <c r="A8102" s="924">
        <f t="shared" si="126"/>
        <v>8102</v>
      </c>
      <c r="B8102" s="924">
        <v>19.899999999999999</v>
      </c>
    </row>
    <row r="8103" spans="1:2" x14ac:dyDescent="0.25">
      <c r="A8103" s="924">
        <f t="shared" si="126"/>
        <v>8103</v>
      </c>
      <c r="B8103" s="924">
        <v>19.899999999999999</v>
      </c>
    </row>
    <row r="8104" spans="1:2" x14ac:dyDescent="0.25">
      <c r="A8104" s="924">
        <f t="shared" si="126"/>
        <v>8104</v>
      </c>
      <c r="B8104" s="924">
        <v>19.899999999999999</v>
      </c>
    </row>
    <row r="8105" spans="1:2" x14ac:dyDescent="0.25">
      <c r="A8105" s="924">
        <f t="shared" si="126"/>
        <v>8105</v>
      </c>
      <c r="B8105" s="924">
        <v>19.899999999999999</v>
      </c>
    </row>
    <row r="8106" spans="1:2" x14ac:dyDescent="0.25">
      <c r="A8106" s="924">
        <f t="shared" si="126"/>
        <v>8106</v>
      </c>
      <c r="B8106" s="924">
        <v>19.899999999999999</v>
      </c>
    </row>
    <row r="8107" spans="1:2" x14ac:dyDescent="0.25">
      <c r="A8107" s="924">
        <f t="shared" si="126"/>
        <v>8107</v>
      </c>
      <c r="B8107" s="924">
        <v>19.899999999999999</v>
      </c>
    </row>
    <row r="8108" spans="1:2" x14ac:dyDescent="0.25">
      <c r="A8108" s="924">
        <f t="shared" si="126"/>
        <v>8108</v>
      </c>
      <c r="B8108" s="924">
        <v>19.899999999999999</v>
      </c>
    </row>
    <row r="8109" spans="1:2" x14ac:dyDescent="0.25">
      <c r="A8109" s="924">
        <f t="shared" si="126"/>
        <v>8109</v>
      </c>
      <c r="B8109" s="924">
        <v>19.899999999999999</v>
      </c>
    </row>
    <row r="8110" spans="1:2" x14ac:dyDescent="0.25">
      <c r="A8110" s="924">
        <f t="shared" si="126"/>
        <v>8110</v>
      </c>
      <c r="B8110" s="924">
        <v>20</v>
      </c>
    </row>
    <row r="8111" spans="1:2" x14ac:dyDescent="0.25">
      <c r="A8111" s="924">
        <f t="shared" si="126"/>
        <v>8111</v>
      </c>
      <c r="B8111" s="924">
        <v>20</v>
      </c>
    </row>
    <row r="8112" spans="1:2" x14ac:dyDescent="0.25">
      <c r="A8112" s="924">
        <f t="shared" si="126"/>
        <v>8112</v>
      </c>
      <c r="B8112" s="924">
        <v>20</v>
      </c>
    </row>
    <row r="8113" spans="1:2" x14ac:dyDescent="0.25">
      <c r="A8113" s="924">
        <f t="shared" si="126"/>
        <v>8113</v>
      </c>
      <c r="B8113" s="924">
        <v>20</v>
      </c>
    </row>
    <row r="8114" spans="1:2" x14ac:dyDescent="0.25">
      <c r="A8114" s="924">
        <f t="shared" si="126"/>
        <v>8114</v>
      </c>
      <c r="B8114" s="924">
        <v>20</v>
      </c>
    </row>
    <row r="8115" spans="1:2" x14ac:dyDescent="0.25">
      <c r="A8115" s="924">
        <f t="shared" si="126"/>
        <v>8115</v>
      </c>
      <c r="B8115" s="924">
        <v>20</v>
      </c>
    </row>
    <row r="8116" spans="1:2" x14ac:dyDescent="0.25">
      <c r="A8116" s="924">
        <f t="shared" si="126"/>
        <v>8116</v>
      </c>
      <c r="B8116" s="924">
        <v>20</v>
      </c>
    </row>
    <row r="8117" spans="1:2" x14ac:dyDescent="0.25">
      <c r="A8117" s="924">
        <f t="shared" si="126"/>
        <v>8117</v>
      </c>
      <c r="B8117" s="924">
        <v>20</v>
      </c>
    </row>
    <row r="8118" spans="1:2" x14ac:dyDescent="0.25">
      <c r="A8118" s="924">
        <f t="shared" si="126"/>
        <v>8118</v>
      </c>
      <c r="B8118" s="924">
        <v>20</v>
      </c>
    </row>
    <row r="8119" spans="1:2" x14ac:dyDescent="0.25">
      <c r="A8119" s="924">
        <f t="shared" si="126"/>
        <v>8119</v>
      </c>
      <c r="B8119" s="924">
        <v>20</v>
      </c>
    </row>
    <row r="8120" spans="1:2" x14ac:dyDescent="0.25">
      <c r="A8120" s="924">
        <f t="shared" si="126"/>
        <v>8120</v>
      </c>
      <c r="B8120" s="924">
        <v>20</v>
      </c>
    </row>
    <row r="8121" spans="1:2" x14ac:dyDescent="0.25">
      <c r="A8121" s="924">
        <f t="shared" si="126"/>
        <v>8121</v>
      </c>
      <c r="B8121" s="924">
        <v>20</v>
      </c>
    </row>
    <row r="8122" spans="1:2" x14ac:dyDescent="0.25">
      <c r="A8122" s="924">
        <f t="shared" si="126"/>
        <v>8122</v>
      </c>
      <c r="B8122" s="924">
        <v>20</v>
      </c>
    </row>
    <row r="8123" spans="1:2" x14ac:dyDescent="0.25">
      <c r="A8123" s="924">
        <f t="shared" si="126"/>
        <v>8123</v>
      </c>
      <c r="B8123" s="924">
        <v>20</v>
      </c>
    </row>
    <row r="8124" spans="1:2" x14ac:dyDescent="0.25">
      <c r="A8124" s="924">
        <f t="shared" si="126"/>
        <v>8124</v>
      </c>
      <c r="B8124" s="924">
        <v>20</v>
      </c>
    </row>
    <row r="8125" spans="1:2" x14ac:dyDescent="0.25">
      <c r="A8125" s="924">
        <f t="shared" si="126"/>
        <v>8125</v>
      </c>
      <c r="B8125" s="924">
        <v>20</v>
      </c>
    </row>
    <row r="8126" spans="1:2" x14ac:dyDescent="0.25">
      <c r="A8126" s="924">
        <f t="shared" si="126"/>
        <v>8126</v>
      </c>
      <c r="B8126" s="924">
        <v>20</v>
      </c>
    </row>
    <row r="8127" spans="1:2" x14ac:dyDescent="0.25">
      <c r="A8127" s="924">
        <f t="shared" si="126"/>
        <v>8127</v>
      </c>
      <c r="B8127" s="924">
        <v>20</v>
      </c>
    </row>
    <row r="8128" spans="1:2" x14ac:dyDescent="0.25">
      <c r="A8128" s="924">
        <f t="shared" si="126"/>
        <v>8128</v>
      </c>
      <c r="B8128" s="924">
        <v>20</v>
      </c>
    </row>
    <row r="8129" spans="1:2" x14ac:dyDescent="0.25">
      <c r="A8129" s="924">
        <f t="shared" si="126"/>
        <v>8129</v>
      </c>
      <c r="B8129" s="924">
        <v>20</v>
      </c>
    </row>
    <row r="8130" spans="1:2" x14ac:dyDescent="0.25">
      <c r="A8130" s="924">
        <f t="shared" si="126"/>
        <v>8130</v>
      </c>
      <c r="B8130" s="924">
        <v>20</v>
      </c>
    </row>
    <row r="8131" spans="1:2" x14ac:dyDescent="0.25">
      <c r="A8131" s="924">
        <f t="shared" ref="A8131:A8194" si="127">A8130+1</f>
        <v>8131</v>
      </c>
      <c r="B8131" s="924">
        <v>20.100000000000001</v>
      </c>
    </row>
    <row r="8132" spans="1:2" x14ac:dyDescent="0.25">
      <c r="A8132" s="924">
        <f t="shared" si="127"/>
        <v>8132</v>
      </c>
      <c r="B8132" s="924">
        <v>20.100000000000001</v>
      </c>
    </row>
    <row r="8133" spans="1:2" x14ac:dyDescent="0.25">
      <c r="A8133" s="924">
        <f t="shared" si="127"/>
        <v>8133</v>
      </c>
      <c r="B8133" s="924">
        <v>20.100000000000001</v>
      </c>
    </row>
    <row r="8134" spans="1:2" x14ac:dyDescent="0.25">
      <c r="A8134" s="924">
        <f t="shared" si="127"/>
        <v>8134</v>
      </c>
      <c r="B8134" s="924">
        <v>20.100000000000001</v>
      </c>
    </row>
    <row r="8135" spans="1:2" x14ac:dyDescent="0.25">
      <c r="A8135" s="924">
        <f t="shared" si="127"/>
        <v>8135</v>
      </c>
      <c r="B8135" s="924">
        <v>20.100000000000001</v>
      </c>
    </row>
    <row r="8136" spans="1:2" x14ac:dyDescent="0.25">
      <c r="A8136" s="924">
        <f t="shared" si="127"/>
        <v>8136</v>
      </c>
      <c r="B8136" s="924">
        <v>20.100000000000001</v>
      </c>
    </row>
    <row r="8137" spans="1:2" x14ac:dyDescent="0.25">
      <c r="A8137" s="924">
        <f t="shared" si="127"/>
        <v>8137</v>
      </c>
      <c r="B8137" s="924">
        <v>20.100000000000001</v>
      </c>
    </row>
    <row r="8138" spans="1:2" x14ac:dyDescent="0.25">
      <c r="A8138" s="924">
        <f t="shared" si="127"/>
        <v>8138</v>
      </c>
      <c r="B8138" s="924">
        <v>20.100000000000001</v>
      </c>
    </row>
    <row r="8139" spans="1:2" x14ac:dyDescent="0.25">
      <c r="A8139" s="924">
        <f t="shared" si="127"/>
        <v>8139</v>
      </c>
      <c r="B8139" s="924">
        <v>20.100000000000001</v>
      </c>
    </row>
    <row r="8140" spans="1:2" x14ac:dyDescent="0.25">
      <c r="A8140" s="924">
        <f t="shared" si="127"/>
        <v>8140</v>
      </c>
      <c r="B8140" s="924">
        <v>20.100000000000001</v>
      </c>
    </row>
    <row r="8141" spans="1:2" x14ac:dyDescent="0.25">
      <c r="A8141" s="924">
        <f t="shared" si="127"/>
        <v>8141</v>
      </c>
      <c r="B8141" s="924">
        <v>20.100000000000001</v>
      </c>
    </row>
    <row r="8142" spans="1:2" x14ac:dyDescent="0.25">
      <c r="A8142" s="924">
        <f t="shared" si="127"/>
        <v>8142</v>
      </c>
      <c r="B8142" s="924">
        <v>20.100000000000001</v>
      </c>
    </row>
    <row r="8143" spans="1:2" x14ac:dyDescent="0.25">
      <c r="A8143" s="924">
        <f t="shared" si="127"/>
        <v>8143</v>
      </c>
      <c r="B8143" s="924">
        <v>20.2</v>
      </c>
    </row>
    <row r="8144" spans="1:2" x14ac:dyDescent="0.25">
      <c r="A8144" s="924">
        <f t="shared" si="127"/>
        <v>8144</v>
      </c>
      <c r="B8144" s="924">
        <v>20.2</v>
      </c>
    </row>
    <row r="8145" spans="1:2" x14ac:dyDescent="0.25">
      <c r="A8145" s="924">
        <f t="shared" si="127"/>
        <v>8145</v>
      </c>
      <c r="B8145" s="924">
        <v>20.2</v>
      </c>
    </row>
    <row r="8146" spans="1:2" x14ac:dyDescent="0.25">
      <c r="A8146" s="924">
        <f t="shared" si="127"/>
        <v>8146</v>
      </c>
      <c r="B8146" s="924">
        <v>20.2</v>
      </c>
    </row>
    <row r="8147" spans="1:2" x14ac:dyDescent="0.25">
      <c r="A8147" s="924">
        <f t="shared" si="127"/>
        <v>8147</v>
      </c>
      <c r="B8147" s="924">
        <v>20.2</v>
      </c>
    </row>
    <row r="8148" spans="1:2" x14ac:dyDescent="0.25">
      <c r="A8148" s="924">
        <f t="shared" si="127"/>
        <v>8148</v>
      </c>
      <c r="B8148" s="924">
        <v>20.2</v>
      </c>
    </row>
    <row r="8149" spans="1:2" x14ac:dyDescent="0.25">
      <c r="A8149" s="924">
        <f t="shared" si="127"/>
        <v>8149</v>
      </c>
      <c r="B8149" s="924">
        <v>20.2</v>
      </c>
    </row>
    <row r="8150" spans="1:2" x14ac:dyDescent="0.25">
      <c r="A8150" s="924">
        <f t="shared" si="127"/>
        <v>8150</v>
      </c>
      <c r="B8150" s="924">
        <v>20.2</v>
      </c>
    </row>
    <row r="8151" spans="1:2" x14ac:dyDescent="0.25">
      <c r="A8151" s="924">
        <f t="shared" si="127"/>
        <v>8151</v>
      </c>
      <c r="B8151" s="924">
        <v>20.2</v>
      </c>
    </row>
    <row r="8152" spans="1:2" x14ac:dyDescent="0.25">
      <c r="A8152" s="924">
        <f t="shared" si="127"/>
        <v>8152</v>
      </c>
      <c r="B8152" s="924">
        <v>20.2</v>
      </c>
    </row>
    <row r="8153" spans="1:2" x14ac:dyDescent="0.25">
      <c r="A8153" s="924">
        <f t="shared" si="127"/>
        <v>8153</v>
      </c>
      <c r="B8153" s="924">
        <v>20.3</v>
      </c>
    </row>
    <row r="8154" spans="1:2" x14ac:dyDescent="0.25">
      <c r="A8154" s="924">
        <f t="shared" si="127"/>
        <v>8154</v>
      </c>
      <c r="B8154" s="924">
        <v>20.3</v>
      </c>
    </row>
    <row r="8155" spans="1:2" x14ac:dyDescent="0.25">
      <c r="A8155" s="924">
        <f t="shared" si="127"/>
        <v>8155</v>
      </c>
      <c r="B8155" s="924">
        <v>20.3</v>
      </c>
    </row>
    <row r="8156" spans="1:2" x14ac:dyDescent="0.25">
      <c r="A8156" s="924">
        <f t="shared" si="127"/>
        <v>8156</v>
      </c>
      <c r="B8156" s="924">
        <v>20.3</v>
      </c>
    </row>
    <row r="8157" spans="1:2" x14ac:dyDescent="0.25">
      <c r="A8157" s="924">
        <f t="shared" si="127"/>
        <v>8157</v>
      </c>
      <c r="B8157" s="924">
        <v>20.3</v>
      </c>
    </row>
    <row r="8158" spans="1:2" x14ac:dyDescent="0.25">
      <c r="A8158" s="924">
        <f t="shared" si="127"/>
        <v>8158</v>
      </c>
      <c r="B8158" s="924">
        <v>20.3</v>
      </c>
    </row>
    <row r="8159" spans="1:2" x14ac:dyDescent="0.25">
      <c r="A8159" s="924">
        <f t="shared" si="127"/>
        <v>8159</v>
      </c>
      <c r="B8159" s="924">
        <v>20.3</v>
      </c>
    </row>
    <row r="8160" spans="1:2" x14ac:dyDescent="0.25">
      <c r="A8160" s="924">
        <f t="shared" si="127"/>
        <v>8160</v>
      </c>
      <c r="B8160" s="924">
        <v>20.3</v>
      </c>
    </row>
    <row r="8161" spans="1:2" x14ac:dyDescent="0.25">
      <c r="A8161" s="924">
        <f t="shared" si="127"/>
        <v>8161</v>
      </c>
      <c r="B8161" s="924">
        <v>20.3</v>
      </c>
    </row>
    <row r="8162" spans="1:2" x14ac:dyDescent="0.25">
      <c r="A8162" s="924">
        <f t="shared" si="127"/>
        <v>8162</v>
      </c>
      <c r="B8162" s="924">
        <v>20.3</v>
      </c>
    </row>
    <row r="8163" spans="1:2" x14ac:dyDescent="0.25">
      <c r="A8163" s="924">
        <f t="shared" si="127"/>
        <v>8163</v>
      </c>
      <c r="B8163" s="924">
        <v>20.3</v>
      </c>
    </row>
    <row r="8164" spans="1:2" x14ac:dyDescent="0.25">
      <c r="A8164" s="924">
        <f t="shared" si="127"/>
        <v>8164</v>
      </c>
      <c r="B8164" s="924">
        <v>20.3</v>
      </c>
    </row>
    <row r="8165" spans="1:2" x14ac:dyDescent="0.25">
      <c r="A8165" s="924">
        <f t="shared" si="127"/>
        <v>8165</v>
      </c>
      <c r="B8165" s="924">
        <v>20.3</v>
      </c>
    </row>
    <row r="8166" spans="1:2" x14ac:dyDescent="0.25">
      <c r="A8166" s="924">
        <f t="shared" si="127"/>
        <v>8166</v>
      </c>
      <c r="B8166" s="924">
        <v>20.3</v>
      </c>
    </row>
    <row r="8167" spans="1:2" x14ac:dyDescent="0.25">
      <c r="A8167" s="924">
        <f t="shared" si="127"/>
        <v>8167</v>
      </c>
      <c r="B8167" s="924">
        <v>20.3</v>
      </c>
    </row>
    <row r="8168" spans="1:2" x14ac:dyDescent="0.25">
      <c r="A8168" s="924">
        <f t="shared" si="127"/>
        <v>8168</v>
      </c>
      <c r="B8168" s="924">
        <v>20.3</v>
      </c>
    </row>
    <row r="8169" spans="1:2" x14ac:dyDescent="0.25">
      <c r="A8169" s="924">
        <f t="shared" si="127"/>
        <v>8169</v>
      </c>
      <c r="B8169" s="924">
        <v>20.3</v>
      </c>
    </row>
    <row r="8170" spans="1:2" x14ac:dyDescent="0.25">
      <c r="A8170" s="924">
        <f t="shared" si="127"/>
        <v>8170</v>
      </c>
      <c r="B8170" s="924">
        <v>20.399999999999999</v>
      </c>
    </row>
    <row r="8171" spans="1:2" x14ac:dyDescent="0.25">
      <c r="A8171" s="924">
        <f t="shared" si="127"/>
        <v>8171</v>
      </c>
      <c r="B8171" s="924">
        <v>20.399999999999999</v>
      </c>
    </row>
    <row r="8172" spans="1:2" x14ac:dyDescent="0.25">
      <c r="A8172" s="924">
        <f t="shared" si="127"/>
        <v>8172</v>
      </c>
      <c r="B8172" s="924">
        <v>20.399999999999999</v>
      </c>
    </row>
    <row r="8173" spans="1:2" x14ac:dyDescent="0.25">
      <c r="A8173" s="924">
        <f t="shared" si="127"/>
        <v>8173</v>
      </c>
      <c r="B8173" s="924">
        <v>20.399999999999999</v>
      </c>
    </row>
    <row r="8174" spans="1:2" x14ac:dyDescent="0.25">
      <c r="A8174" s="924">
        <f t="shared" si="127"/>
        <v>8174</v>
      </c>
      <c r="B8174" s="924">
        <v>20.399999999999999</v>
      </c>
    </row>
    <row r="8175" spans="1:2" x14ac:dyDescent="0.25">
      <c r="A8175" s="924">
        <f t="shared" si="127"/>
        <v>8175</v>
      </c>
      <c r="B8175" s="924">
        <v>20.399999999999999</v>
      </c>
    </row>
    <row r="8176" spans="1:2" x14ac:dyDescent="0.25">
      <c r="A8176" s="924">
        <f t="shared" si="127"/>
        <v>8176</v>
      </c>
      <c r="B8176" s="924">
        <v>20.399999999999999</v>
      </c>
    </row>
    <row r="8177" spans="1:2" x14ac:dyDescent="0.25">
      <c r="A8177" s="924">
        <f t="shared" si="127"/>
        <v>8177</v>
      </c>
      <c r="B8177" s="924">
        <v>20.399999999999999</v>
      </c>
    </row>
    <row r="8178" spans="1:2" x14ac:dyDescent="0.25">
      <c r="A8178" s="924">
        <f t="shared" si="127"/>
        <v>8178</v>
      </c>
      <c r="B8178" s="924">
        <v>20.399999999999999</v>
      </c>
    </row>
    <row r="8179" spans="1:2" x14ac:dyDescent="0.25">
      <c r="A8179" s="924">
        <f t="shared" si="127"/>
        <v>8179</v>
      </c>
      <c r="B8179" s="924">
        <v>20.399999999999999</v>
      </c>
    </row>
    <row r="8180" spans="1:2" x14ac:dyDescent="0.25">
      <c r="A8180" s="924">
        <f t="shared" si="127"/>
        <v>8180</v>
      </c>
      <c r="B8180" s="924">
        <v>20.399999999999999</v>
      </c>
    </row>
    <row r="8181" spans="1:2" x14ac:dyDescent="0.25">
      <c r="A8181" s="924">
        <f t="shared" si="127"/>
        <v>8181</v>
      </c>
      <c r="B8181" s="924">
        <v>20.399999999999999</v>
      </c>
    </row>
    <row r="8182" spans="1:2" x14ac:dyDescent="0.25">
      <c r="A8182" s="924">
        <f t="shared" si="127"/>
        <v>8182</v>
      </c>
      <c r="B8182" s="924">
        <v>20.399999999999999</v>
      </c>
    </row>
    <row r="8183" spans="1:2" x14ac:dyDescent="0.25">
      <c r="A8183" s="924">
        <f t="shared" si="127"/>
        <v>8183</v>
      </c>
      <c r="B8183" s="924">
        <v>20.399999999999999</v>
      </c>
    </row>
    <row r="8184" spans="1:2" x14ac:dyDescent="0.25">
      <c r="A8184" s="924">
        <f t="shared" si="127"/>
        <v>8184</v>
      </c>
      <c r="B8184" s="924">
        <v>20.399999999999999</v>
      </c>
    </row>
    <row r="8185" spans="1:2" x14ac:dyDescent="0.25">
      <c r="A8185" s="924">
        <f t="shared" si="127"/>
        <v>8185</v>
      </c>
      <c r="B8185" s="924">
        <v>20.5</v>
      </c>
    </row>
    <row r="8186" spans="1:2" x14ac:dyDescent="0.25">
      <c r="A8186" s="924">
        <f t="shared" si="127"/>
        <v>8186</v>
      </c>
      <c r="B8186" s="924">
        <v>20.5</v>
      </c>
    </row>
    <row r="8187" spans="1:2" x14ac:dyDescent="0.25">
      <c r="A8187" s="924">
        <f t="shared" si="127"/>
        <v>8187</v>
      </c>
      <c r="B8187" s="924">
        <v>20.5</v>
      </c>
    </row>
    <row r="8188" spans="1:2" x14ac:dyDescent="0.25">
      <c r="A8188" s="924">
        <f t="shared" si="127"/>
        <v>8188</v>
      </c>
      <c r="B8188" s="924">
        <v>20.5</v>
      </c>
    </row>
    <row r="8189" spans="1:2" x14ac:dyDescent="0.25">
      <c r="A8189" s="924">
        <f t="shared" si="127"/>
        <v>8189</v>
      </c>
      <c r="B8189" s="924">
        <v>20.5</v>
      </c>
    </row>
    <row r="8190" spans="1:2" x14ac:dyDescent="0.25">
      <c r="A8190" s="924">
        <f t="shared" si="127"/>
        <v>8190</v>
      </c>
      <c r="B8190" s="924">
        <v>20.5</v>
      </c>
    </row>
    <row r="8191" spans="1:2" x14ac:dyDescent="0.25">
      <c r="A8191" s="924">
        <f t="shared" si="127"/>
        <v>8191</v>
      </c>
      <c r="B8191" s="924">
        <v>20.5</v>
      </c>
    </row>
    <row r="8192" spans="1:2" x14ac:dyDescent="0.25">
      <c r="A8192" s="924">
        <f t="shared" si="127"/>
        <v>8192</v>
      </c>
      <c r="B8192" s="924">
        <v>20.5</v>
      </c>
    </row>
    <row r="8193" spans="1:2" x14ac:dyDescent="0.25">
      <c r="A8193" s="924">
        <f t="shared" si="127"/>
        <v>8193</v>
      </c>
      <c r="B8193" s="924">
        <v>20.5</v>
      </c>
    </row>
    <row r="8194" spans="1:2" x14ac:dyDescent="0.25">
      <c r="A8194" s="924">
        <f t="shared" si="127"/>
        <v>8194</v>
      </c>
      <c r="B8194" s="924">
        <v>20.5</v>
      </c>
    </row>
    <row r="8195" spans="1:2" x14ac:dyDescent="0.25">
      <c r="A8195" s="924">
        <f t="shared" ref="A8195:A8258" si="128">A8194+1</f>
        <v>8195</v>
      </c>
      <c r="B8195" s="924">
        <v>20.5</v>
      </c>
    </row>
    <row r="8196" spans="1:2" x14ac:dyDescent="0.25">
      <c r="A8196" s="924">
        <f t="shared" si="128"/>
        <v>8196</v>
      </c>
      <c r="B8196" s="924">
        <v>20.5</v>
      </c>
    </row>
    <row r="8197" spans="1:2" x14ac:dyDescent="0.25">
      <c r="A8197" s="924">
        <f t="shared" si="128"/>
        <v>8197</v>
      </c>
      <c r="B8197" s="924">
        <v>20.6</v>
      </c>
    </row>
    <row r="8198" spans="1:2" x14ac:dyDescent="0.25">
      <c r="A8198" s="924">
        <f t="shared" si="128"/>
        <v>8198</v>
      </c>
      <c r="B8198" s="924">
        <v>20.6</v>
      </c>
    </row>
    <row r="8199" spans="1:2" x14ac:dyDescent="0.25">
      <c r="A8199" s="924">
        <f t="shared" si="128"/>
        <v>8199</v>
      </c>
      <c r="B8199" s="924">
        <v>20.6</v>
      </c>
    </row>
    <row r="8200" spans="1:2" x14ac:dyDescent="0.25">
      <c r="A8200" s="924">
        <f t="shared" si="128"/>
        <v>8200</v>
      </c>
      <c r="B8200" s="924">
        <v>20.6</v>
      </c>
    </row>
    <row r="8201" spans="1:2" x14ac:dyDescent="0.25">
      <c r="A8201" s="924">
        <f t="shared" si="128"/>
        <v>8201</v>
      </c>
      <c r="B8201" s="924">
        <v>20.6</v>
      </c>
    </row>
    <row r="8202" spans="1:2" x14ac:dyDescent="0.25">
      <c r="A8202" s="924">
        <f t="shared" si="128"/>
        <v>8202</v>
      </c>
      <c r="B8202" s="924">
        <v>20.6</v>
      </c>
    </row>
    <row r="8203" spans="1:2" x14ac:dyDescent="0.25">
      <c r="A8203" s="924">
        <f t="shared" si="128"/>
        <v>8203</v>
      </c>
      <c r="B8203" s="924">
        <v>20.6</v>
      </c>
    </row>
    <row r="8204" spans="1:2" x14ac:dyDescent="0.25">
      <c r="A8204" s="924">
        <f t="shared" si="128"/>
        <v>8204</v>
      </c>
      <c r="B8204" s="924">
        <v>20.6</v>
      </c>
    </row>
    <row r="8205" spans="1:2" x14ac:dyDescent="0.25">
      <c r="A8205" s="924">
        <f t="shared" si="128"/>
        <v>8205</v>
      </c>
      <c r="B8205" s="924">
        <v>20.6</v>
      </c>
    </row>
    <row r="8206" spans="1:2" x14ac:dyDescent="0.25">
      <c r="A8206" s="924">
        <f t="shared" si="128"/>
        <v>8206</v>
      </c>
      <c r="B8206" s="924">
        <v>20.6</v>
      </c>
    </row>
    <row r="8207" spans="1:2" x14ac:dyDescent="0.25">
      <c r="A8207" s="924">
        <f t="shared" si="128"/>
        <v>8207</v>
      </c>
      <c r="B8207" s="924">
        <v>20.6</v>
      </c>
    </row>
    <row r="8208" spans="1:2" x14ac:dyDescent="0.25">
      <c r="A8208" s="924">
        <f t="shared" si="128"/>
        <v>8208</v>
      </c>
      <c r="B8208" s="924">
        <v>20.7</v>
      </c>
    </row>
    <row r="8209" spans="1:2" x14ac:dyDescent="0.25">
      <c r="A8209" s="924">
        <f t="shared" si="128"/>
        <v>8209</v>
      </c>
      <c r="B8209" s="924">
        <v>20.7</v>
      </c>
    </row>
    <row r="8210" spans="1:2" x14ac:dyDescent="0.25">
      <c r="A8210" s="924">
        <f t="shared" si="128"/>
        <v>8210</v>
      </c>
      <c r="B8210" s="924">
        <v>20.7</v>
      </c>
    </row>
    <row r="8211" spans="1:2" x14ac:dyDescent="0.25">
      <c r="A8211" s="924">
        <f t="shared" si="128"/>
        <v>8211</v>
      </c>
      <c r="B8211" s="924">
        <v>20.7</v>
      </c>
    </row>
    <row r="8212" spans="1:2" x14ac:dyDescent="0.25">
      <c r="A8212" s="924">
        <f t="shared" si="128"/>
        <v>8212</v>
      </c>
      <c r="B8212" s="924">
        <v>20.7</v>
      </c>
    </row>
    <row r="8213" spans="1:2" x14ac:dyDescent="0.25">
      <c r="A8213" s="924">
        <f t="shared" si="128"/>
        <v>8213</v>
      </c>
      <c r="B8213" s="924">
        <v>20.7</v>
      </c>
    </row>
    <row r="8214" spans="1:2" x14ac:dyDescent="0.25">
      <c r="A8214" s="924">
        <f t="shared" si="128"/>
        <v>8214</v>
      </c>
      <c r="B8214" s="924">
        <v>20.7</v>
      </c>
    </row>
    <row r="8215" spans="1:2" x14ac:dyDescent="0.25">
      <c r="A8215" s="924">
        <f t="shared" si="128"/>
        <v>8215</v>
      </c>
      <c r="B8215" s="924">
        <v>20.7</v>
      </c>
    </row>
    <row r="8216" spans="1:2" x14ac:dyDescent="0.25">
      <c r="A8216" s="924">
        <f t="shared" si="128"/>
        <v>8216</v>
      </c>
      <c r="B8216" s="924">
        <v>20.7</v>
      </c>
    </row>
    <row r="8217" spans="1:2" x14ac:dyDescent="0.25">
      <c r="A8217" s="924">
        <f t="shared" si="128"/>
        <v>8217</v>
      </c>
      <c r="B8217" s="924">
        <v>20.7</v>
      </c>
    </row>
    <row r="8218" spans="1:2" x14ac:dyDescent="0.25">
      <c r="A8218" s="924">
        <f t="shared" si="128"/>
        <v>8218</v>
      </c>
      <c r="B8218" s="924">
        <v>20.7</v>
      </c>
    </row>
    <row r="8219" spans="1:2" x14ac:dyDescent="0.25">
      <c r="A8219" s="924">
        <f t="shared" si="128"/>
        <v>8219</v>
      </c>
      <c r="B8219" s="924">
        <v>20.7</v>
      </c>
    </row>
    <row r="8220" spans="1:2" x14ac:dyDescent="0.25">
      <c r="A8220" s="924">
        <f t="shared" si="128"/>
        <v>8220</v>
      </c>
      <c r="B8220" s="924">
        <v>20.7</v>
      </c>
    </row>
    <row r="8221" spans="1:2" x14ac:dyDescent="0.25">
      <c r="A8221" s="924">
        <f t="shared" si="128"/>
        <v>8221</v>
      </c>
      <c r="B8221" s="924">
        <v>20.7</v>
      </c>
    </row>
    <row r="8222" spans="1:2" x14ac:dyDescent="0.25">
      <c r="A8222" s="924">
        <f t="shared" si="128"/>
        <v>8222</v>
      </c>
      <c r="B8222" s="924">
        <v>20.7</v>
      </c>
    </row>
    <row r="8223" spans="1:2" x14ac:dyDescent="0.25">
      <c r="A8223" s="924">
        <f t="shared" si="128"/>
        <v>8223</v>
      </c>
      <c r="B8223" s="924">
        <v>20.7</v>
      </c>
    </row>
    <row r="8224" spans="1:2" x14ac:dyDescent="0.25">
      <c r="A8224" s="924">
        <f t="shared" si="128"/>
        <v>8224</v>
      </c>
      <c r="B8224" s="924">
        <v>20.7</v>
      </c>
    </row>
    <row r="8225" spans="1:2" x14ac:dyDescent="0.25">
      <c r="A8225" s="924">
        <f t="shared" si="128"/>
        <v>8225</v>
      </c>
      <c r="B8225" s="924">
        <v>20.7</v>
      </c>
    </row>
    <row r="8226" spans="1:2" x14ac:dyDescent="0.25">
      <c r="A8226" s="924">
        <f t="shared" si="128"/>
        <v>8226</v>
      </c>
      <c r="B8226" s="924">
        <v>20.8</v>
      </c>
    </row>
    <row r="8227" spans="1:2" x14ac:dyDescent="0.25">
      <c r="A8227" s="924">
        <f t="shared" si="128"/>
        <v>8227</v>
      </c>
      <c r="B8227" s="924">
        <v>20.8</v>
      </c>
    </row>
    <row r="8228" spans="1:2" x14ac:dyDescent="0.25">
      <c r="A8228" s="924">
        <f t="shared" si="128"/>
        <v>8228</v>
      </c>
      <c r="B8228" s="924">
        <v>20.8</v>
      </c>
    </row>
    <row r="8229" spans="1:2" x14ac:dyDescent="0.25">
      <c r="A8229" s="924">
        <f t="shared" si="128"/>
        <v>8229</v>
      </c>
      <c r="B8229" s="924">
        <v>20.8</v>
      </c>
    </row>
    <row r="8230" spans="1:2" x14ac:dyDescent="0.25">
      <c r="A8230" s="924">
        <f t="shared" si="128"/>
        <v>8230</v>
      </c>
      <c r="B8230" s="924">
        <v>20.8</v>
      </c>
    </row>
    <row r="8231" spans="1:2" x14ac:dyDescent="0.25">
      <c r="A8231" s="924">
        <f t="shared" si="128"/>
        <v>8231</v>
      </c>
      <c r="B8231" s="924">
        <v>20.8</v>
      </c>
    </row>
    <row r="8232" spans="1:2" x14ac:dyDescent="0.25">
      <c r="A8232" s="924">
        <f t="shared" si="128"/>
        <v>8232</v>
      </c>
      <c r="B8232" s="924">
        <v>20.8</v>
      </c>
    </row>
    <row r="8233" spans="1:2" x14ac:dyDescent="0.25">
      <c r="A8233" s="924">
        <f t="shared" si="128"/>
        <v>8233</v>
      </c>
      <c r="B8233" s="924">
        <v>20.8</v>
      </c>
    </row>
    <row r="8234" spans="1:2" x14ac:dyDescent="0.25">
      <c r="A8234" s="924">
        <f t="shared" si="128"/>
        <v>8234</v>
      </c>
      <c r="B8234" s="924">
        <v>20.8</v>
      </c>
    </row>
    <row r="8235" spans="1:2" x14ac:dyDescent="0.25">
      <c r="A8235" s="924">
        <f t="shared" si="128"/>
        <v>8235</v>
      </c>
      <c r="B8235" s="924">
        <v>20.8</v>
      </c>
    </row>
    <row r="8236" spans="1:2" x14ac:dyDescent="0.25">
      <c r="A8236" s="924">
        <f t="shared" si="128"/>
        <v>8236</v>
      </c>
      <c r="B8236" s="924">
        <v>20.8</v>
      </c>
    </row>
    <row r="8237" spans="1:2" x14ac:dyDescent="0.25">
      <c r="A8237" s="924">
        <f t="shared" si="128"/>
        <v>8237</v>
      </c>
      <c r="B8237" s="924">
        <v>20.8</v>
      </c>
    </row>
    <row r="8238" spans="1:2" x14ac:dyDescent="0.25">
      <c r="A8238" s="924">
        <f t="shared" si="128"/>
        <v>8238</v>
      </c>
      <c r="B8238" s="924">
        <v>20.8</v>
      </c>
    </row>
    <row r="8239" spans="1:2" x14ac:dyDescent="0.25">
      <c r="A8239" s="924">
        <f t="shared" si="128"/>
        <v>8239</v>
      </c>
      <c r="B8239" s="924">
        <v>20.9</v>
      </c>
    </row>
    <row r="8240" spans="1:2" x14ac:dyDescent="0.25">
      <c r="A8240" s="924">
        <f t="shared" si="128"/>
        <v>8240</v>
      </c>
      <c r="B8240" s="924">
        <v>20.9</v>
      </c>
    </row>
    <row r="8241" spans="1:2" x14ac:dyDescent="0.25">
      <c r="A8241" s="924">
        <f t="shared" si="128"/>
        <v>8241</v>
      </c>
      <c r="B8241" s="924">
        <v>20.9</v>
      </c>
    </row>
    <row r="8242" spans="1:2" x14ac:dyDescent="0.25">
      <c r="A8242" s="924">
        <f t="shared" si="128"/>
        <v>8242</v>
      </c>
      <c r="B8242" s="924">
        <v>20.9</v>
      </c>
    </row>
    <row r="8243" spans="1:2" x14ac:dyDescent="0.25">
      <c r="A8243" s="924">
        <f t="shared" si="128"/>
        <v>8243</v>
      </c>
      <c r="B8243" s="924">
        <v>20.9</v>
      </c>
    </row>
    <row r="8244" spans="1:2" x14ac:dyDescent="0.25">
      <c r="A8244" s="924">
        <f t="shared" si="128"/>
        <v>8244</v>
      </c>
      <c r="B8244" s="924">
        <v>20.9</v>
      </c>
    </row>
    <row r="8245" spans="1:2" x14ac:dyDescent="0.25">
      <c r="A8245" s="924">
        <f t="shared" si="128"/>
        <v>8245</v>
      </c>
      <c r="B8245" s="924">
        <v>20.9</v>
      </c>
    </row>
    <row r="8246" spans="1:2" x14ac:dyDescent="0.25">
      <c r="A8246" s="924">
        <f t="shared" si="128"/>
        <v>8246</v>
      </c>
      <c r="B8246" s="924">
        <v>20.9</v>
      </c>
    </row>
    <row r="8247" spans="1:2" x14ac:dyDescent="0.25">
      <c r="A8247" s="924">
        <f t="shared" si="128"/>
        <v>8247</v>
      </c>
      <c r="B8247" s="924">
        <v>21</v>
      </c>
    </row>
    <row r="8248" spans="1:2" x14ac:dyDescent="0.25">
      <c r="A8248" s="924">
        <f t="shared" si="128"/>
        <v>8248</v>
      </c>
      <c r="B8248" s="924">
        <v>21</v>
      </c>
    </row>
    <row r="8249" spans="1:2" x14ac:dyDescent="0.25">
      <c r="A8249" s="924">
        <f t="shared" si="128"/>
        <v>8249</v>
      </c>
      <c r="B8249" s="924">
        <v>21</v>
      </c>
    </row>
    <row r="8250" spans="1:2" x14ac:dyDescent="0.25">
      <c r="A8250" s="924">
        <f t="shared" si="128"/>
        <v>8250</v>
      </c>
      <c r="B8250" s="924">
        <v>21</v>
      </c>
    </row>
    <row r="8251" spans="1:2" x14ac:dyDescent="0.25">
      <c r="A8251" s="924">
        <f t="shared" si="128"/>
        <v>8251</v>
      </c>
      <c r="B8251" s="924">
        <v>21</v>
      </c>
    </row>
    <row r="8252" spans="1:2" x14ac:dyDescent="0.25">
      <c r="A8252" s="924">
        <f t="shared" si="128"/>
        <v>8252</v>
      </c>
      <c r="B8252" s="924">
        <v>21</v>
      </c>
    </row>
    <row r="8253" spans="1:2" x14ac:dyDescent="0.25">
      <c r="A8253" s="924">
        <f t="shared" si="128"/>
        <v>8253</v>
      </c>
      <c r="B8253" s="924">
        <v>21</v>
      </c>
    </row>
    <row r="8254" spans="1:2" x14ac:dyDescent="0.25">
      <c r="A8254" s="924">
        <f t="shared" si="128"/>
        <v>8254</v>
      </c>
      <c r="B8254" s="924">
        <v>21</v>
      </c>
    </row>
    <row r="8255" spans="1:2" x14ac:dyDescent="0.25">
      <c r="A8255" s="924">
        <f t="shared" si="128"/>
        <v>8255</v>
      </c>
      <c r="B8255" s="924">
        <v>21</v>
      </c>
    </row>
    <row r="8256" spans="1:2" x14ac:dyDescent="0.25">
      <c r="A8256" s="924">
        <f t="shared" si="128"/>
        <v>8256</v>
      </c>
      <c r="B8256" s="924">
        <v>21</v>
      </c>
    </row>
    <row r="8257" spans="1:2" x14ac:dyDescent="0.25">
      <c r="A8257" s="924">
        <f t="shared" si="128"/>
        <v>8257</v>
      </c>
      <c r="B8257" s="924">
        <v>21</v>
      </c>
    </row>
    <row r="8258" spans="1:2" x14ac:dyDescent="0.25">
      <c r="A8258" s="924">
        <f t="shared" si="128"/>
        <v>8258</v>
      </c>
      <c r="B8258" s="924">
        <v>21</v>
      </c>
    </row>
    <row r="8259" spans="1:2" x14ac:dyDescent="0.25">
      <c r="A8259" s="924">
        <f t="shared" ref="A8259:A8322" si="129">A8258+1</f>
        <v>8259</v>
      </c>
      <c r="B8259" s="924">
        <v>21.1</v>
      </c>
    </row>
    <row r="8260" spans="1:2" x14ac:dyDescent="0.25">
      <c r="A8260" s="924">
        <f t="shared" si="129"/>
        <v>8260</v>
      </c>
      <c r="B8260" s="924">
        <v>21.1</v>
      </c>
    </row>
    <row r="8261" spans="1:2" x14ac:dyDescent="0.25">
      <c r="A8261" s="924">
        <f t="shared" si="129"/>
        <v>8261</v>
      </c>
      <c r="B8261" s="924">
        <v>21.1</v>
      </c>
    </row>
    <row r="8262" spans="1:2" x14ac:dyDescent="0.25">
      <c r="A8262" s="924">
        <f t="shared" si="129"/>
        <v>8262</v>
      </c>
      <c r="B8262" s="924">
        <v>21.1</v>
      </c>
    </row>
    <row r="8263" spans="1:2" x14ac:dyDescent="0.25">
      <c r="A8263" s="924">
        <f t="shared" si="129"/>
        <v>8263</v>
      </c>
      <c r="B8263" s="924">
        <v>21.1</v>
      </c>
    </row>
    <row r="8264" spans="1:2" x14ac:dyDescent="0.25">
      <c r="A8264" s="924">
        <f t="shared" si="129"/>
        <v>8264</v>
      </c>
      <c r="B8264" s="924">
        <v>21.1</v>
      </c>
    </row>
    <row r="8265" spans="1:2" x14ac:dyDescent="0.25">
      <c r="A8265" s="924">
        <f t="shared" si="129"/>
        <v>8265</v>
      </c>
      <c r="B8265" s="924">
        <v>21.1</v>
      </c>
    </row>
    <row r="8266" spans="1:2" x14ac:dyDescent="0.25">
      <c r="A8266" s="924">
        <f t="shared" si="129"/>
        <v>8266</v>
      </c>
      <c r="B8266" s="924">
        <v>21.1</v>
      </c>
    </row>
    <row r="8267" spans="1:2" x14ac:dyDescent="0.25">
      <c r="A8267" s="924">
        <f t="shared" si="129"/>
        <v>8267</v>
      </c>
      <c r="B8267" s="924">
        <v>21.1</v>
      </c>
    </row>
    <row r="8268" spans="1:2" x14ac:dyDescent="0.25">
      <c r="A8268" s="924">
        <f t="shared" si="129"/>
        <v>8268</v>
      </c>
      <c r="B8268" s="924">
        <v>21.1</v>
      </c>
    </row>
    <row r="8269" spans="1:2" x14ac:dyDescent="0.25">
      <c r="A8269" s="924">
        <f t="shared" si="129"/>
        <v>8269</v>
      </c>
      <c r="B8269" s="924">
        <v>21.1</v>
      </c>
    </row>
    <row r="8270" spans="1:2" x14ac:dyDescent="0.25">
      <c r="A8270" s="924">
        <f t="shared" si="129"/>
        <v>8270</v>
      </c>
      <c r="B8270" s="924">
        <v>21.1</v>
      </c>
    </row>
    <row r="8271" spans="1:2" x14ac:dyDescent="0.25">
      <c r="A8271" s="924">
        <f t="shared" si="129"/>
        <v>8271</v>
      </c>
      <c r="B8271" s="924">
        <v>21.2</v>
      </c>
    </row>
    <row r="8272" spans="1:2" x14ac:dyDescent="0.25">
      <c r="A8272" s="924">
        <f t="shared" si="129"/>
        <v>8272</v>
      </c>
      <c r="B8272" s="924">
        <v>21.2</v>
      </c>
    </row>
    <row r="8273" spans="1:2" x14ac:dyDescent="0.25">
      <c r="A8273" s="924">
        <f t="shared" si="129"/>
        <v>8273</v>
      </c>
      <c r="B8273" s="924">
        <v>21.2</v>
      </c>
    </row>
    <row r="8274" spans="1:2" x14ac:dyDescent="0.25">
      <c r="A8274" s="924">
        <f t="shared" si="129"/>
        <v>8274</v>
      </c>
      <c r="B8274" s="924">
        <v>21.2</v>
      </c>
    </row>
    <row r="8275" spans="1:2" x14ac:dyDescent="0.25">
      <c r="A8275" s="924">
        <f t="shared" si="129"/>
        <v>8275</v>
      </c>
      <c r="B8275" s="924">
        <v>21.2</v>
      </c>
    </row>
    <row r="8276" spans="1:2" x14ac:dyDescent="0.25">
      <c r="A8276" s="924">
        <f t="shared" si="129"/>
        <v>8276</v>
      </c>
      <c r="B8276" s="924">
        <v>21.2</v>
      </c>
    </row>
    <row r="8277" spans="1:2" x14ac:dyDescent="0.25">
      <c r="A8277" s="924">
        <f t="shared" si="129"/>
        <v>8277</v>
      </c>
      <c r="B8277" s="924">
        <v>21.2</v>
      </c>
    </row>
    <row r="8278" spans="1:2" x14ac:dyDescent="0.25">
      <c r="A8278" s="924">
        <f t="shared" si="129"/>
        <v>8278</v>
      </c>
      <c r="B8278" s="924">
        <v>21.2</v>
      </c>
    </row>
    <row r="8279" spans="1:2" x14ac:dyDescent="0.25">
      <c r="A8279" s="924">
        <f t="shared" si="129"/>
        <v>8279</v>
      </c>
      <c r="B8279" s="924">
        <v>21.2</v>
      </c>
    </row>
    <row r="8280" spans="1:2" x14ac:dyDescent="0.25">
      <c r="A8280" s="924">
        <f t="shared" si="129"/>
        <v>8280</v>
      </c>
      <c r="B8280" s="924">
        <v>21.2</v>
      </c>
    </row>
    <row r="8281" spans="1:2" x14ac:dyDescent="0.25">
      <c r="A8281" s="924">
        <f t="shared" si="129"/>
        <v>8281</v>
      </c>
      <c r="B8281" s="924">
        <v>21.2</v>
      </c>
    </row>
    <row r="8282" spans="1:2" x14ac:dyDescent="0.25">
      <c r="A8282" s="924">
        <f t="shared" si="129"/>
        <v>8282</v>
      </c>
      <c r="B8282" s="924">
        <v>21.2</v>
      </c>
    </row>
    <row r="8283" spans="1:2" x14ac:dyDescent="0.25">
      <c r="A8283" s="924">
        <f t="shared" si="129"/>
        <v>8283</v>
      </c>
      <c r="B8283" s="924">
        <v>21.2</v>
      </c>
    </row>
    <row r="8284" spans="1:2" x14ac:dyDescent="0.25">
      <c r="A8284" s="924">
        <f t="shared" si="129"/>
        <v>8284</v>
      </c>
      <c r="B8284" s="924">
        <v>21.2</v>
      </c>
    </row>
    <row r="8285" spans="1:2" x14ac:dyDescent="0.25">
      <c r="A8285" s="924">
        <f t="shared" si="129"/>
        <v>8285</v>
      </c>
      <c r="B8285" s="924">
        <v>21.3</v>
      </c>
    </row>
    <row r="8286" spans="1:2" x14ac:dyDescent="0.25">
      <c r="A8286" s="924">
        <f t="shared" si="129"/>
        <v>8286</v>
      </c>
      <c r="B8286" s="924">
        <v>21.3</v>
      </c>
    </row>
    <row r="8287" spans="1:2" x14ac:dyDescent="0.25">
      <c r="A8287" s="924">
        <f t="shared" si="129"/>
        <v>8287</v>
      </c>
      <c r="B8287" s="924">
        <v>21.3</v>
      </c>
    </row>
    <row r="8288" spans="1:2" x14ac:dyDescent="0.25">
      <c r="A8288" s="924">
        <f t="shared" si="129"/>
        <v>8288</v>
      </c>
      <c r="B8288" s="924">
        <v>21.3</v>
      </c>
    </row>
    <row r="8289" spans="1:2" x14ac:dyDescent="0.25">
      <c r="A8289" s="924">
        <f t="shared" si="129"/>
        <v>8289</v>
      </c>
      <c r="B8289" s="924">
        <v>21.3</v>
      </c>
    </row>
    <row r="8290" spans="1:2" x14ac:dyDescent="0.25">
      <c r="A8290" s="924">
        <f t="shared" si="129"/>
        <v>8290</v>
      </c>
      <c r="B8290" s="924">
        <v>21.3</v>
      </c>
    </row>
    <row r="8291" spans="1:2" x14ac:dyDescent="0.25">
      <c r="A8291" s="924">
        <f t="shared" si="129"/>
        <v>8291</v>
      </c>
      <c r="B8291" s="924">
        <v>21.3</v>
      </c>
    </row>
    <row r="8292" spans="1:2" x14ac:dyDescent="0.25">
      <c r="A8292" s="924">
        <f t="shared" si="129"/>
        <v>8292</v>
      </c>
      <c r="B8292" s="924">
        <v>21.3</v>
      </c>
    </row>
    <row r="8293" spans="1:2" x14ac:dyDescent="0.25">
      <c r="A8293" s="924">
        <f t="shared" si="129"/>
        <v>8293</v>
      </c>
      <c r="B8293" s="924">
        <v>21.3</v>
      </c>
    </row>
    <row r="8294" spans="1:2" x14ac:dyDescent="0.25">
      <c r="A8294" s="924">
        <f t="shared" si="129"/>
        <v>8294</v>
      </c>
      <c r="B8294" s="924">
        <v>21.3</v>
      </c>
    </row>
    <row r="8295" spans="1:2" x14ac:dyDescent="0.25">
      <c r="A8295" s="924">
        <f t="shared" si="129"/>
        <v>8295</v>
      </c>
      <c r="B8295" s="924">
        <v>21.3</v>
      </c>
    </row>
    <row r="8296" spans="1:2" x14ac:dyDescent="0.25">
      <c r="A8296" s="924">
        <f t="shared" si="129"/>
        <v>8296</v>
      </c>
      <c r="B8296" s="924">
        <v>21.4</v>
      </c>
    </row>
    <row r="8297" spans="1:2" x14ac:dyDescent="0.25">
      <c r="A8297" s="924">
        <f t="shared" si="129"/>
        <v>8297</v>
      </c>
      <c r="B8297" s="924">
        <v>21.4</v>
      </c>
    </row>
    <row r="8298" spans="1:2" x14ac:dyDescent="0.25">
      <c r="A8298" s="924">
        <f t="shared" si="129"/>
        <v>8298</v>
      </c>
      <c r="B8298" s="924">
        <v>21.4</v>
      </c>
    </row>
    <row r="8299" spans="1:2" x14ac:dyDescent="0.25">
      <c r="A8299" s="924">
        <f t="shared" si="129"/>
        <v>8299</v>
      </c>
      <c r="B8299" s="924">
        <v>21.4</v>
      </c>
    </row>
    <row r="8300" spans="1:2" x14ac:dyDescent="0.25">
      <c r="A8300" s="924">
        <f t="shared" si="129"/>
        <v>8300</v>
      </c>
      <c r="B8300" s="924">
        <v>21.4</v>
      </c>
    </row>
    <row r="8301" spans="1:2" x14ac:dyDescent="0.25">
      <c r="A8301" s="924">
        <f t="shared" si="129"/>
        <v>8301</v>
      </c>
      <c r="B8301" s="924">
        <v>21.4</v>
      </c>
    </row>
    <row r="8302" spans="1:2" x14ac:dyDescent="0.25">
      <c r="A8302" s="924">
        <f t="shared" si="129"/>
        <v>8302</v>
      </c>
      <c r="B8302" s="924">
        <v>21.4</v>
      </c>
    </row>
    <row r="8303" spans="1:2" x14ac:dyDescent="0.25">
      <c r="A8303" s="924">
        <f t="shared" si="129"/>
        <v>8303</v>
      </c>
      <c r="B8303" s="924">
        <v>21.4</v>
      </c>
    </row>
    <row r="8304" spans="1:2" x14ac:dyDescent="0.25">
      <c r="A8304" s="924">
        <f t="shared" si="129"/>
        <v>8304</v>
      </c>
      <c r="B8304" s="924">
        <v>21.4</v>
      </c>
    </row>
    <row r="8305" spans="1:2" x14ac:dyDescent="0.25">
      <c r="A8305" s="924">
        <f t="shared" si="129"/>
        <v>8305</v>
      </c>
      <c r="B8305" s="924">
        <v>21.4</v>
      </c>
    </row>
    <row r="8306" spans="1:2" x14ac:dyDescent="0.25">
      <c r="A8306" s="924">
        <f t="shared" si="129"/>
        <v>8306</v>
      </c>
      <c r="B8306" s="924">
        <v>21.4</v>
      </c>
    </row>
    <row r="8307" spans="1:2" x14ac:dyDescent="0.25">
      <c r="A8307" s="924">
        <f t="shared" si="129"/>
        <v>8307</v>
      </c>
      <c r="B8307" s="924">
        <v>21.5</v>
      </c>
    </row>
    <row r="8308" spans="1:2" x14ac:dyDescent="0.25">
      <c r="A8308" s="924">
        <f t="shared" si="129"/>
        <v>8308</v>
      </c>
      <c r="B8308" s="924">
        <v>21.5</v>
      </c>
    </row>
    <row r="8309" spans="1:2" x14ac:dyDescent="0.25">
      <c r="A8309" s="924">
        <f t="shared" si="129"/>
        <v>8309</v>
      </c>
      <c r="B8309" s="924">
        <v>21.5</v>
      </c>
    </row>
    <row r="8310" spans="1:2" x14ac:dyDescent="0.25">
      <c r="A8310" s="924">
        <f t="shared" si="129"/>
        <v>8310</v>
      </c>
      <c r="B8310" s="924">
        <v>21.5</v>
      </c>
    </row>
    <row r="8311" spans="1:2" x14ac:dyDescent="0.25">
      <c r="A8311" s="924">
        <f t="shared" si="129"/>
        <v>8311</v>
      </c>
      <c r="B8311" s="924">
        <v>21.5</v>
      </c>
    </row>
    <row r="8312" spans="1:2" x14ac:dyDescent="0.25">
      <c r="A8312" s="924">
        <f t="shared" si="129"/>
        <v>8312</v>
      </c>
      <c r="B8312" s="924">
        <v>21.5</v>
      </c>
    </row>
    <row r="8313" spans="1:2" x14ac:dyDescent="0.25">
      <c r="A8313" s="924">
        <f t="shared" si="129"/>
        <v>8313</v>
      </c>
      <c r="B8313" s="924">
        <v>21.5</v>
      </c>
    </row>
    <row r="8314" spans="1:2" x14ac:dyDescent="0.25">
      <c r="A8314" s="924">
        <f t="shared" si="129"/>
        <v>8314</v>
      </c>
      <c r="B8314" s="924">
        <v>21.5</v>
      </c>
    </row>
    <row r="8315" spans="1:2" x14ac:dyDescent="0.25">
      <c r="A8315" s="924">
        <f t="shared" si="129"/>
        <v>8315</v>
      </c>
      <c r="B8315" s="924">
        <v>21.5</v>
      </c>
    </row>
    <row r="8316" spans="1:2" x14ac:dyDescent="0.25">
      <c r="A8316" s="924">
        <f t="shared" si="129"/>
        <v>8316</v>
      </c>
      <c r="B8316" s="924">
        <v>21.6</v>
      </c>
    </row>
    <row r="8317" spans="1:2" x14ac:dyDescent="0.25">
      <c r="A8317" s="924">
        <f t="shared" si="129"/>
        <v>8317</v>
      </c>
      <c r="B8317" s="924">
        <v>21.6</v>
      </c>
    </row>
    <row r="8318" spans="1:2" x14ac:dyDescent="0.25">
      <c r="A8318" s="924">
        <f t="shared" si="129"/>
        <v>8318</v>
      </c>
      <c r="B8318" s="924">
        <v>21.6</v>
      </c>
    </row>
    <row r="8319" spans="1:2" x14ac:dyDescent="0.25">
      <c r="A8319" s="924">
        <f t="shared" si="129"/>
        <v>8319</v>
      </c>
      <c r="B8319" s="924">
        <v>21.6</v>
      </c>
    </row>
    <row r="8320" spans="1:2" x14ac:dyDescent="0.25">
      <c r="A8320" s="924">
        <f t="shared" si="129"/>
        <v>8320</v>
      </c>
      <c r="B8320" s="924">
        <v>21.6</v>
      </c>
    </row>
    <row r="8321" spans="1:2" x14ac:dyDescent="0.25">
      <c r="A8321" s="924">
        <f t="shared" si="129"/>
        <v>8321</v>
      </c>
      <c r="B8321" s="924">
        <v>21.6</v>
      </c>
    </row>
    <row r="8322" spans="1:2" x14ac:dyDescent="0.25">
      <c r="A8322" s="924">
        <f t="shared" si="129"/>
        <v>8322</v>
      </c>
      <c r="B8322" s="924">
        <v>21.6</v>
      </c>
    </row>
    <row r="8323" spans="1:2" x14ac:dyDescent="0.25">
      <c r="A8323" s="924">
        <f t="shared" ref="A8323:A8386" si="130">A8322+1</f>
        <v>8323</v>
      </c>
      <c r="B8323" s="924">
        <v>21.6</v>
      </c>
    </row>
    <row r="8324" spans="1:2" x14ac:dyDescent="0.25">
      <c r="A8324" s="924">
        <f t="shared" si="130"/>
        <v>8324</v>
      </c>
      <c r="B8324" s="924">
        <v>21.6</v>
      </c>
    </row>
    <row r="8325" spans="1:2" x14ac:dyDescent="0.25">
      <c r="A8325" s="924">
        <f t="shared" si="130"/>
        <v>8325</v>
      </c>
      <c r="B8325" s="924">
        <v>21.6</v>
      </c>
    </row>
    <row r="8326" spans="1:2" x14ac:dyDescent="0.25">
      <c r="A8326" s="924">
        <f t="shared" si="130"/>
        <v>8326</v>
      </c>
      <c r="B8326" s="924">
        <v>21.6</v>
      </c>
    </row>
    <row r="8327" spans="1:2" x14ac:dyDescent="0.25">
      <c r="A8327" s="924">
        <f t="shared" si="130"/>
        <v>8327</v>
      </c>
      <c r="B8327" s="924">
        <v>21.6</v>
      </c>
    </row>
    <row r="8328" spans="1:2" x14ac:dyDescent="0.25">
      <c r="A8328" s="924">
        <f t="shared" si="130"/>
        <v>8328</v>
      </c>
      <c r="B8328" s="924">
        <v>21.6</v>
      </c>
    </row>
    <row r="8329" spans="1:2" x14ac:dyDescent="0.25">
      <c r="A8329" s="924">
        <f t="shared" si="130"/>
        <v>8329</v>
      </c>
      <c r="B8329" s="924">
        <v>21.6</v>
      </c>
    </row>
    <row r="8330" spans="1:2" x14ac:dyDescent="0.25">
      <c r="A8330" s="924">
        <f t="shared" si="130"/>
        <v>8330</v>
      </c>
      <c r="B8330" s="924">
        <v>21.7</v>
      </c>
    </row>
    <row r="8331" spans="1:2" x14ac:dyDescent="0.25">
      <c r="A8331" s="924">
        <f t="shared" si="130"/>
        <v>8331</v>
      </c>
      <c r="B8331" s="924">
        <v>21.7</v>
      </c>
    </row>
    <row r="8332" spans="1:2" x14ac:dyDescent="0.25">
      <c r="A8332" s="924">
        <f t="shared" si="130"/>
        <v>8332</v>
      </c>
      <c r="B8332" s="924">
        <v>21.7</v>
      </c>
    </row>
    <row r="8333" spans="1:2" x14ac:dyDescent="0.25">
      <c r="A8333" s="924">
        <f t="shared" si="130"/>
        <v>8333</v>
      </c>
      <c r="B8333" s="924">
        <v>21.7</v>
      </c>
    </row>
    <row r="8334" spans="1:2" x14ac:dyDescent="0.25">
      <c r="A8334" s="924">
        <f t="shared" si="130"/>
        <v>8334</v>
      </c>
      <c r="B8334" s="924">
        <v>21.7</v>
      </c>
    </row>
    <row r="8335" spans="1:2" x14ac:dyDescent="0.25">
      <c r="A8335" s="924">
        <f t="shared" si="130"/>
        <v>8335</v>
      </c>
      <c r="B8335" s="924">
        <v>21.7</v>
      </c>
    </row>
    <row r="8336" spans="1:2" x14ac:dyDescent="0.25">
      <c r="A8336" s="924">
        <f t="shared" si="130"/>
        <v>8336</v>
      </c>
      <c r="B8336" s="924">
        <v>21.7</v>
      </c>
    </row>
    <row r="8337" spans="1:2" x14ac:dyDescent="0.25">
      <c r="A8337" s="924">
        <f t="shared" si="130"/>
        <v>8337</v>
      </c>
      <c r="B8337" s="924">
        <v>21.7</v>
      </c>
    </row>
    <row r="8338" spans="1:2" x14ac:dyDescent="0.25">
      <c r="A8338" s="924">
        <f t="shared" si="130"/>
        <v>8338</v>
      </c>
      <c r="B8338" s="924">
        <v>21.7</v>
      </c>
    </row>
    <row r="8339" spans="1:2" x14ac:dyDescent="0.25">
      <c r="A8339" s="924">
        <f t="shared" si="130"/>
        <v>8339</v>
      </c>
      <c r="B8339" s="924">
        <v>21.7</v>
      </c>
    </row>
    <row r="8340" spans="1:2" x14ac:dyDescent="0.25">
      <c r="A8340" s="924">
        <f t="shared" si="130"/>
        <v>8340</v>
      </c>
      <c r="B8340" s="924">
        <v>21.8</v>
      </c>
    </row>
    <row r="8341" spans="1:2" x14ac:dyDescent="0.25">
      <c r="A8341" s="924">
        <f t="shared" si="130"/>
        <v>8341</v>
      </c>
      <c r="B8341" s="924">
        <v>21.8</v>
      </c>
    </row>
    <row r="8342" spans="1:2" x14ac:dyDescent="0.25">
      <c r="A8342" s="924">
        <f t="shared" si="130"/>
        <v>8342</v>
      </c>
      <c r="B8342" s="924">
        <v>21.8</v>
      </c>
    </row>
    <row r="8343" spans="1:2" x14ac:dyDescent="0.25">
      <c r="A8343" s="924">
        <f t="shared" si="130"/>
        <v>8343</v>
      </c>
      <c r="B8343" s="924">
        <v>21.8</v>
      </c>
    </row>
    <row r="8344" spans="1:2" x14ac:dyDescent="0.25">
      <c r="A8344" s="924">
        <f t="shared" si="130"/>
        <v>8344</v>
      </c>
      <c r="B8344" s="924">
        <v>21.8</v>
      </c>
    </row>
    <row r="8345" spans="1:2" x14ac:dyDescent="0.25">
      <c r="A8345" s="924">
        <f t="shared" si="130"/>
        <v>8345</v>
      </c>
      <c r="B8345" s="924">
        <v>21.8</v>
      </c>
    </row>
    <row r="8346" spans="1:2" x14ac:dyDescent="0.25">
      <c r="A8346" s="924">
        <f t="shared" si="130"/>
        <v>8346</v>
      </c>
      <c r="B8346" s="924">
        <v>21.8</v>
      </c>
    </row>
    <row r="8347" spans="1:2" x14ac:dyDescent="0.25">
      <c r="A8347" s="924">
        <f t="shared" si="130"/>
        <v>8347</v>
      </c>
      <c r="B8347" s="924">
        <v>21.8</v>
      </c>
    </row>
    <row r="8348" spans="1:2" x14ac:dyDescent="0.25">
      <c r="A8348" s="924">
        <f t="shared" si="130"/>
        <v>8348</v>
      </c>
      <c r="B8348" s="924">
        <v>21.8</v>
      </c>
    </row>
    <row r="8349" spans="1:2" x14ac:dyDescent="0.25">
      <c r="A8349" s="924">
        <f t="shared" si="130"/>
        <v>8349</v>
      </c>
      <c r="B8349" s="924">
        <v>21.9</v>
      </c>
    </row>
    <row r="8350" spans="1:2" x14ac:dyDescent="0.25">
      <c r="A8350" s="924">
        <f t="shared" si="130"/>
        <v>8350</v>
      </c>
      <c r="B8350" s="924">
        <v>21.9</v>
      </c>
    </row>
    <row r="8351" spans="1:2" x14ac:dyDescent="0.25">
      <c r="A8351" s="924">
        <f t="shared" si="130"/>
        <v>8351</v>
      </c>
      <c r="B8351" s="924">
        <v>21.9</v>
      </c>
    </row>
    <row r="8352" spans="1:2" x14ac:dyDescent="0.25">
      <c r="A8352" s="924">
        <f t="shared" si="130"/>
        <v>8352</v>
      </c>
      <c r="B8352" s="924">
        <v>21.9</v>
      </c>
    </row>
    <row r="8353" spans="1:2" x14ac:dyDescent="0.25">
      <c r="A8353" s="924">
        <f t="shared" si="130"/>
        <v>8353</v>
      </c>
      <c r="B8353" s="924">
        <v>21.9</v>
      </c>
    </row>
    <row r="8354" spans="1:2" x14ac:dyDescent="0.25">
      <c r="A8354" s="924">
        <f t="shared" si="130"/>
        <v>8354</v>
      </c>
      <c r="B8354" s="924">
        <v>21.9</v>
      </c>
    </row>
    <row r="8355" spans="1:2" x14ac:dyDescent="0.25">
      <c r="A8355" s="924">
        <f t="shared" si="130"/>
        <v>8355</v>
      </c>
      <c r="B8355" s="924">
        <v>21.9</v>
      </c>
    </row>
    <row r="8356" spans="1:2" x14ac:dyDescent="0.25">
      <c r="A8356" s="924">
        <f t="shared" si="130"/>
        <v>8356</v>
      </c>
      <c r="B8356" s="924">
        <v>21.9</v>
      </c>
    </row>
    <row r="8357" spans="1:2" x14ac:dyDescent="0.25">
      <c r="A8357" s="924">
        <f t="shared" si="130"/>
        <v>8357</v>
      </c>
      <c r="B8357" s="924">
        <v>21.9</v>
      </c>
    </row>
    <row r="8358" spans="1:2" x14ac:dyDescent="0.25">
      <c r="A8358" s="924">
        <f t="shared" si="130"/>
        <v>8358</v>
      </c>
      <c r="B8358" s="924">
        <v>21.9</v>
      </c>
    </row>
    <row r="8359" spans="1:2" x14ac:dyDescent="0.25">
      <c r="A8359" s="924">
        <f t="shared" si="130"/>
        <v>8359</v>
      </c>
      <c r="B8359" s="924">
        <v>22</v>
      </c>
    </row>
    <row r="8360" spans="1:2" x14ac:dyDescent="0.25">
      <c r="A8360" s="924">
        <f t="shared" si="130"/>
        <v>8360</v>
      </c>
      <c r="B8360" s="924">
        <v>22</v>
      </c>
    </row>
    <row r="8361" spans="1:2" x14ac:dyDescent="0.25">
      <c r="A8361" s="924">
        <f t="shared" si="130"/>
        <v>8361</v>
      </c>
      <c r="B8361" s="924">
        <v>22</v>
      </c>
    </row>
    <row r="8362" spans="1:2" x14ac:dyDescent="0.25">
      <c r="A8362" s="924">
        <f t="shared" si="130"/>
        <v>8362</v>
      </c>
      <c r="B8362" s="924">
        <v>22</v>
      </c>
    </row>
    <row r="8363" spans="1:2" x14ac:dyDescent="0.25">
      <c r="A8363" s="924">
        <f t="shared" si="130"/>
        <v>8363</v>
      </c>
      <c r="B8363" s="924">
        <v>22</v>
      </c>
    </row>
    <row r="8364" spans="1:2" x14ac:dyDescent="0.25">
      <c r="A8364" s="924">
        <f t="shared" si="130"/>
        <v>8364</v>
      </c>
      <c r="B8364" s="924">
        <v>22</v>
      </c>
    </row>
    <row r="8365" spans="1:2" x14ac:dyDescent="0.25">
      <c r="A8365" s="924">
        <f t="shared" si="130"/>
        <v>8365</v>
      </c>
      <c r="B8365" s="924">
        <v>22</v>
      </c>
    </row>
    <row r="8366" spans="1:2" x14ac:dyDescent="0.25">
      <c r="A8366" s="924">
        <f t="shared" si="130"/>
        <v>8366</v>
      </c>
      <c r="B8366" s="924">
        <v>22</v>
      </c>
    </row>
    <row r="8367" spans="1:2" x14ac:dyDescent="0.25">
      <c r="A8367" s="924">
        <f t="shared" si="130"/>
        <v>8367</v>
      </c>
      <c r="B8367" s="924">
        <v>22</v>
      </c>
    </row>
    <row r="8368" spans="1:2" x14ac:dyDescent="0.25">
      <c r="A8368" s="924">
        <f t="shared" si="130"/>
        <v>8368</v>
      </c>
      <c r="B8368" s="924">
        <v>22</v>
      </c>
    </row>
    <row r="8369" spans="1:2" x14ac:dyDescent="0.25">
      <c r="A8369" s="924">
        <f t="shared" si="130"/>
        <v>8369</v>
      </c>
      <c r="B8369" s="924">
        <v>22</v>
      </c>
    </row>
    <row r="8370" spans="1:2" x14ac:dyDescent="0.25">
      <c r="A8370" s="924">
        <f t="shared" si="130"/>
        <v>8370</v>
      </c>
      <c r="B8370" s="924">
        <v>22</v>
      </c>
    </row>
    <row r="8371" spans="1:2" x14ac:dyDescent="0.25">
      <c r="A8371" s="924">
        <f t="shared" si="130"/>
        <v>8371</v>
      </c>
      <c r="B8371" s="924">
        <v>22.1</v>
      </c>
    </row>
    <row r="8372" spans="1:2" x14ac:dyDescent="0.25">
      <c r="A8372" s="924">
        <f t="shared" si="130"/>
        <v>8372</v>
      </c>
      <c r="B8372" s="924">
        <v>22.1</v>
      </c>
    </row>
    <row r="8373" spans="1:2" x14ac:dyDescent="0.25">
      <c r="A8373" s="924">
        <f t="shared" si="130"/>
        <v>8373</v>
      </c>
      <c r="B8373" s="924">
        <v>22.1</v>
      </c>
    </row>
    <row r="8374" spans="1:2" x14ac:dyDescent="0.25">
      <c r="A8374" s="924">
        <f t="shared" si="130"/>
        <v>8374</v>
      </c>
      <c r="B8374" s="924">
        <v>22.1</v>
      </c>
    </row>
    <row r="8375" spans="1:2" x14ac:dyDescent="0.25">
      <c r="A8375" s="924">
        <f t="shared" si="130"/>
        <v>8375</v>
      </c>
      <c r="B8375" s="924">
        <v>22.1</v>
      </c>
    </row>
    <row r="8376" spans="1:2" x14ac:dyDescent="0.25">
      <c r="A8376" s="924">
        <f t="shared" si="130"/>
        <v>8376</v>
      </c>
      <c r="B8376" s="924">
        <v>22.1</v>
      </c>
    </row>
    <row r="8377" spans="1:2" x14ac:dyDescent="0.25">
      <c r="A8377" s="924">
        <f t="shared" si="130"/>
        <v>8377</v>
      </c>
      <c r="B8377" s="924">
        <v>22.1</v>
      </c>
    </row>
    <row r="8378" spans="1:2" x14ac:dyDescent="0.25">
      <c r="A8378" s="924">
        <f t="shared" si="130"/>
        <v>8378</v>
      </c>
      <c r="B8378" s="924">
        <v>22.1</v>
      </c>
    </row>
    <row r="8379" spans="1:2" x14ac:dyDescent="0.25">
      <c r="A8379" s="924">
        <f t="shared" si="130"/>
        <v>8379</v>
      </c>
      <c r="B8379" s="924">
        <v>22.2</v>
      </c>
    </row>
    <row r="8380" spans="1:2" x14ac:dyDescent="0.25">
      <c r="A8380" s="924">
        <f t="shared" si="130"/>
        <v>8380</v>
      </c>
      <c r="B8380" s="924">
        <v>22.2</v>
      </c>
    </row>
    <row r="8381" spans="1:2" x14ac:dyDescent="0.25">
      <c r="A8381" s="924">
        <f t="shared" si="130"/>
        <v>8381</v>
      </c>
      <c r="B8381" s="924">
        <v>22.2</v>
      </c>
    </row>
    <row r="8382" spans="1:2" x14ac:dyDescent="0.25">
      <c r="A8382" s="924">
        <f t="shared" si="130"/>
        <v>8382</v>
      </c>
      <c r="B8382" s="924">
        <v>22.2</v>
      </c>
    </row>
    <row r="8383" spans="1:2" x14ac:dyDescent="0.25">
      <c r="A8383" s="924">
        <f t="shared" si="130"/>
        <v>8383</v>
      </c>
      <c r="B8383" s="924">
        <v>22.2</v>
      </c>
    </row>
    <row r="8384" spans="1:2" x14ac:dyDescent="0.25">
      <c r="A8384" s="924">
        <f t="shared" si="130"/>
        <v>8384</v>
      </c>
      <c r="B8384" s="924">
        <v>22.2</v>
      </c>
    </row>
    <row r="8385" spans="1:2" x14ac:dyDescent="0.25">
      <c r="A8385" s="924">
        <f t="shared" si="130"/>
        <v>8385</v>
      </c>
      <c r="B8385" s="924">
        <v>22.2</v>
      </c>
    </row>
    <row r="8386" spans="1:2" x14ac:dyDescent="0.25">
      <c r="A8386" s="924">
        <f t="shared" si="130"/>
        <v>8386</v>
      </c>
      <c r="B8386" s="924">
        <v>22.2</v>
      </c>
    </row>
    <row r="8387" spans="1:2" x14ac:dyDescent="0.25">
      <c r="A8387" s="924">
        <f t="shared" ref="A8387:A8450" si="131">A8386+1</f>
        <v>8387</v>
      </c>
      <c r="B8387" s="924">
        <v>22.2</v>
      </c>
    </row>
    <row r="8388" spans="1:2" x14ac:dyDescent="0.25">
      <c r="A8388" s="924">
        <f t="shared" si="131"/>
        <v>8388</v>
      </c>
      <c r="B8388" s="924">
        <v>22.2</v>
      </c>
    </row>
    <row r="8389" spans="1:2" x14ac:dyDescent="0.25">
      <c r="A8389" s="924">
        <f t="shared" si="131"/>
        <v>8389</v>
      </c>
      <c r="B8389" s="924">
        <v>22.2</v>
      </c>
    </row>
    <row r="8390" spans="1:2" x14ac:dyDescent="0.25">
      <c r="A8390" s="924">
        <f t="shared" si="131"/>
        <v>8390</v>
      </c>
      <c r="B8390" s="924">
        <v>22.2</v>
      </c>
    </row>
    <row r="8391" spans="1:2" x14ac:dyDescent="0.25">
      <c r="A8391" s="924">
        <f t="shared" si="131"/>
        <v>8391</v>
      </c>
      <c r="B8391" s="924">
        <v>22.3</v>
      </c>
    </row>
    <row r="8392" spans="1:2" x14ac:dyDescent="0.25">
      <c r="A8392" s="924">
        <f t="shared" si="131"/>
        <v>8392</v>
      </c>
      <c r="B8392" s="924">
        <v>22.3</v>
      </c>
    </row>
    <row r="8393" spans="1:2" x14ac:dyDescent="0.25">
      <c r="A8393" s="924">
        <f t="shared" si="131"/>
        <v>8393</v>
      </c>
      <c r="B8393" s="924">
        <v>22.3</v>
      </c>
    </row>
    <row r="8394" spans="1:2" x14ac:dyDescent="0.25">
      <c r="A8394" s="924">
        <f t="shared" si="131"/>
        <v>8394</v>
      </c>
      <c r="B8394" s="924">
        <v>22.3</v>
      </c>
    </row>
    <row r="8395" spans="1:2" x14ac:dyDescent="0.25">
      <c r="A8395" s="924">
        <f t="shared" si="131"/>
        <v>8395</v>
      </c>
      <c r="B8395" s="924">
        <v>22.3</v>
      </c>
    </row>
    <row r="8396" spans="1:2" x14ac:dyDescent="0.25">
      <c r="A8396" s="924">
        <f t="shared" si="131"/>
        <v>8396</v>
      </c>
      <c r="B8396" s="924">
        <v>22.3</v>
      </c>
    </row>
    <row r="8397" spans="1:2" x14ac:dyDescent="0.25">
      <c r="A8397" s="924">
        <f t="shared" si="131"/>
        <v>8397</v>
      </c>
      <c r="B8397" s="924">
        <v>22.3</v>
      </c>
    </row>
    <row r="8398" spans="1:2" x14ac:dyDescent="0.25">
      <c r="A8398" s="924">
        <f t="shared" si="131"/>
        <v>8398</v>
      </c>
      <c r="B8398" s="924">
        <v>22.3</v>
      </c>
    </row>
    <row r="8399" spans="1:2" x14ac:dyDescent="0.25">
      <c r="A8399" s="924">
        <f t="shared" si="131"/>
        <v>8399</v>
      </c>
      <c r="B8399" s="924">
        <v>22.4</v>
      </c>
    </row>
    <row r="8400" spans="1:2" x14ac:dyDescent="0.25">
      <c r="A8400" s="924">
        <f t="shared" si="131"/>
        <v>8400</v>
      </c>
      <c r="B8400" s="924">
        <v>22.4</v>
      </c>
    </row>
    <row r="8401" spans="1:2" x14ac:dyDescent="0.25">
      <c r="A8401" s="924">
        <f t="shared" si="131"/>
        <v>8401</v>
      </c>
      <c r="B8401" s="924">
        <v>22.4</v>
      </c>
    </row>
    <row r="8402" spans="1:2" x14ac:dyDescent="0.25">
      <c r="A8402" s="924">
        <f t="shared" si="131"/>
        <v>8402</v>
      </c>
      <c r="B8402" s="924">
        <v>22.4</v>
      </c>
    </row>
    <row r="8403" spans="1:2" x14ac:dyDescent="0.25">
      <c r="A8403" s="924">
        <f t="shared" si="131"/>
        <v>8403</v>
      </c>
      <c r="B8403" s="924">
        <v>22.4</v>
      </c>
    </row>
    <row r="8404" spans="1:2" x14ac:dyDescent="0.25">
      <c r="A8404" s="924">
        <f t="shared" si="131"/>
        <v>8404</v>
      </c>
      <c r="B8404" s="924">
        <v>22.4</v>
      </c>
    </row>
    <row r="8405" spans="1:2" x14ac:dyDescent="0.25">
      <c r="A8405" s="924">
        <f t="shared" si="131"/>
        <v>8405</v>
      </c>
      <c r="B8405" s="924">
        <v>22.4</v>
      </c>
    </row>
    <row r="8406" spans="1:2" x14ac:dyDescent="0.25">
      <c r="A8406" s="924">
        <f t="shared" si="131"/>
        <v>8406</v>
      </c>
      <c r="B8406" s="924">
        <v>22.4</v>
      </c>
    </row>
    <row r="8407" spans="1:2" x14ac:dyDescent="0.25">
      <c r="A8407" s="924">
        <f t="shared" si="131"/>
        <v>8407</v>
      </c>
      <c r="B8407" s="924">
        <v>22.5</v>
      </c>
    </row>
    <row r="8408" spans="1:2" x14ac:dyDescent="0.25">
      <c r="A8408" s="924">
        <f t="shared" si="131"/>
        <v>8408</v>
      </c>
      <c r="B8408" s="924">
        <v>22.5</v>
      </c>
    </row>
    <row r="8409" spans="1:2" x14ac:dyDescent="0.25">
      <c r="A8409" s="924">
        <f t="shared" si="131"/>
        <v>8409</v>
      </c>
      <c r="B8409" s="924">
        <v>22.5</v>
      </c>
    </row>
    <row r="8410" spans="1:2" x14ac:dyDescent="0.25">
      <c r="A8410" s="924">
        <f t="shared" si="131"/>
        <v>8410</v>
      </c>
      <c r="B8410" s="924">
        <v>22.5</v>
      </c>
    </row>
    <row r="8411" spans="1:2" x14ac:dyDescent="0.25">
      <c r="A8411" s="924">
        <f t="shared" si="131"/>
        <v>8411</v>
      </c>
      <c r="B8411" s="924">
        <v>22.5</v>
      </c>
    </row>
    <row r="8412" spans="1:2" x14ac:dyDescent="0.25">
      <c r="A8412" s="924">
        <f t="shared" si="131"/>
        <v>8412</v>
      </c>
      <c r="B8412" s="924">
        <v>22.5</v>
      </c>
    </row>
    <row r="8413" spans="1:2" x14ac:dyDescent="0.25">
      <c r="A8413" s="924">
        <f t="shared" si="131"/>
        <v>8413</v>
      </c>
      <c r="B8413" s="924">
        <v>22.5</v>
      </c>
    </row>
    <row r="8414" spans="1:2" x14ac:dyDescent="0.25">
      <c r="A8414" s="924">
        <f t="shared" si="131"/>
        <v>8414</v>
      </c>
      <c r="B8414" s="924">
        <v>22.5</v>
      </c>
    </row>
    <row r="8415" spans="1:2" x14ac:dyDescent="0.25">
      <c r="A8415" s="924">
        <f t="shared" si="131"/>
        <v>8415</v>
      </c>
      <c r="B8415" s="924">
        <v>22.5</v>
      </c>
    </row>
    <row r="8416" spans="1:2" x14ac:dyDescent="0.25">
      <c r="A8416" s="924">
        <f t="shared" si="131"/>
        <v>8416</v>
      </c>
      <c r="B8416" s="924">
        <v>22.5</v>
      </c>
    </row>
    <row r="8417" spans="1:2" x14ac:dyDescent="0.25">
      <c r="A8417" s="924">
        <f t="shared" si="131"/>
        <v>8417</v>
      </c>
      <c r="B8417" s="924">
        <v>22.5</v>
      </c>
    </row>
    <row r="8418" spans="1:2" x14ac:dyDescent="0.25">
      <c r="A8418" s="924">
        <f t="shared" si="131"/>
        <v>8418</v>
      </c>
      <c r="B8418" s="924">
        <v>22.6</v>
      </c>
    </row>
    <row r="8419" spans="1:2" x14ac:dyDescent="0.25">
      <c r="A8419" s="924">
        <f t="shared" si="131"/>
        <v>8419</v>
      </c>
      <c r="B8419" s="924">
        <v>22.6</v>
      </c>
    </row>
    <row r="8420" spans="1:2" x14ac:dyDescent="0.25">
      <c r="A8420" s="924">
        <f t="shared" si="131"/>
        <v>8420</v>
      </c>
      <c r="B8420" s="924">
        <v>22.6</v>
      </c>
    </row>
    <row r="8421" spans="1:2" x14ac:dyDescent="0.25">
      <c r="A8421" s="924">
        <f t="shared" si="131"/>
        <v>8421</v>
      </c>
      <c r="B8421" s="924">
        <v>22.6</v>
      </c>
    </row>
    <row r="8422" spans="1:2" x14ac:dyDescent="0.25">
      <c r="A8422" s="924">
        <f t="shared" si="131"/>
        <v>8422</v>
      </c>
      <c r="B8422" s="924">
        <v>22.6</v>
      </c>
    </row>
    <row r="8423" spans="1:2" x14ac:dyDescent="0.25">
      <c r="A8423" s="924">
        <f t="shared" si="131"/>
        <v>8423</v>
      </c>
      <c r="B8423" s="924">
        <v>22.6</v>
      </c>
    </row>
    <row r="8424" spans="1:2" x14ac:dyDescent="0.25">
      <c r="A8424" s="924">
        <f t="shared" si="131"/>
        <v>8424</v>
      </c>
      <c r="B8424" s="924">
        <v>22.6</v>
      </c>
    </row>
    <row r="8425" spans="1:2" x14ac:dyDescent="0.25">
      <c r="A8425" s="924">
        <f t="shared" si="131"/>
        <v>8425</v>
      </c>
      <c r="B8425" s="924">
        <v>22.6</v>
      </c>
    </row>
    <row r="8426" spans="1:2" x14ac:dyDescent="0.25">
      <c r="A8426" s="924">
        <f t="shared" si="131"/>
        <v>8426</v>
      </c>
      <c r="B8426" s="924">
        <v>22.6</v>
      </c>
    </row>
    <row r="8427" spans="1:2" x14ac:dyDescent="0.25">
      <c r="A8427" s="924">
        <f t="shared" si="131"/>
        <v>8427</v>
      </c>
      <c r="B8427" s="924">
        <v>22.6</v>
      </c>
    </row>
    <row r="8428" spans="1:2" x14ac:dyDescent="0.25">
      <c r="A8428" s="924">
        <f t="shared" si="131"/>
        <v>8428</v>
      </c>
      <c r="B8428" s="924">
        <v>22.6</v>
      </c>
    </row>
    <row r="8429" spans="1:2" x14ac:dyDescent="0.25">
      <c r="A8429" s="924">
        <f t="shared" si="131"/>
        <v>8429</v>
      </c>
      <c r="B8429" s="924">
        <v>22.6</v>
      </c>
    </row>
    <row r="8430" spans="1:2" x14ac:dyDescent="0.25">
      <c r="A8430" s="924">
        <f t="shared" si="131"/>
        <v>8430</v>
      </c>
      <c r="B8430" s="924">
        <v>22.6</v>
      </c>
    </row>
    <row r="8431" spans="1:2" x14ac:dyDescent="0.25">
      <c r="A8431" s="924">
        <f t="shared" si="131"/>
        <v>8431</v>
      </c>
      <c r="B8431" s="924">
        <v>22.6</v>
      </c>
    </row>
    <row r="8432" spans="1:2" x14ac:dyDescent="0.25">
      <c r="A8432" s="924">
        <f t="shared" si="131"/>
        <v>8432</v>
      </c>
      <c r="B8432" s="924">
        <v>22.7</v>
      </c>
    </row>
    <row r="8433" spans="1:2" x14ac:dyDescent="0.25">
      <c r="A8433" s="924">
        <f t="shared" si="131"/>
        <v>8433</v>
      </c>
      <c r="B8433" s="924">
        <v>22.7</v>
      </c>
    </row>
    <row r="8434" spans="1:2" x14ac:dyDescent="0.25">
      <c r="A8434" s="924">
        <f t="shared" si="131"/>
        <v>8434</v>
      </c>
      <c r="B8434" s="924">
        <v>22.7</v>
      </c>
    </row>
    <row r="8435" spans="1:2" x14ac:dyDescent="0.25">
      <c r="A8435" s="924">
        <f t="shared" si="131"/>
        <v>8435</v>
      </c>
      <c r="B8435" s="924">
        <v>22.7</v>
      </c>
    </row>
    <row r="8436" spans="1:2" x14ac:dyDescent="0.25">
      <c r="A8436" s="924">
        <f t="shared" si="131"/>
        <v>8436</v>
      </c>
      <c r="B8436" s="924">
        <v>22.7</v>
      </c>
    </row>
    <row r="8437" spans="1:2" x14ac:dyDescent="0.25">
      <c r="A8437" s="924">
        <f t="shared" si="131"/>
        <v>8437</v>
      </c>
      <c r="B8437" s="924">
        <v>22.7</v>
      </c>
    </row>
    <row r="8438" spans="1:2" x14ac:dyDescent="0.25">
      <c r="A8438" s="924">
        <f t="shared" si="131"/>
        <v>8438</v>
      </c>
      <c r="B8438" s="924">
        <v>22.7</v>
      </c>
    </row>
    <row r="8439" spans="1:2" x14ac:dyDescent="0.25">
      <c r="A8439" s="924">
        <f t="shared" si="131"/>
        <v>8439</v>
      </c>
      <c r="B8439" s="924">
        <v>22.7</v>
      </c>
    </row>
    <row r="8440" spans="1:2" x14ac:dyDescent="0.25">
      <c r="A8440" s="924">
        <f t="shared" si="131"/>
        <v>8440</v>
      </c>
      <c r="B8440" s="924">
        <v>22.7</v>
      </c>
    </row>
    <row r="8441" spans="1:2" x14ac:dyDescent="0.25">
      <c r="A8441" s="924">
        <f t="shared" si="131"/>
        <v>8441</v>
      </c>
      <c r="B8441" s="924">
        <v>22.7</v>
      </c>
    </row>
    <row r="8442" spans="1:2" x14ac:dyDescent="0.25">
      <c r="A8442" s="924">
        <f t="shared" si="131"/>
        <v>8442</v>
      </c>
      <c r="B8442" s="924">
        <v>22.7</v>
      </c>
    </row>
    <row r="8443" spans="1:2" x14ac:dyDescent="0.25">
      <c r="A8443" s="924">
        <f t="shared" si="131"/>
        <v>8443</v>
      </c>
      <c r="B8443" s="924">
        <v>22.8</v>
      </c>
    </row>
    <row r="8444" spans="1:2" x14ac:dyDescent="0.25">
      <c r="A8444" s="924">
        <f t="shared" si="131"/>
        <v>8444</v>
      </c>
      <c r="B8444" s="924">
        <v>22.8</v>
      </c>
    </row>
    <row r="8445" spans="1:2" x14ac:dyDescent="0.25">
      <c r="A8445" s="924">
        <f t="shared" si="131"/>
        <v>8445</v>
      </c>
      <c r="B8445" s="924">
        <v>22.8</v>
      </c>
    </row>
    <row r="8446" spans="1:2" x14ac:dyDescent="0.25">
      <c r="A8446" s="924">
        <f t="shared" si="131"/>
        <v>8446</v>
      </c>
      <c r="B8446" s="924">
        <v>22.8</v>
      </c>
    </row>
    <row r="8447" spans="1:2" x14ac:dyDescent="0.25">
      <c r="A8447" s="924">
        <f t="shared" si="131"/>
        <v>8447</v>
      </c>
      <c r="B8447" s="924">
        <v>22.8</v>
      </c>
    </row>
    <row r="8448" spans="1:2" x14ac:dyDescent="0.25">
      <c r="A8448" s="924">
        <f t="shared" si="131"/>
        <v>8448</v>
      </c>
      <c r="B8448" s="924">
        <v>22.8</v>
      </c>
    </row>
    <row r="8449" spans="1:2" x14ac:dyDescent="0.25">
      <c r="A8449" s="924">
        <f t="shared" si="131"/>
        <v>8449</v>
      </c>
      <c r="B8449" s="924">
        <v>22.8</v>
      </c>
    </row>
    <row r="8450" spans="1:2" x14ac:dyDescent="0.25">
      <c r="A8450" s="924">
        <f t="shared" si="131"/>
        <v>8450</v>
      </c>
      <c r="B8450" s="924">
        <v>22.8</v>
      </c>
    </row>
    <row r="8451" spans="1:2" x14ac:dyDescent="0.25">
      <c r="A8451" s="924">
        <f t="shared" ref="A8451:A8514" si="132">A8450+1</f>
        <v>8451</v>
      </c>
      <c r="B8451" s="924">
        <v>22.9</v>
      </c>
    </row>
    <row r="8452" spans="1:2" x14ac:dyDescent="0.25">
      <c r="A8452" s="924">
        <f t="shared" si="132"/>
        <v>8452</v>
      </c>
      <c r="B8452" s="924">
        <v>22.9</v>
      </c>
    </row>
    <row r="8453" spans="1:2" x14ac:dyDescent="0.25">
      <c r="A8453" s="924">
        <f t="shared" si="132"/>
        <v>8453</v>
      </c>
      <c r="B8453" s="924">
        <v>22.9</v>
      </c>
    </row>
    <row r="8454" spans="1:2" x14ac:dyDescent="0.25">
      <c r="A8454" s="924">
        <f t="shared" si="132"/>
        <v>8454</v>
      </c>
      <c r="B8454" s="924">
        <v>22.9</v>
      </c>
    </row>
    <row r="8455" spans="1:2" x14ac:dyDescent="0.25">
      <c r="A8455" s="924">
        <f t="shared" si="132"/>
        <v>8455</v>
      </c>
      <c r="B8455" s="924">
        <v>22.9</v>
      </c>
    </row>
    <row r="8456" spans="1:2" x14ac:dyDescent="0.25">
      <c r="A8456" s="924">
        <f t="shared" si="132"/>
        <v>8456</v>
      </c>
      <c r="B8456" s="924">
        <v>22.9</v>
      </c>
    </row>
    <row r="8457" spans="1:2" x14ac:dyDescent="0.25">
      <c r="A8457" s="924">
        <f t="shared" si="132"/>
        <v>8457</v>
      </c>
      <c r="B8457" s="924">
        <v>22.9</v>
      </c>
    </row>
    <row r="8458" spans="1:2" x14ac:dyDescent="0.25">
      <c r="A8458" s="924">
        <f t="shared" si="132"/>
        <v>8458</v>
      </c>
      <c r="B8458" s="924">
        <v>22.9</v>
      </c>
    </row>
    <row r="8459" spans="1:2" x14ac:dyDescent="0.25">
      <c r="A8459" s="924">
        <f t="shared" si="132"/>
        <v>8459</v>
      </c>
      <c r="B8459" s="924">
        <v>22.9</v>
      </c>
    </row>
    <row r="8460" spans="1:2" x14ac:dyDescent="0.25">
      <c r="A8460" s="924">
        <f t="shared" si="132"/>
        <v>8460</v>
      </c>
      <c r="B8460" s="924">
        <v>22.9</v>
      </c>
    </row>
    <row r="8461" spans="1:2" x14ac:dyDescent="0.25">
      <c r="A8461" s="924">
        <f t="shared" si="132"/>
        <v>8461</v>
      </c>
      <c r="B8461" s="924">
        <v>22.9</v>
      </c>
    </row>
    <row r="8462" spans="1:2" x14ac:dyDescent="0.25">
      <c r="A8462" s="924">
        <f t="shared" si="132"/>
        <v>8462</v>
      </c>
      <c r="B8462" s="924">
        <v>23</v>
      </c>
    </row>
    <row r="8463" spans="1:2" x14ac:dyDescent="0.25">
      <c r="A8463" s="924">
        <f t="shared" si="132"/>
        <v>8463</v>
      </c>
      <c r="B8463" s="924">
        <v>23</v>
      </c>
    </row>
    <row r="8464" spans="1:2" x14ac:dyDescent="0.25">
      <c r="A8464" s="924">
        <f t="shared" si="132"/>
        <v>8464</v>
      </c>
      <c r="B8464" s="924">
        <v>23</v>
      </c>
    </row>
    <row r="8465" spans="1:2" x14ac:dyDescent="0.25">
      <c r="A8465" s="924">
        <f t="shared" si="132"/>
        <v>8465</v>
      </c>
      <c r="B8465" s="924">
        <v>23</v>
      </c>
    </row>
    <row r="8466" spans="1:2" x14ac:dyDescent="0.25">
      <c r="A8466" s="924">
        <f t="shared" si="132"/>
        <v>8466</v>
      </c>
      <c r="B8466" s="924">
        <v>23</v>
      </c>
    </row>
    <row r="8467" spans="1:2" x14ac:dyDescent="0.25">
      <c r="A8467" s="924">
        <f t="shared" si="132"/>
        <v>8467</v>
      </c>
      <c r="B8467" s="924">
        <v>23</v>
      </c>
    </row>
    <row r="8468" spans="1:2" x14ac:dyDescent="0.25">
      <c r="A8468" s="924">
        <f t="shared" si="132"/>
        <v>8468</v>
      </c>
      <c r="B8468" s="924">
        <v>23</v>
      </c>
    </row>
    <row r="8469" spans="1:2" x14ac:dyDescent="0.25">
      <c r="A8469" s="924">
        <f t="shared" si="132"/>
        <v>8469</v>
      </c>
      <c r="B8469" s="924">
        <v>23</v>
      </c>
    </row>
    <row r="8470" spans="1:2" x14ac:dyDescent="0.25">
      <c r="A8470" s="924">
        <f t="shared" si="132"/>
        <v>8470</v>
      </c>
      <c r="B8470" s="924">
        <v>23</v>
      </c>
    </row>
    <row r="8471" spans="1:2" x14ac:dyDescent="0.25">
      <c r="A8471" s="924">
        <f t="shared" si="132"/>
        <v>8471</v>
      </c>
      <c r="B8471" s="924">
        <v>23</v>
      </c>
    </row>
    <row r="8472" spans="1:2" x14ac:dyDescent="0.25">
      <c r="A8472" s="924">
        <f t="shared" si="132"/>
        <v>8472</v>
      </c>
      <c r="B8472" s="924">
        <v>23.1</v>
      </c>
    </row>
    <row r="8473" spans="1:2" x14ac:dyDescent="0.25">
      <c r="A8473" s="924">
        <f t="shared" si="132"/>
        <v>8473</v>
      </c>
      <c r="B8473" s="924">
        <v>23.1</v>
      </c>
    </row>
    <row r="8474" spans="1:2" x14ac:dyDescent="0.25">
      <c r="A8474" s="924">
        <f t="shared" si="132"/>
        <v>8474</v>
      </c>
      <c r="B8474" s="924">
        <v>23.1</v>
      </c>
    </row>
    <row r="8475" spans="1:2" x14ac:dyDescent="0.25">
      <c r="A8475" s="924">
        <f t="shared" si="132"/>
        <v>8475</v>
      </c>
      <c r="B8475" s="924">
        <v>23.1</v>
      </c>
    </row>
    <row r="8476" spans="1:2" x14ac:dyDescent="0.25">
      <c r="A8476" s="924">
        <f t="shared" si="132"/>
        <v>8476</v>
      </c>
      <c r="B8476" s="924">
        <v>23.1</v>
      </c>
    </row>
    <row r="8477" spans="1:2" x14ac:dyDescent="0.25">
      <c r="A8477" s="924">
        <f t="shared" si="132"/>
        <v>8477</v>
      </c>
      <c r="B8477" s="924">
        <v>23.1</v>
      </c>
    </row>
    <row r="8478" spans="1:2" x14ac:dyDescent="0.25">
      <c r="A8478" s="924">
        <f t="shared" si="132"/>
        <v>8478</v>
      </c>
      <c r="B8478" s="924">
        <v>23.1</v>
      </c>
    </row>
    <row r="8479" spans="1:2" x14ac:dyDescent="0.25">
      <c r="A8479" s="924">
        <f t="shared" si="132"/>
        <v>8479</v>
      </c>
      <c r="B8479" s="924">
        <v>23.1</v>
      </c>
    </row>
    <row r="8480" spans="1:2" x14ac:dyDescent="0.25">
      <c r="A8480" s="924">
        <f t="shared" si="132"/>
        <v>8480</v>
      </c>
      <c r="B8480" s="924">
        <v>23.1</v>
      </c>
    </row>
    <row r="8481" spans="1:2" x14ac:dyDescent="0.25">
      <c r="A8481" s="924">
        <f t="shared" si="132"/>
        <v>8481</v>
      </c>
      <c r="B8481" s="924">
        <v>23.2</v>
      </c>
    </row>
    <row r="8482" spans="1:2" x14ac:dyDescent="0.25">
      <c r="A8482" s="924">
        <f t="shared" si="132"/>
        <v>8482</v>
      </c>
      <c r="B8482" s="924">
        <v>23.2</v>
      </c>
    </row>
    <row r="8483" spans="1:2" x14ac:dyDescent="0.25">
      <c r="A8483" s="924">
        <f t="shared" si="132"/>
        <v>8483</v>
      </c>
      <c r="B8483" s="924">
        <v>23.2</v>
      </c>
    </row>
    <row r="8484" spans="1:2" x14ac:dyDescent="0.25">
      <c r="A8484" s="924">
        <f t="shared" si="132"/>
        <v>8484</v>
      </c>
      <c r="B8484" s="924">
        <v>23.2</v>
      </c>
    </row>
    <row r="8485" spans="1:2" x14ac:dyDescent="0.25">
      <c r="A8485" s="924">
        <f t="shared" si="132"/>
        <v>8485</v>
      </c>
      <c r="B8485" s="924">
        <v>23.2</v>
      </c>
    </row>
    <row r="8486" spans="1:2" x14ac:dyDescent="0.25">
      <c r="A8486" s="924">
        <f t="shared" si="132"/>
        <v>8486</v>
      </c>
      <c r="B8486" s="924">
        <v>23.2</v>
      </c>
    </row>
    <row r="8487" spans="1:2" x14ac:dyDescent="0.25">
      <c r="A8487" s="924">
        <f t="shared" si="132"/>
        <v>8487</v>
      </c>
      <c r="B8487" s="924">
        <v>23.3</v>
      </c>
    </row>
    <row r="8488" spans="1:2" x14ac:dyDescent="0.25">
      <c r="A8488" s="924">
        <f t="shared" si="132"/>
        <v>8488</v>
      </c>
      <c r="B8488" s="924">
        <v>23.3</v>
      </c>
    </row>
    <row r="8489" spans="1:2" x14ac:dyDescent="0.25">
      <c r="A8489" s="924">
        <f t="shared" si="132"/>
        <v>8489</v>
      </c>
      <c r="B8489" s="924">
        <v>23.3</v>
      </c>
    </row>
    <row r="8490" spans="1:2" x14ac:dyDescent="0.25">
      <c r="A8490" s="924">
        <f t="shared" si="132"/>
        <v>8490</v>
      </c>
      <c r="B8490" s="924">
        <v>23.3</v>
      </c>
    </row>
    <row r="8491" spans="1:2" x14ac:dyDescent="0.25">
      <c r="A8491" s="924">
        <f t="shared" si="132"/>
        <v>8491</v>
      </c>
      <c r="B8491" s="924">
        <v>23.4</v>
      </c>
    </row>
    <row r="8492" spans="1:2" x14ac:dyDescent="0.25">
      <c r="A8492" s="924">
        <f t="shared" si="132"/>
        <v>8492</v>
      </c>
      <c r="B8492" s="924">
        <v>23.4</v>
      </c>
    </row>
    <row r="8493" spans="1:2" x14ac:dyDescent="0.25">
      <c r="A8493" s="924">
        <f t="shared" si="132"/>
        <v>8493</v>
      </c>
      <c r="B8493" s="924">
        <v>23.4</v>
      </c>
    </row>
    <row r="8494" spans="1:2" x14ac:dyDescent="0.25">
      <c r="A8494" s="924">
        <f t="shared" si="132"/>
        <v>8494</v>
      </c>
      <c r="B8494" s="924">
        <v>23.4</v>
      </c>
    </row>
    <row r="8495" spans="1:2" x14ac:dyDescent="0.25">
      <c r="A8495" s="924">
        <f t="shared" si="132"/>
        <v>8495</v>
      </c>
      <c r="B8495" s="924">
        <v>23.4</v>
      </c>
    </row>
    <row r="8496" spans="1:2" x14ac:dyDescent="0.25">
      <c r="A8496" s="924">
        <f t="shared" si="132"/>
        <v>8496</v>
      </c>
      <c r="B8496" s="924">
        <v>23.4</v>
      </c>
    </row>
    <row r="8497" spans="1:2" x14ac:dyDescent="0.25">
      <c r="A8497" s="924">
        <f t="shared" si="132"/>
        <v>8497</v>
      </c>
      <c r="B8497" s="924">
        <v>23.5</v>
      </c>
    </row>
    <row r="8498" spans="1:2" x14ac:dyDescent="0.25">
      <c r="A8498" s="924">
        <f t="shared" si="132"/>
        <v>8498</v>
      </c>
      <c r="B8498" s="924">
        <v>23.5</v>
      </c>
    </row>
    <row r="8499" spans="1:2" x14ac:dyDescent="0.25">
      <c r="A8499" s="924">
        <f t="shared" si="132"/>
        <v>8499</v>
      </c>
      <c r="B8499" s="924">
        <v>23.6</v>
      </c>
    </row>
    <row r="8500" spans="1:2" x14ac:dyDescent="0.25">
      <c r="A8500" s="924">
        <f t="shared" si="132"/>
        <v>8500</v>
      </c>
      <c r="B8500" s="924">
        <v>23.6</v>
      </c>
    </row>
    <row r="8501" spans="1:2" x14ac:dyDescent="0.25">
      <c r="A8501" s="924">
        <f t="shared" si="132"/>
        <v>8501</v>
      </c>
      <c r="B8501" s="924">
        <v>23.6</v>
      </c>
    </row>
    <row r="8502" spans="1:2" x14ac:dyDescent="0.25">
      <c r="A8502" s="924">
        <f t="shared" si="132"/>
        <v>8502</v>
      </c>
      <c r="B8502" s="924">
        <v>23.6</v>
      </c>
    </row>
    <row r="8503" spans="1:2" x14ac:dyDescent="0.25">
      <c r="A8503" s="924">
        <f t="shared" si="132"/>
        <v>8503</v>
      </c>
      <c r="B8503" s="924">
        <v>23.6</v>
      </c>
    </row>
    <row r="8504" spans="1:2" x14ac:dyDescent="0.25">
      <c r="A8504" s="924">
        <f t="shared" si="132"/>
        <v>8504</v>
      </c>
      <c r="B8504" s="924">
        <v>23.6</v>
      </c>
    </row>
    <row r="8505" spans="1:2" x14ac:dyDescent="0.25">
      <c r="A8505" s="924">
        <f t="shared" si="132"/>
        <v>8505</v>
      </c>
      <c r="B8505" s="924">
        <v>23.6</v>
      </c>
    </row>
    <row r="8506" spans="1:2" x14ac:dyDescent="0.25">
      <c r="A8506" s="924">
        <f t="shared" si="132"/>
        <v>8506</v>
      </c>
      <c r="B8506" s="924">
        <v>23.7</v>
      </c>
    </row>
    <row r="8507" spans="1:2" x14ac:dyDescent="0.25">
      <c r="A8507" s="924">
        <f t="shared" si="132"/>
        <v>8507</v>
      </c>
      <c r="B8507" s="924">
        <v>23.7</v>
      </c>
    </row>
    <row r="8508" spans="1:2" x14ac:dyDescent="0.25">
      <c r="A8508" s="924">
        <f t="shared" si="132"/>
        <v>8508</v>
      </c>
      <c r="B8508" s="924">
        <v>23.7</v>
      </c>
    </row>
    <row r="8509" spans="1:2" x14ac:dyDescent="0.25">
      <c r="A8509" s="924">
        <f t="shared" si="132"/>
        <v>8509</v>
      </c>
      <c r="B8509" s="924">
        <v>23.7</v>
      </c>
    </row>
    <row r="8510" spans="1:2" x14ac:dyDescent="0.25">
      <c r="A8510" s="924">
        <f t="shared" si="132"/>
        <v>8510</v>
      </c>
      <c r="B8510" s="924">
        <v>23.7</v>
      </c>
    </row>
    <row r="8511" spans="1:2" x14ac:dyDescent="0.25">
      <c r="A8511" s="924">
        <f t="shared" si="132"/>
        <v>8511</v>
      </c>
      <c r="B8511" s="924">
        <v>23.7</v>
      </c>
    </row>
    <row r="8512" spans="1:2" x14ac:dyDescent="0.25">
      <c r="A8512" s="924">
        <f t="shared" si="132"/>
        <v>8512</v>
      </c>
      <c r="B8512" s="924">
        <v>23.8</v>
      </c>
    </row>
    <row r="8513" spans="1:2" x14ac:dyDescent="0.25">
      <c r="A8513" s="924">
        <f t="shared" si="132"/>
        <v>8513</v>
      </c>
      <c r="B8513" s="924">
        <v>23.8</v>
      </c>
    </row>
    <row r="8514" spans="1:2" x14ac:dyDescent="0.25">
      <c r="A8514" s="924">
        <f t="shared" si="132"/>
        <v>8514</v>
      </c>
      <c r="B8514" s="924">
        <v>23.8</v>
      </c>
    </row>
    <row r="8515" spans="1:2" x14ac:dyDescent="0.25">
      <c r="A8515" s="924">
        <f t="shared" ref="A8515:A8578" si="133">A8514+1</f>
        <v>8515</v>
      </c>
      <c r="B8515" s="924">
        <v>23.8</v>
      </c>
    </row>
    <row r="8516" spans="1:2" x14ac:dyDescent="0.25">
      <c r="A8516" s="924">
        <f t="shared" si="133"/>
        <v>8516</v>
      </c>
      <c r="B8516" s="924">
        <v>23.8</v>
      </c>
    </row>
    <row r="8517" spans="1:2" x14ac:dyDescent="0.25">
      <c r="A8517" s="924">
        <f t="shared" si="133"/>
        <v>8517</v>
      </c>
      <c r="B8517" s="924">
        <v>23.8</v>
      </c>
    </row>
    <row r="8518" spans="1:2" x14ac:dyDescent="0.25">
      <c r="A8518" s="924">
        <f t="shared" si="133"/>
        <v>8518</v>
      </c>
      <c r="B8518" s="924">
        <v>23.8</v>
      </c>
    </row>
    <row r="8519" spans="1:2" x14ac:dyDescent="0.25">
      <c r="A8519" s="924">
        <f t="shared" si="133"/>
        <v>8519</v>
      </c>
      <c r="B8519" s="924">
        <v>23.8</v>
      </c>
    </row>
    <row r="8520" spans="1:2" x14ac:dyDescent="0.25">
      <c r="A8520" s="924">
        <f t="shared" si="133"/>
        <v>8520</v>
      </c>
      <c r="B8520" s="924">
        <v>23.9</v>
      </c>
    </row>
    <row r="8521" spans="1:2" x14ac:dyDescent="0.25">
      <c r="A8521" s="924">
        <f t="shared" si="133"/>
        <v>8521</v>
      </c>
      <c r="B8521" s="924">
        <v>23.9</v>
      </c>
    </row>
    <row r="8522" spans="1:2" x14ac:dyDescent="0.25">
      <c r="A8522" s="924">
        <f t="shared" si="133"/>
        <v>8522</v>
      </c>
      <c r="B8522" s="924">
        <v>23.9</v>
      </c>
    </row>
    <row r="8523" spans="1:2" x14ac:dyDescent="0.25">
      <c r="A8523" s="924">
        <f t="shared" si="133"/>
        <v>8523</v>
      </c>
      <c r="B8523" s="924">
        <v>23.9</v>
      </c>
    </row>
    <row r="8524" spans="1:2" x14ac:dyDescent="0.25">
      <c r="A8524" s="924">
        <f t="shared" si="133"/>
        <v>8524</v>
      </c>
      <c r="B8524" s="924">
        <v>23.9</v>
      </c>
    </row>
    <row r="8525" spans="1:2" x14ac:dyDescent="0.25">
      <c r="A8525" s="924">
        <f t="shared" si="133"/>
        <v>8525</v>
      </c>
      <c r="B8525" s="924">
        <v>23.9</v>
      </c>
    </row>
    <row r="8526" spans="1:2" x14ac:dyDescent="0.25">
      <c r="A8526" s="924">
        <f t="shared" si="133"/>
        <v>8526</v>
      </c>
      <c r="B8526" s="924">
        <v>24</v>
      </c>
    </row>
    <row r="8527" spans="1:2" x14ac:dyDescent="0.25">
      <c r="A8527" s="924">
        <f t="shared" si="133"/>
        <v>8527</v>
      </c>
      <c r="B8527" s="924">
        <v>24</v>
      </c>
    </row>
    <row r="8528" spans="1:2" x14ac:dyDescent="0.25">
      <c r="A8528" s="924">
        <f t="shared" si="133"/>
        <v>8528</v>
      </c>
      <c r="B8528" s="924">
        <v>24</v>
      </c>
    </row>
    <row r="8529" spans="1:2" x14ac:dyDescent="0.25">
      <c r="A8529" s="924">
        <f t="shared" si="133"/>
        <v>8529</v>
      </c>
      <c r="B8529" s="924">
        <v>24</v>
      </c>
    </row>
    <row r="8530" spans="1:2" x14ac:dyDescent="0.25">
      <c r="A8530" s="924">
        <f t="shared" si="133"/>
        <v>8530</v>
      </c>
      <c r="B8530" s="924">
        <v>24</v>
      </c>
    </row>
    <row r="8531" spans="1:2" x14ac:dyDescent="0.25">
      <c r="A8531" s="924">
        <f t="shared" si="133"/>
        <v>8531</v>
      </c>
      <c r="B8531" s="924">
        <v>24</v>
      </c>
    </row>
    <row r="8532" spans="1:2" x14ac:dyDescent="0.25">
      <c r="A8532" s="924">
        <f t="shared" si="133"/>
        <v>8532</v>
      </c>
      <c r="B8532" s="924">
        <v>24</v>
      </c>
    </row>
    <row r="8533" spans="1:2" x14ac:dyDescent="0.25">
      <c r="A8533" s="924">
        <f t="shared" si="133"/>
        <v>8533</v>
      </c>
      <c r="B8533" s="924">
        <v>24</v>
      </c>
    </row>
    <row r="8534" spans="1:2" x14ac:dyDescent="0.25">
      <c r="A8534" s="924">
        <f t="shared" si="133"/>
        <v>8534</v>
      </c>
      <c r="B8534" s="924">
        <v>24.1</v>
      </c>
    </row>
    <row r="8535" spans="1:2" x14ac:dyDescent="0.25">
      <c r="A8535" s="924">
        <f t="shared" si="133"/>
        <v>8535</v>
      </c>
      <c r="B8535" s="924">
        <v>24.1</v>
      </c>
    </row>
    <row r="8536" spans="1:2" x14ac:dyDescent="0.25">
      <c r="A8536" s="924">
        <f t="shared" si="133"/>
        <v>8536</v>
      </c>
      <c r="B8536" s="924">
        <v>24.1</v>
      </c>
    </row>
    <row r="8537" spans="1:2" x14ac:dyDescent="0.25">
      <c r="A8537" s="924">
        <f t="shared" si="133"/>
        <v>8537</v>
      </c>
      <c r="B8537" s="924">
        <v>24.1</v>
      </c>
    </row>
    <row r="8538" spans="1:2" x14ac:dyDescent="0.25">
      <c r="A8538" s="924">
        <f t="shared" si="133"/>
        <v>8538</v>
      </c>
      <c r="B8538" s="924">
        <v>24.1</v>
      </c>
    </row>
    <row r="8539" spans="1:2" x14ac:dyDescent="0.25">
      <c r="A8539" s="924">
        <f t="shared" si="133"/>
        <v>8539</v>
      </c>
      <c r="B8539" s="924">
        <v>24.1</v>
      </c>
    </row>
    <row r="8540" spans="1:2" x14ac:dyDescent="0.25">
      <c r="A8540" s="924">
        <f t="shared" si="133"/>
        <v>8540</v>
      </c>
      <c r="B8540" s="924">
        <v>24.2</v>
      </c>
    </row>
    <row r="8541" spans="1:2" x14ac:dyDescent="0.25">
      <c r="A8541" s="924">
        <f t="shared" si="133"/>
        <v>8541</v>
      </c>
      <c r="B8541" s="924">
        <v>24.2</v>
      </c>
    </row>
    <row r="8542" spans="1:2" x14ac:dyDescent="0.25">
      <c r="A8542" s="924">
        <f t="shared" si="133"/>
        <v>8542</v>
      </c>
      <c r="B8542" s="924">
        <v>24.2</v>
      </c>
    </row>
    <row r="8543" spans="1:2" x14ac:dyDescent="0.25">
      <c r="A8543" s="924">
        <f t="shared" si="133"/>
        <v>8543</v>
      </c>
      <c r="B8543" s="924">
        <v>24.2</v>
      </c>
    </row>
    <row r="8544" spans="1:2" x14ac:dyDescent="0.25">
      <c r="A8544" s="924">
        <f t="shared" si="133"/>
        <v>8544</v>
      </c>
      <c r="B8544" s="924">
        <v>24.2</v>
      </c>
    </row>
    <row r="8545" spans="1:2" x14ac:dyDescent="0.25">
      <c r="A8545" s="924">
        <f t="shared" si="133"/>
        <v>8545</v>
      </c>
      <c r="B8545" s="924">
        <v>24.3</v>
      </c>
    </row>
    <row r="8546" spans="1:2" x14ac:dyDescent="0.25">
      <c r="A8546" s="924">
        <f t="shared" si="133"/>
        <v>8546</v>
      </c>
      <c r="B8546" s="924">
        <v>24.3</v>
      </c>
    </row>
    <row r="8547" spans="1:2" x14ac:dyDescent="0.25">
      <c r="A8547" s="924">
        <f t="shared" si="133"/>
        <v>8547</v>
      </c>
      <c r="B8547" s="924">
        <v>24.3</v>
      </c>
    </row>
    <row r="8548" spans="1:2" x14ac:dyDescent="0.25">
      <c r="A8548" s="924">
        <f t="shared" si="133"/>
        <v>8548</v>
      </c>
      <c r="B8548" s="924">
        <v>24.3</v>
      </c>
    </row>
    <row r="8549" spans="1:2" x14ac:dyDescent="0.25">
      <c r="A8549" s="924">
        <f t="shared" si="133"/>
        <v>8549</v>
      </c>
      <c r="B8549" s="924">
        <v>24.3</v>
      </c>
    </row>
    <row r="8550" spans="1:2" x14ac:dyDescent="0.25">
      <c r="A8550" s="924">
        <f t="shared" si="133"/>
        <v>8550</v>
      </c>
      <c r="B8550" s="924">
        <v>24.3</v>
      </c>
    </row>
    <row r="8551" spans="1:2" x14ac:dyDescent="0.25">
      <c r="A8551" s="924">
        <f t="shared" si="133"/>
        <v>8551</v>
      </c>
      <c r="B8551" s="924">
        <v>24.3</v>
      </c>
    </row>
    <row r="8552" spans="1:2" x14ac:dyDescent="0.25">
      <c r="A8552" s="924">
        <f t="shared" si="133"/>
        <v>8552</v>
      </c>
      <c r="B8552" s="924">
        <v>24.3</v>
      </c>
    </row>
    <row r="8553" spans="1:2" x14ac:dyDescent="0.25">
      <c r="A8553" s="924">
        <f t="shared" si="133"/>
        <v>8553</v>
      </c>
      <c r="B8553" s="924">
        <v>24.4</v>
      </c>
    </row>
    <row r="8554" spans="1:2" x14ac:dyDescent="0.25">
      <c r="A8554" s="924">
        <f t="shared" si="133"/>
        <v>8554</v>
      </c>
      <c r="B8554" s="924">
        <v>24.4</v>
      </c>
    </row>
    <row r="8555" spans="1:2" x14ac:dyDescent="0.25">
      <c r="A8555" s="924">
        <f t="shared" si="133"/>
        <v>8555</v>
      </c>
      <c r="B8555" s="924">
        <v>24.4</v>
      </c>
    </row>
    <row r="8556" spans="1:2" x14ac:dyDescent="0.25">
      <c r="A8556" s="924">
        <f t="shared" si="133"/>
        <v>8556</v>
      </c>
      <c r="B8556" s="924">
        <v>24.4</v>
      </c>
    </row>
    <row r="8557" spans="1:2" x14ac:dyDescent="0.25">
      <c r="A8557" s="924">
        <f t="shared" si="133"/>
        <v>8557</v>
      </c>
      <c r="B8557" s="924">
        <v>24.4</v>
      </c>
    </row>
    <row r="8558" spans="1:2" x14ac:dyDescent="0.25">
      <c r="A8558" s="924">
        <f t="shared" si="133"/>
        <v>8558</v>
      </c>
      <c r="B8558" s="924">
        <v>24.5</v>
      </c>
    </row>
    <row r="8559" spans="1:2" x14ac:dyDescent="0.25">
      <c r="A8559" s="924">
        <f t="shared" si="133"/>
        <v>8559</v>
      </c>
      <c r="B8559" s="924">
        <v>24.5</v>
      </c>
    </row>
    <row r="8560" spans="1:2" x14ac:dyDescent="0.25">
      <c r="A8560" s="924">
        <f t="shared" si="133"/>
        <v>8560</v>
      </c>
      <c r="B8560" s="924">
        <v>24.5</v>
      </c>
    </row>
    <row r="8561" spans="1:2" x14ac:dyDescent="0.25">
      <c r="A8561" s="924">
        <f t="shared" si="133"/>
        <v>8561</v>
      </c>
      <c r="B8561" s="924">
        <v>24.5</v>
      </c>
    </row>
    <row r="8562" spans="1:2" x14ac:dyDescent="0.25">
      <c r="A8562" s="924">
        <f t="shared" si="133"/>
        <v>8562</v>
      </c>
      <c r="B8562" s="924">
        <v>24.5</v>
      </c>
    </row>
    <row r="8563" spans="1:2" x14ac:dyDescent="0.25">
      <c r="A8563" s="924">
        <f t="shared" si="133"/>
        <v>8563</v>
      </c>
      <c r="B8563" s="924">
        <v>24.5</v>
      </c>
    </row>
    <row r="8564" spans="1:2" x14ac:dyDescent="0.25">
      <c r="A8564" s="924">
        <f t="shared" si="133"/>
        <v>8564</v>
      </c>
      <c r="B8564" s="924">
        <v>24.5</v>
      </c>
    </row>
    <row r="8565" spans="1:2" x14ac:dyDescent="0.25">
      <c r="A8565" s="924">
        <f t="shared" si="133"/>
        <v>8565</v>
      </c>
      <c r="B8565" s="924">
        <v>24.5</v>
      </c>
    </row>
    <row r="8566" spans="1:2" x14ac:dyDescent="0.25">
      <c r="A8566" s="924">
        <f t="shared" si="133"/>
        <v>8566</v>
      </c>
      <c r="B8566" s="924">
        <v>24.5</v>
      </c>
    </row>
    <row r="8567" spans="1:2" x14ac:dyDescent="0.25">
      <c r="A8567" s="924">
        <f t="shared" si="133"/>
        <v>8567</v>
      </c>
      <c r="B8567" s="924">
        <v>24.5</v>
      </c>
    </row>
    <row r="8568" spans="1:2" x14ac:dyDescent="0.25">
      <c r="A8568" s="924">
        <f t="shared" si="133"/>
        <v>8568</v>
      </c>
      <c r="B8568" s="924">
        <v>24.6</v>
      </c>
    </row>
    <row r="8569" spans="1:2" x14ac:dyDescent="0.25">
      <c r="A8569" s="924">
        <f t="shared" si="133"/>
        <v>8569</v>
      </c>
      <c r="B8569" s="924">
        <v>24.6</v>
      </c>
    </row>
    <row r="8570" spans="1:2" x14ac:dyDescent="0.25">
      <c r="A8570" s="924">
        <f t="shared" si="133"/>
        <v>8570</v>
      </c>
      <c r="B8570" s="924">
        <v>24.6</v>
      </c>
    </row>
    <row r="8571" spans="1:2" x14ac:dyDescent="0.25">
      <c r="A8571" s="924">
        <f t="shared" si="133"/>
        <v>8571</v>
      </c>
      <c r="B8571" s="924">
        <v>24.6</v>
      </c>
    </row>
    <row r="8572" spans="1:2" x14ac:dyDescent="0.25">
      <c r="A8572" s="924">
        <f t="shared" si="133"/>
        <v>8572</v>
      </c>
      <c r="B8572" s="924">
        <v>24.7</v>
      </c>
    </row>
    <row r="8573" spans="1:2" x14ac:dyDescent="0.25">
      <c r="A8573" s="924">
        <f t="shared" si="133"/>
        <v>8573</v>
      </c>
      <c r="B8573" s="924">
        <v>24.7</v>
      </c>
    </row>
    <row r="8574" spans="1:2" x14ac:dyDescent="0.25">
      <c r="A8574" s="924">
        <f t="shared" si="133"/>
        <v>8574</v>
      </c>
      <c r="B8574" s="924">
        <v>24.7</v>
      </c>
    </row>
    <row r="8575" spans="1:2" x14ac:dyDescent="0.25">
      <c r="A8575" s="924">
        <f t="shared" si="133"/>
        <v>8575</v>
      </c>
      <c r="B8575" s="924">
        <v>24.7</v>
      </c>
    </row>
    <row r="8576" spans="1:2" x14ac:dyDescent="0.25">
      <c r="A8576" s="924">
        <f t="shared" si="133"/>
        <v>8576</v>
      </c>
      <c r="B8576" s="924">
        <v>24.7</v>
      </c>
    </row>
    <row r="8577" spans="1:2" x14ac:dyDescent="0.25">
      <c r="A8577" s="924">
        <f t="shared" si="133"/>
        <v>8577</v>
      </c>
      <c r="B8577" s="924">
        <v>24.7</v>
      </c>
    </row>
    <row r="8578" spans="1:2" x14ac:dyDescent="0.25">
      <c r="A8578" s="924">
        <f t="shared" si="133"/>
        <v>8578</v>
      </c>
      <c r="B8578" s="924">
        <v>24.7</v>
      </c>
    </row>
    <row r="8579" spans="1:2" x14ac:dyDescent="0.25">
      <c r="A8579" s="924">
        <f t="shared" ref="A8579:A8642" si="134">A8578+1</f>
        <v>8579</v>
      </c>
      <c r="B8579" s="924">
        <v>24.7</v>
      </c>
    </row>
    <row r="8580" spans="1:2" x14ac:dyDescent="0.25">
      <c r="A8580" s="924">
        <f t="shared" si="134"/>
        <v>8580</v>
      </c>
      <c r="B8580" s="924">
        <v>24.7</v>
      </c>
    </row>
    <row r="8581" spans="1:2" x14ac:dyDescent="0.25">
      <c r="A8581" s="924">
        <f t="shared" si="134"/>
        <v>8581</v>
      </c>
      <c r="B8581" s="924">
        <v>24.7</v>
      </c>
    </row>
    <row r="8582" spans="1:2" x14ac:dyDescent="0.25">
      <c r="A8582" s="924">
        <f t="shared" si="134"/>
        <v>8582</v>
      </c>
      <c r="B8582" s="924">
        <v>24.7</v>
      </c>
    </row>
    <row r="8583" spans="1:2" x14ac:dyDescent="0.25">
      <c r="A8583" s="924">
        <f t="shared" si="134"/>
        <v>8583</v>
      </c>
      <c r="B8583" s="924">
        <v>24.8</v>
      </c>
    </row>
    <row r="8584" spans="1:2" x14ac:dyDescent="0.25">
      <c r="A8584" s="924">
        <f t="shared" si="134"/>
        <v>8584</v>
      </c>
      <c r="B8584" s="924">
        <v>24.8</v>
      </c>
    </row>
    <row r="8585" spans="1:2" x14ac:dyDescent="0.25">
      <c r="A8585" s="924">
        <f t="shared" si="134"/>
        <v>8585</v>
      </c>
      <c r="B8585" s="924">
        <v>24.8</v>
      </c>
    </row>
    <row r="8586" spans="1:2" x14ac:dyDescent="0.25">
      <c r="A8586" s="924">
        <f t="shared" si="134"/>
        <v>8586</v>
      </c>
      <c r="B8586" s="924">
        <v>24.8</v>
      </c>
    </row>
    <row r="8587" spans="1:2" x14ac:dyDescent="0.25">
      <c r="A8587" s="924">
        <f t="shared" si="134"/>
        <v>8587</v>
      </c>
      <c r="B8587" s="924">
        <v>24.9</v>
      </c>
    </row>
    <row r="8588" spans="1:2" x14ac:dyDescent="0.25">
      <c r="A8588" s="924">
        <f t="shared" si="134"/>
        <v>8588</v>
      </c>
      <c r="B8588" s="924">
        <v>24.9</v>
      </c>
    </row>
    <row r="8589" spans="1:2" x14ac:dyDescent="0.25">
      <c r="A8589" s="924">
        <f t="shared" si="134"/>
        <v>8589</v>
      </c>
      <c r="B8589" s="924">
        <v>24.9</v>
      </c>
    </row>
    <row r="8590" spans="1:2" x14ac:dyDescent="0.25">
      <c r="A8590" s="924">
        <f t="shared" si="134"/>
        <v>8590</v>
      </c>
      <c r="B8590" s="924">
        <v>24.9</v>
      </c>
    </row>
    <row r="8591" spans="1:2" x14ac:dyDescent="0.25">
      <c r="A8591" s="924">
        <f t="shared" si="134"/>
        <v>8591</v>
      </c>
      <c r="B8591" s="924">
        <v>24.9</v>
      </c>
    </row>
    <row r="8592" spans="1:2" x14ac:dyDescent="0.25">
      <c r="A8592" s="924">
        <f t="shared" si="134"/>
        <v>8592</v>
      </c>
      <c r="B8592" s="924">
        <v>24.9</v>
      </c>
    </row>
    <row r="8593" spans="1:2" x14ac:dyDescent="0.25">
      <c r="A8593" s="924">
        <f t="shared" si="134"/>
        <v>8593</v>
      </c>
      <c r="B8593" s="924">
        <v>24.9</v>
      </c>
    </row>
    <row r="8594" spans="1:2" x14ac:dyDescent="0.25">
      <c r="A8594" s="924">
        <f t="shared" si="134"/>
        <v>8594</v>
      </c>
      <c r="B8594" s="924">
        <v>24.9</v>
      </c>
    </row>
    <row r="8595" spans="1:2" x14ac:dyDescent="0.25">
      <c r="A8595" s="924">
        <f t="shared" si="134"/>
        <v>8595</v>
      </c>
      <c r="B8595" s="924">
        <v>24.9</v>
      </c>
    </row>
    <row r="8596" spans="1:2" x14ac:dyDescent="0.25">
      <c r="A8596" s="924">
        <f t="shared" si="134"/>
        <v>8596</v>
      </c>
      <c r="B8596" s="924">
        <v>25</v>
      </c>
    </row>
    <row r="8597" spans="1:2" x14ac:dyDescent="0.25">
      <c r="A8597" s="924">
        <f t="shared" si="134"/>
        <v>8597</v>
      </c>
      <c r="B8597" s="924">
        <v>25</v>
      </c>
    </row>
    <row r="8598" spans="1:2" x14ac:dyDescent="0.25">
      <c r="A8598" s="924">
        <f t="shared" si="134"/>
        <v>8598</v>
      </c>
      <c r="B8598" s="924">
        <v>25</v>
      </c>
    </row>
    <row r="8599" spans="1:2" x14ac:dyDescent="0.25">
      <c r="A8599" s="924">
        <f t="shared" si="134"/>
        <v>8599</v>
      </c>
      <c r="B8599" s="924">
        <v>25</v>
      </c>
    </row>
    <row r="8600" spans="1:2" x14ac:dyDescent="0.25">
      <c r="A8600" s="924">
        <f t="shared" si="134"/>
        <v>8600</v>
      </c>
      <c r="B8600" s="924">
        <v>25</v>
      </c>
    </row>
    <row r="8601" spans="1:2" x14ac:dyDescent="0.25">
      <c r="A8601" s="924">
        <f t="shared" si="134"/>
        <v>8601</v>
      </c>
      <c r="B8601" s="924">
        <v>25.1</v>
      </c>
    </row>
    <row r="8602" spans="1:2" x14ac:dyDescent="0.25">
      <c r="A8602" s="924">
        <f t="shared" si="134"/>
        <v>8602</v>
      </c>
      <c r="B8602" s="924">
        <v>25.1</v>
      </c>
    </row>
    <row r="8603" spans="1:2" x14ac:dyDescent="0.25">
      <c r="A8603" s="924">
        <f t="shared" si="134"/>
        <v>8603</v>
      </c>
      <c r="B8603" s="924">
        <v>25.1</v>
      </c>
    </row>
    <row r="8604" spans="1:2" x14ac:dyDescent="0.25">
      <c r="A8604" s="924">
        <f t="shared" si="134"/>
        <v>8604</v>
      </c>
      <c r="B8604" s="924">
        <v>25.1</v>
      </c>
    </row>
    <row r="8605" spans="1:2" x14ac:dyDescent="0.25">
      <c r="A8605" s="924">
        <f t="shared" si="134"/>
        <v>8605</v>
      </c>
      <c r="B8605" s="924">
        <v>25.2</v>
      </c>
    </row>
    <row r="8606" spans="1:2" x14ac:dyDescent="0.25">
      <c r="A8606" s="924">
        <f t="shared" si="134"/>
        <v>8606</v>
      </c>
      <c r="B8606" s="924">
        <v>25.2</v>
      </c>
    </row>
    <row r="8607" spans="1:2" x14ac:dyDescent="0.25">
      <c r="A8607" s="924">
        <f t="shared" si="134"/>
        <v>8607</v>
      </c>
      <c r="B8607" s="924">
        <v>25.3</v>
      </c>
    </row>
    <row r="8608" spans="1:2" x14ac:dyDescent="0.25">
      <c r="A8608" s="924">
        <f t="shared" si="134"/>
        <v>8608</v>
      </c>
      <c r="B8608" s="924">
        <v>25.3</v>
      </c>
    </row>
    <row r="8609" spans="1:2" x14ac:dyDescent="0.25">
      <c r="A8609" s="924">
        <f t="shared" si="134"/>
        <v>8609</v>
      </c>
      <c r="B8609" s="924">
        <v>25.3</v>
      </c>
    </row>
    <row r="8610" spans="1:2" x14ac:dyDescent="0.25">
      <c r="A8610" s="924">
        <f t="shared" si="134"/>
        <v>8610</v>
      </c>
      <c r="B8610" s="924">
        <v>25.3</v>
      </c>
    </row>
    <row r="8611" spans="1:2" x14ac:dyDescent="0.25">
      <c r="A8611" s="924">
        <f t="shared" si="134"/>
        <v>8611</v>
      </c>
      <c r="B8611" s="924">
        <v>25.3</v>
      </c>
    </row>
    <row r="8612" spans="1:2" x14ac:dyDescent="0.25">
      <c r="A8612" s="924">
        <f t="shared" si="134"/>
        <v>8612</v>
      </c>
      <c r="B8612" s="924">
        <v>25.4</v>
      </c>
    </row>
    <row r="8613" spans="1:2" x14ac:dyDescent="0.25">
      <c r="A8613" s="924">
        <f t="shared" si="134"/>
        <v>8613</v>
      </c>
      <c r="B8613" s="924">
        <v>25.4</v>
      </c>
    </row>
    <row r="8614" spans="1:2" x14ac:dyDescent="0.25">
      <c r="A8614" s="924">
        <f t="shared" si="134"/>
        <v>8614</v>
      </c>
      <c r="B8614" s="924">
        <v>25.4</v>
      </c>
    </row>
    <row r="8615" spans="1:2" x14ac:dyDescent="0.25">
      <c r="A8615" s="924">
        <f t="shared" si="134"/>
        <v>8615</v>
      </c>
      <c r="B8615" s="924">
        <v>25.4</v>
      </c>
    </row>
    <row r="8616" spans="1:2" x14ac:dyDescent="0.25">
      <c r="A8616" s="924">
        <f t="shared" si="134"/>
        <v>8616</v>
      </c>
      <c r="B8616" s="924">
        <v>25.4</v>
      </c>
    </row>
    <row r="8617" spans="1:2" x14ac:dyDescent="0.25">
      <c r="A8617" s="924">
        <f t="shared" si="134"/>
        <v>8617</v>
      </c>
      <c r="B8617" s="924">
        <v>25.4</v>
      </c>
    </row>
    <row r="8618" spans="1:2" x14ac:dyDescent="0.25">
      <c r="A8618" s="924">
        <f t="shared" si="134"/>
        <v>8618</v>
      </c>
      <c r="B8618" s="924">
        <v>25.5</v>
      </c>
    </row>
    <row r="8619" spans="1:2" x14ac:dyDescent="0.25">
      <c r="A8619" s="924">
        <f t="shared" si="134"/>
        <v>8619</v>
      </c>
      <c r="B8619" s="924">
        <v>25.5</v>
      </c>
    </row>
    <row r="8620" spans="1:2" x14ac:dyDescent="0.25">
      <c r="A8620" s="924">
        <f t="shared" si="134"/>
        <v>8620</v>
      </c>
      <c r="B8620" s="924">
        <v>25.5</v>
      </c>
    </row>
    <row r="8621" spans="1:2" x14ac:dyDescent="0.25">
      <c r="A8621" s="924">
        <f t="shared" si="134"/>
        <v>8621</v>
      </c>
      <c r="B8621" s="924">
        <v>25.5</v>
      </c>
    </row>
    <row r="8622" spans="1:2" x14ac:dyDescent="0.25">
      <c r="A8622" s="924">
        <f t="shared" si="134"/>
        <v>8622</v>
      </c>
      <c r="B8622" s="924">
        <v>25.5</v>
      </c>
    </row>
    <row r="8623" spans="1:2" x14ac:dyDescent="0.25">
      <c r="A8623" s="924">
        <f t="shared" si="134"/>
        <v>8623</v>
      </c>
      <c r="B8623" s="924">
        <v>25.6</v>
      </c>
    </row>
    <row r="8624" spans="1:2" x14ac:dyDescent="0.25">
      <c r="A8624" s="924">
        <f t="shared" si="134"/>
        <v>8624</v>
      </c>
      <c r="B8624" s="924">
        <v>25.6</v>
      </c>
    </row>
    <row r="8625" spans="1:2" x14ac:dyDescent="0.25">
      <c r="A8625" s="924">
        <f t="shared" si="134"/>
        <v>8625</v>
      </c>
      <c r="B8625" s="924">
        <v>25.6</v>
      </c>
    </row>
    <row r="8626" spans="1:2" x14ac:dyDescent="0.25">
      <c r="A8626" s="924">
        <f t="shared" si="134"/>
        <v>8626</v>
      </c>
      <c r="B8626" s="924">
        <v>25.6</v>
      </c>
    </row>
    <row r="8627" spans="1:2" x14ac:dyDescent="0.25">
      <c r="A8627" s="924">
        <f t="shared" si="134"/>
        <v>8627</v>
      </c>
      <c r="B8627" s="924">
        <v>25.6</v>
      </c>
    </row>
    <row r="8628" spans="1:2" x14ac:dyDescent="0.25">
      <c r="A8628" s="924">
        <f t="shared" si="134"/>
        <v>8628</v>
      </c>
      <c r="B8628" s="924">
        <v>25.6</v>
      </c>
    </row>
    <row r="8629" spans="1:2" x14ac:dyDescent="0.25">
      <c r="A8629" s="924">
        <f t="shared" si="134"/>
        <v>8629</v>
      </c>
      <c r="B8629" s="924">
        <v>25.6</v>
      </c>
    </row>
    <row r="8630" spans="1:2" x14ac:dyDescent="0.25">
      <c r="A8630" s="924">
        <f t="shared" si="134"/>
        <v>8630</v>
      </c>
      <c r="B8630" s="924">
        <v>25.7</v>
      </c>
    </row>
    <row r="8631" spans="1:2" x14ac:dyDescent="0.25">
      <c r="A8631" s="924">
        <f t="shared" si="134"/>
        <v>8631</v>
      </c>
      <c r="B8631" s="924">
        <v>25.7</v>
      </c>
    </row>
    <row r="8632" spans="1:2" x14ac:dyDescent="0.25">
      <c r="A8632" s="924">
        <f t="shared" si="134"/>
        <v>8632</v>
      </c>
      <c r="B8632" s="924">
        <v>25.7</v>
      </c>
    </row>
    <row r="8633" spans="1:2" x14ac:dyDescent="0.25">
      <c r="A8633" s="924">
        <f t="shared" si="134"/>
        <v>8633</v>
      </c>
      <c r="B8633" s="924">
        <v>25.7</v>
      </c>
    </row>
    <row r="8634" spans="1:2" x14ac:dyDescent="0.25">
      <c r="A8634" s="924">
        <f t="shared" si="134"/>
        <v>8634</v>
      </c>
      <c r="B8634" s="924">
        <v>25.7</v>
      </c>
    </row>
    <row r="8635" spans="1:2" x14ac:dyDescent="0.25">
      <c r="A8635" s="924">
        <f t="shared" si="134"/>
        <v>8635</v>
      </c>
      <c r="B8635" s="924">
        <v>25.7</v>
      </c>
    </row>
    <row r="8636" spans="1:2" x14ac:dyDescent="0.25">
      <c r="A8636" s="924">
        <f t="shared" si="134"/>
        <v>8636</v>
      </c>
      <c r="B8636" s="924">
        <v>25.7</v>
      </c>
    </row>
    <row r="8637" spans="1:2" x14ac:dyDescent="0.25">
      <c r="A8637" s="924">
        <f t="shared" si="134"/>
        <v>8637</v>
      </c>
      <c r="B8637" s="924">
        <v>25.8</v>
      </c>
    </row>
    <row r="8638" spans="1:2" x14ac:dyDescent="0.25">
      <c r="A8638" s="924">
        <f t="shared" si="134"/>
        <v>8638</v>
      </c>
      <c r="B8638" s="924">
        <v>25.8</v>
      </c>
    </row>
    <row r="8639" spans="1:2" x14ac:dyDescent="0.25">
      <c r="A8639" s="924">
        <f t="shared" si="134"/>
        <v>8639</v>
      </c>
      <c r="B8639" s="924">
        <v>25.8</v>
      </c>
    </row>
    <row r="8640" spans="1:2" x14ac:dyDescent="0.25">
      <c r="A8640" s="924">
        <f t="shared" si="134"/>
        <v>8640</v>
      </c>
      <c r="B8640" s="924">
        <v>25.8</v>
      </c>
    </row>
    <row r="8641" spans="1:2" x14ac:dyDescent="0.25">
      <c r="A8641" s="924">
        <f t="shared" si="134"/>
        <v>8641</v>
      </c>
      <c r="B8641" s="924">
        <v>25.8</v>
      </c>
    </row>
    <row r="8642" spans="1:2" x14ac:dyDescent="0.25">
      <c r="A8642" s="924">
        <f t="shared" si="134"/>
        <v>8642</v>
      </c>
      <c r="B8642" s="924">
        <v>25.8</v>
      </c>
    </row>
    <row r="8643" spans="1:2" x14ac:dyDescent="0.25">
      <c r="A8643" s="924">
        <f t="shared" ref="A8643:A8706" si="135">A8642+1</f>
        <v>8643</v>
      </c>
      <c r="B8643" s="924">
        <v>25.9</v>
      </c>
    </row>
    <row r="8644" spans="1:2" x14ac:dyDescent="0.25">
      <c r="A8644" s="924">
        <f t="shared" si="135"/>
        <v>8644</v>
      </c>
      <c r="B8644" s="924">
        <v>25.9</v>
      </c>
    </row>
    <row r="8645" spans="1:2" x14ac:dyDescent="0.25">
      <c r="A8645" s="924">
        <f t="shared" si="135"/>
        <v>8645</v>
      </c>
      <c r="B8645" s="924">
        <v>25.9</v>
      </c>
    </row>
    <row r="8646" spans="1:2" x14ac:dyDescent="0.25">
      <c r="A8646" s="924">
        <f t="shared" si="135"/>
        <v>8646</v>
      </c>
      <c r="B8646" s="924">
        <v>25.9</v>
      </c>
    </row>
    <row r="8647" spans="1:2" x14ac:dyDescent="0.25">
      <c r="A8647" s="924">
        <f t="shared" si="135"/>
        <v>8647</v>
      </c>
      <c r="B8647" s="924">
        <v>25.9</v>
      </c>
    </row>
    <row r="8648" spans="1:2" x14ac:dyDescent="0.25">
      <c r="A8648" s="924">
        <f t="shared" si="135"/>
        <v>8648</v>
      </c>
      <c r="B8648" s="924">
        <v>26</v>
      </c>
    </row>
    <row r="8649" spans="1:2" x14ac:dyDescent="0.25">
      <c r="A8649" s="924">
        <f t="shared" si="135"/>
        <v>8649</v>
      </c>
      <c r="B8649" s="924">
        <v>26</v>
      </c>
    </row>
    <row r="8650" spans="1:2" x14ac:dyDescent="0.25">
      <c r="A8650" s="924">
        <f t="shared" si="135"/>
        <v>8650</v>
      </c>
      <c r="B8650" s="924">
        <v>26</v>
      </c>
    </row>
    <row r="8651" spans="1:2" x14ac:dyDescent="0.25">
      <c r="A8651" s="924">
        <f t="shared" si="135"/>
        <v>8651</v>
      </c>
      <c r="B8651" s="924">
        <v>26</v>
      </c>
    </row>
    <row r="8652" spans="1:2" x14ac:dyDescent="0.25">
      <c r="A8652" s="924">
        <f t="shared" si="135"/>
        <v>8652</v>
      </c>
      <c r="B8652" s="924">
        <v>26</v>
      </c>
    </row>
    <row r="8653" spans="1:2" x14ac:dyDescent="0.25">
      <c r="A8653" s="924">
        <f t="shared" si="135"/>
        <v>8653</v>
      </c>
      <c r="B8653" s="924">
        <v>26</v>
      </c>
    </row>
    <row r="8654" spans="1:2" x14ac:dyDescent="0.25">
      <c r="A8654" s="924">
        <f t="shared" si="135"/>
        <v>8654</v>
      </c>
      <c r="B8654" s="924">
        <v>26.1</v>
      </c>
    </row>
    <row r="8655" spans="1:2" x14ac:dyDescent="0.25">
      <c r="A8655" s="924">
        <f t="shared" si="135"/>
        <v>8655</v>
      </c>
      <c r="B8655" s="924">
        <v>26.1</v>
      </c>
    </row>
    <row r="8656" spans="1:2" x14ac:dyDescent="0.25">
      <c r="A8656" s="924">
        <f t="shared" si="135"/>
        <v>8656</v>
      </c>
      <c r="B8656" s="924">
        <v>26.1</v>
      </c>
    </row>
    <row r="8657" spans="1:2" x14ac:dyDescent="0.25">
      <c r="A8657" s="924">
        <f t="shared" si="135"/>
        <v>8657</v>
      </c>
      <c r="B8657" s="924">
        <v>26.2</v>
      </c>
    </row>
    <row r="8658" spans="1:2" x14ac:dyDescent="0.25">
      <c r="A8658" s="924">
        <f t="shared" si="135"/>
        <v>8658</v>
      </c>
      <c r="B8658" s="924">
        <v>26.2</v>
      </c>
    </row>
    <row r="8659" spans="1:2" x14ac:dyDescent="0.25">
      <c r="A8659" s="924">
        <f t="shared" si="135"/>
        <v>8659</v>
      </c>
      <c r="B8659" s="924">
        <v>26.2</v>
      </c>
    </row>
    <row r="8660" spans="1:2" x14ac:dyDescent="0.25">
      <c r="A8660" s="924">
        <f t="shared" si="135"/>
        <v>8660</v>
      </c>
      <c r="B8660" s="924">
        <v>26.3</v>
      </c>
    </row>
    <row r="8661" spans="1:2" x14ac:dyDescent="0.25">
      <c r="A8661" s="924">
        <f t="shared" si="135"/>
        <v>8661</v>
      </c>
      <c r="B8661" s="924">
        <v>26.3</v>
      </c>
    </row>
    <row r="8662" spans="1:2" x14ac:dyDescent="0.25">
      <c r="A8662" s="924">
        <f t="shared" si="135"/>
        <v>8662</v>
      </c>
      <c r="B8662" s="924">
        <v>26.3</v>
      </c>
    </row>
    <row r="8663" spans="1:2" x14ac:dyDescent="0.25">
      <c r="A8663" s="924">
        <f t="shared" si="135"/>
        <v>8663</v>
      </c>
      <c r="B8663" s="924">
        <v>26.3</v>
      </c>
    </row>
    <row r="8664" spans="1:2" x14ac:dyDescent="0.25">
      <c r="A8664" s="924">
        <f t="shared" si="135"/>
        <v>8664</v>
      </c>
      <c r="B8664" s="924">
        <v>26.4</v>
      </c>
    </row>
    <row r="8665" spans="1:2" x14ac:dyDescent="0.25">
      <c r="A8665" s="924">
        <f t="shared" si="135"/>
        <v>8665</v>
      </c>
      <c r="B8665" s="924">
        <v>26.4</v>
      </c>
    </row>
    <row r="8666" spans="1:2" x14ac:dyDescent="0.25">
      <c r="A8666" s="924">
        <f t="shared" si="135"/>
        <v>8666</v>
      </c>
      <c r="B8666" s="924">
        <v>26.4</v>
      </c>
    </row>
    <row r="8667" spans="1:2" x14ac:dyDescent="0.25">
      <c r="A8667" s="924">
        <f t="shared" si="135"/>
        <v>8667</v>
      </c>
      <c r="B8667" s="924">
        <v>26.4</v>
      </c>
    </row>
    <row r="8668" spans="1:2" x14ac:dyDescent="0.25">
      <c r="A8668" s="924">
        <f t="shared" si="135"/>
        <v>8668</v>
      </c>
      <c r="B8668" s="924">
        <v>26.5</v>
      </c>
    </row>
    <row r="8669" spans="1:2" x14ac:dyDescent="0.25">
      <c r="A8669" s="924">
        <f t="shared" si="135"/>
        <v>8669</v>
      </c>
      <c r="B8669" s="924">
        <v>26.5</v>
      </c>
    </row>
    <row r="8670" spans="1:2" x14ac:dyDescent="0.25">
      <c r="A8670" s="924">
        <f t="shared" si="135"/>
        <v>8670</v>
      </c>
      <c r="B8670" s="924">
        <v>26.6</v>
      </c>
    </row>
    <row r="8671" spans="1:2" x14ac:dyDescent="0.25">
      <c r="A8671" s="924">
        <f t="shared" si="135"/>
        <v>8671</v>
      </c>
      <c r="B8671" s="924">
        <v>26.6</v>
      </c>
    </row>
    <row r="8672" spans="1:2" x14ac:dyDescent="0.25">
      <c r="A8672" s="924">
        <f t="shared" si="135"/>
        <v>8672</v>
      </c>
      <c r="B8672" s="924">
        <v>26.6</v>
      </c>
    </row>
    <row r="8673" spans="1:2" x14ac:dyDescent="0.25">
      <c r="A8673" s="924">
        <f t="shared" si="135"/>
        <v>8673</v>
      </c>
      <c r="B8673" s="924">
        <v>26.6</v>
      </c>
    </row>
    <row r="8674" spans="1:2" x14ac:dyDescent="0.25">
      <c r="A8674" s="924">
        <f t="shared" si="135"/>
        <v>8674</v>
      </c>
      <c r="B8674" s="924">
        <v>26.6</v>
      </c>
    </row>
    <row r="8675" spans="1:2" x14ac:dyDescent="0.25">
      <c r="A8675" s="924">
        <f t="shared" si="135"/>
        <v>8675</v>
      </c>
      <c r="B8675" s="924">
        <v>26.7</v>
      </c>
    </row>
    <row r="8676" spans="1:2" x14ac:dyDescent="0.25">
      <c r="A8676" s="924">
        <f t="shared" si="135"/>
        <v>8676</v>
      </c>
      <c r="B8676" s="924">
        <v>26.8</v>
      </c>
    </row>
    <row r="8677" spans="1:2" x14ac:dyDescent="0.25">
      <c r="A8677" s="924">
        <f t="shared" si="135"/>
        <v>8677</v>
      </c>
      <c r="B8677" s="924">
        <v>26.8</v>
      </c>
    </row>
    <row r="8678" spans="1:2" x14ac:dyDescent="0.25">
      <c r="A8678" s="924">
        <f t="shared" si="135"/>
        <v>8678</v>
      </c>
      <c r="B8678" s="924">
        <v>26.8</v>
      </c>
    </row>
    <row r="8679" spans="1:2" x14ac:dyDescent="0.25">
      <c r="A8679" s="924">
        <f t="shared" si="135"/>
        <v>8679</v>
      </c>
      <c r="B8679" s="924">
        <v>26.9</v>
      </c>
    </row>
    <row r="8680" spans="1:2" x14ac:dyDescent="0.25">
      <c r="A8680" s="924">
        <f t="shared" si="135"/>
        <v>8680</v>
      </c>
      <c r="B8680" s="924">
        <v>26.9</v>
      </c>
    </row>
    <row r="8681" spans="1:2" x14ac:dyDescent="0.25">
      <c r="A8681" s="924">
        <f t="shared" si="135"/>
        <v>8681</v>
      </c>
      <c r="B8681" s="924">
        <v>26.9</v>
      </c>
    </row>
    <row r="8682" spans="1:2" x14ac:dyDescent="0.25">
      <c r="A8682" s="924">
        <f t="shared" si="135"/>
        <v>8682</v>
      </c>
      <c r="B8682" s="924">
        <v>26.9</v>
      </c>
    </row>
    <row r="8683" spans="1:2" x14ac:dyDescent="0.25">
      <c r="A8683" s="924">
        <f t="shared" si="135"/>
        <v>8683</v>
      </c>
      <c r="B8683" s="924">
        <v>26.9</v>
      </c>
    </row>
    <row r="8684" spans="1:2" x14ac:dyDescent="0.25">
      <c r="A8684" s="924">
        <f t="shared" si="135"/>
        <v>8684</v>
      </c>
      <c r="B8684" s="924">
        <v>26.9</v>
      </c>
    </row>
    <row r="8685" spans="1:2" x14ac:dyDescent="0.25">
      <c r="A8685" s="924">
        <f t="shared" si="135"/>
        <v>8685</v>
      </c>
      <c r="B8685" s="924">
        <v>26.9</v>
      </c>
    </row>
    <row r="8686" spans="1:2" x14ac:dyDescent="0.25">
      <c r="A8686" s="924">
        <f t="shared" si="135"/>
        <v>8686</v>
      </c>
      <c r="B8686" s="924">
        <v>26.9</v>
      </c>
    </row>
    <row r="8687" spans="1:2" x14ac:dyDescent="0.25">
      <c r="A8687" s="924">
        <f t="shared" si="135"/>
        <v>8687</v>
      </c>
      <c r="B8687" s="924">
        <v>27</v>
      </c>
    </row>
    <row r="8688" spans="1:2" x14ac:dyDescent="0.25">
      <c r="A8688" s="924">
        <f t="shared" si="135"/>
        <v>8688</v>
      </c>
      <c r="B8688" s="924">
        <v>27</v>
      </c>
    </row>
    <row r="8689" spans="1:2" x14ac:dyDescent="0.25">
      <c r="A8689" s="924">
        <f t="shared" si="135"/>
        <v>8689</v>
      </c>
      <c r="B8689" s="924">
        <v>27.1</v>
      </c>
    </row>
    <row r="8690" spans="1:2" x14ac:dyDescent="0.25">
      <c r="A8690" s="924">
        <f t="shared" si="135"/>
        <v>8690</v>
      </c>
      <c r="B8690" s="924">
        <v>27.2</v>
      </c>
    </row>
    <row r="8691" spans="1:2" x14ac:dyDescent="0.25">
      <c r="A8691" s="924">
        <f t="shared" si="135"/>
        <v>8691</v>
      </c>
      <c r="B8691" s="924">
        <v>27.2</v>
      </c>
    </row>
    <row r="8692" spans="1:2" x14ac:dyDescent="0.25">
      <c r="A8692" s="924">
        <f t="shared" si="135"/>
        <v>8692</v>
      </c>
      <c r="B8692" s="924">
        <v>27.2</v>
      </c>
    </row>
    <row r="8693" spans="1:2" x14ac:dyDescent="0.25">
      <c r="A8693" s="924">
        <f t="shared" si="135"/>
        <v>8693</v>
      </c>
      <c r="B8693" s="924">
        <v>27.2</v>
      </c>
    </row>
    <row r="8694" spans="1:2" x14ac:dyDescent="0.25">
      <c r="A8694" s="924">
        <f t="shared" si="135"/>
        <v>8694</v>
      </c>
      <c r="B8694" s="924">
        <v>27.2</v>
      </c>
    </row>
    <row r="8695" spans="1:2" x14ac:dyDescent="0.25">
      <c r="A8695" s="924">
        <f t="shared" si="135"/>
        <v>8695</v>
      </c>
      <c r="B8695" s="924">
        <v>27.3</v>
      </c>
    </row>
    <row r="8696" spans="1:2" x14ac:dyDescent="0.25">
      <c r="A8696" s="924">
        <f t="shared" si="135"/>
        <v>8696</v>
      </c>
      <c r="B8696" s="924">
        <v>27.3</v>
      </c>
    </row>
    <row r="8697" spans="1:2" x14ac:dyDescent="0.25">
      <c r="A8697" s="924">
        <f t="shared" si="135"/>
        <v>8697</v>
      </c>
      <c r="B8697" s="924">
        <v>27.3</v>
      </c>
    </row>
    <row r="8698" spans="1:2" x14ac:dyDescent="0.25">
      <c r="A8698" s="924">
        <f t="shared" si="135"/>
        <v>8698</v>
      </c>
      <c r="B8698" s="924">
        <v>27.4</v>
      </c>
    </row>
    <row r="8699" spans="1:2" x14ac:dyDescent="0.25">
      <c r="A8699" s="924">
        <f t="shared" si="135"/>
        <v>8699</v>
      </c>
      <c r="B8699" s="924">
        <v>27.5</v>
      </c>
    </row>
    <row r="8700" spans="1:2" x14ac:dyDescent="0.25">
      <c r="A8700" s="924">
        <f t="shared" si="135"/>
        <v>8700</v>
      </c>
      <c r="B8700" s="924">
        <v>27.5</v>
      </c>
    </row>
    <row r="8701" spans="1:2" x14ac:dyDescent="0.25">
      <c r="A8701" s="924">
        <f t="shared" si="135"/>
        <v>8701</v>
      </c>
      <c r="B8701" s="924">
        <v>27.5</v>
      </c>
    </row>
    <row r="8702" spans="1:2" x14ac:dyDescent="0.25">
      <c r="A8702" s="924">
        <f t="shared" si="135"/>
        <v>8702</v>
      </c>
      <c r="B8702" s="924">
        <v>27.6</v>
      </c>
    </row>
    <row r="8703" spans="1:2" x14ac:dyDescent="0.25">
      <c r="A8703" s="924">
        <f t="shared" si="135"/>
        <v>8703</v>
      </c>
      <c r="B8703" s="924">
        <v>27.6</v>
      </c>
    </row>
    <row r="8704" spans="1:2" x14ac:dyDescent="0.25">
      <c r="A8704" s="924">
        <f t="shared" si="135"/>
        <v>8704</v>
      </c>
      <c r="B8704" s="924">
        <v>27.6</v>
      </c>
    </row>
    <row r="8705" spans="1:2" x14ac:dyDescent="0.25">
      <c r="A8705" s="924">
        <f t="shared" si="135"/>
        <v>8705</v>
      </c>
      <c r="B8705" s="924">
        <v>27.6</v>
      </c>
    </row>
    <row r="8706" spans="1:2" x14ac:dyDescent="0.25">
      <c r="A8706" s="924">
        <f t="shared" si="135"/>
        <v>8706</v>
      </c>
      <c r="B8706" s="924">
        <v>27.6</v>
      </c>
    </row>
    <row r="8707" spans="1:2" x14ac:dyDescent="0.25">
      <c r="A8707" s="924">
        <f t="shared" ref="A8707:A8761" si="136">A8706+1</f>
        <v>8707</v>
      </c>
      <c r="B8707" s="924">
        <v>27.6</v>
      </c>
    </row>
    <row r="8708" spans="1:2" x14ac:dyDescent="0.25">
      <c r="A8708" s="924">
        <f t="shared" si="136"/>
        <v>8708</v>
      </c>
      <c r="B8708" s="924">
        <v>27.7</v>
      </c>
    </row>
    <row r="8709" spans="1:2" x14ac:dyDescent="0.25">
      <c r="A8709" s="924">
        <f t="shared" si="136"/>
        <v>8709</v>
      </c>
      <c r="B8709" s="924">
        <v>27.7</v>
      </c>
    </row>
    <row r="8710" spans="1:2" x14ac:dyDescent="0.25">
      <c r="A8710" s="924">
        <f t="shared" si="136"/>
        <v>8710</v>
      </c>
      <c r="B8710" s="924">
        <v>27.8</v>
      </c>
    </row>
    <row r="8711" spans="1:2" x14ac:dyDescent="0.25">
      <c r="A8711" s="924">
        <f t="shared" si="136"/>
        <v>8711</v>
      </c>
      <c r="B8711" s="924">
        <v>27.8</v>
      </c>
    </row>
    <row r="8712" spans="1:2" x14ac:dyDescent="0.25">
      <c r="A8712" s="924">
        <f t="shared" si="136"/>
        <v>8712</v>
      </c>
      <c r="B8712" s="924">
        <v>27.9</v>
      </c>
    </row>
    <row r="8713" spans="1:2" x14ac:dyDescent="0.25">
      <c r="A8713" s="924">
        <f t="shared" si="136"/>
        <v>8713</v>
      </c>
      <c r="B8713" s="924">
        <v>27.9</v>
      </c>
    </row>
    <row r="8714" spans="1:2" x14ac:dyDescent="0.25">
      <c r="A8714" s="924">
        <f t="shared" si="136"/>
        <v>8714</v>
      </c>
      <c r="B8714" s="924">
        <v>27.9</v>
      </c>
    </row>
    <row r="8715" spans="1:2" x14ac:dyDescent="0.25">
      <c r="A8715" s="924">
        <f t="shared" si="136"/>
        <v>8715</v>
      </c>
      <c r="B8715" s="924">
        <v>28</v>
      </c>
    </row>
    <row r="8716" spans="1:2" x14ac:dyDescent="0.25">
      <c r="A8716" s="924">
        <f t="shared" si="136"/>
        <v>8716</v>
      </c>
      <c r="B8716" s="924">
        <v>28</v>
      </c>
    </row>
    <row r="8717" spans="1:2" x14ac:dyDescent="0.25">
      <c r="A8717" s="924">
        <f t="shared" si="136"/>
        <v>8717</v>
      </c>
      <c r="B8717" s="924">
        <v>28</v>
      </c>
    </row>
    <row r="8718" spans="1:2" x14ac:dyDescent="0.25">
      <c r="A8718" s="924">
        <f t="shared" si="136"/>
        <v>8718</v>
      </c>
      <c r="B8718" s="924">
        <v>28.2</v>
      </c>
    </row>
    <row r="8719" spans="1:2" x14ac:dyDescent="0.25">
      <c r="A8719" s="924">
        <f t="shared" si="136"/>
        <v>8719</v>
      </c>
      <c r="B8719" s="924">
        <v>28.2</v>
      </c>
    </row>
    <row r="8720" spans="1:2" x14ac:dyDescent="0.25">
      <c r="A8720" s="924">
        <f t="shared" si="136"/>
        <v>8720</v>
      </c>
      <c r="B8720" s="924">
        <v>28.3</v>
      </c>
    </row>
    <row r="8721" spans="1:2" x14ac:dyDescent="0.25">
      <c r="A8721" s="924">
        <f t="shared" si="136"/>
        <v>8721</v>
      </c>
      <c r="B8721" s="924">
        <v>28.4</v>
      </c>
    </row>
    <row r="8722" spans="1:2" x14ac:dyDescent="0.25">
      <c r="A8722" s="924">
        <f t="shared" si="136"/>
        <v>8722</v>
      </c>
      <c r="B8722" s="924">
        <v>28.4</v>
      </c>
    </row>
    <row r="8723" spans="1:2" x14ac:dyDescent="0.25">
      <c r="A8723" s="924">
        <f t="shared" si="136"/>
        <v>8723</v>
      </c>
      <c r="B8723" s="924">
        <v>28.6</v>
      </c>
    </row>
    <row r="8724" spans="1:2" x14ac:dyDescent="0.25">
      <c r="A8724" s="924">
        <f t="shared" si="136"/>
        <v>8724</v>
      </c>
      <c r="B8724" s="924">
        <v>28.6</v>
      </c>
    </row>
    <row r="8725" spans="1:2" x14ac:dyDescent="0.25">
      <c r="A8725" s="924">
        <f t="shared" si="136"/>
        <v>8725</v>
      </c>
      <c r="B8725" s="924">
        <v>28.7</v>
      </c>
    </row>
    <row r="8726" spans="1:2" x14ac:dyDescent="0.25">
      <c r="A8726" s="924">
        <f t="shared" si="136"/>
        <v>8726</v>
      </c>
      <c r="B8726" s="924">
        <v>28.7</v>
      </c>
    </row>
    <row r="8727" spans="1:2" x14ac:dyDescent="0.25">
      <c r="A8727" s="924">
        <f t="shared" si="136"/>
        <v>8727</v>
      </c>
      <c r="B8727" s="924">
        <v>28.7</v>
      </c>
    </row>
    <row r="8728" spans="1:2" x14ac:dyDescent="0.25">
      <c r="A8728" s="924">
        <f t="shared" si="136"/>
        <v>8728</v>
      </c>
      <c r="B8728" s="924">
        <v>28.8</v>
      </c>
    </row>
    <row r="8729" spans="1:2" x14ac:dyDescent="0.25">
      <c r="A8729" s="924">
        <f t="shared" si="136"/>
        <v>8729</v>
      </c>
      <c r="B8729" s="924">
        <v>28.9</v>
      </c>
    </row>
    <row r="8730" spans="1:2" x14ac:dyDescent="0.25">
      <c r="A8730" s="924">
        <f t="shared" si="136"/>
        <v>8730</v>
      </c>
      <c r="B8730" s="924">
        <v>29.2</v>
      </c>
    </row>
    <row r="8731" spans="1:2" x14ac:dyDescent="0.25">
      <c r="A8731" s="924">
        <f t="shared" si="136"/>
        <v>8731</v>
      </c>
      <c r="B8731" s="924">
        <v>29.5</v>
      </c>
    </row>
    <row r="8732" spans="1:2" x14ac:dyDescent="0.25">
      <c r="A8732" s="924">
        <f t="shared" si="136"/>
        <v>8732</v>
      </c>
      <c r="B8732" s="924">
        <v>29.6</v>
      </c>
    </row>
    <row r="8733" spans="1:2" x14ac:dyDescent="0.25">
      <c r="A8733" s="924">
        <f t="shared" si="136"/>
        <v>8733</v>
      </c>
      <c r="B8733" s="924">
        <v>29.7</v>
      </c>
    </row>
    <row r="8734" spans="1:2" x14ac:dyDescent="0.25">
      <c r="A8734" s="924">
        <f t="shared" si="136"/>
        <v>8734</v>
      </c>
      <c r="B8734" s="924">
        <v>29.9</v>
      </c>
    </row>
    <row r="8735" spans="1:2" x14ac:dyDescent="0.25">
      <c r="A8735" s="924">
        <f t="shared" si="136"/>
        <v>8735</v>
      </c>
      <c r="B8735" s="924">
        <v>29.9</v>
      </c>
    </row>
    <row r="8736" spans="1:2" x14ac:dyDescent="0.25">
      <c r="A8736" s="924">
        <f t="shared" si="136"/>
        <v>8736</v>
      </c>
      <c r="B8736" s="924">
        <v>29.9</v>
      </c>
    </row>
    <row r="8737" spans="1:2" x14ac:dyDescent="0.25">
      <c r="A8737" s="924">
        <f t="shared" si="136"/>
        <v>8737</v>
      </c>
      <c r="B8737" s="924">
        <v>30</v>
      </c>
    </row>
    <row r="8738" spans="1:2" x14ac:dyDescent="0.25">
      <c r="A8738" s="924">
        <f t="shared" si="136"/>
        <v>8738</v>
      </c>
      <c r="B8738" s="924">
        <v>30</v>
      </c>
    </row>
    <row r="8739" spans="1:2" x14ac:dyDescent="0.25">
      <c r="A8739" s="924">
        <f t="shared" si="136"/>
        <v>8739</v>
      </c>
      <c r="B8739" s="924">
        <v>30.1</v>
      </c>
    </row>
    <row r="8740" spans="1:2" x14ac:dyDescent="0.25">
      <c r="A8740" s="924">
        <f t="shared" si="136"/>
        <v>8740</v>
      </c>
      <c r="B8740" s="924">
        <v>30.3</v>
      </c>
    </row>
    <row r="8741" spans="1:2" x14ac:dyDescent="0.25">
      <c r="A8741" s="924">
        <f t="shared" si="136"/>
        <v>8741</v>
      </c>
      <c r="B8741" s="924">
        <v>30.5</v>
      </c>
    </row>
    <row r="8742" spans="1:2" x14ac:dyDescent="0.25">
      <c r="A8742" s="924">
        <f t="shared" si="136"/>
        <v>8742</v>
      </c>
      <c r="B8742" s="924">
        <v>30.6</v>
      </c>
    </row>
    <row r="8743" spans="1:2" x14ac:dyDescent="0.25">
      <c r="A8743" s="924">
        <f t="shared" si="136"/>
        <v>8743</v>
      </c>
      <c r="B8743" s="924">
        <v>31</v>
      </c>
    </row>
    <row r="8744" spans="1:2" x14ac:dyDescent="0.25">
      <c r="A8744" s="924">
        <f t="shared" si="136"/>
        <v>8744</v>
      </c>
      <c r="B8744" s="924">
        <v>31</v>
      </c>
    </row>
    <row r="8745" spans="1:2" x14ac:dyDescent="0.25">
      <c r="A8745" s="924">
        <f t="shared" si="136"/>
        <v>8745</v>
      </c>
      <c r="B8745" s="924">
        <v>31.3</v>
      </c>
    </row>
    <row r="8746" spans="1:2" x14ac:dyDescent="0.25">
      <c r="A8746" s="924">
        <f t="shared" si="136"/>
        <v>8746</v>
      </c>
      <c r="B8746" s="924">
        <v>31.3</v>
      </c>
    </row>
    <row r="8747" spans="1:2" x14ac:dyDescent="0.25">
      <c r="A8747" s="924">
        <f t="shared" si="136"/>
        <v>8747</v>
      </c>
      <c r="B8747" s="924">
        <v>31.4</v>
      </c>
    </row>
    <row r="8748" spans="1:2" x14ac:dyDescent="0.25">
      <c r="A8748" s="924">
        <f t="shared" si="136"/>
        <v>8748</v>
      </c>
      <c r="B8748" s="924">
        <v>31.6</v>
      </c>
    </row>
    <row r="8749" spans="1:2" x14ac:dyDescent="0.25">
      <c r="A8749" s="924">
        <f t="shared" si="136"/>
        <v>8749</v>
      </c>
      <c r="B8749" s="924">
        <v>31.6</v>
      </c>
    </row>
    <row r="8750" spans="1:2" x14ac:dyDescent="0.25">
      <c r="A8750" s="924">
        <f t="shared" si="136"/>
        <v>8750</v>
      </c>
      <c r="B8750" s="924">
        <v>31.6</v>
      </c>
    </row>
    <row r="8751" spans="1:2" x14ac:dyDescent="0.25">
      <c r="A8751" s="924">
        <f t="shared" si="136"/>
        <v>8751</v>
      </c>
      <c r="B8751" s="924">
        <v>31.6</v>
      </c>
    </row>
    <row r="8752" spans="1:2" x14ac:dyDescent="0.25">
      <c r="A8752" s="924">
        <f t="shared" si="136"/>
        <v>8752</v>
      </c>
      <c r="B8752" s="924">
        <v>31.6</v>
      </c>
    </row>
    <row r="8753" spans="1:2" x14ac:dyDescent="0.25">
      <c r="A8753" s="924">
        <f t="shared" si="136"/>
        <v>8753</v>
      </c>
      <c r="B8753" s="924">
        <v>32.1</v>
      </c>
    </row>
    <row r="8754" spans="1:2" x14ac:dyDescent="0.25">
      <c r="A8754" s="924">
        <f t="shared" si="136"/>
        <v>8754</v>
      </c>
      <c r="B8754" s="924">
        <v>32.299999999999997</v>
      </c>
    </row>
    <row r="8755" spans="1:2" x14ac:dyDescent="0.25">
      <c r="A8755" s="924">
        <f t="shared" si="136"/>
        <v>8755</v>
      </c>
      <c r="B8755" s="924">
        <v>32.4</v>
      </c>
    </row>
    <row r="8756" spans="1:2" x14ac:dyDescent="0.25">
      <c r="A8756" s="924">
        <f t="shared" si="136"/>
        <v>8756</v>
      </c>
      <c r="B8756" s="924">
        <v>32.700000000000003</v>
      </c>
    </row>
    <row r="8757" spans="1:2" x14ac:dyDescent="0.25">
      <c r="A8757" s="924">
        <f t="shared" si="136"/>
        <v>8757</v>
      </c>
      <c r="B8757" s="924">
        <v>33.6</v>
      </c>
    </row>
    <row r="8758" spans="1:2" x14ac:dyDescent="0.25">
      <c r="A8758" s="924">
        <f t="shared" si="136"/>
        <v>8758</v>
      </c>
      <c r="B8758" s="924">
        <v>33.700000000000003</v>
      </c>
    </row>
    <row r="8759" spans="1:2" x14ac:dyDescent="0.25">
      <c r="A8759" s="924">
        <f t="shared" si="136"/>
        <v>8759</v>
      </c>
      <c r="B8759" s="924">
        <v>34.9</v>
      </c>
    </row>
    <row r="8760" spans="1:2" x14ac:dyDescent="0.25">
      <c r="A8760" s="924">
        <f t="shared" si="136"/>
        <v>8760</v>
      </c>
      <c r="B8760" s="924">
        <v>34.9</v>
      </c>
    </row>
    <row r="8761" spans="1:2" x14ac:dyDescent="0.25">
      <c r="A8761" s="924">
        <f t="shared" si="136"/>
        <v>8761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zoomScaleNormal="100" workbookViewId="0">
      <selection activeCell="C85" sqref="C85"/>
    </sheetView>
  </sheetViews>
  <sheetFormatPr defaultColWidth="11.42578125" defaultRowHeight="15" x14ac:dyDescent="0.25"/>
  <cols>
    <col min="1" max="1" width="20.140625" customWidth="1"/>
    <col min="2" max="3" width="12.28515625" customWidth="1"/>
    <col min="4" max="4" width="12.140625" customWidth="1"/>
    <col min="5" max="6" width="13.5703125" customWidth="1"/>
    <col min="8" max="8" width="20" customWidth="1"/>
    <col min="9" max="9" width="16.85546875" customWidth="1"/>
    <col min="10" max="10" width="13.140625" customWidth="1"/>
    <col min="11" max="11" width="11.28515625" customWidth="1"/>
    <col min="12" max="12" width="13.85546875" customWidth="1"/>
    <col min="13" max="13" width="13" customWidth="1"/>
    <col min="14" max="14" width="13.140625" customWidth="1"/>
    <col min="16" max="16" width="11.7109375" customWidth="1"/>
    <col min="17" max="17" width="14.7109375" customWidth="1"/>
  </cols>
  <sheetData>
    <row r="1" spans="1:15" s="20" customFormat="1" ht="15.75" thickBot="1" x14ac:dyDescent="0.3"/>
    <row r="2" spans="1:15" ht="15.75" thickBot="1" x14ac:dyDescent="0.3">
      <c r="A2" s="235" t="s">
        <v>210</v>
      </c>
      <c r="B2" s="2"/>
      <c r="C2" s="2"/>
      <c r="D2" s="2"/>
      <c r="O2" s="2"/>
    </row>
    <row r="3" spans="1:15" x14ac:dyDescent="0.25">
      <c r="A3" s="208" t="s">
        <v>117</v>
      </c>
      <c r="B3" s="172"/>
      <c r="C3" s="180">
        <f>User_sheet!B11/100</f>
        <v>0</v>
      </c>
      <c r="D3" s="88"/>
      <c r="N3" s="2"/>
      <c r="O3" s="2"/>
    </row>
    <row r="4" spans="1:15" ht="15.75" thickBot="1" x14ac:dyDescent="0.3">
      <c r="A4" s="209" t="s">
        <v>119</v>
      </c>
      <c r="B4" s="174"/>
      <c r="C4" s="179">
        <f>User_sheet!B12/100</f>
        <v>0</v>
      </c>
      <c r="D4" s="2"/>
      <c r="N4" s="2"/>
      <c r="O4" s="2"/>
    </row>
    <row r="5" spans="1:15" ht="15.75" thickBot="1" x14ac:dyDescent="0.3">
      <c r="A5" s="2"/>
      <c r="B5" s="2"/>
      <c r="C5" s="2"/>
      <c r="D5" s="2"/>
      <c r="N5" s="2"/>
      <c r="O5" s="2"/>
    </row>
    <row r="6" spans="1:15" x14ac:dyDescent="0.25">
      <c r="A6" s="208" t="s">
        <v>141</v>
      </c>
      <c r="B6" s="172"/>
      <c r="C6" s="180">
        <f>User_sheet!B23/100</f>
        <v>0</v>
      </c>
      <c r="D6" s="2"/>
      <c r="N6" s="2"/>
      <c r="O6" s="2"/>
    </row>
    <row r="7" spans="1:15" ht="15.75" thickBot="1" x14ac:dyDescent="0.3">
      <c r="A7" s="209" t="s">
        <v>142</v>
      </c>
      <c r="B7" s="174"/>
      <c r="C7" s="179">
        <f>User_sheet!B25/100</f>
        <v>0</v>
      </c>
      <c r="D7" s="2"/>
      <c r="N7" s="2"/>
      <c r="O7" s="2"/>
    </row>
    <row r="8" spans="1:15" x14ac:dyDescent="0.25">
      <c r="A8" s="23"/>
      <c r="B8" s="2"/>
      <c r="C8" s="2"/>
      <c r="D8" s="2"/>
      <c r="N8" s="2"/>
      <c r="O8" s="2"/>
    </row>
    <row r="9" spans="1:15" s="20" customFormat="1" ht="15.75" thickBot="1" x14ac:dyDescent="0.3">
      <c r="A9" s="234"/>
      <c r="B9" s="43"/>
      <c r="C9" s="43"/>
      <c r="D9" s="43"/>
      <c r="N9" s="43"/>
      <c r="O9" s="43"/>
    </row>
    <row r="10" spans="1:15" ht="15.75" thickBot="1" x14ac:dyDescent="0.3">
      <c r="A10" s="235" t="s">
        <v>212</v>
      </c>
      <c r="B10" s="2"/>
      <c r="C10" s="2"/>
      <c r="N10" s="2"/>
      <c r="O10" s="2"/>
    </row>
    <row r="11" spans="1:15" ht="15" customHeight="1" x14ac:dyDescent="0.25">
      <c r="A11" s="1072" t="s">
        <v>27</v>
      </c>
      <c r="B11" s="1065" t="s">
        <v>183</v>
      </c>
      <c r="C11" s="1065" t="s">
        <v>120</v>
      </c>
      <c r="D11" s="1065" t="s">
        <v>123</v>
      </c>
      <c r="E11" s="1065" t="s">
        <v>143</v>
      </c>
      <c r="F11" s="1065" t="s">
        <v>144</v>
      </c>
      <c r="G11" s="1065" t="s">
        <v>145</v>
      </c>
      <c r="N11" s="2"/>
      <c r="O11" s="2"/>
    </row>
    <row r="12" spans="1:15" x14ac:dyDescent="0.25">
      <c r="A12" s="1073"/>
      <c r="B12" s="1066"/>
      <c r="C12" s="1066"/>
      <c r="D12" s="1066"/>
      <c r="E12" s="1066"/>
      <c r="F12" s="1066"/>
      <c r="G12" s="1066"/>
      <c r="N12" s="2"/>
      <c r="O12" s="2"/>
    </row>
    <row r="13" spans="1:15" x14ac:dyDescent="0.25">
      <c r="A13" s="1073"/>
      <c r="B13" s="1066"/>
      <c r="C13" s="1066"/>
      <c r="D13" s="1066"/>
      <c r="E13" s="1066"/>
      <c r="F13" s="1066"/>
      <c r="G13" s="1066"/>
      <c r="N13" s="2"/>
      <c r="O13" s="2"/>
    </row>
    <row r="14" spans="1:15" ht="15.75" thickBot="1" x14ac:dyDescent="0.3">
      <c r="A14" s="1074"/>
      <c r="B14" s="1067"/>
      <c r="C14" s="1067"/>
      <c r="D14" s="1067"/>
      <c r="E14" s="1067"/>
      <c r="F14" s="1067"/>
      <c r="G14" s="1067"/>
      <c r="N14" s="2"/>
      <c r="O14" s="2"/>
    </row>
    <row r="15" spans="1:15" ht="15.75" thickBot="1" x14ac:dyDescent="0.3">
      <c r="A15" s="202"/>
      <c r="B15" s="206"/>
      <c r="C15" s="202"/>
      <c r="D15" s="202"/>
      <c r="E15" s="202"/>
      <c r="F15" s="202"/>
      <c r="G15" s="202"/>
      <c r="N15" s="2"/>
      <c r="O15" s="2"/>
    </row>
    <row r="16" spans="1:15" x14ac:dyDescent="0.25">
      <c r="A16" s="207">
        <v>2013</v>
      </c>
      <c r="B16" s="203">
        <f>H25*(1+C3)-H25</f>
        <v>0</v>
      </c>
      <c r="C16" s="203">
        <f>H25*(1+C4)-H25</f>
        <v>0</v>
      </c>
      <c r="D16" s="203">
        <f>H25+B16-C16</f>
        <v>1</v>
      </c>
      <c r="E16" s="203">
        <f>H25*C7</f>
        <v>0</v>
      </c>
      <c r="F16" s="203">
        <f>H25*C6</f>
        <v>0</v>
      </c>
      <c r="G16" s="203">
        <f>H$25*(C6+C7)</f>
        <v>0</v>
      </c>
      <c r="N16" s="2"/>
      <c r="O16" s="2"/>
    </row>
    <row r="17" spans="1:15" x14ac:dyDescent="0.25">
      <c r="A17" s="224">
        <f>A16+1</f>
        <v>2014</v>
      </c>
      <c r="B17" s="204">
        <f t="shared" ref="B17:B33" si="0">D16*(1+C$3)-D16</f>
        <v>0</v>
      </c>
      <c r="C17" s="204">
        <f t="shared" ref="C17:C33" si="1">D16*(1+C$4)-D16</f>
        <v>0</v>
      </c>
      <c r="D17" s="204">
        <f>D16+B17-C17</f>
        <v>1</v>
      </c>
      <c r="E17" s="204">
        <f t="shared" ref="E17:E33" si="2">D16*C$7</f>
        <v>0</v>
      </c>
      <c r="F17" s="204">
        <f t="shared" ref="F17:F33" si="3">D16*C$6</f>
        <v>0</v>
      </c>
      <c r="G17" s="204">
        <f t="shared" ref="G17:G33" si="4">D16*(C$6+C$7)</f>
        <v>0</v>
      </c>
      <c r="N17" s="2"/>
      <c r="O17" s="2"/>
    </row>
    <row r="18" spans="1:15" x14ac:dyDescent="0.25">
      <c r="A18" s="224">
        <f t="shared" ref="A18:A32" si="5">A17+1</f>
        <v>2015</v>
      </c>
      <c r="B18" s="204">
        <f t="shared" si="0"/>
        <v>0</v>
      </c>
      <c r="C18" s="204">
        <f t="shared" si="1"/>
        <v>0</v>
      </c>
      <c r="D18" s="204">
        <f t="shared" ref="D18:D33" si="6">D17+B18-C18</f>
        <v>1</v>
      </c>
      <c r="E18" s="204">
        <f t="shared" si="2"/>
        <v>0</v>
      </c>
      <c r="F18" s="204">
        <f t="shared" si="3"/>
        <v>0</v>
      </c>
      <c r="G18" s="204">
        <f t="shared" si="4"/>
        <v>0</v>
      </c>
      <c r="N18" s="2"/>
      <c r="O18" s="2"/>
    </row>
    <row r="19" spans="1:15" x14ac:dyDescent="0.25">
      <c r="A19" s="224">
        <f t="shared" si="5"/>
        <v>2016</v>
      </c>
      <c r="B19" s="204">
        <f t="shared" si="0"/>
        <v>0</v>
      </c>
      <c r="C19" s="204">
        <f t="shared" si="1"/>
        <v>0</v>
      </c>
      <c r="D19" s="204">
        <f t="shared" si="6"/>
        <v>1</v>
      </c>
      <c r="E19" s="204">
        <f t="shared" si="2"/>
        <v>0</v>
      </c>
      <c r="F19" s="204">
        <f t="shared" si="3"/>
        <v>0</v>
      </c>
      <c r="G19" s="204">
        <f t="shared" si="4"/>
        <v>0</v>
      </c>
      <c r="H19" s="23"/>
    </row>
    <row r="20" spans="1:15" x14ac:dyDescent="0.25">
      <c r="A20" s="224">
        <f t="shared" si="5"/>
        <v>2017</v>
      </c>
      <c r="B20" s="204">
        <f t="shared" si="0"/>
        <v>0</v>
      </c>
      <c r="C20" s="204">
        <f t="shared" si="1"/>
        <v>0</v>
      </c>
      <c r="D20" s="204">
        <f t="shared" si="6"/>
        <v>1</v>
      </c>
      <c r="E20" s="204">
        <f t="shared" si="2"/>
        <v>0</v>
      </c>
      <c r="F20" s="204">
        <f t="shared" si="3"/>
        <v>0</v>
      </c>
      <c r="G20" s="204">
        <f t="shared" si="4"/>
        <v>0</v>
      </c>
      <c r="H20" s="23"/>
    </row>
    <row r="21" spans="1:15" x14ac:dyDescent="0.25">
      <c r="A21" s="224">
        <f t="shared" si="5"/>
        <v>2018</v>
      </c>
      <c r="B21" s="204">
        <f t="shared" si="0"/>
        <v>0</v>
      </c>
      <c r="C21" s="204">
        <f t="shared" si="1"/>
        <v>0</v>
      </c>
      <c r="D21" s="204">
        <f t="shared" si="6"/>
        <v>1</v>
      </c>
      <c r="E21" s="204">
        <f t="shared" si="2"/>
        <v>0</v>
      </c>
      <c r="F21" s="204">
        <f t="shared" si="3"/>
        <v>0</v>
      </c>
      <c r="G21" s="204">
        <f t="shared" si="4"/>
        <v>0</v>
      </c>
      <c r="H21" s="253" t="s">
        <v>122</v>
      </c>
    </row>
    <row r="22" spans="1:15" x14ac:dyDescent="0.25">
      <c r="A22" s="224">
        <f t="shared" si="5"/>
        <v>2019</v>
      </c>
      <c r="B22" s="204">
        <f t="shared" si="0"/>
        <v>0</v>
      </c>
      <c r="C22" s="204">
        <f t="shared" si="1"/>
        <v>0</v>
      </c>
      <c r="D22" s="204">
        <f t="shared" si="6"/>
        <v>1</v>
      </c>
      <c r="E22" s="204">
        <f t="shared" si="2"/>
        <v>0</v>
      </c>
      <c r="F22" s="204">
        <f t="shared" si="3"/>
        <v>0</v>
      </c>
      <c r="G22" s="204">
        <f t="shared" si="4"/>
        <v>0</v>
      </c>
      <c r="H22" s="23" t="s">
        <v>121</v>
      </c>
    </row>
    <row r="23" spans="1:15" x14ac:dyDescent="0.25">
      <c r="A23" s="224">
        <f t="shared" si="5"/>
        <v>2020</v>
      </c>
      <c r="B23" s="204">
        <f t="shared" si="0"/>
        <v>0</v>
      </c>
      <c r="C23" s="204">
        <f t="shared" si="1"/>
        <v>0</v>
      </c>
      <c r="D23" s="204">
        <f t="shared" si="6"/>
        <v>1</v>
      </c>
      <c r="E23" s="204">
        <f t="shared" si="2"/>
        <v>0</v>
      </c>
      <c r="F23" s="204">
        <f t="shared" si="3"/>
        <v>0</v>
      </c>
      <c r="G23" s="204">
        <f t="shared" si="4"/>
        <v>0</v>
      </c>
      <c r="H23" s="253" t="s">
        <v>219</v>
      </c>
    </row>
    <row r="24" spans="1:15" x14ac:dyDescent="0.25">
      <c r="A24" s="224">
        <f t="shared" si="5"/>
        <v>2021</v>
      </c>
      <c r="B24" s="204">
        <f t="shared" si="0"/>
        <v>0</v>
      </c>
      <c r="C24" s="204">
        <f t="shared" si="1"/>
        <v>0</v>
      </c>
      <c r="D24" s="204">
        <f t="shared" si="6"/>
        <v>1</v>
      </c>
      <c r="E24" s="204">
        <f t="shared" si="2"/>
        <v>0</v>
      </c>
      <c r="F24" s="204">
        <f t="shared" si="3"/>
        <v>0</v>
      </c>
      <c r="G24" s="204">
        <f t="shared" si="4"/>
        <v>0</v>
      </c>
      <c r="H24" s="23" t="s">
        <v>213</v>
      </c>
    </row>
    <row r="25" spans="1:15" ht="15.75" customHeight="1" x14ac:dyDescent="0.25">
      <c r="A25" s="224">
        <f t="shared" si="5"/>
        <v>2022</v>
      </c>
      <c r="B25" s="204">
        <f t="shared" si="0"/>
        <v>0</v>
      </c>
      <c r="C25" s="204">
        <f t="shared" si="1"/>
        <v>0</v>
      </c>
      <c r="D25" s="204">
        <f t="shared" si="6"/>
        <v>1</v>
      </c>
      <c r="E25" s="204">
        <f t="shared" si="2"/>
        <v>0</v>
      </c>
      <c r="F25" s="204">
        <f t="shared" si="3"/>
        <v>0</v>
      </c>
      <c r="G25" s="204">
        <f t="shared" si="4"/>
        <v>0</v>
      </c>
      <c r="H25" s="23">
        <v>1</v>
      </c>
    </row>
    <row r="26" spans="1:15" x14ac:dyDescent="0.25">
      <c r="A26" s="224">
        <f t="shared" si="5"/>
        <v>2023</v>
      </c>
      <c r="B26" s="204">
        <f t="shared" si="0"/>
        <v>0</v>
      </c>
      <c r="C26" s="204">
        <f t="shared" si="1"/>
        <v>0</v>
      </c>
      <c r="D26" s="204">
        <f t="shared" si="6"/>
        <v>1</v>
      </c>
      <c r="E26" s="204">
        <f t="shared" si="2"/>
        <v>0</v>
      </c>
      <c r="F26" s="204">
        <f t="shared" si="3"/>
        <v>0</v>
      </c>
      <c r="G26" s="204">
        <f t="shared" si="4"/>
        <v>0</v>
      </c>
      <c r="H26" s="2"/>
    </row>
    <row r="27" spans="1:15" x14ac:dyDescent="0.25">
      <c r="A27" s="224">
        <f t="shared" si="5"/>
        <v>2024</v>
      </c>
      <c r="B27" s="204">
        <f t="shared" si="0"/>
        <v>0</v>
      </c>
      <c r="C27" s="204">
        <f t="shared" si="1"/>
        <v>0</v>
      </c>
      <c r="D27" s="204">
        <f t="shared" si="6"/>
        <v>1</v>
      </c>
      <c r="E27" s="204">
        <f t="shared" si="2"/>
        <v>0</v>
      </c>
      <c r="F27" s="204">
        <f t="shared" si="3"/>
        <v>0</v>
      </c>
      <c r="G27" s="204">
        <f t="shared" si="4"/>
        <v>0</v>
      </c>
      <c r="H27" s="2"/>
    </row>
    <row r="28" spans="1:15" x14ac:dyDescent="0.25">
      <c r="A28" s="224">
        <f t="shared" si="5"/>
        <v>2025</v>
      </c>
      <c r="B28" s="204">
        <f t="shared" si="0"/>
        <v>0</v>
      </c>
      <c r="C28" s="204">
        <f t="shared" si="1"/>
        <v>0</v>
      </c>
      <c r="D28" s="204">
        <f t="shared" si="6"/>
        <v>1</v>
      </c>
      <c r="E28" s="204">
        <f t="shared" si="2"/>
        <v>0</v>
      </c>
      <c r="F28" s="204">
        <f t="shared" si="3"/>
        <v>0</v>
      </c>
      <c r="G28" s="204">
        <f t="shared" si="4"/>
        <v>0</v>
      </c>
      <c r="H28" s="2"/>
    </row>
    <row r="29" spans="1:15" x14ac:dyDescent="0.25">
      <c r="A29" s="224">
        <f t="shared" si="5"/>
        <v>2026</v>
      </c>
      <c r="B29" s="204">
        <f t="shared" si="0"/>
        <v>0</v>
      </c>
      <c r="C29" s="204">
        <f t="shared" si="1"/>
        <v>0</v>
      </c>
      <c r="D29" s="204">
        <f t="shared" si="6"/>
        <v>1</v>
      </c>
      <c r="E29" s="204">
        <f t="shared" si="2"/>
        <v>0</v>
      </c>
      <c r="F29" s="204">
        <f t="shared" si="3"/>
        <v>0</v>
      </c>
      <c r="G29" s="204">
        <f t="shared" si="4"/>
        <v>0</v>
      </c>
      <c r="H29" s="2"/>
    </row>
    <row r="30" spans="1:15" x14ac:dyDescent="0.25">
      <c r="A30" s="224">
        <f>A29+1</f>
        <v>2027</v>
      </c>
      <c r="B30" s="204">
        <f t="shared" si="0"/>
        <v>0</v>
      </c>
      <c r="C30" s="204">
        <f t="shared" si="1"/>
        <v>0</v>
      </c>
      <c r="D30" s="204">
        <f t="shared" si="6"/>
        <v>1</v>
      </c>
      <c r="E30" s="204">
        <f t="shared" si="2"/>
        <v>0</v>
      </c>
      <c r="F30" s="204">
        <f t="shared" si="3"/>
        <v>0</v>
      </c>
      <c r="G30" s="204">
        <f t="shared" si="4"/>
        <v>0</v>
      </c>
      <c r="H30" s="2"/>
    </row>
    <row r="31" spans="1:15" ht="15.75" thickBot="1" x14ac:dyDescent="0.3">
      <c r="A31" s="224">
        <f t="shared" si="5"/>
        <v>2028</v>
      </c>
      <c r="B31" s="204">
        <f t="shared" si="0"/>
        <v>0</v>
      </c>
      <c r="C31" s="204">
        <f t="shared" si="1"/>
        <v>0</v>
      </c>
      <c r="D31" s="204">
        <f t="shared" si="6"/>
        <v>1</v>
      </c>
      <c r="E31" s="204">
        <f t="shared" si="2"/>
        <v>0</v>
      </c>
      <c r="F31" s="204">
        <f t="shared" si="3"/>
        <v>0</v>
      </c>
      <c r="G31" s="204">
        <f t="shared" si="4"/>
        <v>0</v>
      </c>
      <c r="H31" s="2"/>
    </row>
    <row r="32" spans="1:15" x14ac:dyDescent="0.25">
      <c r="A32" s="224">
        <f t="shared" si="5"/>
        <v>2029</v>
      </c>
      <c r="B32" s="204">
        <f t="shared" si="0"/>
        <v>0</v>
      </c>
      <c r="C32" s="204">
        <f t="shared" si="1"/>
        <v>0</v>
      </c>
      <c r="D32" s="204">
        <f t="shared" si="6"/>
        <v>1</v>
      </c>
      <c r="E32" s="204">
        <f t="shared" si="2"/>
        <v>0</v>
      </c>
      <c r="F32" s="204">
        <f t="shared" si="3"/>
        <v>0</v>
      </c>
      <c r="G32" s="228">
        <f t="shared" si="4"/>
        <v>0</v>
      </c>
      <c r="H32" s="254" t="s">
        <v>56</v>
      </c>
    </row>
    <row r="33" spans="1:8" ht="15.75" thickBot="1" x14ac:dyDescent="0.3">
      <c r="A33" s="225">
        <f>A32+1</f>
        <v>2030</v>
      </c>
      <c r="B33" s="205">
        <f t="shared" si="0"/>
        <v>0</v>
      </c>
      <c r="C33" s="205">
        <f t="shared" si="1"/>
        <v>0</v>
      </c>
      <c r="D33" s="221">
        <f t="shared" si="6"/>
        <v>1</v>
      </c>
      <c r="E33" s="205">
        <f t="shared" si="2"/>
        <v>0</v>
      </c>
      <c r="F33" s="205">
        <f t="shared" si="3"/>
        <v>0</v>
      </c>
      <c r="G33" s="229">
        <f t="shared" si="4"/>
        <v>0</v>
      </c>
      <c r="H33" s="255" t="s">
        <v>203</v>
      </c>
    </row>
    <row r="34" spans="1:8" ht="15.75" thickBot="1" x14ac:dyDescent="0.3">
      <c r="A34" s="227" t="s">
        <v>124</v>
      </c>
      <c r="B34" s="195">
        <f>SUM(B16:B33)</f>
        <v>0</v>
      </c>
      <c r="C34" s="217">
        <f>SUM(C16:C33)</f>
        <v>0</v>
      </c>
      <c r="D34" s="196"/>
      <c r="E34" s="258">
        <f>SUM(E16:E33)</f>
        <v>0</v>
      </c>
      <c r="F34" s="284">
        <f>SUM(F16:F33)</f>
        <v>0</v>
      </c>
      <c r="G34" s="226">
        <f>SUM(G16:G33)</f>
        <v>0</v>
      </c>
      <c r="H34" s="230">
        <f>G34-E34-F34</f>
        <v>0</v>
      </c>
    </row>
    <row r="36" spans="1:8" s="20" customFormat="1" ht="15.75" thickBot="1" x14ac:dyDescent="0.3"/>
    <row r="37" spans="1:8" ht="15.75" thickBot="1" x14ac:dyDescent="0.3">
      <c r="A37" s="304" t="s">
        <v>186</v>
      </c>
      <c r="B37" s="305"/>
      <c r="C37" s="34"/>
      <c r="D37" s="32"/>
      <c r="E37" s="32"/>
      <c r="F37" s="32"/>
    </row>
    <row r="38" spans="1:8" ht="15.75" thickBot="1" x14ac:dyDescent="0.3">
      <c r="A38" s="300" t="s">
        <v>25</v>
      </c>
      <c r="B38" s="301" t="s">
        <v>118</v>
      </c>
      <c r="C38" s="302" t="s">
        <v>21</v>
      </c>
      <c r="D38" s="303" t="s">
        <v>118</v>
      </c>
      <c r="E38" s="235" t="s">
        <v>56</v>
      </c>
      <c r="F38" s="192"/>
    </row>
    <row r="39" spans="1:8" x14ac:dyDescent="0.25">
      <c r="A39" s="170"/>
      <c r="B39" s="171"/>
      <c r="C39" s="191" t="s">
        <v>189</v>
      </c>
      <c r="D39" s="183">
        <f>B$40*User_sheet!C41/100</f>
        <v>0</v>
      </c>
      <c r="E39" s="175"/>
      <c r="F39" s="199"/>
    </row>
    <row r="40" spans="1:8" x14ac:dyDescent="0.25">
      <c r="A40" s="187" t="s">
        <v>187</v>
      </c>
      <c r="B40" s="177">
        <f>B$34*(User_sheet!B16/100)</f>
        <v>0</v>
      </c>
      <c r="C40" s="192" t="s">
        <v>137</v>
      </c>
      <c r="D40" s="114">
        <f>B$40*User_sheet!B42/100</f>
        <v>0</v>
      </c>
      <c r="E40" s="185">
        <f>SUM(D39:D41)</f>
        <v>0</v>
      </c>
      <c r="F40" s="199"/>
    </row>
    <row r="41" spans="1:8" ht="15.75" thickBot="1" x14ac:dyDescent="0.3">
      <c r="A41" s="188"/>
      <c r="B41" s="173"/>
      <c r="C41" s="193" t="s">
        <v>7</v>
      </c>
      <c r="D41" s="184">
        <f>B$40*User_sheet!D41/100</f>
        <v>0</v>
      </c>
      <c r="E41" s="186"/>
      <c r="F41" s="37"/>
    </row>
    <row r="42" spans="1:8" x14ac:dyDescent="0.25">
      <c r="A42" s="189"/>
      <c r="B42" s="171"/>
      <c r="C42" s="191" t="s">
        <v>189</v>
      </c>
      <c r="D42" s="183">
        <f>B$43*User_sheet!B42/100</f>
        <v>0</v>
      </c>
      <c r="E42" s="175"/>
      <c r="F42" s="199"/>
    </row>
    <row r="43" spans="1:8" x14ac:dyDescent="0.25">
      <c r="A43" s="187" t="s">
        <v>127</v>
      </c>
      <c r="B43" s="177">
        <f>B$34*(User_sheet!B17/100)</f>
        <v>0</v>
      </c>
      <c r="C43" s="192" t="s">
        <v>137</v>
      </c>
      <c r="D43" s="114">
        <f>B$43*User_sheet!C42/100</f>
        <v>0</v>
      </c>
      <c r="E43" s="185">
        <f>SUM(D42:D44)</f>
        <v>0</v>
      </c>
      <c r="F43" s="199"/>
    </row>
    <row r="44" spans="1:8" ht="15.75" thickBot="1" x14ac:dyDescent="0.3">
      <c r="A44" s="188"/>
      <c r="B44" s="173"/>
      <c r="C44" s="193" t="s">
        <v>7</v>
      </c>
      <c r="D44" s="184">
        <f>B$43*User_sheet!D42/100</f>
        <v>0</v>
      </c>
      <c r="E44" s="186"/>
      <c r="F44" s="37"/>
    </row>
    <row r="45" spans="1:8" x14ac:dyDescent="0.25">
      <c r="A45" s="189"/>
      <c r="B45" s="171"/>
      <c r="C45" s="191" t="s">
        <v>189</v>
      </c>
      <c r="D45" s="183">
        <f>B$46*User_sheet!B43/100</f>
        <v>0</v>
      </c>
      <c r="E45" s="175"/>
      <c r="F45" s="199"/>
    </row>
    <row r="46" spans="1:8" x14ac:dyDescent="0.25">
      <c r="A46" s="187" t="s">
        <v>128</v>
      </c>
      <c r="B46" s="177">
        <f>B$34*(User_sheet!B18/100)</f>
        <v>0</v>
      </c>
      <c r="C46" s="192" t="s">
        <v>137</v>
      </c>
      <c r="D46" s="114">
        <f>B$46*User_sheet!C43/100</f>
        <v>0</v>
      </c>
      <c r="E46" s="185">
        <f>SUM(D45:D47)</f>
        <v>0</v>
      </c>
      <c r="F46" s="199"/>
    </row>
    <row r="47" spans="1:8" ht="15.75" thickBot="1" x14ac:dyDescent="0.3">
      <c r="A47" s="188"/>
      <c r="B47" s="173"/>
      <c r="C47" s="193" t="s">
        <v>7</v>
      </c>
      <c r="D47" s="184">
        <f>B$46*User_sheet!D43/100</f>
        <v>0</v>
      </c>
      <c r="E47" s="186"/>
      <c r="F47" s="37"/>
    </row>
    <row r="48" spans="1:8" x14ac:dyDescent="0.25">
      <c r="A48" s="189"/>
      <c r="B48" s="171"/>
      <c r="C48" s="191" t="s">
        <v>189</v>
      </c>
      <c r="D48" s="183">
        <f>B$49*User_sheet!B44/100</f>
        <v>0</v>
      </c>
      <c r="E48" s="176"/>
      <c r="F48" s="199"/>
    </row>
    <row r="49" spans="1:10" x14ac:dyDescent="0.25">
      <c r="A49" s="187" t="s">
        <v>129</v>
      </c>
      <c r="B49" s="177">
        <f>B$34*(User_sheet!B19/100)</f>
        <v>0</v>
      </c>
      <c r="C49" s="192" t="s">
        <v>137</v>
      </c>
      <c r="D49" s="114">
        <f>B$49*User_sheet!C44/100</f>
        <v>0</v>
      </c>
      <c r="E49" s="185">
        <f>SUM(D48:D50)</f>
        <v>0</v>
      </c>
      <c r="F49" s="199"/>
    </row>
    <row r="50" spans="1:10" ht="15.75" thickBot="1" x14ac:dyDescent="0.3">
      <c r="A50" s="188"/>
      <c r="B50" s="173"/>
      <c r="C50" s="193" t="s">
        <v>7</v>
      </c>
      <c r="D50" s="184">
        <f>B$49*User_sheet!D44/100</f>
        <v>0</v>
      </c>
      <c r="E50" s="186"/>
      <c r="F50" s="37"/>
    </row>
    <row r="51" spans="1:10" ht="15.75" thickBot="1" x14ac:dyDescent="0.3">
      <c r="A51" s="190" t="s">
        <v>188</v>
      </c>
      <c r="B51" s="182">
        <f>SUM(B40:B49)</f>
        <v>0</v>
      </c>
      <c r="C51" s="194" t="s">
        <v>56</v>
      </c>
      <c r="D51" s="181">
        <f>SUM(D39:D50)</f>
        <v>0</v>
      </c>
      <c r="E51" s="195">
        <f>SUM(E39:E50)</f>
        <v>0</v>
      </c>
      <c r="F51" s="199"/>
    </row>
    <row r="52" spans="1:10" x14ac:dyDescent="0.25">
      <c r="A52" s="192"/>
      <c r="B52" s="199"/>
      <c r="C52" s="198"/>
      <c r="D52" s="199"/>
      <c r="E52" s="199"/>
      <c r="F52" s="199"/>
    </row>
    <row r="53" spans="1:10" s="20" customFormat="1" ht="15.75" thickBot="1" x14ac:dyDescent="0.3"/>
    <row r="54" spans="1:10" ht="15.75" thickBot="1" x14ac:dyDescent="0.3">
      <c r="A54" s="1070" t="s">
        <v>211</v>
      </c>
      <c r="B54" s="1071"/>
    </row>
    <row r="55" spans="1:10" x14ac:dyDescent="0.25">
      <c r="A55" s="189" t="s">
        <v>197</v>
      </c>
      <c r="B55" s="210"/>
    </row>
    <row r="56" spans="1:10" ht="15.75" thickBot="1" x14ac:dyDescent="0.3">
      <c r="A56" s="211" t="s">
        <v>196</v>
      </c>
      <c r="B56" s="212"/>
      <c r="C56" s="34"/>
      <c r="E56" s="34"/>
      <c r="F56" s="34"/>
    </row>
    <row r="57" spans="1:10" ht="30.75" customHeight="1" thickBot="1" x14ac:dyDescent="0.3">
      <c r="A57" s="1077" t="s">
        <v>146</v>
      </c>
      <c r="B57" s="1078"/>
      <c r="E57" s="217" t="s">
        <v>200</v>
      </c>
      <c r="F57" s="202" t="s">
        <v>199</v>
      </c>
    </row>
    <row r="58" spans="1:10" ht="28.5" customHeight="1" thickBot="1" x14ac:dyDescent="0.3">
      <c r="A58" s="213" t="s">
        <v>193</v>
      </c>
      <c r="B58" s="214">
        <f>SUM('Freestanding '!T109:T119)+SUM('Semi-detached'!T109:T119)+SUM('Terraced '!T109:T119)+SUM(Apartment!R55:R67)</f>
        <v>9.4077315444988027E-2</v>
      </c>
      <c r="C58" s="215" t="s">
        <v>198</v>
      </c>
      <c r="D58" s="216">
        <f>C34</f>
        <v>0</v>
      </c>
      <c r="E58" s="218">
        <f>IF(D58&lt;B58,1,IF(D58&lt;B58+B59,2, IF(D58&lt;B58+B59+B60,3,4)))</f>
        <v>1</v>
      </c>
      <c r="F58" s="202">
        <f>IF(E58=1, D58/B58,1)</f>
        <v>0</v>
      </c>
      <c r="H58" s="220" t="s">
        <v>201</v>
      </c>
      <c r="I58" s="222">
        <f>SUM('Freestanding '!V13:V503,'Semi-detached'!V13:V503,'Terraced '!V13:V503,Apartment!T13:T331)</f>
        <v>0.99997955398938931</v>
      </c>
      <c r="J58" s="222">
        <f>D33</f>
        <v>1</v>
      </c>
    </row>
    <row r="59" spans="1:10" ht="28.5" customHeight="1" thickBot="1" x14ac:dyDescent="0.3">
      <c r="A59" s="213" t="s">
        <v>194</v>
      </c>
      <c r="B59" s="178">
        <f>SUM('Freestanding '!T241:T251,'Semi-detached'!T241:T251,'Terraced '!T241:T251,Apartment!R139:R151)</f>
        <v>5.7450099296756527E-2</v>
      </c>
      <c r="E59" s="1079" t="s">
        <v>202</v>
      </c>
      <c r="F59" s="202">
        <f>IF(E58=2,(D58-B58)/B59,IF(E58=1,0,IF(E58=3,1,1)))</f>
        <v>0</v>
      </c>
      <c r="H59" s="223"/>
      <c r="I59" s="199"/>
    </row>
    <row r="60" spans="1:10" ht="30" customHeight="1" thickBot="1" x14ac:dyDescent="0.3">
      <c r="A60" s="213" t="s">
        <v>195</v>
      </c>
      <c r="B60" s="178">
        <f>SUM('Freestanding '!T357:T365,'Semi-detached'!T357:T365,'Terraced '!T357:T365,Apartment!R223:R235)</f>
        <v>2.6268615767550001E-2</v>
      </c>
      <c r="E60" s="1080"/>
      <c r="F60" s="202">
        <f>IF(E58=3,(D58-B59-B58)/B60,IF(E58=1,0,IF(E58=2,0,1)))</f>
        <v>0</v>
      </c>
    </row>
    <row r="61" spans="1:10" ht="15.75" thickBot="1" x14ac:dyDescent="0.3">
      <c r="A61" s="209" t="s">
        <v>124</v>
      </c>
      <c r="B61" s="179">
        <f>SUM(B58:B60)</f>
        <v>0.17779603050929454</v>
      </c>
    </row>
    <row r="62" spans="1:10" x14ac:dyDescent="0.25">
      <c r="A62" s="192"/>
      <c r="B62" s="34"/>
    </row>
    <row r="63" spans="1:10" s="20" customFormat="1" ht="15.75" thickBot="1" x14ac:dyDescent="0.3">
      <c r="A63" s="232"/>
      <c r="B63" s="233"/>
    </row>
    <row r="64" spans="1:10" ht="15.75" thickBot="1" x14ac:dyDescent="0.3">
      <c r="A64" s="1068" t="s">
        <v>143</v>
      </c>
      <c r="B64" s="1069"/>
    </row>
    <row r="65" spans="1:20" ht="60.75" customHeight="1" thickBot="1" x14ac:dyDescent="0.3">
      <c r="A65" s="235" t="s">
        <v>215</v>
      </c>
      <c r="B65" s="237" t="s">
        <v>214</v>
      </c>
      <c r="C65" s="245" t="s">
        <v>221</v>
      </c>
      <c r="D65" s="246" t="s">
        <v>220</v>
      </c>
      <c r="E65" s="246" t="s">
        <v>199</v>
      </c>
      <c r="G65" s="237" t="s">
        <v>216</v>
      </c>
      <c r="H65" s="245" t="s">
        <v>221</v>
      </c>
      <c r="I65" s="246" t="s">
        <v>220</v>
      </c>
      <c r="J65" s="246" t="s">
        <v>199</v>
      </c>
    </row>
    <row r="66" spans="1:20" ht="30.75" thickBot="1" x14ac:dyDescent="0.3">
      <c r="A66" s="256" t="s">
        <v>206</v>
      </c>
      <c r="B66" s="231">
        <f>SUM('Freestanding '!V109:V119)+SUM('Semi-detached'!V109:V119)+SUM('Terraced '!V109:V119)+SUM(Apartment!T55:T67)</f>
        <v>9.4077315444988027E-2</v>
      </c>
      <c r="C66" s="259">
        <f>E34</f>
        <v>0</v>
      </c>
      <c r="D66" s="231">
        <f>IF(C66&gt;B66,1,0)</f>
        <v>0</v>
      </c>
      <c r="E66" s="231">
        <f>IF(D66&lt;1, C66/B66, 1)</f>
        <v>0</v>
      </c>
      <c r="G66" s="203">
        <f>SUM('Freestanding '!V85:V95)+SUM('Semi-detached'!V85:V95)+SUM('Terraced '!V85:V95)+SUM(Apartment!T27:T39)/4</f>
        <v>9.9445400966543085E-2</v>
      </c>
      <c r="H66" s="204">
        <f>IF(D66=1, C66-B66, 0)</f>
        <v>0</v>
      </c>
      <c r="I66" s="231">
        <f>IF(H66&gt;G66,1,0)</f>
        <v>0</v>
      </c>
      <c r="J66" s="231">
        <f>IF(I66&lt;1, H66/G66, 1)</f>
        <v>0</v>
      </c>
      <c r="M66" s="315" t="s">
        <v>226</v>
      </c>
    </row>
    <row r="67" spans="1:20" ht="30.75" thickBot="1" x14ac:dyDescent="0.3">
      <c r="A67" s="238" t="s">
        <v>207</v>
      </c>
      <c r="B67" s="204">
        <f>SUM('Freestanding '!V241:V251,'Semi-detached'!V241:V251,'Terraced '!V241:V251,Apartment!T139:T151)</f>
        <v>5.7450099296756527E-2</v>
      </c>
      <c r="C67" s="204">
        <f>IF(I66=1, H66-G66, 0)</f>
        <v>0</v>
      </c>
      <c r="D67" s="204">
        <f>IF(C67&gt;B67,1,0)</f>
        <v>0</v>
      </c>
      <c r="E67" s="204">
        <f>IF(D67&lt;1, C67/B67, 1)</f>
        <v>0</v>
      </c>
      <c r="G67" s="204">
        <f>SUM('Freestanding '!V217:V227)+SUM('Semi-detached'!V217:V227)+SUM('Terraced '!V217:V227)+SUM(Apartment!T111:T123)/4</f>
        <v>5.7659030984684022E-2</v>
      </c>
      <c r="H67" s="204">
        <f>IF(D67=1, C67-B67, 0)</f>
        <v>0</v>
      </c>
      <c r="I67" s="204">
        <f>IF(H67&gt;G67,1,0)</f>
        <v>0</v>
      </c>
      <c r="J67" s="204">
        <f>IF(I67&lt;1, H67/G67, 1)</f>
        <v>0</v>
      </c>
      <c r="L67" s="220" t="s">
        <v>201</v>
      </c>
      <c r="M67" s="222">
        <f>SUM('Freestanding '!W12:W503,'Semi-detached'!W12:W503,'Terraced '!W12:W503,Apartment!U12:U331)</f>
        <v>0.99997955398938931</v>
      </c>
      <c r="N67" s="222">
        <f>D33</f>
        <v>1</v>
      </c>
    </row>
    <row r="68" spans="1:20" ht="30" x14ac:dyDescent="0.25">
      <c r="A68" s="239" t="s">
        <v>208</v>
      </c>
      <c r="B68" s="204">
        <f>SUM('Freestanding '!V357:V365,'Semi-detached'!V357:V365,'Terraced '!V357:V365,Apartment!T223:T235)</f>
        <v>2.6268615767550001E-2</v>
      </c>
      <c r="C68" s="204">
        <f>IF(I67=1, H67-G67, 0)</f>
        <v>0</v>
      </c>
      <c r="D68" s="204">
        <f>IF(C68&gt;B68,1,0)</f>
        <v>0</v>
      </c>
      <c r="E68" s="204">
        <f>IF(D68&lt;1, C68/B68, 1)</f>
        <v>0</v>
      </c>
      <c r="G68" s="204">
        <f>SUM('Freestanding '!V337:V345)+SUM('Semi-detached'!V337:V345)+SUM('Terraced '!V337:V345)+SUM(Apartment!T195:T207)/4</f>
        <v>2.6976057219898611E-2</v>
      </c>
      <c r="H68" s="204">
        <f>IF(D68=1, C68-B68, 0)</f>
        <v>0</v>
      </c>
      <c r="I68" s="204">
        <f>IF(H68&gt;G68,1,0)</f>
        <v>0</v>
      </c>
      <c r="J68" s="204">
        <f>IF(I68&lt;1, H68/G68, 1)</f>
        <v>0</v>
      </c>
    </row>
    <row r="69" spans="1:20" ht="31.5" customHeight="1" thickBot="1" x14ac:dyDescent="0.3">
      <c r="A69" s="257" t="s">
        <v>209</v>
      </c>
      <c r="B69" s="205">
        <f>SUM('Freestanding '!V467:V475,'Semi-detached'!V467:V475,'Terraced '!V467:V475,Apartment!T295:T303)</f>
        <v>6.9516757723499991E-3</v>
      </c>
      <c r="C69" s="204">
        <f>IF(I68=1, H68-G68, 0)</f>
        <v>0</v>
      </c>
      <c r="D69" s="205">
        <f>IF(C69&gt;B69,1,0)</f>
        <v>0</v>
      </c>
      <c r="E69" s="205">
        <f>IF(D69&lt;1, C69/B69, 1)</f>
        <v>0</v>
      </c>
      <c r="G69" s="251">
        <f>SUM('Freestanding '!V447:V455)+SUM('Semi-detached'!V447:V455)+SUM('Terraced '!V447:V455)+SUM(Apartment!T275:T283)/4</f>
        <v>6.9190561310141108E-3</v>
      </c>
      <c r="H69" s="204">
        <f>IF(D69=1, C69-B69, 0)</f>
        <v>0</v>
      </c>
      <c r="I69" s="205">
        <f>IF(H69&gt;G69,1,0)</f>
        <v>0</v>
      </c>
      <c r="J69" s="205">
        <f>IF(I69&lt;1, H69/G69, 1)</f>
        <v>0</v>
      </c>
    </row>
    <row r="70" spans="1:20" ht="37.5" customHeight="1" thickBot="1" x14ac:dyDescent="0.3">
      <c r="A70" s="188" t="s">
        <v>124</v>
      </c>
      <c r="B70" s="261">
        <f>SUM(B66:B69)</f>
        <v>0.18474770628164455</v>
      </c>
      <c r="C70" s="205"/>
      <c r="D70" s="34"/>
      <c r="E70" s="34"/>
      <c r="G70" s="202">
        <f>SUM(G66:G68)</f>
        <v>0.18408048917112574</v>
      </c>
      <c r="H70" s="205"/>
    </row>
    <row r="71" spans="1:20" ht="16.5" customHeight="1" x14ac:dyDescent="0.25">
      <c r="A71" s="192"/>
      <c r="B71" s="34"/>
      <c r="C71" s="34"/>
      <c r="D71" s="260"/>
    </row>
    <row r="73" spans="1:20" s="252" customFormat="1" ht="15.75" thickBot="1" x14ac:dyDescent="0.3"/>
    <row r="74" spans="1:20" ht="15.75" thickBot="1" x14ac:dyDescent="0.3">
      <c r="A74" s="1075" t="s">
        <v>144</v>
      </c>
      <c r="B74" s="1076"/>
    </row>
    <row r="75" spans="1:20" ht="60.75" thickBot="1" x14ac:dyDescent="0.3">
      <c r="A75" s="235" t="s">
        <v>215</v>
      </c>
      <c r="B75" s="237" t="s">
        <v>214</v>
      </c>
      <c r="C75" s="250" t="s">
        <v>221</v>
      </c>
      <c r="D75" s="246" t="s">
        <v>220</v>
      </c>
      <c r="E75" s="246" t="s">
        <v>199</v>
      </c>
      <c r="G75" s="237" t="s">
        <v>216</v>
      </c>
      <c r="H75" s="245" t="s">
        <v>221</v>
      </c>
      <c r="I75" s="246" t="s">
        <v>220</v>
      </c>
      <c r="J75" s="246" t="s">
        <v>199</v>
      </c>
      <c r="L75" s="237" t="s">
        <v>223</v>
      </c>
      <c r="M75" s="285" t="s">
        <v>221</v>
      </c>
      <c r="N75" s="286" t="s">
        <v>220</v>
      </c>
      <c r="O75" s="286" t="s">
        <v>199</v>
      </c>
    </row>
    <row r="76" spans="1:20" ht="30.75" thickBot="1" x14ac:dyDescent="0.3">
      <c r="A76" s="256" t="s">
        <v>206</v>
      </c>
      <c r="B76" s="231">
        <f>SUM('Freestanding '!W109:W119)+SUM('Semi-detached'!W109:W119)+SUM('Terraced '!W109:W119)+SUM(Apartment!U55:U67)</f>
        <v>9.4077315444988027E-2</v>
      </c>
      <c r="C76" s="299">
        <f>F34</f>
        <v>0</v>
      </c>
      <c r="D76" s="231">
        <f>IF(B76=0,1,IF(C76&gt;B76,1,0))</f>
        <v>0</v>
      </c>
      <c r="E76" s="231">
        <f>IF(B76=0,0,IF(D76&lt;1, C76/B76, 1))</f>
        <v>0</v>
      </c>
      <c r="G76" s="203">
        <f>SUM('Freestanding '!W85:W95)+SUM('Semi-detached'!W85:W95)+SUM('Terraced '!W85:W95)+SUM(Apartment!U27:U39)/4</f>
        <v>9.9445400966543085E-2</v>
      </c>
      <c r="H76" s="231">
        <f>C80</f>
        <v>0</v>
      </c>
      <c r="I76" s="231">
        <f>IF(G76=0,1,IF(H76&gt;G76,1,0))</f>
        <v>0</v>
      </c>
      <c r="J76" s="231">
        <f>IF(G76=0,0,IF(I76&lt;1, H76/G76, 1))</f>
        <v>0</v>
      </c>
      <c r="L76" s="203">
        <f>SUM('Freestanding '!W61:W71)+SUM('Semi-detached'!W61:W71)+SUM('Terraced '!W61:W71)+SUM(Apartment!U27:U39)/4</f>
        <v>9.1918812976200005E-3</v>
      </c>
      <c r="M76" s="231">
        <f>H80</f>
        <v>0</v>
      </c>
      <c r="N76" s="231">
        <f>IF(L76=0,1,IF(M76&gt;L76,1,0))</f>
        <v>0</v>
      </c>
      <c r="O76" s="231">
        <f>IF(L76=0,0,IF(N76&lt;1, M76/L76, 1))</f>
        <v>0</v>
      </c>
      <c r="R76" s="316" t="s">
        <v>226</v>
      </c>
      <c r="S76" s="315" t="s">
        <v>227</v>
      </c>
    </row>
    <row r="77" spans="1:20" ht="30.75" thickBot="1" x14ac:dyDescent="0.3">
      <c r="A77" s="238" t="s">
        <v>207</v>
      </c>
      <c r="B77" s="204">
        <f>SUM('Freestanding '!W241:W251,'Semi-detached'!W241:W251,'Terraced '!W241:W251,Apartment!U139:U151)</f>
        <v>5.7450099296756527E-2</v>
      </c>
      <c r="C77" s="204">
        <f>IF(B77=0, C76, IF(D76=1, C76-B76, 0))</f>
        <v>0</v>
      </c>
      <c r="D77" s="231">
        <f>IF(B77=0,1,IF(C77&gt;B77,1,0))</f>
        <v>0</v>
      </c>
      <c r="E77" s="231">
        <f>IF(B77=0,0,IF(D77&lt;1, C77/B77, 1))</f>
        <v>0</v>
      </c>
      <c r="G77" s="204">
        <f>SUM('Freestanding '!W217:W227)+SUM('Semi-detached'!W217:W227)+SUM('Terraced '!W217:W227)+SUM(Apartment!U111:U123)/4</f>
        <v>5.7659030984684022E-2</v>
      </c>
      <c r="H77" s="204">
        <f>IF(G77=0, H76, IF(I76=1, H76-G76, 0))</f>
        <v>0</v>
      </c>
      <c r="I77" s="231">
        <f>IF(G77=0,1,IF(H77&gt;G77,1,0))</f>
        <v>0</v>
      </c>
      <c r="J77" s="231">
        <f>IF(G77=0,0,IF(I77&lt;1, H77/G77, 1))</f>
        <v>0</v>
      </c>
      <c r="L77" s="204">
        <f>SUM('Freestanding '!W193:W203)+SUM('Semi-detached'!W193:W203)+SUM('Terraced '!W193:W203)+SUM(Apartment!U111:U123)/4</f>
        <v>7.3913346044999998E-3</v>
      </c>
      <c r="M77" s="204">
        <f>IF(L77=0, M76, IF(N76=1, M76-L76, 0))</f>
        <v>0</v>
      </c>
      <c r="N77" s="231">
        <f>IF(L77=0,1,IF(M77&gt;L77,1,0))</f>
        <v>0</v>
      </c>
      <c r="O77" s="231">
        <f>IF(L77=0,0,IF(N77&lt;1, M77/L77, 1))</f>
        <v>0</v>
      </c>
      <c r="Q77" s="220" t="s">
        <v>201</v>
      </c>
      <c r="R77" s="222">
        <f>SUM('Freestanding '!X12:X503,'Semi-detached'!X12:X503,'Terraced '!X12:X503,Apartment!V12:V331)</f>
        <v>0.99997955398938931</v>
      </c>
      <c r="S77" s="222">
        <f>SUM('Freestanding '!Y12:Y503,'Semi-detached'!Y12:Y503,'Terraced '!Y12:Y503,Apartment!W12:W331)</f>
        <v>0.99999999999999944</v>
      </c>
      <c r="T77" s="222">
        <f>D33</f>
        <v>1</v>
      </c>
    </row>
    <row r="78" spans="1:20" ht="30.75" thickBot="1" x14ac:dyDescent="0.3">
      <c r="A78" s="239" t="s">
        <v>208</v>
      </c>
      <c r="B78" s="204">
        <f>SUM('Freestanding '!W357:W365,'Semi-detached'!W357:W365,'Terraced '!W357:W365,Apartment!U223:U235)</f>
        <v>2.6268615767550001E-2</v>
      </c>
      <c r="C78" s="204">
        <f>IF(B78=0, C77, IF(D77=1, C77-B77, 0))</f>
        <v>0</v>
      </c>
      <c r="D78" s="231">
        <f>IF(B78=0,1,IF(C78&gt;B78,1,0))</f>
        <v>0</v>
      </c>
      <c r="E78" s="231">
        <f>IF(B78=0,0,IF(D78&lt;1, C78/B78, 1))</f>
        <v>0</v>
      </c>
      <c r="G78" s="204">
        <f>SUM('Freestanding '!W337:W345)+SUM('Semi-detached'!W337:W345)+SUM('Terraced '!W337:W345)+SUM(Apartment!U195:U207)/4</f>
        <v>2.6976057219898611E-2</v>
      </c>
      <c r="H78" s="204">
        <f>IF(G78=0, H77, IF(I77=1, H77-G77, 0))</f>
        <v>0</v>
      </c>
      <c r="I78" s="231">
        <f>IF(G78=0,1,IF(H78&gt;G78,1,0))</f>
        <v>0</v>
      </c>
      <c r="J78" s="231">
        <f>IF(G78=0,0,IF(I78&lt;1, H78/G78, 1))</f>
        <v>0</v>
      </c>
      <c r="L78" s="204">
        <f>SUM('Freestanding '!W317:W325)+SUM('Semi-detached'!W317:W325)+SUM('Terraced '!W317:W325)+SUM(Apartment!U195:U207)/4</f>
        <v>3.0156896378700001E-3</v>
      </c>
      <c r="M78" s="204">
        <f>IF(L78=0, M77, IF(N77=1, M77-L77, 0))</f>
        <v>0</v>
      </c>
      <c r="N78" s="231">
        <f>IF(L78=0,1,IF(M78&gt;L78,1,0))</f>
        <v>0</v>
      </c>
      <c r="O78" s="231">
        <f>IF(L78=0,0,IF(N78&lt;1, M78/L78, 1))</f>
        <v>0</v>
      </c>
    </row>
    <row r="79" spans="1:20" ht="30.75" thickBot="1" x14ac:dyDescent="0.3">
      <c r="A79" s="257" t="s">
        <v>209</v>
      </c>
      <c r="B79" s="205">
        <f>SUM('Freestanding '!W467:W475,'Semi-detached'!W467:W475,'Terraced '!W467:W475,Apartment!U295:U303)</f>
        <v>6.9516757723499991E-3</v>
      </c>
      <c r="C79" s="204">
        <f>IF(B79=0, C78, IF(D78=1, C78-B78, 0))</f>
        <v>0</v>
      </c>
      <c r="D79" s="231">
        <f>IF(B79=0,1,IF(C79&gt;B79,1,0))</f>
        <v>0</v>
      </c>
      <c r="E79" s="231">
        <f>IF(B79=0,0,IF(D79&lt;1, C79/B79, 1))</f>
        <v>0</v>
      </c>
      <c r="G79" s="251">
        <f>SUM('Freestanding '!W447:W455)+SUM('Semi-detached'!W447:W455)+SUM('Terraced '!W447:W455)+SUM(Apartment!U275:U283)/4</f>
        <v>6.9190561310141108E-3</v>
      </c>
      <c r="H79" s="204">
        <f>IF(G79=0, H78, IF(I78=1, H78-G78, 0))</f>
        <v>0</v>
      </c>
      <c r="I79" s="231">
        <f>IF(G79=0,1,IF(H79&gt;G79,1,0))</f>
        <v>0</v>
      </c>
      <c r="J79" s="231">
        <f>IF(G79=0,0,IF(I79&lt;1, H79/G79, 1))</f>
        <v>0</v>
      </c>
      <c r="L79" s="251">
        <f>SUM('Freestanding '!W427:W435)+SUM('Semi-detached'!W427:W435)+SUM('Terraced '!W427:W435)</f>
        <v>0</v>
      </c>
      <c r="M79" s="204"/>
      <c r="N79" s="231"/>
      <c r="O79" s="231"/>
    </row>
    <row r="80" spans="1:20" ht="19.5" customHeight="1" thickBot="1" x14ac:dyDescent="0.3">
      <c r="A80" s="188" t="s">
        <v>124</v>
      </c>
      <c r="B80" s="261">
        <f>SUM(B76:B79)</f>
        <v>0.18474770628164455</v>
      </c>
      <c r="C80" s="205">
        <f>IF(B80=0, C79, IF(D79=1, C79-B79, 0))</f>
        <v>0</v>
      </c>
      <c r="D80" s="34"/>
      <c r="E80" s="34"/>
      <c r="G80" s="202">
        <f>SUM(G76:G78)</f>
        <v>0.18408048917112574</v>
      </c>
      <c r="H80" s="205">
        <f>IF(I79=1, H79-G79, 0)</f>
        <v>0</v>
      </c>
      <c r="L80" s="202">
        <f>SUM(L76:L78)</f>
        <v>1.9598905539990004E-2</v>
      </c>
      <c r="M80" s="205">
        <f>IF(N79=1, M79-L79, 0)</f>
        <v>0</v>
      </c>
    </row>
    <row r="81" spans="1:4" x14ac:dyDescent="0.25">
      <c r="A81" s="192"/>
      <c r="B81" s="34"/>
      <c r="C81" s="34"/>
      <c r="D81" s="260"/>
    </row>
    <row r="82" spans="1:4" s="306" customFormat="1" x14ac:dyDescent="0.25"/>
    <row r="83" spans="1:4" x14ac:dyDescent="0.25">
      <c r="A83" s="992" t="s">
        <v>269</v>
      </c>
      <c r="C83" s="954"/>
    </row>
    <row r="84" spans="1:4" x14ac:dyDescent="0.25">
      <c r="C84" s="954"/>
    </row>
    <row r="85" spans="1:4" x14ac:dyDescent="0.25">
      <c r="A85" s="114" t="s">
        <v>274</v>
      </c>
      <c r="B85" s="115"/>
      <c r="C85" s="976">
        <f ca="1">'Freestanding '!AN504+'Semi-detached'!AN504+'Terraced '!AN504+Apartment!AL332</f>
        <v>0.52281068894254168</v>
      </c>
    </row>
    <row r="86" spans="1:4" x14ac:dyDescent="0.25">
      <c r="C86" s="954"/>
    </row>
    <row r="87" spans="1:4" x14ac:dyDescent="0.25">
      <c r="A87" s="114" t="s">
        <v>275</v>
      </c>
      <c r="B87" s="115"/>
      <c r="C87" s="976">
        <f ca="1">User_sheet!B48/User_sheet!G48</f>
        <v>0</v>
      </c>
    </row>
    <row r="88" spans="1:4" x14ac:dyDescent="0.25">
      <c r="C88" s="954"/>
    </row>
    <row r="89" spans="1:4" s="306" customFormat="1" x14ac:dyDescent="0.25">
      <c r="C89" s="1005"/>
    </row>
    <row r="90" spans="1:4" x14ac:dyDescent="0.25">
      <c r="A90" s="992" t="s">
        <v>299</v>
      </c>
      <c r="B90" s="924"/>
      <c r="C90" s="954"/>
    </row>
    <row r="91" spans="1:4" x14ac:dyDescent="0.25">
      <c r="A91" s="924"/>
      <c r="B91" s="924"/>
      <c r="C91" s="954"/>
    </row>
    <row r="92" spans="1:4" x14ac:dyDescent="0.25">
      <c r="A92" s="114" t="s">
        <v>305</v>
      </c>
      <c r="B92" s="115"/>
      <c r="C92" s="976">
        <f ca="1">'Freestanding '!AP504+'Semi-detached'!AP504+'Terraced '!AP504+Apartment!AN332</f>
        <v>0.11907430562079692</v>
      </c>
    </row>
    <row r="93" spans="1:4" x14ac:dyDescent="0.25">
      <c r="A93" s="924"/>
      <c r="B93" s="924"/>
      <c r="C93" s="954"/>
    </row>
    <row r="94" spans="1:4" x14ac:dyDescent="0.25">
      <c r="A94" s="114" t="s">
        <v>275</v>
      </c>
      <c r="B94" s="115"/>
      <c r="C94" s="976">
        <f ca="1">User_sheet!B55/User_sheet!G55</f>
        <v>0</v>
      </c>
    </row>
    <row r="95" spans="1:4" x14ac:dyDescent="0.25">
      <c r="A95" s="924"/>
      <c r="B95" s="924"/>
      <c r="C95" s="954"/>
    </row>
    <row r="96" spans="1:4" s="306" customFormat="1" x14ac:dyDescent="0.25">
      <c r="C96" s="1005"/>
    </row>
    <row r="97" spans="1:3" s="924" customFormat="1" x14ac:dyDescent="0.25">
      <c r="A97" s="992" t="s">
        <v>296</v>
      </c>
      <c r="C97" s="954"/>
    </row>
    <row r="98" spans="1:3" s="924" customFormat="1" x14ac:dyDescent="0.25">
      <c r="C98" s="954"/>
    </row>
    <row r="99" spans="1:3" s="924" customFormat="1" x14ac:dyDescent="0.25">
      <c r="A99" s="114" t="s">
        <v>275</v>
      </c>
      <c r="B99" s="115"/>
      <c r="C99" s="976">
        <f>User_sheet!B64/100</f>
        <v>0.6</v>
      </c>
    </row>
    <row r="100" spans="1:3" s="924" customFormat="1" x14ac:dyDescent="0.25">
      <c r="C100" s="954"/>
    </row>
    <row r="101" spans="1:3" s="306" customFormat="1" x14ac:dyDescent="0.25"/>
  </sheetData>
  <mergeCells count="12">
    <mergeCell ref="A74:B74"/>
    <mergeCell ref="A57:B57"/>
    <mergeCell ref="E59:E60"/>
    <mergeCell ref="E11:E14"/>
    <mergeCell ref="F11:F14"/>
    <mergeCell ref="G11:G14"/>
    <mergeCell ref="A64:B64"/>
    <mergeCell ref="A54:B54"/>
    <mergeCell ref="A11:A14"/>
    <mergeCell ref="B11:B14"/>
    <mergeCell ref="C11:C14"/>
    <mergeCell ref="D11:D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05"/>
  <sheetViews>
    <sheetView topLeftCell="K1" zoomScale="70" zoomScaleNormal="70" workbookViewId="0">
      <selection activeCell="Y2" sqref="Y2"/>
    </sheetView>
  </sheetViews>
  <sheetFormatPr defaultColWidth="11.42578125" defaultRowHeight="15" x14ac:dyDescent="0.25"/>
  <cols>
    <col min="5" max="5" width="20.7109375" customWidth="1"/>
    <col min="7" max="7" width="20.7109375" customWidth="1"/>
    <col min="9" max="9" width="16.140625" customWidth="1"/>
    <col min="10" max="10" width="14" customWidth="1"/>
    <col min="11" max="11" width="19.5703125" customWidth="1"/>
    <col min="17" max="17" width="12.28515625" customWidth="1"/>
    <col min="18" max="18" width="16.28515625" customWidth="1"/>
    <col min="20" max="20" width="18" style="85" customWidth="1"/>
    <col min="21" max="21" width="13.85546875" style="85" customWidth="1"/>
    <col min="22" max="22" width="17.7109375" style="176" customWidth="1"/>
    <col min="23" max="24" width="22" style="176" customWidth="1"/>
    <col min="25" max="25" width="22" style="34" customWidth="1"/>
    <col min="26" max="27" width="22" style="176" customWidth="1"/>
    <col min="28" max="28" width="22" style="958" customWidth="1"/>
    <col min="29" max="29" width="22" style="176" customWidth="1"/>
    <col min="30" max="30" width="22" style="958" customWidth="1"/>
    <col min="31" max="32" width="22" style="176" customWidth="1"/>
    <col min="33" max="33" width="22" style="958" customWidth="1"/>
    <col min="34" max="34" width="11.42578125" style="314"/>
    <col min="35" max="35" width="16" customWidth="1"/>
    <col min="36" max="36" width="16" style="314" customWidth="1"/>
    <col min="37" max="42" width="16" style="924" customWidth="1"/>
    <col min="43" max="43" width="16" style="314" customWidth="1"/>
    <col min="47" max="47" width="14.140625" bestFit="1" customWidth="1"/>
    <col min="54" max="54" width="17" customWidth="1"/>
    <col min="55" max="55" width="11.42578125" style="31"/>
    <col min="56" max="57" width="11.42578125" style="32"/>
    <col min="58" max="58" width="11.42578125" style="39"/>
    <col min="61" max="61" width="11.42578125" style="39"/>
    <col min="65" max="65" width="14" style="39" customWidth="1"/>
    <col min="66" max="66" width="14" style="931" customWidth="1"/>
    <col min="67" max="67" width="14" style="936" customWidth="1"/>
    <col min="68" max="83" width="11.42578125" style="1018"/>
    <col min="84" max="84" width="14.85546875" style="1018" bestFit="1" customWidth="1"/>
    <col min="85" max="85" width="11.42578125" style="1018"/>
  </cols>
  <sheetData>
    <row r="1" spans="1:85" ht="80.25" customHeight="1" thickBot="1" x14ac:dyDescent="0.3">
      <c r="A1" s="241" t="s">
        <v>25</v>
      </c>
      <c r="B1" s="197"/>
      <c r="C1" s="197" t="s">
        <v>27</v>
      </c>
      <c r="D1" s="197"/>
      <c r="E1" s="241" t="s">
        <v>26</v>
      </c>
      <c r="F1" s="242"/>
      <c r="G1" s="241" t="s">
        <v>28</v>
      </c>
      <c r="H1" s="242"/>
      <c r="I1" s="241" t="s">
        <v>29</v>
      </c>
      <c r="J1" s="242"/>
      <c r="K1" s="241" t="s">
        <v>30</v>
      </c>
      <c r="L1" s="242"/>
      <c r="M1" s="241" t="s">
        <v>21</v>
      </c>
      <c r="N1" s="242"/>
      <c r="O1" s="241" t="s">
        <v>48</v>
      </c>
      <c r="P1" s="242"/>
      <c r="Q1" s="241" t="s">
        <v>24</v>
      </c>
      <c r="R1" s="242"/>
      <c r="S1" s="2"/>
      <c r="T1" s="201" t="s">
        <v>133</v>
      </c>
      <c r="U1" s="285" t="s">
        <v>225</v>
      </c>
      <c r="V1" s="285" t="s">
        <v>185</v>
      </c>
      <c r="W1" s="285" t="s">
        <v>204</v>
      </c>
      <c r="X1" s="1013" t="s">
        <v>309</v>
      </c>
      <c r="Y1" s="307" t="s">
        <v>270</v>
      </c>
      <c r="Z1" s="989" t="s">
        <v>269</v>
      </c>
      <c r="AA1" s="990" t="s">
        <v>278</v>
      </c>
      <c r="AB1" s="307" t="s">
        <v>282</v>
      </c>
      <c r="AC1" s="999" t="s">
        <v>291</v>
      </c>
      <c r="AD1" s="307" t="s">
        <v>296</v>
      </c>
      <c r="AE1" s="999" t="s">
        <v>295</v>
      </c>
      <c r="AF1" s="1006" t="s">
        <v>306</v>
      </c>
      <c r="AG1" s="307" t="s">
        <v>307</v>
      </c>
      <c r="AH1" s="313"/>
      <c r="AI1" s="87" t="s">
        <v>94</v>
      </c>
      <c r="AJ1" s="984"/>
      <c r="AK1" s="87" t="s">
        <v>266</v>
      </c>
      <c r="AL1" s="87" t="s">
        <v>267</v>
      </c>
      <c r="AM1" s="87" t="s">
        <v>271</v>
      </c>
      <c r="AN1" s="87" t="s">
        <v>274</v>
      </c>
      <c r="AO1" s="87" t="s">
        <v>283</v>
      </c>
      <c r="AP1" s="87" t="s">
        <v>287</v>
      </c>
      <c r="AQ1" s="984"/>
      <c r="AR1" s="2" t="s">
        <v>99</v>
      </c>
      <c r="AS1" s="2" t="s">
        <v>100</v>
      </c>
      <c r="AT1" s="2" t="s">
        <v>101</v>
      </c>
      <c r="AU1" s="2" t="s">
        <v>102</v>
      </c>
      <c r="AV1" s="2" t="s">
        <v>103</v>
      </c>
      <c r="AW1" s="2" t="s">
        <v>104</v>
      </c>
      <c r="AX1" s="2" t="s">
        <v>105</v>
      </c>
      <c r="AY1" s="2" t="s">
        <v>106</v>
      </c>
      <c r="AZ1" s="2" t="s">
        <v>107</v>
      </c>
      <c r="BA1" s="2" t="s">
        <v>108</v>
      </c>
      <c r="BB1" s="87" t="s">
        <v>63</v>
      </c>
      <c r="BC1" s="30" t="s">
        <v>70</v>
      </c>
      <c r="BD1" s="34" t="s">
        <v>71</v>
      </c>
      <c r="BE1" s="34" t="s">
        <v>72</v>
      </c>
      <c r="BF1" s="40" t="s">
        <v>73</v>
      </c>
      <c r="BG1" s="2" t="s">
        <v>58</v>
      </c>
      <c r="BH1" s="2" t="s">
        <v>75</v>
      </c>
      <c r="BI1" s="40" t="s">
        <v>23</v>
      </c>
      <c r="BJ1" s="2" t="s">
        <v>76</v>
      </c>
      <c r="BK1" s="2" t="s">
        <v>77</v>
      </c>
      <c r="BL1" s="2" t="s">
        <v>78</v>
      </c>
      <c r="BM1" s="40" t="s">
        <v>79</v>
      </c>
      <c r="BN1" s="958" t="s">
        <v>356</v>
      </c>
      <c r="BO1" s="959" t="s">
        <v>359</v>
      </c>
      <c r="BP1" s="1021" t="s">
        <v>310</v>
      </c>
      <c r="BQ1" s="1021" t="s">
        <v>311</v>
      </c>
      <c r="BR1" s="1021" t="s">
        <v>312</v>
      </c>
      <c r="BS1" s="1021" t="s">
        <v>313</v>
      </c>
      <c r="BT1" s="1021" t="s">
        <v>314</v>
      </c>
      <c r="BU1" s="1021" t="s">
        <v>315</v>
      </c>
      <c r="BV1" s="1021" t="s">
        <v>316</v>
      </c>
      <c r="BW1" s="1021" t="s">
        <v>339</v>
      </c>
      <c r="BX1" s="1021" t="s">
        <v>321</v>
      </c>
      <c r="BY1" s="1021" t="s">
        <v>322</v>
      </c>
      <c r="BZ1" s="1021" t="s">
        <v>323</v>
      </c>
      <c r="CA1" s="1021" t="s">
        <v>324</v>
      </c>
      <c r="CB1" s="1021" t="s">
        <v>325</v>
      </c>
      <c r="CC1" s="1021" t="s">
        <v>340</v>
      </c>
      <c r="CD1" s="1021" t="s">
        <v>326</v>
      </c>
      <c r="CE1" s="1021" t="s">
        <v>327</v>
      </c>
      <c r="CF1" s="1021" t="s">
        <v>336</v>
      </c>
      <c r="CG1" s="1021" t="s">
        <v>338</v>
      </c>
    </row>
    <row r="2" spans="1:85" ht="45" customHeight="1" x14ac:dyDescent="0.25">
      <c r="A2" s="53" t="s">
        <v>32</v>
      </c>
      <c r="B2" s="32"/>
      <c r="C2" s="32"/>
      <c r="D2" s="54"/>
      <c r="E2" s="53" t="s">
        <v>31</v>
      </c>
      <c r="F2" s="56"/>
      <c r="G2" s="53" t="s">
        <v>31</v>
      </c>
      <c r="H2" s="56"/>
      <c r="I2" s="53" t="s">
        <v>31</v>
      </c>
      <c r="J2" s="56"/>
      <c r="K2" s="63" t="s">
        <v>31</v>
      </c>
      <c r="L2" s="56"/>
      <c r="M2" s="63" t="s">
        <v>42</v>
      </c>
      <c r="N2" s="56"/>
      <c r="O2" s="63" t="s">
        <v>42</v>
      </c>
      <c r="P2" s="56"/>
      <c r="Q2" s="63" t="s">
        <v>31</v>
      </c>
      <c r="R2" s="56"/>
      <c r="S2" s="1"/>
      <c r="T2" s="176"/>
      <c r="U2" s="176" t="s">
        <v>56</v>
      </c>
      <c r="V2" s="288" t="s">
        <v>135</v>
      </c>
      <c r="W2" s="288"/>
      <c r="X2" s="288"/>
      <c r="Y2" s="276"/>
      <c r="Z2" s="288"/>
      <c r="AA2" s="288"/>
      <c r="AB2" s="276"/>
      <c r="AC2" s="288"/>
      <c r="AD2" s="276"/>
      <c r="AE2" s="288"/>
      <c r="AF2" s="288"/>
      <c r="AG2" s="276"/>
      <c r="AH2" s="313"/>
      <c r="AI2" s="87" t="s">
        <v>97</v>
      </c>
      <c r="AJ2" s="984"/>
      <c r="AK2" s="87" t="s">
        <v>266</v>
      </c>
      <c r="AL2" s="87" t="s">
        <v>268</v>
      </c>
      <c r="AM2" s="87" t="s">
        <v>273</v>
      </c>
      <c r="AN2" s="87"/>
      <c r="AO2" s="87" t="s">
        <v>285</v>
      </c>
      <c r="AP2" s="87"/>
      <c r="AQ2" s="984"/>
      <c r="AR2" s="2" t="s">
        <v>64</v>
      </c>
      <c r="AS2" s="2" t="s">
        <v>64</v>
      </c>
      <c r="AT2" s="2" t="s">
        <v>64</v>
      </c>
      <c r="AU2" s="2" t="s">
        <v>64</v>
      </c>
      <c r="AV2" s="2" t="s">
        <v>64</v>
      </c>
      <c r="AW2" s="2" t="s">
        <v>65</v>
      </c>
      <c r="AX2" s="2" t="s">
        <v>65</v>
      </c>
      <c r="AY2" s="2" t="s">
        <v>65</v>
      </c>
      <c r="AZ2" s="2" t="s">
        <v>65</v>
      </c>
      <c r="BA2" s="2" t="s">
        <v>65</v>
      </c>
      <c r="BB2" s="87" t="s">
        <v>66</v>
      </c>
      <c r="BC2" s="30" t="s">
        <v>74</v>
      </c>
      <c r="BD2" s="34" t="s">
        <v>74</v>
      </c>
      <c r="BE2" s="34" t="s">
        <v>74</v>
      </c>
      <c r="BF2" s="40" t="s">
        <v>74</v>
      </c>
      <c r="BG2" s="2" t="s">
        <v>74</v>
      </c>
      <c r="BH2" s="2" t="s">
        <v>74</v>
      </c>
      <c r="BI2" s="40" t="s">
        <v>74</v>
      </c>
      <c r="BJ2" s="2" t="s">
        <v>74</v>
      </c>
      <c r="BK2" s="2" t="s">
        <v>74</v>
      </c>
      <c r="BL2" s="2" t="s">
        <v>74</v>
      </c>
      <c r="BM2" s="40" t="s">
        <v>74</v>
      </c>
      <c r="BN2" s="958" t="s">
        <v>357</v>
      </c>
      <c r="BO2" s="959" t="s">
        <v>360</v>
      </c>
      <c r="BP2" s="1021" t="s">
        <v>317</v>
      </c>
      <c r="BQ2" s="1021" t="s">
        <v>317</v>
      </c>
      <c r="BR2" s="1021" t="s">
        <v>317</v>
      </c>
      <c r="BS2" s="1021" t="s">
        <v>317</v>
      </c>
      <c r="BT2" s="1021" t="s">
        <v>317</v>
      </c>
      <c r="BU2" s="1021" t="s">
        <v>317</v>
      </c>
      <c r="BV2" s="1021" t="s">
        <v>317</v>
      </c>
      <c r="BW2" s="1021"/>
      <c r="BX2" s="1020" t="s">
        <v>265</v>
      </c>
      <c r="BY2" s="1020" t="s">
        <v>265</v>
      </c>
      <c r="BZ2" s="1020" t="s">
        <v>265</v>
      </c>
      <c r="CA2" s="1020" t="s">
        <v>265</v>
      </c>
      <c r="CB2" s="1020" t="s">
        <v>265</v>
      </c>
      <c r="CC2" s="1020" t="s">
        <v>265</v>
      </c>
      <c r="CD2" s="1020" t="s">
        <v>265</v>
      </c>
      <c r="CE2" s="1020" t="s">
        <v>265</v>
      </c>
      <c r="CF2" s="1020" t="s">
        <v>337</v>
      </c>
    </row>
    <row r="3" spans="1:85" ht="43.5" customHeight="1" x14ac:dyDescent="0.25">
      <c r="A3" s="57" t="s">
        <v>51</v>
      </c>
      <c r="B3" s="32"/>
      <c r="C3" s="32"/>
      <c r="D3" s="54"/>
      <c r="E3" s="53" t="s">
        <v>33</v>
      </c>
      <c r="F3" s="56"/>
      <c r="G3" s="53" t="s">
        <v>34</v>
      </c>
      <c r="H3" s="56"/>
      <c r="I3" s="53" t="s">
        <v>34</v>
      </c>
      <c r="J3" s="56"/>
      <c r="K3" s="63" t="s">
        <v>34</v>
      </c>
      <c r="L3" s="56"/>
      <c r="M3" s="64"/>
      <c r="N3" s="56" t="s">
        <v>41</v>
      </c>
      <c r="O3" s="64"/>
      <c r="P3" s="56" t="s">
        <v>41</v>
      </c>
      <c r="Q3" s="63" t="s">
        <v>34</v>
      </c>
      <c r="R3" s="56"/>
      <c r="S3" s="1"/>
      <c r="T3" s="176">
        <v>2012</v>
      </c>
      <c r="U3" s="176">
        <v>2012</v>
      </c>
      <c r="V3" s="288" t="s">
        <v>134</v>
      </c>
      <c r="W3" s="288" t="s">
        <v>205</v>
      </c>
      <c r="X3" s="288" t="s">
        <v>205</v>
      </c>
      <c r="Y3" s="276"/>
      <c r="Z3" s="288"/>
      <c r="AA3" s="288"/>
      <c r="AB3" s="276"/>
      <c r="AC3" s="288"/>
      <c r="AD3" s="276"/>
      <c r="AE3" s="288"/>
      <c r="AF3" s="288"/>
      <c r="AG3" s="276"/>
      <c r="AH3" s="313"/>
      <c r="AI3" s="2"/>
      <c r="AJ3" s="985"/>
      <c r="AK3" s="954"/>
      <c r="AL3" s="954"/>
      <c r="AM3" s="954"/>
      <c r="AN3" s="954"/>
      <c r="AO3" s="954"/>
      <c r="AP3" s="954"/>
      <c r="AQ3" s="985"/>
      <c r="AR3" s="87" t="s">
        <v>111</v>
      </c>
      <c r="AS3" s="87" t="s">
        <v>112</v>
      </c>
      <c r="AT3" s="87" t="s">
        <v>113</v>
      </c>
      <c r="AU3" s="87" t="s">
        <v>114</v>
      </c>
      <c r="AV3" s="87" t="s">
        <v>115</v>
      </c>
      <c r="AW3" s="87" t="s">
        <v>111</v>
      </c>
      <c r="AX3" s="87" t="s">
        <v>112</v>
      </c>
      <c r="AY3" s="87" t="s">
        <v>113</v>
      </c>
      <c r="AZ3" s="87" t="s">
        <v>114</v>
      </c>
      <c r="BA3" s="87" t="s">
        <v>115</v>
      </c>
      <c r="BB3" s="87" t="s">
        <v>67</v>
      </c>
      <c r="BC3" s="30"/>
      <c r="BD3" s="34"/>
      <c r="BE3" s="34"/>
      <c r="BF3" s="40"/>
      <c r="BG3" s="2"/>
      <c r="BH3" s="2"/>
      <c r="BI3" s="40"/>
      <c r="BJ3" s="2"/>
      <c r="BK3" s="2"/>
      <c r="BL3" s="2"/>
      <c r="BM3" s="40"/>
      <c r="BN3" s="958" t="s">
        <v>358</v>
      </c>
      <c r="BO3" s="959" t="s">
        <v>361</v>
      </c>
      <c r="BU3" s="1016"/>
      <c r="BV3" s="1015" t="s">
        <v>335</v>
      </c>
      <c r="BW3" s="1015"/>
      <c r="BX3" s="1014" t="s">
        <v>318</v>
      </c>
      <c r="BY3" s="1018">
        <v>7.5</v>
      </c>
      <c r="BZ3" s="1018" t="s">
        <v>320</v>
      </c>
    </row>
    <row r="4" spans="1:85" x14ac:dyDescent="0.25">
      <c r="A4" s="57" t="s">
        <v>52</v>
      </c>
      <c r="B4" s="32"/>
      <c r="C4" s="32"/>
      <c r="D4" s="54"/>
      <c r="E4" s="57" t="s">
        <v>50</v>
      </c>
      <c r="F4" s="56" t="s">
        <v>41</v>
      </c>
      <c r="G4" s="57" t="s">
        <v>50</v>
      </c>
      <c r="H4" s="56" t="s">
        <v>41</v>
      </c>
      <c r="I4" s="64" t="s">
        <v>50</v>
      </c>
      <c r="J4" s="56" t="s">
        <v>41</v>
      </c>
      <c r="K4" s="57" t="s">
        <v>50</v>
      </c>
      <c r="L4" s="56" t="s">
        <v>41</v>
      </c>
      <c r="M4" s="64" t="s">
        <v>40</v>
      </c>
      <c r="N4" s="56" t="s">
        <v>41</v>
      </c>
      <c r="O4" s="64" t="s">
        <v>40</v>
      </c>
      <c r="P4" s="56" t="s">
        <v>41</v>
      </c>
      <c r="Q4" s="64" t="s">
        <v>50</v>
      </c>
      <c r="R4" s="56" t="s">
        <v>41</v>
      </c>
      <c r="S4" s="1" t="s">
        <v>41</v>
      </c>
      <c r="T4" s="77"/>
      <c r="AH4" s="313"/>
      <c r="AI4" s="2" t="s">
        <v>96</v>
      </c>
      <c r="AJ4" s="985"/>
      <c r="AK4" s="954" t="s">
        <v>265</v>
      </c>
      <c r="AL4" s="954" t="s">
        <v>68</v>
      </c>
      <c r="AM4" s="954" t="s">
        <v>272</v>
      </c>
      <c r="AN4" s="954" t="s">
        <v>286</v>
      </c>
      <c r="AO4" s="954" t="s">
        <v>284</v>
      </c>
      <c r="AP4" s="954" t="s">
        <v>286</v>
      </c>
      <c r="AQ4" s="985"/>
      <c r="AR4" s="2" t="s">
        <v>68</v>
      </c>
      <c r="AS4" s="2" t="s">
        <v>68</v>
      </c>
      <c r="AT4" s="2" t="s">
        <v>68</v>
      </c>
      <c r="AU4" s="2" t="s">
        <v>68</v>
      </c>
      <c r="AV4" s="2" t="s">
        <v>68</v>
      </c>
      <c r="AW4" s="2" t="s">
        <v>69</v>
      </c>
      <c r="AX4" s="2" t="s">
        <v>69</v>
      </c>
      <c r="AY4" s="2" t="s">
        <v>69</v>
      </c>
      <c r="AZ4" s="2" t="s">
        <v>69</v>
      </c>
      <c r="BA4" s="2" t="s">
        <v>69</v>
      </c>
      <c r="BB4" s="87"/>
      <c r="BC4" s="33" t="s">
        <v>80</v>
      </c>
      <c r="BD4" s="34" t="s">
        <v>80</v>
      </c>
      <c r="BE4" s="34" t="s">
        <v>80</v>
      </c>
      <c r="BF4" s="40" t="s">
        <v>80</v>
      </c>
      <c r="BG4" s="2" t="s">
        <v>80</v>
      </c>
      <c r="BH4" s="2" t="s">
        <v>80</v>
      </c>
      <c r="BI4" s="40" t="s">
        <v>80</v>
      </c>
      <c r="BJ4" s="2" t="s">
        <v>80</v>
      </c>
      <c r="BK4" s="2" t="s">
        <v>80</v>
      </c>
      <c r="BL4" s="2" t="s">
        <v>80</v>
      </c>
      <c r="BM4" s="40" t="s">
        <v>80</v>
      </c>
      <c r="BN4" s="958"/>
      <c r="BO4" s="959"/>
      <c r="BV4" s="1021" t="s">
        <v>344</v>
      </c>
      <c r="BX4" s="1014" t="s">
        <v>319</v>
      </c>
      <c r="BY4" s="1018">
        <v>25</v>
      </c>
      <c r="BZ4" s="1018" t="s">
        <v>320</v>
      </c>
    </row>
    <row r="5" spans="1:85" x14ac:dyDescent="0.25">
      <c r="A5" s="53"/>
      <c r="B5" s="32"/>
      <c r="C5" s="32"/>
      <c r="D5" s="54"/>
      <c r="E5" s="53"/>
      <c r="F5" s="56"/>
      <c r="G5" s="53" t="s">
        <v>53</v>
      </c>
      <c r="H5" s="56"/>
      <c r="I5" s="53" t="s">
        <v>54</v>
      </c>
      <c r="J5" s="56"/>
      <c r="K5" s="63" t="s">
        <v>55</v>
      </c>
      <c r="L5" s="67"/>
      <c r="M5" s="65"/>
      <c r="N5" s="56"/>
      <c r="O5" s="65"/>
      <c r="P5" s="56"/>
      <c r="Q5" s="63" t="s">
        <v>43</v>
      </c>
      <c r="R5" s="56"/>
      <c r="S5" s="1"/>
      <c r="T5" s="77"/>
      <c r="AH5" s="313"/>
      <c r="AI5" s="2"/>
      <c r="AJ5" s="985"/>
      <c r="AK5" s="954"/>
      <c r="AL5" s="954"/>
      <c r="AM5" s="954"/>
      <c r="AN5" s="954"/>
      <c r="AO5" s="954"/>
      <c r="AP5" s="954"/>
      <c r="AQ5" s="985"/>
      <c r="AR5" s="2"/>
      <c r="AS5" s="2"/>
      <c r="AT5" s="2"/>
      <c r="AU5" s="2"/>
      <c r="AV5" s="2"/>
      <c r="AW5" s="2"/>
      <c r="AX5" s="2"/>
      <c r="AY5" s="2"/>
      <c r="AZ5" s="2"/>
      <c r="BA5" s="2"/>
      <c r="BB5" s="2"/>
      <c r="BC5" s="30"/>
      <c r="BD5" s="34"/>
      <c r="BE5" s="34"/>
      <c r="BF5" s="40"/>
      <c r="BG5" s="2"/>
      <c r="BH5" s="2"/>
      <c r="BI5" s="40"/>
      <c r="BJ5" s="2"/>
      <c r="BK5" s="2"/>
      <c r="BL5" s="2"/>
      <c r="BM5" s="40"/>
      <c r="BN5" s="958"/>
      <c r="BO5" s="959"/>
      <c r="BU5" s="1014" t="s">
        <v>330</v>
      </c>
      <c r="BV5" s="1018">
        <v>-10</v>
      </c>
      <c r="BX5" s="1014" t="s">
        <v>328</v>
      </c>
      <c r="BY5" s="1019">
        <v>10000000000</v>
      </c>
      <c r="BZ5" s="1018" t="s">
        <v>320</v>
      </c>
    </row>
    <row r="6" spans="1:85" x14ac:dyDescent="0.25">
      <c r="A6" s="53"/>
      <c r="B6" s="32"/>
      <c r="C6" s="32"/>
      <c r="D6" s="54"/>
      <c r="E6" s="53"/>
      <c r="F6" s="56"/>
      <c r="G6" s="53" t="s">
        <v>35</v>
      </c>
      <c r="H6" s="56"/>
      <c r="I6" s="53" t="s">
        <v>35</v>
      </c>
      <c r="J6" s="56"/>
      <c r="K6" s="63" t="s">
        <v>35</v>
      </c>
      <c r="L6" s="67"/>
      <c r="M6" s="65"/>
      <c r="N6" s="56"/>
      <c r="O6" s="65"/>
      <c r="P6" s="56"/>
      <c r="Q6" s="63" t="s">
        <v>44</v>
      </c>
      <c r="R6" s="56"/>
      <c r="S6" s="1"/>
      <c r="T6" s="77"/>
      <c r="AH6" s="313"/>
      <c r="AI6" s="2"/>
      <c r="AJ6" s="985"/>
      <c r="AK6" s="954"/>
      <c r="AL6" s="954"/>
      <c r="AM6" s="954"/>
      <c r="AN6" s="954"/>
      <c r="AO6" s="954"/>
      <c r="AP6" s="954"/>
      <c r="AQ6" s="985"/>
      <c r="AR6" s="2"/>
      <c r="AS6" s="2"/>
      <c r="AT6" s="2"/>
      <c r="AU6" s="2"/>
      <c r="AV6" s="2"/>
      <c r="AW6" s="2"/>
      <c r="AX6" s="2"/>
      <c r="AY6" s="2"/>
      <c r="AZ6" s="2"/>
      <c r="BA6" s="2"/>
      <c r="BB6" s="2"/>
      <c r="BC6" s="30"/>
      <c r="BD6" s="34"/>
      <c r="BE6" s="34"/>
      <c r="BF6" s="40"/>
      <c r="BG6" s="2"/>
      <c r="BH6" s="2"/>
      <c r="BI6" s="40"/>
      <c r="BJ6" s="2"/>
      <c r="BK6" s="2"/>
      <c r="BL6" s="2"/>
      <c r="BM6" s="40"/>
      <c r="BN6" s="958"/>
      <c r="BO6" s="959"/>
      <c r="BU6" s="1014" t="s">
        <v>342</v>
      </c>
      <c r="BV6" s="1018">
        <v>2087</v>
      </c>
      <c r="BX6" s="1014" t="s">
        <v>329</v>
      </c>
      <c r="BY6" s="1019">
        <v>10000000000</v>
      </c>
      <c r="BZ6" s="1018" t="s">
        <v>320</v>
      </c>
    </row>
    <row r="7" spans="1:85" x14ac:dyDescent="0.25">
      <c r="A7" s="53"/>
      <c r="B7" s="32"/>
      <c r="C7" s="32"/>
      <c r="D7" s="54"/>
      <c r="E7" s="53"/>
      <c r="F7" s="56"/>
      <c r="G7" s="53"/>
      <c r="H7" s="56"/>
      <c r="I7" s="53"/>
      <c r="J7" s="56"/>
      <c r="K7" s="63"/>
      <c r="L7" s="67"/>
      <c r="M7" s="65"/>
      <c r="N7" s="56"/>
      <c r="O7" s="65"/>
      <c r="P7" s="56"/>
      <c r="Q7" s="65" t="s">
        <v>45</v>
      </c>
      <c r="R7" s="56"/>
      <c r="S7" s="1"/>
      <c r="T7" s="77"/>
      <c r="AH7" s="313"/>
      <c r="AI7" s="2"/>
      <c r="AJ7" s="985"/>
      <c r="AK7" s="954"/>
      <c r="AL7" s="954"/>
      <c r="AM7" s="954"/>
      <c r="AN7" s="954"/>
      <c r="AO7" s="954"/>
      <c r="AP7" s="954"/>
      <c r="AQ7" s="985"/>
      <c r="AR7" s="2"/>
      <c r="AS7" s="2"/>
      <c r="AT7" s="2"/>
      <c r="AU7" s="2"/>
      <c r="AV7" s="2"/>
      <c r="AW7" s="2"/>
      <c r="AX7" s="2"/>
      <c r="AY7" s="2"/>
      <c r="AZ7" s="2"/>
      <c r="BA7" s="2"/>
      <c r="BB7" s="2"/>
      <c r="BC7" s="30"/>
      <c r="BD7" s="34"/>
      <c r="BE7" s="34"/>
      <c r="BF7" s="40"/>
      <c r="BG7" s="2"/>
      <c r="BH7" s="2"/>
      <c r="BI7" s="40"/>
      <c r="BJ7" s="2"/>
      <c r="BK7" s="2"/>
      <c r="BL7" s="2"/>
      <c r="BM7" s="40"/>
      <c r="BN7" s="958"/>
      <c r="BO7" s="959"/>
      <c r="BU7" s="1014" t="s">
        <v>347</v>
      </c>
      <c r="BV7" s="1018">
        <v>6.4</v>
      </c>
      <c r="BX7" s="1014" t="s">
        <v>331</v>
      </c>
      <c r="BY7" s="1018">
        <v>20</v>
      </c>
      <c r="BZ7" s="1018" t="s">
        <v>284</v>
      </c>
    </row>
    <row r="8" spans="1:85" x14ac:dyDescent="0.25">
      <c r="A8" s="53"/>
      <c r="B8" s="32"/>
      <c r="C8" s="32"/>
      <c r="D8" s="54"/>
      <c r="E8" s="53"/>
      <c r="F8" s="56"/>
      <c r="G8" s="53"/>
      <c r="H8" s="56"/>
      <c r="I8" s="53"/>
      <c r="J8" s="56"/>
      <c r="K8" s="63" t="s">
        <v>36</v>
      </c>
      <c r="L8" s="67"/>
      <c r="M8" s="65"/>
      <c r="N8" s="56"/>
      <c r="O8" s="65"/>
      <c r="P8" s="56"/>
      <c r="Q8" s="65"/>
      <c r="R8" s="56"/>
      <c r="S8" s="1"/>
      <c r="T8" s="77"/>
      <c r="AH8" s="313"/>
      <c r="AI8" s="2"/>
      <c r="AJ8" s="985"/>
      <c r="AK8" s="954"/>
      <c r="AL8" s="954"/>
      <c r="AM8" s="954"/>
      <c r="AN8" s="954"/>
      <c r="AO8" s="954"/>
      <c r="AP8" s="954"/>
      <c r="AQ8" s="985"/>
      <c r="AR8" s="2"/>
      <c r="AS8" s="2"/>
      <c r="AT8" s="2"/>
      <c r="AU8" s="2"/>
      <c r="AV8" s="2"/>
      <c r="AW8" s="2"/>
      <c r="AX8" s="2"/>
      <c r="AY8" s="2"/>
      <c r="AZ8" s="2"/>
      <c r="BA8" s="2"/>
      <c r="BB8" s="2"/>
      <c r="BC8" s="30"/>
      <c r="BD8" s="34"/>
      <c r="BE8" s="34"/>
      <c r="BF8" s="40"/>
      <c r="BG8" s="2"/>
      <c r="BH8" s="2"/>
      <c r="BI8" s="40"/>
      <c r="BJ8" s="2"/>
      <c r="BK8" s="2"/>
      <c r="BL8" s="2"/>
      <c r="BM8" s="40"/>
      <c r="BN8" s="958"/>
      <c r="BO8" s="959"/>
      <c r="BU8" s="1014" t="s">
        <v>343</v>
      </c>
      <c r="BV8" s="1018">
        <v>242</v>
      </c>
      <c r="BX8" s="1014" t="s">
        <v>332</v>
      </c>
      <c r="BY8" s="1018">
        <v>2</v>
      </c>
      <c r="BZ8" s="1018" t="s">
        <v>284</v>
      </c>
    </row>
    <row r="9" spans="1:85" x14ac:dyDescent="0.25">
      <c r="A9" s="53"/>
      <c r="B9" s="32"/>
      <c r="C9" s="32"/>
      <c r="D9" s="54"/>
      <c r="E9" s="53"/>
      <c r="F9" s="56"/>
      <c r="G9" s="53"/>
      <c r="H9" s="56"/>
      <c r="I9" s="53"/>
      <c r="J9" s="56"/>
      <c r="K9" s="63" t="s">
        <v>37</v>
      </c>
      <c r="L9" s="67"/>
      <c r="M9" s="65"/>
      <c r="N9" s="56"/>
      <c r="O9" s="65"/>
      <c r="P9" s="56"/>
      <c r="Q9" s="63" t="s">
        <v>46</v>
      </c>
      <c r="R9" s="56"/>
      <c r="S9" s="1"/>
      <c r="T9" s="77"/>
      <c r="AH9" s="313"/>
      <c r="AI9" s="2"/>
      <c r="AJ9" s="985"/>
      <c r="AK9" s="954"/>
      <c r="AL9" s="954"/>
      <c r="AM9" s="954"/>
      <c r="AN9" s="954"/>
      <c r="AO9" s="954"/>
      <c r="AP9" s="954"/>
      <c r="AQ9" s="985"/>
      <c r="AR9" s="2"/>
      <c r="AS9" s="2"/>
      <c r="AT9" s="2"/>
      <c r="AU9" s="2"/>
      <c r="AV9" s="2"/>
      <c r="AW9" s="2"/>
      <c r="AX9" s="2"/>
      <c r="AY9" s="2"/>
      <c r="AZ9" s="2"/>
      <c r="BA9" s="2"/>
      <c r="BB9" s="2"/>
      <c r="BC9" s="30"/>
      <c r="BD9" s="34"/>
      <c r="BE9" s="34"/>
      <c r="BF9" s="40"/>
      <c r="BG9" s="2"/>
      <c r="BH9" s="2"/>
      <c r="BI9" s="40"/>
      <c r="BJ9" s="2"/>
      <c r="BK9" s="2"/>
      <c r="BL9" s="2"/>
      <c r="BM9" s="40"/>
      <c r="BN9" s="958"/>
      <c r="BO9" s="959"/>
      <c r="BX9" s="1014" t="s">
        <v>333</v>
      </c>
      <c r="BY9" s="1018">
        <v>3</v>
      </c>
      <c r="BZ9" s="1018" t="s">
        <v>334</v>
      </c>
    </row>
    <row r="10" spans="1:85" x14ac:dyDescent="0.25">
      <c r="A10" s="53"/>
      <c r="B10" s="32"/>
      <c r="C10" s="32"/>
      <c r="D10" s="54"/>
      <c r="E10" s="53"/>
      <c r="F10" s="56"/>
      <c r="G10" s="53"/>
      <c r="H10" s="56"/>
      <c r="I10" s="53"/>
      <c r="J10" s="56"/>
      <c r="K10" s="63" t="s">
        <v>39</v>
      </c>
      <c r="L10" s="67"/>
      <c r="M10" s="65"/>
      <c r="N10" s="56"/>
      <c r="O10" s="65"/>
      <c r="P10" s="56"/>
      <c r="Q10" s="65"/>
      <c r="R10" s="56"/>
      <c r="S10" s="1"/>
      <c r="T10" s="77"/>
      <c r="AH10" s="313"/>
      <c r="AI10" s="2"/>
      <c r="AJ10" s="985"/>
      <c r="AK10" s="954"/>
      <c r="AL10" s="954"/>
      <c r="AM10" s="954"/>
      <c r="AN10" s="954"/>
      <c r="AO10" s="954"/>
      <c r="AP10" s="954"/>
      <c r="AQ10" s="985"/>
      <c r="AR10" s="2"/>
      <c r="AS10" s="2"/>
      <c r="AT10" s="2"/>
      <c r="AU10" s="2"/>
      <c r="AV10" s="2"/>
      <c r="AW10" s="2"/>
      <c r="AX10" s="2"/>
      <c r="AY10" s="2"/>
      <c r="AZ10" s="2"/>
      <c r="BA10" s="2"/>
      <c r="BB10" s="2"/>
      <c r="BC10" s="30"/>
      <c r="BD10" s="34"/>
      <c r="BE10" s="34"/>
      <c r="BF10" s="40"/>
      <c r="BG10" s="2"/>
      <c r="BH10" s="2"/>
      <c r="BI10" s="40"/>
      <c r="BJ10" s="2"/>
      <c r="BK10" s="2"/>
      <c r="BL10" s="2"/>
      <c r="BM10" s="40"/>
      <c r="BN10" s="958"/>
      <c r="BO10" s="959"/>
      <c r="BX10" s="1014" t="s">
        <v>341</v>
      </c>
      <c r="BY10" s="1016">
        <f>BY7-BY8-BY9</f>
        <v>15</v>
      </c>
      <c r="BZ10" s="1018" t="s">
        <v>334</v>
      </c>
    </row>
    <row r="11" spans="1:85" ht="15.75" thickBot="1" x14ac:dyDescent="0.3">
      <c r="A11" s="59"/>
      <c r="B11" s="60"/>
      <c r="C11" s="60"/>
      <c r="D11" s="61"/>
      <c r="E11" s="59"/>
      <c r="F11" s="62"/>
      <c r="G11" s="59"/>
      <c r="H11" s="62"/>
      <c r="I11" s="59"/>
      <c r="J11" s="62"/>
      <c r="K11" s="68" t="s">
        <v>38</v>
      </c>
      <c r="L11" s="69"/>
      <c r="M11" s="66"/>
      <c r="N11" s="62"/>
      <c r="O11" s="66"/>
      <c r="P11" s="62"/>
      <c r="Q11" s="66"/>
      <c r="R11" s="62"/>
      <c r="S11" s="1"/>
      <c r="T11" s="77"/>
      <c r="AH11" s="313"/>
      <c r="AI11" s="2"/>
      <c r="AJ11" s="985"/>
      <c r="AK11" s="954"/>
      <c r="AL11" s="954"/>
      <c r="AM11" s="954"/>
      <c r="AN11" s="954"/>
      <c r="AO11" s="954"/>
      <c r="AP11" s="954"/>
      <c r="AQ11" s="985"/>
      <c r="AR11" s="2"/>
      <c r="AS11" s="2"/>
      <c r="AT11" s="2"/>
      <c r="AU11" s="2"/>
      <c r="AV11" s="2"/>
      <c r="AW11" s="2"/>
      <c r="AX11" s="2"/>
      <c r="AY11" s="2"/>
      <c r="AZ11" s="2"/>
      <c r="BA11" s="2"/>
      <c r="BB11" s="2"/>
      <c r="BC11" s="30"/>
      <c r="BD11" s="34"/>
      <c r="BE11" s="34"/>
      <c r="BF11" s="40"/>
      <c r="BG11" s="2"/>
      <c r="BH11" s="2"/>
      <c r="BI11" s="40"/>
      <c r="BJ11" s="2"/>
      <c r="BK11" s="2"/>
      <c r="BL11" s="2"/>
      <c r="BM11" s="40"/>
      <c r="BN11" s="958"/>
      <c r="BO11" s="959"/>
      <c r="BX11" s="1014" t="s">
        <v>345</v>
      </c>
      <c r="BY11" s="926">
        <v>0.8</v>
      </c>
      <c r="BZ11" s="1018" t="s">
        <v>346</v>
      </c>
    </row>
    <row r="12" spans="1:85" s="20" customFormat="1" x14ac:dyDescent="0.25">
      <c r="D12" s="21"/>
      <c r="F12" s="21"/>
      <c r="H12" s="21"/>
      <c r="J12" s="21"/>
      <c r="K12" s="21"/>
      <c r="L12" s="21"/>
      <c r="M12" s="21"/>
      <c r="N12" s="21"/>
      <c r="O12" s="21"/>
      <c r="P12" s="21"/>
      <c r="Q12" s="21"/>
      <c r="R12" s="21"/>
      <c r="S12" s="21"/>
      <c r="T12" s="78"/>
      <c r="U12" s="272"/>
      <c r="V12" s="291"/>
      <c r="W12" s="291"/>
      <c r="X12" s="291"/>
      <c r="Y12" s="233"/>
      <c r="Z12" s="291"/>
      <c r="AA12" s="291"/>
      <c r="AB12" s="291"/>
      <c r="AC12" s="291"/>
      <c r="AD12" s="233"/>
      <c r="AE12" s="291"/>
      <c r="AF12" s="291"/>
      <c r="AG12" s="233"/>
      <c r="AH12" s="313"/>
      <c r="AI12" s="43"/>
      <c r="AJ12" s="985"/>
      <c r="AK12" s="43"/>
      <c r="AL12" s="43"/>
      <c r="AM12" s="43"/>
      <c r="AN12" s="43"/>
      <c r="AO12" s="43"/>
      <c r="AP12" s="43"/>
      <c r="AQ12" s="985"/>
      <c r="AR12" s="43"/>
      <c r="AS12" s="43"/>
      <c r="AT12" s="43"/>
      <c r="AU12" s="43"/>
      <c r="AV12" s="43"/>
      <c r="AW12" s="43"/>
      <c r="AX12" s="43"/>
      <c r="AY12" s="43"/>
      <c r="AZ12" s="43"/>
      <c r="BA12" s="43"/>
      <c r="BB12" s="43"/>
      <c r="BC12" s="44"/>
      <c r="BD12" s="233"/>
      <c r="BE12" s="233"/>
      <c r="BF12" s="48"/>
      <c r="BG12" s="43"/>
      <c r="BH12" s="43"/>
      <c r="BI12" s="48"/>
      <c r="BJ12" s="43"/>
      <c r="BK12" s="43"/>
      <c r="BL12" s="43"/>
      <c r="BM12" s="48"/>
      <c r="BN12" s="233"/>
      <c r="BO12" s="48"/>
    </row>
    <row r="13" spans="1:85" x14ac:dyDescent="0.25">
      <c r="A13" s="336"/>
      <c r="B13" s="336"/>
      <c r="C13" s="336"/>
      <c r="D13" s="337"/>
      <c r="E13" s="336"/>
      <c r="F13" s="337"/>
      <c r="G13" s="336"/>
      <c r="H13" s="337"/>
      <c r="I13" s="336"/>
      <c r="J13" s="337"/>
      <c r="K13" s="337"/>
      <c r="L13" s="337"/>
      <c r="M13" s="337"/>
      <c r="N13" s="337"/>
      <c r="O13" s="337"/>
      <c r="P13" s="337"/>
      <c r="Q13" s="337" t="s">
        <v>16</v>
      </c>
      <c r="R13" s="339">
        <v>0.73860000000000003</v>
      </c>
      <c r="S13" s="337"/>
      <c r="T13" s="347">
        <v>8.3847492457750426E-4</v>
      </c>
      <c r="V13" s="176">
        <f>T13</f>
        <v>8.3847492457750426E-4</v>
      </c>
      <c r="W13" s="176">
        <f>V13</f>
        <v>8.3847492457750426E-4</v>
      </c>
      <c r="X13" s="176">
        <f>W13</f>
        <v>8.3847492457750426E-4</v>
      </c>
      <c r="Y13" s="34">
        <f>X13/Calculation_sheet!M$67</f>
        <v>8.3849206839523168E-4</v>
      </c>
      <c r="Z13" s="176">
        <f ca="1">IF(AN13&gt;0,Y13*Calculation_sheet!C$87,0)</f>
        <v>0</v>
      </c>
      <c r="AA13" s="176">
        <f t="shared" ref="AA13:AA23" ca="1" si="0">Y13-Z13</f>
        <v>8.3849206839523168E-4</v>
      </c>
      <c r="AB13" s="176">
        <f ca="1">IF(AP13&gt;0,AA13*Calculation_sheet!C$94,0)</f>
        <v>0</v>
      </c>
      <c r="AC13" s="176">
        <f t="shared" ref="AC13:AE23" ca="1" si="1">AA13-AB13</f>
        <v>8.3849206839523168E-4</v>
      </c>
      <c r="AD13" s="958">
        <f ca="1">AC13*Calculation_sheet!C$99</f>
        <v>5.0309524103713899E-4</v>
      </c>
      <c r="AE13" s="176">
        <f t="shared" ca="1" si="1"/>
        <v>3.3539682735809269E-4</v>
      </c>
      <c r="AF13" s="176">
        <f ca="1">Y13-AB13</f>
        <v>8.3849206839523168E-4</v>
      </c>
      <c r="AG13" s="958">
        <f ca="1">AF13*User_sheet!B$77/100</f>
        <v>0</v>
      </c>
      <c r="AH13" s="313"/>
      <c r="AI13" s="883">
        <v>101</v>
      </c>
      <c r="AJ13" s="985"/>
      <c r="AK13" s="954">
        <f ca="1">CD13</f>
        <v>222.20476743892786</v>
      </c>
      <c r="AL13" s="954">
        <f ca="1">AK13/'101'!I$24</f>
        <v>0.62979628120556086</v>
      </c>
      <c r="AM13" s="954">
        <f ca="1">0.8*(AK13*30+'101'!D$17*0.34*30*1)</f>
        <v>9058.3852665342692</v>
      </c>
      <c r="AN13" s="954">
        <f ca="1">IF(AM13&lt;User_sheet!B$50,Y13,0)</f>
        <v>8.3849206839523168E-4</v>
      </c>
      <c r="AO13" s="954">
        <f ca="1">20-(User_sheet!B$57/('Freestanding '!AK13+'101'!D$17*1*0.34))</f>
        <v>4.8979706675316113</v>
      </c>
      <c r="AP13" s="954">
        <f ca="1">IF(AO13&lt;User_sheet!B$59,0,BC13*AA13)</f>
        <v>0</v>
      </c>
      <c r="AQ13" s="985"/>
      <c r="AR13" s="883">
        <v>0.48</v>
      </c>
      <c r="AS13" s="883">
        <v>0.66</v>
      </c>
      <c r="AT13" s="883">
        <v>0.89</v>
      </c>
      <c r="AU13" s="883">
        <v>2.75</v>
      </c>
      <c r="AV13" s="883">
        <v>3.3</v>
      </c>
      <c r="AW13" s="883">
        <v>10916.451096266603</v>
      </c>
      <c r="AX13" s="883">
        <v>68297.998190252794</v>
      </c>
      <c r="AY13" s="883">
        <v>79015.992973719694</v>
      </c>
      <c r="AZ13" s="883">
        <v>0</v>
      </c>
      <c r="BA13" s="883">
        <v>0</v>
      </c>
      <c r="BB13" s="883">
        <v>0.6</v>
      </c>
      <c r="BC13" s="888">
        <v>1</v>
      </c>
      <c r="BD13" s="889">
        <v>0</v>
      </c>
      <c r="BE13" s="889">
        <v>0</v>
      </c>
      <c r="BF13" s="890">
        <v>0</v>
      </c>
      <c r="BG13" s="889">
        <v>1</v>
      </c>
      <c r="BH13" s="889">
        <v>0</v>
      </c>
      <c r="BI13" s="890">
        <v>0</v>
      </c>
      <c r="BJ13" s="889">
        <v>1</v>
      </c>
      <c r="BK13" s="889">
        <v>0</v>
      </c>
      <c r="BL13" s="889">
        <v>0</v>
      </c>
      <c r="BM13" s="890">
        <v>0</v>
      </c>
      <c r="BN13" s="958">
        <v>7.0000000000000007E-2</v>
      </c>
      <c r="BO13" s="959">
        <v>6</v>
      </c>
      <c r="BP13" s="1018">
        <f t="shared" ref="BP13:BP23" ca="1" si="2">INDIRECT("'"&amp;AI13&amp;"'!"&amp;"B2")</f>
        <v>181.084</v>
      </c>
      <c r="BQ13" s="1018">
        <f t="shared" ref="BQ13:BQ23" ca="1" si="3">INDIRECT("'"&amp;AI13&amp;"'!"&amp;"C12")+INDIRECT("'"&amp;AI13&amp;"'!"&amp;"C13")+INDIRECT("'"&amp;AI13&amp;"'!"&amp;"C14")+INDIRECT("'"&amp;AI13&amp;"'!"&amp;"C15")+INDIRECT("'"&amp;AI13&amp;"'!"&amp;"C17")</f>
        <v>302.464</v>
      </c>
      <c r="BR13" s="1018">
        <f t="shared" ref="BR13:BR23" ca="1" si="4">INDIRECT("'"&amp;AI13&amp;"'!"&amp;"G5")</f>
        <v>104.854</v>
      </c>
      <c r="BS13" s="1018">
        <f t="shared" ref="BS13:BS23" ca="1" si="5">INDIRECT("'"&amp;AI13&amp;"'!"&amp;"G4")</f>
        <v>129.21406907627619</v>
      </c>
      <c r="BT13" s="1018">
        <f t="shared" ref="BT13:BT23" ca="1" si="6">INDIRECT("'"&amp;AI13&amp;"'!"&amp;"G6")</f>
        <v>104.86</v>
      </c>
      <c r="BU13" s="1018">
        <f t="shared" ref="BU13:BU23" ca="1" si="7">INDIRECT("'"&amp;AI13&amp;"'!"&amp;"G2")</f>
        <v>14</v>
      </c>
      <c r="BV13" s="1018">
        <f t="shared" ref="BV13:BV23" ca="1" si="8">INDIRECT("'"&amp;AI13&amp;"'!"&amp;"G3")</f>
        <v>4.3</v>
      </c>
      <c r="BW13" s="1018">
        <v>0</v>
      </c>
      <c r="BX13" s="1018">
        <f t="shared" ref="BX13:BX23" ca="1" si="9">IF(BR13=0,0,1/(1/(BR13*$BY$3)+1/(BR13*AR13)+1/(BR13*$BY$4)))</f>
        <v>46.46410635155096</v>
      </c>
      <c r="BY13" s="1018">
        <f ca="1">IF(BS13=0,0,1/(1/(BS13*$BY$3)+1/(BS13*AS13)+1/(BS13*$BY$4)))</f>
        <v>76.52663818228848</v>
      </c>
      <c r="BZ13" s="1018">
        <f ca="1">IF(BT13=0,0,1/(1/(BT13*$BY$3)+1/(BT13*AT13)+1/(BT13*$BY$4)))*0.33</f>
        <v>26.681340533672177</v>
      </c>
      <c r="CA13" s="1018">
        <f ca="1">IF(BU13=0,0,1/(1/(BU13*$BY$5)+1/(BU13*AU13)+1/(BU13*$BY$6)))</f>
        <v>38.499999978825002</v>
      </c>
      <c r="CB13" s="1018">
        <f t="shared" ref="CB13:CB23" ca="1" si="10">IF(BV13=0,0,1/(1/(BV13*$BY$3)+1/(BV13*AV13)+1/(BV13*$BY$4)))</f>
        <v>9.0267175572519083</v>
      </c>
      <c r="CC13" s="1018">
        <f>0.67*IF(BW13=0,0,1/(1/(BW13*$BY$3)+1/(BW13*AS13)+1/(BW13*$BY$4)))</f>
        <v>0</v>
      </c>
      <c r="CD13" s="1018">
        <f ca="1">SUM(BX13:CC13)+(BR13+BS13+BT13+BU13+BV13)*BN13</f>
        <v>222.20476743892786</v>
      </c>
      <c r="CE13" s="1018">
        <f ca="1">0.34*BO13*(1/25)^0.66*(BR13+BS13+BU13+BV13)</f>
        <v>61.521110550810938</v>
      </c>
      <c r="CF13" s="1018">
        <f ca="1">(CD13+CE13)*($BY$7-$BV$5)/1000</f>
        <v>8.5117763396921653</v>
      </c>
      <c r="CG13" s="1018">
        <f ca="1">$BV$8*(CD13+CE13)*($BY$10-$BV$7)*24/1000</f>
        <v>14171.767134533868</v>
      </c>
    </row>
    <row r="14" spans="1:85" x14ac:dyDescent="0.25">
      <c r="A14" s="336"/>
      <c r="B14" s="336"/>
      <c r="C14" s="336"/>
      <c r="D14" s="337"/>
      <c r="E14" s="336"/>
      <c r="F14" s="337"/>
      <c r="G14" s="336"/>
      <c r="H14" s="337"/>
      <c r="I14" s="336"/>
      <c r="J14" s="337"/>
      <c r="K14" s="337"/>
      <c r="L14" s="337"/>
      <c r="M14" s="337"/>
      <c r="N14" s="337"/>
      <c r="O14" s="337" t="s">
        <v>18</v>
      </c>
      <c r="P14" s="339">
        <v>0.62953995200000001</v>
      </c>
      <c r="Q14" s="337" t="s">
        <v>7</v>
      </c>
      <c r="R14" s="339">
        <v>0.26140000000000002</v>
      </c>
      <c r="S14" s="337"/>
      <c r="T14" s="347">
        <v>2.9674701500752727E-4</v>
      </c>
      <c r="V14" s="176">
        <f t="shared" ref="V14:V95" si="11">T14</f>
        <v>2.9674701500752727E-4</v>
      </c>
      <c r="W14" s="176">
        <f t="shared" ref="W14:W23" si="12">V14</f>
        <v>2.9674701500752727E-4</v>
      </c>
      <c r="X14" s="176">
        <f t="shared" ref="X14:X23" si="13">W14</f>
        <v>2.9674701500752727E-4</v>
      </c>
      <c r="Y14" s="34">
        <f>X14/Calculation_sheet!M$67</f>
        <v>2.9675308242419927E-4</v>
      </c>
      <c r="Z14" s="176">
        <f ca="1">IF(AN14&gt;0,Y14*Calculation_sheet!C$87,0)</f>
        <v>0</v>
      </c>
      <c r="AA14" s="176">
        <f t="shared" ca="1" si="0"/>
        <v>2.9675308242419927E-4</v>
      </c>
      <c r="AB14" s="176">
        <f ca="1">IF(AP14&gt;0,AA14*Calculation_sheet!C$94,0)</f>
        <v>0</v>
      </c>
      <c r="AC14" s="176">
        <f t="shared" ca="1" si="1"/>
        <v>2.9675308242419927E-4</v>
      </c>
      <c r="AD14" s="958">
        <f ca="1">AC14*Calculation_sheet!C$99</f>
        <v>1.7805184945451956E-4</v>
      </c>
      <c r="AE14" s="176">
        <f t="shared" ca="1" si="1"/>
        <v>1.1870123296967971E-4</v>
      </c>
      <c r="AF14" s="176">
        <f t="shared" ref="AF14:AF23" ca="1" si="14">Y14-AB14</f>
        <v>2.9675308242419927E-4</v>
      </c>
      <c r="AG14" s="958">
        <f ca="1">AF14*User_sheet!B$77/100</f>
        <v>0</v>
      </c>
      <c r="AH14" s="313"/>
      <c r="AI14" s="883">
        <v>101</v>
      </c>
      <c r="AJ14" s="985"/>
      <c r="AK14" s="1020">
        <f t="shared" ref="AK14:AK77" ca="1" si="15">CD14</f>
        <v>222.20476743892786</v>
      </c>
      <c r="AL14" s="954">
        <f ca="1">AK14/'101'!I$24</f>
        <v>0.62979628120556086</v>
      </c>
      <c r="AM14" s="954">
        <f ca="1">0.8*(AK14*30+'101'!D$17*0.34*30*1)</f>
        <v>9058.3852665342692</v>
      </c>
      <c r="AN14" s="954">
        <f ca="1">IF(AM14&lt;User_sheet!B$50,Y14,0)</f>
        <v>2.9675308242419927E-4</v>
      </c>
      <c r="AO14" s="954">
        <f ca="1">20-(User_sheet!B$57/('Freestanding '!AK14+'101'!D$17*1*0.34))</f>
        <v>4.8979706675316113</v>
      </c>
      <c r="AP14" s="954">
        <f ca="1">IF(AO14&lt;User_sheet!B$59,0,BC14*AA14)</f>
        <v>0</v>
      </c>
      <c r="AQ14" s="985"/>
      <c r="AR14" s="883">
        <v>0.48</v>
      </c>
      <c r="AS14" s="883">
        <v>0.66</v>
      </c>
      <c r="AT14" s="883">
        <v>0.89</v>
      </c>
      <c r="AU14" s="883">
        <v>2.75</v>
      </c>
      <c r="AV14" s="883">
        <v>3.3</v>
      </c>
      <c r="AW14" s="883">
        <v>10916.451096266603</v>
      </c>
      <c r="AX14" s="883">
        <v>68297.998190252794</v>
      </c>
      <c r="AY14" s="883">
        <v>79015.992973719694</v>
      </c>
      <c r="AZ14" s="883">
        <v>0</v>
      </c>
      <c r="BA14" s="883">
        <v>0</v>
      </c>
      <c r="BB14" s="883">
        <v>0.6</v>
      </c>
      <c r="BC14" s="888">
        <v>1</v>
      </c>
      <c r="BD14" s="889">
        <v>0</v>
      </c>
      <c r="BE14" s="889">
        <v>0</v>
      </c>
      <c r="BF14" s="890">
        <v>0</v>
      </c>
      <c r="BG14" s="889">
        <v>1</v>
      </c>
      <c r="BH14" s="889">
        <v>0</v>
      </c>
      <c r="BI14" s="890">
        <v>0</v>
      </c>
      <c r="BJ14" s="889">
        <v>0</v>
      </c>
      <c r="BK14" s="889">
        <v>0</v>
      </c>
      <c r="BL14" s="889">
        <v>1</v>
      </c>
      <c r="BM14" s="890">
        <v>0</v>
      </c>
      <c r="BN14" s="958">
        <v>7.0000000000000007E-2</v>
      </c>
      <c r="BO14" s="959">
        <v>6</v>
      </c>
      <c r="BP14" s="1018">
        <f t="shared" ca="1" si="2"/>
        <v>181.084</v>
      </c>
      <c r="BQ14" s="1018">
        <f t="shared" ca="1" si="3"/>
        <v>302.464</v>
      </c>
      <c r="BR14" s="1018">
        <f t="shared" ca="1" si="4"/>
        <v>104.854</v>
      </c>
      <c r="BS14" s="1018">
        <f t="shared" ca="1" si="5"/>
        <v>129.21406907627619</v>
      </c>
      <c r="BT14" s="1018">
        <f t="shared" ca="1" si="6"/>
        <v>104.86</v>
      </c>
      <c r="BU14" s="1018">
        <f t="shared" ca="1" si="7"/>
        <v>14</v>
      </c>
      <c r="BV14" s="1018">
        <f t="shared" ca="1" si="8"/>
        <v>4.3</v>
      </c>
      <c r="BW14" s="1018">
        <v>0</v>
      </c>
      <c r="BX14" s="1018">
        <f t="shared" ca="1" si="9"/>
        <v>46.46410635155096</v>
      </c>
      <c r="BY14" s="1018">
        <f t="shared" ref="BY14:BY23" ca="1" si="16">IF(BS14=0,0,1/(1/(BS14*$BY$3)+1/(BS14*AS14)+1/(BS14*$BY$4)))</f>
        <v>76.52663818228848</v>
      </c>
      <c r="BZ14" s="1018">
        <f t="shared" ref="BZ14:BZ77" ca="1" si="17">IF(BT14=0,0,1/(1/(BT14*$BY$3)+1/(BT14*AT14)+1/(BT14*$BY$4)))*0.33</f>
        <v>26.681340533672177</v>
      </c>
      <c r="CA14" s="1018">
        <f t="shared" ref="CA14:CA77" ca="1" si="18">IF(BU14=0,0,1/(1/(BU14*$BY$5)+1/(BU14*AU14)+1/(BU14*$BY$6)))</f>
        <v>38.499999978825002</v>
      </c>
      <c r="CB14" s="1018">
        <f t="shared" ca="1" si="10"/>
        <v>9.0267175572519083</v>
      </c>
      <c r="CC14" s="1018">
        <f t="shared" ref="CC14:CC77" si="19">0.67*IF(BW14=0,0,1/(1/(BW14*$BY$3)+1/(BW14*AS14)+1/(BW14*$BY$4)))</f>
        <v>0</v>
      </c>
      <c r="CD14" s="1018">
        <f t="shared" ref="CD14:CD23" ca="1" si="20">SUM(BX14:CC14)+(BR14+BS14+BT14+BU14+BV14)*BN14</f>
        <v>222.20476743892786</v>
      </c>
      <c r="CE14" s="1018">
        <f t="shared" ref="CE14:CE23" ca="1" si="21">0.34*BO14*(1/25)^0.66*(BR14+BS14+BU14+BV14)</f>
        <v>61.521110550810938</v>
      </c>
      <c r="CF14" s="1018">
        <f t="shared" ref="CF14:CF77" ca="1" si="22">(CD14+CE14)*($BY$7-$BV$5)/1000</f>
        <v>8.5117763396921653</v>
      </c>
      <c r="CG14" s="1018">
        <f t="shared" ref="CG14:CG77" ca="1" si="23">$BV$8*(CD14+CE14)*($BY$10-$BV$7)*24/1000</f>
        <v>14171.767134533868</v>
      </c>
    </row>
    <row r="15" spans="1:85" x14ac:dyDescent="0.25">
      <c r="A15" s="336"/>
      <c r="B15" s="336"/>
      <c r="C15" s="336"/>
      <c r="D15" s="337"/>
      <c r="E15" s="336"/>
      <c r="F15" s="337"/>
      <c r="G15" s="336"/>
      <c r="H15" s="337"/>
      <c r="I15" s="336"/>
      <c r="J15" s="337"/>
      <c r="K15" s="337"/>
      <c r="L15" s="337"/>
      <c r="M15" s="337"/>
      <c r="N15" s="337"/>
      <c r="O15" s="337"/>
      <c r="P15" s="337"/>
      <c r="Q15" s="337" t="s">
        <v>16</v>
      </c>
      <c r="R15" s="339">
        <v>0.73860000000000003</v>
      </c>
      <c r="S15" s="337"/>
      <c r="T15" s="347">
        <v>4.9341024317671673E-4</v>
      </c>
      <c r="V15" s="176">
        <f t="shared" si="11"/>
        <v>4.9341024317671673E-4</v>
      </c>
      <c r="W15" s="176">
        <f t="shared" si="12"/>
        <v>4.9341024317671673E-4</v>
      </c>
      <c r="X15" s="176">
        <f t="shared" si="13"/>
        <v>4.9341024317671673E-4</v>
      </c>
      <c r="Y15" s="34">
        <f>X15/Calculation_sheet!M$67</f>
        <v>4.9342033165405324E-4</v>
      </c>
      <c r="Z15" s="176">
        <f ca="1">IF(AN15&gt;0,Y15*Calculation_sheet!C$87,0)</f>
        <v>0</v>
      </c>
      <c r="AA15" s="176">
        <f t="shared" ca="1" si="0"/>
        <v>4.9342033165405324E-4</v>
      </c>
      <c r="AB15" s="176">
        <f ca="1">IF(AP15&gt;0,AA15*Calculation_sheet!C$94,0)</f>
        <v>0</v>
      </c>
      <c r="AC15" s="176">
        <f t="shared" ca="1" si="1"/>
        <v>4.9342033165405324E-4</v>
      </c>
      <c r="AD15" s="958">
        <f ca="1">AC15*Calculation_sheet!C$99</f>
        <v>2.9605219899243195E-4</v>
      </c>
      <c r="AE15" s="176">
        <f t="shared" ca="1" si="1"/>
        <v>1.9736813266162128E-4</v>
      </c>
      <c r="AF15" s="176">
        <f t="shared" ca="1" si="14"/>
        <v>4.9342033165405324E-4</v>
      </c>
      <c r="AG15" s="958">
        <f ca="1">AF15*User_sheet!B$77/100</f>
        <v>0</v>
      </c>
      <c r="AH15" s="313"/>
      <c r="AI15" s="883">
        <v>101</v>
      </c>
      <c r="AJ15" s="985"/>
      <c r="AK15" s="1020">
        <f t="shared" ca="1" si="15"/>
        <v>222.20476743892786</v>
      </c>
      <c r="AL15" s="954">
        <f ca="1">AK15/'101'!I$24</f>
        <v>0.62979628120556086</v>
      </c>
      <c r="AM15" s="954">
        <f ca="1">0.8*(AK15*30+'101'!D$17*0.34*30*1)</f>
        <v>9058.3852665342692</v>
      </c>
      <c r="AN15" s="954">
        <f ca="1">IF(AM15&lt;User_sheet!B$50,Y15,0)</f>
        <v>4.9342033165405324E-4</v>
      </c>
      <c r="AO15" s="954">
        <f ca="1">20-(User_sheet!B$57/('Freestanding '!AK15+'101'!D$17*1*0.34))</f>
        <v>4.8979706675316113</v>
      </c>
      <c r="AP15" s="954">
        <f ca="1">IF(AO15&lt;User_sheet!B$59,0,BC15*AA15)</f>
        <v>0</v>
      </c>
      <c r="AQ15" s="985"/>
      <c r="AR15" s="883">
        <v>0.48</v>
      </c>
      <c r="AS15" s="883">
        <v>0.66</v>
      </c>
      <c r="AT15" s="883">
        <v>0.89</v>
      </c>
      <c r="AU15" s="883">
        <v>2.75</v>
      </c>
      <c r="AV15" s="883">
        <v>3.3</v>
      </c>
      <c r="AW15" s="883">
        <v>10916.451096266603</v>
      </c>
      <c r="AX15" s="883">
        <v>68297.998190252794</v>
      </c>
      <c r="AY15" s="883">
        <v>79015.992973719694</v>
      </c>
      <c r="AZ15" s="883">
        <v>0</v>
      </c>
      <c r="BA15" s="883">
        <v>0</v>
      </c>
      <c r="BB15" s="883">
        <v>0.6</v>
      </c>
      <c r="BC15" s="888">
        <v>1</v>
      </c>
      <c r="BD15" s="889">
        <v>0</v>
      </c>
      <c r="BE15" s="889">
        <v>0</v>
      </c>
      <c r="BF15" s="890">
        <v>0</v>
      </c>
      <c r="BG15" s="889">
        <v>0</v>
      </c>
      <c r="BH15" s="889">
        <v>1</v>
      </c>
      <c r="BI15" s="890">
        <v>0</v>
      </c>
      <c r="BJ15" s="889">
        <v>1</v>
      </c>
      <c r="BK15" s="889">
        <v>0</v>
      </c>
      <c r="BL15" s="889">
        <v>0</v>
      </c>
      <c r="BM15" s="890">
        <v>0</v>
      </c>
      <c r="BN15" s="958">
        <v>7.0000000000000007E-2</v>
      </c>
      <c r="BO15" s="959">
        <v>6</v>
      </c>
      <c r="BP15" s="1018">
        <f t="shared" ca="1" si="2"/>
        <v>181.084</v>
      </c>
      <c r="BQ15" s="1018">
        <f t="shared" ca="1" si="3"/>
        <v>302.464</v>
      </c>
      <c r="BR15" s="1018">
        <f t="shared" ca="1" si="4"/>
        <v>104.854</v>
      </c>
      <c r="BS15" s="1018">
        <f t="shared" ca="1" si="5"/>
        <v>129.21406907627619</v>
      </c>
      <c r="BT15" s="1018">
        <f t="shared" ca="1" si="6"/>
        <v>104.86</v>
      </c>
      <c r="BU15" s="1018">
        <f t="shared" ca="1" si="7"/>
        <v>14</v>
      </c>
      <c r="BV15" s="1018">
        <f t="shared" ca="1" si="8"/>
        <v>4.3</v>
      </c>
      <c r="BW15" s="1018">
        <v>0</v>
      </c>
      <c r="BX15" s="1018">
        <f t="shared" ca="1" si="9"/>
        <v>46.46410635155096</v>
      </c>
      <c r="BY15" s="1018">
        <f t="shared" ca="1" si="16"/>
        <v>76.52663818228848</v>
      </c>
      <c r="BZ15" s="1018">
        <f t="shared" ca="1" si="17"/>
        <v>26.681340533672177</v>
      </c>
      <c r="CA15" s="1018">
        <f t="shared" ca="1" si="18"/>
        <v>38.499999978825002</v>
      </c>
      <c r="CB15" s="1018">
        <f t="shared" ca="1" si="10"/>
        <v>9.0267175572519083</v>
      </c>
      <c r="CC15" s="1018">
        <f t="shared" si="19"/>
        <v>0</v>
      </c>
      <c r="CD15" s="1018">
        <f t="shared" ca="1" si="20"/>
        <v>222.20476743892786</v>
      </c>
      <c r="CE15" s="1018">
        <f t="shared" ca="1" si="21"/>
        <v>61.521110550810938</v>
      </c>
      <c r="CF15" s="1018">
        <f t="shared" ca="1" si="22"/>
        <v>8.5117763396921653</v>
      </c>
      <c r="CG15" s="1018">
        <f t="shared" ca="1" si="23"/>
        <v>14171.767134533868</v>
      </c>
    </row>
    <row r="16" spans="1:85" x14ac:dyDescent="0.25">
      <c r="A16" s="336"/>
      <c r="B16" s="336"/>
      <c r="C16" s="336"/>
      <c r="D16" s="337"/>
      <c r="E16" s="336"/>
      <c r="F16" s="337"/>
      <c r="G16" s="336"/>
      <c r="H16" s="337"/>
      <c r="I16" s="336"/>
      <c r="J16" s="337"/>
      <c r="K16" s="337"/>
      <c r="L16" s="337"/>
      <c r="M16" s="337" t="s">
        <v>16</v>
      </c>
      <c r="N16" s="339">
        <v>0.44680851100000002</v>
      </c>
      <c r="O16" s="337" t="s">
        <v>19</v>
      </c>
      <c r="P16" s="339">
        <v>0.37046004799999999</v>
      </c>
      <c r="Q16" s="337" t="s">
        <v>7</v>
      </c>
      <c r="R16" s="339">
        <v>0.26140000000000002</v>
      </c>
      <c r="S16" s="337"/>
      <c r="T16" s="347">
        <v>1.7462420466611667E-4</v>
      </c>
      <c r="V16" s="176">
        <f t="shared" si="11"/>
        <v>1.7462420466611667E-4</v>
      </c>
      <c r="W16" s="176">
        <f t="shared" si="12"/>
        <v>1.7462420466611667E-4</v>
      </c>
      <c r="X16" s="176">
        <f t="shared" si="13"/>
        <v>1.7462420466611667E-4</v>
      </c>
      <c r="Y16" s="34">
        <f>X16/Calculation_sheet!M$67</f>
        <v>1.7462777510745942E-4</v>
      </c>
      <c r="Z16" s="176">
        <f ca="1">IF(AN16&gt;0,Y16*Calculation_sheet!C$87,0)</f>
        <v>0</v>
      </c>
      <c r="AA16" s="176">
        <f t="shared" ca="1" si="0"/>
        <v>1.7462777510745942E-4</v>
      </c>
      <c r="AB16" s="176">
        <f ca="1">IF(AP16&gt;0,AA16*Calculation_sheet!C$94,0)</f>
        <v>0</v>
      </c>
      <c r="AC16" s="176">
        <f t="shared" ca="1" si="1"/>
        <v>1.7462777510745942E-4</v>
      </c>
      <c r="AD16" s="958">
        <f ca="1">AC16*Calculation_sheet!C$99</f>
        <v>1.0477666506447565E-4</v>
      </c>
      <c r="AE16" s="176">
        <f t="shared" ca="1" si="1"/>
        <v>6.9851110042983778E-5</v>
      </c>
      <c r="AF16" s="176">
        <f t="shared" ca="1" si="14"/>
        <v>1.7462777510745942E-4</v>
      </c>
      <c r="AG16" s="958">
        <f ca="1">AF16*User_sheet!B$77/100</f>
        <v>0</v>
      </c>
      <c r="AH16" s="313"/>
      <c r="AI16" s="883">
        <v>101</v>
      </c>
      <c r="AJ16" s="985"/>
      <c r="AK16" s="1020">
        <f t="shared" ca="1" si="15"/>
        <v>222.20476743892786</v>
      </c>
      <c r="AL16" s="954">
        <f ca="1">AK16/'101'!I$24</f>
        <v>0.62979628120556086</v>
      </c>
      <c r="AM16" s="954">
        <f ca="1">0.8*(AK16*30+'101'!D$17*0.34*30*1)</f>
        <v>9058.3852665342692</v>
      </c>
      <c r="AN16" s="954">
        <f ca="1">IF(AM16&lt;User_sheet!B$50,Y16,0)</f>
        <v>1.7462777510745942E-4</v>
      </c>
      <c r="AO16" s="954">
        <f ca="1">20-(User_sheet!B$57/('Freestanding '!AK16+'101'!D$17*1*0.34))</f>
        <v>4.8979706675316113</v>
      </c>
      <c r="AP16" s="954">
        <f ca="1">IF(AO16&lt;User_sheet!B$59,0,BC16*AA16)</f>
        <v>0</v>
      </c>
      <c r="AQ16" s="985"/>
      <c r="AR16" s="883">
        <v>0.48</v>
      </c>
      <c r="AS16" s="883">
        <v>0.66</v>
      </c>
      <c r="AT16" s="883">
        <v>0.89</v>
      </c>
      <c r="AU16" s="883">
        <v>2.75</v>
      </c>
      <c r="AV16" s="883">
        <v>3.3</v>
      </c>
      <c r="AW16" s="883">
        <v>10916.451096266603</v>
      </c>
      <c r="AX16" s="883">
        <v>68297.998190252794</v>
      </c>
      <c r="AY16" s="883">
        <v>79015.992973719694</v>
      </c>
      <c r="AZ16" s="883">
        <v>0</v>
      </c>
      <c r="BA16" s="883">
        <v>0</v>
      </c>
      <c r="BB16" s="883">
        <v>0.6</v>
      </c>
      <c r="BC16" s="888">
        <v>1</v>
      </c>
      <c r="BD16" s="889">
        <v>0</v>
      </c>
      <c r="BE16" s="889">
        <v>0</v>
      </c>
      <c r="BF16" s="890">
        <v>0</v>
      </c>
      <c r="BG16" s="889">
        <v>0</v>
      </c>
      <c r="BH16" s="889">
        <v>1</v>
      </c>
      <c r="BI16" s="890">
        <v>0</v>
      </c>
      <c r="BJ16" s="889">
        <v>0</v>
      </c>
      <c r="BK16" s="889">
        <v>0</v>
      </c>
      <c r="BL16" s="889">
        <v>1</v>
      </c>
      <c r="BM16" s="890">
        <v>0</v>
      </c>
      <c r="BN16" s="958">
        <v>7.0000000000000007E-2</v>
      </c>
      <c r="BO16" s="959">
        <v>6</v>
      </c>
      <c r="BP16" s="1018">
        <f t="shared" ca="1" si="2"/>
        <v>181.084</v>
      </c>
      <c r="BQ16" s="1018">
        <f t="shared" ca="1" si="3"/>
        <v>302.464</v>
      </c>
      <c r="BR16" s="1018">
        <f t="shared" ca="1" si="4"/>
        <v>104.854</v>
      </c>
      <c r="BS16" s="1018">
        <f t="shared" ca="1" si="5"/>
        <v>129.21406907627619</v>
      </c>
      <c r="BT16" s="1018">
        <f t="shared" ca="1" si="6"/>
        <v>104.86</v>
      </c>
      <c r="BU16" s="1018">
        <f t="shared" ca="1" si="7"/>
        <v>14</v>
      </c>
      <c r="BV16" s="1018">
        <f t="shared" ca="1" si="8"/>
        <v>4.3</v>
      </c>
      <c r="BW16" s="1018">
        <v>0</v>
      </c>
      <c r="BX16" s="1018">
        <f t="shared" ca="1" si="9"/>
        <v>46.46410635155096</v>
      </c>
      <c r="BY16" s="1018">
        <f t="shared" ca="1" si="16"/>
        <v>76.52663818228848</v>
      </c>
      <c r="BZ16" s="1018">
        <f t="shared" ca="1" si="17"/>
        <v>26.681340533672177</v>
      </c>
      <c r="CA16" s="1018">
        <f t="shared" ca="1" si="18"/>
        <v>38.499999978825002</v>
      </c>
      <c r="CB16" s="1018">
        <f t="shared" ca="1" si="10"/>
        <v>9.0267175572519083</v>
      </c>
      <c r="CC16" s="1018">
        <f t="shared" si="19"/>
        <v>0</v>
      </c>
      <c r="CD16" s="1018">
        <f t="shared" ca="1" si="20"/>
        <v>222.20476743892786</v>
      </c>
      <c r="CE16" s="1018">
        <f t="shared" ca="1" si="21"/>
        <v>61.521110550810938</v>
      </c>
      <c r="CF16" s="1018">
        <f t="shared" ca="1" si="22"/>
        <v>8.5117763396921653</v>
      </c>
      <c r="CG16" s="1018">
        <f t="shared" ca="1" si="23"/>
        <v>14171.767134533868</v>
      </c>
    </row>
    <row r="17" spans="4:85" x14ac:dyDescent="0.25">
      <c r="D17" s="337"/>
      <c r="E17" s="336"/>
      <c r="F17" s="337"/>
      <c r="G17" s="336"/>
      <c r="H17" s="337"/>
      <c r="I17" s="336"/>
      <c r="J17" s="337"/>
      <c r="K17" s="337"/>
      <c r="L17" s="337"/>
      <c r="M17" s="337"/>
      <c r="N17" s="337"/>
      <c r="O17" s="337"/>
      <c r="P17" s="337"/>
      <c r="Q17" s="337" t="s">
        <v>22</v>
      </c>
      <c r="R17" s="339">
        <v>0.53710000000000002</v>
      </c>
      <c r="S17" s="337"/>
      <c r="T17" s="347">
        <v>7.8283359512117741E-4</v>
      </c>
      <c r="V17" s="176">
        <f t="shared" si="11"/>
        <v>7.8283359512117741E-4</v>
      </c>
      <c r="W17" s="176">
        <f t="shared" si="12"/>
        <v>7.8283359512117741E-4</v>
      </c>
      <c r="X17" s="176">
        <f t="shared" si="13"/>
        <v>7.8283359512117741E-4</v>
      </c>
      <c r="Y17" s="34">
        <f>X17/Calculation_sheet!M$67</f>
        <v>7.8284960127243165E-4</v>
      </c>
      <c r="Z17" s="176">
        <f ca="1">IF(AN17&gt;0,Y17*Calculation_sheet!C$87,0)</f>
        <v>0</v>
      </c>
      <c r="AA17" s="176">
        <f t="shared" ca="1" si="0"/>
        <v>7.8284960127243165E-4</v>
      </c>
      <c r="AB17" s="176">
        <f ca="1">IF(AP17&gt;0,AA17*Calculation_sheet!C$94,0)</f>
        <v>0</v>
      </c>
      <c r="AC17" s="176">
        <f t="shared" ca="1" si="1"/>
        <v>7.8284960127243165E-4</v>
      </c>
      <c r="AD17" s="958">
        <f ca="1">AC17*Calculation_sheet!C$99</f>
        <v>4.6970976076345897E-4</v>
      </c>
      <c r="AE17" s="176">
        <f t="shared" ca="1" si="1"/>
        <v>3.1313984050897268E-4</v>
      </c>
      <c r="AF17" s="176">
        <f t="shared" ca="1" si="14"/>
        <v>7.8284960127243165E-4</v>
      </c>
      <c r="AG17" s="958">
        <f ca="1">AF17*User_sheet!B$77/100</f>
        <v>0</v>
      </c>
      <c r="AH17" s="313"/>
      <c r="AI17" s="883">
        <v>101</v>
      </c>
      <c r="AJ17" s="985"/>
      <c r="AK17" s="1020">
        <f t="shared" ca="1" si="15"/>
        <v>222.20476743892786</v>
      </c>
      <c r="AL17" s="954">
        <f ca="1">AK17/'101'!I$24</f>
        <v>0.62979628120556086</v>
      </c>
      <c r="AM17" s="954">
        <f ca="1">0.8*(AK17*30+'101'!D$17*0.34*30*1)</f>
        <v>9058.3852665342692</v>
      </c>
      <c r="AN17" s="954">
        <f ca="1">IF(AM17&lt;User_sheet!B$50,Y17,0)</f>
        <v>7.8284960127243165E-4</v>
      </c>
      <c r="AO17" s="954">
        <f ca="1">20-(User_sheet!B$57/('Freestanding '!AK17+'101'!D$17*1*0.34))</f>
        <v>4.8979706675316113</v>
      </c>
      <c r="AP17" s="954">
        <f ca="1">IF(AO17&lt;User_sheet!B$59,0,BC17*AA17)</f>
        <v>0</v>
      </c>
      <c r="AQ17" s="985"/>
      <c r="AR17" s="883">
        <v>0.48</v>
      </c>
      <c r="AS17" s="883">
        <v>0.66</v>
      </c>
      <c r="AT17" s="883">
        <v>0.89</v>
      </c>
      <c r="AU17" s="883">
        <v>2.75</v>
      </c>
      <c r="AV17" s="883">
        <v>3.3</v>
      </c>
      <c r="AW17" s="883">
        <v>10916.451096266603</v>
      </c>
      <c r="AX17" s="883">
        <v>68297.998190252794</v>
      </c>
      <c r="AY17" s="883">
        <v>79015.992973719694</v>
      </c>
      <c r="AZ17" s="883">
        <v>0</v>
      </c>
      <c r="BA17" s="883">
        <v>0</v>
      </c>
      <c r="BB17" s="883">
        <v>0.6</v>
      </c>
      <c r="BC17" s="888">
        <v>0</v>
      </c>
      <c r="BD17" s="889">
        <v>1</v>
      </c>
      <c r="BE17" s="889">
        <v>0</v>
      </c>
      <c r="BF17" s="890">
        <v>0</v>
      </c>
      <c r="BG17" s="889">
        <v>1</v>
      </c>
      <c r="BH17" s="889">
        <v>0</v>
      </c>
      <c r="BI17" s="890">
        <v>0</v>
      </c>
      <c r="BJ17" s="889">
        <v>0</v>
      </c>
      <c r="BK17" s="889">
        <v>1</v>
      </c>
      <c r="BL17" s="889">
        <v>0</v>
      </c>
      <c r="BM17" s="890">
        <v>0</v>
      </c>
      <c r="BN17" s="958">
        <v>7.0000000000000007E-2</v>
      </c>
      <c r="BO17" s="959">
        <v>6</v>
      </c>
      <c r="BP17" s="1018">
        <f t="shared" ca="1" si="2"/>
        <v>181.084</v>
      </c>
      <c r="BQ17" s="1018">
        <f t="shared" ca="1" si="3"/>
        <v>302.464</v>
      </c>
      <c r="BR17" s="1018">
        <f t="shared" ca="1" si="4"/>
        <v>104.854</v>
      </c>
      <c r="BS17" s="1018">
        <f t="shared" ca="1" si="5"/>
        <v>129.21406907627619</v>
      </c>
      <c r="BT17" s="1018">
        <f t="shared" ca="1" si="6"/>
        <v>104.86</v>
      </c>
      <c r="BU17" s="1018">
        <f t="shared" ca="1" si="7"/>
        <v>14</v>
      </c>
      <c r="BV17" s="1018">
        <f t="shared" ca="1" si="8"/>
        <v>4.3</v>
      </c>
      <c r="BW17" s="1018">
        <v>0</v>
      </c>
      <c r="BX17" s="1018">
        <f t="shared" ca="1" si="9"/>
        <v>46.46410635155096</v>
      </c>
      <c r="BY17" s="1018">
        <f t="shared" ca="1" si="16"/>
        <v>76.52663818228848</v>
      </c>
      <c r="BZ17" s="1018">
        <f t="shared" ca="1" si="17"/>
        <v>26.681340533672177</v>
      </c>
      <c r="CA17" s="1018">
        <f t="shared" ca="1" si="18"/>
        <v>38.499999978825002</v>
      </c>
      <c r="CB17" s="1018">
        <f t="shared" ca="1" si="10"/>
        <v>9.0267175572519083</v>
      </c>
      <c r="CC17" s="1018">
        <f t="shared" si="19"/>
        <v>0</v>
      </c>
      <c r="CD17" s="1018">
        <f t="shared" ca="1" si="20"/>
        <v>222.20476743892786</v>
      </c>
      <c r="CE17" s="1018">
        <f t="shared" ca="1" si="21"/>
        <v>61.521110550810938</v>
      </c>
      <c r="CF17" s="1018">
        <f t="shared" ca="1" si="22"/>
        <v>8.5117763396921653</v>
      </c>
      <c r="CG17" s="1018">
        <f t="shared" ca="1" si="23"/>
        <v>14171.767134533868</v>
      </c>
    </row>
    <row r="18" spans="4:85" x14ac:dyDescent="0.25">
      <c r="D18" s="337"/>
      <c r="E18" s="336"/>
      <c r="F18" s="337"/>
      <c r="G18" s="336"/>
      <c r="H18" s="337"/>
      <c r="I18" s="336"/>
      <c r="J18" s="337"/>
      <c r="K18" s="337"/>
      <c r="L18" s="337"/>
      <c r="M18" s="337"/>
      <c r="N18" s="337"/>
      <c r="O18" s="337" t="s">
        <v>18</v>
      </c>
      <c r="P18" s="339">
        <v>0.80827067699999999</v>
      </c>
      <c r="Q18" s="337" t="s">
        <v>7</v>
      </c>
      <c r="R18" s="339">
        <v>0.46289999999999998</v>
      </c>
      <c r="S18" s="337"/>
      <c r="T18" s="347">
        <v>6.7468566594971709E-4</v>
      </c>
      <c r="V18" s="176">
        <f t="shared" si="11"/>
        <v>6.7468566594971709E-4</v>
      </c>
      <c r="W18" s="176">
        <f t="shared" si="12"/>
        <v>6.7468566594971709E-4</v>
      </c>
      <c r="X18" s="176">
        <f t="shared" si="13"/>
        <v>6.7468566594971709E-4</v>
      </c>
      <c r="Y18" s="34">
        <f>X18/Calculation_sheet!M$67</f>
        <v>6.7469946086205291E-4</v>
      </c>
      <c r="Z18" s="176">
        <f ca="1">IF(AN18&gt;0,Y18*Calculation_sheet!C$87,0)</f>
        <v>0</v>
      </c>
      <c r="AA18" s="176">
        <f t="shared" ca="1" si="0"/>
        <v>6.7469946086205291E-4</v>
      </c>
      <c r="AB18" s="176">
        <f ca="1">IF(AP18&gt;0,AA18*Calculation_sheet!C$94,0)</f>
        <v>0</v>
      </c>
      <c r="AC18" s="176">
        <f t="shared" ca="1" si="1"/>
        <v>6.7469946086205291E-4</v>
      </c>
      <c r="AD18" s="958">
        <f ca="1">AC18*Calculation_sheet!C$99</f>
        <v>4.0481967651723172E-4</v>
      </c>
      <c r="AE18" s="176">
        <f t="shared" ca="1" si="1"/>
        <v>2.6987978434482118E-4</v>
      </c>
      <c r="AF18" s="176">
        <f t="shared" ca="1" si="14"/>
        <v>6.7469946086205291E-4</v>
      </c>
      <c r="AG18" s="958">
        <f ca="1">AF18*User_sheet!B$77/100</f>
        <v>0</v>
      </c>
      <c r="AH18" s="313"/>
      <c r="AI18" s="883">
        <v>101</v>
      </c>
      <c r="AJ18" s="985"/>
      <c r="AK18" s="1020">
        <f t="shared" ca="1" si="15"/>
        <v>222.20476743892786</v>
      </c>
      <c r="AL18" s="954">
        <f ca="1">AK18/'101'!I$24</f>
        <v>0.62979628120556086</v>
      </c>
      <c r="AM18" s="954">
        <f ca="1">0.8*(AK18*30+'101'!D$17*0.34*30*1)</f>
        <v>9058.3852665342692</v>
      </c>
      <c r="AN18" s="954">
        <f ca="1">IF(AM18&lt;User_sheet!B$50,Y18,0)</f>
        <v>6.7469946086205291E-4</v>
      </c>
      <c r="AO18" s="954">
        <f ca="1">20-(User_sheet!B$57/('Freestanding '!AK18+'101'!D$17*1*0.34))</f>
        <v>4.8979706675316113</v>
      </c>
      <c r="AP18" s="954">
        <f ca="1">IF(AO18&lt;User_sheet!B$59,0,BC18*AA18)</f>
        <v>0</v>
      </c>
      <c r="AQ18" s="985"/>
      <c r="AR18" s="883">
        <v>0.48</v>
      </c>
      <c r="AS18" s="883">
        <v>0.66</v>
      </c>
      <c r="AT18" s="883">
        <v>0.89</v>
      </c>
      <c r="AU18" s="883">
        <v>2.75</v>
      </c>
      <c r="AV18" s="883">
        <v>3.3</v>
      </c>
      <c r="AW18" s="883">
        <v>10916.451096266603</v>
      </c>
      <c r="AX18" s="883">
        <v>68297.998190252794</v>
      </c>
      <c r="AY18" s="883">
        <v>79015.992973719694</v>
      </c>
      <c r="AZ18" s="883">
        <v>0</v>
      </c>
      <c r="BA18" s="883">
        <v>0</v>
      </c>
      <c r="BB18" s="883">
        <v>0.6</v>
      </c>
      <c r="BC18" s="888">
        <v>0</v>
      </c>
      <c r="BD18" s="889">
        <v>1</v>
      </c>
      <c r="BE18" s="889">
        <v>0</v>
      </c>
      <c r="BF18" s="890">
        <v>0</v>
      </c>
      <c r="BG18" s="889">
        <v>1</v>
      </c>
      <c r="BH18" s="889">
        <v>0</v>
      </c>
      <c r="BI18" s="890">
        <v>0</v>
      </c>
      <c r="BJ18" s="889">
        <v>0</v>
      </c>
      <c r="BK18" s="889">
        <v>0</v>
      </c>
      <c r="BL18" s="889">
        <v>1</v>
      </c>
      <c r="BM18" s="890">
        <v>0</v>
      </c>
      <c r="BN18" s="958">
        <v>7.0000000000000007E-2</v>
      </c>
      <c r="BO18" s="959">
        <v>6</v>
      </c>
      <c r="BP18" s="1018">
        <f t="shared" ca="1" si="2"/>
        <v>181.084</v>
      </c>
      <c r="BQ18" s="1018">
        <f t="shared" ca="1" si="3"/>
        <v>302.464</v>
      </c>
      <c r="BR18" s="1018">
        <f t="shared" ca="1" si="4"/>
        <v>104.854</v>
      </c>
      <c r="BS18" s="1018">
        <f t="shared" ca="1" si="5"/>
        <v>129.21406907627619</v>
      </c>
      <c r="BT18" s="1018">
        <f t="shared" ca="1" si="6"/>
        <v>104.86</v>
      </c>
      <c r="BU18" s="1018">
        <f t="shared" ca="1" si="7"/>
        <v>14</v>
      </c>
      <c r="BV18" s="1018">
        <f t="shared" ca="1" si="8"/>
        <v>4.3</v>
      </c>
      <c r="BW18" s="1018">
        <v>0</v>
      </c>
      <c r="BX18" s="1018">
        <f t="shared" ca="1" si="9"/>
        <v>46.46410635155096</v>
      </c>
      <c r="BY18" s="1018">
        <f t="shared" ca="1" si="16"/>
        <v>76.52663818228848</v>
      </c>
      <c r="BZ18" s="1018">
        <f t="shared" ca="1" si="17"/>
        <v>26.681340533672177</v>
      </c>
      <c r="CA18" s="1018">
        <f t="shared" ca="1" si="18"/>
        <v>38.499999978825002</v>
      </c>
      <c r="CB18" s="1018">
        <f t="shared" ca="1" si="10"/>
        <v>9.0267175572519083</v>
      </c>
      <c r="CC18" s="1018">
        <f t="shared" si="19"/>
        <v>0</v>
      </c>
      <c r="CD18" s="1018">
        <f t="shared" ca="1" si="20"/>
        <v>222.20476743892786</v>
      </c>
      <c r="CE18" s="1018">
        <f t="shared" ca="1" si="21"/>
        <v>61.521110550810938</v>
      </c>
      <c r="CF18" s="1018">
        <f t="shared" ca="1" si="22"/>
        <v>8.5117763396921653</v>
      </c>
      <c r="CG18" s="1018">
        <f t="shared" ca="1" si="23"/>
        <v>14171.767134533868</v>
      </c>
    </row>
    <row r="19" spans="4:85" x14ac:dyDescent="0.25">
      <c r="D19" s="337"/>
      <c r="E19" s="336"/>
      <c r="F19" s="337"/>
      <c r="G19" s="336"/>
      <c r="H19" s="337"/>
      <c r="I19" s="336"/>
      <c r="J19" s="337"/>
      <c r="K19" s="337"/>
      <c r="L19" s="337"/>
      <c r="M19" s="337"/>
      <c r="N19" s="337"/>
      <c r="O19" s="337"/>
      <c r="P19" s="337"/>
      <c r="Q19" s="337" t="s">
        <v>22</v>
      </c>
      <c r="R19" s="339">
        <v>0.53710000000000002</v>
      </c>
      <c r="S19" s="337"/>
      <c r="T19" s="347">
        <v>1.856954105663287E-4</v>
      </c>
      <c r="V19" s="176">
        <f t="shared" si="11"/>
        <v>1.856954105663287E-4</v>
      </c>
      <c r="W19" s="176">
        <f t="shared" si="12"/>
        <v>1.856954105663287E-4</v>
      </c>
      <c r="X19" s="176">
        <f t="shared" si="13"/>
        <v>1.856954105663287E-4</v>
      </c>
      <c r="Y19" s="34">
        <f>X19/Calculation_sheet!M$67</f>
        <v>1.8569920737429308E-4</v>
      </c>
      <c r="Z19" s="176">
        <f ca="1">IF(AN19&gt;0,Y19*Calculation_sheet!C$87,0)</f>
        <v>0</v>
      </c>
      <c r="AA19" s="176">
        <f t="shared" ca="1" si="0"/>
        <v>1.8569920737429308E-4</v>
      </c>
      <c r="AB19" s="176">
        <f ca="1">IF(AP19&gt;0,AA19*Calculation_sheet!C$94,0)</f>
        <v>0</v>
      </c>
      <c r="AC19" s="176">
        <f t="shared" ca="1" si="1"/>
        <v>1.8569920737429308E-4</v>
      </c>
      <c r="AD19" s="958">
        <f ca="1">AC19*Calculation_sheet!C$99</f>
        <v>1.1141952442457584E-4</v>
      </c>
      <c r="AE19" s="176">
        <f t="shared" ca="1" si="1"/>
        <v>7.4279682949717244E-5</v>
      </c>
      <c r="AF19" s="176">
        <f t="shared" ca="1" si="14"/>
        <v>1.8569920737429308E-4</v>
      </c>
      <c r="AG19" s="958">
        <f ca="1">AF19*User_sheet!B$77/100</f>
        <v>0</v>
      </c>
      <c r="AH19" s="313"/>
      <c r="AI19" s="883">
        <v>101</v>
      </c>
      <c r="AJ19" s="985"/>
      <c r="AK19" s="1020">
        <f t="shared" ca="1" si="15"/>
        <v>222.20476743892786</v>
      </c>
      <c r="AL19" s="954">
        <f ca="1">AK19/'101'!I$24</f>
        <v>0.62979628120556086</v>
      </c>
      <c r="AM19" s="954">
        <f ca="1">0.8*(AK19*30+'101'!D$17*0.34*30*1)</f>
        <v>9058.3852665342692</v>
      </c>
      <c r="AN19" s="954">
        <f ca="1">IF(AM19&lt;User_sheet!B$50,Y19,0)</f>
        <v>1.8569920737429308E-4</v>
      </c>
      <c r="AO19" s="954">
        <f ca="1">20-(User_sheet!B$57/('Freestanding '!AK19+'101'!D$17*1*0.34))</f>
        <v>4.8979706675316113</v>
      </c>
      <c r="AP19" s="954">
        <f ca="1">IF(AO19&lt;User_sheet!B$59,0,BC19*AA19)</f>
        <v>0</v>
      </c>
      <c r="AQ19" s="985"/>
      <c r="AR19" s="883">
        <v>0.48</v>
      </c>
      <c r="AS19" s="883">
        <v>0.66</v>
      </c>
      <c r="AT19" s="883">
        <v>0.89</v>
      </c>
      <c r="AU19" s="883">
        <v>2.75</v>
      </c>
      <c r="AV19" s="883">
        <v>3.3</v>
      </c>
      <c r="AW19" s="883">
        <v>10916.451096266603</v>
      </c>
      <c r="AX19" s="883">
        <v>68297.998190252794</v>
      </c>
      <c r="AY19" s="883">
        <v>79015.992973719694</v>
      </c>
      <c r="AZ19" s="883">
        <v>0</v>
      </c>
      <c r="BA19" s="883">
        <v>0</v>
      </c>
      <c r="BB19" s="883">
        <v>0.6</v>
      </c>
      <c r="BC19" s="888">
        <v>0</v>
      </c>
      <c r="BD19" s="889">
        <v>1</v>
      </c>
      <c r="BE19" s="889">
        <v>0</v>
      </c>
      <c r="BF19" s="890">
        <v>0</v>
      </c>
      <c r="BG19" s="889">
        <v>0</v>
      </c>
      <c r="BH19" s="889">
        <v>1</v>
      </c>
      <c r="BI19" s="890">
        <v>0</v>
      </c>
      <c r="BJ19" s="889">
        <v>0</v>
      </c>
      <c r="BK19" s="889">
        <v>1</v>
      </c>
      <c r="BL19" s="889">
        <v>0</v>
      </c>
      <c r="BM19" s="890">
        <v>0</v>
      </c>
      <c r="BN19" s="958">
        <v>7.0000000000000007E-2</v>
      </c>
      <c r="BO19" s="959">
        <v>6</v>
      </c>
      <c r="BP19" s="1018">
        <f t="shared" ca="1" si="2"/>
        <v>181.084</v>
      </c>
      <c r="BQ19" s="1018">
        <f t="shared" ca="1" si="3"/>
        <v>302.464</v>
      </c>
      <c r="BR19" s="1018">
        <f t="shared" ca="1" si="4"/>
        <v>104.854</v>
      </c>
      <c r="BS19" s="1018">
        <f t="shared" ca="1" si="5"/>
        <v>129.21406907627619</v>
      </c>
      <c r="BT19" s="1018">
        <f t="shared" ca="1" si="6"/>
        <v>104.86</v>
      </c>
      <c r="BU19" s="1018">
        <f t="shared" ca="1" si="7"/>
        <v>14</v>
      </c>
      <c r="BV19" s="1018">
        <f t="shared" ca="1" si="8"/>
        <v>4.3</v>
      </c>
      <c r="BW19" s="1018">
        <v>0</v>
      </c>
      <c r="BX19" s="1018">
        <f t="shared" ca="1" si="9"/>
        <v>46.46410635155096</v>
      </c>
      <c r="BY19" s="1018">
        <f t="shared" ca="1" si="16"/>
        <v>76.52663818228848</v>
      </c>
      <c r="BZ19" s="1018">
        <f t="shared" ca="1" si="17"/>
        <v>26.681340533672177</v>
      </c>
      <c r="CA19" s="1018">
        <f t="shared" ca="1" si="18"/>
        <v>38.499999978825002</v>
      </c>
      <c r="CB19" s="1018">
        <f t="shared" ca="1" si="10"/>
        <v>9.0267175572519083</v>
      </c>
      <c r="CC19" s="1018">
        <f t="shared" si="19"/>
        <v>0</v>
      </c>
      <c r="CD19" s="1018">
        <f t="shared" ca="1" si="20"/>
        <v>222.20476743892786</v>
      </c>
      <c r="CE19" s="1018">
        <f t="shared" ca="1" si="21"/>
        <v>61.521110550810938</v>
      </c>
      <c r="CF19" s="1018">
        <f t="shared" ca="1" si="22"/>
        <v>8.5117763396921653</v>
      </c>
      <c r="CG19" s="1018">
        <f t="shared" ca="1" si="23"/>
        <v>14171.767134533868</v>
      </c>
    </row>
    <row r="20" spans="4:85" x14ac:dyDescent="0.25">
      <c r="D20" s="337"/>
      <c r="E20" s="336"/>
      <c r="F20" s="337"/>
      <c r="G20" s="336"/>
      <c r="H20" s="337"/>
      <c r="I20" s="336"/>
      <c r="J20" s="337"/>
      <c r="K20" s="337"/>
      <c r="L20" s="337"/>
      <c r="M20" s="337" t="s">
        <v>22</v>
      </c>
      <c r="N20" s="339">
        <v>0.44680851100000002</v>
      </c>
      <c r="O20" s="337" t="s">
        <v>20</v>
      </c>
      <c r="P20" s="339">
        <v>0.19172932300000001</v>
      </c>
      <c r="Q20" s="337" t="s">
        <v>7</v>
      </c>
      <c r="R20" s="339">
        <v>0.46289999999999998</v>
      </c>
      <c r="S20" s="337"/>
      <c r="T20" s="347">
        <v>1.6004171579064148E-4</v>
      </c>
      <c r="V20" s="176">
        <f t="shared" si="11"/>
        <v>1.6004171579064148E-4</v>
      </c>
      <c r="W20" s="176">
        <f t="shared" si="12"/>
        <v>1.6004171579064148E-4</v>
      </c>
      <c r="X20" s="176">
        <f t="shared" si="13"/>
        <v>1.6004171579064148E-4</v>
      </c>
      <c r="Y20" s="34">
        <f>X20/Calculation_sheet!M$67</f>
        <v>1.6004498807216578E-4</v>
      </c>
      <c r="Z20" s="176">
        <f ca="1">IF(AN20&gt;0,Y20*Calculation_sheet!C$87,0)</f>
        <v>0</v>
      </c>
      <c r="AA20" s="176">
        <f t="shared" ca="1" si="0"/>
        <v>1.6004498807216578E-4</v>
      </c>
      <c r="AB20" s="176">
        <f ca="1">IF(AP20&gt;0,AA20*Calculation_sheet!C$94,0)</f>
        <v>0</v>
      </c>
      <c r="AC20" s="176">
        <f t="shared" ca="1" si="1"/>
        <v>1.6004498807216578E-4</v>
      </c>
      <c r="AD20" s="958">
        <f ca="1">AC20*Calculation_sheet!C$99</f>
        <v>9.6026992843299469E-5</v>
      </c>
      <c r="AE20" s="176">
        <f t="shared" ca="1" si="1"/>
        <v>6.4017995228866312E-5</v>
      </c>
      <c r="AF20" s="176">
        <f t="shared" ca="1" si="14"/>
        <v>1.6004498807216578E-4</v>
      </c>
      <c r="AG20" s="958">
        <f ca="1">AF20*User_sheet!B$77/100</f>
        <v>0</v>
      </c>
      <c r="AH20" s="313"/>
      <c r="AI20" s="883">
        <v>101</v>
      </c>
      <c r="AJ20" s="985"/>
      <c r="AK20" s="1020">
        <f t="shared" ca="1" si="15"/>
        <v>222.20476743892786</v>
      </c>
      <c r="AL20" s="954">
        <f ca="1">AK20/'101'!I$24</f>
        <v>0.62979628120556086</v>
      </c>
      <c r="AM20" s="954">
        <f ca="1">0.8*(AK20*30+'101'!D$17*0.34*30*1)</f>
        <v>9058.3852665342692</v>
      </c>
      <c r="AN20" s="954">
        <f ca="1">IF(AM20&lt;User_sheet!B$50,Y20,0)</f>
        <v>1.6004498807216578E-4</v>
      </c>
      <c r="AO20" s="954">
        <f ca="1">20-(User_sheet!B$57/('Freestanding '!AK20+'101'!D$17*1*0.34))</f>
        <v>4.8979706675316113</v>
      </c>
      <c r="AP20" s="954">
        <f ca="1">IF(AO20&lt;User_sheet!B$59,0,BC20*AA20)</f>
        <v>0</v>
      </c>
      <c r="AQ20" s="985"/>
      <c r="AR20" s="883">
        <v>0.48</v>
      </c>
      <c r="AS20" s="883">
        <v>0.66</v>
      </c>
      <c r="AT20" s="883">
        <v>0.89</v>
      </c>
      <c r="AU20" s="883">
        <v>2.75</v>
      </c>
      <c r="AV20" s="883">
        <v>3.3</v>
      </c>
      <c r="AW20" s="883">
        <v>10916.451096266603</v>
      </c>
      <c r="AX20" s="883">
        <v>68297.998190252794</v>
      </c>
      <c r="AY20" s="883">
        <v>79015.992973719694</v>
      </c>
      <c r="AZ20" s="883">
        <v>0</v>
      </c>
      <c r="BA20" s="883">
        <v>0</v>
      </c>
      <c r="BB20" s="883">
        <v>0.6</v>
      </c>
      <c r="BC20" s="888">
        <v>0</v>
      </c>
      <c r="BD20" s="889">
        <v>1</v>
      </c>
      <c r="BE20" s="889">
        <v>0</v>
      </c>
      <c r="BF20" s="890">
        <v>0</v>
      </c>
      <c r="BG20" s="889">
        <v>0</v>
      </c>
      <c r="BH20" s="889">
        <v>1</v>
      </c>
      <c r="BI20" s="890">
        <v>0</v>
      </c>
      <c r="BJ20" s="889">
        <v>0</v>
      </c>
      <c r="BK20" s="889">
        <v>0</v>
      </c>
      <c r="BL20" s="889">
        <v>1</v>
      </c>
      <c r="BM20" s="890">
        <v>0</v>
      </c>
      <c r="BN20" s="958">
        <v>7.0000000000000007E-2</v>
      </c>
      <c r="BO20" s="959">
        <v>6</v>
      </c>
      <c r="BP20" s="1018">
        <f t="shared" ca="1" si="2"/>
        <v>181.084</v>
      </c>
      <c r="BQ20" s="1018">
        <f t="shared" ca="1" si="3"/>
        <v>302.464</v>
      </c>
      <c r="BR20" s="1018">
        <f t="shared" ca="1" si="4"/>
        <v>104.854</v>
      </c>
      <c r="BS20" s="1018">
        <f t="shared" ca="1" si="5"/>
        <v>129.21406907627619</v>
      </c>
      <c r="BT20" s="1018">
        <f t="shared" ca="1" si="6"/>
        <v>104.86</v>
      </c>
      <c r="BU20" s="1018">
        <f t="shared" ca="1" si="7"/>
        <v>14</v>
      </c>
      <c r="BV20" s="1018">
        <f t="shared" ca="1" si="8"/>
        <v>4.3</v>
      </c>
      <c r="BW20" s="1018">
        <v>0</v>
      </c>
      <c r="BX20" s="1018">
        <f t="shared" ca="1" si="9"/>
        <v>46.46410635155096</v>
      </c>
      <c r="BY20" s="1018">
        <f t="shared" ca="1" si="16"/>
        <v>76.52663818228848</v>
      </c>
      <c r="BZ20" s="1018">
        <f t="shared" ca="1" si="17"/>
        <v>26.681340533672177</v>
      </c>
      <c r="CA20" s="1018">
        <f t="shared" ca="1" si="18"/>
        <v>38.499999978825002</v>
      </c>
      <c r="CB20" s="1018">
        <f t="shared" ca="1" si="10"/>
        <v>9.0267175572519083</v>
      </c>
      <c r="CC20" s="1018">
        <f t="shared" si="19"/>
        <v>0</v>
      </c>
      <c r="CD20" s="1018">
        <f t="shared" ca="1" si="20"/>
        <v>222.20476743892786</v>
      </c>
      <c r="CE20" s="1018">
        <f t="shared" ca="1" si="21"/>
        <v>61.521110550810938</v>
      </c>
      <c r="CF20" s="1018">
        <f t="shared" ca="1" si="22"/>
        <v>8.5117763396921653</v>
      </c>
      <c r="CG20" s="1018">
        <f t="shared" ca="1" si="23"/>
        <v>14171.767134533868</v>
      </c>
    </row>
    <row r="21" spans="4:85" x14ac:dyDescent="0.25">
      <c r="D21" s="337"/>
      <c r="E21" s="336"/>
      <c r="F21" s="337"/>
      <c r="G21" s="336"/>
      <c r="H21" s="337"/>
      <c r="I21" s="336"/>
      <c r="J21" s="337"/>
      <c r="K21" s="337"/>
      <c r="L21" s="337"/>
      <c r="M21" s="337" t="s">
        <v>7</v>
      </c>
      <c r="N21" s="339">
        <v>2.1276595999999998E-2</v>
      </c>
      <c r="O21" s="337" t="s">
        <v>23</v>
      </c>
      <c r="P21" s="339">
        <v>1</v>
      </c>
      <c r="Q21" s="337" t="s">
        <v>7</v>
      </c>
      <c r="R21" s="339">
        <v>1</v>
      </c>
      <c r="S21" s="337"/>
      <c r="T21" s="347">
        <v>8.5869352743198204E-5</v>
      </c>
      <c r="V21" s="176">
        <f t="shared" si="11"/>
        <v>8.5869352743198204E-5</v>
      </c>
      <c r="W21" s="176">
        <f t="shared" si="12"/>
        <v>8.5869352743198204E-5</v>
      </c>
      <c r="X21" s="176">
        <f t="shared" si="13"/>
        <v>8.5869352743198204E-5</v>
      </c>
      <c r="Y21" s="34">
        <f>X21/Calculation_sheet!M$67</f>
        <v>8.5871108464793033E-5</v>
      </c>
      <c r="Z21" s="176">
        <f ca="1">IF(AN21&gt;0,Y21*Calculation_sheet!C$87,0)</f>
        <v>0</v>
      </c>
      <c r="AA21" s="176">
        <f t="shared" ca="1" si="0"/>
        <v>8.5871108464793033E-5</v>
      </c>
      <c r="AB21" s="176">
        <f ca="1">IF(AP21&gt;0,AA21*Calculation_sheet!C$94,0)</f>
        <v>0</v>
      </c>
      <c r="AC21" s="176">
        <f t="shared" ca="1" si="1"/>
        <v>8.5871108464793033E-5</v>
      </c>
      <c r="AD21" s="958">
        <f ca="1">AC21*Calculation_sheet!C$99</f>
        <v>5.1522665078875821E-5</v>
      </c>
      <c r="AE21" s="176">
        <f t="shared" ca="1" si="1"/>
        <v>3.4348443385917212E-5</v>
      </c>
      <c r="AF21" s="176">
        <f t="shared" ca="1" si="14"/>
        <v>8.5871108464793033E-5</v>
      </c>
      <c r="AG21" s="958">
        <f ca="1">AF21*User_sheet!B$77/100</f>
        <v>0</v>
      </c>
      <c r="AH21" s="313"/>
      <c r="AI21" s="883">
        <v>101</v>
      </c>
      <c r="AJ21" s="985"/>
      <c r="AK21" s="1020">
        <f t="shared" ca="1" si="15"/>
        <v>222.20476743892786</v>
      </c>
      <c r="AL21" s="954">
        <f ca="1">AK21/'101'!I$24</f>
        <v>0.62979628120556086</v>
      </c>
      <c r="AM21" s="954">
        <f ca="1">0.8*(AK21*30+'101'!D$17*0.34*30*1)</f>
        <v>9058.3852665342692</v>
      </c>
      <c r="AN21" s="954">
        <f ca="1">IF(AM21&lt;User_sheet!B$50,Y21,0)</f>
        <v>8.5871108464793033E-5</v>
      </c>
      <c r="AO21" s="954">
        <f ca="1">20-(User_sheet!B$57/('Freestanding '!AK21+'101'!D$17*1*0.34))</f>
        <v>4.8979706675316113</v>
      </c>
      <c r="AP21" s="954">
        <f ca="1">IF(AO21&lt;User_sheet!B$59,0,BC21*AA21)</f>
        <v>0</v>
      </c>
      <c r="AQ21" s="985"/>
      <c r="AR21" s="883">
        <v>0.48</v>
      </c>
      <c r="AS21" s="883">
        <v>0.66</v>
      </c>
      <c r="AT21" s="883">
        <v>0.89</v>
      </c>
      <c r="AU21" s="883">
        <v>2.75</v>
      </c>
      <c r="AV21" s="883">
        <v>3.3</v>
      </c>
      <c r="AW21" s="883">
        <v>10916.451096266603</v>
      </c>
      <c r="AX21" s="883">
        <v>68297.998190252794</v>
      </c>
      <c r="AY21" s="883">
        <v>79015.992973719694</v>
      </c>
      <c r="AZ21" s="883">
        <v>0</v>
      </c>
      <c r="BA21" s="883">
        <v>0</v>
      </c>
      <c r="BB21" s="883">
        <v>0.6</v>
      </c>
      <c r="BC21" s="888">
        <v>0</v>
      </c>
      <c r="BD21" s="889">
        <v>0</v>
      </c>
      <c r="BE21" s="889">
        <v>1</v>
      </c>
      <c r="BF21" s="890">
        <v>0</v>
      </c>
      <c r="BG21" s="889">
        <v>0</v>
      </c>
      <c r="BH21" s="889">
        <v>0</v>
      </c>
      <c r="BI21" s="890">
        <v>1</v>
      </c>
      <c r="BJ21" s="889">
        <v>0</v>
      </c>
      <c r="BK21" s="889">
        <v>0</v>
      </c>
      <c r="BL21" s="889">
        <v>1</v>
      </c>
      <c r="BM21" s="890">
        <v>0</v>
      </c>
      <c r="BN21" s="958">
        <v>7.0000000000000007E-2</v>
      </c>
      <c r="BO21" s="959">
        <v>6</v>
      </c>
      <c r="BP21" s="1018">
        <f t="shared" ca="1" si="2"/>
        <v>181.084</v>
      </c>
      <c r="BQ21" s="1018">
        <f t="shared" ca="1" si="3"/>
        <v>302.464</v>
      </c>
      <c r="BR21" s="1018">
        <f t="shared" ca="1" si="4"/>
        <v>104.854</v>
      </c>
      <c r="BS21" s="1018">
        <f t="shared" ca="1" si="5"/>
        <v>129.21406907627619</v>
      </c>
      <c r="BT21" s="1018">
        <f t="shared" ca="1" si="6"/>
        <v>104.86</v>
      </c>
      <c r="BU21" s="1018">
        <f t="shared" ca="1" si="7"/>
        <v>14</v>
      </c>
      <c r="BV21" s="1018">
        <f t="shared" ca="1" si="8"/>
        <v>4.3</v>
      </c>
      <c r="BW21" s="1018">
        <v>0</v>
      </c>
      <c r="BX21" s="1018">
        <f t="shared" ca="1" si="9"/>
        <v>46.46410635155096</v>
      </c>
      <c r="BY21" s="1018">
        <f t="shared" ca="1" si="16"/>
        <v>76.52663818228848</v>
      </c>
      <c r="BZ21" s="1018">
        <f t="shared" ca="1" si="17"/>
        <v>26.681340533672177</v>
      </c>
      <c r="CA21" s="1018">
        <f t="shared" ca="1" si="18"/>
        <v>38.499999978825002</v>
      </c>
      <c r="CB21" s="1018">
        <f t="shared" ca="1" si="10"/>
        <v>9.0267175572519083</v>
      </c>
      <c r="CC21" s="1018">
        <f t="shared" si="19"/>
        <v>0</v>
      </c>
      <c r="CD21" s="1018">
        <f t="shared" ca="1" si="20"/>
        <v>222.20476743892786</v>
      </c>
      <c r="CE21" s="1018">
        <f t="shared" ca="1" si="21"/>
        <v>61.521110550810938</v>
      </c>
      <c r="CF21" s="1018">
        <f t="shared" ca="1" si="22"/>
        <v>8.5117763396921653</v>
      </c>
      <c r="CG21" s="1018">
        <f t="shared" ca="1" si="23"/>
        <v>14171.767134533868</v>
      </c>
    </row>
    <row r="22" spans="4:85" x14ac:dyDescent="0.25">
      <c r="D22" s="337"/>
      <c r="E22" s="336"/>
      <c r="F22" s="337"/>
      <c r="G22" s="336"/>
      <c r="H22" s="337"/>
      <c r="I22" s="336"/>
      <c r="J22" s="337"/>
      <c r="K22" s="337"/>
      <c r="L22" s="337"/>
      <c r="M22" s="337"/>
      <c r="N22" s="337"/>
      <c r="O22" s="337" t="s">
        <v>18</v>
      </c>
      <c r="P22" s="339">
        <v>0.15910607099999999</v>
      </c>
      <c r="Q22" s="337" t="s">
        <v>17</v>
      </c>
      <c r="R22" s="339">
        <v>1</v>
      </c>
      <c r="S22" s="337"/>
      <c r="T22" s="347">
        <v>5.4649340695003593E-5</v>
      </c>
      <c r="V22" s="176">
        <f t="shared" si="11"/>
        <v>5.4649340695003593E-5</v>
      </c>
      <c r="W22" s="176">
        <f t="shared" si="12"/>
        <v>5.4649340695003593E-5</v>
      </c>
      <c r="X22" s="176">
        <f t="shared" si="13"/>
        <v>5.4649340695003593E-5</v>
      </c>
      <c r="Y22" s="34">
        <f>X22/Calculation_sheet!M$67</f>
        <v>5.4650458078849355E-5</v>
      </c>
      <c r="Z22" s="176">
        <f ca="1">IF(AN22&gt;0,Y22*Calculation_sheet!C$87,0)</f>
        <v>0</v>
      </c>
      <c r="AA22" s="176">
        <f t="shared" ca="1" si="0"/>
        <v>5.4650458078849355E-5</v>
      </c>
      <c r="AB22" s="176">
        <f ca="1">IF(AP22&gt;0,AA22*Calculation_sheet!C$94,0)</f>
        <v>0</v>
      </c>
      <c r="AC22" s="176">
        <f t="shared" ca="1" si="1"/>
        <v>5.4650458078849355E-5</v>
      </c>
      <c r="AD22" s="958">
        <f ca="1">AC22*Calculation_sheet!C$99</f>
        <v>3.2790274847309614E-5</v>
      </c>
      <c r="AE22" s="176">
        <f t="shared" ca="1" si="1"/>
        <v>2.1860183231539741E-5</v>
      </c>
      <c r="AF22" s="176">
        <f t="shared" ca="1" si="14"/>
        <v>5.4650458078849355E-5</v>
      </c>
      <c r="AG22" s="958">
        <f ca="1">AF22*User_sheet!B$77/100</f>
        <v>0</v>
      </c>
      <c r="AH22" s="313"/>
      <c r="AI22" s="883">
        <v>101</v>
      </c>
      <c r="AJ22" s="985"/>
      <c r="AK22" s="1020">
        <f t="shared" ca="1" si="15"/>
        <v>222.20476743892786</v>
      </c>
      <c r="AL22" s="954">
        <f ca="1">AK22/'101'!I$24</f>
        <v>0.62979628120556086</v>
      </c>
      <c r="AM22" s="954">
        <f ca="1">0.8*(AK22*30+'101'!D$17*0.34*30*1)</f>
        <v>9058.3852665342692</v>
      </c>
      <c r="AN22" s="954">
        <f ca="1">IF(AM22&lt;User_sheet!B$50,Y22,0)</f>
        <v>5.4650458078849355E-5</v>
      </c>
      <c r="AO22" s="954">
        <f ca="1">20-(User_sheet!B$57/('Freestanding '!AK22+'101'!D$17*1*0.34))</f>
        <v>4.8979706675316113</v>
      </c>
      <c r="AP22" s="954">
        <f ca="1">IF(AO22&lt;User_sheet!B$59,0,BC22*AA22)</f>
        <v>0</v>
      </c>
      <c r="AQ22" s="985"/>
      <c r="AR22" s="883">
        <v>0.48</v>
      </c>
      <c r="AS22" s="883">
        <v>0.66</v>
      </c>
      <c r="AT22" s="883">
        <v>0.89</v>
      </c>
      <c r="AU22" s="883">
        <v>2.75</v>
      </c>
      <c r="AV22" s="883">
        <v>3.3</v>
      </c>
      <c r="AW22" s="883">
        <v>10916.451096266603</v>
      </c>
      <c r="AX22" s="883">
        <v>68297.998190252794</v>
      </c>
      <c r="AY22" s="883">
        <v>79015.992973719694</v>
      </c>
      <c r="AZ22" s="883">
        <v>0</v>
      </c>
      <c r="BA22" s="883">
        <v>0</v>
      </c>
      <c r="BB22" s="883">
        <v>0.6</v>
      </c>
      <c r="BC22" s="888">
        <v>0</v>
      </c>
      <c r="BD22" s="889">
        <v>0</v>
      </c>
      <c r="BE22" s="889">
        <v>0</v>
      </c>
      <c r="BF22" s="890">
        <v>1</v>
      </c>
      <c r="BG22" s="889">
        <v>1</v>
      </c>
      <c r="BH22" s="889">
        <v>0</v>
      </c>
      <c r="BI22" s="890">
        <v>0</v>
      </c>
      <c r="BJ22" s="889">
        <v>0</v>
      </c>
      <c r="BK22" s="889">
        <v>0</v>
      </c>
      <c r="BL22" s="889">
        <v>0</v>
      </c>
      <c r="BM22" s="890">
        <v>1</v>
      </c>
      <c r="BN22" s="958">
        <v>7.0000000000000007E-2</v>
      </c>
      <c r="BO22" s="959">
        <v>6</v>
      </c>
      <c r="BP22" s="1018">
        <f t="shared" ca="1" si="2"/>
        <v>181.084</v>
      </c>
      <c r="BQ22" s="1018">
        <f t="shared" ca="1" si="3"/>
        <v>302.464</v>
      </c>
      <c r="BR22" s="1018">
        <f t="shared" ca="1" si="4"/>
        <v>104.854</v>
      </c>
      <c r="BS22" s="1018">
        <f t="shared" ca="1" si="5"/>
        <v>129.21406907627619</v>
      </c>
      <c r="BT22" s="1018">
        <f t="shared" ca="1" si="6"/>
        <v>104.86</v>
      </c>
      <c r="BU22" s="1018">
        <f t="shared" ca="1" si="7"/>
        <v>14</v>
      </c>
      <c r="BV22" s="1018">
        <f t="shared" ca="1" si="8"/>
        <v>4.3</v>
      </c>
      <c r="BW22" s="1018">
        <v>0</v>
      </c>
      <c r="BX22" s="1018">
        <f t="shared" ca="1" si="9"/>
        <v>46.46410635155096</v>
      </c>
      <c r="BY22" s="1018">
        <f t="shared" ca="1" si="16"/>
        <v>76.52663818228848</v>
      </c>
      <c r="BZ22" s="1018">
        <f t="shared" ca="1" si="17"/>
        <v>26.681340533672177</v>
      </c>
      <c r="CA22" s="1018">
        <f t="shared" ca="1" si="18"/>
        <v>38.499999978825002</v>
      </c>
      <c r="CB22" s="1018">
        <f t="shared" ca="1" si="10"/>
        <v>9.0267175572519083</v>
      </c>
      <c r="CC22" s="1018">
        <f t="shared" si="19"/>
        <v>0</v>
      </c>
      <c r="CD22" s="1018">
        <f t="shared" ca="1" si="20"/>
        <v>222.20476743892786</v>
      </c>
      <c r="CE22" s="1018">
        <f t="shared" ca="1" si="21"/>
        <v>61.521110550810938</v>
      </c>
      <c r="CF22" s="1018">
        <f t="shared" ca="1" si="22"/>
        <v>8.5117763396921653</v>
      </c>
      <c r="CG22" s="1018">
        <f t="shared" ca="1" si="23"/>
        <v>14171.767134533868</v>
      </c>
    </row>
    <row r="23" spans="4:85" x14ac:dyDescent="0.25">
      <c r="D23" s="337"/>
      <c r="E23" s="336" t="s">
        <v>4</v>
      </c>
      <c r="F23" s="341">
        <v>0.14000000000000001</v>
      </c>
      <c r="G23" s="336" t="s">
        <v>5</v>
      </c>
      <c r="H23" s="341">
        <v>1</v>
      </c>
      <c r="I23" s="336" t="s">
        <v>6</v>
      </c>
      <c r="J23" s="341">
        <v>1</v>
      </c>
      <c r="K23" s="340" t="s">
        <v>12</v>
      </c>
      <c r="L23" s="341">
        <v>0.49970000000000003</v>
      </c>
      <c r="M23" s="337" t="s">
        <v>17</v>
      </c>
      <c r="N23" s="339">
        <v>8.5106382999999994E-2</v>
      </c>
      <c r="O23" s="337" t="s">
        <v>19</v>
      </c>
      <c r="P23" s="339">
        <v>0.84089392900000004</v>
      </c>
      <c r="Q23" s="337" t="s">
        <v>17</v>
      </c>
      <c r="R23" s="339">
        <v>1</v>
      </c>
      <c r="S23" s="337"/>
      <c r="T23" s="347">
        <v>2.8882806624192967E-4</v>
      </c>
      <c r="V23" s="176">
        <f t="shared" si="11"/>
        <v>2.8882806624192967E-4</v>
      </c>
      <c r="W23" s="176">
        <f t="shared" si="12"/>
        <v>2.8882806624192967E-4</v>
      </c>
      <c r="X23" s="176">
        <f t="shared" si="13"/>
        <v>2.8882806624192967E-4</v>
      </c>
      <c r="Y23" s="34">
        <f>X23/Calculation_sheet!M$67</f>
        <v>2.8883397174438066E-4</v>
      </c>
      <c r="Z23" s="176">
        <f ca="1">IF(AN23&gt;0,Y23*Calculation_sheet!C$87,0)</f>
        <v>0</v>
      </c>
      <c r="AA23" s="176">
        <f t="shared" ca="1" si="0"/>
        <v>2.8883397174438066E-4</v>
      </c>
      <c r="AB23" s="176">
        <f ca="1">IF(AP23&gt;0,AA23*Calculation_sheet!C$94,0)</f>
        <v>0</v>
      </c>
      <c r="AC23" s="176">
        <f t="shared" ca="1" si="1"/>
        <v>2.8883397174438066E-4</v>
      </c>
      <c r="AD23" s="958">
        <f ca="1">AC23*Calculation_sheet!C$99</f>
        <v>1.7330038304662839E-4</v>
      </c>
      <c r="AE23" s="176">
        <f t="shared" ca="1" si="1"/>
        <v>1.1553358869775227E-4</v>
      </c>
      <c r="AF23" s="176">
        <f t="shared" ca="1" si="14"/>
        <v>2.8883397174438066E-4</v>
      </c>
      <c r="AG23" s="958">
        <f ca="1">AF23*User_sheet!B$77/100</f>
        <v>0</v>
      </c>
      <c r="AH23" s="313"/>
      <c r="AI23" s="883">
        <v>101</v>
      </c>
      <c r="AJ23" s="985"/>
      <c r="AK23" s="1020">
        <f t="shared" ca="1" si="15"/>
        <v>222.20476743892786</v>
      </c>
      <c r="AL23" s="954">
        <f ca="1">AK23/'101'!I$24</f>
        <v>0.62979628120556086</v>
      </c>
      <c r="AM23" s="954">
        <f ca="1">0.8*(AK23*30+'101'!D$17*0.34*30*1)</f>
        <v>9058.3852665342692</v>
      </c>
      <c r="AN23" s="954">
        <f ca="1">IF(AM23&lt;User_sheet!B$50,Y23,0)</f>
        <v>2.8883397174438066E-4</v>
      </c>
      <c r="AO23" s="954">
        <f ca="1">20-(User_sheet!B$57/('Freestanding '!AK23+'101'!D$17*1*0.34))</f>
        <v>4.8979706675316113</v>
      </c>
      <c r="AP23" s="954">
        <f ca="1">IF(AO23&lt;User_sheet!B$59,0,BC23*AA23)</f>
        <v>0</v>
      </c>
      <c r="AQ23" s="985"/>
      <c r="AR23" s="883">
        <v>0.48</v>
      </c>
      <c r="AS23" s="883">
        <v>0.66</v>
      </c>
      <c r="AT23" s="883">
        <v>0.89</v>
      </c>
      <c r="AU23" s="883">
        <v>2.75</v>
      </c>
      <c r="AV23" s="883">
        <v>3.3</v>
      </c>
      <c r="AW23" s="883">
        <v>10916.451096266603</v>
      </c>
      <c r="AX23" s="883">
        <v>68297.998190252794</v>
      </c>
      <c r="AY23" s="883">
        <v>79015.992973719694</v>
      </c>
      <c r="AZ23" s="883">
        <v>0</v>
      </c>
      <c r="BA23" s="883">
        <v>0</v>
      </c>
      <c r="BB23" s="883">
        <v>0.6</v>
      </c>
      <c r="BC23" s="888">
        <v>0</v>
      </c>
      <c r="BD23" s="889">
        <v>0</v>
      </c>
      <c r="BE23" s="889">
        <v>0</v>
      </c>
      <c r="BF23" s="890">
        <v>1</v>
      </c>
      <c r="BG23" s="889">
        <v>0</v>
      </c>
      <c r="BH23" s="889">
        <v>1</v>
      </c>
      <c r="BI23" s="890">
        <v>0</v>
      </c>
      <c r="BJ23" s="889">
        <v>0</v>
      </c>
      <c r="BK23" s="889">
        <v>0</v>
      </c>
      <c r="BL23" s="889">
        <v>0</v>
      </c>
      <c r="BM23" s="890">
        <v>1</v>
      </c>
      <c r="BN23" s="958">
        <v>7.0000000000000007E-2</v>
      </c>
      <c r="BO23" s="959">
        <v>6</v>
      </c>
      <c r="BP23" s="1018">
        <f t="shared" ca="1" si="2"/>
        <v>181.084</v>
      </c>
      <c r="BQ23" s="1018">
        <f t="shared" ca="1" si="3"/>
        <v>302.464</v>
      </c>
      <c r="BR23" s="1018">
        <f t="shared" ca="1" si="4"/>
        <v>104.854</v>
      </c>
      <c r="BS23" s="1018">
        <f t="shared" ca="1" si="5"/>
        <v>129.21406907627619</v>
      </c>
      <c r="BT23" s="1018">
        <f t="shared" ca="1" si="6"/>
        <v>104.86</v>
      </c>
      <c r="BU23" s="1018">
        <f t="shared" ca="1" si="7"/>
        <v>14</v>
      </c>
      <c r="BV23" s="1018">
        <f t="shared" ca="1" si="8"/>
        <v>4.3</v>
      </c>
      <c r="BW23" s="1018">
        <v>0</v>
      </c>
      <c r="BX23" s="1018">
        <f t="shared" ca="1" si="9"/>
        <v>46.46410635155096</v>
      </c>
      <c r="BY23" s="1018">
        <f t="shared" ca="1" si="16"/>
        <v>76.52663818228848</v>
      </c>
      <c r="BZ23" s="1018">
        <f t="shared" ca="1" si="17"/>
        <v>26.681340533672177</v>
      </c>
      <c r="CA23" s="1018">
        <f t="shared" ca="1" si="18"/>
        <v>38.499999978825002</v>
      </c>
      <c r="CB23" s="1018">
        <f t="shared" ca="1" si="10"/>
        <v>9.0267175572519083</v>
      </c>
      <c r="CC23" s="1018">
        <f t="shared" si="19"/>
        <v>0</v>
      </c>
      <c r="CD23" s="1018">
        <f t="shared" ca="1" si="20"/>
        <v>222.20476743892786</v>
      </c>
      <c r="CE23" s="1018">
        <f t="shared" ca="1" si="21"/>
        <v>61.521110550810938</v>
      </c>
      <c r="CF23" s="1018">
        <f t="shared" ca="1" si="22"/>
        <v>8.5117763396921653</v>
      </c>
      <c r="CG23" s="1018">
        <f t="shared" ca="1" si="23"/>
        <v>14171.767134533868</v>
      </c>
    </row>
    <row r="24" spans="4:85" s="14" customFormat="1" x14ac:dyDescent="0.25">
      <c r="D24" s="345"/>
      <c r="E24" s="344"/>
      <c r="F24" s="345"/>
      <c r="G24" s="344"/>
      <c r="H24" s="345"/>
      <c r="I24" s="344"/>
      <c r="J24" s="345"/>
      <c r="K24" s="346"/>
      <c r="L24" s="345"/>
      <c r="M24" s="345"/>
      <c r="N24" s="345"/>
      <c r="O24" s="345"/>
      <c r="P24" s="345"/>
      <c r="Q24" s="345"/>
      <c r="R24" s="345"/>
      <c r="S24" s="345"/>
      <c r="T24" s="349"/>
      <c r="U24" s="273"/>
      <c r="V24" s="292"/>
      <c r="W24" s="292"/>
      <c r="X24" s="292"/>
      <c r="Y24" s="277"/>
      <c r="Z24" s="292"/>
      <c r="AA24" s="292"/>
      <c r="AB24" s="292"/>
      <c r="AC24" s="292"/>
      <c r="AD24" s="277"/>
      <c r="AE24" s="292"/>
      <c r="AF24" s="292"/>
      <c r="AG24" s="277"/>
      <c r="AH24" s="313"/>
      <c r="AI24" s="887"/>
      <c r="AJ24" s="985"/>
      <c r="AK24" s="1020">
        <f t="shared" si="15"/>
        <v>0</v>
      </c>
      <c r="AL24" s="986"/>
      <c r="AM24" s="986"/>
      <c r="AN24" s="986"/>
      <c r="AO24" s="986"/>
      <c r="AP24" s="986"/>
      <c r="AQ24" s="985"/>
      <c r="AR24" s="887"/>
      <c r="AS24" s="887"/>
      <c r="AT24" s="887"/>
      <c r="AU24" s="887"/>
      <c r="AV24" s="887"/>
      <c r="AW24" s="887"/>
      <c r="AX24" s="887"/>
      <c r="AY24" s="887"/>
      <c r="AZ24" s="887"/>
      <c r="BA24" s="887"/>
      <c r="BB24" s="887"/>
      <c r="BC24" s="45"/>
      <c r="BD24" s="277"/>
      <c r="BE24" s="277"/>
      <c r="BF24" s="49"/>
      <c r="BG24" s="887"/>
      <c r="BH24" s="887"/>
      <c r="BI24" s="49"/>
      <c r="BJ24" s="887"/>
      <c r="BK24" s="887"/>
      <c r="BL24" s="887"/>
      <c r="BM24" s="49"/>
      <c r="BN24" s="277"/>
      <c r="BO24" s="49"/>
      <c r="BP24" s="928"/>
      <c r="BQ24" s="928"/>
      <c r="BR24" s="928"/>
      <c r="BS24" s="928"/>
      <c r="BT24" s="928"/>
      <c r="BU24" s="928"/>
      <c r="BV24" s="928"/>
      <c r="BW24" s="928"/>
      <c r="BX24" s="928"/>
      <c r="BY24" s="928"/>
      <c r="BZ24" s="928"/>
      <c r="CA24" s="928"/>
      <c r="CB24" s="928"/>
      <c r="CC24" s="928"/>
      <c r="CD24" s="928"/>
      <c r="CE24" s="928"/>
      <c r="CF24" s="928"/>
      <c r="CG24" s="928"/>
    </row>
    <row r="25" spans="4:85" x14ac:dyDescent="0.25">
      <c r="D25" s="342"/>
      <c r="E25" s="338"/>
      <c r="F25" s="342"/>
      <c r="G25" s="338"/>
      <c r="H25" s="342"/>
      <c r="I25" s="338"/>
      <c r="J25" s="342"/>
      <c r="K25" s="343"/>
      <c r="L25" s="337"/>
      <c r="M25" s="337"/>
      <c r="N25" s="337"/>
      <c r="O25" s="337"/>
      <c r="P25" s="337"/>
      <c r="Q25" s="337" t="s">
        <v>16</v>
      </c>
      <c r="R25" s="339">
        <v>0.73860000000000003</v>
      </c>
      <c r="S25" s="337"/>
      <c r="T25" s="347">
        <v>8.3948169855138145E-4</v>
      </c>
      <c r="V25" s="176">
        <f>T25</f>
        <v>8.3948169855138145E-4</v>
      </c>
      <c r="W25" s="176">
        <f>V25</f>
        <v>8.3948169855138145E-4</v>
      </c>
      <c r="X25" s="176">
        <f>W25</f>
        <v>8.3948169855138145E-4</v>
      </c>
      <c r="Y25" s="958">
        <f>X25/Calculation_sheet!M$67</f>
        <v>8.3949886295404106E-4</v>
      </c>
      <c r="Z25" s="176">
        <f ca="1">IF(AN25&gt;0,Y25*Calculation_sheet!C$87,0)</f>
        <v>0</v>
      </c>
      <c r="AA25" s="176">
        <f ca="1">Y25-Z25</f>
        <v>8.3949886295404106E-4</v>
      </c>
      <c r="AB25" s="176">
        <f ca="1">IF(AP25&gt;0,AA25*Calculation_sheet!C$94,0)</f>
        <v>0</v>
      </c>
      <c r="AC25" s="176">
        <f t="shared" ref="AC25:AE35" ca="1" si="24">AA25-AB25</f>
        <v>8.3949886295404106E-4</v>
      </c>
      <c r="AD25" s="958">
        <f ca="1">AC25*Calculation_sheet!C$99</f>
        <v>5.0369931777242462E-4</v>
      </c>
      <c r="AE25" s="176">
        <f t="shared" ca="1" si="24"/>
        <v>3.3579954518161645E-4</v>
      </c>
      <c r="AF25" s="176">
        <f ca="1">Y25-AB25</f>
        <v>8.3949886295404106E-4</v>
      </c>
      <c r="AG25" s="958">
        <f ca="1">AF25*User_sheet!B$77/100</f>
        <v>0</v>
      </c>
      <c r="AH25" s="313"/>
      <c r="AI25" s="886">
        <v>101</v>
      </c>
      <c r="AJ25" s="985"/>
      <c r="AK25" s="1020">
        <f t="shared" ca="1" si="15"/>
        <v>310.90188216693264</v>
      </c>
      <c r="AL25" s="954">
        <f ca="1">AK25/'101'!I$24</f>
        <v>0.88119103593202563</v>
      </c>
      <c r="AM25" s="954">
        <f ca="1">0.8*(AK25*30+'101'!D$17*0.34*30*1)</f>
        <v>11187.116020006384</v>
      </c>
      <c r="AN25" s="954">
        <f ca="1">IF(AM25&lt;User_sheet!B$50,Y25,0)</f>
        <v>0</v>
      </c>
      <c r="AO25" s="954">
        <f ca="1">20-(User_sheet!B$57/('Freestanding '!AK25+'101'!D$17*1*0.34))</f>
        <v>7.7716473347237223</v>
      </c>
      <c r="AP25" s="954">
        <f ca="1">IF(AO25&lt;User_sheet!B$59,0,BC25*AA25)</f>
        <v>0</v>
      </c>
      <c r="AQ25" s="985"/>
      <c r="AR25" s="886">
        <v>0.48</v>
      </c>
      <c r="AS25" s="883">
        <v>0.66</v>
      </c>
      <c r="AT25" s="883">
        <v>7.9</v>
      </c>
      <c r="AU25" s="886">
        <v>2.75</v>
      </c>
      <c r="AV25" s="886">
        <v>3.3</v>
      </c>
      <c r="AW25" s="886">
        <v>10916.451096266603</v>
      </c>
      <c r="AX25" s="883">
        <v>68297.998190252794</v>
      </c>
      <c r="AY25" s="883">
        <v>67352.647733737584</v>
      </c>
      <c r="AZ25" s="886">
        <v>0</v>
      </c>
      <c r="BA25" s="886">
        <v>0</v>
      </c>
      <c r="BB25" s="886">
        <v>0.6</v>
      </c>
      <c r="BC25" s="46">
        <v>1</v>
      </c>
      <c r="BD25" s="199">
        <v>0</v>
      </c>
      <c r="BE25" s="199">
        <v>0</v>
      </c>
      <c r="BF25" s="50">
        <v>0</v>
      </c>
      <c r="BG25" s="886">
        <v>1</v>
      </c>
      <c r="BH25" s="886">
        <v>0</v>
      </c>
      <c r="BI25" s="50">
        <v>0</v>
      </c>
      <c r="BJ25" s="886">
        <v>1</v>
      </c>
      <c r="BK25" s="886">
        <v>0</v>
      </c>
      <c r="BL25" s="886">
        <v>0</v>
      </c>
      <c r="BM25" s="50">
        <v>0</v>
      </c>
      <c r="BN25" s="958">
        <v>7.0000000000000007E-2</v>
      </c>
      <c r="BO25" s="959">
        <v>6</v>
      </c>
      <c r="BP25" s="926">
        <f t="shared" ref="BP25:BP35" ca="1" si="25">INDIRECT("'"&amp;AI25&amp;"'!"&amp;"B2")</f>
        <v>181.084</v>
      </c>
      <c r="BQ25" s="926">
        <f t="shared" ref="BQ25:BQ35" ca="1" si="26">INDIRECT("'"&amp;AI25&amp;"'!"&amp;"C12")+INDIRECT("'"&amp;AI25&amp;"'!"&amp;"C13")+INDIRECT("'"&amp;AI25&amp;"'!"&amp;"C14")+INDIRECT("'"&amp;AI25&amp;"'!"&amp;"C15")+INDIRECT("'"&amp;AI25&amp;"'!"&amp;"C17")</f>
        <v>302.464</v>
      </c>
      <c r="BR25" s="926">
        <f t="shared" ref="BR25:BR35" ca="1" si="27">INDIRECT("'"&amp;AI25&amp;"'!"&amp;"G5")</f>
        <v>104.854</v>
      </c>
      <c r="BS25" s="926">
        <f t="shared" ref="BS25:BS35" ca="1" si="28">INDIRECT("'"&amp;AI25&amp;"'!"&amp;"G4")</f>
        <v>129.21406907627619</v>
      </c>
      <c r="BT25" s="926">
        <f t="shared" ref="BT25:BT35" ca="1" si="29">INDIRECT("'"&amp;AI25&amp;"'!"&amp;"G6")</f>
        <v>104.86</v>
      </c>
      <c r="BU25" s="926">
        <f t="shared" ref="BU25:BU35" ca="1" si="30">INDIRECT("'"&amp;AI25&amp;"'!"&amp;"G2")</f>
        <v>14</v>
      </c>
      <c r="BV25" s="926">
        <f t="shared" ref="BV25:BV35" ca="1" si="31">INDIRECT("'"&amp;AI25&amp;"'!"&amp;"G3")</f>
        <v>4.3</v>
      </c>
      <c r="BW25" s="926">
        <v>0</v>
      </c>
      <c r="BX25" s="1018">
        <f t="shared" ref="BX25:BX35" ca="1" si="32">IF(BR25=0,0,1/(1/(BR25*$BY$3)+1/(BR25*AR25)+1/(BR25*$BY$4)))</f>
        <v>46.46410635155096</v>
      </c>
      <c r="BY25" s="1018">
        <f t="shared" ref="BY25:BY35" ca="1" si="33">IF(BS25=0,0,1/(1/(BS25*$BY$3)+1/(BS25*AS25)+1/(BS25*$BY$4)))</f>
        <v>76.52663818228848</v>
      </c>
      <c r="BZ25" s="1018">
        <f t="shared" ca="1" si="17"/>
        <v>115.37845526167696</v>
      </c>
      <c r="CA25" s="1018">
        <f t="shared" ca="1" si="18"/>
        <v>38.499999978825002</v>
      </c>
      <c r="CB25" s="1018">
        <f t="shared" ref="CB25:CB35" ca="1" si="34">IF(BV25=0,0,1/(1/(BV25*$BY$3)+1/(BV25*AV25)+1/(BV25*$BY$4)))</f>
        <v>9.0267175572519083</v>
      </c>
      <c r="CC25" s="1018">
        <f t="shared" si="19"/>
        <v>0</v>
      </c>
      <c r="CD25" s="1018">
        <f ca="1">SUM(BX25:CC25)+(BR25+BS25+BT25+BU25+BV25)*BN25</f>
        <v>310.90188216693264</v>
      </c>
      <c r="CE25" s="1018">
        <f ca="1">0.34*BO25*(1/25)^0.66*(BR25+BS25+BU25+BV25)</f>
        <v>61.521110550810938</v>
      </c>
      <c r="CF25" s="1018">
        <f t="shared" ca="1" si="22"/>
        <v>11.172689781532306</v>
      </c>
      <c r="CG25" s="926">
        <f t="shared" ca="1" si="23"/>
        <v>18602.081578660025</v>
      </c>
    </row>
    <row r="26" spans="4:85" x14ac:dyDescent="0.25">
      <c r="D26" s="342"/>
      <c r="E26" s="338"/>
      <c r="F26" s="342"/>
      <c r="G26" s="338"/>
      <c r="H26" s="342"/>
      <c r="I26" s="338"/>
      <c r="J26" s="342"/>
      <c r="K26" s="343"/>
      <c r="L26" s="337"/>
      <c r="M26" s="337"/>
      <c r="N26" s="337"/>
      <c r="O26" s="337" t="s">
        <v>18</v>
      </c>
      <c r="P26" s="339">
        <v>0.62953995200000001</v>
      </c>
      <c r="Q26" s="337" t="s">
        <v>7</v>
      </c>
      <c r="R26" s="339">
        <v>0.26140000000000002</v>
      </c>
      <c r="S26" s="337"/>
      <c r="T26" s="347">
        <v>2.9710332521165877E-4</v>
      </c>
      <c r="V26" s="176">
        <f t="shared" ref="V26:V35" si="35">T26</f>
        <v>2.9710332521165877E-4</v>
      </c>
      <c r="W26" s="176">
        <f t="shared" ref="W26:W35" si="36">V26</f>
        <v>2.9710332521165877E-4</v>
      </c>
      <c r="X26" s="176">
        <f t="shared" ref="X26:X35" si="37">W26</f>
        <v>2.9710332521165877E-4</v>
      </c>
      <c r="Y26" s="958">
        <f>X26/Calculation_sheet!M$67</f>
        <v>2.9710939991360195E-4</v>
      </c>
      <c r="Z26" s="176">
        <f ca="1">IF(AN26&gt;0,Y26*Calculation_sheet!C$87,0)</f>
        <v>0</v>
      </c>
      <c r="AA26" s="176">
        <f t="shared" ref="AA26:AA35" ca="1" si="38">Y26-Z26</f>
        <v>2.9710939991360195E-4</v>
      </c>
      <c r="AB26" s="176">
        <f ca="1">IF(AP26&gt;0,AA26*Calculation_sheet!C$94,0)</f>
        <v>0</v>
      </c>
      <c r="AC26" s="176">
        <f t="shared" ca="1" si="24"/>
        <v>2.9710939991360195E-4</v>
      </c>
      <c r="AD26" s="958">
        <f ca="1">AC26*Calculation_sheet!C$99</f>
        <v>1.7826563994816116E-4</v>
      </c>
      <c r="AE26" s="176">
        <f t="shared" ca="1" si="24"/>
        <v>1.188437599654408E-4</v>
      </c>
      <c r="AF26" s="176">
        <f t="shared" ref="AF26:AF35" ca="1" si="39">Y26-AB26</f>
        <v>2.9710939991360195E-4</v>
      </c>
      <c r="AG26" s="958">
        <f ca="1">AF26*User_sheet!B$77/100</f>
        <v>0</v>
      </c>
      <c r="AH26" s="313"/>
      <c r="AI26" s="883">
        <v>101</v>
      </c>
      <c r="AJ26" s="985"/>
      <c r="AK26" s="1020">
        <f t="shared" ca="1" si="15"/>
        <v>310.90188216693264</v>
      </c>
      <c r="AL26" s="954">
        <f ca="1">AK26/'101'!I$24</f>
        <v>0.88119103593202563</v>
      </c>
      <c r="AM26" s="954">
        <f ca="1">0.8*(AK26*30+'101'!D$17*0.34*30*1)</f>
        <v>11187.116020006384</v>
      </c>
      <c r="AN26" s="954">
        <f ca="1">IF(AM26&lt;User_sheet!B$50,Y26,0)</f>
        <v>0</v>
      </c>
      <c r="AO26" s="954">
        <f ca="1">20-(User_sheet!B$57/('Freestanding '!AK26+'101'!D$17*1*0.34))</f>
        <v>7.7716473347237223</v>
      </c>
      <c r="AP26" s="954">
        <f ca="1">IF(AO26&lt;User_sheet!B$59,0,BC26*AA26)</f>
        <v>0</v>
      </c>
      <c r="AQ26" s="985"/>
      <c r="AR26" s="883">
        <v>0.48</v>
      </c>
      <c r="AS26" s="883">
        <v>0.66</v>
      </c>
      <c r="AT26" s="883">
        <v>7.9</v>
      </c>
      <c r="AU26" s="883">
        <v>2.75</v>
      </c>
      <c r="AV26" s="883">
        <v>3.3</v>
      </c>
      <c r="AW26" s="883">
        <v>10916.451096266603</v>
      </c>
      <c r="AX26" s="883">
        <v>68297.998190252794</v>
      </c>
      <c r="AY26" s="883">
        <v>67352.647733737584</v>
      </c>
      <c r="AZ26" s="883">
        <v>0</v>
      </c>
      <c r="BA26" s="883">
        <v>0</v>
      </c>
      <c r="BB26" s="883">
        <v>0.6</v>
      </c>
      <c r="BC26" s="888">
        <v>1</v>
      </c>
      <c r="BD26" s="889">
        <v>0</v>
      </c>
      <c r="BE26" s="889">
        <v>0</v>
      </c>
      <c r="BF26" s="890">
        <v>0</v>
      </c>
      <c r="BG26" s="883">
        <v>1</v>
      </c>
      <c r="BH26" s="883">
        <v>0</v>
      </c>
      <c r="BI26" s="890">
        <v>0</v>
      </c>
      <c r="BJ26" s="883">
        <v>0</v>
      </c>
      <c r="BK26" s="883">
        <v>0</v>
      </c>
      <c r="BL26" s="883">
        <v>1</v>
      </c>
      <c r="BM26" s="890">
        <v>0</v>
      </c>
      <c r="BN26" s="958">
        <v>7.0000000000000007E-2</v>
      </c>
      <c r="BO26" s="959">
        <v>6</v>
      </c>
      <c r="BP26" s="926">
        <f t="shared" ca="1" si="25"/>
        <v>181.084</v>
      </c>
      <c r="BQ26" s="926">
        <f t="shared" ca="1" si="26"/>
        <v>302.464</v>
      </c>
      <c r="BR26" s="926">
        <f t="shared" ca="1" si="27"/>
        <v>104.854</v>
      </c>
      <c r="BS26" s="926">
        <f t="shared" ca="1" si="28"/>
        <v>129.21406907627619</v>
      </c>
      <c r="BT26" s="926">
        <f t="shared" ca="1" si="29"/>
        <v>104.86</v>
      </c>
      <c r="BU26" s="926">
        <f t="shared" ca="1" si="30"/>
        <v>14</v>
      </c>
      <c r="BV26" s="926">
        <f t="shared" ca="1" si="31"/>
        <v>4.3</v>
      </c>
      <c r="BW26" s="926">
        <v>0</v>
      </c>
      <c r="BX26" s="1018">
        <f t="shared" ca="1" si="32"/>
        <v>46.46410635155096</v>
      </c>
      <c r="BY26" s="1018">
        <f t="shared" ca="1" si="33"/>
        <v>76.52663818228848</v>
      </c>
      <c r="BZ26" s="1018">
        <f t="shared" ca="1" si="17"/>
        <v>115.37845526167696</v>
      </c>
      <c r="CA26" s="1018">
        <f t="shared" ca="1" si="18"/>
        <v>38.499999978825002</v>
      </c>
      <c r="CB26" s="1018">
        <f t="shared" ca="1" si="34"/>
        <v>9.0267175572519083</v>
      </c>
      <c r="CC26" s="1018">
        <f t="shared" si="19"/>
        <v>0</v>
      </c>
      <c r="CD26" s="1018">
        <f t="shared" ref="CD26:CD35" ca="1" si="40">SUM(BX26:CC26)+(BR26+BS26+BT26+BU26+BV26)*BN26</f>
        <v>310.90188216693264</v>
      </c>
      <c r="CE26" s="1018">
        <f t="shared" ref="CE26:CE35" ca="1" si="41">0.34*BO26*(1/25)^0.66*(BR26+BS26+BU26+BV26)</f>
        <v>61.521110550810938</v>
      </c>
      <c r="CF26" s="1018">
        <f t="shared" ca="1" si="22"/>
        <v>11.172689781532306</v>
      </c>
      <c r="CG26" s="926">
        <f t="shared" ca="1" si="23"/>
        <v>18602.081578660025</v>
      </c>
    </row>
    <row r="27" spans="4:85" x14ac:dyDescent="0.25">
      <c r="D27" s="342"/>
      <c r="E27" s="338"/>
      <c r="F27" s="342"/>
      <c r="G27" s="338"/>
      <c r="H27" s="342"/>
      <c r="I27" s="338"/>
      <c r="J27" s="342"/>
      <c r="K27" s="343"/>
      <c r="L27" s="337"/>
      <c r="M27" s="337"/>
      <c r="N27" s="337"/>
      <c r="O27" s="337"/>
      <c r="P27" s="337"/>
      <c r="Q27" s="337" t="s">
        <v>16</v>
      </c>
      <c r="R27" s="339">
        <v>0.73860000000000003</v>
      </c>
      <c r="S27" s="337"/>
      <c r="T27" s="347">
        <v>4.9400269093718518E-4</v>
      </c>
      <c r="V27" s="176">
        <f t="shared" si="35"/>
        <v>4.9400269093718518E-4</v>
      </c>
      <c r="W27" s="176">
        <f t="shared" si="36"/>
        <v>4.9400269093718518E-4</v>
      </c>
      <c r="X27" s="176">
        <f t="shared" si="37"/>
        <v>4.9400269093718518E-4</v>
      </c>
      <c r="Y27" s="958">
        <f>X27/Calculation_sheet!M$67</f>
        <v>4.9401279152796258E-4</v>
      </c>
      <c r="Z27" s="176">
        <f ca="1">IF(AN27&gt;0,Y27*Calculation_sheet!C$87,0)</f>
        <v>0</v>
      </c>
      <c r="AA27" s="176">
        <f t="shared" ca="1" si="38"/>
        <v>4.9401279152796258E-4</v>
      </c>
      <c r="AB27" s="176">
        <f ca="1">IF(AP27&gt;0,AA27*Calculation_sheet!C$94,0)</f>
        <v>0</v>
      </c>
      <c r="AC27" s="176">
        <f t="shared" ca="1" si="24"/>
        <v>4.9401279152796258E-4</v>
      </c>
      <c r="AD27" s="958">
        <f ca="1">AC27*Calculation_sheet!C$99</f>
        <v>2.9640767491677752E-4</v>
      </c>
      <c r="AE27" s="176">
        <f t="shared" ca="1" si="24"/>
        <v>1.9760511661118507E-4</v>
      </c>
      <c r="AF27" s="176">
        <f t="shared" ca="1" si="39"/>
        <v>4.9401279152796258E-4</v>
      </c>
      <c r="AG27" s="958">
        <f ca="1">AF27*User_sheet!B$77/100</f>
        <v>0</v>
      </c>
      <c r="AH27" s="313"/>
      <c r="AI27" s="883">
        <v>101</v>
      </c>
      <c r="AJ27" s="985"/>
      <c r="AK27" s="1020">
        <f t="shared" ca="1" si="15"/>
        <v>310.90188216693264</v>
      </c>
      <c r="AL27" s="954">
        <f ca="1">AK27/'101'!I$24</f>
        <v>0.88119103593202563</v>
      </c>
      <c r="AM27" s="954">
        <f ca="1">0.8*(AK27*30+'101'!D$17*0.34*30*1)</f>
        <v>11187.116020006384</v>
      </c>
      <c r="AN27" s="954">
        <f ca="1">IF(AM27&lt;User_sheet!B$50,Y27,0)</f>
        <v>0</v>
      </c>
      <c r="AO27" s="954">
        <f ca="1">20-(User_sheet!B$57/('Freestanding '!AK27+'101'!D$17*1*0.34))</f>
        <v>7.7716473347237223</v>
      </c>
      <c r="AP27" s="954">
        <f ca="1">IF(AO27&lt;User_sheet!B$59,0,BC27*AA27)</f>
        <v>0</v>
      </c>
      <c r="AQ27" s="985"/>
      <c r="AR27" s="883">
        <v>0.48</v>
      </c>
      <c r="AS27" s="883">
        <v>0.66</v>
      </c>
      <c r="AT27" s="883">
        <v>7.9</v>
      </c>
      <c r="AU27" s="883">
        <v>2.75</v>
      </c>
      <c r="AV27" s="883">
        <v>3.3</v>
      </c>
      <c r="AW27" s="883">
        <v>10916.451096266603</v>
      </c>
      <c r="AX27" s="883">
        <v>68297.998190252794</v>
      </c>
      <c r="AY27" s="883">
        <v>67352.647733737584</v>
      </c>
      <c r="AZ27" s="883">
        <v>0</v>
      </c>
      <c r="BA27" s="883">
        <v>0</v>
      </c>
      <c r="BB27" s="883">
        <v>0.6</v>
      </c>
      <c r="BC27" s="888">
        <v>1</v>
      </c>
      <c r="BD27" s="889">
        <v>0</v>
      </c>
      <c r="BE27" s="889">
        <v>0</v>
      </c>
      <c r="BF27" s="890">
        <v>0</v>
      </c>
      <c r="BG27" s="883">
        <v>0</v>
      </c>
      <c r="BH27" s="883">
        <v>1</v>
      </c>
      <c r="BI27" s="890">
        <v>0</v>
      </c>
      <c r="BJ27" s="883">
        <v>1</v>
      </c>
      <c r="BK27" s="883">
        <v>0</v>
      </c>
      <c r="BL27" s="883">
        <v>0</v>
      </c>
      <c r="BM27" s="890">
        <v>0</v>
      </c>
      <c r="BN27" s="958">
        <v>7.0000000000000007E-2</v>
      </c>
      <c r="BO27" s="959">
        <v>6</v>
      </c>
      <c r="BP27" s="926">
        <f t="shared" ca="1" si="25"/>
        <v>181.084</v>
      </c>
      <c r="BQ27" s="926">
        <f t="shared" ca="1" si="26"/>
        <v>302.464</v>
      </c>
      <c r="BR27" s="926">
        <f t="shared" ca="1" si="27"/>
        <v>104.854</v>
      </c>
      <c r="BS27" s="926">
        <f t="shared" ca="1" si="28"/>
        <v>129.21406907627619</v>
      </c>
      <c r="BT27" s="926">
        <f t="shared" ca="1" si="29"/>
        <v>104.86</v>
      </c>
      <c r="BU27" s="926">
        <f t="shared" ca="1" si="30"/>
        <v>14</v>
      </c>
      <c r="BV27" s="926">
        <f t="shared" ca="1" si="31"/>
        <v>4.3</v>
      </c>
      <c r="BW27" s="926">
        <v>0</v>
      </c>
      <c r="BX27" s="926">
        <f t="shared" ca="1" si="32"/>
        <v>46.46410635155096</v>
      </c>
      <c r="BY27" s="926">
        <f t="shared" ca="1" si="33"/>
        <v>76.52663818228848</v>
      </c>
      <c r="BZ27" s="926">
        <f t="shared" ca="1" si="17"/>
        <v>115.37845526167696</v>
      </c>
      <c r="CA27" s="926">
        <f t="shared" ca="1" si="18"/>
        <v>38.499999978825002</v>
      </c>
      <c r="CB27" s="926">
        <f t="shared" ca="1" si="34"/>
        <v>9.0267175572519083</v>
      </c>
      <c r="CC27" s="926">
        <f t="shared" si="19"/>
        <v>0</v>
      </c>
      <c r="CD27" s="1018">
        <f t="shared" ca="1" si="40"/>
        <v>310.90188216693264</v>
      </c>
      <c r="CE27" s="1018">
        <f t="shared" ca="1" si="41"/>
        <v>61.521110550810938</v>
      </c>
      <c r="CF27" s="926">
        <f t="shared" ca="1" si="22"/>
        <v>11.172689781532306</v>
      </c>
      <c r="CG27" s="926">
        <f t="shared" ca="1" si="23"/>
        <v>18602.081578660025</v>
      </c>
    </row>
    <row r="28" spans="4:85" x14ac:dyDescent="0.25">
      <c r="D28" s="342"/>
      <c r="E28" s="338"/>
      <c r="F28" s="342"/>
      <c r="G28" s="338"/>
      <c r="H28" s="342"/>
      <c r="I28" s="338"/>
      <c r="J28" s="342"/>
      <c r="K28" s="343"/>
      <c r="L28" s="337"/>
      <c r="M28" s="337" t="s">
        <v>16</v>
      </c>
      <c r="N28" s="339">
        <v>0.44680851100000002</v>
      </c>
      <c r="O28" s="337" t="s">
        <v>19</v>
      </c>
      <c r="P28" s="339">
        <v>0.37046004799999999</v>
      </c>
      <c r="Q28" s="337" t="s">
        <v>7</v>
      </c>
      <c r="R28" s="339">
        <v>0.26140000000000002</v>
      </c>
      <c r="S28" s="337"/>
      <c r="T28" s="347">
        <v>1.748338795166263E-4</v>
      </c>
      <c r="V28" s="176">
        <f t="shared" si="35"/>
        <v>1.748338795166263E-4</v>
      </c>
      <c r="W28" s="176">
        <f t="shared" si="36"/>
        <v>1.748338795166263E-4</v>
      </c>
      <c r="X28" s="176">
        <f t="shared" si="37"/>
        <v>1.748338795166263E-4</v>
      </c>
      <c r="Y28" s="958">
        <f>X28/Calculation_sheet!M$67</f>
        <v>1.7483745424507095E-4</v>
      </c>
      <c r="Z28" s="176">
        <f ca="1">IF(AN28&gt;0,Y28*Calculation_sheet!C$87,0)</f>
        <v>0</v>
      </c>
      <c r="AA28" s="176">
        <f t="shared" ca="1" si="38"/>
        <v>1.7483745424507095E-4</v>
      </c>
      <c r="AB28" s="176">
        <f ca="1">IF(AP28&gt;0,AA28*Calculation_sheet!C$94,0)</f>
        <v>0</v>
      </c>
      <c r="AC28" s="176">
        <f t="shared" ca="1" si="24"/>
        <v>1.7483745424507095E-4</v>
      </c>
      <c r="AD28" s="958">
        <f ca="1">AC28*Calculation_sheet!C$99</f>
        <v>1.0490247254704257E-4</v>
      </c>
      <c r="AE28" s="176">
        <f t="shared" ca="1" si="24"/>
        <v>6.9934981698028381E-5</v>
      </c>
      <c r="AF28" s="176">
        <f t="shared" ca="1" si="39"/>
        <v>1.7483745424507095E-4</v>
      </c>
      <c r="AG28" s="958">
        <f ca="1">AF28*User_sheet!B$77/100</f>
        <v>0</v>
      </c>
      <c r="AH28" s="313"/>
      <c r="AI28" s="883">
        <v>101</v>
      </c>
      <c r="AJ28" s="985"/>
      <c r="AK28" s="1020">
        <f t="shared" ca="1" si="15"/>
        <v>310.90188216693264</v>
      </c>
      <c r="AL28" s="954">
        <f ca="1">AK28/'101'!I$24</f>
        <v>0.88119103593202563</v>
      </c>
      <c r="AM28" s="954">
        <f ca="1">0.8*(AK28*30+'101'!D$17*0.34*30*1)</f>
        <v>11187.116020006384</v>
      </c>
      <c r="AN28" s="954">
        <f ca="1">IF(AM28&lt;User_sheet!B$50,Y28,0)</f>
        <v>0</v>
      </c>
      <c r="AO28" s="954">
        <f ca="1">20-(User_sheet!B$57/('Freestanding '!AK28+'101'!D$17*1*0.34))</f>
        <v>7.7716473347237223</v>
      </c>
      <c r="AP28" s="954">
        <f ca="1">IF(AO28&lt;User_sheet!B$59,0,BC28*AA28)</f>
        <v>0</v>
      </c>
      <c r="AQ28" s="985"/>
      <c r="AR28" s="883">
        <v>0.48</v>
      </c>
      <c r="AS28" s="883">
        <v>0.66</v>
      </c>
      <c r="AT28" s="883">
        <v>7.9</v>
      </c>
      <c r="AU28" s="883">
        <v>2.75</v>
      </c>
      <c r="AV28" s="883">
        <v>3.3</v>
      </c>
      <c r="AW28" s="883">
        <v>10916.451096266603</v>
      </c>
      <c r="AX28" s="883">
        <v>68297.998190252794</v>
      </c>
      <c r="AY28" s="883">
        <v>67352.647733737584</v>
      </c>
      <c r="AZ28" s="883">
        <v>0</v>
      </c>
      <c r="BA28" s="883">
        <v>0</v>
      </c>
      <c r="BB28" s="883">
        <v>0.6</v>
      </c>
      <c r="BC28" s="888">
        <v>1</v>
      </c>
      <c r="BD28" s="889">
        <v>0</v>
      </c>
      <c r="BE28" s="889">
        <v>0</v>
      </c>
      <c r="BF28" s="890">
        <v>0</v>
      </c>
      <c r="BG28" s="883">
        <v>0</v>
      </c>
      <c r="BH28" s="883">
        <v>1</v>
      </c>
      <c r="BI28" s="890">
        <v>0</v>
      </c>
      <c r="BJ28" s="883">
        <v>0</v>
      </c>
      <c r="BK28" s="883">
        <v>0</v>
      </c>
      <c r="BL28" s="883">
        <v>1</v>
      </c>
      <c r="BM28" s="890">
        <v>0</v>
      </c>
      <c r="BN28" s="958">
        <v>7.0000000000000007E-2</v>
      </c>
      <c r="BO28" s="959">
        <v>6</v>
      </c>
      <c r="BP28" s="926">
        <f t="shared" ca="1" si="25"/>
        <v>181.084</v>
      </c>
      <c r="BQ28" s="926">
        <f t="shared" ca="1" si="26"/>
        <v>302.464</v>
      </c>
      <c r="BR28" s="926">
        <f t="shared" ca="1" si="27"/>
        <v>104.854</v>
      </c>
      <c r="BS28" s="926">
        <f t="shared" ca="1" si="28"/>
        <v>129.21406907627619</v>
      </c>
      <c r="BT28" s="926">
        <f t="shared" ca="1" si="29"/>
        <v>104.86</v>
      </c>
      <c r="BU28" s="926">
        <f t="shared" ca="1" si="30"/>
        <v>14</v>
      </c>
      <c r="BV28" s="926">
        <f t="shared" ca="1" si="31"/>
        <v>4.3</v>
      </c>
      <c r="BW28" s="926">
        <v>0</v>
      </c>
      <c r="BX28" s="926">
        <f t="shared" ca="1" si="32"/>
        <v>46.46410635155096</v>
      </c>
      <c r="BY28" s="926">
        <f t="shared" ca="1" si="33"/>
        <v>76.52663818228848</v>
      </c>
      <c r="BZ28" s="926">
        <f t="shared" ca="1" si="17"/>
        <v>115.37845526167696</v>
      </c>
      <c r="CA28" s="926">
        <f t="shared" ca="1" si="18"/>
        <v>38.499999978825002</v>
      </c>
      <c r="CB28" s="926">
        <f t="shared" ca="1" si="34"/>
        <v>9.0267175572519083</v>
      </c>
      <c r="CC28" s="926">
        <f t="shared" si="19"/>
        <v>0</v>
      </c>
      <c r="CD28" s="1018">
        <f t="shared" ca="1" si="40"/>
        <v>310.90188216693264</v>
      </c>
      <c r="CE28" s="1018">
        <f t="shared" ca="1" si="41"/>
        <v>61.521110550810938</v>
      </c>
      <c r="CF28" s="926">
        <f t="shared" ca="1" si="22"/>
        <v>11.172689781532306</v>
      </c>
      <c r="CG28" s="926">
        <f t="shared" ca="1" si="23"/>
        <v>18602.081578660025</v>
      </c>
    </row>
    <row r="29" spans="4:85" x14ac:dyDescent="0.25">
      <c r="D29" s="342"/>
      <c r="E29" s="338"/>
      <c r="F29" s="342"/>
      <c r="G29" s="338"/>
      <c r="H29" s="342"/>
      <c r="I29" s="338"/>
      <c r="J29" s="342"/>
      <c r="K29" s="343"/>
      <c r="L29" s="337"/>
      <c r="M29" s="337"/>
      <c r="N29" s="337"/>
      <c r="O29" s="337"/>
      <c r="P29" s="337"/>
      <c r="Q29" s="337" t="s">
        <v>22</v>
      </c>
      <c r="R29" s="339">
        <v>0.53710000000000002</v>
      </c>
      <c r="S29" s="337"/>
      <c r="T29" s="347">
        <v>7.8377355941389832E-4</v>
      </c>
      <c r="V29" s="176">
        <f t="shared" si="35"/>
        <v>7.8377355941389832E-4</v>
      </c>
      <c r="W29" s="176">
        <f t="shared" si="36"/>
        <v>7.8377355941389832E-4</v>
      </c>
      <c r="X29" s="176">
        <f t="shared" si="37"/>
        <v>7.8377355941389832E-4</v>
      </c>
      <c r="Y29" s="958">
        <f>X29/Calculation_sheet!M$67</f>
        <v>7.8378958478406537E-4</v>
      </c>
      <c r="Z29" s="176">
        <f ca="1">IF(AN29&gt;0,Y29*Calculation_sheet!C$87,0)</f>
        <v>0</v>
      </c>
      <c r="AA29" s="176">
        <f t="shared" ca="1" si="38"/>
        <v>7.8378958478406537E-4</v>
      </c>
      <c r="AB29" s="176">
        <f ca="1">IF(AP29&gt;0,AA29*Calculation_sheet!C$94,0)</f>
        <v>0</v>
      </c>
      <c r="AC29" s="176">
        <f t="shared" ca="1" si="24"/>
        <v>7.8378958478406537E-4</v>
      </c>
      <c r="AD29" s="958">
        <f ca="1">AC29*Calculation_sheet!C$99</f>
        <v>4.7027375087043918E-4</v>
      </c>
      <c r="AE29" s="176">
        <f t="shared" ca="1" si="24"/>
        <v>3.1351583391362619E-4</v>
      </c>
      <c r="AF29" s="176">
        <f t="shared" ca="1" si="39"/>
        <v>7.8378958478406537E-4</v>
      </c>
      <c r="AG29" s="958">
        <f ca="1">AF29*User_sheet!B$77/100</f>
        <v>0</v>
      </c>
      <c r="AH29" s="313"/>
      <c r="AI29" s="883">
        <v>101</v>
      </c>
      <c r="AJ29" s="985"/>
      <c r="AK29" s="1020">
        <f t="shared" ca="1" si="15"/>
        <v>310.90188216693264</v>
      </c>
      <c r="AL29" s="954">
        <f ca="1">AK29/'101'!I$24</f>
        <v>0.88119103593202563</v>
      </c>
      <c r="AM29" s="954">
        <f ca="1">0.8*(AK29*30+'101'!D$17*0.34*30*1)</f>
        <v>11187.116020006384</v>
      </c>
      <c r="AN29" s="954">
        <f ca="1">IF(AM29&lt;User_sheet!B$50,Y29,0)</f>
        <v>0</v>
      </c>
      <c r="AO29" s="954">
        <f ca="1">20-(User_sheet!B$57/('Freestanding '!AK29+'101'!D$17*1*0.34))</f>
        <v>7.7716473347237223</v>
      </c>
      <c r="AP29" s="954">
        <f ca="1">IF(AO29&lt;User_sheet!B$59,0,BC29*AA29)</f>
        <v>0</v>
      </c>
      <c r="AQ29" s="985"/>
      <c r="AR29" s="883">
        <v>0.48</v>
      </c>
      <c r="AS29" s="883">
        <v>0.66</v>
      </c>
      <c r="AT29" s="883">
        <v>7.9</v>
      </c>
      <c r="AU29" s="883">
        <v>2.75</v>
      </c>
      <c r="AV29" s="883">
        <v>3.3</v>
      </c>
      <c r="AW29" s="883">
        <v>10916.451096266603</v>
      </c>
      <c r="AX29" s="883">
        <v>68297.998190252794</v>
      </c>
      <c r="AY29" s="883">
        <v>67352.647733737584</v>
      </c>
      <c r="AZ29" s="883">
        <v>0</v>
      </c>
      <c r="BA29" s="883">
        <v>0</v>
      </c>
      <c r="BB29" s="883">
        <v>0.6</v>
      </c>
      <c r="BC29" s="888">
        <v>0</v>
      </c>
      <c r="BD29" s="889">
        <v>1</v>
      </c>
      <c r="BE29" s="889">
        <v>0</v>
      </c>
      <c r="BF29" s="890">
        <v>0</v>
      </c>
      <c r="BG29" s="883">
        <v>1</v>
      </c>
      <c r="BH29" s="883">
        <v>0</v>
      </c>
      <c r="BI29" s="890">
        <v>0</v>
      </c>
      <c r="BJ29" s="883">
        <v>0</v>
      </c>
      <c r="BK29" s="883">
        <v>1</v>
      </c>
      <c r="BL29" s="883">
        <v>0</v>
      </c>
      <c r="BM29" s="890">
        <v>0</v>
      </c>
      <c r="BN29" s="958">
        <v>7.0000000000000007E-2</v>
      </c>
      <c r="BO29" s="959">
        <v>6</v>
      </c>
      <c r="BP29" s="926">
        <f t="shared" ca="1" si="25"/>
        <v>181.084</v>
      </c>
      <c r="BQ29" s="926">
        <f t="shared" ca="1" si="26"/>
        <v>302.464</v>
      </c>
      <c r="BR29" s="926">
        <f t="shared" ca="1" si="27"/>
        <v>104.854</v>
      </c>
      <c r="BS29" s="926">
        <f t="shared" ca="1" si="28"/>
        <v>129.21406907627619</v>
      </c>
      <c r="BT29" s="926">
        <f t="shared" ca="1" si="29"/>
        <v>104.86</v>
      </c>
      <c r="BU29" s="926">
        <f t="shared" ca="1" si="30"/>
        <v>14</v>
      </c>
      <c r="BV29" s="926">
        <f t="shared" ca="1" si="31"/>
        <v>4.3</v>
      </c>
      <c r="BW29" s="926">
        <v>0</v>
      </c>
      <c r="BX29" s="926">
        <f t="shared" ca="1" si="32"/>
        <v>46.46410635155096</v>
      </c>
      <c r="BY29" s="926">
        <f t="shared" ca="1" si="33"/>
        <v>76.52663818228848</v>
      </c>
      <c r="BZ29" s="926">
        <f t="shared" ca="1" si="17"/>
        <v>115.37845526167696</v>
      </c>
      <c r="CA29" s="926">
        <f t="shared" ca="1" si="18"/>
        <v>38.499999978825002</v>
      </c>
      <c r="CB29" s="926">
        <f t="shared" ca="1" si="34"/>
        <v>9.0267175572519083</v>
      </c>
      <c r="CC29" s="926">
        <f t="shared" si="19"/>
        <v>0</v>
      </c>
      <c r="CD29" s="1018">
        <f t="shared" ca="1" si="40"/>
        <v>310.90188216693264</v>
      </c>
      <c r="CE29" s="1018">
        <f t="shared" ca="1" si="41"/>
        <v>61.521110550810938</v>
      </c>
      <c r="CF29" s="926">
        <f t="shared" ca="1" si="22"/>
        <v>11.172689781532306</v>
      </c>
      <c r="CG29" s="926">
        <f t="shared" ca="1" si="23"/>
        <v>18602.081578660025</v>
      </c>
    </row>
    <row r="30" spans="4:85" x14ac:dyDescent="0.25">
      <c r="D30" s="342"/>
      <c r="E30" s="338"/>
      <c r="F30" s="342"/>
      <c r="G30" s="338"/>
      <c r="H30" s="342"/>
      <c r="I30" s="338"/>
      <c r="J30" s="342"/>
      <c r="K30" s="343"/>
      <c r="L30" s="337"/>
      <c r="M30" s="337"/>
      <c r="N30" s="337"/>
      <c r="O30" s="337" t="s">
        <v>18</v>
      </c>
      <c r="P30" s="339">
        <v>0.80827067699999999</v>
      </c>
      <c r="Q30" s="337" t="s">
        <v>7</v>
      </c>
      <c r="R30" s="339">
        <v>0.46289999999999998</v>
      </c>
      <c r="S30" s="337"/>
      <c r="T30" s="347">
        <v>6.7549577481417541E-4</v>
      </c>
      <c r="V30" s="176">
        <f t="shared" si="35"/>
        <v>6.7549577481417541E-4</v>
      </c>
      <c r="W30" s="176">
        <f t="shared" si="36"/>
        <v>6.7549577481417541E-4</v>
      </c>
      <c r="X30" s="176">
        <f t="shared" si="37"/>
        <v>6.7549577481417541E-4</v>
      </c>
      <c r="Y30" s="958">
        <f>X30/Calculation_sheet!M$67</f>
        <v>6.7550958629034432E-4</v>
      </c>
      <c r="Z30" s="176">
        <f ca="1">IF(AN30&gt;0,Y30*Calculation_sheet!C$87,0)</f>
        <v>0</v>
      </c>
      <c r="AA30" s="176">
        <f t="shared" ca="1" si="38"/>
        <v>6.7550958629034432E-4</v>
      </c>
      <c r="AB30" s="176">
        <f ca="1">IF(AP30&gt;0,AA30*Calculation_sheet!C$94,0)</f>
        <v>0</v>
      </c>
      <c r="AC30" s="176">
        <f t="shared" ca="1" si="24"/>
        <v>6.7550958629034432E-4</v>
      </c>
      <c r="AD30" s="958">
        <f ca="1">AC30*Calculation_sheet!C$99</f>
        <v>4.0530575177420659E-4</v>
      </c>
      <c r="AE30" s="176">
        <f t="shared" ca="1" si="24"/>
        <v>2.7020383451613773E-4</v>
      </c>
      <c r="AF30" s="176">
        <f t="shared" ca="1" si="39"/>
        <v>6.7550958629034432E-4</v>
      </c>
      <c r="AG30" s="958">
        <f ca="1">AF30*User_sheet!B$77/100</f>
        <v>0</v>
      </c>
      <c r="AH30" s="313"/>
      <c r="AI30" s="883">
        <v>101</v>
      </c>
      <c r="AJ30" s="985"/>
      <c r="AK30" s="1020">
        <f t="shared" ca="1" si="15"/>
        <v>310.90188216693264</v>
      </c>
      <c r="AL30" s="954">
        <f ca="1">AK30/'101'!I$24</f>
        <v>0.88119103593202563</v>
      </c>
      <c r="AM30" s="954">
        <f ca="1">0.8*(AK30*30+'101'!D$17*0.34*30*1)</f>
        <v>11187.116020006384</v>
      </c>
      <c r="AN30" s="954">
        <f ca="1">IF(AM30&lt;User_sheet!B$50,Y30,0)</f>
        <v>0</v>
      </c>
      <c r="AO30" s="954">
        <f ca="1">20-(User_sheet!B$57/('Freestanding '!AK30+'101'!D$17*1*0.34))</f>
        <v>7.7716473347237223</v>
      </c>
      <c r="AP30" s="954">
        <f ca="1">IF(AO30&lt;User_sheet!B$59,0,BC30*AA30)</f>
        <v>0</v>
      </c>
      <c r="AQ30" s="985"/>
      <c r="AR30" s="883">
        <v>0.48</v>
      </c>
      <c r="AS30" s="883">
        <v>0.66</v>
      </c>
      <c r="AT30" s="883">
        <v>7.9</v>
      </c>
      <c r="AU30" s="883">
        <v>2.75</v>
      </c>
      <c r="AV30" s="883">
        <v>3.3</v>
      </c>
      <c r="AW30" s="883">
        <v>10916.451096266603</v>
      </c>
      <c r="AX30" s="883">
        <v>68297.998190252794</v>
      </c>
      <c r="AY30" s="883">
        <v>67352.647733737584</v>
      </c>
      <c r="AZ30" s="883">
        <v>0</v>
      </c>
      <c r="BA30" s="883">
        <v>0</v>
      </c>
      <c r="BB30" s="883">
        <v>0.6</v>
      </c>
      <c r="BC30" s="888">
        <v>0</v>
      </c>
      <c r="BD30" s="889">
        <v>1</v>
      </c>
      <c r="BE30" s="889">
        <v>0</v>
      </c>
      <c r="BF30" s="890">
        <v>0</v>
      </c>
      <c r="BG30" s="883">
        <v>1</v>
      </c>
      <c r="BH30" s="883">
        <v>0</v>
      </c>
      <c r="BI30" s="890">
        <v>0</v>
      </c>
      <c r="BJ30" s="883">
        <v>0</v>
      </c>
      <c r="BK30" s="883">
        <v>0</v>
      </c>
      <c r="BL30" s="883">
        <v>1</v>
      </c>
      <c r="BM30" s="890">
        <v>0</v>
      </c>
      <c r="BN30" s="958">
        <v>7.0000000000000007E-2</v>
      </c>
      <c r="BO30" s="959">
        <v>6</v>
      </c>
      <c r="BP30" s="926">
        <f t="shared" ca="1" si="25"/>
        <v>181.084</v>
      </c>
      <c r="BQ30" s="926">
        <f t="shared" ca="1" si="26"/>
        <v>302.464</v>
      </c>
      <c r="BR30" s="926">
        <f t="shared" ca="1" si="27"/>
        <v>104.854</v>
      </c>
      <c r="BS30" s="926">
        <f t="shared" ca="1" si="28"/>
        <v>129.21406907627619</v>
      </c>
      <c r="BT30" s="926">
        <f t="shared" ca="1" si="29"/>
        <v>104.86</v>
      </c>
      <c r="BU30" s="926">
        <f t="shared" ca="1" si="30"/>
        <v>14</v>
      </c>
      <c r="BV30" s="926">
        <f t="shared" ca="1" si="31"/>
        <v>4.3</v>
      </c>
      <c r="BW30" s="926">
        <v>0</v>
      </c>
      <c r="BX30" s="926">
        <f t="shared" ca="1" si="32"/>
        <v>46.46410635155096</v>
      </c>
      <c r="BY30" s="926">
        <f t="shared" ca="1" si="33"/>
        <v>76.52663818228848</v>
      </c>
      <c r="BZ30" s="926">
        <f t="shared" ca="1" si="17"/>
        <v>115.37845526167696</v>
      </c>
      <c r="CA30" s="926">
        <f t="shared" ca="1" si="18"/>
        <v>38.499999978825002</v>
      </c>
      <c r="CB30" s="926">
        <f t="shared" ca="1" si="34"/>
        <v>9.0267175572519083</v>
      </c>
      <c r="CC30" s="926">
        <f t="shared" si="19"/>
        <v>0</v>
      </c>
      <c r="CD30" s="1018">
        <f t="shared" ca="1" si="40"/>
        <v>310.90188216693264</v>
      </c>
      <c r="CE30" s="1018">
        <f t="shared" ca="1" si="41"/>
        <v>61.521110550810938</v>
      </c>
      <c r="CF30" s="926">
        <f t="shared" ca="1" si="22"/>
        <v>11.172689781532306</v>
      </c>
      <c r="CG30" s="926">
        <f t="shared" ca="1" si="23"/>
        <v>18602.081578660025</v>
      </c>
    </row>
    <row r="31" spans="4:85" x14ac:dyDescent="0.25">
      <c r="D31" s="342"/>
      <c r="E31" s="338"/>
      <c r="F31" s="342"/>
      <c r="G31" s="338"/>
      <c r="H31" s="342"/>
      <c r="I31" s="338"/>
      <c r="J31" s="342"/>
      <c r="K31" s="343"/>
      <c r="L31" s="337"/>
      <c r="M31" s="337"/>
      <c r="N31" s="337"/>
      <c r="O31" s="337"/>
      <c r="P31" s="337"/>
      <c r="Q31" s="337" t="s">
        <v>22</v>
      </c>
      <c r="R31" s="339">
        <v>0.53710000000000002</v>
      </c>
      <c r="S31" s="337"/>
      <c r="T31" s="347">
        <v>1.8591837883997244E-4</v>
      </c>
      <c r="V31" s="176">
        <f t="shared" si="35"/>
        <v>1.8591837883997244E-4</v>
      </c>
      <c r="W31" s="176">
        <f t="shared" si="36"/>
        <v>1.8591837883997244E-4</v>
      </c>
      <c r="X31" s="176">
        <f t="shared" si="37"/>
        <v>1.8591837883997244E-4</v>
      </c>
      <c r="Y31" s="958">
        <f>X31/Calculation_sheet!M$67</f>
        <v>1.859221802068417E-4</v>
      </c>
      <c r="Z31" s="176">
        <f ca="1">IF(AN31&gt;0,Y31*Calculation_sheet!C$87,0)</f>
        <v>0</v>
      </c>
      <c r="AA31" s="176">
        <f t="shared" ca="1" si="38"/>
        <v>1.859221802068417E-4</v>
      </c>
      <c r="AB31" s="176">
        <f ca="1">IF(AP31&gt;0,AA31*Calculation_sheet!C$94,0)</f>
        <v>0</v>
      </c>
      <c r="AC31" s="176">
        <f t="shared" ca="1" si="24"/>
        <v>1.859221802068417E-4</v>
      </c>
      <c r="AD31" s="958">
        <f ca="1">AC31*Calculation_sheet!C$99</f>
        <v>1.1155330812410501E-4</v>
      </c>
      <c r="AE31" s="176">
        <f t="shared" ca="1" si="24"/>
        <v>7.436887208273669E-5</v>
      </c>
      <c r="AF31" s="176">
        <f t="shared" ca="1" si="39"/>
        <v>1.859221802068417E-4</v>
      </c>
      <c r="AG31" s="958">
        <f ca="1">AF31*User_sheet!B$77/100</f>
        <v>0</v>
      </c>
      <c r="AH31" s="313"/>
      <c r="AI31" s="883">
        <v>101</v>
      </c>
      <c r="AJ31" s="985"/>
      <c r="AK31" s="1020">
        <f t="shared" ca="1" si="15"/>
        <v>310.90188216693264</v>
      </c>
      <c r="AL31" s="954">
        <f ca="1">AK31/'101'!I$24</f>
        <v>0.88119103593202563</v>
      </c>
      <c r="AM31" s="954">
        <f ca="1">0.8*(AK31*30+'101'!D$17*0.34*30*1)</f>
        <v>11187.116020006384</v>
      </c>
      <c r="AN31" s="954">
        <f ca="1">IF(AM31&lt;User_sheet!B$50,Y31,0)</f>
        <v>0</v>
      </c>
      <c r="AO31" s="954">
        <f ca="1">20-(User_sheet!B$57/('Freestanding '!AK31+'101'!D$17*1*0.34))</f>
        <v>7.7716473347237223</v>
      </c>
      <c r="AP31" s="954">
        <f ca="1">IF(AO31&lt;User_sheet!B$59,0,BC31*AA31)</f>
        <v>0</v>
      </c>
      <c r="AQ31" s="985"/>
      <c r="AR31" s="883">
        <v>0.48</v>
      </c>
      <c r="AS31" s="883">
        <v>0.66</v>
      </c>
      <c r="AT31" s="883">
        <v>7.9</v>
      </c>
      <c r="AU31" s="883">
        <v>2.75</v>
      </c>
      <c r="AV31" s="883">
        <v>3.3</v>
      </c>
      <c r="AW31" s="883">
        <v>10916.451096266603</v>
      </c>
      <c r="AX31" s="883">
        <v>68297.998190252794</v>
      </c>
      <c r="AY31" s="883">
        <v>67352.647733737584</v>
      </c>
      <c r="AZ31" s="883">
        <v>0</v>
      </c>
      <c r="BA31" s="883">
        <v>0</v>
      </c>
      <c r="BB31" s="883">
        <v>0.6</v>
      </c>
      <c r="BC31" s="888">
        <v>0</v>
      </c>
      <c r="BD31" s="889">
        <v>1</v>
      </c>
      <c r="BE31" s="889">
        <v>0</v>
      </c>
      <c r="BF31" s="890">
        <v>0</v>
      </c>
      <c r="BG31" s="883">
        <v>0</v>
      </c>
      <c r="BH31" s="883">
        <v>1</v>
      </c>
      <c r="BI31" s="890">
        <v>0</v>
      </c>
      <c r="BJ31" s="883">
        <v>0</v>
      </c>
      <c r="BK31" s="883">
        <v>1</v>
      </c>
      <c r="BL31" s="883">
        <v>0</v>
      </c>
      <c r="BM31" s="890">
        <v>0</v>
      </c>
      <c r="BN31" s="958">
        <v>7.0000000000000007E-2</v>
      </c>
      <c r="BO31" s="959">
        <v>6</v>
      </c>
      <c r="BP31" s="926">
        <f t="shared" ca="1" si="25"/>
        <v>181.084</v>
      </c>
      <c r="BQ31" s="926">
        <f t="shared" ca="1" si="26"/>
        <v>302.464</v>
      </c>
      <c r="BR31" s="926">
        <f t="shared" ca="1" si="27"/>
        <v>104.854</v>
      </c>
      <c r="BS31" s="926">
        <f t="shared" ca="1" si="28"/>
        <v>129.21406907627619</v>
      </c>
      <c r="BT31" s="926">
        <f t="shared" ca="1" si="29"/>
        <v>104.86</v>
      </c>
      <c r="BU31" s="926">
        <f t="shared" ca="1" si="30"/>
        <v>14</v>
      </c>
      <c r="BV31" s="926">
        <f t="shared" ca="1" si="31"/>
        <v>4.3</v>
      </c>
      <c r="BW31" s="926">
        <v>0</v>
      </c>
      <c r="BX31" s="926">
        <f t="shared" ca="1" si="32"/>
        <v>46.46410635155096</v>
      </c>
      <c r="BY31" s="926">
        <f t="shared" ca="1" si="33"/>
        <v>76.52663818228848</v>
      </c>
      <c r="BZ31" s="926">
        <f t="shared" ca="1" si="17"/>
        <v>115.37845526167696</v>
      </c>
      <c r="CA31" s="926">
        <f t="shared" ca="1" si="18"/>
        <v>38.499999978825002</v>
      </c>
      <c r="CB31" s="926">
        <f t="shared" ca="1" si="34"/>
        <v>9.0267175572519083</v>
      </c>
      <c r="CC31" s="926">
        <f t="shared" si="19"/>
        <v>0</v>
      </c>
      <c r="CD31" s="1018">
        <f t="shared" ca="1" si="40"/>
        <v>310.90188216693264</v>
      </c>
      <c r="CE31" s="1018">
        <f t="shared" ca="1" si="41"/>
        <v>61.521110550810938</v>
      </c>
      <c r="CF31" s="926">
        <f t="shared" ca="1" si="22"/>
        <v>11.172689781532306</v>
      </c>
      <c r="CG31" s="926">
        <f t="shared" ca="1" si="23"/>
        <v>18602.081578660025</v>
      </c>
    </row>
    <row r="32" spans="4:85" x14ac:dyDescent="0.25">
      <c r="D32" s="342"/>
      <c r="E32" s="338"/>
      <c r="F32" s="342"/>
      <c r="G32" s="338"/>
      <c r="H32" s="342"/>
      <c r="I32" s="338"/>
      <c r="J32" s="342"/>
      <c r="K32" s="343"/>
      <c r="L32" s="337"/>
      <c r="M32" s="337" t="s">
        <v>22</v>
      </c>
      <c r="N32" s="339">
        <v>0.44680851100000002</v>
      </c>
      <c r="O32" s="337" t="s">
        <v>20</v>
      </c>
      <c r="P32" s="339">
        <v>0.19172932300000001</v>
      </c>
      <c r="Q32" s="337" t="s">
        <v>7</v>
      </c>
      <c r="R32" s="339">
        <v>0.46289999999999998</v>
      </c>
      <c r="S32" s="337"/>
      <c r="T32" s="347">
        <v>1.6023388114880517E-4</v>
      </c>
      <c r="V32" s="176">
        <f t="shared" si="35"/>
        <v>1.6023388114880517E-4</v>
      </c>
      <c r="W32" s="176">
        <f t="shared" si="36"/>
        <v>1.6023388114880517E-4</v>
      </c>
      <c r="X32" s="176">
        <f t="shared" si="37"/>
        <v>1.6023388114880517E-4</v>
      </c>
      <c r="Y32" s="958">
        <f>X32/Calculation_sheet!M$67</f>
        <v>1.6023715735942478E-4</v>
      </c>
      <c r="Z32" s="176">
        <f ca="1">IF(AN32&gt;0,Y32*Calculation_sheet!C$87,0)</f>
        <v>0</v>
      </c>
      <c r="AA32" s="176">
        <f t="shared" ca="1" si="38"/>
        <v>1.6023715735942478E-4</v>
      </c>
      <c r="AB32" s="176">
        <f ca="1">IF(AP32&gt;0,AA32*Calculation_sheet!C$94,0)</f>
        <v>0</v>
      </c>
      <c r="AC32" s="176">
        <f t="shared" ca="1" si="24"/>
        <v>1.6023715735942478E-4</v>
      </c>
      <c r="AD32" s="958">
        <f ca="1">AC32*Calculation_sheet!C$99</f>
        <v>9.6142294415654862E-5</v>
      </c>
      <c r="AE32" s="176">
        <f t="shared" ca="1" si="24"/>
        <v>6.4094862943769922E-5</v>
      </c>
      <c r="AF32" s="176">
        <f t="shared" ca="1" si="39"/>
        <v>1.6023715735942478E-4</v>
      </c>
      <c r="AG32" s="958">
        <f ca="1">AF32*User_sheet!B$77/100</f>
        <v>0</v>
      </c>
      <c r="AH32" s="313"/>
      <c r="AI32" s="883">
        <v>101</v>
      </c>
      <c r="AJ32" s="985"/>
      <c r="AK32" s="1020">
        <f t="shared" ca="1" si="15"/>
        <v>310.90188216693264</v>
      </c>
      <c r="AL32" s="954">
        <f ca="1">AK32/'101'!I$24</f>
        <v>0.88119103593202563</v>
      </c>
      <c r="AM32" s="954">
        <f ca="1">0.8*(AK32*30+'101'!D$17*0.34*30*1)</f>
        <v>11187.116020006384</v>
      </c>
      <c r="AN32" s="954">
        <f ca="1">IF(AM32&lt;User_sheet!B$50,Y32,0)</f>
        <v>0</v>
      </c>
      <c r="AO32" s="954">
        <f ca="1">20-(User_sheet!B$57/('Freestanding '!AK32+'101'!D$17*1*0.34))</f>
        <v>7.7716473347237223</v>
      </c>
      <c r="AP32" s="954">
        <f ca="1">IF(AO32&lt;User_sheet!B$59,0,BC32*AA32)</f>
        <v>0</v>
      </c>
      <c r="AQ32" s="985"/>
      <c r="AR32" s="883">
        <v>0.48</v>
      </c>
      <c r="AS32" s="883">
        <v>0.66</v>
      </c>
      <c r="AT32" s="883">
        <v>7.9</v>
      </c>
      <c r="AU32" s="883">
        <v>2.75</v>
      </c>
      <c r="AV32" s="883">
        <v>3.3</v>
      </c>
      <c r="AW32" s="883">
        <v>10916.451096266603</v>
      </c>
      <c r="AX32" s="883">
        <v>68297.998190252794</v>
      </c>
      <c r="AY32" s="883">
        <v>67352.647733737584</v>
      </c>
      <c r="AZ32" s="883">
        <v>0</v>
      </c>
      <c r="BA32" s="883">
        <v>0</v>
      </c>
      <c r="BB32" s="883">
        <v>0.6</v>
      </c>
      <c r="BC32" s="888">
        <v>0</v>
      </c>
      <c r="BD32" s="889">
        <v>1</v>
      </c>
      <c r="BE32" s="889">
        <v>0</v>
      </c>
      <c r="BF32" s="890">
        <v>0</v>
      </c>
      <c r="BG32" s="883">
        <v>0</v>
      </c>
      <c r="BH32" s="883">
        <v>1</v>
      </c>
      <c r="BI32" s="890">
        <v>0</v>
      </c>
      <c r="BJ32" s="883">
        <v>0</v>
      </c>
      <c r="BK32" s="883">
        <v>0</v>
      </c>
      <c r="BL32" s="883">
        <v>1</v>
      </c>
      <c r="BM32" s="890">
        <v>0</v>
      </c>
      <c r="BN32" s="958">
        <v>7.0000000000000007E-2</v>
      </c>
      <c r="BO32" s="959">
        <v>6</v>
      </c>
      <c r="BP32" s="926">
        <f t="shared" ca="1" si="25"/>
        <v>181.084</v>
      </c>
      <c r="BQ32" s="926">
        <f t="shared" ca="1" si="26"/>
        <v>302.464</v>
      </c>
      <c r="BR32" s="926">
        <f t="shared" ca="1" si="27"/>
        <v>104.854</v>
      </c>
      <c r="BS32" s="926">
        <f t="shared" ca="1" si="28"/>
        <v>129.21406907627619</v>
      </c>
      <c r="BT32" s="926">
        <f t="shared" ca="1" si="29"/>
        <v>104.86</v>
      </c>
      <c r="BU32" s="926">
        <f t="shared" ca="1" si="30"/>
        <v>14</v>
      </c>
      <c r="BV32" s="926">
        <f t="shared" ca="1" si="31"/>
        <v>4.3</v>
      </c>
      <c r="BW32" s="926">
        <v>0</v>
      </c>
      <c r="BX32" s="926">
        <f t="shared" ca="1" si="32"/>
        <v>46.46410635155096</v>
      </c>
      <c r="BY32" s="926">
        <f t="shared" ca="1" si="33"/>
        <v>76.52663818228848</v>
      </c>
      <c r="BZ32" s="926">
        <f t="shared" ca="1" si="17"/>
        <v>115.37845526167696</v>
      </c>
      <c r="CA32" s="926">
        <f t="shared" ca="1" si="18"/>
        <v>38.499999978825002</v>
      </c>
      <c r="CB32" s="926">
        <f t="shared" ca="1" si="34"/>
        <v>9.0267175572519083</v>
      </c>
      <c r="CC32" s="926">
        <f t="shared" si="19"/>
        <v>0</v>
      </c>
      <c r="CD32" s="1018">
        <f t="shared" ca="1" si="40"/>
        <v>310.90188216693264</v>
      </c>
      <c r="CE32" s="1018">
        <f t="shared" ca="1" si="41"/>
        <v>61.521110550810938</v>
      </c>
      <c r="CF32" s="926">
        <f t="shared" ca="1" si="22"/>
        <v>11.172689781532306</v>
      </c>
      <c r="CG32" s="926">
        <f t="shared" ca="1" si="23"/>
        <v>18602.081578660025</v>
      </c>
    </row>
    <row r="33" spans="4:85" x14ac:dyDescent="0.25">
      <c r="D33" s="342"/>
      <c r="E33" s="338"/>
      <c r="F33" s="342"/>
      <c r="G33" s="338"/>
      <c r="H33" s="342"/>
      <c r="I33" s="338"/>
      <c r="J33" s="342"/>
      <c r="K33" s="343"/>
      <c r="L33" s="337"/>
      <c r="M33" s="337" t="s">
        <v>7</v>
      </c>
      <c r="N33" s="339">
        <v>2.1276595999999998E-2</v>
      </c>
      <c r="O33" s="337" t="s">
        <v>23</v>
      </c>
      <c r="P33" s="339">
        <v>1</v>
      </c>
      <c r="Q33" s="337" t="s">
        <v>7</v>
      </c>
      <c r="R33" s="339">
        <v>1</v>
      </c>
      <c r="S33" s="337"/>
      <c r="T33" s="347">
        <v>8.5972457829541825E-5</v>
      </c>
      <c r="V33" s="176">
        <f t="shared" si="35"/>
        <v>8.5972457829541825E-5</v>
      </c>
      <c r="W33" s="176">
        <f t="shared" si="36"/>
        <v>8.5972457829541825E-5</v>
      </c>
      <c r="X33" s="176">
        <f t="shared" si="37"/>
        <v>8.5972457829541825E-5</v>
      </c>
      <c r="Y33" s="958">
        <f>X33/Calculation_sheet!M$67</f>
        <v>8.5974215659267436E-5</v>
      </c>
      <c r="Z33" s="176">
        <f ca="1">IF(AN33&gt;0,Y33*Calculation_sheet!C$87,0)</f>
        <v>0</v>
      </c>
      <c r="AA33" s="176">
        <f t="shared" ca="1" si="38"/>
        <v>8.5974215659267436E-5</v>
      </c>
      <c r="AB33" s="176">
        <f ca="1">IF(AP33&gt;0,AA33*Calculation_sheet!C$94,0)</f>
        <v>0</v>
      </c>
      <c r="AC33" s="176">
        <f t="shared" ca="1" si="24"/>
        <v>8.5974215659267436E-5</v>
      </c>
      <c r="AD33" s="958">
        <f ca="1">AC33*Calculation_sheet!C$99</f>
        <v>5.1584529395560463E-5</v>
      </c>
      <c r="AE33" s="176">
        <f t="shared" ca="1" si="24"/>
        <v>3.4389686263706973E-5</v>
      </c>
      <c r="AF33" s="176">
        <f t="shared" ca="1" si="39"/>
        <v>8.5974215659267436E-5</v>
      </c>
      <c r="AG33" s="958">
        <f ca="1">AF33*User_sheet!B$77/100</f>
        <v>0</v>
      </c>
      <c r="AH33" s="313"/>
      <c r="AI33" s="883">
        <v>101</v>
      </c>
      <c r="AJ33" s="985"/>
      <c r="AK33" s="1020">
        <f t="shared" ca="1" si="15"/>
        <v>310.90188216693264</v>
      </c>
      <c r="AL33" s="954">
        <f ca="1">AK33/'101'!I$24</f>
        <v>0.88119103593202563</v>
      </c>
      <c r="AM33" s="954">
        <f ca="1">0.8*(AK33*30+'101'!D$17*0.34*30*1)</f>
        <v>11187.116020006384</v>
      </c>
      <c r="AN33" s="954">
        <f ca="1">IF(AM33&lt;User_sheet!B$50,Y33,0)</f>
        <v>0</v>
      </c>
      <c r="AO33" s="954">
        <f ca="1">20-(User_sheet!B$57/('Freestanding '!AK33+'101'!D$17*1*0.34))</f>
        <v>7.7716473347237223</v>
      </c>
      <c r="AP33" s="954">
        <f ca="1">IF(AO33&lt;User_sheet!B$59,0,BC33*AA33)</f>
        <v>0</v>
      </c>
      <c r="AQ33" s="985"/>
      <c r="AR33" s="883">
        <v>0.48</v>
      </c>
      <c r="AS33" s="883">
        <v>0.66</v>
      </c>
      <c r="AT33" s="883">
        <v>7.9</v>
      </c>
      <c r="AU33" s="883">
        <v>2.75</v>
      </c>
      <c r="AV33" s="883">
        <v>3.3</v>
      </c>
      <c r="AW33" s="883">
        <v>10916.451096266603</v>
      </c>
      <c r="AX33" s="883">
        <v>68297.998190252794</v>
      </c>
      <c r="AY33" s="883">
        <v>67352.647733737584</v>
      </c>
      <c r="AZ33" s="883">
        <v>0</v>
      </c>
      <c r="BA33" s="883">
        <v>0</v>
      </c>
      <c r="BB33" s="883">
        <v>0.6</v>
      </c>
      <c r="BC33" s="888">
        <v>0</v>
      </c>
      <c r="BD33" s="889">
        <v>0</v>
      </c>
      <c r="BE33" s="889">
        <v>1</v>
      </c>
      <c r="BF33" s="890">
        <v>0</v>
      </c>
      <c r="BG33" s="883">
        <v>0</v>
      </c>
      <c r="BH33" s="883">
        <v>0</v>
      </c>
      <c r="BI33" s="890">
        <v>1</v>
      </c>
      <c r="BJ33" s="883">
        <v>0</v>
      </c>
      <c r="BK33" s="883">
        <v>0</v>
      </c>
      <c r="BL33" s="883">
        <v>1</v>
      </c>
      <c r="BM33" s="890">
        <v>0</v>
      </c>
      <c r="BN33" s="958">
        <v>7.0000000000000007E-2</v>
      </c>
      <c r="BO33" s="959">
        <v>6</v>
      </c>
      <c r="BP33" s="926">
        <f t="shared" ca="1" si="25"/>
        <v>181.084</v>
      </c>
      <c r="BQ33" s="926">
        <f t="shared" ca="1" si="26"/>
        <v>302.464</v>
      </c>
      <c r="BR33" s="926">
        <f t="shared" ca="1" si="27"/>
        <v>104.854</v>
      </c>
      <c r="BS33" s="926">
        <f t="shared" ca="1" si="28"/>
        <v>129.21406907627619</v>
      </c>
      <c r="BT33" s="926">
        <f t="shared" ca="1" si="29"/>
        <v>104.86</v>
      </c>
      <c r="BU33" s="926">
        <f t="shared" ca="1" si="30"/>
        <v>14</v>
      </c>
      <c r="BV33" s="926">
        <f t="shared" ca="1" si="31"/>
        <v>4.3</v>
      </c>
      <c r="BW33" s="926">
        <v>0</v>
      </c>
      <c r="BX33" s="926">
        <f t="shared" ca="1" si="32"/>
        <v>46.46410635155096</v>
      </c>
      <c r="BY33" s="926">
        <f t="shared" ca="1" si="33"/>
        <v>76.52663818228848</v>
      </c>
      <c r="BZ33" s="926">
        <f t="shared" ca="1" si="17"/>
        <v>115.37845526167696</v>
      </c>
      <c r="CA33" s="926">
        <f t="shared" ca="1" si="18"/>
        <v>38.499999978825002</v>
      </c>
      <c r="CB33" s="926">
        <f t="shared" ca="1" si="34"/>
        <v>9.0267175572519083</v>
      </c>
      <c r="CC33" s="926">
        <f t="shared" si="19"/>
        <v>0</v>
      </c>
      <c r="CD33" s="1018">
        <f t="shared" ca="1" si="40"/>
        <v>310.90188216693264</v>
      </c>
      <c r="CE33" s="1018">
        <f t="shared" ca="1" si="41"/>
        <v>61.521110550810938</v>
      </c>
      <c r="CF33" s="926">
        <f t="shared" ca="1" si="22"/>
        <v>11.172689781532306</v>
      </c>
      <c r="CG33" s="926">
        <f t="shared" ca="1" si="23"/>
        <v>18602.081578660025</v>
      </c>
    </row>
    <row r="34" spans="4:85" s="3" customFormat="1" x14ac:dyDescent="0.25">
      <c r="D34" s="342"/>
      <c r="E34" s="338"/>
      <c r="F34" s="342"/>
      <c r="G34" s="338"/>
      <c r="H34" s="342"/>
      <c r="I34" s="338"/>
      <c r="J34" s="342"/>
      <c r="K34" s="343"/>
      <c r="L34" s="337"/>
      <c r="M34" s="337"/>
      <c r="N34" s="337"/>
      <c r="O34" s="337" t="s">
        <v>18</v>
      </c>
      <c r="P34" s="339">
        <v>0.15910607099999999</v>
      </c>
      <c r="Q34" s="337" t="s">
        <v>17</v>
      </c>
      <c r="R34" s="339">
        <v>1</v>
      </c>
      <c r="S34" s="337"/>
      <c r="T34" s="347">
        <v>5.4714959274985575E-5</v>
      </c>
      <c r="U34" s="274"/>
      <c r="V34" s="176">
        <f t="shared" si="35"/>
        <v>5.4714959274985575E-5</v>
      </c>
      <c r="W34" s="176">
        <f t="shared" si="36"/>
        <v>5.4714959274985575E-5</v>
      </c>
      <c r="X34" s="176">
        <f t="shared" si="37"/>
        <v>5.4714959274985575E-5</v>
      </c>
      <c r="Y34" s="958">
        <f>X34/Calculation_sheet!M$67</f>
        <v>5.4716078000496947E-5</v>
      </c>
      <c r="Z34" s="176">
        <f ca="1">IF(AN34&gt;0,Y34*Calculation_sheet!C$87,0)</f>
        <v>0</v>
      </c>
      <c r="AA34" s="176">
        <f t="shared" ca="1" si="38"/>
        <v>5.4716078000496947E-5</v>
      </c>
      <c r="AB34" s="176">
        <f ca="1">IF(AP34&gt;0,AA34*Calculation_sheet!C$94,0)</f>
        <v>0</v>
      </c>
      <c r="AC34" s="176">
        <f t="shared" ca="1" si="24"/>
        <v>5.4716078000496947E-5</v>
      </c>
      <c r="AD34" s="958">
        <f ca="1">AC34*Calculation_sheet!C$99</f>
        <v>3.2829646800298169E-5</v>
      </c>
      <c r="AE34" s="176">
        <f t="shared" ca="1" si="24"/>
        <v>2.1886431200198777E-5</v>
      </c>
      <c r="AF34" s="176">
        <f t="shared" ca="1" si="39"/>
        <v>5.4716078000496947E-5</v>
      </c>
      <c r="AG34" s="958">
        <f ca="1">AF34*User_sheet!B$77/100</f>
        <v>0</v>
      </c>
      <c r="AH34" s="313"/>
      <c r="AI34" s="883">
        <v>101</v>
      </c>
      <c r="AJ34" s="985"/>
      <c r="AK34" s="1020">
        <f t="shared" ca="1" si="15"/>
        <v>310.90188216693264</v>
      </c>
      <c r="AL34" s="954">
        <f ca="1">AK34/'101'!I$24</f>
        <v>0.88119103593202563</v>
      </c>
      <c r="AM34" s="954">
        <f ca="1">0.8*(AK34*30+'101'!D$17*0.34*30*1)</f>
        <v>11187.116020006384</v>
      </c>
      <c r="AN34" s="954">
        <f ca="1">IF(AM34&lt;User_sheet!B$50,Y34,0)</f>
        <v>0</v>
      </c>
      <c r="AO34" s="954">
        <f ca="1">20-(User_sheet!B$57/('Freestanding '!AK34+'101'!D$17*1*0.34))</f>
        <v>7.7716473347237223</v>
      </c>
      <c r="AP34" s="954">
        <f ca="1">IF(AO34&lt;User_sheet!B$59,0,BC34*AA34)</f>
        <v>0</v>
      </c>
      <c r="AQ34" s="985"/>
      <c r="AR34" s="883">
        <v>0.48</v>
      </c>
      <c r="AS34" s="883">
        <v>0.66</v>
      </c>
      <c r="AT34" s="883">
        <v>7.9</v>
      </c>
      <c r="AU34" s="883">
        <v>2.75</v>
      </c>
      <c r="AV34" s="883">
        <v>3.3</v>
      </c>
      <c r="AW34" s="883">
        <v>10916.451096266603</v>
      </c>
      <c r="AX34" s="883">
        <v>68297.998190252794</v>
      </c>
      <c r="AY34" s="883">
        <v>67352.647733737584</v>
      </c>
      <c r="AZ34" s="883">
        <v>0</v>
      </c>
      <c r="BA34" s="883">
        <v>0</v>
      </c>
      <c r="BB34" s="883">
        <v>0.6</v>
      </c>
      <c r="BC34" s="888">
        <v>0</v>
      </c>
      <c r="BD34" s="889">
        <v>0</v>
      </c>
      <c r="BE34" s="889">
        <v>0</v>
      </c>
      <c r="BF34" s="890">
        <v>1</v>
      </c>
      <c r="BG34" s="883">
        <v>1</v>
      </c>
      <c r="BH34" s="883">
        <v>0</v>
      </c>
      <c r="BI34" s="890">
        <v>0</v>
      </c>
      <c r="BJ34" s="883">
        <v>0</v>
      </c>
      <c r="BK34" s="883">
        <v>0</v>
      </c>
      <c r="BL34" s="883">
        <v>0</v>
      </c>
      <c r="BM34" s="890">
        <v>1</v>
      </c>
      <c r="BN34" s="958">
        <v>7.0000000000000007E-2</v>
      </c>
      <c r="BO34" s="959">
        <v>6</v>
      </c>
      <c r="BP34" s="926">
        <f t="shared" ca="1" si="25"/>
        <v>181.084</v>
      </c>
      <c r="BQ34" s="926">
        <f t="shared" ca="1" si="26"/>
        <v>302.464</v>
      </c>
      <c r="BR34" s="926">
        <f t="shared" ca="1" si="27"/>
        <v>104.854</v>
      </c>
      <c r="BS34" s="926">
        <f t="shared" ca="1" si="28"/>
        <v>129.21406907627619</v>
      </c>
      <c r="BT34" s="926">
        <f t="shared" ca="1" si="29"/>
        <v>104.86</v>
      </c>
      <c r="BU34" s="926">
        <f t="shared" ca="1" si="30"/>
        <v>14</v>
      </c>
      <c r="BV34" s="926">
        <f t="shared" ca="1" si="31"/>
        <v>4.3</v>
      </c>
      <c r="BW34" s="926">
        <v>0</v>
      </c>
      <c r="BX34" s="926">
        <f t="shared" ca="1" si="32"/>
        <v>46.46410635155096</v>
      </c>
      <c r="BY34" s="926">
        <f t="shared" ca="1" si="33"/>
        <v>76.52663818228848</v>
      </c>
      <c r="BZ34" s="926">
        <f t="shared" ca="1" si="17"/>
        <v>115.37845526167696</v>
      </c>
      <c r="CA34" s="926">
        <f t="shared" ca="1" si="18"/>
        <v>38.499999978825002</v>
      </c>
      <c r="CB34" s="926">
        <f t="shared" ca="1" si="34"/>
        <v>9.0267175572519083</v>
      </c>
      <c r="CC34" s="926">
        <f t="shared" si="19"/>
        <v>0</v>
      </c>
      <c r="CD34" s="1018">
        <f t="shared" ca="1" si="40"/>
        <v>310.90188216693264</v>
      </c>
      <c r="CE34" s="1018">
        <f t="shared" ca="1" si="41"/>
        <v>61.521110550810938</v>
      </c>
      <c r="CF34" s="926">
        <f t="shared" ca="1" si="22"/>
        <v>11.172689781532306</v>
      </c>
      <c r="CG34" s="926">
        <f t="shared" ca="1" si="23"/>
        <v>18602.081578660025</v>
      </c>
    </row>
    <row r="35" spans="4:85" s="3" customFormat="1" x14ac:dyDescent="0.25">
      <c r="D35" s="342"/>
      <c r="E35" s="338"/>
      <c r="F35" s="342"/>
      <c r="G35" s="338"/>
      <c r="H35" s="342"/>
      <c r="I35" s="338"/>
      <c r="J35" s="342"/>
      <c r="K35" s="340" t="s">
        <v>228</v>
      </c>
      <c r="L35" s="341">
        <v>0.50029999999999997</v>
      </c>
      <c r="M35" s="337" t="s">
        <v>17</v>
      </c>
      <c r="N35" s="339">
        <v>8.5106382999999994E-2</v>
      </c>
      <c r="O35" s="337" t="s">
        <v>19</v>
      </c>
      <c r="P35" s="339">
        <v>0.84089392900000004</v>
      </c>
      <c r="Q35" s="337" t="s">
        <v>17</v>
      </c>
      <c r="R35" s="339">
        <v>1</v>
      </c>
      <c r="S35" s="337"/>
      <c r="T35" s="347">
        <v>2.8917486800247627E-4</v>
      </c>
      <c r="U35" s="274"/>
      <c r="V35" s="176">
        <f t="shared" si="35"/>
        <v>2.8917486800247627E-4</v>
      </c>
      <c r="W35" s="176">
        <f t="shared" si="36"/>
        <v>2.8917486800247627E-4</v>
      </c>
      <c r="X35" s="176">
        <f t="shared" si="37"/>
        <v>2.8917486800247627E-4</v>
      </c>
      <c r="Y35" s="958">
        <f>X35/Calculation_sheet!M$67</f>
        <v>2.8918078059578473E-4</v>
      </c>
      <c r="Z35" s="176">
        <f ca="1">IF(AN35&gt;0,Y35*Calculation_sheet!C$87,0)</f>
        <v>0</v>
      </c>
      <c r="AA35" s="176">
        <f t="shared" ca="1" si="38"/>
        <v>2.8918078059578473E-4</v>
      </c>
      <c r="AB35" s="176">
        <f ca="1">IF(AP35&gt;0,AA35*Calculation_sheet!C$94,0)</f>
        <v>0</v>
      </c>
      <c r="AC35" s="176">
        <f t="shared" ca="1" si="24"/>
        <v>2.8918078059578473E-4</v>
      </c>
      <c r="AD35" s="958">
        <f ca="1">AC35*Calculation_sheet!C$99</f>
        <v>1.7350846835747084E-4</v>
      </c>
      <c r="AE35" s="176">
        <f t="shared" ca="1" si="24"/>
        <v>1.1567231223831389E-4</v>
      </c>
      <c r="AF35" s="176">
        <f t="shared" ca="1" si="39"/>
        <v>2.8918078059578473E-4</v>
      </c>
      <c r="AG35" s="958">
        <f ca="1">AF35*User_sheet!B$77/100</f>
        <v>0</v>
      </c>
      <c r="AH35" s="313"/>
      <c r="AI35" s="883">
        <v>101</v>
      </c>
      <c r="AJ35" s="985"/>
      <c r="AK35" s="1020">
        <f t="shared" ca="1" si="15"/>
        <v>310.90188216693264</v>
      </c>
      <c r="AL35" s="954">
        <f ca="1">AK35/'101'!I$24</f>
        <v>0.88119103593202563</v>
      </c>
      <c r="AM35" s="954">
        <f ca="1">0.8*(AK35*30+'101'!D$17*0.34*30*1)</f>
        <v>11187.116020006384</v>
      </c>
      <c r="AN35" s="954">
        <f ca="1">IF(AM35&lt;User_sheet!B$50,Y35,0)</f>
        <v>0</v>
      </c>
      <c r="AO35" s="954">
        <f ca="1">20-(User_sheet!B$57/('Freestanding '!AK35+'101'!D$17*1*0.34))</f>
        <v>7.7716473347237223</v>
      </c>
      <c r="AP35" s="954">
        <f ca="1">IF(AO35&lt;User_sheet!B$59,0,BC35*AA35)</f>
        <v>0</v>
      </c>
      <c r="AQ35" s="985"/>
      <c r="AR35" s="883">
        <v>0.48</v>
      </c>
      <c r="AS35" s="883">
        <v>0.66</v>
      </c>
      <c r="AT35" s="883">
        <v>7.9</v>
      </c>
      <c r="AU35" s="883">
        <v>2.75</v>
      </c>
      <c r="AV35" s="883">
        <v>3.3</v>
      </c>
      <c r="AW35" s="883">
        <v>10916.451096266603</v>
      </c>
      <c r="AX35" s="883">
        <v>68297.998190252794</v>
      </c>
      <c r="AY35" s="883">
        <v>67352.647733737584</v>
      </c>
      <c r="AZ35" s="883">
        <v>0</v>
      </c>
      <c r="BA35" s="883">
        <v>0</v>
      </c>
      <c r="BB35" s="883">
        <v>0.6</v>
      </c>
      <c r="BC35" s="888">
        <v>0</v>
      </c>
      <c r="BD35" s="889">
        <v>0</v>
      </c>
      <c r="BE35" s="889">
        <v>0</v>
      </c>
      <c r="BF35" s="890">
        <v>1</v>
      </c>
      <c r="BG35" s="883">
        <v>0</v>
      </c>
      <c r="BH35" s="883">
        <v>1</v>
      </c>
      <c r="BI35" s="890">
        <v>0</v>
      </c>
      <c r="BJ35" s="883">
        <v>0</v>
      </c>
      <c r="BK35" s="883">
        <v>0</v>
      </c>
      <c r="BL35" s="883">
        <v>0</v>
      </c>
      <c r="BM35" s="890">
        <v>1</v>
      </c>
      <c r="BN35" s="958">
        <v>7.0000000000000007E-2</v>
      </c>
      <c r="BO35" s="959">
        <v>6</v>
      </c>
      <c r="BP35" s="926">
        <f t="shared" ca="1" si="25"/>
        <v>181.084</v>
      </c>
      <c r="BQ35" s="926">
        <f t="shared" ca="1" si="26"/>
        <v>302.464</v>
      </c>
      <c r="BR35" s="926">
        <f t="shared" ca="1" si="27"/>
        <v>104.854</v>
      </c>
      <c r="BS35" s="926">
        <f t="shared" ca="1" si="28"/>
        <v>129.21406907627619</v>
      </c>
      <c r="BT35" s="926">
        <f t="shared" ca="1" si="29"/>
        <v>104.86</v>
      </c>
      <c r="BU35" s="926">
        <f t="shared" ca="1" si="30"/>
        <v>14</v>
      </c>
      <c r="BV35" s="926">
        <f t="shared" ca="1" si="31"/>
        <v>4.3</v>
      </c>
      <c r="BW35" s="926">
        <v>0</v>
      </c>
      <c r="BX35" s="926">
        <f t="shared" ca="1" si="32"/>
        <v>46.46410635155096</v>
      </c>
      <c r="BY35" s="926">
        <f t="shared" ca="1" si="33"/>
        <v>76.52663818228848</v>
      </c>
      <c r="BZ35" s="926">
        <f t="shared" ca="1" si="17"/>
        <v>115.37845526167696</v>
      </c>
      <c r="CA35" s="926">
        <f t="shared" ca="1" si="18"/>
        <v>38.499999978825002</v>
      </c>
      <c r="CB35" s="926">
        <f t="shared" ca="1" si="34"/>
        <v>9.0267175572519083</v>
      </c>
      <c r="CC35" s="926">
        <f t="shared" si="19"/>
        <v>0</v>
      </c>
      <c r="CD35" s="1018">
        <f t="shared" ca="1" si="40"/>
        <v>310.90188216693264</v>
      </c>
      <c r="CE35" s="1018">
        <f t="shared" ca="1" si="41"/>
        <v>61.521110550810938</v>
      </c>
      <c r="CF35" s="926">
        <f t="shared" ca="1" si="22"/>
        <v>11.172689781532306</v>
      </c>
      <c r="CG35" s="926">
        <f t="shared" ca="1" si="23"/>
        <v>18602.081578660025</v>
      </c>
    </row>
    <row r="36" spans="4:85" s="14" customFormat="1" x14ac:dyDescent="0.25">
      <c r="D36" s="345"/>
      <c r="E36" s="344"/>
      <c r="F36" s="345"/>
      <c r="G36" s="344"/>
      <c r="H36" s="345"/>
      <c r="I36" s="344"/>
      <c r="J36" s="345"/>
      <c r="K36" s="346"/>
      <c r="L36" s="345"/>
      <c r="M36" s="345"/>
      <c r="N36" s="345"/>
      <c r="O36" s="345"/>
      <c r="P36" s="345"/>
      <c r="Q36" s="345"/>
      <c r="R36" s="345"/>
      <c r="S36" s="345"/>
      <c r="T36" s="349"/>
      <c r="U36" s="273"/>
      <c r="V36" s="292"/>
      <c r="W36" s="292"/>
      <c r="X36" s="292"/>
      <c r="Y36" s="277"/>
      <c r="Z36" s="292"/>
      <c r="AA36" s="292"/>
      <c r="AB36" s="292"/>
      <c r="AC36" s="292"/>
      <c r="AD36" s="277"/>
      <c r="AE36" s="292"/>
      <c r="AF36" s="292"/>
      <c r="AG36" s="277"/>
      <c r="AH36" s="313"/>
      <c r="AI36" s="887"/>
      <c r="AJ36" s="985"/>
      <c r="AK36" s="1020">
        <f t="shared" si="15"/>
        <v>0</v>
      </c>
      <c r="AL36" s="986"/>
      <c r="AM36" s="986"/>
      <c r="AN36" s="986"/>
      <c r="AO36" s="986"/>
      <c r="AP36" s="986"/>
      <c r="AQ36" s="985"/>
      <c r="AR36" s="887"/>
      <c r="AS36" s="887"/>
      <c r="AT36" s="887"/>
      <c r="AU36" s="887"/>
      <c r="AV36" s="887"/>
      <c r="AW36" s="887"/>
      <c r="AX36" s="887"/>
      <c r="AY36" s="887"/>
      <c r="AZ36" s="887"/>
      <c r="BA36" s="887"/>
      <c r="BB36" s="887"/>
      <c r="BC36" s="45"/>
      <c r="BD36" s="277"/>
      <c r="BE36" s="277"/>
      <c r="BF36" s="49"/>
      <c r="BG36" s="887"/>
      <c r="BH36" s="887"/>
      <c r="BI36" s="49"/>
      <c r="BJ36" s="887"/>
      <c r="BK36" s="887"/>
      <c r="BL36" s="887"/>
      <c r="BM36" s="49"/>
      <c r="BN36" s="277"/>
      <c r="BO36" s="49"/>
      <c r="BP36" s="928"/>
      <c r="BQ36" s="928"/>
      <c r="BR36" s="928"/>
      <c r="BS36" s="928"/>
      <c r="BT36" s="928"/>
      <c r="BU36" s="928"/>
      <c r="BV36" s="928"/>
      <c r="BW36" s="928"/>
      <c r="BX36" s="928"/>
      <c r="BY36" s="928"/>
      <c r="BZ36" s="928"/>
      <c r="CA36" s="928"/>
      <c r="CB36" s="928"/>
      <c r="CC36" s="928"/>
      <c r="CD36" s="928"/>
      <c r="CE36" s="928"/>
      <c r="CF36" s="928"/>
      <c r="CG36" s="928"/>
    </row>
    <row r="37" spans="4:85" x14ac:dyDescent="0.25">
      <c r="D37" s="342"/>
      <c r="E37" s="338"/>
      <c r="F37" s="342"/>
      <c r="G37" s="338"/>
      <c r="H37" s="342"/>
      <c r="I37" s="338"/>
      <c r="J37" s="342"/>
      <c r="K37" s="343"/>
      <c r="L37" s="342"/>
      <c r="M37" s="342"/>
      <c r="N37" s="342"/>
      <c r="O37" s="342"/>
      <c r="P37" s="342"/>
      <c r="Q37" s="342" t="s">
        <v>16</v>
      </c>
      <c r="R37" s="339">
        <v>0.73860000000000003</v>
      </c>
      <c r="S37" s="342"/>
      <c r="T37" s="348">
        <v>0</v>
      </c>
      <c r="V37" s="176">
        <f t="shared" si="11"/>
        <v>0</v>
      </c>
      <c r="W37" s="176">
        <f>V37</f>
        <v>0</v>
      </c>
      <c r="X37" s="176">
        <f>W37</f>
        <v>0</v>
      </c>
      <c r="Y37" s="34">
        <f>X37/Calculation_sheet!M$67</f>
        <v>0</v>
      </c>
      <c r="Z37" s="176">
        <f ca="1">IF(AN37&gt;0,Y37*Calculation_sheet!C$87,0)</f>
        <v>0</v>
      </c>
      <c r="AA37" s="176">
        <f ca="1">Y37-Z37</f>
        <v>0</v>
      </c>
      <c r="AB37" s="176">
        <f ca="1">IF(AP37&gt;0,AA37*Calculation_sheet!C$94,0)</f>
        <v>0</v>
      </c>
      <c r="AC37" s="176">
        <f t="shared" ref="AC37:AE47" ca="1" si="42">AA37-AB37</f>
        <v>0</v>
      </c>
      <c r="AD37" s="958">
        <f ca="1">AC37*Calculation_sheet!C$99</f>
        <v>0</v>
      </c>
      <c r="AE37" s="176">
        <f t="shared" ca="1" si="42"/>
        <v>0</v>
      </c>
      <c r="AF37" s="176">
        <f ca="1">Y37-AB37</f>
        <v>0</v>
      </c>
      <c r="AG37" s="958">
        <f ca="1">AF37*User_sheet!B$77/100</f>
        <v>0</v>
      </c>
      <c r="AH37" s="313"/>
      <c r="AI37" s="883">
        <v>101</v>
      </c>
      <c r="AJ37" s="985"/>
      <c r="AK37" s="1020">
        <f t="shared" ca="1" si="15"/>
        <v>411.95489527968061</v>
      </c>
      <c r="AL37" s="954">
        <f ca="1">AK37/'101'!I$24</f>
        <v>1.1676061862303533</v>
      </c>
      <c r="AM37" s="954">
        <f ca="1">0.8*(AK37*30+'101'!D$17*0.34*30*1)</f>
        <v>13612.388334712334</v>
      </c>
      <c r="AN37" s="954">
        <f ca="1">IF(AM37&lt;User_sheet!B$50,Y37,0)</f>
        <v>0</v>
      </c>
      <c r="AO37" s="954">
        <f ca="1">20-(User_sheet!B$57/('Freestanding '!AK37+'101'!D$17*1*0.34))</f>
        <v>9.9503307842641746</v>
      </c>
      <c r="AP37" s="954">
        <f ca="1">IF(AO37&lt;User_sheet!B$59,0,BC37*AA37)</f>
        <v>0</v>
      </c>
      <c r="AQ37" s="985"/>
      <c r="AR37" s="883">
        <v>0.48</v>
      </c>
      <c r="AS37" s="883">
        <v>3.7</v>
      </c>
      <c r="AT37" s="883">
        <v>0.89</v>
      </c>
      <c r="AU37" s="883">
        <v>2.75</v>
      </c>
      <c r="AV37" s="883">
        <v>3.3</v>
      </c>
      <c r="AW37" s="883">
        <v>10916.451096266603</v>
      </c>
      <c r="AX37" s="883">
        <v>76466.30421774846</v>
      </c>
      <c r="AY37" s="883">
        <v>79015.992973719694</v>
      </c>
      <c r="AZ37" s="883">
        <v>0</v>
      </c>
      <c r="BA37" s="883">
        <v>0</v>
      </c>
      <c r="BB37" s="883">
        <v>0.6</v>
      </c>
      <c r="BC37" s="888">
        <v>1</v>
      </c>
      <c r="BD37" s="889">
        <v>0</v>
      </c>
      <c r="BE37" s="889">
        <v>0</v>
      </c>
      <c r="BF37" s="890">
        <v>0</v>
      </c>
      <c r="BG37" s="883">
        <v>1</v>
      </c>
      <c r="BH37" s="883">
        <v>0</v>
      </c>
      <c r="BI37" s="890">
        <v>0</v>
      </c>
      <c r="BJ37" s="883">
        <v>1</v>
      </c>
      <c r="BK37" s="883">
        <v>0</v>
      </c>
      <c r="BL37" s="883">
        <v>0</v>
      </c>
      <c r="BM37" s="890">
        <v>0</v>
      </c>
      <c r="BN37" s="958">
        <v>0</v>
      </c>
      <c r="BO37" s="959">
        <v>18</v>
      </c>
      <c r="BP37" s="1018">
        <f t="shared" ref="BP37:BP47" ca="1" si="43">INDIRECT("'"&amp;AI37&amp;"'!"&amp;"B2")</f>
        <v>181.084</v>
      </c>
      <c r="BQ37" s="1018">
        <f t="shared" ref="BQ37:BQ47" ca="1" si="44">INDIRECT("'"&amp;AI37&amp;"'!"&amp;"C12")+INDIRECT("'"&amp;AI37&amp;"'!"&amp;"C13")+INDIRECT("'"&amp;AI37&amp;"'!"&amp;"C14")+INDIRECT("'"&amp;AI37&amp;"'!"&amp;"C15")+INDIRECT("'"&amp;AI37&amp;"'!"&amp;"C17")</f>
        <v>302.464</v>
      </c>
      <c r="BR37" s="1018">
        <f t="shared" ref="BR37:BR47" ca="1" si="45">INDIRECT("'"&amp;AI37&amp;"'!"&amp;"G5")</f>
        <v>104.854</v>
      </c>
      <c r="BS37" s="1018">
        <f t="shared" ref="BS37:BS47" ca="1" si="46">INDIRECT("'"&amp;AI37&amp;"'!"&amp;"G4")</f>
        <v>129.21406907627619</v>
      </c>
      <c r="BT37" s="1018">
        <f t="shared" ref="BT37:BT47" ca="1" si="47">INDIRECT("'"&amp;AI37&amp;"'!"&amp;"G6")</f>
        <v>104.86</v>
      </c>
      <c r="BU37" s="1018">
        <f t="shared" ref="BU37:BU47" ca="1" si="48">INDIRECT("'"&amp;AI37&amp;"'!"&amp;"G2")</f>
        <v>14</v>
      </c>
      <c r="BV37" s="1018">
        <f t="shared" ref="BV37:BV47" ca="1" si="49">INDIRECT("'"&amp;AI37&amp;"'!"&amp;"G3")</f>
        <v>4.3</v>
      </c>
      <c r="BW37" s="1018">
        <v>0</v>
      </c>
      <c r="BX37" s="1018">
        <f t="shared" ref="BX37:BX47" ca="1" si="50">IF(BR37=0,0,1/(1/(BR37*$BY$3)+1/(BR37*AR37)+1/(BR37*$BY$4)))</f>
        <v>46.46410635155096</v>
      </c>
      <c r="BY37" s="1018">
        <f t="shared" ref="BY37:BY47" ca="1" si="51">IF(BS37=0,0,1/(1/(BS37*$BY$3)+1/(BS37*AS37)+1/(BS37*$BY$4)))</f>
        <v>291.28273085838049</v>
      </c>
      <c r="BZ37" s="1018">
        <f t="shared" ca="1" si="17"/>
        <v>26.681340533672177</v>
      </c>
      <c r="CA37" s="1018">
        <f t="shared" ca="1" si="18"/>
        <v>38.499999978825002</v>
      </c>
      <c r="CB37" s="1018">
        <f t="shared" ref="CB37:CB47" ca="1" si="52">IF(BV37=0,0,1/(1/(BV37*$BY$3)+1/(BV37*AV37)+1/(BV37*$BY$4)))</f>
        <v>9.0267175572519083</v>
      </c>
      <c r="CC37" s="1018">
        <f t="shared" si="19"/>
        <v>0</v>
      </c>
      <c r="CD37" s="1018">
        <f ca="1">SUM(BX37:CC37)+(BR37+BS37+BT37+BU37+BV37)*BN37</f>
        <v>411.95489527968061</v>
      </c>
      <c r="CE37" s="1018">
        <f ca="1">0.34*BO37*(1/25)^0.66*(BR37+BS37+BU37+BV37)</f>
        <v>184.56333165243285</v>
      </c>
      <c r="CF37" s="1018">
        <f t="shared" ca="1" si="22"/>
        <v>17.895546807963406</v>
      </c>
      <c r="CG37" s="1018">
        <f t="shared" ca="1" si="23"/>
        <v>29795.369613386756</v>
      </c>
    </row>
    <row r="38" spans="4:85" x14ac:dyDescent="0.25">
      <c r="D38" s="337"/>
      <c r="E38" s="336"/>
      <c r="F38" s="342"/>
      <c r="G38" s="338"/>
      <c r="H38" s="342"/>
      <c r="I38" s="338"/>
      <c r="J38" s="342"/>
      <c r="K38" s="343"/>
      <c r="L38" s="342"/>
      <c r="M38" s="337"/>
      <c r="N38" s="337"/>
      <c r="O38" s="337" t="s">
        <v>18</v>
      </c>
      <c r="P38" s="339">
        <v>0.62953995200000001</v>
      </c>
      <c r="Q38" s="337" t="s">
        <v>7</v>
      </c>
      <c r="R38" s="339">
        <v>0.26140000000000002</v>
      </c>
      <c r="S38" s="337"/>
      <c r="T38" s="347">
        <v>0</v>
      </c>
      <c r="V38" s="176">
        <f t="shared" si="11"/>
        <v>0</v>
      </c>
      <c r="W38" s="176">
        <f t="shared" ref="W38:X47" si="53">V38</f>
        <v>0</v>
      </c>
      <c r="X38" s="176">
        <f t="shared" si="53"/>
        <v>0</v>
      </c>
      <c r="Y38" s="34">
        <f>X38/Calculation_sheet!M$67</f>
        <v>0</v>
      </c>
      <c r="Z38" s="176">
        <f ca="1">IF(AN38&gt;0,Y38*Calculation_sheet!C$87,0)</f>
        <v>0</v>
      </c>
      <c r="AA38" s="176">
        <f t="shared" ref="AA38:AA47" ca="1" si="54">Y38-Z38</f>
        <v>0</v>
      </c>
      <c r="AB38" s="176">
        <f ca="1">IF(AP38&gt;0,AA38*Calculation_sheet!C$94,0)</f>
        <v>0</v>
      </c>
      <c r="AC38" s="176">
        <f t="shared" ca="1" si="42"/>
        <v>0</v>
      </c>
      <c r="AD38" s="958">
        <f ca="1">AC38*Calculation_sheet!C$99</f>
        <v>0</v>
      </c>
      <c r="AE38" s="176">
        <f t="shared" ca="1" si="42"/>
        <v>0</v>
      </c>
      <c r="AF38" s="176">
        <f t="shared" ref="AF38:AF47" ca="1" si="55">Y38-AB38</f>
        <v>0</v>
      </c>
      <c r="AG38" s="958">
        <f ca="1">AF38*User_sheet!B$77/100</f>
        <v>0</v>
      </c>
      <c r="AH38" s="313"/>
      <c r="AI38" s="883">
        <v>101</v>
      </c>
      <c r="AJ38" s="985"/>
      <c r="AK38" s="1020">
        <f t="shared" ca="1" si="15"/>
        <v>411.95489527968061</v>
      </c>
      <c r="AL38" s="954">
        <f ca="1">AK38/'101'!I$24</f>
        <v>1.1676061862303533</v>
      </c>
      <c r="AM38" s="954">
        <f ca="1">0.8*(AK38*30+'101'!D$17*0.34*30*1)</f>
        <v>13612.388334712334</v>
      </c>
      <c r="AN38" s="954">
        <f ca="1">IF(AM38&lt;User_sheet!B$50,Y38,0)</f>
        <v>0</v>
      </c>
      <c r="AO38" s="954">
        <f ca="1">20-(User_sheet!B$57/('Freestanding '!AK38+'101'!D$17*1*0.34))</f>
        <v>9.9503307842641746</v>
      </c>
      <c r="AP38" s="954">
        <f ca="1">IF(AO38&lt;User_sheet!B$59,0,BC38*AA38)</f>
        <v>0</v>
      </c>
      <c r="AQ38" s="985"/>
      <c r="AR38" s="883">
        <v>0.48</v>
      </c>
      <c r="AS38" s="883">
        <v>3.7</v>
      </c>
      <c r="AT38" s="883">
        <v>0.89</v>
      </c>
      <c r="AU38" s="883">
        <v>2.75</v>
      </c>
      <c r="AV38" s="883">
        <v>3.3</v>
      </c>
      <c r="AW38" s="883">
        <v>10916.451096266603</v>
      </c>
      <c r="AX38" s="883">
        <v>76466.30421774846</v>
      </c>
      <c r="AY38" s="883">
        <v>79015.992973719694</v>
      </c>
      <c r="AZ38" s="883">
        <v>0</v>
      </c>
      <c r="BA38" s="883">
        <v>0</v>
      </c>
      <c r="BB38" s="883">
        <v>0.6</v>
      </c>
      <c r="BC38" s="888">
        <v>1</v>
      </c>
      <c r="BD38" s="889">
        <v>0</v>
      </c>
      <c r="BE38" s="889">
        <v>0</v>
      </c>
      <c r="BF38" s="890">
        <v>0</v>
      </c>
      <c r="BG38" s="883">
        <v>1</v>
      </c>
      <c r="BH38" s="883">
        <v>0</v>
      </c>
      <c r="BI38" s="890">
        <v>0</v>
      </c>
      <c r="BJ38" s="883">
        <v>0</v>
      </c>
      <c r="BK38" s="883">
        <v>0</v>
      </c>
      <c r="BL38" s="883">
        <v>1</v>
      </c>
      <c r="BM38" s="890">
        <v>0</v>
      </c>
      <c r="BN38" s="958">
        <v>0</v>
      </c>
      <c r="BO38" s="959">
        <v>18</v>
      </c>
      <c r="BP38" s="1018">
        <f t="shared" ca="1" si="43"/>
        <v>181.084</v>
      </c>
      <c r="BQ38" s="1018">
        <f t="shared" ca="1" si="44"/>
        <v>302.464</v>
      </c>
      <c r="BR38" s="1018">
        <f t="shared" ca="1" si="45"/>
        <v>104.854</v>
      </c>
      <c r="BS38" s="1018">
        <f t="shared" ca="1" si="46"/>
        <v>129.21406907627619</v>
      </c>
      <c r="BT38" s="1018">
        <f t="shared" ca="1" si="47"/>
        <v>104.86</v>
      </c>
      <c r="BU38" s="1018">
        <f t="shared" ca="1" si="48"/>
        <v>14</v>
      </c>
      <c r="BV38" s="1018">
        <f t="shared" ca="1" si="49"/>
        <v>4.3</v>
      </c>
      <c r="BW38" s="1018">
        <v>0</v>
      </c>
      <c r="BX38" s="1018">
        <f t="shared" ca="1" si="50"/>
        <v>46.46410635155096</v>
      </c>
      <c r="BY38" s="1018">
        <f t="shared" ca="1" si="51"/>
        <v>291.28273085838049</v>
      </c>
      <c r="BZ38" s="1018">
        <f t="shared" ca="1" si="17"/>
        <v>26.681340533672177</v>
      </c>
      <c r="CA38" s="1018">
        <f t="shared" ca="1" si="18"/>
        <v>38.499999978825002</v>
      </c>
      <c r="CB38" s="1018">
        <f t="shared" ca="1" si="52"/>
        <v>9.0267175572519083</v>
      </c>
      <c r="CC38" s="1018">
        <f t="shared" si="19"/>
        <v>0</v>
      </c>
      <c r="CD38" s="1018">
        <f t="shared" ref="CD38:CD47" ca="1" si="56">SUM(BX38:CC38)+(BR38+BS38+BT38+BU38+BV38)*BN38</f>
        <v>411.95489527968061</v>
      </c>
      <c r="CE38" s="1018">
        <f t="shared" ref="CE38:CE47" ca="1" si="57">0.34*BO38*(1/25)^0.66*(BR38+BS38+BU38+BV38)</f>
        <v>184.56333165243285</v>
      </c>
      <c r="CF38" s="1018">
        <f t="shared" ca="1" si="22"/>
        <v>17.895546807963406</v>
      </c>
      <c r="CG38" s="1018">
        <f t="shared" ca="1" si="23"/>
        <v>29795.369613386756</v>
      </c>
    </row>
    <row r="39" spans="4:85" x14ac:dyDescent="0.25">
      <c r="D39" s="337"/>
      <c r="E39" s="336"/>
      <c r="F39" s="342"/>
      <c r="G39" s="338"/>
      <c r="H39" s="342"/>
      <c r="I39" s="338"/>
      <c r="J39" s="342"/>
      <c r="K39" s="343"/>
      <c r="L39" s="342"/>
      <c r="M39" s="337"/>
      <c r="N39" s="337"/>
      <c r="O39" s="337"/>
      <c r="P39" s="337"/>
      <c r="Q39" s="337" t="s">
        <v>16</v>
      </c>
      <c r="R39" s="339">
        <v>0.73860000000000003</v>
      </c>
      <c r="S39" s="337"/>
      <c r="T39" s="347">
        <v>0</v>
      </c>
      <c r="V39" s="176">
        <f t="shared" si="11"/>
        <v>0</v>
      </c>
      <c r="W39" s="176">
        <f t="shared" si="53"/>
        <v>0</v>
      </c>
      <c r="X39" s="176">
        <f t="shared" si="53"/>
        <v>0</v>
      </c>
      <c r="Y39" s="34">
        <f>X39/Calculation_sheet!M$67</f>
        <v>0</v>
      </c>
      <c r="Z39" s="176">
        <f ca="1">IF(AN39&gt;0,Y39*Calculation_sheet!C$87,0)</f>
        <v>0</v>
      </c>
      <c r="AA39" s="176">
        <f t="shared" ca="1" si="54"/>
        <v>0</v>
      </c>
      <c r="AB39" s="176">
        <f ca="1">IF(AP39&gt;0,AA39*Calculation_sheet!C$94,0)</f>
        <v>0</v>
      </c>
      <c r="AC39" s="176">
        <f t="shared" ca="1" si="42"/>
        <v>0</v>
      </c>
      <c r="AD39" s="958">
        <f ca="1">AC39*Calculation_sheet!C$99</f>
        <v>0</v>
      </c>
      <c r="AE39" s="176">
        <f t="shared" ca="1" si="42"/>
        <v>0</v>
      </c>
      <c r="AF39" s="176">
        <f t="shared" ca="1" si="55"/>
        <v>0</v>
      </c>
      <c r="AG39" s="958">
        <f ca="1">AF39*User_sheet!B$77/100</f>
        <v>0</v>
      </c>
      <c r="AH39" s="313"/>
      <c r="AI39" s="883">
        <v>101</v>
      </c>
      <c r="AJ39" s="985"/>
      <c r="AK39" s="1020">
        <f t="shared" ca="1" si="15"/>
        <v>411.95489527968061</v>
      </c>
      <c r="AL39" s="954">
        <f ca="1">AK39/'101'!I$24</f>
        <v>1.1676061862303533</v>
      </c>
      <c r="AM39" s="954">
        <f ca="1">0.8*(AK39*30+'101'!D$17*0.34*30*1)</f>
        <v>13612.388334712334</v>
      </c>
      <c r="AN39" s="954">
        <f ca="1">IF(AM39&lt;User_sheet!B$50,Y39,0)</f>
        <v>0</v>
      </c>
      <c r="AO39" s="954">
        <f ca="1">20-(User_sheet!B$57/('Freestanding '!AK39+'101'!D$17*1*0.34))</f>
        <v>9.9503307842641746</v>
      </c>
      <c r="AP39" s="954">
        <f ca="1">IF(AO39&lt;User_sheet!B$59,0,BC39*AA39)</f>
        <v>0</v>
      </c>
      <c r="AQ39" s="985"/>
      <c r="AR39" s="883">
        <v>0.48</v>
      </c>
      <c r="AS39" s="883">
        <v>3.7</v>
      </c>
      <c r="AT39" s="883">
        <v>0.89</v>
      </c>
      <c r="AU39" s="883">
        <v>2.75</v>
      </c>
      <c r="AV39" s="883">
        <v>3.3</v>
      </c>
      <c r="AW39" s="883">
        <v>10916.451096266603</v>
      </c>
      <c r="AX39" s="883">
        <v>76466.30421774846</v>
      </c>
      <c r="AY39" s="883">
        <v>79015.992973719694</v>
      </c>
      <c r="AZ39" s="883">
        <v>0</v>
      </c>
      <c r="BA39" s="883">
        <v>0</v>
      </c>
      <c r="BB39" s="883">
        <v>0.6</v>
      </c>
      <c r="BC39" s="888">
        <v>1</v>
      </c>
      <c r="BD39" s="889">
        <v>0</v>
      </c>
      <c r="BE39" s="889">
        <v>0</v>
      </c>
      <c r="BF39" s="890">
        <v>0</v>
      </c>
      <c r="BG39" s="883">
        <v>0</v>
      </c>
      <c r="BH39" s="883">
        <v>1</v>
      </c>
      <c r="BI39" s="890">
        <v>0</v>
      </c>
      <c r="BJ39" s="883">
        <v>1</v>
      </c>
      <c r="BK39" s="883">
        <v>0</v>
      </c>
      <c r="BL39" s="883">
        <v>0</v>
      </c>
      <c r="BM39" s="890">
        <v>0</v>
      </c>
      <c r="BN39" s="958">
        <v>0</v>
      </c>
      <c r="BO39" s="959">
        <v>18</v>
      </c>
      <c r="BP39" s="1018">
        <f t="shared" ca="1" si="43"/>
        <v>181.084</v>
      </c>
      <c r="BQ39" s="1018">
        <f t="shared" ca="1" si="44"/>
        <v>302.464</v>
      </c>
      <c r="BR39" s="1018">
        <f t="shared" ca="1" si="45"/>
        <v>104.854</v>
      </c>
      <c r="BS39" s="1018">
        <f t="shared" ca="1" si="46"/>
        <v>129.21406907627619</v>
      </c>
      <c r="BT39" s="1018">
        <f t="shared" ca="1" si="47"/>
        <v>104.86</v>
      </c>
      <c r="BU39" s="1018">
        <f t="shared" ca="1" si="48"/>
        <v>14</v>
      </c>
      <c r="BV39" s="1018">
        <f t="shared" ca="1" si="49"/>
        <v>4.3</v>
      </c>
      <c r="BW39" s="1018">
        <v>0</v>
      </c>
      <c r="BX39" s="1018">
        <f t="shared" ca="1" si="50"/>
        <v>46.46410635155096</v>
      </c>
      <c r="BY39" s="1018">
        <f t="shared" ca="1" si="51"/>
        <v>291.28273085838049</v>
      </c>
      <c r="BZ39" s="1018">
        <f t="shared" ca="1" si="17"/>
        <v>26.681340533672177</v>
      </c>
      <c r="CA39" s="1018">
        <f t="shared" ca="1" si="18"/>
        <v>38.499999978825002</v>
      </c>
      <c r="CB39" s="1018">
        <f t="shared" ca="1" si="52"/>
        <v>9.0267175572519083</v>
      </c>
      <c r="CC39" s="1018">
        <f t="shared" si="19"/>
        <v>0</v>
      </c>
      <c r="CD39" s="1018">
        <f t="shared" ca="1" si="56"/>
        <v>411.95489527968061</v>
      </c>
      <c r="CE39" s="1018">
        <f t="shared" ca="1" si="57"/>
        <v>184.56333165243285</v>
      </c>
      <c r="CF39" s="1018">
        <f t="shared" ca="1" si="22"/>
        <v>17.895546807963406</v>
      </c>
      <c r="CG39" s="1018">
        <f t="shared" ca="1" si="23"/>
        <v>29795.369613386756</v>
      </c>
    </row>
    <row r="40" spans="4:85" x14ac:dyDescent="0.25">
      <c r="D40" s="337"/>
      <c r="E40" s="336"/>
      <c r="F40" s="342"/>
      <c r="G40" s="338"/>
      <c r="H40" s="342"/>
      <c r="I40" s="338"/>
      <c r="J40" s="342"/>
      <c r="K40" s="343"/>
      <c r="L40" s="342"/>
      <c r="M40" s="337" t="s">
        <v>16</v>
      </c>
      <c r="N40" s="339">
        <v>0.44680851100000002</v>
      </c>
      <c r="O40" s="337" t="s">
        <v>19</v>
      </c>
      <c r="P40" s="339">
        <v>0.37046004799999999</v>
      </c>
      <c r="Q40" s="337" t="s">
        <v>7</v>
      </c>
      <c r="R40" s="339">
        <v>0.26140000000000002</v>
      </c>
      <c r="S40" s="337"/>
      <c r="T40" s="347">
        <v>0</v>
      </c>
      <c r="V40" s="176">
        <f t="shared" si="11"/>
        <v>0</v>
      </c>
      <c r="W40" s="176">
        <f t="shared" si="53"/>
        <v>0</v>
      </c>
      <c r="X40" s="176">
        <f t="shared" si="53"/>
        <v>0</v>
      </c>
      <c r="Y40" s="34">
        <f>X40/Calculation_sheet!M$67</f>
        <v>0</v>
      </c>
      <c r="Z40" s="176">
        <f ca="1">IF(AN40&gt;0,Y40*Calculation_sheet!C$87,0)</f>
        <v>0</v>
      </c>
      <c r="AA40" s="176">
        <f t="shared" ca="1" si="54"/>
        <v>0</v>
      </c>
      <c r="AB40" s="176">
        <f ca="1">IF(AP40&gt;0,AA40*Calculation_sheet!C$94,0)</f>
        <v>0</v>
      </c>
      <c r="AC40" s="176">
        <f t="shared" ca="1" si="42"/>
        <v>0</v>
      </c>
      <c r="AD40" s="958">
        <f ca="1">AC40*Calculation_sheet!C$99</f>
        <v>0</v>
      </c>
      <c r="AE40" s="176">
        <f t="shared" ca="1" si="42"/>
        <v>0</v>
      </c>
      <c r="AF40" s="176">
        <f t="shared" ca="1" si="55"/>
        <v>0</v>
      </c>
      <c r="AG40" s="958">
        <f ca="1">AF40*User_sheet!B$77/100</f>
        <v>0</v>
      </c>
      <c r="AH40" s="313"/>
      <c r="AI40" s="883">
        <v>101</v>
      </c>
      <c r="AJ40" s="985"/>
      <c r="AK40" s="1020">
        <f t="shared" ca="1" si="15"/>
        <v>411.95489527968061</v>
      </c>
      <c r="AL40" s="954">
        <f ca="1">AK40/'101'!I$24</f>
        <v>1.1676061862303533</v>
      </c>
      <c r="AM40" s="954">
        <f ca="1">0.8*(AK40*30+'101'!D$17*0.34*30*1)</f>
        <v>13612.388334712334</v>
      </c>
      <c r="AN40" s="954">
        <f ca="1">IF(AM40&lt;User_sheet!B$50,Y40,0)</f>
        <v>0</v>
      </c>
      <c r="AO40" s="954">
        <f ca="1">20-(User_sheet!B$57/('Freestanding '!AK40+'101'!D$17*1*0.34))</f>
        <v>9.9503307842641746</v>
      </c>
      <c r="AP40" s="954">
        <f ca="1">IF(AO40&lt;User_sheet!B$59,0,BC40*AA40)</f>
        <v>0</v>
      </c>
      <c r="AQ40" s="985"/>
      <c r="AR40" s="883">
        <v>0.48</v>
      </c>
      <c r="AS40" s="883">
        <v>3.7</v>
      </c>
      <c r="AT40" s="883">
        <v>0.89</v>
      </c>
      <c r="AU40" s="883">
        <v>2.75</v>
      </c>
      <c r="AV40" s="883">
        <v>3.3</v>
      </c>
      <c r="AW40" s="883">
        <v>10916.451096266603</v>
      </c>
      <c r="AX40" s="883">
        <v>76466.30421774846</v>
      </c>
      <c r="AY40" s="883">
        <v>79015.992973719694</v>
      </c>
      <c r="AZ40" s="883">
        <v>0</v>
      </c>
      <c r="BA40" s="883">
        <v>0</v>
      </c>
      <c r="BB40" s="883">
        <v>0.6</v>
      </c>
      <c r="BC40" s="888">
        <v>1</v>
      </c>
      <c r="BD40" s="889">
        <v>0</v>
      </c>
      <c r="BE40" s="889">
        <v>0</v>
      </c>
      <c r="BF40" s="890">
        <v>0</v>
      </c>
      <c r="BG40" s="883">
        <v>0</v>
      </c>
      <c r="BH40" s="883">
        <v>1</v>
      </c>
      <c r="BI40" s="890">
        <v>0</v>
      </c>
      <c r="BJ40" s="883">
        <v>0</v>
      </c>
      <c r="BK40" s="883">
        <v>0</v>
      </c>
      <c r="BL40" s="883">
        <v>1</v>
      </c>
      <c r="BM40" s="890">
        <v>0</v>
      </c>
      <c r="BN40" s="958">
        <v>0</v>
      </c>
      <c r="BO40" s="959">
        <v>18</v>
      </c>
      <c r="BP40" s="1018">
        <f t="shared" ca="1" si="43"/>
        <v>181.084</v>
      </c>
      <c r="BQ40" s="1018">
        <f t="shared" ca="1" si="44"/>
        <v>302.464</v>
      </c>
      <c r="BR40" s="1018">
        <f t="shared" ca="1" si="45"/>
        <v>104.854</v>
      </c>
      <c r="BS40" s="1018">
        <f t="shared" ca="1" si="46"/>
        <v>129.21406907627619</v>
      </c>
      <c r="BT40" s="1018">
        <f t="shared" ca="1" si="47"/>
        <v>104.86</v>
      </c>
      <c r="BU40" s="1018">
        <f t="shared" ca="1" si="48"/>
        <v>14</v>
      </c>
      <c r="BV40" s="1018">
        <f t="shared" ca="1" si="49"/>
        <v>4.3</v>
      </c>
      <c r="BW40" s="1018">
        <v>0</v>
      </c>
      <c r="BX40" s="1018">
        <f t="shared" ca="1" si="50"/>
        <v>46.46410635155096</v>
      </c>
      <c r="BY40" s="1018">
        <f t="shared" ca="1" si="51"/>
        <v>291.28273085838049</v>
      </c>
      <c r="BZ40" s="1018">
        <f t="shared" ca="1" si="17"/>
        <v>26.681340533672177</v>
      </c>
      <c r="CA40" s="1018">
        <f t="shared" ca="1" si="18"/>
        <v>38.499999978825002</v>
      </c>
      <c r="CB40" s="1018">
        <f t="shared" ca="1" si="52"/>
        <v>9.0267175572519083</v>
      </c>
      <c r="CC40" s="1018">
        <f t="shared" si="19"/>
        <v>0</v>
      </c>
      <c r="CD40" s="1018">
        <f t="shared" ca="1" si="56"/>
        <v>411.95489527968061</v>
      </c>
      <c r="CE40" s="1018">
        <f t="shared" ca="1" si="57"/>
        <v>184.56333165243285</v>
      </c>
      <c r="CF40" s="1018">
        <f t="shared" ca="1" si="22"/>
        <v>17.895546807963406</v>
      </c>
      <c r="CG40" s="1018">
        <f t="shared" ca="1" si="23"/>
        <v>29795.369613386756</v>
      </c>
    </row>
    <row r="41" spans="4:85" x14ac:dyDescent="0.25">
      <c r="D41" s="337"/>
      <c r="E41" s="336"/>
      <c r="F41" s="342"/>
      <c r="G41" s="338"/>
      <c r="H41" s="342"/>
      <c r="I41" s="338"/>
      <c r="J41" s="342"/>
      <c r="K41" s="343"/>
      <c r="L41" s="342"/>
      <c r="M41" s="337"/>
      <c r="N41" s="337"/>
      <c r="O41" s="337"/>
      <c r="P41" s="337"/>
      <c r="Q41" s="337" t="s">
        <v>22</v>
      </c>
      <c r="R41" s="339">
        <v>0.53710000000000002</v>
      </c>
      <c r="S41" s="337"/>
      <c r="T41" s="347">
        <v>0</v>
      </c>
      <c r="V41" s="176">
        <f t="shared" si="11"/>
        <v>0</v>
      </c>
      <c r="W41" s="176">
        <f t="shared" si="53"/>
        <v>0</v>
      </c>
      <c r="X41" s="176">
        <f t="shared" si="53"/>
        <v>0</v>
      </c>
      <c r="Y41" s="34">
        <f>X41/Calculation_sheet!M$67</f>
        <v>0</v>
      </c>
      <c r="Z41" s="176">
        <f ca="1">IF(AN41&gt;0,Y41*Calculation_sheet!C$87,0)</f>
        <v>0</v>
      </c>
      <c r="AA41" s="176">
        <f t="shared" ca="1" si="54"/>
        <v>0</v>
      </c>
      <c r="AB41" s="176">
        <f ca="1">IF(AP41&gt;0,AA41*Calculation_sheet!C$94,0)</f>
        <v>0</v>
      </c>
      <c r="AC41" s="176">
        <f t="shared" ca="1" si="42"/>
        <v>0</v>
      </c>
      <c r="AD41" s="958">
        <f ca="1">AC41*Calculation_sheet!C$99</f>
        <v>0</v>
      </c>
      <c r="AE41" s="176">
        <f t="shared" ca="1" si="42"/>
        <v>0</v>
      </c>
      <c r="AF41" s="176">
        <f t="shared" ca="1" si="55"/>
        <v>0</v>
      </c>
      <c r="AG41" s="958">
        <f ca="1">AF41*User_sheet!B$77/100</f>
        <v>0</v>
      </c>
      <c r="AH41" s="313"/>
      <c r="AI41" s="883">
        <v>101</v>
      </c>
      <c r="AJ41" s="985"/>
      <c r="AK41" s="1020">
        <f t="shared" ca="1" si="15"/>
        <v>411.95489527968061</v>
      </c>
      <c r="AL41" s="954">
        <f ca="1">AK41/'101'!I$24</f>
        <v>1.1676061862303533</v>
      </c>
      <c r="AM41" s="954">
        <f ca="1">0.8*(AK41*30+'101'!D$17*0.34*30*1)</f>
        <v>13612.388334712334</v>
      </c>
      <c r="AN41" s="954">
        <f ca="1">IF(AM41&lt;User_sheet!B$50,Y41,0)</f>
        <v>0</v>
      </c>
      <c r="AO41" s="954">
        <f ca="1">20-(User_sheet!B$57/('Freestanding '!AK41+'101'!D$17*1*0.34))</f>
        <v>9.9503307842641746</v>
      </c>
      <c r="AP41" s="954">
        <f ca="1">IF(AO41&lt;User_sheet!B$59,0,BC41*AA41)</f>
        <v>0</v>
      </c>
      <c r="AQ41" s="985"/>
      <c r="AR41" s="883">
        <v>0.48</v>
      </c>
      <c r="AS41" s="883">
        <v>3.7</v>
      </c>
      <c r="AT41" s="883">
        <v>0.89</v>
      </c>
      <c r="AU41" s="883">
        <v>2.75</v>
      </c>
      <c r="AV41" s="883">
        <v>3.3</v>
      </c>
      <c r="AW41" s="883">
        <v>10916.451096266603</v>
      </c>
      <c r="AX41" s="883">
        <v>76466.30421774846</v>
      </c>
      <c r="AY41" s="883">
        <v>79015.992973719694</v>
      </c>
      <c r="AZ41" s="883">
        <v>0</v>
      </c>
      <c r="BA41" s="883">
        <v>0</v>
      </c>
      <c r="BB41" s="883">
        <v>0.6</v>
      </c>
      <c r="BC41" s="888">
        <v>0</v>
      </c>
      <c r="BD41" s="889">
        <v>1</v>
      </c>
      <c r="BE41" s="889">
        <v>0</v>
      </c>
      <c r="BF41" s="890">
        <v>0</v>
      </c>
      <c r="BG41" s="883">
        <v>1</v>
      </c>
      <c r="BH41" s="883">
        <v>0</v>
      </c>
      <c r="BI41" s="890">
        <v>0</v>
      </c>
      <c r="BJ41" s="883">
        <v>0</v>
      </c>
      <c r="BK41" s="883">
        <v>1</v>
      </c>
      <c r="BL41" s="883">
        <v>0</v>
      </c>
      <c r="BM41" s="890">
        <v>0</v>
      </c>
      <c r="BN41" s="958">
        <v>0</v>
      </c>
      <c r="BO41" s="959">
        <v>18</v>
      </c>
      <c r="BP41" s="1018">
        <f t="shared" ca="1" si="43"/>
        <v>181.084</v>
      </c>
      <c r="BQ41" s="1018">
        <f t="shared" ca="1" si="44"/>
        <v>302.464</v>
      </c>
      <c r="BR41" s="1018">
        <f t="shared" ca="1" si="45"/>
        <v>104.854</v>
      </c>
      <c r="BS41" s="1018">
        <f t="shared" ca="1" si="46"/>
        <v>129.21406907627619</v>
      </c>
      <c r="BT41" s="1018">
        <f t="shared" ca="1" si="47"/>
        <v>104.86</v>
      </c>
      <c r="BU41" s="1018">
        <f t="shared" ca="1" si="48"/>
        <v>14</v>
      </c>
      <c r="BV41" s="1018">
        <f t="shared" ca="1" si="49"/>
        <v>4.3</v>
      </c>
      <c r="BW41" s="1018">
        <v>0</v>
      </c>
      <c r="BX41" s="1018">
        <f t="shared" ca="1" si="50"/>
        <v>46.46410635155096</v>
      </c>
      <c r="BY41" s="1018">
        <f t="shared" ca="1" si="51"/>
        <v>291.28273085838049</v>
      </c>
      <c r="BZ41" s="1018">
        <f t="shared" ca="1" si="17"/>
        <v>26.681340533672177</v>
      </c>
      <c r="CA41" s="1018">
        <f t="shared" ca="1" si="18"/>
        <v>38.499999978825002</v>
      </c>
      <c r="CB41" s="1018">
        <f t="shared" ca="1" si="52"/>
        <v>9.0267175572519083</v>
      </c>
      <c r="CC41" s="1018">
        <f t="shared" si="19"/>
        <v>0</v>
      </c>
      <c r="CD41" s="1018">
        <f t="shared" ca="1" si="56"/>
        <v>411.95489527968061</v>
      </c>
      <c r="CE41" s="1018">
        <f t="shared" ca="1" si="57"/>
        <v>184.56333165243285</v>
      </c>
      <c r="CF41" s="1018">
        <f t="shared" ca="1" si="22"/>
        <v>17.895546807963406</v>
      </c>
      <c r="CG41" s="1018">
        <f t="shared" ca="1" si="23"/>
        <v>29795.369613386756</v>
      </c>
    </row>
    <row r="42" spans="4:85" x14ac:dyDescent="0.25">
      <c r="D42" s="337"/>
      <c r="E42" s="336"/>
      <c r="F42" s="342"/>
      <c r="G42" s="338"/>
      <c r="H42" s="342"/>
      <c r="I42" s="338"/>
      <c r="J42" s="342"/>
      <c r="K42" s="343"/>
      <c r="L42" s="342"/>
      <c r="M42" s="337"/>
      <c r="N42" s="337"/>
      <c r="O42" s="337" t="s">
        <v>18</v>
      </c>
      <c r="P42" s="339">
        <v>0.80827067699999999</v>
      </c>
      <c r="Q42" s="337" t="s">
        <v>7</v>
      </c>
      <c r="R42" s="339">
        <v>0.46289999999999998</v>
      </c>
      <c r="S42" s="337"/>
      <c r="T42" s="347">
        <v>0</v>
      </c>
      <c r="V42" s="176">
        <f t="shared" si="11"/>
        <v>0</v>
      </c>
      <c r="W42" s="176">
        <f t="shared" si="53"/>
        <v>0</v>
      </c>
      <c r="X42" s="176">
        <f t="shared" si="53"/>
        <v>0</v>
      </c>
      <c r="Y42" s="34">
        <f>X42/Calculation_sheet!M$67</f>
        <v>0</v>
      </c>
      <c r="Z42" s="176">
        <f ca="1">IF(AN42&gt;0,Y42*Calculation_sheet!C$87,0)</f>
        <v>0</v>
      </c>
      <c r="AA42" s="176">
        <f t="shared" ca="1" si="54"/>
        <v>0</v>
      </c>
      <c r="AB42" s="176">
        <f ca="1">IF(AP42&gt;0,AA42*Calculation_sheet!C$94,0)</f>
        <v>0</v>
      </c>
      <c r="AC42" s="176">
        <f t="shared" ca="1" si="42"/>
        <v>0</v>
      </c>
      <c r="AD42" s="958">
        <f ca="1">AC42*Calculation_sheet!C$99</f>
        <v>0</v>
      </c>
      <c r="AE42" s="176">
        <f t="shared" ca="1" si="42"/>
        <v>0</v>
      </c>
      <c r="AF42" s="176">
        <f t="shared" ca="1" si="55"/>
        <v>0</v>
      </c>
      <c r="AG42" s="958">
        <f ca="1">AF42*User_sheet!B$77/100</f>
        <v>0</v>
      </c>
      <c r="AH42" s="313"/>
      <c r="AI42" s="883">
        <v>101</v>
      </c>
      <c r="AJ42" s="985"/>
      <c r="AK42" s="1020">
        <f t="shared" ca="1" si="15"/>
        <v>411.95489527968061</v>
      </c>
      <c r="AL42" s="954">
        <f ca="1">AK42/'101'!I$24</f>
        <v>1.1676061862303533</v>
      </c>
      <c r="AM42" s="954">
        <f ca="1">0.8*(AK42*30+'101'!D$17*0.34*30*1)</f>
        <v>13612.388334712334</v>
      </c>
      <c r="AN42" s="954">
        <f ca="1">IF(AM42&lt;User_sheet!B$50,Y42,0)</f>
        <v>0</v>
      </c>
      <c r="AO42" s="954">
        <f ca="1">20-(User_sheet!B$57/('Freestanding '!AK42+'101'!D$17*1*0.34))</f>
        <v>9.9503307842641746</v>
      </c>
      <c r="AP42" s="954">
        <f ca="1">IF(AO42&lt;User_sheet!B$59,0,BC42*AA42)</f>
        <v>0</v>
      </c>
      <c r="AQ42" s="985"/>
      <c r="AR42" s="883">
        <v>0.48</v>
      </c>
      <c r="AS42" s="883">
        <v>3.7</v>
      </c>
      <c r="AT42" s="883">
        <v>0.89</v>
      </c>
      <c r="AU42" s="883">
        <v>2.75</v>
      </c>
      <c r="AV42" s="883">
        <v>3.3</v>
      </c>
      <c r="AW42" s="883">
        <v>10916.451096266603</v>
      </c>
      <c r="AX42" s="883">
        <v>76466.30421774846</v>
      </c>
      <c r="AY42" s="883">
        <v>79015.992973719694</v>
      </c>
      <c r="AZ42" s="883">
        <v>0</v>
      </c>
      <c r="BA42" s="883">
        <v>0</v>
      </c>
      <c r="BB42" s="883">
        <v>0.6</v>
      </c>
      <c r="BC42" s="888">
        <v>0</v>
      </c>
      <c r="BD42" s="889">
        <v>1</v>
      </c>
      <c r="BE42" s="889">
        <v>0</v>
      </c>
      <c r="BF42" s="890">
        <v>0</v>
      </c>
      <c r="BG42" s="883">
        <v>1</v>
      </c>
      <c r="BH42" s="883">
        <v>0</v>
      </c>
      <c r="BI42" s="890">
        <v>0</v>
      </c>
      <c r="BJ42" s="883">
        <v>0</v>
      </c>
      <c r="BK42" s="883">
        <v>0</v>
      </c>
      <c r="BL42" s="883">
        <v>1</v>
      </c>
      <c r="BM42" s="890">
        <v>0</v>
      </c>
      <c r="BN42" s="958">
        <v>0</v>
      </c>
      <c r="BO42" s="959">
        <v>18</v>
      </c>
      <c r="BP42" s="1018">
        <f t="shared" ca="1" si="43"/>
        <v>181.084</v>
      </c>
      <c r="BQ42" s="1018">
        <f t="shared" ca="1" si="44"/>
        <v>302.464</v>
      </c>
      <c r="BR42" s="1018">
        <f t="shared" ca="1" si="45"/>
        <v>104.854</v>
      </c>
      <c r="BS42" s="1018">
        <f t="shared" ca="1" si="46"/>
        <v>129.21406907627619</v>
      </c>
      <c r="BT42" s="1018">
        <f t="shared" ca="1" si="47"/>
        <v>104.86</v>
      </c>
      <c r="BU42" s="1018">
        <f t="shared" ca="1" si="48"/>
        <v>14</v>
      </c>
      <c r="BV42" s="1018">
        <f t="shared" ca="1" si="49"/>
        <v>4.3</v>
      </c>
      <c r="BW42" s="1018">
        <v>0</v>
      </c>
      <c r="BX42" s="1018">
        <f t="shared" ca="1" si="50"/>
        <v>46.46410635155096</v>
      </c>
      <c r="BY42" s="1018">
        <f t="shared" ca="1" si="51"/>
        <v>291.28273085838049</v>
      </c>
      <c r="BZ42" s="1018">
        <f t="shared" ca="1" si="17"/>
        <v>26.681340533672177</v>
      </c>
      <c r="CA42" s="1018">
        <f t="shared" ca="1" si="18"/>
        <v>38.499999978825002</v>
      </c>
      <c r="CB42" s="1018">
        <f t="shared" ca="1" si="52"/>
        <v>9.0267175572519083</v>
      </c>
      <c r="CC42" s="1018">
        <f t="shared" si="19"/>
        <v>0</v>
      </c>
      <c r="CD42" s="1018">
        <f t="shared" ca="1" si="56"/>
        <v>411.95489527968061</v>
      </c>
      <c r="CE42" s="1018">
        <f t="shared" ca="1" si="57"/>
        <v>184.56333165243285</v>
      </c>
      <c r="CF42" s="1018">
        <f t="shared" ca="1" si="22"/>
        <v>17.895546807963406</v>
      </c>
      <c r="CG42" s="1018">
        <f t="shared" ca="1" si="23"/>
        <v>29795.369613386756</v>
      </c>
    </row>
    <row r="43" spans="4:85" x14ac:dyDescent="0.25">
      <c r="D43" s="337"/>
      <c r="E43" s="336"/>
      <c r="F43" s="337"/>
      <c r="G43" s="336"/>
      <c r="H43" s="337"/>
      <c r="I43" s="336"/>
      <c r="J43" s="337"/>
      <c r="K43" s="337"/>
      <c r="L43" s="337"/>
      <c r="M43" s="337"/>
      <c r="N43" s="337"/>
      <c r="O43" s="337"/>
      <c r="P43" s="337"/>
      <c r="Q43" s="337" t="s">
        <v>22</v>
      </c>
      <c r="R43" s="339">
        <v>0.53710000000000002</v>
      </c>
      <c r="S43" s="337"/>
      <c r="T43" s="347">
        <v>0</v>
      </c>
      <c r="V43" s="176">
        <f t="shared" si="11"/>
        <v>0</v>
      </c>
      <c r="W43" s="176">
        <f t="shared" si="53"/>
        <v>0</v>
      </c>
      <c r="X43" s="176">
        <f t="shared" si="53"/>
        <v>0</v>
      </c>
      <c r="Y43" s="34">
        <f>X43/Calculation_sheet!M$67</f>
        <v>0</v>
      </c>
      <c r="Z43" s="176">
        <f ca="1">IF(AN43&gt;0,Y43*Calculation_sheet!C$87,0)</f>
        <v>0</v>
      </c>
      <c r="AA43" s="176">
        <f t="shared" ca="1" si="54"/>
        <v>0</v>
      </c>
      <c r="AB43" s="176">
        <f ca="1">IF(AP43&gt;0,AA43*Calculation_sheet!C$94,0)</f>
        <v>0</v>
      </c>
      <c r="AC43" s="176">
        <f t="shared" ca="1" si="42"/>
        <v>0</v>
      </c>
      <c r="AD43" s="958">
        <f ca="1">AC43*Calculation_sheet!C$99</f>
        <v>0</v>
      </c>
      <c r="AE43" s="176">
        <f t="shared" ca="1" si="42"/>
        <v>0</v>
      </c>
      <c r="AF43" s="176">
        <f t="shared" ca="1" si="55"/>
        <v>0</v>
      </c>
      <c r="AG43" s="958">
        <f ca="1">AF43*User_sheet!B$77/100</f>
        <v>0</v>
      </c>
      <c r="AH43" s="313"/>
      <c r="AI43" s="883">
        <v>101</v>
      </c>
      <c r="AJ43" s="985"/>
      <c r="AK43" s="1020">
        <f t="shared" ca="1" si="15"/>
        <v>411.95489527968061</v>
      </c>
      <c r="AL43" s="954">
        <f ca="1">AK43/'101'!I$24</f>
        <v>1.1676061862303533</v>
      </c>
      <c r="AM43" s="954">
        <f ca="1">0.8*(AK43*30+'101'!D$17*0.34*30*1)</f>
        <v>13612.388334712334</v>
      </c>
      <c r="AN43" s="954">
        <f ca="1">IF(AM43&lt;User_sheet!B$50,Y43,0)</f>
        <v>0</v>
      </c>
      <c r="AO43" s="954">
        <f ca="1">20-(User_sheet!B$57/('Freestanding '!AK43+'101'!D$17*1*0.34))</f>
        <v>9.9503307842641746</v>
      </c>
      <c r="AP43" s="954">
        <f ca="1">IF(AO43&lt;User_sheet!B$59,0,BC43*AA43)</f>
        <v>0</v>
      </c>
      <c r="AQ43" s="985"/>
      <c r="AR43" s="883">
        <v>0.48</v>
      </c>
      <c r="AS43" s="883">
        <v>3.7</v>
      </c>
      <c r="AT43" s="883">
        <v>0.89</v>
      </c>
      <c r="AU43" s="883">
        <v>2.75</v>
      </c>
      <c r="AV43" s="883">
        <v>3.3</v>
      </c>
      <c r="AW43" s="883">
        <v>10916.451096266603</v>
      </c>
      <c r="AX43" s="883">
        <v>76466.30421774846</v>
      </c>
      <c r="AY43" s="883">
        <v>79015.992973719694</v>
      </c>
      <c r="AZ43" s="883">
        <v>0</v>
      </c>
      <c r="BA43" s="883">
        <v>0</v>
      </c>
      <c r="BB43" s="883">
        <v>0.6</v>
      </c>
      <c r="BC43" s="888">
        <v>0</v>
      </c>
      <c r="BD43" s="889">
        <v>1</v>
      </c>
      <c r="BE43" s="889">
        <v>0</v>
      </c>
      <c r="BF43" s="890">
        <v>0</v>
      </c>
      <c r="BG43" s="883">
        <v>0</v>
      </c>
      <c r="BH43" s="883">
        <v>1</v>
      </c>
      <c r="BI43" s="890">
        <v>0</v>
      </c>
      <c r="BJ43" s="883">
        <v>0</v>
      </c>
      <c r="BK43" s="883">
        <v>1</v>
      </c>
      <c r="BL43" s="883">
        <v>0</v>
      </c>
      <c r="BM43" s="890">
        <v>0</v>
      </c>
      <c r="BN43" s="958">
        <v>0</v>
      </c>
      <c r="BO43" s="959">
        <v>18</v>
      </c>
      <c r="BP43" s="1018">
        <f t="shared" ca="1" si="43"/>
        <v>181.084</v>
      </c>
      <c r="BQ43" s="1018">
        <f t="shared" ca="1" si="44"/>
        <v>302.464</v>
      </c>
      <c r="BR43" s="1018">
        <f t="shared" ca="1" si="45"/>
        <v>104.854</v>
      </c>
      <c r="BS43" s="1018">
        <f t="shared" ca="1" si="46"/>
        <v>129.21406907627619</v>
      </c>
      <c r="BT43" s="1018">
        <f t="shared" ca="1" si="47"/>
        <v>104.86</v>
      </c>
      <c r="BU43" s="1018">
        <f t="shared" ca="1" si="48"/>
        <v>14</v>
      </c>
      <c r="BV43" s="1018">
        <f t="shared" ca="1" si="49"/>
        <v>4.3</v>
      </c>
      <c r="BW43" s="1018">
        <v>0</v>
      </c>
      <c r="BX43" s="1018">
        <f t="shared" ca="1" si="50"/>
        <v>46.46410635155096</v>
      </c>
      <c r="BY43" s="1018">
        <f t="shared" ca="1" si="51"/>
        <v>291.28273085838049</v>
      </c>
      <c r="BZ43" s="1018">
        <f t="shared" ca="1" si="17"/>
        <v>26.681340533672177</v>
      </c>
      <c r="CA43" s="1018">
        <f t="shared" ca="1" si="18"/>
        <v>38.499999978825002</v>
      </c>
      <c r="CB43" s="1018">
        <f t="shared" ca="1" si="52"/>
        <v>9.0267175572519083</v>
      </c>
      <c r="CC43" s="1018">
        <f t="shared" si="19"/>
        <v>0</v>
      </c>
      <c r="CD43" s="1018">
        <f t="shared" ca="1" si="56"/>
        <v>411.95489527968061</v>
      </c>
      <c r="CE43" s="1018">
        <f t="shared" ca="1" si="57"/>
        <v>184.56333165243285</v>
      </c>
      <c r="CF43" s="1018">
        <f t="shared" ca="1" si="22"/>
        <v>17.895546807963406</v>
      </c>
      <c r="CG43" s="1018">
        <f t="shared" ca="1" si="23"/>
        <v>29795.369613386756</v>
      </c>
    </row>
    <row r="44" spans="4:85" x14ac:dyDescent="0.25">
      <c r="D44" s="337"/>
      <c r="E44" s="336"/>
      <c r="F44" s="337"/>
      <c r="G44" s="336"/>
      <c r="H44" s="337"/>
      <c r="I44" s="336"/>
      <c r="J44" s="337"/>
      <c r="K44" s="337"/>
      <c r="L44" s="337"/>
      <c r="M44" s="337" t="s">
        <v>22</v>
      </c>
      <c r="N44" s="339">
        <v>0.44680851100000002</v>
      </c>
      <c r="O44" s="337" t="s">
        <v>20</v>
      </c>
      <c r="P44" s="339">
        <v>0.19172932300000001</v>
      </c>
      <c r="Q44" s="337" t="s">
        <v>7</v>
      </c>
      <c r="R44" s="339">
        <v>0.46289999999999998</v>
      </c>
      <c r="S44" s="337"/>
      <c r="T44" s="347">
        <v>0</v>
      </c>
      <c r="V44" s="176">
        <f t="shared" si="11"/>
        <v>0</v>
      </c>
      <c r="W44" s="176">
        <f t="shared" si="53"/>
        <v>0</v>
      </c>
      <c r="X44" s="176">
        <f t="shared" si="53"/>
        <v>0</v>
      </c>
      <c r="Y44" s="34">
        <f>X44/Calculation_sheet!M$67</f>
        <v>0</v>
      </c>
      <c r="Z44" s="176">
        <f ca="1">IF(AN44&gt;0,Y44*Calculation_sheet!C$87,0)</f>
        <v>0</v>
      </c>
      <c r="AA44" s="176">
        <f t="shared" ca="1" si="54"/>
        <v>0</v>
      </c>
      <c r="AB44" s="176">
        <f ca="1">IF(AP44&gt;0,AA44*Calculation_sheet!C$94,0)</f>
        <v>0</v>
      </c>
      <c r="AC44" s="176">
        <f t="shared" ca="1" si="42"/>
        <v>0</v>
      </c>
      <c r="AD44" s="958">
        <f ca="1">AC44*Calculation_sheet!C$99</f>
        <v>0</v>
      </c>
      <c r="AE44" s="176">
        <f t="shared" ca="1" si="42"/>
        <v>0</v>
      </c>
      <c r="AF44" s="176">
        <f t="shared" ca="1" si="55"/>
        <v>0</v>
      </c>
      <c r="AG44" s="958">
        <f ca="1">AF44*User_sheet!B$77/100</f>
        <v>0</v>
      </c>
      <c r="AH44" s="313"/>
      <c r="AI44" s="883">
        <v>101</v>
      </c>
      <c r="AJ44" s="985"/>
      <c r="AK44" s="1020">
        <f t="shared" ca="1" si="15"/>
        <v>411.95489527968061</v>
      </c>
      <c r="AL44" s="954">
        <f ca="1">AK44/'101'!I$24</f>
        <v>1.1676061862303533</v>
      </c>
      <c r="AM44" s="954">
        <f ca="1">0.8*(AK44*30+'101'!D$17*0.34*30*1)</f>
        <v>13612.388334712334</v>
      </c>
      <c r="AN44" s="954">
        <f ca="1">IF(AM44&lt;User_sheet!B$50,Y44,0)</f>
        <v>0</v>
      </c>
      <c r="AO44" s="954">
        <f ca="1">20-(User_sheet!B$57/('Freestanding '!AK44+'101'!D$17*1*0.34))</f>
        <v>9.9503307842641746</v>
      </c>
      <c r="AP44" s="954">
        <f ca="1">IF(AO44&lt;User_sheet!B$59,0,BC44*AA44)</f>
        <v>0</v>
      </c>
      <c r="AQ44" s="985"/>
      <c r="AR44" s="883">
        <v>0.48</v>
      </c>
      <c r="AS44" s="883">
        <v>3.7</v>
      </c>
      <c r="AT44" s="883">
        <v>0.89</v>
      </c>
      <c r="AU44" s="883">
        <v>2.75</v>
      </c>
      <c r="AV44" s="883">
        <v>3.3</v>
      </c>
      <c r="AW44" s="883">
        <v>10916.451096266603</v>
      </c>
      <c r="AX44" s="883">
        <v>76466.30421774846</v>
      </c>
      <c r="AY44" s="883">
        <v>79015.992973719694</v>
      </c>
      <c r="AZ44" s="883">
        <v>0</v>
      </c>
      <c r="BA44" s="883">
        <v>0</v>
      </c>
      <c r="BB44" s="883">
        <v>0.6</v>
      </c>
      <c r="BC44" s="888">
        <v>0</v>
      </c>
      <c r="BD44" s="889">
        <v>1</v>
      </c>
      <c r="BE44" s="889">
        <v>0</v>
      </c>
      <c r="BF44" s="890">
        <v>0</v>
      </c>
      <c r="BG44" s="883">
        <v>0</v>
      </c>
      <c r="BH44" s="883">
        <v>1</v>
      </c>
      <c r="BI44" s="890">
        <v>0</v>
      </c>
      <c r="BJ44" s="883">
        <v>0</v>
      </c>
      <c r="BK44" s="883">
        <v>0</v>
      </c>
      <c r="BL44" s="883">
        <v>1</v>
      </c>
      <c r="BM44" s="890">
        <v>0</v>
      </c>
      <c r="BN44" s="958">
        <v>0</v>
      </c>
      <c r="BO44" s="959">
        <v>18</v>
      </c>
      <c r="BP44" s="1018">
        <f t="shared" ca="1" si="43"/>
        <v>181.084</v>
      </c>
      <c r="BQ44" s="1018">
        <f t="shared" ca="1" si="44"/>
        <v>302.464</v>
      </c>
      <c r="BR44" s="1018">
        <f t="shared" ca="1" si="45"/>
        <v>104.854</v>
      </c>
      <c r="BS44" s="1018">
        <f t="shared" ca="1" si="46"/>
        <v>129.21406907627619</v>
      </c>
      <c r="BT44" s="1018">
        <f t="shared" ca="1" si="47"/>
        <v>104.86</v>
      </c>
      <c r="BU44" s="1018">
        <f t="shared" ca="1" si="48"/>
        <v>14</v>
      </c>
      <c r="BV44" s="1018">
        <f t="shared" ca="1" si="49"/>
        <v>4.3</v>
      </c>
      <c r="BW44" s="1018">
        <v>0</v>
      </c>
      <c r="BX44" s="1018">
        <f t="shared" ca="1" si="50"/>
        <v>46.46410635155096</v>
      </c>
      <c r="BY44" s="1018">
        <f t="shared" ca="1" si="51"/>
        <v>291.28273085838049</v>
      </c>
      <c r="BZ44" s="1018">
        <f t="shared" ca="1" si="17"/>
        <v>26.681340533672177</v>
      </c>
      <c r="CA44" s="1018">
        <f t="shared" ca="1" si="18"/>
        <v>38.499999978825002</v>
      </c>
      <c r="CB44" s="1018">
        <f t="shared" ca="1" si="52"/>
        <v>9.0267175572519083</v>
      </c>
      <c r="CC44" s="1018">
        <f t="shared" si="19"/>
        <v>0</v>
      </c>
      <c r="CD44" s="1018">
        <f t="shared" ca="1" si="56"/>
        <v>411.95489527968061</v>
      </c>
      <c r="CE44" s="1018">
        <f t="shared" ca="1" si="57"/>
        <v>184.56333165243285</v>
      </c>
      <c r="CF44" s="1018">
        <f t="shared" ca="1" si="22"/>
        <v>17.895546807963406</v>
      </c>
      <c r="CG44" s="1018">
        <f t="shared" ca="1" si="23"/>
        <v>29795.369613386756</v>
      </c>
    </row>
    <row r="45" spans="4:85" x14ac:dyDescent="0.25">
      <c r="D45" s="337"/>
      <c r="E45" s="336"/>
      <c r="F45" s="337"/>
      <c r="G45" s="336"/>
      <c r="H45" s="337"/>
      <c r="I45" s="336"/>
      <c r="J45" s="337"/>
      <c r="K45" s="337"/>
      <c r="L45" s="337"/>
      <c r="M45" s="337" t="s">
        <v>7</v>
      </c>
      <c r="N45" s="339">
        <v>2.1276595999999998E-2</v>
      </c>
      <c r="O45" s="337" t="s">
        <v>23</v>
      </c>
      <c r="P45" s="339">
        <v>1</v>
      </c>
      <c r="Q45" s="337" t="s">
        <v>7</v>
      </c>
      <c r="R45" s="339">
        <v>1</v>
      </c>
      <c r="S45" s="337"/>
      <c r="T45" s="347">
        <v>0</v>
      </c>
      <c r="V45" s="176">
        <f t="shared" si="11"/>
        <v>0</v>
      </c>
      <c r="W45" s="176">
        <f t="shared" si="53"/>
        <v>0</v>
      </c>
      <c r="X45" s="176">
        <f t="shared" si="53"/>
        <v>0</v>
      </c>
      <c r="Y45" s="34">
        <f>X45/Calculation_sheet!M$67</f>
        <v>0</v>
      </c>
      <c r="Z45" s="176">
        <f ca="1">IF(AN45&gt;0,Y45*Calculation_sheet!C$87,0)</f>
        <v>0</v>
      </c>
      <c r="AA45" s="176">
        <f t="shared" ca="1" si="54"/>
        <v>0</v>
      </c>
      <c r="AB45" s="176">
        <f ca="1">IF(AP45&gt;0,AA45*Calculation_sheet!C$94,0)</f>
        <v>0</v>
      </c>
      <c r="AC45" s="176">
        <f t="shared" ca="1" si="42"/>
        <v>0</v>
      </c>
      <c r="AD45" s="958">
        <f ca="1">AC45*Calculation_sheet!C$99</f>
        <v>0</v>
      </c>
      <c r="AE45" s="176">
        <f t="shared" ca="1" si="42"/>
        <v>0</v>
      </c>
      <c r="AF45" s="176">
        <f t="shared" ca="1" si="55"/>
        <v>0</v>
      </c>
      <c r="AG45" s="958">
        <f ca="1">AF45*User_sheet!B$77/100</f>
        <v>0</v>
      </c>
      <c r="AH45" s="313"/>
      <c r="AI45" s="883">
        <v>101</v>
      </c>
      <c r="AJ45" s="985"/>
      <c r="AK45" s="1020">
        <f t="shared" ca="1" si="15"/>
        <v>411.95489527968061</v>
      </c>
      <c r="AL45" s="954">
        <f ca="1">AK45/'101'!I$24</f>
        <v>1.1676061862303533</v>
      </c>
      <c r="AM45" s="954">
        <f ca="1">0.8*(AK45*30+'101'!D$17*0.34*30*1)</f>
        <v>13612.388334712334</v>
      </c>
      <c r="AN45" s="954">
        <f ca="1">IF(AM45&lt;User_sheet!B$50,Y45,0)</f>
        <v>0</v>
      </c>
      <c r="AO45" s="954">
        <f ca="1">20-(User_sheet!B$57/('Freestanding '!AK45+'101'!D$17*1*0.34))</f>
        <v>9.9503307842641746</v>
      </c>
      <c r="AP45" s="954">
        <f ca="1">IF(AO45&lt;User_sheet!B$59,0,BC45*AA45)</f>
        <v>0</v>
      </c>
      <c r="AQ45" s="985"/>
      <c r="AR45" s="883">
        <v>0.48</v>
      </c>
      <c r="AS45" s="883">
        <v>3.7</v>
      </c>
      <c r="AT45" s="883">
        <v>0.89</v>
      </c>
      <c r="AU45" s="883">
        <v>2.75</v>
      </c>
      <c r="AV45" s="883">
        <v>3.3</v>
      </c>
      <c r="AW45" s="883">
        <v>10916.451096266603</v>
      </c>
      <c r="AX45" s="883">
        <v>76466.30421774846</v>
      </c>
      <c r="AY45" s="883">
        <v>79015.992973719694</v>
      </c>
      <c r="AZ45" s="883">
        <v>0</v>
      </c>
      <c r="BA45" s="883">
        <v>0</v>
      </c>
      <c r="BB45" s="883">
        <v>0.6</v>
      </c>
      <c r="BC45" s="888">
        <v>0</v>
      </c>
      <c r="BD45" s="889">
        <v>0</v>
      </c>
      <c r="BE45" s="889">
        <v>1</v>
      </c>
      <c r="BF45" s="890">
        <v>0</v>
      </c>
      <c r="BG45" s="883">
        <v>0</v>
      </c>
      <c r="BH45" s="883">
        <v>0</v>
      </c>
      <c r="BI45" s="890">
        <v>1</v>
      </c>
      <c r="BJ45" s="883">
        <v>0</v>
      </c>
      <c r="BK45" s="883">
        <v>0</v>
      </c>
      <c r="BL45" s="883">
        <v>1</v>
      </c>
      <c r="BM45" s="890">
        <v>0</v>
      </c>
      <c r="BN45" s="958">
        <v>0</v>
      </c>
      <c r="BO45" s="959">
        <v>18</v>
      </c>
      <c r="BP45" s="1018">
        <f t="shared" ca="1" si="43"/>
        <v>181.084</v>
      </c>
      <c r="BQ45" s="1018">
        <f t="shared" ca="1" si="44"/>
        <v>302.464</v>
      </c>
      <c r="BR45" s="1018">
        <f t="shared" ca="1" si="45"/>
        <v>104.854</v>
      </c>
      <c r="BS45" s="1018">
        <f t="shared" ca="1" si="46"/>
        <v>129.21406907627619</v>
      </c>
      <c r="BT45" s="1018">
        <f t="shared" ca="1" si="47"/>
        <v>104.86</v>
      </c>
      <c r="BU45" s="1018">
        <f t="shared" ca="1" si="48"/>
        <v>14</v>
      </c>
      <c r="BV45" s="1018">
        <f t="shared" ca="1" si="49"/>
        <v>4.3</v>
      </c>
      <c r="BW45" s="1018">
        <v>0</v>
      </c>
      <c r="BX45" s="1018">
        <f t="shared" ca="1" si="50"/>
        <v>46.46410635155096</v>
      </c>
      <c r="BY45" s="1018">
        <f t="shared" ca="1" si="51"/>
        <v>291.28273085838049</v>
      </c>
      <c r="BZ45" s="1018">
        <f t="shared" ca="1" si="17"/>
        <v>26.681340533672177</v>
      </c>
      <c r="CA45" s="1018">
        <f t="shared" ca="1" si="18"/>
        <v>38.499999978825002</v>
      </c>
      <c r="CB45" s="1018">
        <f t="shared" ca="1" si="52"/>
        <v>9.0267175572519083</v>
      </c>
      <c r="CC45" s="1018">
        <f t="shared" si="19"/>
        <v>0</v>
      </c>
      <c r="CD45" s="1018">
        <f t="shared" ca="1" si="56"/>
        <v>411.95489527968061</v>
      </c>
      <c r="CE45" s="1018">
        <f t="shared" ca="1" si="57"/>
        <v>184.56333165243285</v>
      </c>
      <c r="CF45" s="1018">
        <f t="shared" ca="1" si="22"/>
        <v>17.895546807963406</v>
      </c>
      <c r="CG45" s="1018">
        <f t="shared" ca="1" si="23"/>
        <v>29795.369613386756</v>
      </c>
    </row>
    <row r="46" spans="4:85" x14ac:dyDescent="0.25">
      <c r="D46" s="337"/>
      <c r="E46" s="336"/>
      <c r="F46" s="337"/>
      <c r="G46" s="336"/>
      <c r="H46" s="337"/>
      <c r="I46" s="336"/>
      <c r="J46" s="337"/>
      <c r="K46" s="337"/>
      <c r="L46" s="337"/>
      <c r="M46" s="337"/>
      <c r="N46" s="337"/>
      <c r="O46" s="337" t="s">
        <v>18</v>
      </c>
      <c r="P46" s="339">
        <v>0.15910607099999999</v>
      </c>
      <c r="Q46" s="337" t="s">
        <v>17</v>
      </c>
      <c r="R46" s="339">
        <v>1</v>
      </c>
      <c r="S46" s="337"/>
      <c r="T46" s="347">
        <v>0</v>
      </c>
      <c r="V46" s="176">
        <f t="shared" si="11"/>
        <v>0</v>
      </c>
      <c r="W46" s="176">
        <f t="shared" si="53"/>
        <v>0</v>
      </c>
      <c r="X46" s="176">
        <f t="shared" si="53"/>
        <v>0</v>
      </c>
      <c r="Y46" s="34">
        <f>X46/Calculation_sheet!M$67</f>
        <v>0</v>
      </c>
      <c r="Z46" s="176">
        <f ca="1">IF(AN46&gt;0,Y46*Calculation_sheet!C$87,0)</f>
        <v>0</v>
      </c>
      <c r="AA46" s="176">
        <f t="shared" ca="1" si="54"/>
        <v>0</v>
      </c>
      <c r="AB46" s="176">
        <f ca="1">IF(AP46&gt;0,AA46*Calculation_sheet!C$94,0)</f>
        <v>0</v>
      </c>
      <c r="AC46" s="176">
        <f t="shared" ca="1" si="42"/>
        <v>0</v>
      </c>
      <c r="AD46" s="958">
        <f ca="1">AC46*Calculation_sheet!C$99</f>
        <v>0</v>
      </c>
      <c r="AE46" s="176">
        <f t="shared" ca="1" si="42"/>
        <v>0</v>
      </c>
      <c r="AF46" s="176">
        <f t="shared" ca="1" si="55"/>
        <v>0</v>
      </c>
      <c r="AG46" s="958">
        <f ca="1">AF46*User_sheet!B$77/100</f>
        <v>0</v>
      </c>
      <c r="AH46" s="313"/>
      <c r="AI46" s="883">
        <v>101</v>
      </c>
      <c r="AJ46" s="985"/>
      <c r="AK46" s="1020">
        <f t="shared" ca="1" si="15"/>
        <v>411.95489527968061</v>
      </c>
      <c r="AL46" s="954">
        <f ca="1">AK46/'101'!I$24</f>
        <v>1.1676061862303533</v>
      </c>
      <c r="AM46" s="954">
        <f ca="1">0.8*(AK46*30+'101'!D$17*0.34*30*1)</f>
        <v>13612.388334712334</v>
      </c>
      <c r="AN46" s="954">
        <f ca="1">IF(AM46&lt;User_sheet!B$50,Y46,0)</f>
        <v>0</v>
      </c>
      <c r="AO46" s="954">
        <f ca="1">20-(User_sheet!B$57/('Freestanding '!AK46+'101'!D$17*1*0.34))</f>
        <v>9.9503307842641746</v>
      </c>
      <c r="AP46" s="954">
        <f ca="1">IF(AO46&lt;User_sheet!B$59,0,BC46*AA46)</f>
        <v>0</v>
      </c>
      <c r="AQ46" s="985"/>
      <c r="AR46" s="883">
        <v>0.48</v>
      </c>
      <c r="AS46" s="883">
        <v>3.7</v>
      </c>
      <c r="AT46" s="883">
        <v>0.89</v>
      </c>
      <c r="AU46" s="883">
        <v>2.75</v>
      </c>
      <c r="AV46" s="883">
        <v>3.3</v>
      </c>
      <c r="AW46" s="883">
        <v>10916.451096266603</v>
      </c>
      <c r="AX46" s="883">
        <v>76466.30421774846</v>
      </c>
      <c r="AY46" s="883">
        <v>79015.992973719694</v>
      </c>
      <c r="AZ46" s="883">
        <v>0</v>
      </c>
      <c r="BA46" s="883">
        <v>0</v>
      </c>
      <c r="BB46" s="883">
        <v>0.6</v>
      </c>
      <c r="BC46" s="888">
        <v>0</v>
      </c>
      <c r="BD46" s="889">
        <v>0</v>
      </c>
      <c r="BE46" s="889">
        <v>0</v>
      </c>
      <c r="BF46" s="890">
        <v>1</v>
      </c>
      <c r="BG46" s="883">
        <v>1</v>
      </c>
      <c r="BH46" s="883">
        <v>0</v>
      </c>
      <c r="BI46" s="890">
        <v>0</v>
      </c>
      <c r="BJ46" s="883">
        <v>0</v>
      </c>
      <c r="BK46" s="883">
        <v>0</v>
      </c>
      <c r="BL46" s="883">
        <v>0</v>
      </c>
      <c r="BM46" s="890">
        <v>1</v>
      </c>
      <c r="BN46" s="958">
        <v>0</v>
      </c>
      <c r="BO46" s="959">
        <v>18</v>
      </c>
      <c r="BP46" s="1018">
        <f t="shared" ca="1" si="43"/>
        <v>181.084</v>
      </c>
      <c r="BQ46" s="1018">
        <f t="shared" ca="1" si="44"/>
        <v>302.464</v>
      </c>
      <c r="BR46" s="1018">
        <f t="shared" ca="1" si="45"/>
        <v>104.854</v>
      </c>
      <c r="BS46" s="1018">
        <f t="shared" ca="1" si="46"/>
        <v>129.21406907627619</v>
      </c>
      <c r="BT46" s="1018">
        <f t="shared" ca="1" si="47"/>
        <v>104.86</v>
      </c>
      <c r="BU46" s="1018">
        <f t="shared" ca="1" si="48"/>
        <v>14</v>
      </c>
      <c r="BV46" s="1018">
        <f t="shared" ca="1" si="49"/>
        <v>4.3</v>
      </c>
      <c r="BW46" s="1018">
        <v>0</v>
      </c>
      <c r="BX46" s="1018">
        <f t="shared" ca="1" si="50"/>
        <v>46.46410635155096</v>
      </c>
      <c r="BY46" s="1018">
        <f t="shared" ca="1" si="51"/>
        <v>291.28273085838049</v>
      </c>
      <c r="BZ46" s="1018">
        <f t="shared" ca="1" si="17"/>
        <v>26.681340533672177</v>
      </c>
      <c r="CA46" s="1018">
        <f t="shared" ca="1" si="18"/>
        <v>38.499999978825002</v>
      </c>
      <c r="CB46" s="1018">
        <f t="shared" ca="1" si="52"/>
        <v>9.0267175572519083</v>
      </c>
      <c r="CC46" s="1018">
        <f t="shared" si="19"/>
        <v>0</v>
      </c>
      <c r="CD46" s="1018">
        <f t="shared" ca="1" si="56"/>
        <v>411.95489527968061</v>
      </c>
      <c r="CE46" s="1018">
        <f t="shared" ca="1" si="57"/>
        <v>184.56333165243285</v>
      </c>
      <c r="CF46" s="1018">
        <f t="shared" ca="1" si="22"/>
        <v>17.895546807963406</v>
      </c>
      <c r="CG46" s="1018">
        <f t="shared" ca="1" si="23"/>
        <v>29795.369613386756</v>
      </c>
    </row>
    <row r="47" spans="4:85" x14ac:dyDescent="0.25">
      <c r="D47" s="337"/>
      <c r="E47" s="336"/>
      <c r="F47" s="337"/>
      <c r="G47" s="336"/>
      <c r="H47" s="337"/>
      <c r="I47" s="336"/>
      <c r="J47" s="337"/>
      <c r="K47" s="340" t="s">
        <v>12</v>
      </c>
      <c r="L47" s="341">
        <v>0</v>
      </c>
      <c r="M47" s="337" t="s">
        <v>17</v>
      </c>
      <c r="N47" s="339">
        <v>8.5106382999999994E-2</v>
      </c>
      <c r="O47" s="337" t="s">
        <v>19</v>
      </c>
      <c r="P47" s="339">
        <v>0.84089392900000004</v>
      </c>
      <c r="Q47" s="337" t="s">
        <v>17</v>
      </c>
      <c r="R47" s="339">
        <v>1</v>
      </c>
      <c r="S47" s="337"/>
      <c r="T47" s="347">
        <v>0</v>
      </c>
      <c r="V47" s="176">
        <f t="shared" si="11"/>
        <v>0</v>
      </c>
      <c r="W47" s="176">
        <f t="shared" si="53"/>
        <v>0</v>
      </c>
      <c r="X47" s="176">
        <f t="shared" si="53"/>
        <v>0</v>
      </c>
      <c r="Y47" s="34">
        <f>X47/Calculation_sheet!M$67</f>
        <v>0</v>
      </c>
      <c r="Z47" s="176">
        <f ca="1">IF(AN47&gt;0,Y47*Calculation_sheet!C$87,0)</f>
        <v>0</v>
      </c>
      <c r="AA47" s="176">
        <f t="shared" ca="1" si="54"/>
        <v>0</v>
      </c>
      <c r="AB47" s="176">
        <f ca="1">IF(AP47&gt;0,AA47*Calculation_sheet!C$94,0)</f>
        <v>0</v>
      </c>
      <c r="AC47" s="176">
        <f t="shared" ca="1" si="42"/>
        <v>0</v>
      </c>
      <c r="AD47" s="958">
        <f ca="1">AC47*Calculation_sheet!C$99</f>
        <v>0</v>
      </c>
      <c r="AE47" s="176">
        <f t="shared" ca="1" si="42"/>
        <v>0</v>
      </c>
      <c r="AF47" s="176">
        <f t="shared" ca="1" si="55"/>
        <v>0</v>
      </c>
      <c r="AG47" s="958">
        <f ca="1">AF47*User_sheet!B$77/100</f>
        <v>0</v>
      </c>
      <c r="AH47" s="313"/>
      <c r="AI47" s="883">
        <v>101</v>
      </c>
      <c r="AJ47" s="985"/>
      <c r="AK47" s="1020">
        <f t="shared" ca="1" si="15"/>
        <v>411.95489527968061</v>
      </c>
      <c r="AL47" s="954">
        <f ca="1">AK47/'101'!I$24</f>
        <v>1.1676061862303533</v>
      </c>
      <c r="AM47" s="954">
        <f ca="1">0.8*(AK47*30+'101'!D$17*0.34*30*1)</f>
        <v>13612.388334712334</v>
      </c>
      <c r="AN47" s="954">
        <f ca="1">IF(AM47&lt;User_sheet!B$50,Y47,0)</f>
        <v>0</v>
      </c>
      <c r="AO47" s="954">
        <f ca="1">20-(User_sheet!B$57/('Freestanding '!AK47+'101'!D$17*1*0.34))</f>
        <v>9.9503307842641746</v>
      </c>
      <c r="AP47" s="954">
        <f ca="1">IF(AO47&lt;User_sheet!B$59,0,BC47*AA47)</f>
        <v>0</v>
      </c>
      <c r="AQ47" s="985"/>
      <c r="AR47" s="883">
        <v>0.48</v>
      </c>
      <c r="AS47" s="883">
        <v>3.7</v>
      </c>
      <c r="AT47" s="883">
        <v>0.89</v>
      </c>
      <c r="AU47" s="883">
        <v>2.75</v>
      </c>
      <c r="AV47" s="883">
        <v>3.3</v>
      </c>
      <c r="AW47" s="883">
        <v>10916.451096266603</v>
      </c>
      <c r="AX47" s="883">
        <v>76466.30421774846</v>
      </c>
      <c r="AY47" s="883">
        <v>79015.992973719694</v>
      </c>
      <c r="AZ47" s="883">
        <v>0</v>
      </c>
      <c r="BA47" s="883">
        <v>0</v>
      </c>
      <c r="BB47" s="883">
        <v>0.6</v>
      </c>
      <c r="BC47" s="888">
        <v>0</v>
      </c>
      <c r="BD47" s="889">
        <v>0</v>
      </c>
      <c r="BE47" s="889">
        <v>0</v>
      </c>
      <c r="BF47" s="890">
        <v>1</v>
      </c>
      <c r="BG47" s="883">
        <v>0</v>
      </c>
      <c r="BH47" s="883">
        <v>1</v>
      </c>
      <c r="BI47" s="890">
        <v>0</v>
      </c>
      <c r="BJ47" s="883">
        <v>0</v>
      </c>
      <c r="BK47" s="883">
        <v>0</v>
      </c>
      <c r="BL47" s="883">
        <v>0</v>
      </c>
      <c r="BM47" s="890">
        <v>1</v>
      </c>
      <c r="BN47" s="958">
        <v>0</v>
      </c>
      <c r="BO47" s="959">
        <v>18</v>
      </c>
      <c r="BP47" s="1018">
        <f t="shared" ca="1" si="43"/>
        <v>181.084</v>
      </c>
      <c r="BQ47" s="1018">
        <f t="shared" ca="1" si="44"/>
        <v>302.464</v>
      </c>
      <c r="BR47" s="1018">
        <f t="shared" ca="1" si="45"/>
        <v>104.854</v>
      </c>
      <c r="BS47" s="1018">
        <f t="shared" ca="1" si="46"/>
        <v>129.21406907627619</v>
      </c>
      <c r="BT47" s="1018">
        <f t="shared" ca="1" si="47"/>
        <v>104.86</v>
      </c>
      <c r="BU47" s="1018">
        <f t="shared" ca="1" si="48"/>
        <v>14</v>
      </c>
      <c r="BV47" s="1018">
        <f t="shared" ca="1" si="49"/>
        <v>4.3</v>
      </c>
      <c r="BW47" s="1018">
        <v>0</v>
      </c>
      <c r="BX47" s="1018">
        <f t="shared" ca="1" si="50"/>
        <v>46.46410635155096</v>
      </c>
      <c r="BY47" s="1018">
        <f t="shared" ca="1" si="51"/>
        <v>291.28273085838049</v>
      </c>
      <c r="BZ47" s="1018">
        <f t="shared" ca="1" si="17"/>
        <v>26.681340533672177</v>
      </c>
      <c r="CA47" s="1018">
        <f t="shared" ca="1" si="18"/>
        <v>38.499999978825002</v>
      </c>
      <c r="CB47" s="1018">
        <f t="shared" ca="1" si="52"/>
        <v>9.0267175572519083</v>
      </c>
      <c r="CC47" s="1018">
        <f t="shared" si="19"/>
        <v>0</v>
      </c>
      <c r="CD47" s="1018">
        <f t="shared" ca="1" si="56"/>
        <v>411.95489527968061</v>
      </c>
      <c r="CE47" s="1018">
        <f t="shared" ca="1" si="57"/>
        <v>184.56333165243285</v>
      </c>
      <c r="CF47" s="1018">
        <f t="shared" ca="1" si="22"/>
        <v>17.895546807963406</v>
      </c>
      <c r="CG47" s="1018">
        <f t="shared" ca="1" si="23"/>
        <v>29795.369613386756</v>
      </c>
    </row>
    <row r="48" spans="4:85" s="14" customFormat="1" x14ac:dyDescent="0.25">
      <c r="D48" s="345"/>
      <c r="E48" s="344"/>
      <c r="F48" s="345"/>
      <c r="G48" s="344"/>
      <c r="H48" s="345"/>
      <c r="I48" s="344"/>
      <c r="J48" s="345"/>
      <c r="K48" s="345"/>
      <c r="L48" s="345"/>
      <c r="M48" s="345"/>
      <c r="N48" s="345"/>
      <c r="O48" s="345"/>
      <c r="P48" s="345"/>
      <c r="Q48" s="345"/>
      <c r="R48" s="345"/>
      <c r="S48" s="345"/>
      <c r="T48" s="349"/>
      <c r="U48" s="273"/>
      <c r="V48" s="292"/>
      <c r="W48" s="292"/>
      <c r="X48" s="292"/>
      <c r="Y48" s="277"/>
      <c r="Z48" s="292"/>
      <c r="AA48" s="292"/>
      <c r="AB48" s="292"/>
      <c r="AC48" s="292"/>
      <c r="AD48" s="277"/>
      <c r="AE48" s="292"/>
      <c r="AF48" s="292"/>
      <c r="AG48" s="277"/>
      <c r="AH48" s="313"/>
      <c r="AI48" s="887"/>
      <c r="AJ48" s="985"/>
      <c r="AK48" s="1020">
        <f t="shared" si="15"/>
        <v>0</v>
      </c>
      <c r="AL48" s="986"/>
      <c r="AM48" s="986"/>
      <c r="AN48" s="986"/>
      <c r="AO48" s="986"/>
      <c r="AP48" s="986"/>
      <c r="AQ48" s="985"/>
      <c r="AR48" s="887"/>
      <c r="AS48" s="887"/>
      <c r="AT48" s="887"/>
      <c r="AU48" s="887"/>
      <c r="AV48" s="887"/>
      <c r="AW48" s="887"/>
      <c r="AX48" s="887"/>
      <c r="AY48" s="887"/>
      <c r="AZ48" s="887"/>
      <c r="BA48" s="887"/>
      <c r="BB48" s="887"/>
      <c r="BC48" s="45"/>
      <c r="BD48" s="277"/>
      <c r="BE48" s="277"/>
      <c r="BF48" s="49"/>
      <c r="BG48" s="887"/>
      <c r="BH48" s="887"/>
      <c r="BI48" s="49"/>
      <c r="BJ48" s="887"/>
      <c r="BK48" s="887"/>
      <c r="BL48" s="887"/>
      <c r="BM48" s="49"/>
      <c r="BN48" s="277"/>
      <c r="BO48" s="49"/>
      <c r="BP48" s="928"/>
      <c r="BQ48" s="928"/>
      <c r="BR48" s="928"/>
      <c r="BS48" s="928"/>
      <c r="BT48" s="928"/>
      <c r="BU48" s="928"/>
      <c r="BV48" s="928"/>
      <c r="BW48" s="928"/>
      <c r="BX48" s="928"/>
      <c r="BY48" s="928"/>
      <c r="BZ48" s="928"/>
      <c r="CA48" s="928"/>
      <c r="CB48" s="928"/>
      <c r="CC48" s="928"/>
      <c r="CD48" s="928"/>
      <c r="CE48" s="928"/>
      <c r="CF48" s="928"/>
      <c r="CG48" s="928"/>
    </row>
    <row r="49" spans="4:85" x14ac:dyDescent="0.25">
      <c r="D49" s="337"/>
      <c r="E49" s="336"/>
      <c r="F49" s="337"/>
      <c r="G49" s="336"/>
      <c r="H49" s="337"/>
      <c r="I49" s="336" t="s">
        <v>6</v>
      </c>
      <c r="J49" s="341">
        <v>0.26569999999999999</v>
      </c>
      <c r="K49" s="337"/>
      <c r="L49" s="337"/>
      <c r="M49" s="337"/>
      <c r="N49" s="337"/>
      <c r="O49" s="337"/>
      <c r="P49" s="337"/>
      <c r="Q49" s="337" t="s">
        <v>16</v>
      </c>
      <c r="R49" s="339">
        <v>0.73860000000000003</v>
      </c>
      <c r="S49" s="337"/>
      <c r="T49" s="347">
        <v>1.7135976371241539E-3</v>
      </c>
      <c r="V49" s="176">
        <f t="shared" si="11"/>
        <v>1.7135976371241539E-3</v>
      </c>
      <c r="W49" s="176">
        <f>V49</f>
        <v>1.7135976371241539E-3</v>
      </c>
      <c r="X49" s="176">
        <f>W49</f>
        <v>1.7135976371241539E-3</v>
      </c>
      <c r="Y49" s="34">
        <f>X49/Calculation_sheet!M$67</f>
        <v>1.7136326740759909E-3</v>
      </c>
      <c r="Z49" s="176">
        <f ca="1">IF(AN49&gt;0,Y49*Calculation_sheet!C$87,0)</f>
        <v>0</v>
      </c>
      <c r="AA49" s="176">
        <f ca="1">Y49-Z49</f>
        <v>1.7136326740759909E-3</v>
      </c>
      <c r="AB49" s="176">
        <f ca="1">IF(AP49&gt;0,AA49*Calculation_sheet!C$94,0)</f>
        <v>0</v>
      </c>
      <c r="AC49" s="176">
        <f t="shared" ref="AC49:AE59" ca="1" si="58">AA49-AB49</f>
        <v>1.7136326740759909E-3</v>
      </c>
      <c r="AD49" s="958">
        <f ca="1">AC49*Calculation_sheet!C$99</f>
        <v>1.0281796044455944E-3</v>
      </c>
      <c r="AE49" s="176">
        <f t="shared" ca="1" si="58"/>
        <v>6.8545306963039643E-4</v>
      </c>
      <c r="AF49" s="176">
        <f ca="1">Y49-AB49</f>
        <v>1.7136326740759909E-3</v>
      </c>
      <c r="AG49" s="958">
        <f ca="1">AF49*User_sheet!B$77/100</f>
        <v>0</v>
      </c>
      <c r="AH49" s="313"/>
      <c r="AI49" s="883">
        <v>101</v>
      </c>
      <c r="AJ49" s="985"/>
      <c r="AK49" s="1020">
        <f t="shared" ca="1" si="15"/>
        <v>500.65201000768536</v>
      </c>
      <c r="AL49" s="954">
        <f ca="1">AK49/'101'!I$24</f>
        <v>1.4190009409568178</v>
      </c>
      <c r="AM49" s="954">
        <f ca="1">0.8*(AK49*30+'101'!D$17*0.34*30*1)</f>
        <v>15741.11908818445</v>
      </c>
      <c r="AN49" s="954">
        <f ca="1">IF(AM49&lt;User_sheet!B$50,Y49,0)</f>
        <v>0</v>
      </c>
      <c r="AO49" s="954">
        <f ca="1">20-(User_sheet!B$57/('Freestanding '!AK49+'101'!D$17*1*0.34))</f>
        <v>11.309385359857648</v>
      </c>
      <c r="AP49" s="954">
        <f ca="1">IF(AO49&lt;User_sheet!B$59,0,BC49*AA49)</f>
        <v>1.7136326740759909E-3</v>
      </c>
      <c r="AQ49" s="985"/>
      <c r="AR49" s="883">
        <v>0.48</v>
      </c>
      <c r="AS49" s="883">
        <v>3.7</v>
      </c>
      <c r="AT49" s="883">
        <v>7.9</v>
      </c>
      <c r="AU49" s="883">
        <v>2.75</v>
      </c>
      <c r="AV49" s="883">
        <v>3.3</v>
      </c>
      <c r="AW49" s="883">
        <v>10916.451096266603</v>
      </c>
      <c r="AX49" s="883">
        <v>76466.30421774846</v>
      </c>
      <c r="AY49" s="883">
        <v>67352.647733737584</v>
      </c>
      <c r="AZ49" s="883">
        <v>0</v>
      </c>
      <c r="BA49" s="883">
        <v>0</v>
      </c>
      <c r="BB49" s="883">
        <v>0.6</v>
      </c>
      <c r="BC49" s="888">
        <v>1</v>
      </c>
      <c r="BD49" s="889">
        <v>0</v>
      </c>
      <c r="BE49" s="889">
        <v>0</v>
      </c>
      <c r="BF49" s="890">
        <v>0</v>
      </c>
      <c r="BG49" s="883">
        <v>1</v>
      </c>
      <c r="BH49" s="883">
        <v>0</v>
      </c>
      <c r="BI49" s="890">
        <v>0</v>
      </c>
      <c r="BJ49" s="883">
        <v>1</v>
      </c>
      <c r="BK49" s="883">
        <v>0</v>
      </c>
      <c r="BL49" s="883">
        <v>0</v>
      </c>
      <c r="BM49" s="890">
        <v>0</v>
      </c>
      <c r="BN49" s="958">
        <v>0</v>
      </c>
      <c r="BO49" s="959">
        <v>18</v>
      </c>
      <c r="BP49" s="1018">
        <f t="shared" ref="BP49:BP59" ca="1" si="59">INDIRECT("'"&amp;AI49&amp;"'!"&amp;"B2")</f>
        <v>181.084</v>
      </c>
      <c r="BQ49" s="1018">
        <f t="shared" ref="BQ49:BQ59" ca="1" si="60">INDIRECT("'"&amp;AI49&amp;"'!"&amp;"C12")+INDIRECT("'"&amp;AI49&amp;"'!"&amp;"C13")+INDIRECT("'"&amp;AI49&amp;"'!"&amp;"C14")+INDIRECT("'"&amp;AI49&amp;"'!"&amp;"C15")+INDIRECT("'"&amp;AI49&amp;"'!"&amp;"C17")</f>
        <v>302.464</v>
      </c>
      <c r="BR49" s="1018">
        <f t="shared" ref="BR49:BR59" ca="1" si="61">INDIRECT("'"&amp;AI49&amp;"'!"&amp;"G5")</f>
        <v>104.854</v>
      </c>
      <c r="BS49" s="1018">
        <f t="shared" ref="BS49:BS59" ca="1" si="62">INDIRECT("'"&amp;AI49&amp;"'!"&amp;"G4")</f>
        <v>129.21406907627619</v>
      </c>
      <c r="BT49" s="1018">
        <f t="shared" ref="BT49:BT59" ca="1" si="63">INDIRECT("'"&amp;AI49&amp;"'!"&amp;"G6")</f>
        <v>104.86</v>
      </c>
      <c r="BU49" s="1018">
        <f t="shared" ref="BU49:BU59" ca="1" si="64">INDIRECT("'"&amp;AI49&amp;"'!"&amp;"G2")</f>
        <v>14</v>
      </c>
      <c r="BV49" s="1018">
        <f t="shared" ref="BV49:BV59" ca="1" si="65">INDIRECT("'"&amp;AI49&amp;"'!"&amp;"G3")</f>
        <v>4.3</v>
      </c>
      <c r="BW49" s="1018">
        <v>0</v>
      </c>
      <c r="BX49" s="1018">
        <f t="shared" ref="BX49:BX59" ca="1" si="66">IF(BR49=0,0,1/(1/(BR49*$BY$3)+1/(BR49*AR49)+1/(BR49*$BY$4)))</f>
        <v>46.46410635155096</v>
      </c>
      <c r="BY49" s="1018">
        <f t="shared" ref="BY49:BY59" ca="1" si="67">IF(BS49=0,0,1/(1/(BS49*$BY$3)+1/(BS49*AS49)+1/(BS49*$BY$4)))</f>
        <v>291.28273085838049</v>
      </c>
      <c r="BZ49" s="1018">
        <f t="shared" ca="1" si="17"/>
        <v>115.37845526167696</v>
      </c>
      <c r="CA49" s="1018">
        <f t="shared" ca="1" si="18"/>
        <v>38.499999978825002</v>
      </c>
      <c r="CB49" s="1018">
        <f t="shared" ref="CB49:CB59" ca="1" si="68">IF(BV49=0,0,1/(1/(BV49*$BY$3)+1/(BV49*AV49)+1/(BV49*$BY$4)))</f>
        <v>9.0267175572519083</v>
      </c>
      <c r="CC49" s="1018">
        <f t="shared" si="19"/>
        <v>0</v>
      </c>
      <c r="CD49" s="1018">
        <f ca="1">SUM(BX49:CC49)+(BR49+BS49+BT49+BU49+BV49)*BN49</f>
        <v>500.65201000768536</v>
      </c>
      <c r="CE49" s="1018">
        <f ca="1">0.34*BO49*(1/25)^0.66*(BR49+BS49+BU49+BV49)</f>
        <v>184.56333165243285</v>
      </c>
      <c r="CF49" s="1018">
        <f t="shared" ca="1" si="22"/>
        <v>20.556460249803546</v>
      </c>
      <c r="CG49" s="1018">
        <f t="shared" ca="1" si="23"/>
        <v>34225.68405751291</v>
      </c>
    </row>
    <row r="50" spans="4:85" x14ac:dyDescent="0.25">
      <c r="D50" s="337"/>
      <c r="E50" s="336"/>
      <c r="F50" s="337"/>
      <c r="G50" s="336"/>
      <c r="H50" s="337"/>
      <c r="I50" s="336"/>
      <c r="J50" s="342"/>
      <c r="K50" s="337"/>
      <c r="L50" s="337"/>
      <c r="M50" s="337"/>
      <c r="N50" s="337"/>
      <c r="O50" s="337" t="s">
        <v>18</v>
      </c>
      <c r="P50" s="339">
        <v>0.62953995200000001</v>
      </c>
      <c r="Q50" s="337" t="s">
        <v>7</v>
      </c>
      <c r="R50" s="339">
        <v>0.26140000000000002</v>
      </c>
      <c r="S50" s="337"/>
      <c r="T50" s="347">
        <v>6.0646415156275922E-4</v>
      </c>
      <c r="V50" s="176">
        <f t="shared" si="11"/>
        <v>6.0646415156275922E-4</v>
      </c>
      <c r="W50" s="176">
        <f t="shared" ref="W50:X59" si="69">V50</f>
        <v>6.0646415156275922E-4</v>
      </c>
      <c r="X50" s="176">
        <f t="shared" si="69"/>
        <v>6.0646415156275922E-4</v>
      </c>
      <c r="Y50" s="34">
        <f>X50/Calculation_sheet!M$67</f>
        <v>6.0647655158876815E-4</v>
      </c>
      <c r="Z50" s="176">
        <f ca="1">IF(AN50&gt;0,Y50*Calculation_sheet!C$87,0)</f>
        <v>0</v>
      </c>
      <c r="AA50" s="176">
        <f t="shared" ref="AA50:AA59" ca="1" si="70">Y50-Z50</f>
        <v>6.0647655158876815E-4</v>
      </c>
      <c r="AB50" s="176">
        <f ca="1">IF(AP50&gt;0,AA50*Calculation_sheet!C$94,0)</f>
        <v>0</v>
      </c>
      <c r="AC50" s="176">
        <f t="shared" ca="1" si="58"/>
        <v>6.0647655158876815E-4</v>
      </c>
      <c r="AD50" s="958">
        <f ca="1">AC50*Calculation_sheet!C$99</f>
        <v>3.6388593095326087E-4</v>
      </c>
      <c r="AE50" s="176">
        <f t="shared" ca="1" si="58"/>
        <v>2.4259062063550728E-4</v>
      </c>
      <c r="AF50" s="176">
        <f t="shared" ref="AF50:AF59" ca="1" si="71">Y50-AB50</f>
        <v>6.0647655158876815E-4</v>
      </c>
      <c r="AG50" s="958">
        <f ca="1">AF50*User_sheet!B$77/100</f>
        <v>0</v>
      </c>
      <c r="AH50" s="313"/>
      <c r="AI50" s="883">
        <v>101</v>
      </c>
      <c r="AJ50" s="985"/>
      <c r="AK50" s="1020">
        <f t="shared" ca="1" si="15"/>
        <v>500.65201000768536</v>
      </c>
      <c r="AL50" s="954">
        <f ca="1">AK50/'101'!I$24</f>
        <v>1.4190009409568178</v>
      </c>
      <c r="AM50" s="954">
        <f ca="1">0.8*(AK50*30+'101'!D$17*0.34*30*1)</f>
        <v>15741.11908818445</v>
      </c>
      <c r="AN50" s="954">
        <f ca="1">IF(AM50&lt;User_sheet!B$50,Y50,0)</f>
        <v>0</v>
      </c>
      <c r="AO50" s="954">
        <f ca="1">20-(User_sheet!B$57/('Freestanding '!AK50+'101'!D$17*1*0.34))</f>
        <v>11.309385359857648</v>
      </c>
      <c r="AP50" s="954">
        <f ca="1">IF(AO50&lt;User_sheet!B$59,0,BC50*AA50)</f>
        <v>6.0647655158876815E-4</v>
      </c>
      <c r="AQ50" s="985"/>
      <c r="AR50" s="883">
        <v>0.48</v>
      </c>
      <c r="AS50" s="883">
        <v>3.7</v>
      </c>
      <c r="AT50" s="883">
        <v>7.9</v>
      </c>
      <c r="AU50" s="883">
        <v>2.75</v>
      </c>
      <c r="AV50" s="883">
        <v>3.3</v>
      </c>
      <c r="AW50" s="883">
        <v>10916.451096266603</v>
      </c>
      <c r="AX50" s="883">
        <v>76466.30421774846</v>
      </c>
      <c r="AY50" s="883">
        <v>67352.647733737584</v>
      </c>
      <c r="AZ50" s="883">
        <v>0</v>
      </c>
      <c r="BA50" s="883">
        <v>0</v>
      </c>
      <c r="BB50" s="883">
        <v>0.6</v>
      </c>
      <c r="BC50" s="888">
        <v>1</v>
      </c>
      <c r="BD50" s="889">
        <v>0</v>
      </c>
      <c r="BE50" s="889">
        <v>0</v>
      </c>
      <c r="BF50" s="890">
        <v>0</v>
      </c>
      <c r="BG50" s="883">
        <v>1</v>
      </c>
      <c r="BH50" s="883">
        <v>0</v>
      </c>
      <c r="BI50" s="890">
        <v>0</v>
      </c>
      <c r="BJ50" s="883">
        <v>0</v>
      </c>
      <c r="BK50" s="883">
        <v>0</v>
      </c>
      <c r="BL50" s="883">
        <v>1</v>
      </c>
      <c r="BM50" s="890">
        <v>0</v>
      </c>
      <c r="BN50" s="958">
        <v>0</v>
      </c>
      <c r="BO50" s="959">
        <v>18</v>
      </c>
      <c r="BP50" s="1018">
        <f t="shared" ca="1" si="59"/>
        <v>181.084</v>
      </c>
      <c r="BQ50" s="1018">
        <f t="shared" ca="1" si="60"/>
        <v>302.464</v>
      </c>
      <c r="BR50" s="1018">
        <f t="shared" ca="1" si="61"/>
        <v>104.854</v>
      </c>
      <c r="BS50" s="1018">
        <f t="shared" ca="1" si="62"/>
        <v>129.21406907627619</v>
      </c>
      <c r="BT50" s="1018">
        <f t="shared" ca="1" si="63"/>
        <v>104.86</v>
      </c>
      <c r="BU50" s="1018">
        <f t="shared" ca="1" si="64"/>
        <v>14</v>
      </c>
      <c r="BV50" s="1018">
        <f t="shared" ca="1" si="65"/>
        <v>4.3</v>
      </c>
      <c r="BW50" s="1018">
        <v>0</v>
      </c>
      <c r="BX50" s="1018">
        <f t="shared" ca="1" si="66"/>
        <v>46.46410635155096</v>
      </c>
      <c r="BY50" s="1018">
        <f t="shared" ca="1" si="67"/>
        <v>291.28273085838049</v>
      </c>
      <c r="BZ50" s="1018">
        <f t="shared" ca="1" si="17"/>
        <v>115.37845526167696</v>
      </c>
      <c r="CA50" s="1018">
        <f t="shared" ca="1" si="18"/>
        <v>38.499999978825002</v>
      </c>
      <c r="CB50" s="1018">
        <f t="shared" ca="1" si="68"/>
        <v>9.0267175572519083</v>
      </c>
      <c r="CC50" s="1018">
        <f t="shared" si="19"/>
        <v>0</v>
      </c>
      <c r="CD50" s="1018">
        <f t="shared" ref="CD50:CD59" ca="1" si="72">SUM(BX50:CC50)+(BR50+BS50+BT50+BU50+BV50)*BN50</f>
        <v>500.65201000768536</v>
      </c>
      <c r="CE50" s="1018">
        <f t="shared" ref="CE50:CE59" ca="1" si="73">0.34*BO50*(1/25)^0.66*(BR50+BS50+BU50+BV50)</f>
        <v>184.56333165243285</v>
      </c>
      <c r="CF50" s="1018">
        <f t="shared" ca="1" si="22"/>
        <v>20.556460249803546</v>
      </c>
      <c r="CG50" s="1018">
        <f t="shared" ca="1" si="23"/>
        <v>34225.68405751291</v>
      </c>
    </row>
    <row r="51" spans="4:85" x14ac:dyDescent="0.25">
      <c r="D51" s="337"/>
      <c r="E51" s="336"/>
      <c r="F51" s="337"/>
      <c r="G51" s="336"/>
      <c r="H51" s="337"/>
      <c r="I51" s="336"/>
      <c r="J51" s="342"/>
      <c r="K51" s="337"/>
      <c r="L51" s="337"/>
      <c r="M51" s="337"/>
      <c r="N51" s="337"/>
      <c r="O51" s="337"/>
      <c r="P51" s="337"/>
      <c r="Q51" s="337" t="s">
        <v>16</v>
      </c>
      <c r="R51" s="339">
        <v>0.73860000000000003</v>
      </c>
      <c r="S51" s="337"/>
      <c r="T51" s="347">
        <v>1.0083863000035632E-3</v>
      </c>
      <c r="V51" s="176">
        <f t="shared" si="11"/>
        <v>1.0083863000035632E-3</v>
      </c>
      <c r="W51" s="176">
        <f t="shared" si="69"/>
        <v>1.0083863000035632E-3</v>
      </c>
      <c r="X51" s="176">
        <f t="shared" si="69"/>
        <v>1.0083863000035632E-3</v>
      </c>
      <c r="Y51" s="34">
        <f>X51/Calculation_sheet!M$67</f>
        <v>1.0084069179021066E-3</v>
      </c>
      <c r="Z51" s="176">
        <f ca="1">IF(AN51&gt;0,Y51*Calculation_sheet!C$87,0)</f>
        <v>0</v>
      </c>
      <c r="AA51" s="176">
        <f t="shared" ca="1" si="70"/>
        <v>1.0084069179021066E-3</v>
      </c>
      <c r="AB51" s="176">
        <f ca="1">IF(AP51&gt;0,AA51*Calculation_sheet!C$94,0)</f>
        <v>0</v>
      </c>
      <c r="AC51" s="176">
        <f t="shared" ca="1" si="58"/>
        <v>1.0084069179021066E-3</v>
      </c>
      <c r="AD51" s="958">
        <f ca="1">AC51*Calculation_sheet!C$99</f>
        <v>6.0504415074126398E-4</v>
      </c>
      <c r="AE51" s="176">
        <f t="shared" ca="1" si="58"/>
        <v>4.0336276716084266E-4</v>
      </c>
      <c r="AF51" s="176">
        <f t="shared" ca="1" si="71"/>
        <v>1.0084069179021066E-3</v>
      </c>
      <c r="AG51" s="958">
        <f ca="1">AF51*User_sheet!B$77/100</f>
        <v>0</v>
      </c>
      <c r="AH51" s="313"/>
      <c r="AI51" s="883">
        <v>101</v>
      </c>
      <c r="AJ51" s="985"/>
      <c r="AK51" s="1020">
        <f t="shared" ca="1" si="15"/>
        <v>500.65201000768536</v>
      </c>
      <c r="AL51" s="954">
        <f ca="1">AK51/'101'!I$24</f>
        <v>1.4190009409568178</v>
      </c>
      <c r="AM51" s="954">
        <f ca="1">0.8*(AK51*30+'101'!D$17*0.34*30*1)</f>
        <v>15741.11908818445</v>
      </c>
      <c r="AN51" s="954">
        <f ca="1">IF(AM51&lt;User_sheet!B$50,Y51,0)</f>
        <v>0</v>
      </c>
      <c r="AO51" s="954">
        <f ca="1">20-(User_sheet!B$57/('Freestanding '!AK51+'101'!D$17*1*0.34))</f>
        <v>11.309385359857648</v>
      </c>
      <c r="AP51" s="954">
        <f ca="1">IF(AO51&lt;User_sheet!B$59,0,BC51*AA51)</f>
        <v>1.0084069179021066E-3</v>
      </c>
      <c r="AQ51" s="985"/>
      <c r="AR51" s="883">
        <v>0.48</v>
      </c>
      <c r="AS51" s="883">
        <v>3.7</v>
      </c>
      <c r="AT51" s="883">
        <v>7.9</v>
      </c>
      <c r="AU51" s="883">
        <v>2.75</v>
      </c>
      <c r="AV51" s="883">
        <v>3.3</v>
      </c>
      <c r="AW51" s="883">
        <v>10916.451096266603</v>
      </c>
      <c r="AX51" s="883">
        <v>76466.30421774846</v>
      </c>
      <c r="AY51" s="883">
        <v>67352.647733737584</v>
      </c>
      <c r="AZ51" s="883">
        <v>0</v>
      </c>
      <c r="BA51" s="883">
        <v>0</v>
      </c>
      <c r="BB51" s="883">
        <v>0.6</v>
      </c>
      <c r="BC51" s="888">
        <v>1</v>
      </c>
      <c r="BD51" s="889">
        <v>0</v>
      </c>
      <c r="BE51" s="889">
        <v>0</v>
      </c>
      <c r="BF51" s="890">
        <v>0</v>
      </c>
      <c r="BG51" s="883">
        <v>0</v>
      </c>
      <c r="BH51" s="883">
        <v>1</v>
      </c>
      <c r="BI51" s="890">
        <v>0</v>
      </c>
      <c r="BJ51" s="883">
        <v>1</v>
      </c>
      <c r="BK51" s="883">
        <v>0</v>
      </c>
      <c r="BL51" s="883">
        <v>0</v>
      </c>
      <c r="BM51" s="890">
        <v>0</v>
      </c>
      <c r="BN51" s="958">
        <v>0</v>
      </c>
      <c r="BO51" s="959">
        <v>18</v>
      </c>
      <c r="BP51" s="1018">
        <f t="shared" ca="1" si="59"/>
        <v>181.084</v>
      </c>
      <c r="BQ51" s="1018">
        <f t="shared" ca="1" si="60"/>
        <v>302.464</v>
      </c>
      <c r="BR51" s="1018">
        <f t="shared" ca="1" si="61"/>
        <v>104.854</v>
      </c>
      <c r="BS51" s="1018">
        <f t="shared" ca="1" si="62"/>
        <v>129.21406907627619</v>
      </c>
      <c r="BT51" s="1018">
        <f t="shared" ca="1" si="63"/>
        <v>104.86</v>
      </c>
      <c r="BU51" s="1018">
        <f t="shared" ca="1" si="64"/>
        <v>14</v>
      </c>
      <c r="BV51" s="1018">
        <f t="shared" ca="1" si="65"/>
        <v>4.3</v>
      </c>
      <c r="BW51" s="1018">
        <v>0</v>
      </c>
      <c r="BX51" s="1018">
        <f t="shared" ca="1" si="66"/>
        <v>46.46410635155096</v>
      </c>
      <c r="BY51" s="1018">
        <f t="shared" ca="1" si="67"/>
        <v>291.28273085838049</v>
      </c>
      <c r="BZ51" s="1018">
        <f t="shared" ca="1" si="17"/>
        <v>115.37845526167696</v>
      </c>
      <c r="CA51" s="1018">
        <f t="shared" ca="1" si="18"/>
        <v>38.499999978825002</v>
      </c>
      <c r="CB51" s="1018">
        <f t="shared" ca="1" si="68"/>
        <v>9.0267175572519083</v>
      </c>
      <c r="CC51" s="1018">
        <f t="shared" si="19"/>
        <v>0</v>
      </c>
      <c r="CD51" s="1018">
        <f t="shared" ca="1" si="72"/>
        <v>500.65201000768536</v>
      </c>
      <c r="CE51" s="1018">
        <f t="shared" ca="1" si="73"/>
        <v>184.56333165243285</v>
      </c>
      <c r="CF51" s="1018">
        <f t="shared" ca="1" si="22"/>
        <v>20.556460249803546</v>
      </c>
      <c r="CG51" s="1018">
        <f t="shared" ca="1" si="23"/>
        <v>34225.68405751291</v>
      </c>
    </row>
    <row r="52" spans="4:85" x14ac:dyDescent="0.25">
      <c r="D52" s="337"/>
      <c r="E52" s="336"/>
      <c r="F52" s="337"/>
      <c r="G52" s="336"/>
      <c r="H52" s="337"/>
      <c r="I52" s="336"/>
      <c r="J52" s="342"/>
      <c r="K52" s="337"/>
      <c r="L52" s="337"/>
      <c r="M52" s="337" t="s">
        <v>16</v>
      </c>
      <c r="N52" s="339">
        <v>0.44680851100000002</v>
      </c>
      <c r="O52" s="337" t="s">
        <v>19</v>
      </c>
      <c r="P52" s="339">
        <v>0.37046004799999999</v>
      </c>
      <c r="Q52" s="337" t="s">
        <v>7</v>
      </c>
      <c r="R52" s="339">
        <v>0.26140000000000002</v>
      </c>
      <c r="S52" s="337"/>
      <c r="T52" s="347">
        <v>3.5688082699828237E-4</v>
      </c>
      <c r="V52" s="176">
        <f t="shared" si="11"/>
        <v>3.5688082699828237E-4</v>
      </c>
      <c r="W52" s="176">
        <f t="shared" si="69"/>
        <v>3.5688082699828237E-4</v>
      </c>
      <c r="X52" s="176">
        <f t="shared" si="69"/>
        <v>3.5688082699828237E-4</v>
      </c>
      <c r="Y52" s="34">
        <f>X52/Calculation_sheet!M$67</f>
        <v>3.5688812393665123E-4</v>
      </c>
      <c r="Z52" s="176">
        <f ca="1">IF(AN52&gt;0,Y52*Calculation_sheet!C$87,0)</f>
        <v>0</v>
      </c>
      <c r="AA52" s="176">
        <f t="shared" ca="1" si="70"/>
        <v>3.5688812393665123E-4</v>
      </c>
      <c r="AB52" s="176">
        <f ca="1">IF(AP52&gt;0,AA52*Calculation_sheet!C$94,0)</f>
        <v>0</v>
      </c>
      <c r="AC52" s="176">
        <f t="shared" ca="1" si="58"/>
        <v>3.5688812393665123E-4</v>
      </c>
      <c r="AD52" s="958">
        <f ca="1">AC52*Calculation_sheet!C$99</f>
        <v>2.1413287436199073E-4</v>
      </c>
      <c r="AE52" s="176">
        <f t="shared" ca="1" si="58"/>
        <v>1.427552495746605E-4</v>
      </c>
      <c r="AF52" s="176">
        <f t="shared" ca="1" si="71"/>
        <v>3.5688812393665123E-4</v>
      </c>
      <c r="AG52" s="958">
        <f ca="1">AF52*User_sheet!B$77/100</f>
        <v>0</v>
      </c>
      <c r="AH52" s="313"/>
      <c r="AI52" s="883">
        <v>101</v>
      </c>
      <c r="AJ52" s="985"/>
      <c r="AK52" s="1020">
        <f t="shared" ca="1" si="15"/>
        <v>500.65201000768536</v>
      </c>
      <c r="AL52" s="954">
        <f ca="1">AK52/'101'!I$24</f>
        <v>1.4190009409568178</v>
      </c>
      <c r="AM52" s="954">
        <f ca="1">0.8*(AK52*30+'101'!D$17*0.34*30*1)</f>
        <v>15741.11908818445</v>
      </c>
      <c r="AN52" s="954">
        <f ca="1">IF(AM52&lt;User_sheet!B$50,Y52,0)</f>
        <v>0</v>
      </c>
      <c r="AO52" s="954">
        <f ca="1">20-(User_sheet!B$57/('Freestanding '!AK52+'101'!D$17*1*0.34))</f>
        <v>11.309385359857648</v>
      </c>
      <c r="AP52" s="954">
        <f ca="1">IF(AO52&lt;User_sheet!B$59,0,BC52*AA52)</f>
        <v>3.5688812393665123E-4</v>
      </c>
      <c r="AQ52" s="985"/>
      <c r="AR52" s="883">
        <v>0.48</v>
      </c>
      <c r="AS52" s="883">
        <v>3.7</v>
      </c>
      <c r="AT52" s="883">
        <v>7.9</v>
      </c>
      <c r="AU52" s="883">
        <v>2.75</v>
      </c>
      <c r="AV52" s="883">
        <v>3.3</v>
      </c>
      <c r="AW52" s="883">
        <v>10916.451096266603</v>
      </c>
      <c r="AX52" s="883">
        <v>76466.30421774846</v>
      </c>
      <c r="AY52" s="883">
        <v>67352.647733737584</v>
      </c>
      <c r="AZ52" s="883">
        <v>0</v>
      </c>
      <c r="BA52" s="883">
        <v>0</v>
      </c>
      <c r="BB52" s="883">
        <v>0.6</v>
      </c>
      <c r="BC52" s="888">
        <v>1</v>
      </c>
      <c r="BD52" s="889">
        <v>0</v>
      </c>
      <c r="BE52" s="889">
        <v>0</v>
      </c>
      <c r="BF52" s="890">
        <v>0</v>
      </c>
      <c r="BG52" s="883">
        <v>0</v>
      </c>
      <c r="BH52" s="883">
        <v>1</v>
      </c>
      <c r="BI52" s="890">
        <v>0</v>
      </c>
      <c r="BJ52" s="883">
        <v>0</v>
      </c>
      <c r="BK52" s="883">
        <v>0</v>
      </c>
      <c r="BL52" s="883">
        <v>1</v>
      </c>
      <c r="BM52" s="890">
        <v>0</v>
      </c>
      <c r="BN52" s="958">
        <v>0</v>
      </c>
      <c r="BO52" s="959">
        <v>18</v>
      </c>
      <c r="BP52" s="1018">
        <f t="shared" ca="1" si="59"/>
        <v>181.084</v>
      </c>
      <c r="BQ52" s="1018">
        <f t="shared" ca="1" si="60"/>
        <v>302.464</v>
      </c>
      <c r="BR52" s="1018">
        <f t="shared" ca="1" si="61"/>
        <v>104.854</v>
      </c>
      <c r="BS52" s="1018">
        <f t="shared" ca="1" si="62"/>
        <v>129.21406907627619</v>
      </c>
      <c r="BT52" s="1018">
        <f t="shared" ca="1" si="63"/>
        <v>104.86</v>
      </c>
      <c r="BU52" s="1018">
        <f t="shared" ca="1" si="64"/>
        <v>14</v>
      </c>
      <c r="BV52" s="1018">
        <f t="shared" ca="1" si="65"/>
        <v>4.3</v>
      </c>
      <c r="BW52" s="1018">
        <v>0</v>
      </c>
      <c r="BX52" s="1018">
        <f t="shared" ca="1" si="66"/>
        <v>46.46410635155096</v>
      </c>
      <c r="BY52" s="1018">
        <f t="shared" ca="1" si="67"/>
        <v>291.28273085838049</v>
      </c>
      <c r="BZ52" s="1018">
        <f t="shared" ca="1" si="17"/>
        <v>115.37845526167696</v>
      </c>
      <c r="CA52" s="1018">
        <f t="shared" ca="1" si="18"/>
        <v>38.499999978825002</v>
      </c>
      <c r="CB52" s="1018">
        <f t="shared" ca="1" si="68"/>
        <v>9.0267175572519083</v>
      </c>
      <c r="CC52" s="1018">
        <f t="shared" si="19"/>
        <v>0</v>
      </c>
      <c r="CD52" s="1018">
        <f t="shared" ca="1" si="72"/>
        <v>500.65201000768536</v>
      </c>
      <c r="CE52" s="1018">
        <f t="shared" ca="1" si="73"/>
        <v>184.56333165243285</v>
      </c>
      <c r="CF52" s="1018">
        <f t="shared" ca="1" si="22"/>
        <v>20.556460249803546</v>
      </c>
      <c r="CG52" s="1018">
        <f t="shared" ca="1" si="23"/>
        <v>34225.68405751291</v>
      </c>
    </row>
    <row r="53" spans="4:85" x14ac:dyDescent="0.25">
      <c r="D53" s="337"/>
      <c r="E53" s="336"/>
      <c r="F53" s="337"/>
      <c r="G53" s="336"/>
      <c r="H53" s="337"/>
      <c r="I53" s="336"/>
      <c r="J53" s="342"/>
      <c r="K53" s="337"/>
      <c r="L53" s="337"/>
      <c r="M53" s="337"/>
      <c r="N53" s="337"/>
      <c r="O53" s="337"/>
      <c r="P53" s="337"/>
      <c r="Q53" s="337" t="s">
        <v>22</v>
      </c>
      <c r="R53" s="339">
        <v>0.53710000000000002</v>
      </c>
      <c r="S53" s="337"/>
      <c r="T53" s="347">
        <v>1.5998830251685824E-3</v>
      </c>
      <c r="V53" s="176">
        <f t="shared" si="11"/>
        <v>1.5998830251685824E-3</v>
      </c>
      <c r="W53" s="176">
        <f t="shared" si="69"/>
        <v>1.5998830251685824E-3</v>
      </c>
      <c r="X53" s="176">
        <f t="shared" si="69"/>
        <v>1.5998830251685824E-3</v>
      </c>
      <c r="Y53" s="34">
        <f>X53/Calculation_sheet!M$67</f>
        <v>1.5999157370627185E-3</v>
      </c>
      <c r="Z53" s="176">
        <f ca="1">IF(AN53&gt;0,Y53*Calculation_sheet!C$87,0)</f>
        <v>0</v>
      </c>
      <c r="AA53" s="176">
        <f t="shared" ca="1" si="70"/>
        <v>1.5999157370627185E-3</v>
      </c>
      <c r="AB53" s="176">
        <f ca="1">IF(AP53&gt;0,AA53*Calculation_sheet!C$94,0)</f>
        <v>0</v>
      </c>
      <c r="AC53" s="176">
        <f t="shared" ca="1" si="58"/>
        <v>1.5999157370627185E-3</v>
      </c>
      <c r="AD53" s="958">
        <f ca="1">AC53*Calculation_sheet!C$99</f>
        <v>9.5994944223763104E-4</v>
      </c>
      <c r="AE53" s="176">
        <f t="shared" ca="1" si="58"/>
        <v>6.3996629482508747E-4</v>
      </c>
      <c r="AF53" s="176">
        <f t="shared" ca="1" si="71"/>
        <v>1.5999157370627185E-3</v>
      </c>
      <c r="AG53" s="958">
        <f ca="1">AF53*User_sheet!B$77/100</f>
        <v>0</v>
      </c>
      <c r="AH53" s="313"/>
      <c r="AI53" s="883">
        <v>101</v>
      </c>
      <c r="AJ53" s="985"/>
      <c r="AK53" s="1020">
        <f t="shared" ca="1" si="15"/>
        <v>500.65201000768536</v>
      </c>
      <c r="AL53" s="954">
        <f ca="1">AK53/'101'!I$24</f>
        <v>1.4190009409568178</v>
      </c>
      <c r="AM53" s="954">
        <f ca="1">0.8*(AK53*30+'101'!D$17*0.34*30*1)</f>
        <v>15741.11908818445</v>
      </c>
      <c r="AN53" s="954">
        <f ca="1">IF(AM53&lt;User_sheet!B$50,Y53,0)</f>
        <v>0</v>
      </c>
      <c r="AO53" s="954">
        <f ca="1">20-(User_sheet!B$57/('Freestanding '!AK53+'101'!D$17*1*0.34))</f>
        <v>11.309385359857648</v>
      </c>
      <c r="AP53" s="954">
        <f ca="1">IF(AO53&lt;User_sheet!B$59,0,BC53*AA53)</f>
        <v>0</v>
      </c>
      <c r="AQ53" s="985"/>
      <c r="AR53" s="883">
        <v>0.48</v>
      </c>
      <c r="AS53" s="883">
        <v>3.7</v>
      </c>
      <c r="AT53" s="883">
        <v>7.9</v>
      </c>
      <c r="AU53" s="883">
        <v>2.75</v>
      </c>
      <c r="AV53" s="883">
        <v>3.3</v>
      </c>
      <c r="AW53" s="883">
        <v>10916.451096266603</v>
      </c>
      <c r="AX53" s="883">
        <v>76466.30421774846</v>
      </c>
      <c r="AY53" s="883">
        <v>67352.647733737584</v>
      </c>
      <c r="AZ53" s="883">
        <v>0</v>
      </c>
      <c r="BA53" s="883">
        <v>0</v>
      </c>
      <c r="BB53" s="883">
        <v>0.6</v>
      </c>
      <c r="BC53" s="888">
        <v>0</v>
      </c>
      <c r="BD53" s="889">
        <v>1</v>
      </c>
      <c r="BE53" s="889">
        <v>0</v>
      </c>
      <c r="BF53" s="890">
        <v>0</v>
      </c>
      <c r="BG53" s="883">
        <v>1</v>
      </c>
      <c r="BH53" s="883">
        <v>0</v>
      </c>
      <c r="BI53" s="890">
        <v>0</v>
      </c>
      <c r="BJ53" s="883">
        <v>0</v>
      </c>
      <c r="BK53" s="883">
        <v>1</v>
      </c>
      <c r="BL53" s="883">
        <v>0</v>
      </c>
      <c r="BM53" s="890">
        <v>0</v>
      </c>
      <c r="BN53" s="958">
        <v>0</v>
      </c>
      <c r="BO53" s="959">
        <v>18</v>
      </c>
      <c r="BP53" s="1018">
        <f t="shared" ca="1" si="59"/>
        <v>181.084</v>
      </c>
      <c r="BQ53" s="1018">
        <f t="shared" ca="1" si="60"/>
        <v>302.464</v>
      </c>
      <c r="BR53" s="1018">
        <f t="shared" ca="1" si="61"/>
        <v>104.854</v>
      </c>
      <c r="BS53" s="1018">
        <f t="shared" ca="1" si="62"/>
        <v>129.21406907627619</v>
      </c>
      <c r="BT53" s="1018">
        <f t="shared" ca="1" si="63"/>
        <v>104.86</v>
      </c>
      <c r="BU53" s="1018">
        <f t="shared" ca="1" si="64"/>
        <v>14</v>
      </c>
      <c r="BV53" s="1018">
        <f t="shared" ca="1" si="65"/>
        <v>4.3</v>
      </c>
      <c r="BW53" s="1018">
        <v>0</v>
      </c>
      <c r="BX53" s="1018">
        <f t="shared" ca="1" si="66"/>
        <v>46.46410635155096</v>
      </c>
      <c r="BY53" s="1018">
        <f t="shared" ca="1" si="67"/>
        <v>291.28273085838049</v>
      </c>
      <c r="BZ53" s="1018">
        <f t="shared" ca="1" si="17"/>
        <v>115.37845526167696</v>
      </c>
      <c r="CA53" s="1018">
        <f t="shared" ca="1" si="18"/>
        <v>38.499999978825002</v>
      </c>
      <c r="CB53" s="1018">
        <f t="shared" ca="1" si="68"/>
        <v>9.0267175572519083</v>
      </c>
      <c r="CC53" s="1018">
        <f t="shared" si="19"/>
        <v>0</v>
      </c>
      <c r="CD53" s="1018">
        <f t="shared" ca="1" si="72"/>
        <v>500.65201000768536</v>
      </c>
      <c r="CE53" s="1018">
        <f t="shared" ca="1" si="73"/>
        <v>184.56333165243285</v>
      </c>
      <c r="CF53" s="1018">
        <f t="shared" ca="1" si="22"/>
        <v>20.556460249803546</v>
      </c>
      <c r="CG53" s="1018">
        <f t="shared" ca="1" si="23"/>
        <v>34225.68405751291</v>
      </c>
    </row>
    <row r="54" spans="4:85" x14ac:dyDescent="0.25">
      <c r="D54" s="337"/>
      <c r="E54" s="336"/>
      <c r="F54" s="337"/>
      <c r="G54" s="336"/>
      <c r="H54" s="337"/>
      <c r="I54" s="336"/>
      <c r="J54" s="342"/>
      <c r="K54" s="337"/>
      <c r="L54" s="337"/>
      <c r="M54" s="337"/>
      <c r="N54" s="337"/>
      <c r="O54" s="337" t="s">
        <v>18</v>
      </c>
      <c r="P54" s="339">
        <v>0.80827067699999999</v>
      </c>
      <c r="Q54" s="337" t="s">
        <v>7</v>
      </c>
      <c r="R54" s="339">
        <v>0.46289999999999998</v>
      </c>
      <c r="S54" s="337"/>
      <c r="T54" s="347">
        <v>1.3788602724828462E-3</v>
      </c>
      <c r="V54" s="176">
        <f t="shared" si="11"/>
        <v>1.3788602724828462E-3</v>
      </c>
      <c r="W54" s="176">
        <f t="shared" si="69"/>
        <v>1.3788602724828462E-3</v>
      </c>
      <c r="X54" s="176">
        <f t="shared" si="69"/>
        <v>1.3788602724828462E-3</v>
      </c>
      <c r="Y54" s="34">
        <f>X54/Calculation_sheet!M$67</f>
        <v>1.3788884652510376E-3</v>
      </c>
      <c r="Z54" s="176">
        <f ca="1">IF(AN54&gt;0,Y54*Calculation_sheet!C$87,0)</f>
        <v>0</v>
      </c>
      <c r="AA54" s="176">
        <f t="shared" ca="1" si="70"/>
        <v>1.3788884652510376E-3</v>
      </c>
      <c r="AB54" s="176">
        <f ca="1">IF(AP54&gt;0,AA54*Calculation_sheet!C$94,0)</f>
        <v>0</v>
      </c>
      <c r="AC54" s="176">
        <f t="shared" ca="1" si="58"/>
        <v>1.3788884652510376E-3</v>
      </c>
      <c r="AD54" s="958">
        <f ca="1">AC54*Calculation_sheet!C$99</f>
        <v>8.2733307915062255E-4</v>
      </c>
      <c r="AE54" s="176">
        <f t="shared" ca="1" si="58"/>
        <v>5.51555386100415E-4</v>
      </c>
      <c r="AF54" s="176">
        <f t="shared" ca="1" si="71"/>
        <v>1.3788884652510376E-3</v>
      </c>
      <c r="AG54" s="958">
        <f ca="1">AF54*User_sheet!B$77/100</f>
        <v>0</v>
      </c>
      <c r="AH54" s="313"/>
      <c r="AI54" s="883">
        <v>101</v>
      </c>
      <c r="AJ54" s="985"/>
      <c r="AK54" s="1020">
        <f t="shared" ca="1" si="15"/>
        <v>500.65201000768536</v>
      </c>
      <c r="AL54" s="954">
        <f ca="1">AK54/'101'!I$24</f>
        <v>1.4190009409568178</v>
      </c>
      <c r="AM54" s="954">
        <f ca="1">0.8*(AK54*30+'101'!D$17*0.34*30*1)</f>
        <v>15741.11908818445</v>
      </c>
      <c r="AN54" s="954">
        <f ca="1">IF(AM54&lt;User_sheet!B$50,Y54,0)</f>
        <v>0</v>
      </c>
      <c r="AO54" s="954">
        <f ca="1">20-(User_sheet!B$57/('Freestanding '!AK54+'101'!D$17*1*0.34))</f>
        <v>11.309385359857648</v>
      </c>
      <c r="AP54" s="954">
        <f ca="1">IF(AO54&lt;User_sheet!B$59,0,BC54*AA54)</f>
        <v>0</v>
      </c>
      <c r="AQ54" s="985"/>
      <c r="AR54" s="883">
        <v>0.48</v>
      </c>
      <c r="AS54" s="883">
        <v>3.7</v>
      </c>
      <c r="AT54" s="883">
        <v>7.9</v>
      </c>
      <c r="AU54" s="883">
        <v>2.75</v>
      </c>
      <c r="AV54" s="883">
        <v>3.3</v>
      </c>
      <c r="AW54" s="883">
        <v>10916.451096266603</v>
      </c>
      <c r="AX54" s="883">
        <v>76466.30421774846</v>
      </c>
      <c r="AY54" s="883">
        <v>67352.647733737584</v>
      </c>
      <c r="AZ54" s="883">
        <v>0</v>
      </c>
      <c r="BA54" s="883">
        <v>0</v>
      </c>
      <c r="BB54" s="883">
        <v>0.6</v>
      </c>
      <c r="BC54" s="888">
        <v>0</v>
      </c>
      <c r="BD54" s="889">
        <v>1</v>
      </c>
      <c r="BE54" s="889">
        <v>0</v>
      </c>
      <c r="BF54" s="890">
        <v>0</v>
      </c>
      <c r="BG54" s="883">
        <v>1</v>
      </c>
      <c r="BH54" s="883">
        <v>0</v>
      </c>
      <c r="BI54" s="890">
        <v>0</v>
      </c>
      <c r="BJ54" s="883">
        <v>0</v>
      </c>
      <c r="BK54" s="883">
        <v>0</v>
      </c>
      <c r="BL54" s="883">
        <v>1</v>
      </c>
      <c r="BM54" s="890">
        <v>0</v>
      </c>
      <c r="BN54" s="958">
        <v>0</v>
      </c>
      <c r="BO54" s="959">
        <v>18</v>
      </c>
      <c r="BP54" s="1018">
        <f t="shared" ca="1" si="59"/>
        <v>181.084</v>
      </c>
      <c r="BQ54" s="1018">
        <f t="shared" ca="1" si="60"/>
        <v>302.464</v>
      </c>
      <c r="BR54" s="1018">
        <f t="shared" ca="1" si="61"/>
        <v>104.854</v>
      </c>
      <c r="BS54" s="1018">
        <f t="shared" ca="1" si="62"/>
        <v>129.21406907627619</v>
      </c>
      <c r="BT54" s="1018">
        <f t="shared" ca="1" si="63"/>
        <v>104.86</v>
      </c>
      <c r="BU54" s="1018">
        <f t="shared" ca="1" si="64"/>
        <v>14</v>
      </c>
      <c r="BV54" s="1018">
        <f t="shared" ca="1" si="65"/>
        <v>4.3</v>
      </c>
      <c r="BW54" s="1018">
        <v>0</v>
      </c>
      <c r="BX54" s="1018">
        <f t="shared" ca="1" si="66"/>
        <v>46.46410635155096</v>
      </c>
      <c r="BY54" s="1018">
        <f t="shared" ca="1" si="67"/>
        <v>291.28273085838049</v>
      </c>
      <c r="BZ54" s="1018">
        <f t="shared" ca="1" si="17"/>
        <v>115.37845526167696</v>
      </c>
      <c r="CA54" s="1018">
        <f t="shared" ca="1" si="18"/>
        <v>38.499999978825002</v>
      </c>
      <c r="CB54" s="1018">
        <f t="shared" ca="1" si="68"/>
        <v>9.0267175572519083</v>
      </c>
      <c r="CC54" s="1018">
        <f t="shared" si="19"/>
        <v>0</v>
      </c>
      <c r="CD54" s="1018">
        <f t="shared" ca="1" si="72"/>
        <v>500.65201000768536</v>
      </c>
      <c r="CE54" s="1018">
        <f t="shared" ca="1" si="73"/>
        <v>184.56333165243285</v>
      </c>
      <c r="CF54" s="1018">
        <f t="shared" ca="1" si="22"/>
        <v>20.556460249803546</v>
      </c>
      <c r="CG54" s="1018">
        <f t="shared" ca="1" si="23"/>
        <v>34225.68405751291</v>
      </c>
    </row>
    <row r="55" spans="4:85" x14ac:dyDescent="0.25">
      <c r="D55" s="337"/>
      <c r="E55" s="336"/>
      <c r="F55" s="337"/>
      <c r="G55" s="336"/>
      <c r="H55" s="337"/>
      <c r="I55" s="336"/>
      <c r="J55" s="342"/>
      <c r="K55" s="337"/>
      <c r="L55" s="337"/>
      <c r="M55" s="337"/>
      <c r="N55" s="337"/>
      <c r="O55" s="337"/>
      <c r="P55" s="337"/>
      <c r="Q55" s="337" t="s">
        <v>22</v>
      </c>
      <c r="R55" s="339">
        <v>0.53710000000000002</v>
      </c>
      <c r="S55" s="337"/>
      <c r="T55" s="347">
        <v>3.7950713544784983E-4</v>
      </c>
      <c r="V55" s="176">
        <f t="shared" si="11"/>
        <v>3.7950713544784983E-4</v>
      </c>
      <c r="W55" s="176">
        <f t="shared" si="69"/>
        <v>3.7950713544784983E-4</v>
      </c>
      <c r="X55" s="176">
        <f t="shared" si="69"/>
        <v>3.7950713544784983E-4</v>
      </c>
      <c r="Y55" s="34">
        <f>X55/Calculation_sheet!M$67</f>
        <v>3.7951489501342021E-4</v>
      </c>
      <c r="Z55" s="176">
        <f ca="1">IF(AN55&gt;0,Y55*Calculation_sheet!C$87,0)</f>
        <v>0</v>
      </c>
      <c r="AA55" s="176">
        <f t="shared" ca="1" si="70"/>
        <v>3.7951489501342021E-4</v>
      </c>
      <c r="AB55" s="176">
        <f ca="1">IF(AP55&gt;0,AA55*Calculation_sheet!C$94,0)</f>
        <v>0</v>
      </c>
      <c r="AC55" s="176">
        <f t="shared" ca="1" si="58"/>
        <v>3.7951489501342021E-4</v>
      </c>
      <c r="AD55" s="958">
        <f ca="1">AC55*Calculation_sheet!C$99</f>
        <v>2.2770893700805212E-4</v>
      </c>
      <c r="AE55" s="176">
        <f t="shared" ca="1" si="58"/>
        <v>1.518059580053681E-4</v>
      </c>
      <c r="AF55" s="176">
        <f t="shared" ca="1" si="71"/>
        <v>3.7951489501342021E-4</v>
      </c>
      <c r="AG55" s="958">
        <f ca="1">AF55*User_sheet!B$77/100</f>
        <v>0</v>
      </c>
      <c r="AH55" s="313"/>
      <c r="AI55" s="883">
        <v>101</v>
      </c>
      <c r="AJ55" s="985"/>
      <c r="AK55" s="1020">
        <f t="shared" ca="1" si="15"/>
        <v>500.65201000768536</v>
      </c>
      <c r="AL55" s="954">
        <f ca="1">AK55/'101'!I$24</f>
        <v>1.4190009409568178</v>
      </c>
      <c r="AM55" s="954">
        <f ca="1">0.8*(AK55*30+'101'!D$17*0.34*30*1)</f>
        <v>15741.11908818445</v>
      </c>
      <c r="AN55" s="954">
        <f ca="1">IF(AM55&lt;User_sheet!B$50,Y55,0)</f>
        <v>0</v>
      </c>
      <c r="AO55" s="954">
        <f ca="1">20-(User_sheet!B$57/('Freestanding '!AK55+'101'!D$17*1*0.34))</f>
        <v>11.309385359857648</v>
      </c>
      <c r="AP55" s="954">
        <f ca="1">IF(AO55&lt;User_sheet!B$59,0,BC55*AA55)</f>
        <v>0</v>
      </c>
      <c r="AQ55" s="985"/>
      <c r="AR55" s="883">
        <v>0.48</v>
      </c>
      <c r="AS55" s="883">
        <v>3.7</v>
      </c>
      <c r="AT55" s="883">
        <v>7.9</v>
      </c>
      <c r="AU55" s="883">
        <v>2.75</v>
      </c>
      <c r="AV55" s="883">
        <v>3.3</v>
      </c>
      <c r="AW55" s="883">
        <v>10916.451096266603</v>
      </c>
      <c r="AX55" s="883">
        <v>76466.30421774846</v>
      </c>
      <c r="AY55" s="883">
        <v>67352.647733737584</v>
      </c>
      <c r="AZ55" s="883">
        <v>0</v>
      </c>
      <c r="BA55" s="883">
        <v>0</v>
      </c>
      <c r="BB55" s="883">
        <v>0.6</v>
      </c>
      <c r="BC55" s="888">
        <v>0</v>
      </c>
      <c r="BD55" s="889">
        <v>1</v>
      </c>
      <c r="BE55" s="889">
        <v>0</v>
      </c>
      <c r="BF55" s="890">
        <v>0</v>
      </c>
      <c r="BG55" s="883">
        <v>0</v>
      </c>
      <c r="BH55" s="883">
        <v>1</v>
      </c>
      <c r="BI55" s="890">
        <v>0</v>
      </c>
      <c r="BJ55" s="883">
        <v>0</v>
      </c>
      <c r="BK55" s="883">
        <v>1</v>
      </c>
      <c r="BL55" s="883">
        <v>0</v>
      </c>
      <c r="BM55" s="890">
        <v>0</v>
      </c>
      <c r="BN55" s="958">
        <v>0</v>
      </c>
      <c r="BO55" s="959">
        <v>18</v>
      </c>
      <c r="BP55" s="1018">
        <f t="shared" ca="1" si="59"/>
        <v>181.084</v>
      </c>
      <c r="BQ55" s="1018">
        <f t="shared" ca="1" si="60"/>
        <v>302.464</v>
      </c>
      <c r="BR55" s="1018">
        <f t="shared" ca="1" si="61"/>
        <v>104.854</v>
      </c>
      <c r="BS55" s="1018">
        <f t="shared" ca="1" si="62"/>
        <v>129.21406907627619</v>
      </c>
      <c r="BT55" s="1018">
        <f t="shared" ca="1" si="63"/>
        <v>104.86</v>
      </c>
      <c r="BU55" s="1018">
        <f t="shared" ca="1" si="64"/>
        <v>14</v>
      </c>
      <c r="BV55" s="1018">
        <f t="shared" ca="1" si="65"/>
        <v>4.3</v>
      </c>
      <c r="BW55" s="1018">
        <v>0</v>
      </c>
      <c r="BX55" s="1018">
        <f t="shared" ca="1" si="66"/>
        <v>46.46410635155096</v>
      </c>
      <c r="BY55" s="1018">
        <f t="shared" ca="1" si="67"/>
        <v>291.28273085838049</v>
      </c>
      <c r="BZ55" s="1018">
        <f t="shared" ca="1" si="17"/>
        <v>115.37845526167696</v>
      </c>
      <c r="CA55" s="1018">
        <f t="shared" ca="1" si="18"/>
        <v>38.499999978825002</v>
      </c>
      <c r="CB55" s="1018">
        <f t="shared" ca="1" si="68"/>
        <v>9.0267175572519083</v>
      </c>
      <c r="CC55" s="1018">
        <f t="shared" si="19"/>
        <v>0</v>
      </c>
      <c r="CD55" s="1018">
        <f t="shared" ca="1" si="72"/>
        <v>500.65201000768536</v>
      </c>
      <c r="CE55" s="1018">
        <f t="shared" ca="1" si="73"/>
        <v>184.56333165243285</v>
      </c>
      <c r="CF55" s="1018">
        <f t="shared" ca="1" si="22"/>
        <v>20.556460249803546</v>
      </c>
      <c r="CG55" s="1018">
        <f t="shared" ca="1" si="23"/>
        <v>34225.68405751291</v>
      </c>
    </row>
    <row r="56" spans="4:85" x14ac:dyDescent="0.25">
      <c r="D56" s="337"/>
      <c r="E56" s="336"/>
      <c r="F56" s="337"/>
      <c r="G56" s="336"/>
      <c r="H56" s="337"/>
      <c r="I56" s="336"/>
      <c r="J56" s="342"/>
      <c r="K56" s="337"/>
      <c r="L56" s="337"/>
      <c r="M56" s="337" t="s">
        <v>22</v>
      </c>
      <c r="N56" s="339">
        <v>0.44680851100000002</v>
      </c>
      <c r="O56" s="337" t="s">
        <v>20</v>
      </c>
      <c r="P56" s="339">
        <v>0.19172932300000001</v>
      </c>
      <c r="Q56" s="337" t="s">
        <v>7</v>
      </c>
      <c r="R56" s="339">
        <v>0.46289999999999998</v>
      </c>
      <c r="S56" s="337"/>
      <c r="T56" s="347">
        <v>3.2707848258947995E-4</v>
      </c>
      <c r="V56" s="176">
        <f t="shared" si="11"/>
        <v>3.2707848258947995E-4</v>
      </c>
      <c r="W56" s="176">
        <f t="shared" si="69"/>
        <v>3.2707848258947995E-4</v>
      </c>
      <c r="X56" s="176">
        <f t="shared" si="69"/>
        <v>3.2707848258947995E-4</v>
      </c>
      <c r="Y56" s="34">
        <f>X56/Calculation_sheet!M$67</f>
        <v>3.2708517017634E-4</v>
      </c>
      <c r="Z56" s="176">
        <f ca="1">IF(AN56&gt;0,Y56*Calculation_sheet!C$87,0)</f>
        <v>0</v>
      </c>
      <c r="AA56" s="176">
        <f t="shared" ca="1" si="70"/>
        <v>3.2708517017634E-4</v>
      </c>
      <c r="AB56" s="176">
        <f ca="1">IF(AP56&gt;0,AA56*Calculation_sheet!C$94,0)</f>
        <v>0</v>
      </c>
      <c r="AC56" s="176">
        <f t="shared" ca="1" si="58"/>
        <v>3.2708517017634E-4</v>
      </c>
      <c r="AD56" s="958">
        <f ca="1">AC56*Calculation_sheet!C$99</f>
        <v>1.96251102105804E-4</v>
      </c>
      <c r="AE56" s="176">
        <f t="shared" ca="1" si="58"/>
        <v>1.30834068070536E-4</v>
      </c>
      <c r="AF56" s="176">
        <f t="shared" ca="1" si="71"/>
        <v>3.2708517017634E-4</v>
      </c>
      <c r="AG56" s="958">
        <f ca="1">AF56*User_sheet!B$77/100</f>
        <v>0</v>
      </c>
      <c r="AH56" s="313"/>
      <c r="AI56" s="883">
        <v>101</v>
      </c>
      <c r="AJ56" s="985"/>
      <c r="AK56" s="1020">
        <f t="shared" ca="1" si="15"/>
        <v>500.65201000768536</v>
      </c>
      <c r="AL56" s="954">
        <f ca="1">AK56/'101'!I$24</f>
        <v>1.4190009409568178</v>
      </c>
      <c r="AM56" s="954">
        <f ca="1">0.8*(AK56*30+'101'!D$17*0.34*30*1)</f>
        <v>15741.11908818445</v>
      </c>
      <c r="AN56" s="954">
        <f ca="1">IF(AM56&lt;User_sheet!B$50,Y56,0)</f>
        <v>0</v>
      </c>
      <c r="AO56" s="954">
        <f ca="1">20-(User_sheet!B$57/('Freestanding '!AK56+'101'!D$17*1*0.34))</f>
        <v>11.309385359857648</v>
      </c>
      <c r="AP56" s="954">
        <f ca="1">IF(AO56&lt;User_sheet!B$59,0,BC56*AA56)</f>
        <v>0</v>
      </c>
      <c r="AQ56" s="985"/>
      <c r="AR56" s="883">
        <v>0.48</v>
      </c>
      <c r="AS56" s="883">
        <v>3.7</v>
      </c>
      <c r="AT56" s="883">
        <v>7.9</v>
      </c>
      <c r="AU56" s="883">
        <v>2.75</v>
      </c>
      <c r="AV56" s="883">
        <v>3.3</v>
      </c>
      <c r="AW56" s="883">
        <v>10916.451096266603</v>
      </c>
      <c r="AX56" s="883">
        <v>76466.30421774846</v>
      </c>
      <c r="AY56" s="883">
        <v>67352.647733737584</v>
      </c>
      <c r="AZ56" s="883">
        <v>0</v>
      </c>
      <c r="BA56" s="883">
        <v>0</v>
      </c>
      <c r="BB56" s="883">
        <v>0.6</v>
      </c>
      <c r="BC56" s="888">
        <v>0</v>
      </c>
      <c r="BD56" s="889">
        <v>1</v>
      </c>
      <c r="BE56" s="889">
        <v>0</v>
      </c>
      <c r="BF56" s="890">
        <v>0</v>
      </c>
      <c r="BG56" s="883">
        <v>0</v>
      </c>
      <c r="BH56" s="883">
        <v>1</v>
      </c>
      <c r="BI56" s="890">
        <v>0</v>
      </c>
      <c r="BJ56" s="883">
        <v>0</v>
      </c>
      <c r="BK56" s="883">
        <v>0</v>
      </c>
      <c r="BL56" s="883">
        <v>1</v>
      </c>
      <c r="BM56" s="890">
        <v>0</v>
      </c>
      <c r="BN56" s="958">
        <v>0</v>
      </c>
      <c r="BO56" s="959">
        <v>18</v>
      </c>
      <c r="BP56" s="1018">
        <f t="shared" ca="1" si="59"/>
        <v>181.084</v>
      </c>
      <c r="BQ56" s="1018">
        <f t="shared" ca="1" si="60"/>
        <v>302.464</v>
      </c>
      <c r="BR56" s="1018">
        <f t="shared" ca="1" si="61"/>
        <v>104.854</v>
      </c>
      <c r="BS56" s="1018">
        <f t="shared" ca="1" si="62"/>
        <v>129.21406907627619</v>
      </c>
      <c r="BT56" s="1018">
        <f t="shared" ca="1" si="63"/>
        <v>104.86</v>
      </c>
      <c r="BU56" s="1018">
        <f t="shared" ca="1" si="64"/>
        <v>14</v>
      </c>
      <c r="BV56" s="1018">
        <f t="shared" ca="1" si="65"/>
        <v>4.3</v>
      </c>
      <c r="BW56" s="1018">
        <v>0</v>
      </c>
      <c r="BX56" s="1018">
        <f t="shared" ca="1" si="66"/>
        <v>46.46410635155096</v>
      </c>
      <c r="BY56" s="1018">
        <f t="shared" ca="1" si="67"/>
        <v>291.28273085838049</v>
      </c>
      <c r="BZ56" s="1018">
        <f t="shared" ca="1" si="17"/>
        <v>115.37845526167696</v>
      </c>
      <c r="CA56" s="1018">
        <f t="shared" ca="1" si="18"/>
        <v>38.499999978825002</v>
      </c>
      <c r="CB56" s="1018">
        <f t="shared" ca="1" si="68"/>
        <v>9.0267175572519083</v>
      </c>
      <c r="CC56" s="1018">
        <f t="shared" si="19"/>
        <v>0</v>
      </c>
      <c r="CD56" s="1018">
        <f t="shared" ca="1" si="72"/>
        <v>500.65201000768536</v>
      </c>
      <c r="CE56" s="1018">
        <f t="shared" ca="1" si="73"/>
        <v>184.56333165243285</v>
      </c>
      <c r="CF56" s="1018">
        <f t="shared" ca="1" si="22"/>
        <v>20.556460249803546</v>
      </c>
      <c r="CG56" s="1018">
        <f t="shared" ca="1" si="23"/>
        <v>34225.68405751291</v>
      </c>
    </row>
    <row r="57" spans="4:85" x14ac:dyDescent="0.25">
      <c r="D57" s="337"/>
      <c r="E57" s="336"/>
      <c r="F57" s="337"/>
      <c r="G57" s="336"/>
      <c r="H57" s="337"/>
      <c r="I57" s="336"/>
      <c r="J57" s="342"/>
      <c r="K57" s="337"/>
      <c r="L57" s="337"/>
      <c r="M57" s="337" t="s">
        <v>7</v>
      </c>
      <c r="N57" s="339">
        <v>2.1276595999999998E-2</v>
      </c>
      <c r="O57" s="337" t="s">
        <v>23</v>
      </c>
      <c r="P57" s="339">
        <v>1</v>
      </c>
      <c r="Q57" s="337" t="s">
        <v>7</v>
      </c>
      <c r="R57" s="339">
        <v>1</v>
      </c>
      <c r="S57" s="337"/>
      <c r="T57" s="347">
        <v>1.7549185509187351E-4</v>
      </c>
      <c r="V57" s="176">
        <f t="shared" si="11"/>
        <v>1.7549185509187351E-4</v>
      </c>
      <c r="W57" s="176">
        <f t="shared" si="69"/>
        <v>1.7549185509187351E-4</v>
      </c>
      <c r="X57" s="176">
        <f t="shared" si="69"/>
        <v>1.7549185509187351E-4</v>
      </c>
      <c r="Y57" s="34">
        <f>X57/Calculation_sheet!M$67</f>
        <v>1.754954432735688E-4</v>
      </c>
      <c r="Z57" s="176">
        <f ca="1">IF(AN57&gt;0,Y57*Calculation_sheet!C$87,0)</f>
        <v>0</v>
      </c>
      <c r="AA57" s="176">
        <f t="shared" ca="1" si="70"/>
        <v>1.754954432735688E-4</v>
      </c>
      <c r="AB57" s="176">
        <f ca="1">IF(AP57&gt;0,AA57*Calculation_sheet!C$94,0)</f>
        <v>0</v>
      </c>
      <c r="AC57" s="176">
        <f t="shared" ca="1" si="58"/>
        <v>1.754954432735688E-4</v>
      </c>
      <c r="AD57" s="958">
        <f ca="1">AC57*Calculation_sheet!C$99</f>
        <v>1.0529726596414127E-4</v>
      </c>
      <c r="AE57" s="176">
        <f t="shared" ca="1" si="58"/>
        <v>7.0198177309427524E-5</v>
      </c>
      <c r="AF57" s="176">
        <f t="shared" ca="1" si="71"/>
        <v>1.754954432735688E-4</v>
      </c>
      <c r="AG57" s="958">
        <f ca="1">AF57*User_sheet!B$77/100</f>
        <v>0</v>
      </c>
      <c r="AH57" s="313"/>
      <c r="AI57" s="883">
        <v>101</v>
      </c>
      <c r="AJ57" s="985"/>
      <c r="AK57" s="1020">
        <f t="shared" ca="1" si="15"/>
        <v>500.65201000768536</v>
      </c>
      <c r="AL57" s="954">
        <f ca="1">AK57/'101'!I$24</f>
        <v>1.4190009409568178</v>
      </c>
      <c r="AM57" s="954">
        <f ca="1">0.8*(AK57*30+'101'!D$17*0.34*30*1)</f>
        <v>15741.11908818445</v>
      </c>
      <c r="AN57" s="954">
        <f ca="1">IF(AM57&lt;User_sheet!B$50,Y57,0)</f>
        <v>0</v>
      </c>
      <c r="AO57" s="954">
        <f ca="1">20-(User_sheet!B$57/('Freestanding '!AK57+'101'!D$17*1*0.34))</f>
        <v>11.309385359857648</v>
      </c>
      <c r="AP57" s="954">
        <f ca="1">IF(AO57&lt;User_sheet!B$59,0,BC57*AA57)</f>
        <v>0</v>
      </c>
      <c r="AQ57" s="985"/>
      <c r="AR57" s="883">
        <v>0.48</v>
      </c>
      <c r="AS57" s="883">
        <v>3.7</v>
      </c>
      <c r="AT57" s="883">
        <v>7.9</v>
      </c>
      <c r="AU57" s="883">
        <v>2.75</v>
      </c>
      <c r="AV57" s="883">
        <v>3.3</v>
      </c>
      <c r="AW57" s="883">
        <v>10916.451096266603</v>
      </c>
      <c r="AX57" s="883">
        <v>76466.30421774846</v>
      </c>
      <c r="AY57" s="883">
        <v>67352.647733737584</v>
      </c>
      <c r="AZ57" s="883">
        <v>0</v>
      </c>
      <c r="BA57" s="883">
        <v>0</v>
      </c>
      <c r="BB57" s="883">
        <v>0.6</v>
      </c>
      <c r="BC57" s="888">
        <v>0</v>
      </c>
      <c r="BD57" s="889">
        <v>0</v>
      </c>
      <c r="BE57" s="889">
        <v>1</v>
      </c>
      <c r="BF57" s="890">
        <v>0</v>
      </c>
      <c r="BG57" s="883">
        <v>0</v>
      </c>
      <c r="BH57" s="883">
        <v>0</v>
      </c>
      <c r="BI57" s="890">
        <v>1</v>
      </c>
      <c r="BJ57" s="883">
        <v>0</v>
      </c>
      <c r="BK57" s="883">
        <v>0</v>
      </c>
      <c r="BL57" s="883">
        <v>1</v>
      </c>
      <c r="BM57" s="890">
        <v>0</v>
      </c>
      <c r="BN57" s="958">
        <v>0</v>
      </c>
      <c r="BO57" s="959">
        <v>18</v>
      </c>
      <c r="BP57" s="1018">
        <f t="shared" ca="1" si="59"/>
        <v>181.084</v>
      </c>
      <c r="BQ57" s="1018">
        <f t="shared" ca="1" si="60"/>
        <v>302.464</v>
      </c>
      <c r="BR57" s="1018">
        <f t="shared" ca="1" si="61"/>
        <v>104.854</v>
      </c>
      <c r="BS57" s="1018">
        <f t="shared" ca="1" si="62"/>
        <v>129.21406907627619</v>
      </c>
      <c r="BT57" s="1018">
        <f t="shared" ca="1" si="63"/>
        <v>104.86</v>
      </c>
      <c r="BU57" s="1018">
        <f t="shared" ca="1" si="64"/>
        <v>14</v>
      </c>
      <c r="BV57" s="1018">
        <f t="shared" ca="1" si="65"/>
        <v>4.3</v>
      </c>
      <c r="BW57" s="1018">
        <v>0</v>
      </c>
      <c r="BX57" s="1018">
        <f t="shared" ca="1" si="66"/>
        <v>46.46410635155096</v>
      </c>
      <c r="BY57" s="1018">
        <f t="shared" ca="1" si="67"/>
        <v>291.28273085838049</v>
      </c>
      <c r="BZ57" s="1018">
        <f t="shared" ca="1" si="17"/>
        <v>115.37845526167696</v>
      </c>
      <c r="CA57" s="1018">
        <f t="shared" ca="1" si="18"/>
        <v>38.499999978825002</v>
      </c>
      <c r="CB57" s="1018">
        <f t="shared" ca="1" si="68"/>
        <v>9.0267175572519083</v>
      </c>
      <c r="CC57" s="1018">
        <f t="shared" si="19"/>
        <v>0</v>
      </c>
      <c r="CD57" s="1018">
        <f t="shared" ca="1" si="72"/>
        <v>500.65201000768536</v>
      </c>
      <c r="CE57" s="1018">
        <f t="shared" ca="1" si="73"/>
        <v>184.56333165243285</v>
      </c>
      <c r="CF57" s="1018">
        <f t="shared" ca="1" si="22"/>
        <v>20.556460249803546</v>
      </c>
      <c r="CG57" s="1018">
        <f t="shared" ca="1" si="23"/>
        <v>34225.68405751291</v>
      </c>
    </row>
    <row r="58" spans="4:85" x14ac:dyDescent="0.25">
      <c r="D58" s="337"/>
      <c r="E58" s="336"/>
      <c r="F58" s="337"/>
      <c r="G58" s="336"/>
      <c r="H58" s="337"/>
      <c r="I58" s="336"/>
      <c r="J58" s="337"/>
      <c r="K58" s="337"/>
      <c r="L58" s="337"/>
      <c r="M58" s="337"/>
      <c r="N58" s="337"/>
      <c r="O58" s="337" t="s">
        <v>18</v>
      </c>
      <c r="P58" s="339">
        <v>0.15910607099999999</v>
      </c>
      <c r="Q58" s="337" t="s">
        <v>17</v>
      </c>
      <c r="R58" s="339">
        <v>1</v>
      </c>
      <c r="S58" s="337"/>
      <c r="T58" s="347">
        <v>1.1168727691235184E-4</v>
      </c>
      <c r="V58" s="176">
        <f t="shared" si="11"/>
        <v>1.1168727691235184E-4</v>
      </c>
      <c r="W58" s="176">
        <f t="shared" si="69"/>
        <v>1.1168727691235184E-4</v>
      </c>
      <c r="X58" s="176">
        <f t="shared" si="69"/>
        <v>1.1168727691235184E-4</v>
      </c>
      <c r="Y58" s="34">
        <f>X58/Calculation_sheet!M$67</f>
        <v>1.1168956051829131E-4</v>
      </c>
      <c r="Z58" s="176">
        <f ca="1">IF(AN58&gt;0,Y58*Calculation_sheet!C$87,0)</f>
        <v>0</v>
      </c>
      <c r="AA58" s="176">
        <f t="shared" ca="1" si="70"/>
        <v>1.1168956051829131E-4</v>
      </c>
      <c r="AB58" s="176">
        <f ca="1">IF(AP58&gt;0,AA58*Calculation_sheet!C$94,0)</f>
        <v>0</v>
      </c>
      <c r="AC58" s="176">
        <f t="shared" ca="1" si="58"/>
        <v>1.1168956051829131E-4</v>
      </c>
      <c r="AD58" s="958">
        <f ca="1">AC58*Calculation_sheet!C$99</f>
        <v>6.7013736310974787E-5</v>
      </c>
      <c r="AE58" s="176">
        <f t="shared" ca="1" si="58"/>
        <v>4.467582420731652E-5</v>
      </c>
      <c r="AF58" s="176">
        <f t="shared" ca="1" si="71"/>
        <v>1.1168956051829131E-4</v>
      </c>
      <c r="AG58" s="958">
        <f ca="1">AF58*User_sheet!B$77/100</f>
        <v>0</v>
      </c>
      <c r="AH58" s="313"/>
      <c r="AI58" s="883">
        <v>101</v>
      </c>
      <c r="AJ58" s="985"/>
      <c r="AK58" s="1020">
        <f t="shared" ca="1" si="15"/>
        <v>500.65201000768536</v>
      </c>
      <c r="AL58" s="954">
        <f ca="1">AK58/'101'!I$24</f>
        <v>1.4190009409568178</v>
      </c>
      <c r="AM58" s="954">
        <f ca="1">0.8*(AK58*30+'101'!D$17*0.34*30*1)</f>
        <v>15741.11908818445</v>
      </c>
      <c r="AN58" s="954">
        <f ca="1">IF(AM58&lt;User_sheet!B$50,Y58,0)</f>
        <v>0</v>
      </c>
      <c r="AO58" s="954">
        <f ca="1">20-(User_sheet!B$57/('Freestanding '!AK58+'101'!D$17*1*0.34))</f>
        <v>11.309385359857648</v>
      </c>
      <c r="AP58" s="954">
        <f ca="1">IF(AO58&lt;User_sheet!B$59,0,BC58*AA58)</f>
        <v>0</v>
      </c>
      <c r="AQ58" s="985"/>
      <c r="AR58" s="883">
        <v>0.48</v>
      </c>
      <c r="AS58" s="883">
        <v>3.7</v>
      </c>
      <c r="AT58" s="883">
        <v>7.9</v>
      </c>
      <c r="AU58" s="883">
        <v>2.75</v>
      </c>
      <c r="AV58" s="883">
        <v>3.3</v>
      </c>
      <c r="AW58" s="883">
        <v>10916.451096266603</v>
      </c>
      <c r="AX58" s="883">
        <v>76466.30421774846</v>
      </c>
      <c r="AY58" s="883">
        <v>67352.647733737584</v>
      </c>
      <c r="AZ58" s="883">
        <v>0</v>
      </c>
      <c r="BA58" s="883">
        <v>0</v>
      </c>
      <c r="BB58" s="883">
        <v>0.6</v>
      </c>
      <c r="BC58" s="888">
        <v>0</v>
      </c>
      <c r="BD58" s="889">
        <v>0</v>
      </c>
      <c r="BE58" s="889">
        <v>0</v>
      </c>
      <c r="BF58" s="890">
        <v>1</v>
      </c>
      <c r="BG58" s="883">
        <v>1</v>
      </c>
      <c r="BH58" s="883">
        <v>0</v>
      </c>
      <c r="BI58" s="890">
        <v>0</v>
      </c>
      <c r="BJ58" s="883">
        <v>0</v>
      </c>
      <c r="BK58" s="883">
        <v>0</v>
      </c>
      <c r="BL58" s="883">
        <v>0</v>
      </c>
      <c r="BM58" s="890">
        <v>1</v>
      </c>
      <c r="BN58" s="958">
        <v>0</v>
      </c>
      <c r="BO58" s="959">
        <v>18</v>
      </c>
      <c r="BP58" s="1018">
        <f t="shared" ca="1" si="59"/>
        <v>181.084</v>
      </c>
      <c r="BQ58" s="1018">
        <f t="shared" ca="1" si="60"/>
        <v>302.464</v>
      </c>
      <c r="BR58" s="1018">
        <f t="shared" ca="1" si="61"/>
        <v>104.854</v>
      </c>
      <c r="BS58" s="1018">
        <f t="shared" ca="1" si="62"/>
        <v>129.21406907627619</v>
      </c>
      <c r="BT58" s="1018">
        <f t="shared" ca="1" si="63"/>
        <v>104.86</v>
      </c>
      <c r="BU58" s="1018">
        <f t="shared" ca="1" si="64"/>
        <v>14</v>
      </c>
      <c r="BV58" s="1018">
        <f t="shared" ca="1" si="65"/>
        <v>4.3</v>
      </c>
      <c r="BW58" s="1018">
        <v>0</v>
      </c>
      <c r="BX58" s="1018">
        <f t="shared" ca="1" si="66"/>
        <v>46.46410635155096</v>
      </c>
      <c r="BY58" s="1018">
        <f t="shared" ca="1" si="67"/>
        <v>291.28273085838049</v>
      </c>
      <c r="BZ58" s="1018">
        <f t="shared" ca="1" si="17"/>
        <v>115.37845526167696</v>
      </c>
      <c r="CA58" s="1018">
        <f t="shared" ca="1" si="18"/>
        <v>38.499999978825002</v>
      </c>
      <c r="CB58" s="1018">
        <f t="shared" ca="1" si="68"/>
        <v>9.0267175572519083</v>
      </c>
      <c r="CC58" s="1018">
        <f t="shared" si="19"/>
        <v>0</v>
      </c>
      <c r="CD58" s="1018">
        <f t="shared" ca="1" si="72"/>
        <v>500.65201000768536</v>
      </c>
      <c r="CE58" s="1018">
        <f t="shared" ca="1" si="73"/>
        <v>184.56333165243285</v>
      </c>
      <c r="CF58" s="1018">
        <f t="shared" ca="1" si="22"/>
        <v>20.556460249803546</v>
      </c>
      <c r="CG58" s="1018">
        <f t="shared" ca="1" si="23"/>
        <v>34225.68405751291</v>
      </c>
    </row>
    <row r="59" spans="4:85" x14ac:dyDescent="0.25">
      <c r="D59" s="337"/>
      <c r="E59" s="336"/>
      <c r="F59" s="337"/>
      <c r="G59" s="336"/>
      <c r="H59" s="337"/>
      <c r="I59" s="336"/>
      <c r="J59" s="337"/>
      <c r="K59" s="340" t="s">
        <v>13</v>
      </c>
      <c r="L59" s="341">
        <v>1</v>
      </c>
      <c r="M59" s="337" t="s">
        <v>17</v>
      </c>
      <c r="N59" s="339">
        <v>8.5106382999999994E-2</v>
      </c>
      <c r="O59" s="337" t="s">
        <v>19</v>
      </c>
      <c r="P59" s="339">
        <v>0.84089392900000004</v>
      </c>
      <c r="Q59" s="337" t="s">
        <v>17</v>
      </c>
      <c r="R59" s="339">
        <v>1</v>
      </c>
      <c r="S59" s="337"/>
      <c r="T59" s="347">
        <v>5.9028013520702504E-4</v>
      </c>
      <c r="V59" s="176">
        <f t="shared" si="11"/>
        <v>5.9028013520702504E-4</v>
      </c>
      <c r="W59" s="176">
        <f t="shared" si="69"/>
        <v>5.9028013520702504E-4</v>
      </c>
      <c r="X59" s="176">
        <f t="shared" si="69"/>
        <v>5.9028013520702504E-4</v>
      </c>
      <c r="Y59" s="34">
        <f>X59/Calculation_sheet!M$67</f>
        <v>5.9029220432769817E-4</v>
      </c>
      <c r="Z59" s="176">
        <f ca="1">IF(AN59&gt;0,Y59*Calculation_sheet!C$87,0)</f>
        <v>0</v>
      </c>
      <c r="AA59" s="176">
        <f t="shared" ca="1" si="70"/>
        <v>5.9029220432769817E-4</v>
      </c>
      <c r="AB59" s="176">
        <f ca="1">IF(AP59&gt;0,AA59*Calculation_sheet!C$94,0)</f>
        <v>0</v>
      </c>
      <c r="AC59" s="176">
        <f t="shared" ca="1" si="58"/>
        <v>5.9029220432769817E-4</v>
      </c>
      <c r="AD59" s="958">
        <f ca="1">AC59*Calculation_sheet!C$99</f>
        <v>3.5417532259661888E-4</v>
      </c>
      <c r="AE59" s="176">
        <f t="shared" ca="1" si="58"/>
        <v>2.3611688173107929E-4</v>
      </c>
      <c r="AF59" s="176">
        <f t="shared" ca="1" si="71"/>
        <v>5.9029220432769817E-4</v>
      </c>
      <c r="AG59" s="958">
        <f ca="1">AF59*User_sheet!B$77/100</f>
        <v>0</v>
      </c>
      <c r="AH59" s="313"/>
      <c r="AI59" s="883">
        <v>101</v>
      </c>
      <c r="AJ59" s="985"/>
      <c r="AK59" s="1020">
        <f t="shared" ca="1" si="15"/>
        <v>500.65201000768536</v>
      </c>
      <c r="AL59" s="954">
        <f ca="1">AK59/'101'!I$24</f>
        <v>1.4190009409568178</v>
      </c>
      <c r="AM59" s="954">
        <f ca="1">0.8*(AK59*30+'101'!D$17*0.34*30*1)</f>
        <v>15741.11908818445</v>
      </c>
      <c r="AN59" s="954">
        <f ca="1">IF(AM59&lt;User_sheet!B$50,Y59,0)</f>
        <v>0</v>
      </c>
      <c r="AO59" s="954">
        <f ca="1">20-(User_sheet!B$57/('Freestanding '!AK59+'101'!D$17*1*0.34))</f>
        <v>11.309385359857648</v>
      </c>
      <c r="AP59" s="954">
        <f ca="1">IF(AO59&lt;User_sheet!B$59,0,BC59*AA59)</f>
        <v>0</v>
      </c>
      <c r="AQ59" s="985"/>
      <c r="AR59" s="883">
        <v>0.48</v>
      </c>
      <c r="AS59" s="883">
        <v>3.7</v>
      </c>
      <c r="AT59" s="883">
        <v>7.9</v>
      </c>
      <c r="AU59" s="883">
        <v>2.75</v>
      </c>
      <c r="AV59" s="883">
        <v>3.3</v>
      </c>
      <c r="AW59" s="883">
        <v>10916.451096266603</v>
      </c>
      <c r="AX59" s="883">
        <v>76466.30421774846</v>
      </c>
      <c r="AY59" s="883">
        <v>67352.647733737584</v>
      </c>
      <c r="AZ59" s="883">
        <v>0</v>
      </c>
      <c r="BA59" s="883">
        <v>0</v>
      </c>
      <c r="BB59" s="883">
        <v>0.6</v>
      </c>
      <c r="BC59" s="888">
        <v>0</v>
      </c>
      <c r="BD59" s="889">
        <v>0</v>
      </c>
      <c r="BE59" s="889">
        <v>0</v>
      </c>
      <c r="BF59" s="890">
        <v>1</v>
      </c>
      <c r="BG59" s="883">
        <v>0</v>
      </c>
      <c r="BH59" s="883">
        <v>1</v>
      </c>
      <c r="BI59" s="890">
        <v>0</v>
      </c>
      <c r="BJ59" s="883">
        <v>0</v>
      </c>
      <c r="BK59" s="883">
        <v>0</v>
      </c>
      <c r="BL59" s="883">
        <v>0</v>
      </c>
      <c r="BM59" s="890">
        <v>1</v>
      </c>
      <c r="BN59" s="958">
        <v>0</v>
      </c>
      <c r="BO59" s="959">
        <v>18</v>
      </c>
      <c r="BP59" s="1018">
        <f t="shared" ca="1" si="59"/>
        <v>181.084</v>
      </c>
      <c r="BQ59" s="1018">
        <f t="shared" ca="1" si="60"/>
        <v>302.464</v>
      </c>
      <c r="BR59" s="1018">
        <f t="shared" ca="1" si="61"/>
        <v>104.854</v>
      </c>
      <c r="BS59" s="1018">
        <f t="shared" ca="1" si="62"/>
        <v>129.21406907627619</v>
      </c>
      <c r="BT59" s="1018">
        <f t="shared" ca="1" si="63"/>
        <v>104.86</v>
      </c>
      <c r="BU59" s="1018">
        <f t="shared" ca="1" si="64"/>
        <v>14</v>
      </c>
      <c r="BV59" s="1018">
        <f t="shared" ca="1" si="65"/>
        <v>4.3</v>
      </c>
      <c r="BW59" s="1018">
        <v>0</v>
      </c>
      <c r="BX59" s="1018">
        <f t="shared" ca="1" si="66"/>
        <v>46.46410635155096</v>
      </c>
      <c r="BY59" s="1018">
        <f t="shared" ca="1" si="67"/>
        <v>291.28273085838049</v>
      </c>
      <c r="BZ59" s="1018">
        <f t="shared" ca="1" si="17"/>
        <v>115.37845526167696</v>
      </c>
      <c r="CA59" s="1018">
        <f t="shared" ca="1" si="18"/>
        <v>38.499999978825002</v>
      </c>
      <c r="CB59" s="1018">
        <f t="shared" ca="1" si="68"/>
        <v>9.0267175572519083</v>
      </c>
      <c r="CC59" s="1018">
        <f t="shared" si="19"/>
        <v>0</v>
      </c>
      <c r="CD59" s="1018">
        <f t="shared" ca="1" si="72"/>
        <v>500.65201000768536</v>
      </c>
      <c r="CE59" s="1018">
        <f t="shared" ca="1" si="73"/>
        <v>184.56333165243285</v>
      </c>
      <c r="CF59" s="1018">
        <f t="shared" ca="1" si="22"/>
        <v>20.556460249803546</v>
      </c>
      <c r="CG59" s="1018">
        <f t="shared" ca="1" si="23"/>
        <v>34225.68405751291</v>
      </c>
    </row>
    <row r="60" spans="4:85" s="14" customFormat="1" x14ac:dyDescent="0.25">
      <c r="D60" s="345"/>
      <c r="E60" s="344"/>
      <c r="F60" s="345"/>
      <c r="G60" s="344"/>
      <c r="H60" s="345"/>
      <c r="I60" s="344"/>
      <c r="J60" s="345"/>
      <c r="K60" s="346"/>
      <c r="L60" s="345"/>
      <c r="M60" s="345"/>
      <c r="N60" s="345"/>
      <c r="O60" s="345"/>
      <c r="P60" s="345"/>
      <c r="Q60" s="345"/>
      <c r="R60" s="345"/>
      <c r="S60" s="345"/>
      <c r="T60" s="349"/>
      <c r="U60" s="273"/>
      <c r="V60" s="292"/>
      <c r="W60" s="292"/>
      <c r="X60" s="292"/>
      <c r="Y60" s="277"/>
      <c r="Z60" s="292"/>
      <c r="AA60" s="292"/>
      <c r="AB60" s="292"/>
      <c r="AC60" s="292"/>
      <c r="AD60" s="277"/>
      <c r="AE60" s="292"/>
      <c r="AF60" s="292"/>
      <c r="AG60" s="277"/>
      <c r="AH60" s="313"/>
      <c r="AI60" s="887"/>
      <c r="AJ60" s="985"/>
      <c r="AK60" s="1020">
        <f t="shared" si="15"/>
        <v>0</v>
      </c>
      <c r="AL60" s="986"/>
      <c r="AM60" s="986"/>
      <c r="AN60" s="986"/>
      <c r="AO60" s="986"/>
      <c r="AP60" s="986"/>
      <c r="AQ60" s="985"/>
      <c r="AR60" s="887"/>
      <c r="AS60" s="887"/>
      <c r="AT60" s="887"/>
      <c r="AU60" s="887"/>
      <c r="AV60" s="887"/>
      <c r="AW60" s="887"/>
      <c r="AX60" s="887"/>
      <c r="AY60" s="887"/>
      <c r="AZ60" s="887"/>
      <c r="BA60" s="887"/>
      <c r="BB60" s="887"/>
      <c r="BC60" s="45"/>
      <c r="BD60" s="277"/>
      <c r="BE60" s="277"/>
      <c r="BF60" s="49"/>
      <c r="BG60" s="887"/>
      <c r="BH60" s="887"/>
      <c r="BI60" s="49"/>
      <c r="BJ60" s="887"/>
      <c r="BK60" s="887"/>
      <c r="BL60" s="887"/>
      <c r="BM60" s="49"/>
      <c r="BN60" s="277"/>
      <c r="BO60" s="49"/>
      <c r="BP60" s="928"/>
      <c r="BQ60" s="928"/>
      <c r="BR60" s="928"/>
      <c r="BS60" s="928"/>
      <c r="BT60" s="928"/>
      <c r="BU60" s="928"/>
      <c r="BV60" s="928"/>
      <c r="BW60" s="928"/>
      <c r="BX60" s="928"/>
      <c r="BY60" s="928"/>
      <c r="BZ60" s="928"/>
      <c r="CA60" s="928"/>
      <c r="CB60" s="928"/>
      <c r="CC60" s="928"/>
      <c r="CD60" s="928"/>
      <c r="CE60" s="928"/>
      <c r="CF60" s="928"/>
      <c r="CG60" s="928"/>
    </row>
    <row r="61" spans="4:85" x14ac:dyDescent="0.25">
      <c r="D61" s="337"/>
      <c r="E61" s="336"/>
      <c r="F61" s="337"/>
      <c r="G61" s="336"/>
      <c r="H61" s="337"/>
      <c r="I61" s="336"/>
      <c r="J61" s="337"/>
      <c r="K61" s="340"/>
      <c r="L61" s="342"/>
      <c r="M61" s="337"/>
      <c r="N61" s="337"/>
      <c r="O61" s="337"/>
      <c r="P61" s="337"/>
      <c r="Q61" s="337" t="s">
        <v>16</v>
      </c>
      <c r="R61" s="339">
        <v>0.73860000000000003</v>
      </c>
      <c r="S61" s="337"/>
      <c r="T61" s="347">
        <v>0</v>
      </c>
      <c r="V61" s="176">
        <f t="shared" si="11"/>
        <v>0</v>
      </c>
      <c r="W61" s="176">
        <f>V61</f>
        <v>0</v>
      </c>
      <c r="X61" s="176">
        <f>W61-W61*Calculation_sheet!O$76</f>
        <v>0</v>
      </c>
      <c r="Y61" s="34">
        <f>X61/Calculation_sheet!M$67</f>
        <v>0</v>
      </c>
      <c r="Z61" s="176">
        <f ca="1">IF(AN61&gt;0,Y61*Calculation_sheet!C$87,0)</f>
        <v>0</v>
      </c>
      <c r="AA61" s="176">
        <f ca="1">Y61-Z61</f>
        <v>0</v>
      </c>
      <c r="AB61" s="176">
        <f ca="1">IF(AP61&gt;0,AA61*Calculation_sheet!C$94,0)</f>
        <v>0</v>
      </c>
      <c r="AC61" s="176">
        <f t="shared" ref="AC61:AE71" ca="1" si="74">AA61-AB61</f>
        <v>0</v>
      </c>
      <c r="AD61" s="958">
        <f ca="1">AC61*Calculation_sheet!C$99</f>
        <v>0</v>
      </c>
      <c r="AE61" s="176">
        <f t="shared" ca="1" si="74"/>
        <v>0</v>
      </c>
      <c r="AF61" s="176">
        <f ca="1">Y61-AB61</f>
        <v>0</v>
      </c>
      <c r="AG61" s="958">
        <f ca="1">AF61*User_sheet!B$77/100</f>
        <v>0</v>
      </c>
      <c r="AH61" s="313"/>
      <c r="AI61" s="883">
        <v>101</v>
      </c>
      <c r="AJ61" s="985"/>
      <c r="AK61" s="1020">
        <f t="shared" ca="1" si="15"/>
        <v>794.77110251697968</v>
      </c>
      <c r="AL61" s="954">
        <f ca="1">AK61/'101'!I$24</f>
        <v>2.2526244173064831</v>
      </c>
      <c r="AM61" s="954">
        <f ca="1">0.8*(AK61*30+'101'!D$17*0.34*30*1)</f>
        <v>22799.977308407513</v>
      </c>
      <c r="AN61" s="954">
        <f ca="1">IF(AM61&lt;User_sheet!B$50,Y61,0)</f>
        <v>0</v>
      </c>
      <c r="AO61" s="954">
        <f ca="1">20-(User_sheet!B$57/('Freestanding '!AK61+'101'!D$17*1*0.34))</f>
        <v>13.999994028522348</v>
      </c>
      <c r="AP61" s="954">
        <f ca="1">IF(AO61&lt;User_sheet!B$59,0,BC61*AA61)</f>
        <v>0</v>
      </c>
      <c r="AQ61" s="985"/>
      <c r="AR61" s="883">
        <v>14.1</v>
      </c>
      <c r="AS61" s="883">
        <v>3.7</v>
      </c>
      <c r="AT61" s="883">
        <v>0.89</v>
      </c>
      <c r="AU61" s="883">
        <v>2.75</v>
      </c>
      <c r="AV61" s="883">
        <v>3.3</v>
      </c>
      <c r="AW61" s="883">
        <v>7211.5338771527777</v>
      </c>
      <c r="AX61" s="883">
        <v>76466.30421774846</v>
      </c>
      <c r="AY61" s="883">
        <v>79015.992973719694</v>
      </c>
      <c r="AZ61" s="883">
        <v>0</v>
      </c>
      <c r="BA61" s="883">
        <v>0</v>
      </c>
      <c r="BB61" s="883">
        <v>0.6</v>
      </c>
      <c r="BC61" s="888">
        <v>1</v>
      </c>
      <c r="BD61" s="889">
        <v>0</v>
      </c>
      <c r="BE61" s="889">
        <v>0</v>
      </c>
      <c r="BF61" s="890">
        <v>0</v>
      </c>
      <c r="BG61" s="883">
        <v>1</v>
      </c>
      <c r="BH61" s="883">
        <v>0</v>
      </c>
      <c r="BI61" s="890">
        <v>0</v>
      </c>
      <c r="BJ61" s="883">
        <v>1</v>
      </c>
      <c r="BK61" s="883">
        <v>0</v>
      </c>
      <c r="BL61" s="883">
        <v>0</v>
      </c>
      <c r="BM61" s="890">
        <v>0</v>
      </c>
      <c r="BN61" s="958">
        <v>0</v>
      </c>
      <c r="BO61" s="959">
        <v>18</v>
      </c>
      <c r="BP61" s="1018">
        <f t="shared" ref="BP61:BP71" ca="1" si="75">INDIRECT("'"&amp;AI61&amp;"'!"&amp;"B2")</f>
        <v>181.084</v>
      </c>
      <c r="BQ61" s="1018">
        <f t="shared" ref="BQ61:BQ71" ca="1" si="76">INDIRECT("'"&amp;AI61&amp;"'!"&amp;"C12")+INDIRECT("'"&amp;AI61&amp;"'!"&amp;"C13")+INDIRECT("'"&amp;AI61&amp;"'!"&amp;"C14")+INDIRECT("'"&amp;AI61&amp;"'!"&amp;"C15")+INDIRECT("'"&amp;AI61&amp;"'!"&amp;"C17")</f>
        <v>302.464</v>
      </c>
      <c r="BR61" s="1018">
        <f t="shared" ref="BR61:BR71" ca="1" si="77">INDIRECT("'"&amp;AI61&amp;"'!"&amp;"G5")</f>
        <v>104.854</v>
      </c>
      <c r="BS61" s="1018">
        <f t="shared" ref="BS61:BS71" ca="1" si="78">INDIRECT("'"&amp;AI61&amp;"'!"&amp;"G4")</f>
        <v>129.21406907627619</v>
      </c>
      <c r="BT61" s="1018">
        <f t="shared" ref="BT61:BT71" ca="1" si="79">INDIRECT("'"&amp;AI61&amp;"'!"&amp;"G6")</f>
        <v>104.86</v>
      </c>
      <c r="BU61" s="1018">
        <f t="shared" ref="BU61:BU71" ca="1" si="80">INDIRECT("'"&amp;AI61&amp;"'!"&amp;"G2")</f>
        <v>14</v>
      </c>
      <c r="BV61" s="1018">
        <f t="shared" ref="BV61:BV71" ca="1" si="81">INDIRECT("'"&amp;AI61&amp;"'!"&amp;"G3")</f>
        <v>4.3</v>
      </c>
      <c r="BW61" s="1018">
        <v>0</v>
      </c>
      <c r="BX61" s="1018">
        <f t="shared" ref="BX61:BX71" ca="1" si="82">IF(BR61=0,0,1/(1/(BR61*$BY$3)+1/(BR61*AR61)+1/(BR61*$BY$4)))</f>
        <v>429.28031358885011</v>
      </c>
      <c r="BY61" s="1018">
        <f t="shared" ref="BY61:BY71" ca="1" si="83">IF(BS61=0,0,1/(1/(BS61*$BY$3)+1/(BS61*AS61)+1/(BS61*$BY$4)))</f>
        <v>291.28273085838049</v>
      </c>
      <c r="BZ61" s="1018">
        <f t="shared" ca="1" si="17"/>
        <v>26.681340533672177</v>
      </c>
      <c r="CA61" s="1018">
        <f t="shared" ca="1" si="18"/>
        <v>38.499999978825002</v>
      </c>
      <c r="CB61" s="1018">
        <f t="shared" ref="CB61:CB71" ca="1" si="84">IF(BV61=0,0,1/(1/(BV61*$BY$3)+1/(BV61*AV61)+1/(BV61*$BY$4)))</f>
        <v>9.0267175572519083</v>
      </c>
      <c r="CC61" s="1018">
        <f t="shared" si="19"/>
        <v>0</v>
      </c>
      <c r="CD61" s="1018">
        <f ca="1">SUM(BX61:CC61)+(BR61+BS61+BT61+BU61+BV61)*BN61</f>
        <v>794.77110251697968</v>
      </c>
      <c r="CE61" s="1018">
        <f ca="1">0.34*BO61*(1/25)^0.66*(BR61+BS61+BU61+BV61)</f>
        <v>184.56333165243285</v>
      </c>
      <c r="CF61" s="1018">
        <f t="shared" ca="1" si="22"/>
        <v>29.38003302508238</v>
      </c>
      <c r="CG61" s="1018">
        <f t="shared" ca="1" si="23"/>
        <v>48916.57978544115</v>
      </c>
    </row>
    <row r="62" spans="4:85" x14ac:dyDescent="0.25">
      <c r="D62" s="337"/>
      <c r="E62" s="336"/>
      <c r="F62" s="337"/>
      <c r="G62" s="336"/>
      <c r="H62" s="337"/>
      <c r="I62" s="336"/>
      <c r="J62" s="337"/>
      <c r="K62" s="340"/>
      <c r="L62" s="342"/>
      <c r="M62" s="337"/>
      <c r="N62" s="337"/>
      <c r="O62" s="337" t="s">
        <v>18</v>
      </c>
      <c r="P62" s="339">
        <v>0.62953995200000001</v>
      </c>
      <c r="Q62" s="337" t="s">
        <v>7</v>
      </c>
      <c r="R62" s="339">
        <v>0.26140000000000002</v>
      </c>
      <c r="S62" s="337"/>
      <c r="T62" s="347">
        <v>0</v>
      </c>
      <c r="V62" s="176">
        <f t="shared" si="11"/>
        <v>0</v>
      </c>
      <c r="W62" s="176">
        <f t="shared" ref="W62:W71" si="85">V62</f>
        <v>0</v>
      </c>
      <c r="X62" s="176">
        <f>W62-W62*Calculation_sheet!O$76</f>
        <v>0</v>
      </c>
      <c r="Y62" s="34">
        <f>X62/Calculation_sheet!M$67</f>
        <v>0</v>
      </c>
      <c r="Z62" s="176">
        <f ca="1">IF(AN62&gt;0,Y62*Calculation_sheet!C$87,0)</f>
        <v>0</v>
      </c>
      <c r="AA62" s="176">
        <f t="shared" ref="AA62:AA71" ca="1" si="86">Y62-Z62</f>
        <v>0</v>
      </c>
      <c r="AB62" s="176">
        <f ca="1">IF(AP62&gt;0,AA62*Calculation_sheet!C$94,0)</f>
        <v>0</v>
      </c>
      <c r="AC62" s="176">
        <f t="shared" ca="1" si="74"/>
        <v>0</v>
      </c>
      <c r="AD62" s="958">
        <f ca="1">AC62*Calculation_sheet!C$99</f>
        <v>0</v>
      </c>
      <c r="AE62" s="176">
        <f t="shared" ca="1" si="74"/>
        <v>0</v>
      </c>
      <c r="AF62" s="176">
        <f t="shared" ref="AF62:AF71" ca="1" si="87">Y62-AB62</f>
        <v>0</v>
      </c>
      <c r="AG62" s="958">
        <f ca="1">AF62*User_sheet!B$77/100</f>
        <v>0</v>
      </c>
      <c r="AH62" s="313"/>
      <c r="AI62" s="883">
        <v>101</v>
      </c>
      <c r="AJ62" s="985"/>
      <c r="AK62" s="1020">
        <f t="shared" ca="1" si="15"/>
        <v>794.77110251697968</v>
      </c>
      <c r="AL62" s="954">
        <f ca="1">AK62/'101'!I$24</f>
        <v>2.2526244173064831</v>
      </c>
      <c r="AM62" s="954">
        <f ca="1">0.8*(AK62*30+'101'!D$17*0.34*30*1)</f>
        <v>22799.977308407513</v>
      </c>
      <c r="AN62" s="954">
        <f ca="1">IF(AM62&lt;User_sheet!B$50,Y62,0)</f>
        <v>0</v>
      </c>
      <c r="AO62" s="954">
        <f ca="1">20-(User_sheet!B$57/('Freestanding '!AK62+'101'!D$17*1*0.34))</f>
        <v>13.999994028522348</v>
      </c>
      <c r="AP62" s="954">
        <f ca="1">IF(AO62&lt;User_sheet!B$59,0,BC62*AA62)</f>
        <v>0</v>
      </c>
      <c r="AQ62" s="985"/>
      <c r="AR62" s="883">
        <v>14.1</v>
      </c>
      <c r="AS62" s="883">
        <v>3.7</v>
      </c>
      <c r="AT62" s="883">
        <v>0.89</v>
      </c>
      <c r="AU62" s="883">
        <v>2.75</v>
      </c>
      <c r="AV62" s="883">
        <v>3.3</v>
      </c>
      <c r="AW62" s="883">
        <v>7211.5338771527777</v>
      </c>
      <c r="AX62" s="883">
        <v>76466.30421774846</v>
      </c>
      <c r="AY62" s="883">
        <v>79015.992973719694</v>
      </c>
      <c r="AZ62" s="883">
        <v>0</v>
      </c>
      <c r="BA62" s="883">
        <v>0</v>
      </c>
      <c r="BB62" s="883">
        <v>0.6</v>
      </c>
      <c r="BC62" s="888">
        <v>1</v>
      </c>
      <c r="BD62" s="889">
        <v>0</v>
      </c>
      <c r="BE62" s="889">
        <v>0</v>
      </c>
      <c r="BF62" s="890">
        <v>0</v>
      </c>
      <c r="BG62" s="883">
        <v>1</v>
      </c>
      <c r="BH62" s="883">
        <v>0</v>
      </c>
      <c r="BI62" s="890">
        <v>0</v>
      </c>
      <c r="BJ62" s="883">
        <v>0</v>
      </c>
      <c r="BK62" s="883">
        <v>0</v>
      </c>
      <c r="BL62" s="883">
        <v>1</v>
      </c>
      <c r="BM62" s="890">
        <v>0</v>
      </c>
      <c r="BN62" s="958">
        <v>0</v>
      </c>
      <c r="BO62" s="959">
        <v>18</v>
      </c>
      <c r="BP62" s="1018">
        <f t="shared" ca="1" si="75"/>
        <v>181.084</v>
      </c>
      <c r="BQ62" s="1018">
        <f t="shared" ca="1" si="76"/>
        <v>302.464</v>
      </c>
      <c r="BR62" s="1018">
        <f t="shared" ca="1" si="77"/>
        <v>104.854</v>
      </c>
      <c r="BS62" s="1018">
        <f t="shared" ca="1" si="78"/>
        <v>129.21406907627619</v>
      </c>
      <c r="BT62" s="1018">
        <f t="shared" ca="1" si="79"/>
        <v>104.86</v>
      </c>
      <c r="BU62" s="1018">
        <f t="shared" ca="1" si="80"/>
        <v>14</v>
      </c>
      <c r="BV62" s="1018">
        <f t="shared" ca="1" si="81"/>
        <v>4.3</v>
      </c>
      <c r="BW62" s="1018">
        <v>0</v>
      </c>
      <c r="BX62" s="1018">
        <f t="shared" ca="1" si="82"/>
        <v>429.28031358885011</v>
      </c>
      <c r="BY62" s="1018">
        <f t="shared" ca="1" si="83"/>
        <v>291.28273085838049</v>
      </c>
      <c r="BZ62" s="1018">
        <f t="shared" ca="1" si="17"/>
        <v>26.681340533672177</v>
      </c>
      <c r="CA62" s="1018">
        <f t="shared" ca="1" si="18"/>
        <v>38.499999978825002</v>
      </c>
      <c r="CB62" s="1018">
        <f t="shared" ca="1" si="84"/>
        <v>9.0267175572519083</v>
      </c>
      <c r="CC62" s="1018">
        <f t="shared" si="19"/>
        <v>0</v>
      </c>
      <c r="CD62" s="1018">
        <f t="shared" ref="CD62:CD71" ca="1" si="88">SUM(BX62:CC62)+(BR62+BS62+BT62+BU62+BV62)*BN62</f>
        <v>794.77110251697968</v>
      </c>
      <c r="CE62" s="1018">
        <f t="shared" ref="CE62:CE71" ca="1" si="89">0.34*BO62*(1/25)^0.66*(BR62+BS62+BU62+BV62)</f>
        <v>184.56333165243285</v>
      </c>
      <c r="CF62" s="1018">
        <f t="shared" ca="1" si="22"/>
        <v>29.38003302508238</v>
      </c>
      <c r="CG62" s="1018">
        <f t="shared" ca="1" si="23"/>
        <v>48916.57978544115</v>
      </c>
    </row>
    <row r="63" spans="4:85" x14ac:dyDescent="0.25">
      <c r="D63" s="337"/>
      <c r="E63" s="336"/>
      <c r="F63" s="337"/>
      <c r="G63" s="336"/>
      <c r="H63" s="337"/>
      <c r="I63" s="336"/>
      <c r="J63" s="337"/>
      <c r="K63" s="340"/>
      <c r="L63" s="342"/>
      <c r="M63" s="337"/>
      <c r="N63" s="337"/>
      <c r="O63" s="337"/>
      <c r="P63" s="337"/>
      <c r="Q63" s="337" t="s">
        <v>16</v>
      </c>
      <c r="R63" s="339">
        <v>0.73860000000000003</v>
      </c>
      <c r="S63" s="337"/>
      <c r="T63" s="347">
        <v>0</v>
      </c>
      <c r="V63" s="176">
        <f t="shared" si="11"/>
        <v>0</v>
      </c>
      <c r="W63" s="176">
        <f t="shared" si="85"/>
        <v>0</v>
      </c>
      <c r="X63" s="176">
        <f>W63-W63*Calculation_sheet!O$76</f>
        <v>0</v>
      </c>
      <c r="Y63" s="34">
        <f>X63/Calculation_sheet!M$67</f>
        <v>0</v>
      </c>
      <c r="Z63" s="176">
        <f ca="1">IF(AN63&gt;0,Y63*Calculation_sheet!C$87,0)</f>
        <v>0</v>
      </c>
      <c r="AA63" s="176">
        <f t="shared" ca="1" si="86"/>
        <v>0</v>
      </c>
      <c r="AB63" s="176">
        <f ca="1">IF(AP63&gt;0,AA63*Calculation_sheet!C$94,0)</f>
        <v>0</v>
      </c>
      <c r="AC63" s="176">
        <f t="shared" ca="1" si="74"/>
        <v>0</v>
      </c>
      <c r="AD63" s="958">
        <f ca="1">AC63*Calculation_sheet!C$99</f>
        <v>0</v>
      </c>
      <c r="AE63" s="176">
        <f t="shared" ca="1" si="74"/>
        <v>0</v>
      </c>
      <c r="AF63" s="176">
        <f t="shared" ca="1" si="87"/>
        <v>0</v>
      </c>
      <c r="AG63" s="958">
        <f ca="1">AF63*User_sheet!B$77/100</f>
        <v>0</v>
      </c>
      <c r="AH63" s="313"/>
      <c r="AI63" s="883">
        <v>101</v>
      </c>
      <c r="AJ63" s="985"/>
      <c r="AK63" s="1020">
        <f t="shared" ca="1" si="15"/>
        <v>794.77110251697968</v>
      </c>
      <c r="AL63" s="954">
        <f ca="1">AK63/'101'!I$24</f>
        <v>2.2526244173064831</v>
      </c>
      <c r="AM63" s="954">
        <f ca="1">0.8*(AK63*30+'101'!D$17*0.34*30*1)</f>
        <v>22799.977308407513</v>
      </c>
      <c r="AN63" s="954">
        <f ca="1">IF(AM63&lt;User_sheet!B$50,Y63,0)</f>
        <v>0</v>
      </c>
      <c r="AO63" s="954">
        <f ca="1">20-(User_sheet!B$57/('Freestanding '!AK63+'101'!D$17*1*0.34))</f>
        <v>13.999994028522348</v>
      </c>
      <c r="AP63" s="954">
        <f ca="1">IF(AO63&lt;User_sheet!B$59,0,BC63*AA63)</f>
        <v>0</v>
      </c>
      <c r="AQ63" s="985"/>
      <c r="AR63" s="883">
        <v>14.1</v>
      </c>
      <c r="AS63" s="883">
        <v>3.7</v>
      </c>
      <c r="AT63" s="883">
        <v>0.89</v>
      </c>
      <c r="AU63" s="883">
        <v>2.75</v>
      </c>
      <c r="AV63" s="883">
        <v>3.3</v>
      </c>
      <c r="AW63" s="883">
        <v>7211.5338771527777</v>
      </c>
      <c r="AX63" s="883">
        <v>76466.30421774846</v>
      </c>
      <c r="AY63" s="883">
        <v>79015.992973719694</v>
      </c>
      <c r="AZ63" s="883">
        <v>0</v>
      </c>
      <c r="BA63" s="883">
        <v>0</v>
      </c>
      <c r="BB63" s="883">
        <v>0.6</v>
      </c>
      <c r="BC63" s="888">
        <v>1</v>
      </c>
      <c r="BD63" s="889">
        <v>0</v>
      </c>
      <c r="BE63" s="889">
        <v>0</v>
      </c>
      <c r="BF63" s="890">
        <v>0</v>
      </c>
      <c r="BG63" s="883">
        <v>0</v>
      </c>
      <c r="BH63" s="883">
        <v>1</v>
      </c>
      <c r="BI63" s="890">
        <v>0</v>
      </c>
      <c r="BJ63" s="883">
        <v>1</v>
      </c>
      <c r="BK63" s="883">
        <v>0</v>
      </c>
      <c r="BL63" s="883">
        <v>0</v>
      </c>
      <c r="BM63" s="890">
        <v>0</v>
      </c>
      <c r="BN63" s="958">
        <v>0</v>
      </c>
      <c r="BO63" s="959">
        <v>18</v>
      </c>
      <c r="BP63" s="1018">
        <f t="shared" ca="1" si="75"/>
        <v>181.084</v>
      </c>
      <c r="BQ63" s="1018">
        <f t="shared" ca="1" si="76"/>
        <v>302.464</v>
      </c>
      <c r="BR63" s="1018">
        <f t="shared" ca="1" si="77"/>
        <v>104.854</v>
      </c>
      <c r="BS63" s="1018">
        <f t="shared" ca="1" si="78"/>
        <v>129.21406907627619</v>
      </c>
      <c r="BT63" s="1018">
        <f t="shared" ca="1" si="79"/>
        <v>104.86</v>
      </c>
      <c r="BU63" s="1018">
        <f t="shared" ca="1" si="80"/>
        <v>14</v>
      </c>
      <c r="BV63" s="1018">
        <f t="shared" ca="1" si="81"/>
        <v>4.3</v>
      </c>
      <c r="BW63" s="1018">
        <v>0</v>
      </c>
      <c r="BX63" s="1018">
        <f t="shared" ca="1" si="82"/>
        <v>429.28031358885011</v>
      </c>
      <c r="BY63" s="1018">
        <f t="shared" ca="1" si="83"/>
        <v>291.28273085838049</v>
      </c>
      <c r="BZ63" s="1018">
        <f t="shared" ca="1" si="17"/>
        <v>26.681340533672177</v>
      </c>
      <c r="CA63" s="1018">
        <f t="shared" ca="1" si="18"/>
        <v>38.499999978825002</v>
      </c>
      <c r="CB63" s="1018">
        <f t="shared" ca="1" si="84"/>
        <v>9.0267175572519083</v>
      </c>
      <c r="CC63" s="1018">
        <f t="shared" si="19"/>
        <v>0</v>
      </c>
      <c r="CD63" s="1018">
        <f t="shared" ca="1" si="88"/>
        <v>794.77110251697968</v>
      </c>
      <c r="CE63" s="1018">
        <f t="shared" ca="1" si="89"/>
        <v>184.56333165243285</v>
      </c>
      <c r="CF63" s="1018">
        <f t="shared" ca="1" si="22"/>
        <v>29.38003302508238</v>
      </c>
      <c r="CG63" s="1018">
        <f t="shared" ca="1" si="23"/>
        <v>48916.57978544115</v>
      </c>
    </row>
    <row r="64" spans="4:85" x14ac:dyDescent="0.25">
      <c r="D64" s="337"/>
      <c r="E64" s="336"/>
      <c r="F64" s="337"/>
      <c r="G64" s="336"/>
      <c r="H64" s="337"/>
      <c r="I64" s="336"/>
      <c r="J64" s="337"/>
      <c r="K64" s="340"/>
      <c r="L64" s="342"/>
      <c r="M64" s="337" t="s">
        <v>16</v>
      </c>
      <c r="N64" s="339">
        <v>0.44680851100000002</v>
      </c>
      <c r="O64" s="337" t="s">
        <v>19</v>
      </c>
      <c r="P64" s="339">
        <v>0.37046004799999999</v>
      </c>
      <c r="Q64" s="337" t="s">
        <v>7</v>
      </c>
      <c r="R64" s="339">
        <v>0.26140000000000002</v>
      </c>
      <c r="S64" s="337"/>
      <c r="T64" s="347">
        <v>0</v>
      </c>
      <c r="V64" s="176">
        <f t="shared" si="11"/>
        <v>0</v>
      </c>
      <c r="W64" s="176">
        <f t="shared" si="85"/>
        <v>0</v>
      </c>
      <c r="X64" s="176">
        <f>W64-W64*Calculation_sheet!O$76</f>
        <v>0</v>
      </c>
      <c r="Y64" s="34">
        <f>X64/Calculation_sheet!M$67</f>
        <v>0</v>
      </c>
      <c r="Z64" s="176">
        <f ca="1">IF(AN64&gt;0,Y64*Calculation_sheet!C$87,0)</f>
        <v>0</v>
      </c>
      <c r="AA64" s="176">
        <f t="shared" ca="1" si="86"/>
        <v>0</v>
      </c>
      <c r="AB64" s="176">
        <f ca="1">IF(AP64&gt;0,AA64*Calculation_sheet!C$94,0)</f>
        <v>0</v>
      </c>
      <c r="AC64" s="176">
        <f t="shared" ca="1" si="74"/>
        <v>0</v>
      </c>
      <c r="AD64" s="958">
        <f ca="1">AC64*Calculation_sheet!C$99</f>
        <v>0</v>
      </c>
      <c r="AE64" s="176">
        <f t="shared" ca="1" si="74"/>
        <v>0</v>
      </c>
      <c r="AF64" s="176">
        <f t="shared" ca="1" si="87"/>
        <v>0</v>
      </c>
      <c r="AG64" s="958">
        <f ca="1">AF64*User_sheet!B$77/100</f>
        <v>0</v>
      </c>
      <c r="AH64" s="313"/>
      <c r="AI64" s="883">
        <v>101</v>
      </c>
      <c r="AJ64" s="985"/>
      <c r="AK64" s="1020">
        <f t="shared" ca="1" si="15"/>
        <v>794.77110251697968</v>
      </c>
      <c r="AL64" s="954">
        <f ca="1">AK64/'101'!I$24</f>
        <v>2.2526244173064831</v>
      </c>
      <c r="AM64" s="954">
        <f ca="1">0.8*(AK64*30+'101'!D$17*0.34*30*1)</f>
        <v>22799.977308407513</v>
      </c>
      <c r="AN64" s="954">
        <f ca="1">IF(AM64&lt;User_sheet!B$50,Y64,0)</f>
        <v>0</v>
      </c>
      <c r="AO64" s="954">
        <f ca="1">20-(User_sheet!B$57/('Freestanding '!AK64+'101'!D$17*1*0.34))</f>
        <v>13.999994028522348</v>
      </c>
      <c r="AP64" s="954">
        <f ca="1">IF(AO64&lt;User_sheet!B$59,0,BC64*AA64)</f>
        <v>0</v>
      </c>
      <c r="AQ64" s="985"/>
      <c r="AR64" s="883">
        <v>14.1</v>
      </c>
      <c r="AS64" s="883">
        <v>3.7</v>
      </c>
      <c r="AT64" s="883">
        <v>0.89</v>
      </c>
      <c r="AU64" s="883">
        <v>2.75</v>
      </c>
      <c r="AV64" s="883">
        <v>3.3</v>
      </c>
      <c r="AW64" s="883">
        <v>7211.5338771527777</v>
      </c>
      <c r="AX64" s="883">
        <v>76466.30421774846</v>
      </c>
      <c r="AY64" s="883">
        <v>79015.992973719694</v>
      </c>
      <c r="AZ64" s="883">
        <v>0</v>
      </c>
      <c r="BA64" s="883">
        <v>0</v>
      </c>
      <c r="BB64" s="883">
        <v>0.6</v>
      </c>
      <c r="BC64" s="888">
        <v>1</v>
      </c>
      <c r="BD64" s="889">
        <v>0</v>
      </c>
      <c r="BE64" s="889">
        <v>0</v>
      </c>
      <c r="BF64" s="890">
        <v>0</v>
      </c>
      <c r="BG64" s="883">
        <v>0</v>
      </c>
      <c r="BH64" s="883">
        <v>1</v>
      </c>
      <c r="BI64" s="890">
        <v>0</v>
      </c>
      <c r="BJ64" s="883">
        <v>0</v>
      </c>
      <c r="BK64" s="883">
        <v>0</v>
      </c>
      <c r="BL64" s="883">
        <v>1</v>
      </c>
      <c r="BM64" s="890">
        <v>0</v>
      </c>
      <c r="BN64" s="958">
        <v>0</v>
      </c>
      <c r="BO64" s="959">
        <v>18</v>
      </c>
      <c r="BP64" s="1018">
        <f t="shared" ca="1" si="75"/>
        <v>181.084</v>
      </c>
      <c r="BQ64" s="1018">
        <f t="shared" ca="1" si="76"/>
        <v>302.464</v>
      </c>
      <c r="BR64" s="1018">
        <f t="shared" ca="1" si="77"/>
        <v>104.854</v>
      </c>
      <c r="BS64" s="1018">
        <f t="shared" ca="1" si="78"/>
        <v>129.21406907627619</v>
      </c>
      <c r="BT64" s="1018">
        <f t="shared" ca="1" si="79"/>
        <v>104.86</v>
      </c>
      <c r="BU64" s="1018">
        <f t="shared" ca="1" si="80"/>
        <v>14</v>
      </c>
      <c r="BV64" s="1018">
        <f t="shared" ca="1" si="81"/>
        <v>4.3</v>
      </c>
      <c r="BW64" s="1018">
        <v>0</v>
      </c>
      <c r="BX64" s="1018">
        <f t="shared" ca="1" si="82"/>
        <v>429.28031358885011</v>
      </c>
      <c r="BY64" s="1018">
        <f t="shared" ca="1" si="83"/>
        <v>291.28273085838049</v>
      </c>
      <c r="BZ64" s="1018">
        <f t="shared" ca="1" si="17"/>
        <v>26.681340533672177</v>
      </c>
      <c r="CA64" s="1018">
        <f t="shared" ca="1" si="18"/>
        <v>38.499999978825002</v>
      </c>
      <c r="CB64" s="1018">
        <f t="shared" ca="1" si="84"/>
        <v>9.0267175572519083</v>
      </c>
      <c r="CC64" s="1018">
        <f t="shared" si="19"/>
        <v>0</v>
      </c>
      <c r="CD64" s="1018">
        <f t="shared" ca="1" si="88"/>
        <v>794.77110251697968</v>
      </c>
      <c r="CE64" s="1018">
        <f t="shared" ca="1" si="89"/>
        <v>184.56333165243285</v>
      </c>
      <c r="CF64" s="1018">
        <f t="shared" ca="1" si="22"/>
        <v>29.38003302508238</v>
      </c>
      <c r="CG64" s="1018">
        <f t="shared" ca="1" si="23"/>
        <v>48916.57978544115</v>
      </c>
    </row>
    <row r="65" spans="3:85" x14ac:dyDescent="0.25">
      <c r="C65" s="336"/>
      <c r="D65" s="337"/>
      <c r="E65" s="336"/>
      <c r="F65" s="337"/>
      <c r="G65" s="336"/>
      <c r="H65" s="337"/>
      <c r="I65" s="336"/>
      <c r="J65" s="337"/>
      <c r="K65" s="340"/>
      <c r="L65" s="342"/>
      <c r="M65" s="337"/>
      <c r="N65" s="337"/>
      <c r="O65" s="337"/>
      <c r="P65" s="337"/>
      <c r="Q65" s="337" t="s">
        <v>22</v>
      </c>
      <c r="R65" s="339">
        <v>0.53710000000000002</v>
      </c>
      <c r="S65" s="337"/>
      <c r="T65" s="347">
        <v>0</v>
      </c>
      <c r="V65" s="176">
        <f t="shared" si="11"/>
        <v>0</v>
      </c>
      <c r="W65" s="176">
        <f t="shared" si="85"/>
        <v>0</v>
      </c>
      <c r="X65" s="176">
        <f>W65-W65*Calculation_sheet!O$76</f>
        <v>0</v>
      </c>
      <c r="Y65" s="34">
        <f>X65/Calculation_sheet!M$67</f>
        <v>0</v>
      </c>
      <c r="Z65" s="176">
        <f ca="1">IF(AN65&gt;0,Y65*Calculation_sheet!C$87,0)</f>
        <v>0</v>
      </c>
      <c r="AA65" s="176">
        <f t="shared" ca="1" si="86"/>
        <v>0</v>
      </c>
      <c r="AB65" s="176">
        <f ca="1">IF(AP65&gt;0,AA65*Calculation_sheet!C$94,0)</f>
        <v>0</v>
      </c>
      <c r="AC65" s="176">
        <f t="shared" ca="1" si="74"/>
        <v>0</v>
      </c>
      <c r="AD65" s="958">
        <f ca="1">AC65*Calculation_sheet!C$99</f>
        <v>0</v>
      </c>
      <c r="AE65" s="176">
        <f t="shared" ca="1" si="74"/>
        <v>0</v>
      </c>
      <c r="AF65" s="176">
        <f t="shared" ca="1" si="87"/>
        <v>0</v>
      </c>
      <c r="AG65" s="958">
        <f ca="1">AF65*User_sheet!B$77/100</f>
        <v>0</v>
      </c>
      <c r="AH65" s="313"/>
      <c r="AI65" s="883">
        <v>101</v>
      </c>
      <c r="AJ65" s="985"/>
      <c r="AK65" s="1020">
        <f t="shared" ca="1" si="15"/>
        <v>794.77110251697968</v>
      </c>
      <c r="AL65" s="954">
        <f ca="1">AK65/'101'!I$24</f>
        <v>2.2526244173064831</v>
      </c>
      <c r="AM65" s="954">
        <f ca="1">0.8*(AK65*30+'101'!D$17*0.34*30*1)</f>
        <v>22799.977308407513</v>
      </c>
      <c r="AN65" s="954">
        <f ca="1">IF(AM65&lt;User_sheet!B$50,Y65,0)</f>
        <v>0</v>
      </c>
      <c r="AO65" s="954">
        <f ca="1">20-(User_sheet!B$57/('Freestanding '!AK65+'101'!D$17*1*0.34))</f>
        <v>13.999994028522348</v>
      </c>
      <c r="AP65" s="954">
        <f ca="1">IF(AO65&lt;User_sheet!B$59,0,BC65*AA65)</f>
        <v>0</v>
      </c>
      <c r="AQ65" s="985"/>
      <c r="AR65" s="883">
        <v>14.1</v>
      </c>
      <c r="AS65" s="883">
        <v>3.7</v>
      </c>
      <c r="AT65" s="883">
        <v>0.89</v>
      </c>
      <c r="AU65" s="883">
        <v>2.75</v>
      </c>
      <c r="AV65" s="883">
        <v>3.3</v>
      </c>
      <c r="AW65" s="883">
        <v>7211.5338771527777</v>
      </c>
      <c r="AX65" s="883">
        <v>76466.30421774846</v>
      </c>
      <c r="AY65" s="883">
        <v>79015.992973719694</v>
      </c>
      <c r="AZ65" s="883">
        <v>0</v>
      </c>
      <c r="BA65" s="883">
        <v>0</v>
      </c>
      <c r="BB65" s="883">
        <v>0.6</v>
      </c>
      <c r="BC65" s="888">
        <v>0</v>
      </c>
      <c r="BD65" s="889">
        <v>1</v>
      </c>
      <c r="BE65" s="889">
        <v>0</v>
      </c>
      <c r="BF65" s="890">
        <v>0</v>
      </c>
      <c r="BG65" s="883">
        <v>1</v>
      </c>
      <c r="BH65" s="883">
        <v>0</v>
      </c>
      <c r="BI65" s="890">
        <v>0</v>
      </c>
      <c r="BJ65" s="883">
        <v>0</v>
      </c>
      <c r="BK65" s="883">
        <v>1</v>
      </c>
      <c r="BL65" s="883">
        <v>0</v>
      </c>
      <c r="BM65" s="890">
        <v>0</v>
      </c>
      <c r="BN65" s="958">
        <v>0</v>
      </c>
      <c r="BO65" s="959">
        <v>18</v>
      </c>
      <c r="BP65" s="1018">
        <f t="shared" ca="1" si="75"/>
        <v>181.084</v>
      </c>
      <c r="BQ65" s="1018">
        <f t="shared" ca="1" si="76"/>
        <v>302.464</v>
      </c>
      <c r="BR65" s="1018">
        <f t="shared" ca="1" si="77"/>
        <v>104.854</v>
      </c>
      <c r="BS65" s="1018">
        <f t="shared" ca="1" si="78"/>
        <v>129.21406907627619</v>
      </c>
      <c r="BT65" s="1018">
        <f t="shared" ca="1" si="79"/>
        <v>104.86</v>
      </c>
      <c r="BU65" s="1018">
        <f t="shared" ca="1" si="80"/>
        <v>14</v>
      </c>
      <c r="BV65" s="1018">
        <f t="shared" ca="1" si="81"/>
        <v>4.3</v>
      </c>
      <c r="BW65" s="1018">
        <v>0</v>
      </c>
      <c r="BX65" s="1018">
        <f t="shared" ca="1" si="82"/>
        <v>429.28031358885011</v>
      </c>
      <c r="BY65" s="1018">
        <f t="shared" ca="1" si="83"/>
        <v>291.28273085838049</v>
      </c>
      <c r="BZ65" s="1018">
        <f t="shared" ca="1" si="17"/>
        <v>26.681340533672177</v>
      </c>
      <c r="CA65" s="1018">
        <f t="shared" ca="1" si="18"/>
        <v>38.499999978825002</v>
      </c>
      <c r="CB65" s="1018">
        <f t="shared" ca="1" si="84"/>
        <v>9.0267175572519083</v>
      </c>
      <c r="CC65" s="1018">
        <f t="shared" si="19"/>
        <v>0</v>
      </c>
      <c r="CD65" s="1018">
        <f t="shared" ca="1" si="88"/>
        <v>794.77110251697968</v>
      </c>
      <c r="CE65" s="1018">
        <f t="shared" ca="1" si="89"/>
        <v>184.56333165243285</v>
      </c>
      <c r="CF65" s="1018">
        <f t="shared" ca="1" si="22"/>
        <v>29.38003302508238</v>
      </c>
      <c r="CG65" s="1018">
        <f t="shared" ca="1" si="23"/>
        <v>48916.57978544115</v>
      </c>
    </row>
    <row r="66" spans="3:85" x14ac:dyDescent="0.25">
      <c r="C66" s="336"/>
      <c r="D66" s="337"/>
      <c r="E66" s="336"/>
      <c r="F66" s="337"/>
      <c r="G66" s="336"/>
      <c r="H66" s="337"/>
      <c r="I66" s="336"/>
      <c r="J66" s="337"/>
      <c r="K66" s="340"/>
      <c r="L66" s="342"/>
      <c r="M66" s="337"/>
      <c r="N66" s="337"/>
      <c r="O66" s="337" t="s">
        <v>18</v>
      </c>
      <c r="P66" s="339">
        <v>0.80827067699999999</v>
      </c>
      <c r="Q66" s="337" t="s">
        <v>7</v>
      </c>
      <c r="R66" s="339">
        <v>0.46289999999999998</v>
      </c>
      <c r="S66" s="337"/>
      <c r="T66" s="347">
        <v>0</v>
      </c>
      <c r="V66" s="176">
        <f t="shared" si="11"/>
        <v>0</v>
      </c>
      <c r="W66" s="176">
        <f t="shared" si="85"/>
        <v>0</v>
      </c>
      <c r="X66" s="176">
        <f>W66-W66*Calculation_sheet!O$76</f>
        <v>0</v>
      </c>
      <c r="Y66" s="34">
        <f>X66/Calculation_sheet!M$67</f>
        <v>0</v>
      </c>
      <c r="Z66" s="176">
        <f ca="1">IF(AN66&gt;0,Y66*Calculation_sheet!C$87,0)</f>
        <v>0</v>
      </c>
      <c r="AA66" s="176">
        <f t="shared" ca="1" si="86"/>
        <v>0</v>
      </c>
      <c r="AB66" s="176">
        <f ca="1">IF(AP66&gt;0,AA66*Calculation_sheet!C$94,0)</f>
        <v>0</v>
      </c>
      <c r="AC66" s="176">
        <f t="shared" ca="1" si="74"/>
        <v>0</v>
      </c>
      <c r="AD66" s="958">
        <f ca="1">AC66*Calculation_sheet!C$99</f>
        <v>0</v>
      </c>
      <c r="AE66" s="176">
        <f t="shared" ca="1" si="74"/>
        <v>0</v>
      </c>
      <c r="AF66" s="176">
        <f t="shared" ca="1" si="87"/>
        <v>0</v>
      </c>
      <c r="AG66" s="958">
        <f ca="1">AF66*User_sheet!B$77/100</f>
        <v>0</v>
      </c>
      <c r="AH66" s="313"/>
      <c r="AI66" s="883">
        <v>101</v>
      </c>
      <c r="AJ66" s="985"/>
      <c r="AK66" s="1020">
        <f t="shared" ca="1" si="15"/>
        <v>794.77110251697968</v>
      </c>
      <c r="AL66" s="954">
        <f ca="1">AK66/'101'!I$24</f>
        <v>2.2526244173064831</v>
      </c>
      <c r="AM66" s="954">
        <f ca="1">0.8*(AK66*30+'101'!D$17*0.34*30*1)</f>
        <v>22799.977308407513</v>
      </c>
      <c r="AN66" s="954">
        <f ca="1">IF(AM66&lt;User_sheet!B$50,Y66,0)</f>
        <v>0</v>
      </c>
      <c r="AO66" s="954">
        <f ca="1">20-(User_sheet!B$57/('Freestanding '!AK66+'101'!D$17*1*0.34))</f>
        <v>13.999994028522348</v>
      </c>
      <c r="AP66" s="954">
        <f ca="1">IF(AO66&lt;User_sheet!B$59,0,BC66*AA66)</f>
        <v>0</v>
      </c>
      <c r="AQ66" s="985"/>
      <c r="AR66" s="883">
        <v>14.1</v>
      </c>
      <c r="AS66" s="883">
        <v>3.7</v>
      </c>
      <c r="AT66" s="883">
        <v>0.89</v>
      </c>
      <c r="AU66" s="883">
        <v>2.75</v>
      </c>
      <c r="AV66" s="883">
        <v>3.3</v>
      </c>
      <c r="AW66" s="883">
        <v>7211.5338771527777</v>
      </c>
      <c r="AX66" s="883">
        <v>76466.30421774846</v>
      </c>
      <c r="AY66" s="883">
        <v>79015.992973719694</v>
      </c>
      <c r="AZ66" s="883">
        <v>0</v>
      </c>
      <c r="BA66" s="883">
        <v>0</v>
      </c>
      <c r="BB66" s="883">
        <v>0.6</v>
      </c>
      <c r="BC66" s="888">
        <v>0</v>
      </c>
      <c r="BD66" s="889">
        <v>1</v>
      </c>
      <c r="BE66" s="889">
        <v>0</v>
      </c>
      <c r="BF66" s="890">
        <v>0</v>
      </c>
      <c r="BG66" s="883">
        <v>1</v>
      </c>
      <c r="BH66" s="883">
        <v>0</v>
      </c>
      <c r="BI66" s="890">
        <v>0</v>
      </c>
      <c r="BJ66" s="883">
        <v>0</v>
      </c>
      <c r="BK66" s="883">
        <v>0</v>
      </c>
      <c r="BL66" s="883">
        <v>1</v>
      </c>
      <c r="BM66" s="890">
        <v>0</v>
      </c>
      <c r="BN66" s="958">
        <v>0</v>
      </c>
      <c r="BO66" s="959">
        <v>18</v>
      </c>
      <c r="BP66" s="1018">
        <f t="shared" ca="1" si="75"/>
        <v>181.084</v>
      </c>
      <c r="BQ66" s="1018">
        <f t="shared" ca="1" si="76"/>
        <v>302.464</v>
      </c>
      <c r="BR66" s="1018">
        <f t="shared" ca="1" si="77"/>
        <v>104.854</v>
      </c>
      <c r="BS66" s="1018">
        <f t="shared" ca="1" si="78"/>
        <v>129.21406907627619</v>
      </c>
      <c r="BT66" s="1018">
        <f t="shared" ca="1" si="79"/>
        <v>104.86</v>
      </c>
      <c r="BU66" s="1018">
        <f t="shared" ca="1" si="80"/>
        <v>14</v>
      </c>
      <c r="BV66" s="1018">
        <f t="shared" ca="1" si="81"/>
        <v>4.3</v>
      </c>
      <c r="BW66" s="1018">
        <v>0</v>
      </c>
      <c r="BX66" s="1018">
        <f t="shared" ca="1" si="82"/>
        <v>429.28031358885011</v>
      </c>
      <c r="BY66" s="1018">
        <f t="shared" ca="1" si="83"/>
        <v>291.28273085838049</v>
      </c>
      <c r="BZ66" s="1018">
        <f t="shared" ca="1" si="17"/>
        <v>26.681340533672177</v>
      </c>
      <c r="CA66" s="1018">
        <f t="shared" ca="1" si="18"/>
        <v>38.499999978825002</v>
      </c>
      <c r="CB66" s="1018">
        <f t="shared" ca="1" si="84"/>
        <v>9.0267175572519083</v>
      </c>
      <c r="CC66" s="1018">
        <f t="shared" si="19"/>
        <v>0</v>
      </c>
      <c r="CD66" s="1018">
        <f t="shared" ca="1" si="88"/>
        <v>794.77110251697968</v>
      </c>
      <c r="CE66" s="1018">
        <f t="shared" ca="1" si="89"/>
        <v>184.56333165243285</v>
      </c>
      <c r="CF66" s="1018">
        <f t="shared" ca="1" si="22"/>
        <v>29.38003302508238</v>
      </c>
      <c r="CG66" s="1018">
        <f t="shared" ca="1" si="23"/>
        <v>48916.57978544115</v>
      </c>
    </row>
    <row r="67" spans="3:85" x14ac:dyDescent="0.25">
      <c r="C67" s="336"/>
      <c r="D67" s="337"/>
      <c r="E67" s="336"/>
      <c r="F67" s="337"/>
      <c r="G67" s="336"/>
      <c r="H67" s="337"/>
      <c r="I67" s="336"/>
      <c r="J67" s="337"/>
      <c r="K67" s="340"/>
      <c r="L67" s="342"/>
      <c r="M67" s="337"/>
      <c r="N67" s="337"/>
      <c r="O67" s="337"/>
      <c r="P67" s="337"/>
      <c r="Q67" s="337" t="s">
        <v>22</v>
      </c>
      <c r="R67" s="339">
        <v>0.53710000000000002</v>
      </c>
      <c r="S67" s="337"/>
      <c r="T67" s="347">
        <v>0</v>
      </c>
      <c r="V67" s="176">
        <f t="shared" si="11"/>
        <v>0</v>
      </c>
      <c r="W67" s="176">
        <f t="shared" si="85"/>
        <v>0</v>
      </c>
      <c r="X67" s="176">
        <f>W67-W67*Calculation_sheet!O$76</f>
        <v>0</v>
      </c>
      <c r="Y67" s="34">
        <f>X67/Calculation_sheet!M$67</f>
        <v>0</v>
      </c>
      <c r="Z67" s="176">
        <f ca="1">IF(AN67&gt;0,Y67*Calculation_sheet!C$87,0)</f>
        <v>0</v>
      </c>
      <c r="AA67" s="176">
        <f t="shared" ca="1" si="86"/>
        <v>0</v>
      </c>
      <c r="AB67" s="176">
        <f ca="1">IF(AP67&gt;0,AA67*Calculation_sheet!C$94,0)</f>
        <v>0</v>
      </c>
      <c r="AC67" s="176">
        <f t="shared" ca="1" si="74"/>
        <v>0</v>
      </c>
      <c r="AD67" s="958">
        <f ca="1">AC67*Calculation_sheet!C$99</f>
        <v>0</v>
      </c>
      <c r="AE67" s="176">
        <f t="shared" ca="1" si="74"/>
        <v>0</v>
      </c>
      <c r="AF67" s="176">
        <f t="shared" ca="1" si="87"/>
        <v>0</v>
      </c>
      <c r="AG67" s="958">
        <f ca="1">AF67*User_sheet!B$77/100</f>
        <v>0</v>
      </c>
      <c r="AH67" s="313"/>
      <c r="AI67" s="883">
        <v>101</v>
      </c>
      <c r="AJ67" s="985"/>
      <c r="AK67" s="1020">
        <f t="shared" ca="1" si="15"/>
        <v>794.77110251697968</v>
      </c>
      <c r="AL67" s="954">
        <f ca="1">AK67/'101'!I$24</f>
        <v>2.2526244173064831</v>
      </c>
      <c r="AM67" s="954">
        <f ca="1">0.8*(AK67*30+'101'!D$17*0.34*30*1)</f>
        <v>22799.977308407513</v>
      </c>
      <c r="AN67" s="954">
        <f ca="1">IF(AM67&lt;User_sheet!B$50,Y67,0)</f>
        <v>0</v>
      </c>
      <c r="AO67" s="954">
        <f ca="1">20-(User_sheet!B$57/('Freestanding '!AK67+'101'!D$17*1*0.34))</f>
        <v>13.999994028522348</v>
      </c>
      <c r="AP67" s="954">
        <f ca="1">IF(AO67&lt;User_sheet!B$59,0,BC67*AA67)</f>
        <v>0</v>
      </c>
      <c r="AQ67" s="985"/>
      <c r="AR67" s="883">
        <v>14.1</v>
      </c>
      <c r="AS67" s="883">
        <v>3.7</v>
      </c>
      <c r="AT67" s="883">
        <v>0.89</v>
      </c>
      <c r="AU67" s="883">
        <v>2.75</v>
      </c>
      <c r="AV67" s="883">
        <v>3.3</v>
      </c>
      <c r="AW67" s="883">
        <v>7211.5338771527777</v>
      </c>
      <c r="AX67" s="883">
        <v>76466.30421774846</v>
      </c>
      <c r="AY67" s="883">
        <v>79015.992973719694</v>
      </c>
      <c r="AZ67" s="883">
        <v>0</v>
      </c>
      <c r="BA67" s="883">
        <v>0</v>
      </c>
      <c r="BB67" s="883">
        <v>0.6</v>
      </c>
      <c r="BC67" s="888">
        <v>0</v>
      </c>
      <c r="BD67" s="889">
        <v>1</v>
      </c>
      <c r="BE67" s="889">
        <v>0</v>
      </c>
      <c r="BF67" s="890">
        <v>0</v>
      </c>
      <c r="BG67" s="883">
        <v>0</v>
      </c>
      <c r="BH67" s="883">
        <v>1</v>
      </c>
      <c r="BI67" s="890">
        <v>0</v>
      </c>
      <c r="BJ67" s="883">
        <v>0</v>
      </c>
      <c r="BK67" s="883">
        <v>1</v>
      </c>
      <c r="BL67" s="883">
        <v>0</v>
      </c>
      <c r="BM67" s="890">
        <v>0</v>
      </c>
      <c r="BN67" s="958">
        <v>0</v>
      </c>
      <c r="BO67" s="959">
        <v>18</v>
      </c>
      <c r="BP67" s="1018">
        <f t="shared" ca="1" si="75"/>
        <v>181.084</v>
      </c>
      <c r="BQ67" s="1018">
        <f t="shared" ca="1" si="76"/>
        <v>302.464</v>
      </c>
      <c r="BR67" s="1018">
        <f t="shared" ca="1" si="77"/>
        <v>104.854</v>
      </c>
      <c r="BS67" s="1018">
        <f t="shared" ca="1" si="78"/>
        <v>129.21406907627619</v>
      </c>
      <c r="BT67" s="1018">
        <f t="shared" ca="1" si="79"/>
        <v>104.86</v>
      </c>
      <c r="BU67" s="1018">
        <f t="shared" ca="1" si="80"/>
        <v>14</v>
      </c>
      <c r="BV67" s="1018">
        <f t="shared" ca="1" si="81"/>
        <v>4.3</v>
      </c>
      <c r="BW67" s="1018">
        <v>0</v>
      </c>
      <c r="BX67" s="1018">
        <f t="shared" ca="1" si="82"/>
        <v>429.28031358885011</v>
      </c>
      <c r="BY67" s="1018">
        <f t="shared" ca="1" si="83"/>
        <v>291.28273085838049</v>
      </c>
      <c r="BZ67" s="1018">
        <f t="shared" ca="1" si="17"/>
        <v>26.681340533672177</v>
      </c>
      <c r="CA67" s="1018">
        <f t="shared" ca="1" si="18"/>
        <v>38.499999978825002</v>
      </c>
      <c r="CB67" s="1018">
        <f t="shared" ca="1" si="84"/>
        <v>9.0267175572519083</v>
      </c>
      <c r="CC67" s="1018">
        <f t="shared" si="19"/>
        <v>0</v>
      </c>
      <c r="CD67" s="1018">
        <f t="shared" ca="1" si="88"/>
        <v>794.77110251697968</v>
      </c>
      <c r="CE67" s="1018">
        <f t="shared" ca="1" si="89"/>
        <v>184.56333165243285</v>
      </c>
      <c r="CF67" s="1018">
        <f t="shared" ca="1" si="22"/>
        <v>29.38003302508238</v>
      </c>
      <c r="CG67" s="1018">
        <f t="shared" ca="1" si="23"/>
        <v>48916.57978544115</v>
      </c>
    </row>
    <row r="68" spans="3:85" x14ac:dyDescent="0.25">
      <c r="C68" s="336"/>
      <c r="D68" s="337"/>
      <c r="E68" s="336"/>
      <c r="F68" s="337"/>
      <c r="G68" s="336"/>
      <c r="H68" s="337"/>
      <c r="I68" s="336"/>
      <c r="J68" s="337"/>
      <c r="K68" s="340"/>
      <c r="L68" s="342"/>
      <c r="M68" s="337" t="s">
        <v>22</v>
      </c>
      <c r="N68" s="339">
        <v>0.44680851100000002</v>
      </c>
      <c r="O68" s="337" t="s">
        <v>20</v>
      </c>
      <c r="P68" s="339">
        <v>0.19172932300000001</v>
      </c>
      <c r="Q68" s="337" t="s">
        <v>7</v>
      </c>
      <c r="R68" s="339">
        <v>0.46289999999999998</v>
      </c>
      <c r="S68" s="337"/>
      <c r="T68" s="347">
        <v>0</v>
      </c>
      <c r="V68" s="176">
        <f t="shared" si="11"/>
        <v>0</v>
      </c>
      <c r="W68" s="176">
        <f t="shared" si="85"/>
        <v>0</v>
      </c>
      <c r="X68" s="176">
        <f>W68-W68*Calculation_sheet!O$76</f>
        <v>0</v>
      </c>
      <c r="Y68" s="34">
        <f>X68/Calculation_sheet!M$67</f>
        <v>0</v>
      </c>
      <c r="Z68" s="176">
        <f ca="1">IF(AN68&gt;0,Y68*Calculation_sheet!C$87,0)</f>
        <v>0</v>
      </c>
      <c r="AA68" s="176">
        <f t="shared" ca="1" si="86"/>
        <v>0</v>
      </c>
      <c r="AB68" s="176">
        <f ca="1">IF(AP68&gt;0,AA68*Calculation_sheet!C$94,0)</f>
        <v>0</v>
      </c>
      <c r="AC68" s="176">
        <f t="shared" ca="1" si="74"/>
        <v>0</v>
      </c>
      <c r="AD68" s="958">
        <f ca="1">AC68*Calculation_sheet!C$99</f>
        <v>0</v>
      </c>
      <c r="AE68" s="176">
        <f t="shared" ca="1" si="74"/>
        <v>0</v>
      </c>
      <c r="AF68" s="176">
        <f t="shared" ca="1" si="87"/>
        <v>0</v>
      </c>
      <c r="AG68" s="958">
        <f ca="1">AF68*User_sheet!B$77/100</f>
        <v>0</v>
      </c>
      <c r="AH68" s="313"/>
      <c r="AI68" s="883">
        <v>101</v>
      </c>
      <c r="AJ68" s="985"/>
      <c r="AK68" s="1020">
        <f t="shared" ca="1" si="15"/>
        <v>794.77110251697968</v>
      </c>
      <c r="AL68" s="954">
        <f ca="1">AK68/'101'!I$24</f>
        <v>2.2526244173064831</v>
      </c>
      <c r="AM68" s="954">
        <f ca="1">0.8*(AK68*30+'101'!D$17*0.34*30*1)</f>
        <v>22799.977308407513</v>
      </c>
      <c r="AN68" s="954">
        <f ca="1">IF(AM68&lt;User_sheet!B$50,Y68,0)</f>
        <v>0</v>
      </c>
      <c r="AO68" s="954">
        <f ca="1">20-(User_sheet!B$57/('Freestanding '!AK68+'101'!D$17*1*0.34))</f>
        <v>13.999994028522348</v>
      </c>
      <c r="AP68" s="954">
        <f ca="1">IF(AO68&lt;User_sheet!B$59,0,BC68*AA68)</f>
        <v>0</v>
      </c>
      <c r="AQ68" s="985"/>
      <c r="AR68" s="883">
        <v>14.1</v>
      </c>
      <c r="AS68" s="883">
        <v>3.7</v>
      </c>
      <c r="AT68" s="883">
        <v>0.89</v>
      </c>
      <c r="AU68" s="883">
        <v>2.75</v>
      </c>
      <c r="AV68" s="883">
        <v>3.3</v>
      </c>
      <c r="AW68" s="883">
        <v>7211.5338771527777</v>
      </c>
      <c r="AX68" s="883">
        <v>76466.30421774846</v>
      </c>
      <c r="AY68" s="883">
        <v>79015.992973719694</v>
      </c>
      <c r="AZ68" s="883">
        <v>0</v>
      </c>
      <c r="BA68" s="883">
        <v>0</v>
      </c>
      <c r="BB68" s="883">
        <v>0.6</v>
      </c>
      <c r="BC68" s="888">
        <v>0</v>
      </c>
      <c r="BD68" s="889">
        <v>1</v>
      </c>
      <c r="BE68" s="889">
        <v>0</v>
      </c>
      <c r="BF68" s="890">
        <v>0</v>
      </c>
      <c r="BG68" s="883">
        <v>0</v>
      </c>
      <c r="BH68" s="883">
        <v>1</v>
      </c>
      <c r="BI68" s="890">
        <v>0</v>
      </c>
      <c r="BJ68" s="883">
        <v>0</v>
      </c>
      <c r="BK68" s="883">
        <v>0</v>
      </c>
      <c r="BL68" s="883">
        <v>1</v>
      </c>
      <c r="BM68" s="890">
        <v>0</v>
      </c>
      <c r="BN68" s="958">
        <v>0</v>
      </c>
      <c r="BO68" s="959">
        <v>18</v>
      </c>
      <c r="BP68" s="1018">
        <f t="shared" ca="1" si="75"/>
        <v>181.084</v>
      </c>
      <c r="BQ68" s="1018">
        <f t="shared" ca="1" si="76"/>
        <v>302.464</v>
      </c>
      <c r="BR68" s="1018">
        <f t="shared" ca="1" si="77"/>
        <v>104.854</v>
      </c>
      <c r="BS68" s="1018">
        <f t="shared" ca="1" si="78"/>
        <v>129.21406907627619</v>
      </c>
      <c r="BT68" s="1018">
        <f t="shared" ca="1" si="79"/>
        <v>104.86</v>
      </c>
      <c r="BU68" s="1018">
        <f t="shared" ca="1" si="80"/>
        <v>14</v>
      </c>
      <c r="BV68" s="1018">
        <f t="shared" ca="1" si="81"/>
        <v>4.3</v>
      </c>
      <c r="BW68" s="1018">
        <v>0</v>
      </c>
      <c r="BX68" s="1018">
        <f t="shared" ca="1" si="82"/>
        <v>429.28031358885011</v>
      </c>
      <c r="BY68" s="1018">
        <f t="shared" ca="1" si="83"/>
        <v>291.28273085838049</v>
      </c>
      <c r="BZ68" s="1018">
        <f t="shared" ca="1" si="17"/>
        <v>26.681340533672177</v>
      </c>
      <c r="CA68" s="1018">
        <f t="shared" ca="1" si="18"/>
        <v>38.499999978825002</v>
      </c>
      <c r="CB68" s="1018">
        <f t="shared" ca="1" si="84"/>
        <v>9.0267175572519083</v>
      </c>
      <c r="CC68" s="1018">
        <f t="shared" si="19"/>
        <v>0</v>
      </c>
      <c r="CD68" s="1018">
        <f t="shared" ca="1" si="88"/>
        <v>794.77110251697968</v>
      </c>
      <c r="CE68" s="1018">
        <f t="shared" ca="1" si="89"/>
        <v>184.56333165243285</v>
      </c>
      <c r="CF68" s="1018">
        <f t="shared" ca="1" si="22"/>
        <v>29.38003302508238</v>
      </c>
      <c r="CG68" s="1018">
        <f t="shared" ca="1" si="23"/>
        <v>48916.57978544115</v>
      </c>
    </row>
    <row r="69" spans="3:85" x14ac:dyDescent="0.25">
      <c r="C69" s="336"/>
      <c r="D69" s="337"/>
      <c r="E69" s="336"/>
      <c r="F69" s="337"/>
      <c r="G69" s="336"/>
      <c r="H69" s="337"/>
      <c r="I69" s="336"/>
      <c r="J69" s="337"/>
      <c r="K69" s="340"/>
      <c r="L69" s="342"/>
      <c r="M69" s="337" t="s">
        <v>7</v>
      </c>
      <c r="N69" s="339">
        <v>2.1276595999999998E-2</v>
      </c>
      <c r="O69" s="337" t="s">
        <v>23</v>
      </c>
      <c r="P69" s="339">
        <v>1</v>
      </c>
      <c r="Q69" s="337" t="s">
        <v>7</v>
      </c>
      <c r="R69" s="339">
        <v>1</v>
      </c>
      <c r="S69" s="337"/>
      <c r="T69" s="347">
        <v>0</v>
      </c>
      <c r="V69" s="176">
        <f t="shared" si="11"/>
        <v>0</v>
      </c>
      <c r="W69" s="176">
        <f t="shared" si="85"/>
        <v>0</v>
      </c>
      <c r="X69" s="176">
        <f>W69-W69*Calculation_sheet!O$76</f>
        <v>0</v>
      </c>
      <c r="Y69" s="34">
        <f>X69/Calculation_sheet!M$67</f>
        <v>0</v>
      </c>
      <c r="Z69" s="176">
        <f ca="1">IF(AN69&gt;0,Y69*Calculation_sheet!C$87,0)</f>
        <v>0</v>
      </c>
      <c r="AA69" s="176">
        <f t="shared" ca="1" si="86"/>
        <v>0</v>
      </c>
      <c r="AB69" s="176">
        <f ca="1">IF(AP69&gt;0,AA69*Calculation_sheet!C$94,0)</f>
        <v>0</v>
      </c>
      <c r="AC69" s="176">
        <f t="shared" ca="1" si="74"/>
        <v>0</v>
      </c>
      <c r="AD69" s="958">
        <f ca="1">AC69*Calculation_sheet!C$99</f>
        <v>0</v>
      </c>
      <c r="AE69" s="176">
        <f t="shared" ca="1" si="74"/>
        <v>0</v>
      </c>
      <c r="AF69" s="176">
        <f t="shared" ca="1" si="87"/>
        <v>0</v>
      </c>
      <c r="AG69" s="958">
        <f ca="1">AF69*User_sheet!B$77/100</f>
        <v>0</v>
      </c>
      <c r="AH69" s="313"/>
      <c r="AI69" s="883">
        <v>101</v>
      </c>
      <c r="AJ69" s="985"/>
      <c r="AK69" s="1020">
        <f t="shared" ca="1" si="15"/>
        <v>794.77110251697968</v>
      </c>
      <c r="AL69" s="954">
        <f ca="1">AK69/'101'!I$24</f>
        <v>2.2526244173064831</v>
      </c>
      <c r="AM69" s="954">
        <f ca="1">0.8*(AK69*30+'101'!D$17*0.34*30*1)</f>
        <v>22799.977308407513</v>
      </c>
      <c r="AN69" s="954">
        <f ca="1">IF(AM69&lt;User_sheet!B$50,Y69,0)</f>
        <v>0</v>
      </c>
      <c r="AO69" s="954">
        <f ca="1">20-(User_sheet!B$57/('Freestanding '!AK69+'101'!D$17*1*0.34))</f>
        <v>13.999994028522348</v>
      </c>
      <c r="AP69" s="954">
        <f ca="1">IF(AO69&lt;User_sheet!B$59,0,BC69*AA69)</f>
        <v>0</v>
      </c>
      <c r="AQ69" s="985"/>
      <c r="AR69" s="883">
        <v>14.1</v>
      </c>
      <c r="AS69" s="883">
        <v>3.7</v>
      </c>
      <c r="AT69" s="883">
        <v>0.89</v>
      </c>
      <c r="AU69" s="883">
        <v>2.75</v>
      </c>
      <c r="AV69" s="883">
        <v>3.3</v>
      </c>
      <c r="AW69" s="883">
        <v>7211.5338771527777</v>
      </c>
      <c r="AX69" s="883">
        <v>76466.30421774846</v>
      </c>
      <c r="AY69" s="883">
        <v>79015.992973719694</v>
      </c>
      <c r="AZ69" s="883">
        <v>0</v>
      </c>
      <c r="BA69" s="883">
        <v>0</v>
      </c>
      <c r="BB69" s="883">
        <v>0.6</v>
      </c>
      <c r="BC69" s="888">
        <v>0</v>
      </c>
      <c r="BD69" s="889">
        <v>0</v>
      </c>
      <c r="BE69" s="889">
        <v>1</v>
      </c>
      <c r="BF69" s="890">
        <v>0</v>
      </c>
      <c r="BG69" s="883">
        <v>0</v>
      </c>
      <c r="BH69" s="883">
        <v>0</v>
      </c>
      <c r="BI69" s="890">
        <v>1</v>
      </c>
      <c r="BJ69" s="883">
        <v>0</v>
      </c>
      <c r="BK69" s="883">
        <v>0</v>
      </c>
      <c r="BL69" s="883">
        <v>1</v>
      </c>
      <c r="BM69" s="890">
        <v>0</v>
      </c>
      <c r="BN69" s="958">
        <v>0</v>
      </c>
      <c r="BO69" s="959">
        <v>18</v>
      </c>
      <c r="BP69" s="1018">
        <f t="shared" ca="1" si="75"/>
        <v>181.084</v>
      </c>
      <c r="BQ69" s="1018">
        <f t="shared" ca="1" si="76"/>
        <v>302.464</v>
      </c>
      <c r="BR69" s="1018">
        <f t="shared" ca="1" si="77"/>
        <v>104.854</v>
      </c>
      <c r="BS69" s="1018">
        <f t="shared" ca="1" si="78"/>
        <v>129.21406907627619</v>
      </c>
      <c r="BT69" s="1018">
        <f t="shared" ca="1" si="79"/>
        <v>104.86</v>
      </c>
      <c r="BU69" s="1018">
        <f t="shared" ca="1" si="80"/>
        <v>14</v>
      </c>
      <c r="BV69" s="1018">
        <f t="shared" ca="1" si="81"/>
        <v>4.3</v>
      </c>
      <c r="BW69" s="1018">
        <v>0</v>
      </c>
      <c r="BX69" s="1018">
        <f t="shared" ca="1" si="82"/>
        <v>429.28031358885011</v>
      </c>
      <c r="BY69" s="1018">
        <f t="shared" ca="1" si="83"/>
        <v>291.28273085838049</v>
      </c>
      <c r="BZ69" s="1018">
        <f t="shared" ca="1" si="17"/>
        <v>26.681340533672177</v>
      </c>
      <c r="CA69" s="1018">
        <f t="shared" ca="1" si="18"/>
        <v>38.499999978825002</v>
      </c>
      <c r="CB69" s="1018">
        <f t="shared" ca="1" si="84"/>
        <v>9.0267175572519083</v>
      </c>
      <c r="CC69" s="1018">
        <f t="shared" si="19"/>
        <v>0</v>
      </c>
      <c r="CD69" s="1018">
        <f t="shared" ca="1" si="88"/>
        <v>794.77110251697968</v>
      </c>
      <c r="CE69" s="1018">
        <f t="shared" ca="1" si="89"/>
        <v>184.56333165243285</v>
      </c>
      <c r="CF69" s="1018">
        <f t="shared" ca="1" si="22"/>
        <v>29.38003302508238</v>
      </c>
      <c r="CG69" s="1018">
        <f t="shared" ca="1" si="23"/>
        <v>48916.57978544115</v>
      </c>
    </row>
    <row r="70" spans="3:85" x14ac:dyDescent="0.25">
      <c r="C70" s="336" t="s">
        <v>1</v>
      </c>
      <c r="D70" s="339">
        <v>0.19750000000000001</v>
      </c>
      <c r="E70" s="336"/>
      <c r="F70" s="337"/>
      <c r="G70" s="336"/>
      <c r="H70" s="337"/>
      <c r="I70" s="336"/>
      <c r="J70" s="337"/>
      <c r="K70" s="337"/>
      <c r="L70" s="337"/>
      <c r="M70" s="337"/>
      <c r="N70" s="337"/>
      <c r="O70" s="337" t="s">
        <v>18</v>
      </c>
      <c r="P70" s="339">
        <v>0.15910607099999999</v>
      </c>
      <c r="Q70" s="337" t="s">
        <v>17</v>
      </c>
      <c r="R70" s="339">
        <v>1</v>
      </c>
      <c r="S70" s="337"/>
      <c r="T70" s="347">
        <v>0</v>
      </c>
      <c r="V70" s="176">
        <f t="shared" si="11"/>
        <v>0</v>
      </c>
      <c r="W70" s="176">
        <f t="shared" si="85"/>
        <v>0</v>
      </c>
      <c r="X70" s="176">
        <f>W70-W70*Calculation_sheet!O$76</f>
        <v>0</v>
      </c>
      <c r="Y70" s="34">
        <f>X70/Calculation_sheet!M$67</f>
        <v>0</v>
      </c>
      <c r="Z70" s="176">
        <f ca="1">IF(AN70&gt;0,Y70*Calculation_sheet!C$87,0)</f>
        <v>0</v>
      </c>
      <c r="AA70" s="176">
        <f t="shared" ca="1" si="86"/>
        <v>0</v>
      </c>
      <c r="AB70" s="176">
        <f ca="1">IF(AP70&gt;0,AA70*Calculation_sheet!C$94,0)</f>
        <v>0</v>
      </c>
      <c r="AC70" s="176">
        <f t="shared" ca="1" si="74"/>
        <v>0</v>
      </c>
      <c r="AD70" s="958">
        <f ca="1">AC70*Calculation_sheet!C$99</f>
        <v>0</v>
      </c>
      <c r="AE70" s="176">
        <f t="shared" ca="1" si="74"/>
        <v>0</v>
      </c>
      <c r="AF70" s="176">
        <f t="shared" ca="1" si="87"/>
        <v>0</v>
      </c>
      <c r="AG70" s="958">
        <f ca="1">AF70*User_sheet!B$77/100</f>
        <v>0</v>
      </c>
      <c r="AH70" s="313"/>
      <c r="AI70" s="883">
        <v>101</v>
      </c>
      <c r="AJ70" s="985"/>
      <c r="AK70" s="1020">
        <f t="shared" ca="1" si="15"/>
        <v>794.77110251697968</v>
      </c>
      <c r="AL70" s="954">
        <f ca="1">AK70/'101'!I$24</f>
        <v>2.2526244173064831</v>
      </c>
      <c r="AM70" s="954">
        <f ca="1">0.8*(AK70*30+'101'!D$17*0.34*30*1)</f>
        <v>22799.977308407513</v>
      </c>
      <c r="AN70" s="954">
        <f ca="1">IF(AM70&lt;User_sheet!B$50,Y70,0)</f>
        <v>0</v>
      </c>
      <c r="AO70" s="954">
        <f ca="1">20-(User_sheet!B$57/('Freestanding '!AK70+'101'!D$17*1*0.34))</f>
        <v>13.999994028522348</v>
      </c>
      <c r="AP70" s="954">
        <f ca="1">IF(AO70&lt;User_sheet!B$59,0,BC70*AA70)</f>
        <v>0</v>
      </c>
      <c r="AQ70" s="985"/>
      <c r="AR70" s="883">
        <v>14.1</v>
      </c>
      <c r="AS70" s="883">
        <v>3.7</v>
      </c>
      <c r="AT70" s="883">
        <v>0.89</v>
      </c>
      <c r="AU70" s="883">
        <v>2.75</v>
      </c>
      <c r="AV70" s="883">
        <v>3.3</v>
      </c>
      <c r="AW70" s="883">
        <v>7211.5338771527777</v>
      </c>
      <c r="AX70" s="883">
        <v>76466.30421774846</v>
      </c>
      <c r="AY70" s="883">
        <v>79015.992973719694</v>
      </c>
      <c r="AZ70" s="883">
        <v>0</v>
      </c>
      <c r="BA70" s="883">
        <v>0</v>
      </c>
      <c r="BB70" s="883">
        <v>0.6</v>
      </c>
      <c r="BC70" s="888">
        <v>0</v>
      </c>
      <c r="BD70" s="889">
        <v>0</v>
      </c>
      <c r="BE70" s="889">
        <v>0</v>
      </c>
      <c r="BF70" s="890">
        <v>1</v>
      </c>
      <c r="BG70" s="883">
        <v>1</v>
      </c>
      <c r="BH70" s="883">
        <v>0</v>
      </c>
      <c r="BI70" s="890">
        <v>0</v>
      </c>
      <c r="BJ70" s="883">
        <v>0</v>
      </c>
      <c r="BK70" s="883">
        <v>0</v>
      </c>
      <c r="BL70" s="883">
        <v>0</v>
      </c>
      <c r="BM70" s="890">
        <v>1</v>
      </c>
      <c r="BN70" s="958">
        <v>0</v>
      </c>
      <c r="BO70" s="959">
        <v>18</v>
      </c>
      <c r="BP70" s="1018">
        <f t="shared" ca="1" si="75"/>
        <v>181.084</v>
      </c>
      <c r="BQ70" s="1018">
        <f t="shared" ca="1" si="76"/>
        <v>302.464</v>
      </c>
      <c r="BR70" s="1018">
        <f t="shared" ca="1" si="77"/>
        <v>104.854</v>
      </c>
      <c r="BS70" s="1018">
        <f t="shared" ca="1" si="78"/>
        <v>129.21406907627619</v>
      </c>
      <c r="BT70" s="1018">
        <f t="shared" ca="1" si="79"/>
        <v>104.86</v>
      </c>
      <c r="BU70" s="1018">
        <f t="shared" ca="1" si="80"/>
        <v>14</v>
      </c>
      <c r="BV70" s="1018">
        <f t="shared" ca="1" si="81"/>
        <v>4.3</v>
      </c>
      <c r="BW70" s="1018">
        <v>0</v>
      </c>
      <c r="BX70" s="1018">
        <f t="shared" ca="1" si="82"/>
        <v>429.28031358885011</v>
      </c>
      <c r="BY70" s="1018">
        <f t="shared" ca="1" si="83"/>
        <v>291.28273085838049</v>
      </c>
      <c r="BZ70" s="1018">
        <f t="shared" ca="1" si="17"/>
        <v>26.681340533672177</v>
      </c>
      <c r="CA70" s="1018">
        <f t="shared" ca="1" si="18"/>
        <v>38.499999978825002</v>
      </c>
      <c r="CB70" s="1018">
        <f t="shared" ca="1" si="84"/>
        <v>9.0267175572519083</v>
      </c>
      <c r="CC70" s="1018">
        <f t="shared" si="19"/>
        <v>0</v>
      </c>
      <c r="CD70" s="1018">
        <f t="shared" ca="1" si="88"/>
        <v>794.77110251697968</v>
      </c>
      <c r="CE70" s="1018">
        <f t="shared" ca="1" si="89"/>
        <v>184.56333165243285</v>
      </c>
      <c r="CF70" s="1018">
        <f t="shared" ca="1" si="22"/>
        <v>29.38003302508238</v>
      </c>
      <c r="CG70" s="1018">
        <f t="shared" ca="1" si="23"/>
        <v>48916.57978544115</v>
      </c>
    </row>
    <row r="71" spans="3:85" x14ac:dyDescent="0.25">
      <c r="C71" s="336"/>
      <c r="D71" s="337"/>
      <c r="E71" s="336"/>
      <c r="F71" s="337"/>
      <c r="G71" s="336" t="s">
        <v>9</v>
      </c>
      <c r="H71" s="341">
        <v>0.62569999999999992</v>
      </c>
      <c r="I71" s="336"/>
      <c r="J71" s="337"/>
      <c r="K71" s="340" t="s">
        <v>12</v>
      </c>
      <c r="L71" s="341">
        <v>0</v>
      </c>
      <c r="M71" s="337" t="s">
        <v>17</v>
      </c>
      <c r="N71" s="339">
        <v>8.5106382999999994E-2</v>
      </c>
      <c r="O71" s="337" t="s">
        <v>19</v>
      </c>
      <c r="P71" s="339">
        <v>0.84089392900000004</v>
      </c>
      <c r="Q71" s="337" t="s">
        <v>17</v>
      </c>
      <c r="R71" s="339">
        <v>1</v>
      </c>
      <c r="S71" s="337"/>
      <c r="T71" s="347">
        <v>0</v>
      </c>
      <c r="V71" s="176">
        <f t="shared" si="11"/>
        <v>0</v>
      </c>
      <c r="W71" s="176">
        <f t="shared" si="85"/>
        <v>0</v>
      </c>
      <c r="X71" s="176">
        <f>W71-W71*Calculation_sheet!O$76</f>
        <v>0</v>
      </c>
      <c r="Y71" s="34">
        <f>X71/Calculation_sheet!M$67</f>
        <v>0</v>
      </c>
      <c r="Z71" s="176">
        <f ca="1">IF(AN71&gt;0,Y71*Calculation_sheet!C$87,0)</f>
        <v>0</v>
      </c>
      <c r="AA71" s="176">
        <f t="shared" ca="1" si="86"/>
        <v>0</v>
      </c>
      <c r="AB71" s="176">
        <f ca="1">IF(AP71&gt;0,AA71*Calculation_sheet!C$94,0)</f>
        <v>0</v>
      </c>
      <c r="AC71" s="176">
        <f t="shared" ca="1" si="74"/>
        <v>0</v>
      </c>
      <c r="AD71" s="958">
        <f ca="1">AC71*Calculation_sheet!C$99</f>
        <v>0</v>
      </c>
      <c r="AE71" s="176">
        <f t="shared" ca="1" si="74"/>
        <v>0</v>
      </c>
      <c r="AF71" s="176">
        <f t="shared" ca="1" si="87"/>
        <v>0</v>
      </c>
      <c r="AG71" s="958">
        <f ca="1">AF71*User_sheet!B$77/100</f>
        <v>0</v>
      </c>
      <c r="AH71" s="313"/>
      <c r="AI71" s="883">
        <v>101</v>
      </c>
      <c r="AJ71" s="985"/>
      <c r="AK71" s="1020">
        <f t="shared" ca="1" si="15"/>
        <v>794.77110251697968</v>
      </c>
      <c r="AL71" s="954">
        <f ca="1">AK71/'101'!I$24</f>
        <v>2.2526244173064831</v>
      </c>
      <c r="AM71" s="954">
        <f ca="1">0.8*(AK71*30+'101'!D$17*0.34*30*1)</f>
        <v>22799.977308407513</v>
      </c>
      <c r="AN71" s="954">
        <f ca="1">IF(AM71&lt;User_sheet!B$50,Y71,0)</f>
        <v>0</v>
      </c>
      <c r="AO71" s="954">
        <f ca="1">20-(User_sheet!B$57/('Freestanding '!AK71+'101'!D$17*1*0.34))</f>
        <v>13.999994028522348</v>
      </c>
      <c r="AP71" s="954">
        <f ca="1">IF(AO71&lt;User_sheet!B$59,0,BC71*AA71)</f>
        <v>0</v>
      </c>
      <c r="AQ71" s="985"/>
      <c r="AR71" s="883">
        <v>14.1</v>
      </c>
      <c r="AS71" s="883">
        <v>3.7</v>
      </c>
      <c r="AT71" s="883">
        <v>0.89</v>
      </c>
      <c r="AU71" s="883">
        <v>2.75</v>
      </c>
      <c r="AV71" s="883">
        <v>3.3</v>
      </c>
      <c r="AW71" s="883">
        <v>7211.5338771527777</v>
      </c>
      <c r="AX71" s="883">
        <v>76466.30421774846</v>
      </c>
      <c r="AY71" s="883">
        <v>79015.992973719694</v>
      </c>
      <c r="AZ71" s="883">
        <v>0</v>
      </c>
      <c r="BA71" s="883">
        <v>0</v>
      </c>
      <c r="BB71" s="883">
        <v>0.6</v>
      </c>
      <c r="BC71" s="888">
        <v>0</v>
      </c>
      <c r="BD71" s="889">
        <v>0</v>
      </c>
      <c r="BE71" s="889">
        <v>0</v>
      </c>
      <c r="BF71" s="890">
        <v>1</v>
      </c>
      <c r="BG71" s="883">
        <v>0</v>
      </c>
      <c r="BH71" s="883">
        <v>1</v>
      </c>
      <c r="BI71" s="890">
        <v>0</v>
      </c>
      <c r="BJ71" s="883">
        <v>0</v>
      </c>
      <c r="BK71" s="883">
        <v>0</v>
      </c>
      <c r="BL71" s="883">
        <v>0</v>
      </c>
      <c r="BM71" s="890">
        <v>1</v>
      </c>
      <c r="BN71" s="958">
        <v>0</v>
      </c>
      <c r="BO71" s="959">
        <v>18</v>
      </c>
      <c r="BP71" s="1018">
        <f t="shared" ca="1" si="75"/>
        <v>181.084</v>
      </c>
      <c r="BQ71" s="1018">
        <f t="shared" ca="1" si="76"/>
        <v>302.464</v>
      </c>
      <c r="BR71" s="1018">
        <f t="shared" ca="1" si="77"/>
        <v>104.854</v>
      </c>
      <c r="BS71" s="1018">
        <f t="shared" ca="1" si="78"/>
        <v>129.21406907627619</v>
      </c>
      <c r="BT71" s="1018">
        <f t="shared" ca="1" si="79"/>
        <v>104.86</v>
      </c>
      <c r="BU71" s="1018">
        <f t="shared" ca="1" si="80"/>
        <v>14</v>
      </c>
      <c r="BV71" s="1018">
        <f t="shared" ca="1" si="81"/>
        <v>4.3</v>
      </c>
      <c r="BW71" s="1018">
        <v>0</v>
      </c>
      <c r="BX71" s="1018">
        <f t="shared" ca="1" si="82"/>
        <v>429.28031358885011</v>
      </c>
      <c r="BY71" s="1018">
        <f t="shared" ca="1" si="83"/>
        <v>291.28273085838049</v>
      </c>
      <c r="BZ71" s="1018">
        <f t="shared" ca="1" si="17"/>
        <v>26.681340533672177</v>
      </c>
      <c r="CA71" s="1018">
        <f t="shared" ca="1" si="18"/>
        <v>38.499999978825002</v>
      </c>
      <c r="CB71" s="1018">
        <f t="shared" ca="1" si="84"/>
        <v>9.0267175572519083</v>
      </c>
      <c r="CC71" s="1018">
        <f t="shared" si="19"/>
        <v>0</v>
      </c>
      <c r="CD71" s="1018">
        <f t="shared" ca="1" si="88"/>
        <v>794.77110251697968</v>
      </c>
      <c r="CE71" s="1018">
        <f t="shared" ca="1" si="89"/>
        <v>184.56333165243285</v>
      </c>
      <c r="CF71" s="1018">
        <f t="shared" ca="1" si="22"/>
        <v>29.38003302508238</v>
      </c>
      <c r="CG71" s="1018">
        <f t="shared" ca="1" si="23"/>
        <v>48916.57978544115</v>
      </c>
    </row>
    <row r="72" spans="3:85" s="14" customFormat="1" x14ac:dyDescent="0.25">
      <c r="C72" s="344"/>
      <c r="D72" s="345"/>
      <c r="E72" s="344"/>
      <c r="F72" s="345"/>
      <c r="G72" s="344"/>
      <c r="H72" s="345"/>
      <c r="I72" s="344"/>
      <c r="J72" s="345"/>
      <c r="K72" s="346"/>
      <c r="L72" s="345"/>
      <c r="M72" s="345"/>
      <c r="N72" s="345"/>
      <c r="O72" s="345"/>
      <c r="P72" s="345"/>
      <c r="Q72" s="345"/>
      <c r="R72" s="345"/>
      <c r="S72" s="345"/>
      <c r="T72" s="349"/>
      <c r="U72" s="295"/>
      <c r="V72" s="292"/>
      <c r="W72" s="292"/>
      <c r="X72" s="292"/>
      <c r="Y72" s="277"/>
      <c r="Z72" s="292"/>
      <c r="AA72" s="292"/>
      <c r="AB72" s="292"/>
      <c r="AC72" s="292"/>
      <c r="AD72" s="277"/>
      <c r="AE72" s="292"/>
      <c r="AF72" s="292"/>
      <c r="AG72" s="277"/>
      <c r="AH72" s="313"/>
      <c r="AI72" s="887"/>
      <c r="AJ72" s="985"/>
      <c r="AK72" s="1020">
        <f t="shared" si="15"/>
        <v>0</v>
      </c>
      <c r="AL72" s="986"/>
      <c r="AM72" s="986"/>
      <c r="AN72" s="986"/>
      <c r="AO72" s="986"/>
      <c r="AP72" s="986"/>
      <c r="AQ72" s="985"/>
      <c r="AR72" s="887"/>
      <c r="AS72" s="887"/>
      <c r="AT72" s="887"/>
      <c r="AU72" s="887"/>
      <c r="AV72" s="887"/>
      <c r="AW72" s="887"/>
      <c r="AX72" s="887"/>
      <c r="AY72" s="887"/>
      <c r="AZ72" s="887"/>
      <c r="BA72" s="887"/>
      <c r="BB72" s="887"/>
      <c r="BC72" s="45"/>
      <c r="BD72" s="277"/>
      <c r="BE72" s="277"/>
      <c r="BF72" s="49"/>
      <c r="BG72" s="887"/>
      <c r="BH72" s="887"/>
      <c r="BI72" s="49"/>
      <c r="BJ72" s="887"/>
      <c r="BK72" s="887"/>
      <c r="BL72" s="887"/>
      <c r="BM72" s="49"/>
      <c r="BN72" s="277"/>
      <c r="BO72" s="49"/>
      <c r="BP72" s="928"/>
      <c r="BQ72" s="928"/>
      <c r="BR72" s="928"/>
      <c r="BS72" s="928"/>
      <c r="BT72" s="928"/>
      <c r="BU72" s="928"/>
      <c r="BV72" s="928"/>
      <c r="BW72" s="928"/>
      <c r="BX72" s="928"/>
      <c r="BY72" s="928"/>
      <c r="BZ72" s="928"/>
      <c r="CA72" s="928"/>
      <c r="CB72" s="928"/>
      <c r="CC72" s="928"/>
      <c r="CD72" s="928"/>
      <c r="CE72" s="928"/>
      <c r="CF72" s="928"/>
      <c r="CG72" s="928"/>
    </row>
    <row r="73" spans="3:85" x14ac:dyDescent="0.25">
      <c r="D73" s="1"/>
      <c r="F73" s="1"/>
      <c r="G73" s="3"/>
      <c r="H73" s="6"/>
      <c r="I73" s="3"/>
      <c r="J73" s="6"/>
      <c r="K73" s="8"/>
      <c r="L73" s="6"/>
      <c r="M73" s="1"/>
      <c r="N73" s="1"/>
      <c r="O73" s="1"/>
      <c r="P73" s="1"/>
      <c r="Q73" s="1" t="s">
        <v>16</v>
      </c>
      <c r="R73" s="4"/>
      <c r="T73" s="77"/>
      <c r="U73" s="294"/>
      <c r="X73" s="176">
        <f>W61-X61</f>
        <v>0</v>
      </c>
      <c r="Y73" s="34">
        <f>X73/Calculation_sheet!M$67</f>
        <v>0</v>
      </c>
      <c r="Z73" s="176">
        <f ca="1">IF(AN73&gt;0,Y73*Calculation_sheet!C$87,0)</f>
        <v>0</v>
      </c>
      <c r="AA73" s="176">
        <f ca="1">Y73-Z73</f>
        <v>0</v>
      </c>
      <c r="AB73" s="176">
        <f ca="1">IF(AP73&gt;0,AA73*Calculation_sheet!C$94,0)</f>
        <v>0</v>
      </c>
      <c r="AC73" s="176">
        <f t="shared" ref="AC73:AE83" ca="1" si="90">AA73-AB73</f>
        <v>0</v>
      </c>
      <c r="AD73" s="958">
        <f ca="1">AC73*Calculation_sheet!C$99</f>
        <v>0</v>
      </c>
      <c r="AE73" s="176">
        <f t="shared" ca="1" si="90"/>
        <v>0</v>
      </c>
      <c r="AF73" s="176">
        <f ca="1">Y73-AB73</f>
        <v>0</v>
      </c>
      <c r="AG73" s="958">
        <f ca="1">AF73*User_sheet!B$77/100</f>
        <v>0</v>
      </c>
      <c r="AH73" s="313"/>
      <c r="AI73" s="883">
        <v>101</v>
      </c>
      <c r="AJ73" s="985"/>
      <c r="AK73" s="1020">
        <f t="shared" ca="1" si="15"/>
        <v>386.78078388504753</v>
      </c>
      <c r="AL73" s="954">
        <f ca="1">AK73/'101'!I$24</f>
        <v>1.0962550540214009</v>
      </c>
      <c r="AM73" s="954">
        <f ca="1">0.8*(AK73*30+'101'!D$17*0.34*30*1)</f>
        <v>13008.209661241141</v>
      </c>
      <c r="AN73" s="954">
        <f ca="1">IF(AM73&lt;User_sheet!B$50,Y73,0)</f>
        <v>0</v>
      </c>
      <c r="AO73" s="954">
        <f ca="1">20-(User_sheet!B$57/('Freestanding '!AK73+'101'!D$17*1*0.34))</f>
        <v>9.483564336481674</v>
      </c>
      <c r="AP73" s="954">
        <f ca="1">IF(AO73&lt;User_sheet!B$59,0,BC73*AA73)</f>
        <v>0</v>
      </c>
      <c r="AQ73" s="985"/>
      <c r="AR73" s="883">
        <v>0.32</v>
      </c>
      <c r="AS73" s="883">
        <v>3.7</v>
      </c>
      <c r="AT73" s="883">
        <v>0.89</v>
      </c>
      <c r="AU73" s="883">
        <v>2</v>
      </c>
      <c r="AV73" s="883">
        <v>3.3</v>
      </c>
      <c r="AW73" s="883">
        <v>14356</v>
      </c>
      <c r="AX73" s="883">
        <v>76466.30421774846</v>
      </c>
      <c r="AY73" s="883">
        <v>79015.992973719694</v>
      </c>
      <c r="AZ73" s="886">
        <v>0</v>
      </c>
      <c r="BA73" s="886">
        <v>0</v>
      </c>
      <c r="BB73" s="883">
        <v>0.6</v>
      </c>
      <c r="BC73" s="888">
        <v>1</v>
      </c>
      <c r="BD73" s="889">
        <v>0</v>
      </c>
      <c r="BE73" s="889">
        <v>0</v>
      </c>
      <c r="BF73" s="890">
        <v>0</v>
      </c>
      <c r="BG73" s="889">
        <v>1</v>
      </c>
      <c r="BH73" s="889">
        <v>0</v>
      </c>
      <c r="BI73" s="890">
        <v>0</v>
      </c>
      <c r="BJ73" s="889">
        <v>1</v>
      </c>
      <c r="BK73" s="889">
        <v>0</v>
      </c>
      <c r="BL73" s="889">
        <v>0</v>
      </c>
      <c r="BM73" s="890">
        <v>0</v>
      </c>
      <c r="BN73" s="958">
        <v>0</v>
      </c>
      <c r="BO73" s="959">
        <v>18</v>
      </c>
      <c r="BP73" s="1018">
        <f t="shared" ref="BP73:BP83" ca="1" si="91">INDIRECT("'"&amp;AI73&amp;"'!"&amp;"B2")</f>
        <v>181.084</v>
      </c>
      <c r="BQ73" s="1018">
        <f t="shared" ref="BQ73:BQ83" ca="1" si="92">INDIRECT("'"&amp;AI73&amp;"'!"&amp;"C12")+INDIRECT("'"&amp;AI73&amp;"'!"&amp;"C13")+INDIRECT("'"&amp;AI73&amp;"'!"&amp;"C14")+INDIRECT("'"&amp;AI73&amp;"'!"&amp;"C15")+INDIRECT("'"&amp;AI73&amp;"'!"&amp;"C17")</f>
        <v>302.464</v>
      </c>
      <c r="BR73" s="1018">
        <f t="shared" ref="BR73:BR83" ca="1" si="93">INDIRECT("'"&amp;AI73&amp;"'!"&amp;"G5")</f>
        <v>104.854</v>
      </c>
      <c r="BS73" s="1018">
        <f t="shared" ref="BS73:BS83" ca="1" si="94">INDIRECT("'"&amp;AI73&amp;"'!"&amp;"G4")</f>
        <v>129.21406907627619</v>
      </c>
      <c r="BT73" s="1018">
        <f t="shared" ref="BT73:BT83" ca="1" si="95">INDIRECT("'"&amp;AI73&amp;"'!"&amp;"G6")</f>
        <v>104.86</v>
      </c>
      <c r="BU73" s="1018">
        <f t="shared" ref="BU73:BU83" ca="1" si="96">INDIRECT("'"&amp;AI73&amp;"'!"&amp;"G2")</f>
        <v>14</v>
      </c>
      <c r="BV73" s="1018">
        <f t="shared" ref="BV73:BV83" ca="1" si="97">INDIRECT("'"&amp;AI73&amp;"'!"&amp;"G3")</f>
        <v>4.3</v>
      </c>
      <c r="BW73" s="1018">
        <v>0</v>
      </c>
      <c r="BX73" s="1018">
        <f t="shared" ref="BX73:BX83" ca="1" si="98">IF(BR73=0,0,1/(1/(BR73*$BY$3)+1/(BR73*AR73)+1/(BR73*$BY$4)))</f>
        <v>31.789994946942901</v>
      </c>
      <c r="BY73" s="1018">
        <f t="shared" ref="BY73:BY83" ca="1" si="99">IF(BS73=0,0,1/(1/(BS73*$BY$3)+1/(BS73*AS73)+1/(BS73*$BY$4)))</f>
        <v>291.28273085838049</v>
      </c>
      <c r="BZ73" s="1018">
        <f t="shared" ca="1" si="17"/>
        <v>26.681340533672177</v>
      </c>
      <c r="CA73" s="1018">
        <f t="shared" ca="1" si="18"/>
        <v>27.999999988800003</v>
      </c>
      <c r="CB73" s="1018">
        <f t="shared" ref="CB73:CB83" ca="1" si="100">IF(BV73=0,0,1/(1/(BV73*$BY$3)+1/(BV73*AV73)+1/(BV73*$BY$4)))</f>
        <v>9.0267175572519083</v>
      </c>
      <c r="CC73" s="1018">
        <f t="shared" si="19"/>
        <v>0</v>
      </c>
      <c r="CD73" s="1018">
        <f ca="1">SUM(BX73:CC73)+(BR73+BS73+BT73+BU73+BV73)*BN73</f>
        <v>386.78078388504753</v>
      </c>
      <c r="CE73" s="1018">
        <f ca="1">0.34*BO73*(1/25)^0.66*(BR73+BS73+BU73+BV73)</f>
        <v>184.56333165243285</v>
      </c>
      <c r="CF73" s="1018">
        <f t="shared" ca="1" si="22"/>
        <v>17.140323466124411</v>
      </c>
      <c r="CG73" s="1018">
        <f t="shared" ca="1" si="23"/>
        <v>28537.952958158494</v>
      </c>
    </row>
    <row r="74" spans="3:85" x14ac:dyDescent="0.25">
      <c r="D74" s="1"/>
      <c r="F74" s="1"/>
      <c r="G74" s="3"/>
      <c r="H74" s="6"/>
      <c r="I74" s="3"/>
      <c r="J74" s="6"/>
      <c r="K74" s="8"/>
      <c r="L74" s="6"/>
      <c r="M74" s="1"/>
      <c r="N74" s="1"/>
      <c r="O74" s="1" t="s">
        <v>18</v>
      </c>
      <c r="P74" s="4"/>
      <c r="Q74" s="1" t="s">
        <v>7</v>
      </c>
      <c r="R74" s="4"/>
      <c r="T74" s="77"/>
      <c r="U74" s="294"/>
      <c r="X74" s="176">
        <f t="shared" ref="X74:X83" si="101">W62-X62</f>
        <v>0</v>
      </c>
      <c r="Y74" s="34">
        <f>X74/Calculation_sheet!M$67</f>
        <v>0</v>
      </c>
      <c r="Z74" s="176">
        <f ca="1">IF(AN74&gt;0,Y74*Calculation_sheet!C$87,0)</f>
        <v>0</v>
      </c>
      <c r="AA74" s="176">
        <f t="shared" ref="AA74:AA83" ca="1" si="102">Y74-Z74</f>
        <v>0</v>
      </c>
      <c r="AB74" s="176">
        <f ca="1">IF(AP74&gt;0,AA74*Calculation_sheet!C$94,0)</f>
        <v>0</v>
      </c>
      <c r="AC74" s="176">
        <f t="shared" ca="1" si="90"/>
        <v>0</v>
      </c>
      <c r="AD74" s="958">
        <f ca="1">AC74*Calculation_sheet!C$99</f>
        <v>0</v>
      </c>
      <c r="AE74" s="176">
        <f t="shared" ca="1" si="90"/>
        <v>0</v>
      </c>
      <c r="AF74" s="176">
        <f t="shared" ref="AF74:AF83" ca="1" si="103">Y74-AB74</f>
        <v>0</v>
      </c>
      <c r="AG74" s="958">
        <f ca="1">AF74*User_sheet!B$77/100</f>
        <v>0</v>
      </c>
      <c r="AH74" s="313"/>
      <c r="AI74" s="883">
        <v>101</v>
      </c>
      <c r="AJ74" s="985"/>
      <c r="AK74" s="1020">
        <f t="shared" ca="1" si="15"/>
        <v>386.78078388504753</v>
      </c>
      <c r="AL74" s="954">
        <f ca="1">AK74/'101'!I$24</f>
        <v>1.0962550540214009</v>
      </c>
      <c r="AM74" s="954">
        <f ca="1">0.8*(AK74*30+'101'!D$17*0.34*30*1)</f>
        <v>13008.209661241141</v>
      </c>
      <c r="AN74" s="954">
        <f ca="1">IF(AM74&lt;User_sheet!B$50,Y74,0)</f>
        <v>0</v>
      </c>
      <c r="AO74" s="954">
        <f ca="1">20-(User_sheet!B$57/('Freestanding '!AK74+'101'!D$17*1*0.34))</f>
        <v>9.483564336481674</v>
      </c>
      <c r="AP74" s="954">
        <f ca="1">IF(AO74&lt;User_sheet!B$59,0,BC74*AA74)</f>
        <v>0</v>
      </c>
      <c r="AQ74" s="985"/>
      <c r="AR74" s="883">
        <v>0.32</v>
      </c>
      <c r="AS74" s="883">
        <v>3.7</v>
      </c>
      <c r="AT74" s="883">
        <v>0.89</v>
      </c>
      <c r="AU74" s="883">
        <v>2</v>
      </c>
      <c r="AV74" s="883">
        <v>3.3</v>
      </c>
      <c r="AW74" s="883">
        <v>14356</v>
      </c>
      <c r="AX74" s="883">
        <v>76466.30421774846</v>
      </c>
      <c r="AY74" s="883">
        <v>79015.992973719694</v>
      </c>
      <c r="AZ74" s="886">
        <v>0</v>
      </c>
      <c r="BA74" s="886">
        <v>0</v>
      </c>
      <c r="BB74" s="883">
        <v>0.6</v>
      </c>
      <c r="BC74" s="888">
        <v>1</v>
      </c>
      <c r="BD74" s="889">
        <v>0</v>
      </c>
      <c r="BE74" s="889">
        <v>0</v>
      </c>
      <c r="BF74" s="890">
        <v>0</v>
      </c>
      <c r="BG74" s="889">
        <v>1</v>
      </c>
      <c r="BH74" s="889">
        <v>0</v>
      </c>
      <c r="BI74" s="890">
        <v>0</v>
      </c>
      <c r="BJ74" s="889">
        <v>0</v>
      </c>
      <c r="BK74" s="889">
        <v>0</v>
      </c>
      <c r="BL74" s="889">
        <v>1</v>
      </c>
      <c r="BM74" s="890">
        <v>0</v>
      </c>
      <c r="BN74" s="958">
        <v>0</v>
      </c>
      <c r="BO74" s="959">
        <v>18</v>
      </c>
      <c r="BP74" s="1018">
        <f t="shared" ca="1" si="91"/>
        <v>181.084</v>
      </c>
      <c r="BQ74" s="1018">
        <f t="shared" ca="1" si="92"/>
        <v>302.464</v>
      </c>
      <c r="BR74" s="1018">
        <f t="shared" ca="1" si="93"/>
        <v>104.854</v>
      </c>
      <c r="BS74" s="1018">
        <f t="shared" ca="1" si="94"/>
        <v>129.21406907627619</v>
      </c>
      <c r="BT74" s="1018">
        <f t="shared" ca="1" si="95"/>
        <v>104.86</v>
      </c>
      <c r="BU74" s="1018">
        <f t="shared" ca="1" si="96"/>
        <v>14</v>
      </c>
      <c r="BV74" s="1018">
        <f t="shared" ca="1" si="97"/>
        <v>4.3</v>
      </c>
      <c r="BW74" s="1018">
        <v>0</v>
      </c>
      <c r="BX74" s="1018">
        <f t="shared" ca="1" si="98"/>
        <v>31.789994946942901</v>
      </c>
      <c r="BY74" s="1018">
        <f t="shared" ca="1" si="99"/>
        <v>291.28273085838049</v>
      </c>
      <c r="BZ74" s="1018">
        <f t="shared" ca="1" si="17"/>
        <v>26.681340533672177</v>
      </c>
      <c r="CA74" s="1018">
        <f t="shared" ca="1" si="18"/>
        <v>27.999999988800003</v>
      </c>
      <c r="CB74" s="1018">
        <f t="shared" ca="1" si="100"/>
        <v>9.0267175572519083</v>
      </c>
      <c r="CC74" s="1018">
        <f t="shared" si="19"/>
        <v>0</v>
      </c>
      <c r="CD74" s="1018">
        <f t="shared" ref="CD74:CD83" ca="1" si="104">SUM(BX74:CC74)+(BR74+BS74+BT74+BU74+BV74)*BN74</f>
        <v>386.78078388504753</v>
      </c>
      <c r="CE74" s="1018">
        <f t="shared" ref="CE74:CE83" ca="1" si="105">0.34*BO74*(1/25)^0.66*(BR74+BS74+BU74+BV74)</f>
        <v>184.56333165243285</v>
      </c>
      <c r="CF74" s="1018">
        <f t="shared" ca="1" si="22"/>
        <v>17.140323466124411</v>
      </c>
      <c r="CG74" s="1018">
        <f t="shared" ca="1" si="23"/>
        <v>28537.952958158494</v>
      </c>
    </row>
    <row r="75" spans="3:85" x14ac:dyDescent="0.25">
      <c r="D75" s="1"/>
      <c r="F75" s="1"/>
      <c r="G75" s="3"/>
      <c r="H75" s="6"/>
      <c r="I75" s="3"/>
      <c r="J75" s="6"/>
      <c r="K75" s="8"/>
      <c r="L75" s="6"/>
      <c r="M75" s="1"/>
      <c r="N75" s="1"/>
      <c r="O75" s="1"/>
      <c r="P75" s="1"/>
      <c r="Q75" s="1" t="s">
        <v>16</v>
      </c>
      <c r="R75" s="4"/>
      <c r="T75" s="77"/>
      <c r="U75" s="294"/>
      <c r="X75" s="176">
        <f t="shared" si="101"/>
        <v>0</v>
      </c>
      <c r="Y75" s="34">
        <f>X75/Calculation_sheet!M$67</f>
        <v>0</v>
      </c>
      <c r="Z75" s="176">
        <f ca="1">IF(AN75&gt;0,Y75*Calculation_sheet!C$87,0)</f>
        <v>0</v>
      </c>
      <c r="AA75" s="176">
        <f t="shared" ca="1" si="102"/>
        <v>0</v>
      </c>
      <c r="AB75" s="176">
        <f ca="1">IF(AP75&gt;0,AA75*Calculation_sheet!C$94,0)</f>
        <v>0</v>
      </c>
      <c r="AC75" s="176">
        <f t="shared" ca="1" si="90"/>
        <v>0</v>
      </c>
      <c r="AD75" s="958">
        <f ca="1">AC75*Calculation_sheet!C$99</f>
        <v>0</v>
      </c>
      <c r="AE75" s="176">
        <f t="shared" ca="1" si="90"/>
        <v>0</v>
      </c>
      <c r="AF75" s="176">
        <f t="shared" ca="1" si="103"/>
        <v>0</v>
      </c>
      <c r="AG75" s="958">
        <f ca="1">AF75*User_sheet!B$77/100</f>
        <v>0</v>
      </c>
      <c r="AH75" s="313"/>
      <c r="AI75" s="883">
        <v>101</v>
      </c>
      <c r="AJ75" s="985"/>
      <c r="AK75" s="1020">
        <f t="shared" ca="1" si="15"/>
        <v>386.78078388504753</v>
      </c>
      <c r="AL75" s="954">
        <f ca="1">AK75/'101'!I$24</f>
        <v>1.0962550540214009</v>
      </c>
      <c r="AM75" s="954">
        <f ca="1">0.8*(AK75*30+'101'!D$17*0.34*30*1)</f>
        <v>13008.209661241141</v>
      </c>
      <c r="AN75" s="954">
        <f ca="1">IF(AM75&lt;User_sheet!B$50,Y75,0)</f>
        <v>0</v>
      </c>
      <c r="AO75" s="954">
        <f ca="1">20-(User_sheet!B$57/('Freestanding '!AK75+'101'!D$17*1*0.34))</f>
        <v>9.483564336481674</v>
      </c>
      <c r="AP75" s="954">
        <f ca="1">IF(AO75&lt;User_sheet!B$59,0,BC75*AA75)</f>
        <v>0</v>
      </c>
      <c r="AQ75" s="985"/>
      <c r="AR75" s="883">
        <v>0.32</v>
      </c>
      <c r="AS75" s="883">
        <v>3.7</v>
      </c>
      <c r="AT75" s="883">
        <v>0.89</v>
      </c>
      <c r="AU75" s="883">
        <v>2</v>
      </c>
      <c r="AV75" s="883">
        <v>3.3</v>
      </c>
      <c r="AW75" s="883">
        <v>14356</v>
      </c>
      <c r="AX75" s="883">
        <v>76466.30421774846</v>
      </c>
      <c r="AY75" s="883">
        <v>79015.992973719694</v>
      </c>
      <c r="AZ75" s="886">
        <v>0</v>
      </c>
      <c r="BA75" s="886">
        <v>0</v>
      </c>
      <c r="BB75" s="883">
        <v>0.6</v>
      </c>
      <c r="BC75" s="888">
        <v>1</v>
      </c>
      <c r="BD75" s="889">
        <v>0</v>
      </c>
      <c r="BE75" s="889">
        <v>0</v>
      </c>
      <c r="BF75" s="890">
        <v>0</v>
      </c>
      <c r="BG75" s="889">
        <v>0</v>
      </c>
      <c r="BH75" s="889">
        <v>1</v>
      </c>
      <c r="BI75" s="890">
        <v>0</v>
      </c>
      <c r="BJ75" s="889">
        <v>1</v>
      </c>
      <c r="BK75" s="889">
        <v>0</v>
      </c>
      <c r="BL75" s="889">
        <v>0</v>
      </c>
      <c r="BM75" s="890">
        <v>0</v>
      </c>
      <c r="BN75" s="958">
        <v>0</v>
      </c>
      <c r="BO75" s="959">
        <v>18</v>
      </c>
      <c r="BP75" s="1018">
        <f t="shared" ca="1" si="91"/>
        <v>181.084</v>
      </c>
      <c r="BQ75" s="1018">
        <f t="shared" ca="1" si="92"/>
        <v>302.464</v>
      </c>
      <c r="BR75" s="1018">
        <f t="shared" ca="1" si="93"/>
        <v>104.854</v>
      </c>
      <c r="BS75" s="1018">
        <f t="shared" ca="1" si="94"/>
        <v>129.21406907627619</v>
      </c>
      <c r="BT75" s="1018">
        <f t="shared" ca="1" si="95"/>
        <v>104.86</v>
      </c>
      <c r="BU75" s="1018">
        <f t="shared" ca="1" si="96"/>
        <v>14</v>
      </c>
      <c r="BV75" s="1018">
        <f t="shared" ca="1" si="97"/>
        <v>4.3</v>
      </c>
      <c r="BW75" s="1018">
        <v>0</v>
      </c>
      <c r="BX75" s="1018">
        <f t="shared" ca="1" si="98"/>
        <v>31.789994946942901</v>
      </c>
      <c r="BY75" s="1018">
        <f t="shared" ca="1" si="99"/>
        <v>291.28273085838049</v>
      </c>
      <c r="BZ75" s="1018">
        <f t="shared" ca="1" si="17"/>
        <v>26.681340533672177</v>
      </c>
      <c r="CA75" s="1018">
        <f t="shared" ca="1" si="18"/>
        <v>27.999999988800003</v>
      </c>
      <c r="CB75" s="1018">
        <f t="shared" ca="1" si="100"/>
        <v>9.0267175572519083</v>
      </c>
      <c r="CC75" s="1018">
        <f t="shared" si="19"/>
        <v>0</v>
      </c>
      <c r="CD75" s="1018">
        <f t="shared" ca="1" si="104"/>
        <v>386.78078388504753</v>
      </c>
      <c r="CE75" s="1018">
        <f t="shared" ca="1" si="105"/>
        <v>184.56333165243285</v>
      </c>
      <c r="CF75" s="1018">
        <f t="shared" ca="1" si="22"/>
        <v>17.140323466124411</v>
      </c>
      <c r="CG75" s="1018">
        <f t="shared" ca="1" si="23"/>
        <v>28537.952958158494</v>
      </c>
    </row>
    <row r="76" spans="3:85" x14ac:dyDescent="0.25">
      <c r="D76" s="1"/>
      <c r="F76" s="1"/>
      <c r="G76" s="3"/>
      <c r="H76" s="6"/>
      <c r="I76" s="3"/>
      <c r="J76" s="6"/>
      <c r="K76" s="8"/>
      <c r="L76" s="6"/>
      <c r="M76" s="1" t="s">
        <v>16</v>
      </c>
      <c r="N76" s="4"/>
      <c r="O76" s="1" t="s">
        <v>19</v>
      </c>
      <c r="P76" s="4"/>
      <c r="Q76" s="1" t="s">
        <v>7</v>
      </c>
      <c r="R76" s="4"/>
      <c r="T76" s="77"/>
      <c r="U76" s="294"/>
      <c r="X76" s="176">
        <f t="shared" si="101"/>
        <v>0</v>
      </c>
      <c r="Y76" s="34">
        <f>X76/Calculation_sheet!M$67</f>
        <v>0</v>
      </c>
      <c r="Z76" s="176">
        <f ca="1">IF(AN76&gt;0,Y76*Calculation_sheet!C$87,0)</f>
        <v>0</v>
      </c>
      <c r="AA76" s="176">
        <f t="shared" ca="1" si="102"/>
        <v>0</v>
      </c>
      <c r="AB76" s="176">
        <f ca="1">IF(AP76&gt;0,AA76*Calculation_sheet!C$94,0)</f>
        <v>0</v>
      </c>
      <c r="AC76" s="176">
        <f t="shared" ca="1" si="90"/>
        <v>0</v>
      </c>
      <c r="AD76" s="958">
        <f ca="1">AC76*Calculation_sheet!C$99</f>
        <v>0</v>
      </c>
      <c r="AE76" s="176">
        <f t="shared" ca="1" si="90"/>
        <v>0</v>
      </c>
      <c r="AF76" s="176">
        <f t="shared" ca="1" si="103"/>
        <v>0</v>
      </c>
      <c r="AG76" s="958">
        <f ca="1">AF76*User_sheet!B$77/100</f>
        <v>0</v>
      </c>
      <c r="AH76" s="313"/>
      <c r="AI76" s="883">
        <v>101</v>
      </c>
      <c r="AJ76" s="985"/>
      <c r="AK76" s="1020">
        <f t="shared" ca="1" si="15"/>
        <v>386.78078388504753</v>
      </c>
      <c r="AL76" s="954">
        <f ca="1">AK76/'101'!I$24</f>
        <v>1.0962550540214009</v>
      </c>
      <c r="AM76" s="954">
        <f ca="1">0.8*(AK76*30+'101'!D$17*0.34*30*1)</f>
        <v>13008.209661241141</v>
      </c>
      <c r="AN76" s="954">
        <f ca="1">IF(AM76&lt;User_sheet!B$50,Y76,0)</f>
        <v>0</v>
      </c>
      <c r="AO76" s="954">
        <f ca="1">20-(User_sheet!B$57/('Freestanding '!AK76+'101'!D$17*1*0.34))</f>
        <v>9.483564336481674</v>
      </c>
      <c r="AP76" s="954">
        <f ca="1">IF(AO76&lt;User_sheet!B$59,0,BC76*AA76)</f>
        <v>0</v>
      </c>
      <c r="AQ76" s="985"/>
      <c r="AR76" s="883">
        <v>0.32</v>
      </c>
      <c r="AS76" s="883">
        <v>3.7</v>
      </c>
      <c r="AT76" s="883">
        <v>0.89</v>
      </c>
      <c r="AU76" s="883">
        <v>2</v>
      </c>
      <c r="AV76" s="883">
        <v>3.3</v>
      </c>
      <c r="AW76" s="883">
        <v>14356</v>
      </c>
      <c r="AX76" s="883">
        <v>76466.30421774846</v>
      </c>
      <c r="AY76" s="883">
        <v>79015.992973719694</v>
      </c>
      <c r="AZ76" s="886">
        <v>0</v>
      </c>
      <c r="BA76" s="886">
        <v>0</v>
      </c>
      <c r="BB76" s="883">
        <v>0.6</v>
      </c>
      <c r="BC76" s="888">
        <v>1</v>
      </c>
      <c r="BD76" s="889">
        <v>0</v>
      </c>
      <c r="BE76" s="889">
        <v>0</v>
      </c>
      <c r="BF76" s="890">
        <v>0</v>
      </c>
      <c r="BG76" s="889">
        <v>0</v>
      </c>
      <c r="BH76" s="889">
        <v>1</v>
      </c>
      <c r="BI76" s="890">
        <v>0</v>
      </c>
      <c r="BJ76" s="889">
        <v>0</v>
      </c>
      <c r="BK76" s="889">
        <v>0</v>
      </c>
      <c r="BL76" s="889">
        <v>1</v>
      </c>
      <c r="BM76" s="890">
        <v>0</v>
      </c>
      <c r="BN76" s="958">
        <v>0</v>
      </c>
      <c r="BO76" s="959">
        <v>18</v>
      </c>
      <c r="BP76" s="1018">
        <f t="shared" ca="1" si="91"/>
        <v>181.084</v>
      </c>
      <c r="BQ76" s="1018">
        <f t="shared" ca="1" si="92"/>
        <v>302.464</v>
      </c>
      <c r="BR76" s="1018">
        <f t="shared" ca="1" si="93"/>
        <v>104.854</v>
      </c>
      <c r="BS76" s="1018">
        <f t="shared" ca="1" si="94"/>
        <v>129.21406907627619</v>
      </c>
      <c r="BT76" s="1018">
        <f t="shared" ca="1" si="95"/>
        <v>104.86</v>
      </c>
      <c r="BU76" s="1018">
        <f t="shared" ca="1" si="96"/>
        <v>14</v>
      </c>
      <c r="BV76" s="1018">
        <f t="shared" ca="1" si="97"/>
        <v>4.3</v>
      </c>
      <c r="BW76" s="1018">
        <v>0</v>
      </c>
      <c r="BX76" s="1018">
        <f t="shared" ca="1" si="98"/>
        <v>31.789994946942901</v>
      </c>
      <c r="BY76" s="1018">
        <f t="shared" ca="1" si="99"/>
        <v>291.28273085838049</v>
      </c>
      <c r="BZ76" s="1018">
        <f t="shared" ca="1" si="17"/>
        <v>26.681340533672177</v>
      </c>
      <c r="CA76" s="1018">
        <f t="shared" ca="1" si="18"/>
        <v>27.999999988800003</v>
      </c>
      <c r="CB76" s="1018">
        <f t="shared" ca="1" si="100"/>
        <v>9.0267175572519083</v>
      </c>
      <c r="CC76" s="1018">
        <f t="shared" si="19"/>
        <v>0</v>
      </c>
      <c r="CD76" s="1018">
        <f t="shared" ca="1" si="104"/>
        <v>386.78078388504753</v>
      </c>
      <c r="CE76" s="1018">
        <f t="shared" ca="1" si="105"/>
        <v>184.56333165243285</v>
      </c>
      <c r="CF76" s="1018">
        <f t="shared" ca="1" si="22"/>
        <v>17.140323466124411</v>
      </c>
      <c r="CG76" s="1018">
        <f t="shared" ca="1" si="23"/>
        <v>28537.952958158494</v>
      </c>
    </row>
    <row r="77" spans="3:85" x14ac:dyDescent="0.25">
      <c r="D77" s="1"/>
      <c r="F77" s="1"/>
      <c r="G77" s="3"/>
      <c r="H77" s="6"/>
      <c r="I77" s="3"/>
      <c r="J77" s="6"/>
      <c r="K77" s="8"/>
      <c r="L77" s="6"/>
      <c r="M77" s="1"/>
      <c r="N77" s="1"/>
      <c r="O77" s="1"/>
      <c r="P77" s="1"/>
      <c r="Q77" s="1" t="s">
        <v>22</v>
      </c>
      <c r="R77" s="4"/>
      <c r="T77" s="77"/>
      <c r="U77" s="294"/>
      <c r="X77" s="176">
        <f t="shared" si="101"/>
        <v>0</v>
      </c>
      <c r="Y77" s="34">
        <f>X77/Calculation_sheet!M$67</f>
        <v>0</v>
      </c>
      <c r="Z77" s="176">
        <f ca="1">IF(AN77&gt;0,Y77*Calculation_sheet!C$87,0)</f>
        <v>0</v>
      </c>
      <c r="AA77" s="176">
        <f t="shared" ca="1" si="102"/>
        <v>0</v>
      </c>
      <c r="AB77" s="176">
        <f ca="1">IF(AP77&gt;0,AA77*Calculation_sheet!C$94,0)</f>
        <v>0</v>
      </c>
      <c r="AC77" s="176">
        <f t="shared" ca="1" si="90"/>
        <v>0</v>
      </c>
      <c r="AD77" s="958">
        <f ca="1">AC77*Calculation_sheet!C$99</f>
        <v>0</v>
      </c>
      <c r="AE77" s="176">
        <f t="shared" ca="1" si="90"/>
        <v>0</v>
      </c>
      <c r="AF77" s="176">
        <f t="shared" ca="1" si="103"/>
        <v>0</v>
      </c>
      <c r="AG77" s="958">
        <f ca="1">AF77*User_sheet!B$77/100</f>
        <v>0</v>
      </c>
      <c r="AH77" s="313"/>
      <c r="AI77" s="883">
        <v>101</v>
      </c>
      <c r="AJ77" s="985"/>
      <c r="AK77" s="1020">
        <f t="shared" ca="1" si="15"/>
        <v>386.78078388504753</v>
      </c>
      <c r="AL77" s="954">
        <f ca="1">AK77/'101'!I$24</f>
        <v>1.0962550540214009</v>
      </c>
      <c r="AM77" s="954">
        <f ca="1">0.8*(AK77*30+'101'!D$17*0.34*30*1)</f>
        <v>13008.209661241141</v>
      </c>
      <c r="AN77" s="954">
        <f ca="1">IF(AM77&lt;User_sheet!B$50,Y77,0)</f>
        <v>0</v>
      </c>
      <c r="AO77" s="954">
        <f ca="1">20-(User_sheet!B$57/('Freestanding '!AK77+'101'!D$17*1*0.34))</f>
        <v>9.483564336481674</v>
      </c>
      <c r="AP77" s="954">
        <f ca="1">IF(AO77&lt;User_sheet!B$59,0,BC77*AA77)</f>
        <v>0</v>
      </c>
      <c r="AQ77" s="985"/>
      <c r="AR77" s="883">
        <v>0.32</v>
      </c>
      <c r="AS77" s="883">
        <v>3.7</v>
      </c>
      <c r="AT77" s="883">
        <v>0.89</v>
      </c>
      <c r="AU77" s="883">
        <v>2</v>
      </c>
      <c r="AV77" s="883">
        <v>3.3</v>
      </c>
      <c r="AW77" s="883">
        <v>14356</v>
      </c>
      <c r="AX77" s="883">
        <v>76466.30421774846</v>
      </c>
      <c r="AY77" s="883">
        <v>79015.992973719694</v>
      </c>
      <c r="AZ77" s="886">
        <v>0</v>
      </c>
      <c r="BA77" s="886">
        <v>0</v>
      </c>
      <c r="BB77" s="883">
        <v>0.6</v>
      </c>
      <c r="BC77" s="888">
        <v>0</v>
      </c>
      <c r="BD77" s="889">
        <v>1</v>
      </c>
      <c r="BE77" s="889">
        <v>0</v>
      </c>
      <c r="BF77" s="890">
        <v>0</v>
      </c>
      <c r="BG77" s="889">
        <v>1</v>
      </c>
      <c r="BH77" s="889">
        <v>0</v>
      </c>
      <c r="BI77" s="890">
        <v>0</v>
      </c>
      <c r="BJ77" s="889">
        <v>0</v>
      </c>
      <c r="BK77" s="889">
        <v>1</v>
      </c>
      <c r="BL77" s="889">
        <v>0</v>
      </c>
      <c r="BM77" s="890">
        <v>0</v>
      </c>
      <c r="BN77" s="958">
        <v>0</v>
      </c>
      <c r="BO77" s="959">
        <v>18</v>
      </c>
      <c r="BP77" s="1018">
        <f t="shared" ca="1" si="91"/>
        <v>181.084</v>
      </c>
      <c r="BQ77" s="1018">
        <f t="shared" ca="1" si="92"/>
        <v>302.464</v>
      </c>
      <c r="BR77" s="1018">
        <f t="shared" ca="1" si="93"/>
        <v>104.854</v>
      </c>
      <c r="BS77" s="1018">
        <f t="shared" ca="1" si="94"/>
        <v>129.21406907627619</v>
      </c>
      <c r="BT77" s="1018">
        <f t="shared" ca="1" si="95"/>
        <v>104.86</v>
      </c>
      <c r="BU77" s="1018">
        <f t="shared" ca="1" si="96"/>
        <v>14</v>
      </c>
      <c r="BV77" s="1018">
        <f t="shared" ca="1" si="97"/>
        <v>4.3</v>
      </c>
      <c r="BW77" s="1018">
        <v>0</v>
      </c>
      <c r="BX77" s="1018">
        <f t="shared" ca="1" si="98"/>
        <v>31.789994946942901</v>
      </c>
      <c r="BY77" s="1018">
        <f t="shared" ca="1" si="99"/>
        <v>291.28273085838049</v>
      </c>
      <c r="BZ77" s="1018">
        <f t="shared" ca="1" si="17"/>
        <v>26.681340533672177</v>
      </c>
      <c r="CA77" s="1018">
        <f t="shared" ca="1" si="18"/>
        <v>27.999999988800003</v>
      </c>
      <c r="CB77" s="1018">
        <f t="shared" ca="1" si="100"/>
        <v>9.0267175572519083</v>
      </c>
      <c r="CC77" s="1018">
        <f t="shared" si="19"/>
        <v>0</v>
      </c>
      <c r="CD77" s="1018">
        <f t="shared" ca="1" si="104"/>
        <v>386.78078388504753</v>
      </c>
      <c r="CE77" s="1018">
        <f t="shared" ca="1" si="105"/>
        <v>184.56333165243285</v>
      </c>
      <c r="CF77" s="1018">
        <f t="shared" ca="1" si="22"/>
        <v>17.140323466124411</v>
      </c>
      <c r="CG77" s="1018">
        <f t="shared" ca="1" si="23"/>
        <v>28537.952958158494</v>
      </c>
    </row>
    <row r="78" spans="3:85" x14ac:dyDescent="0.25">
      <c r="D78" s="1"/>
      <c r="F78" s="1"/>
      <c r="G78" s="3"/>
      <c r="H78" s="6"/>
      <c r="I78" s="3"/>
      <c r="J78" s="3" t="s">
        <v>144</v>
      </c>
      <c r="K78" s="8"/>
      <c r="L78" s="6"/>
      <c r="M78" s="1"/>
      <c r="N78" s="1"/>
      <c r="O78" s="1" t="s">
        <v>18</v>
      </c>
      <c r="P78" s="4"/>
      <c r="Q78" s="1" t="s">
        <v>7</v>
      </c>
      <c r="R78" s="4"/>
      <c r="T78" s="77"/>
      <c r="U78" s="294"/>
      <c r="X78" s="176">
        <f t="shared" si="101"/>
        <v>0</v>
      </c>
      <c r="Y78" s="34">
        <f>X78/Calculation_sheet!M$67</f>
        <v>0</v>
      </c>
      <c r="Z78" s="176">
        <f ca="1">IF(AN78&gt;0,Y78*Calculation_sheet!C$87,0)</f>
        <v>0</v>
      </c>
      <c r="AA78" s="176">
        <f t="shared" ca="1" si="102"/>
        <v>0</v>
      </c>
      <c r="AB78" s="176">
        <f ca="1">IF(AP78&gt;0,AA78*Calculation_sheet!C$94,0)</f>
        <v>0</v>
      </c>
      <c r="AC78" s="176">
        <f t="shared" ca="1" si="90"/>
        <v>0</v>
      </c>
      <c r="AD78" s="958">
        <f ca="1">AC78*Calculation_sheet!C$99</f>
        <v>0</v>
      </c>
      <c r="AE78" s="176">
        <f t="shared" ca="1" si="90"/>
        <v>0</v>
      </c>
      <c r="AF78" s="176">
        <f t="shared" ca="1" si="103"/>
        <v>0</v>
      </c>
      <c r="AG78" s="958">
        <f ca="1">AF78*User_sheet!B$77/100</f>
        <v>0</v>
      </c>
      <c r="AH78" s="313"/>
      <c r="AI78" s="883">
        <v>101</v>
      </c>
      <c r="AJ78" s="985"/>
      <c r="AK78" s="1020">
        <f t="shared" ref="AK78:AK141" ca="1" si="106">CD78</f>
        <v>386.78078388504753</v>
      </c>
      <c r="AL78" s="954">
        <f ca="1">AK78/'101'!I$24</f>
        <v>1.0962550540214009</v>
      </c>
      <c r="AM78" s="954">
        <f ca="1">0.8*(AK78*30+'101'!D$17*0.34*30*1)</f>
        <v>13008.209661241141</v>
      </c>
      <c r="AN78" s="954">
        <f ca="1">IF(AM78&lt;User_sheet!B$50,Y78,0)</f>
        <v>0</v>
      </c>
      <c r="AO78" s="954">
        <f ca="1">20-(User_sheet!B$57/('Freestanding '!AK78+'101'!D$17*1*0.34))</f>
        <v>9.483564336481674</v>
      </c>
      <c r="AP78" s="954">
        <f ca="1">IF(AO78&lt;User_sheet!B$59,0,BC78*AA78)</f>
        <v>0</v>
      </c>
      <c r="AQ78" s="985"/>
      <c r="AR78" s="883">
        <v>0.32</v>
      </c>
      <c r="AS78" s="883">
        <v>3.7</v>
      </c>
      <c r="AT78" s="883">
        <v>0.89</v>
      </c>
      <c r="AU78" s="883">
        <v>2</v>
      </c>
      <c r="AV78" s="883">
        <v>3.3</v>
      </c>
      <c r="AW78" s="883">
        <v>14356</v>
      </c>
      <c r="AX78" s="883">
        <v>76466.30421774846</v>
      </c>
      <c r="AY78" s="883">
        <v>79015.992973719694</v>
      </c>
      <c r="AZ78" s="886">
        <v>0</v>
      </c>
      <c r="BA78" s="886">
        <v>0</v>
      </c>
      <c r="BB78" s="883">
        <v>0.6</v>
      </c>
      <c r="BC78" s="888">
        <v>0</v>
      </c>
      <c r="BD78" s="889">
        <v>1</v>
      </c>
      <c r="BE78" s="889">
        <v>0</v>
      </c>
      <c r="BF78" s="890">
        <v>0</v>
      </c>
      <c r="BG78" s="889">
        <v>1</v>
      </c>
      <c r="BH78" s="889">
        <v>0</v>
      </c>
      <c r="BI78" s="890">
        <v>0</v>
      </c>
      <c r="BJ78" s="889">
        <v>0</v>
      </c>
      <c r="BK78" s="889">
        <v>0</v>
      </c>
      <c r="BL78" s="889">
        <v>1</v>
      </c>
      <c r="BM78" s="890">
        <v>0</v>
      </c>
      <c r="BN78" s="958">
        <v>0</v>
      </c>
      <c r="BO78" s="959">
        <v>18</v>
      </c>
      <c r="BP78" s="1018">
        <f t="shared" ca="1" si="91"/>
        <v>181.084</v>
      </c>
      <c r="BQ78" s="1018">
        <f t="shared" ca="1" si="92"/>
        <v>302.464</v>
      </c>
      <c r="BR78" s="1018">
        <f t="shared" ca="1" si="93"/>
        <v>104.854</v>
      </c>
      <c r="BS78" s="1018">
        <f t="shared" ca="1" si="94"/>
        <v>129.21406907627619</v>
      </c>
      <c r="BT78" s="1018">
        <f t="shared" ca="1" si="95"/>
        <v>104.86</v>
      </c>
      <c r="BU78" s="1018">
        <f t="shared" ca="1" si="96"/>
        <v>14</v>
      </c>
      <c r="BV78" s="1018">
        <f t="shared" ca="1" si="97"/>
        <v>4.3</v>
      </c>
      <c r="BW78" s="1018">
        <v>0</v>
      </c>
      <c r="BX78" s="1018">
        <f t="shared" ca="1" si="98"/>
        <v>31.789994946942901</v>
      </c>
      <c r="BY78" s="1018">
        <f t="shared" ca="1" si="99"/>
        <v>291.28273085838049</v>
      </c>
      <c r="BZ78" s="1018">
        <f t="shared" ref="BZ78:BZ141" ca="1" si="107">IF(BT78=0,0,1/(1/(BT78*$BY$3)+1/(BT78*AT78)+1/(BT78*$BY$4)))*0.33</f>
        <v>26.681340533672177</v>
      </c>
      <c r="CA78" s="1018">
        <f t="shared" ref="CA78:CA141" ca="1" si="108">IF(BU78=0,0,1/(1/(BU78*$BY$5)+1/(BU78*AU78)+1/(BU78*$BY$6)))</f>
        <v>27.999999988800003</v>
      </c>
      <c r="CB78" s="1018">
        <f t="shared" ca="1" si="100"/>
        <v>9.0267175572519083</v>
      </c>
      <c r="CC78" s="1018">
        <f t="shared" ref="CC78:CC141" si="109">0.67*IF(BW78=0,0,1/(1/(BW78*$BY$3)+1/(BW78*AS78)+1/(BW78*$BY$4)))</f>
        <v>0</v>
      </c>
      <c r="CD78" s="1018">
        <f t="shared" ca="1" si="104"/>
        <v>386.78078388504753</v>
      </c>
      <c r="CE78" s="1018">
        <f t="shared" ca="1" si="105"/>
        <v>184.56333165243285</v>
      </c>
      <c r="CF78" s="1018">
        <f t="shared" ref="CF78:CF141" ca="1" si="110">(CD78+CE78)*($BY$7-$BV$5)/1000</f>
        <v>17.140323466124411</v>
      </c>
      <c r="CG78" s="1018">
        <f t="shared" ref="CG78:CG141" ca="1" si="111">$BV$8*(CD78+CE78)*($BY$10-$BV$7)*24/1000</f>
        <v>28537.952958158494</v>
      </c>
    </row>
    <row r="79" spans="3:85" x14ac:dyDescent="0.25">
      <c r="D79" s="1"/>
      <c r="F79" s="1"/>
      <c r="G79" s="3"/>
      <c r="H79" s="6"/>
      <c r="I79" s="3"/>
      <c r="J79" s="6" t="s">
        <v>190</v>
      </c>
      <c r="K79" s="8"/>
      <c r="L79" s="6"/>
      <c r="M79" s="1"/>
      <c r="N79" s="1"/>
      <c r="O79" s="1"/>
      <c r="P79" s="1"/>
      <c r="Q79" s="1" t="s">
        <v>22</v>
      </c>
      <c r="R79" s="4"/>
      <c r="T79" s="77"/>
      <c r="U79" s="294"/>
      <c r="X79" s="176">
        <f t="shared" si="101"/>
        <v>0</v>
      </c>
      <c r="Y79" s="34">
        <f>X79/Calculation_sheet!M$67</f>
        <v>0</v>
      </c>
      <c r="Z79" s="176">
        <f ca="1">IF(AN79&gt;0,Y79*Calculation_sheet!C$87,0)</f>
        <v>0</v>
      </c>
      <c r="AA79" s="176">
        <f t="shared" ca="1" si="102"/>
        <v>0</v>
      </c>
      <c r="AB79" s="176">
        <f ca="1">IF(AP79&gt;0,AA79*Calculation_sheet!C$94,0)</f>
        <v>0</v>
      </c>
      <c r="AC79" s="176">
        <f t="shared" ca="1" si="90"/>
        <v>0</v>
      </c>
      <c r="AD79" s="958">
        <f ca="1">AC79*Calculation_sheet!C$99</f>
        <v>0</v>
      </c>
      <c r="AE79" s="176">
        <f t="shared" ca="1" si="90"/>
        <v>0</v>
      </c>
      <c r="AF79" s="176">
        <f t="shared" ca="1" si="103"/>
        <v>0</v>
      </c>
      <c r="AG79" s="958">
        <f ca="1">AF79*User_sheet!B$77/100</f>
        <v>0</v>
      </c>
      <c r="AH79" s="313"/>
      <c r="AI79" s="883">
        <v>101</v>
      </c>
      <c r="AJ79" s="985"/>
      <c r="AK79" s="1020">
        <f t="shared" ca="1" si="106"/>
        <v>386.78078388504753</v>
      </c>
      <c r="AL79" s="954">
        <f ca="1">AK79/'101'!I$24</f>
        <v>1.0962550540214009</v>
      </c>
      <c r="AM79" s="954">
        <f ca="1">0.8*(AK79*30+'101'!D$17*0.34*30*1)</f>
        <v>13008.209661241141</v>
      </c>
      <c r="AN79" s="954">
        <f ca="1">IF(AM79&lt;User_sheet!B$50,Y79,0)</f>
        <v>0</v>
      </c>
      <c r="AO79" s="954">
        <f ca="1">20-(User_sheet!B$57/('Freestanding '!AK79+'101'!D$17*1*0.34))</f>
        <v>9.483564336481674</v>
      </c>
      <c r="AP79" s="954">
        <f ca="1">IF(AO79&lt;User_sheet!B$59,0,BC79*AA79)</f>
        <v>0</v>
      </c>
      <c r="AQ79" s="985"/>
      <c r="AR79" s="883">
        <v>0.32</v>
      </c>
      <c r="AS79" s="883">
        <v>3.7</v>
      </c>
      <c r="AT79" s="883">
        <v>0.89</v>
      </c>
      <c r="AU79" s="883">
        <v>2</v>
      </c>
      <c r="AV79" s="883">
        <v>3.3</v>
      </c>
      <c r="AW79" s="883">
        <v>14356</v>
      </c>
      <c r="AX79" s="883">
        <v>76466.30421774846</v>
      </c>
      <c r="AY79" s="883">
        <v>79015.992973719694</v>
      </c>
      <c r="AZ79" s="886">
        <v>0</v>
      </c>
      <c r="BA79" s="886">
        <v>0</v>
      </c>
      <c r="BB79" s="883">
        <v>0.6</v>
      </c>
      <c r="BC79" s="888">
        <v>0</v>
      </c>
      <c r="BD79" s="889">
        <v>1</v>
      </c>
      <c r="BE79" s="889">
        <v>0</v>
      </c>
      <c r="BF79" s="890">
        <v>0</v>
      </c>
      <c r="BG79" s="889">
        <v>0</v>
      </c>
      <c r="BH79" s="889">
        <v>1</v>
      </c>
      <c r="BI79" s="890">
        <v>0</v>
      </c>
      <c r="BJ79" s="889">
        <v>0</v>
      </c>
      <c r="BK79" s="889">
        <v>1</v>
      </c>
      <c r="BL79" s="889">
        <v>0</v>
      </c>
      <c r="BM79" s="890">
        <v>0</v>
      </c>
      <c r="BN79" s="958">
        <v>0</v>
      </c>
      <c r="BO79" s="959">
        <v>18</v>
      </c>
      <c r="BP79" s="1018">
        <f t="shared" ca="1" si="91"/>
        <v>181.084</v>
      </c>
      <c r="BQ79" s="1018">
        <f t="shared" ca="1" si="92"/>
        <v>302.464</v>
      </c>
      <c r="BR79" s="1018">
        <f t="shared" ca="1" si="93"/>
        <v>104.854</v>
      </c>
      <c r="BS79" s="1018">
        <f t="shared" ca="1" si="94"/>
        <v>129.21406907627619</v>
      </c>
      <c r="BT79" s="1018">
        <f t="shared" ca="1" si="95"/>
        <v>104.86</v>
      </c>
      <c r="BU79" s="1018">
        <f t="shared" ca="1" si="96"/>
        <v>14</v>
      </c>
      <c r="BV79" s="1018">
        <f t="shared" ca="1" si="97"/>
        <v>4.3</v>
      </c>
      <c r="BW79" s="1018">
        <v>0</v>
      </c>
      <c r="BX79" s="1018">
        <f t="shared" ca="1" si="98"/>
        <v>31.789994946942901</v>
      </c>
      <c r="BY79" s="1018">
        <f t="shared" ca="1" si="99"/>
        <v>291.28273085838049</v>
      </c>
      <c r="BZ79" s="1018">
        <f t="shared" ca="1" si="107"/>
        <v>26.681340533672177</v>
      </c>
      <c r="CA79" s="1018">
        <f t="shared" ca="1" si="108"/>
        <v>27.999999988800003</v>
      </c>
      <c r="CB79" s="1018">
        <f t="shared" ca="1" si="100"/>
        <v>9.0267175572519083</v>
      </c>
      <c r="CC79" s="1018">
        <f t="shared" si="109"/>
        <v>0</v>
      </c>
      <c r="CD79" s="1018">
        <f t="shared" ca="1" si="104"/>
        <v>386.78078388504753</v>
      </c>
      <c r="CE79" s="1018">
        <f t="shared" ca="1" si="105"/>
        <v>184.56333165243285</v>
      </c>
      <c r="CF79" s="1018">
        <f t="shared" ca="1" si="110"/>
        <v>17.140323466124411</v>
      </c>
      <c r="CG79" s="1018">
        <f t="shared" ca="1" si="111"/>
        <v>28537.952958158494</v>
      </c>
    </row>
    <row r="80" spans="3:85" x14ac:dyDescent="0.25">
      <c r="D80" s="1"/>
      <c r="F80" s="1"/>
      <c r="G80" s="3"/>
      <c r="H80" s="6"/>
      <c r="I80" s="3"/>
      <c r="J80" s="6"/>
      <c r="K80" s="8"/>
      <c r="L80" s="6"/>
      <c r="M80" s="1" t="s">
        <v>22</v>
      </c>
      <c r="N80" s="4"/>
      <c r="O80" s="1" t="s">
        <v>20</v>
      </c>
      <c r="P80" s="4"/>
      <c r="Q80" s="1" t="s">
        <v>7</v>
      </c>
      <c r="R80" s="4"/>
      <c r="T80" s="77"/>
      <c r="U80" s="294"/>
      <c r="X80" s="176">
        <f t="shared" si="101"/>
        <v>0</v>
      </c>
      <c r="Y80" s="34">
        <f>X80/Calculation_sheet!M$67</f>
        <v>0</v>
      </c>
      <c r="Z80" s="176">
        <f ca="1">IF(AN80&gt;0,Y80*Calculation_sheet!C$87,0)</f>
        <v>0</v>
      </c>
      <c r="AA80" s="176">
        <f t="shared" ca="1" si="102"/>
        <v>0</v>
      </c>
      <c r="AB80" s="176">
        <f ca="1">IF(AP80&gt;0,AA80*Calculation_sheet!C$94,0)</f>
        <v>0</v>
      </c>
      <c r="AC80" s="176">
        <f t="shared" ca="1" si="90"/>
        <v>0</v>
      </c>
      <c r="AD80" s="958">
        <f ca="1">AC80*Calculation_sheet!C$99</f>
        <v>0</v>
      </c>
      <c r="AE80" s="176">
        <f t="shared" ca="1" si="90"/>
        <v>0</v>
      </c>
      <c r="AF80" s="176">
        <f t="shared" ca="1" si="103"/>
        <v>0</v>
      </c>
      <c r="AG80" s="958">
        <f ca="1">AF80*User_sheet!B$77/100</f>
        <v>0</v>
      </c>
      <c r="AH80" s="313"/>
      <c r="AI80" s="883">
        <v>101</v>
      </c>
      <c r="AJ80" s="985"/>
      <c r="AK80" s="1020">
        <f t="shared" ca="1" si="106"/>
        <v>386.78078388504753</v>
      </c>
      <c r="AL80" s="954">
        <f ca="1">AK80/'101'!I$24</f>
        <v>1.0962550540214009</v>
      </c>
      <c r="AM80" s="954">
        <f ca="1">0.8*(AK80*30+'101'!D$17*0.34*30*1)</f>
        <v>13008.209661241141</v>
      </c>
      <c r="AN80" s="954">
        <f ca="1">IF(AM80&lt;User_sheet!B$50,Y80,0)</f>
        <v>0</v>
      </c>
      <c r="AO80" s="954">
        <f ca="1">20-(User_sheet!B$57/('Freestanding '!AK80+'101'!D$17*1*0.34))</f>
        <v>9.483564336481674</v>
      </c>
      <c r="AP80" s="954">
        <f ca="1">IF(AO80&lt;User_sheet!B$59,0,BC80*AA80)</f>
        <v>0</v>
      </c>
      <c r="AQ80" s="985"/>
      <c r="AR80" s="883">
        <v>0.32</v>
      </c>
      <c r="AS80" s="883">
        <v>3.7</v>
      </c>
      <c r="AT80" s="883">
        <v>0.89</v>
      </c>
      <c r="AU80" s="883">
        <v>2</v>
      </c>
      <c r="AV80" s="883">
        <v>3.3</v>
      </c>
      <c r="AW80" s="883">
        <v>14356</v>
      </c>
      <c r="AX80" s="883">
        <v>76466.30421774846</v>
      </c>
      <c r="AY80" s="883">
        <v>79015.992973719694</v>
      </c>
      <c r="AZ80" s="886">
        <v>0</v>
      </c>
      <c r="BA80" s="886">
        <v>0</v>
      </c>
      <c r="BB80" s="883">
        <v>0.6</v>
      </c>
      <c r="BC80" s="888">
        <v>0</v>
      </c>
      <c r="BD80" s="889">
        <v>1</v>
      </c>
      <c r="BE80" s="889">
        <v>0</v>
      </c>
      <c r="BF80" s="890">
        <v>0</v>
      </c>
      <c r="BG80" s="889">
        <v>0</v>
      </c>
      <c r="BH80" s="889">
        <v>1</v>
      </c>
      <c r="BI80" s="890">
        <v>0</v>
      </c>
      <c r="BJ80" s="889">
        <v>0</v>
      </c>
      <c r="BK80" s="889">
        <v>0</v>
      </c>
      <c r="BL80" s="889">
        <v>1</v>
      </c>
      <c r="BM80" s="890">
        <v>0</v>
      </c>
      <c r="BN80" s="958">
        <v>0</v>
      </c>
      <c r="BO80" s="959">
        <v>18</v>
      </c>
      <c r="BP80" s="1018">
        <f t="shared" ca="1" si="91"/>
        <v>181.084</v>
      </c>
      <c r="BQ80" s="1018">
        <f t="shared" ca="1" si="92"/>
        <v>302.464</v>
      </c>
      <c r="BR80" s="1018">
        <f t="shared" ca="1" si="93"/>
        <v>104.854</v>
      </c>
      <c r="BS80" s="1018">
        <f t="shared" ca="1" si="94"/>
        <v>129.21406907627619</v>
      </c>
      <c r="BT80" s="1018">
        <f t="shared" ca="1" si="95"/>
        <v>104.86</v>
      </c>
      <c r="BU80" s="1018">
        <f t="shared" ca="1" si="96"/>
        <v>14</v>
      </c>
      <c r="BV80" s="1018">
        <f t="shared" ca="1" si="97"/>
        <v>4.3</v>
      </c>
      <c r="BW80" s="1018">
        <v>0</v>
      </c>
      <c r="BX80" s="1018">
        <f t="shared" ca="1" si="98"/>
        <v>31.789994946942901</v>
      </c>
      <c r="BY80" s="1018">
        <f t="shared" ca="1" si="99"/>
        <v>291.28273085838049</v>
      </c>
      <c r="BZ80" s="1018">
        <f t="shared" ca="1" si="107"/>
        <v>26.681340533672177</v>
      </c>
      <c r="CA80" s="1018">
        <f t="shared" ca="1" si="108"/>
        <v>27.999999988800003</v>
      </c>
      <c r="CB80" s="1018">
        <f t="shared" ca="1" si="100"/>
        <v>9.0267175572519083</v>
      </c>
      <c r="CC80" s="1018">
        <f t="shared" si="109"/>
        <v>0</v>
      </c>
      <c r="CD80" s="1018">
        <f t="shared" ca="1" si="104"/>
        <v>386.78078388504753</v>
      </c>
      <c r="CE80" s="1018">
        <f t="shared" ca="1" si="105"/>
        <v>184.56333165243285</v>
      </c>
      <c r="CF80" s="1018">
        <f t="shared" ca="1" si="110"/>
        <v>17.140323466124411</v>
      </c>
      <c r="CG80" s="1018">
        <f t="shared" ca="1" si="111"/>
        <v>28537.952958158494</v>
      </c>
    </row>
    <row r="81" spans="3:85" x14ac:dyDescent="0.25">
      <c r="D81" s="1"/>
      <c r="F81" s="1"/>
      <c r="G81" s="3"/>
      <c r="H81" s="6"/>
      <c r="I81" s="3"/>
      <c r="J81" s="6"/>
      <c r="K81" s="8"/>
      <c r="L81" s="6"/>
      <c r="M81" s="1" t="s">
        <v>7</v>
      </c>
      <c r="N81" s="4"/>
      <c r="O81" s="1" t="s">
        <v>23</v>
      </c>
      <c r="P81" s="4"/>
      <c r="Q81" s="1" t="s">
        <v>7</v>
      </c>
      <c r="R81" s="4"/>
      <c r="T81" s="77"/>
      <c r="U81" s="294"/>
      <c r="X81" s="176">
        <f t="shared" si="101"/>
        <v>0</v>
      </c>
      <c r="Y81" s="34">
        <f>X81/Calculation_sheet!M$67</f>
        <v>0</v>
      </c>
      <c r="Z81" s="176">
        <f ca="1">IF(AN81&gt;0,Y81*Calculation_sheet!C$87,0)</f>
        <v>0</v>
      </c>
      <c r="AA81" s="176">
        <f t="shared" ca="1" si="102"/>
        <v>0</v>
      </c>
      <c r="AB81" s="176">
        <f ca="1">IF(AP81&gt;0,AA81*Calculation_sheet!C$94,0)</f>
        <v>0</v>
      </c>
      <c r="AC81" s="176">
        <f t="shared" ca="1" si="90"/>
        <v>0</v>
      </c>
      <c r="AD81" s="958">
        <f ca="1">AC81*Calculation_sheet!C$99</f>
        <v>0</v>
      </c>
      <c r="AE81" s="176">
        <f t="shared" ca="1" si="90"/>
        <v>0</v>
      </c>
      <c r="AF81" s="176">
        <f t="shared" ca="1" si="103"/>
        <v>0</v>
      </c>
      <c r="AG81" s="958">
        <f ca="1">AF81*User_sheet!B$77/100</f>
        <v>0</v>
      </c>
      <c r="AH81" s="313"/>
      <c r="AI81" s="883">
        <v>101</v>
      </c>
      <c r="AJ81" s="985"/>
      <c r="AK81" s="1020">
        <f t="shared" ca="1" si="106"/>
        <v>386.78078388504753</v>
      </c>
      <c r="AL81" s="954">
        <f ca="1">AK81/'101'!I$24</f>
        <v>1.0962550540214009</v>
      </c>
      <c r="AM81" s="954">
        <f ca="1">0.8*(AK81*30+'101'!D$17*0.34*30*1)</f>
        <v>13008.209661241141</v>
      </c>
      <c r="AN81" s="954">
        <f ca="1">IF(AM81&lt;User_sheet!B$50,Y81,0)</f>
        <v>0</v>
      </c>
      <c r="AO81" s="954">
        <f ca="1">20-(User_sheet!B$57/('Freestanding '!AK81+'101'!D$17*1*0.34))</f>
        <v>9.483564336481674</v>
      </c>
      <c r="AP81" s="954">
        <f ca="1">IF(AO81&lt;User_sheet!B$59,0,BC81*AA81)</f>
        <v>0</v>
      </c>
      <c r="AQ81" s="985"/>
      <c r="AR81" s="883">
        <v>0.32</v>
      </c>
      <c r="AS81" s="883">
        <v>3.7</v>
      </c>
      <c r="AT81" s="883">
        <v>0.89</v>
      </c>
      <c r="AU81" s="883">
        <v>2</v>
      </c>
      <c r="AV81" s="883">
        <v>3.3</v>
      </c>
      <c r="AW81" s="883">
        <v>14356</v>
      </c>
      <c r="AX81" s="883">
        <v>76466.30421774846</v>
      </c>
      <c r="AY81" s="883">
        <v>79015.992973719694</v>
      </c>
      <c r="AZ81" s="886">
        <v>0</v>
      </c>
      <c r="BA81" s="886">
        <v>0</v>
      </c>
      <c r="BB81" s="883">
        <v>0.6</v>
      </c>
      <c r="BC81" s="888">
        <v>0</v>
      </c>
      <c r="BD81" s="889">
        <v>0</v>
      </c>
      <c r="BE81" s="889">
        <v>1</v>
      </c>
      <c r="BF81" s="890">
        <v>0</v>
      </c>
      <c r="BG81" s="889">
        <v>0</v>
      </c>
      <c r="BH81" s="889">
        <v>0</v>
      </c>
      <c r="BI81" s="890">
        <v>1</v>
      </c>
      <c r="BJ81" s="889">
        <v>0</v>
      </c>
      <c r="BK81" s="889">
        <v>0</v>
      </c>
      <c r="BL81" s="889">
        <v>1</v>
      </c>
      <c r="BM81" s="890">
        <v>0</v>
      </c>
      <c r="BN81" s="958">
        <v>0</v>
      </c>
      <c r="BO81" s="959">
        <v>18</v>
      </c>
      <c r="BP81" s="1018">
        <f t="shared" ca="1" si="91"/>
        <v>181.084</v>
      </c>
      <c r="BQ81" s="1018">
        <f t="shared" ca="1" si="92"/>
        <v>302.464</v>
      </c>
      <c r="BR81" s="1018">
        <f t="shared" ca="1" si="93"/>
        <v>104.854</v>
      </c>
      <c r="BS81" s="1018">
        <f t="shared" ca="1" si="94"/>
        <v>129.21406907627619</v>
      </c>
      <c r="BT81" s="1018">
        <f t="shared" ca="1" si="95"/>
        <v>104.86</v>
      </c>
      <c r="BU81" s="1018">
        <f t="shared" ca="1" si="96"/>
        <v>14</v>
      </c>
      <c r="BV81" s="1018">
        <f t="shared" ca="1" si="97"/>
        <v>4.3</v>
      </c>
      <c r="BW81" s="1018">
        <v>0</v>
      </c>
      <c r="BX81" s="1018">
        <f t="shared" ca="1" si="98"/>
        <v>31.789994946942901</v>
      </c>
      <c r="BY81" s="1018">
        <f t="shared" ca="1" si="99"/>
        <v>291.28273085838049</v>
      </c>
      <c r="BZ81" s="1018">
        <f t="shared" ca="1" si="107"/>
        <v>26.681340533672177</v>
      </c>
      <c r="CA81" s="1018">
        <f t="shared" ca="1" si="108"/>
        <v>27.999999988800003</v>
      </c>
      <c r="CB81" s="1018">
        <f t="shared" ca="1" si="100"/>
        <v>9.0267175572519083</v>
      </c>
      <c r="CC81" s="1018">
        <f t="shared" si="109"/>
        <v>0</v>
      </c>
      <c r="CD81" s="1018">
        <f t="shared" ca="1" si="104"/>
        <v>386.78078388504753</v>
      </c>
      <c r="CE81" s="1018">
        <f t="shared" ca="1" si="105"/>
        <v>184.56333165243285</v>
      </c>
      <c r="CF81" s="1018">
        <f t="shared" ca="1" si="110"/>
        <v>17.140323466124411</v>
      </c>
      <c r="CG81" s="1018">
        <f t="shared" ca="1" si="111"/>
        <v>28537.952958158494</v>
      </c>
    </row>
    <row r="82" spans="3:85" x14ac:dyDescent="0.25">
      <c r="D82" s="1"/>
      <c r="F82" s="1"/>
      <c r="G82" s="3"/>
      <c r="H82" s="6"/>
      <c r="I82" s="3"/>
      <c r="J82" s="6"/>
      <c r="K82" s="8"/>
      <c r="L82" s="6"/>
      <c r="M82" s="1"/>
      <c r="N82" s="1"/>
      <c r="O82" s="1" t="s">
        <v>18</v>
      </c>
      <c r="P82" s="4"/>
      <c r="Q82" s="1" t="s">
        <v>17</v>
      </c>
      <c r="R82" s="4"/>
      <c r="T82" s="77"/>
      <c r="U82" s="294"/>
      <c r="X82" s="176">
        <f t="shared" si="101"/>
        <v>0</v>
      </c>
      <c r="Y82" s="34">
        <f>X82/Calculation_sheet!M$67</f>
        <v>0</v>
      </c>
      <c r="Z82" s="176">
        <f ca="1">IF(AN82&gt;0,Y82*Calculation_sheet!C$87,0)</f>
        <v>0</v>
      </c>
      <c r="AA82" s="176">
        <f t="shared" ca="1" si="102"/>
        <v>0</v>
      </c>
      <c r="AB82" s="176">
        <f ca="1">IF(AP82&gt;0,AA82*Calculation_sheet!C$94,0)</f>
        <v>0</v>
      </c>
      <c r="AC82" s="176">
        <f t="shared" ca="1" si="90"/>
        <v>0</v>
      </c>
      <c r="AD82" s="958">
        <f ca="1">AC82*Calculation_sheet!C$99</f>
        <v>0</v>
      </c>
      <c r="AE82" s="176">
        <f t="shared" ca="1" si="90"/>
        <v>0</v>
      </c>
      <c r="AF82" s="176">
        <f t="shared" ca="1" si="103"/>
        <v>0</v>
      </c>
      <c r="AG82" s="958">
        <f ca="1">AF82*User_sheet!B$77/100</f>
        <v>0</v>
      </c>
      <c r="AH82" s="313"/>
      <c r="AI82" s="883">
        <v>101</v>
      </c>
      <c r="AJ82" s="985"/>
      <c r="AK82" s="1020">
        <f t="shared" ca="1" si="106"/>
        <v>386.78078388504753</v>
      </c>
      <c r="AL82" s="954">
        <f ca="1">AK82/'101'!I$24</f>
        <v>1.0962550540214009</v>
      </c>
      <c r="AM82" s="954">
        <f ca="1">0.8*(AK82*30+'101'!D$17*0.34*30*1)</f>
        <v>13008.209661241141</v>
      </c>
      <c r="AN82" s="954">
        <f ca="1">IF(AM82&lt;User_sheet!B$50,Y82,0)</f>
        <v>0</v>
      </c>
      <c r="AO82" s="954">
        <f ca="1">20-(User_sheet!B$57/('Freestanding '!AK82+'101'!D$17*1*0.34))</f>
        <v>9.483564336481674</v>
      </c>
      <c r="AP82" s="954">
        <f ca="1">IF(AO82&lt;User_sheet!B$59,0,BC82*AA82)</f>
        <v>0</v>
      </c>
      <c r="AQ82" s="985"/>
      <c r="AR82" s="883">
        <v>0.32</v>
      </c>
      <c r="AS82" s="883">
        <v>3.7</v>
      </c>
      <c r="AT82" s="883">
        <v>0.89</v>
      </c>
      <c r="AU82" s="883">
        <v>2</v>
      </c>
      <c r="AV82" s="883">
        <v>3.3</v>
      </c>
      <c r="AW82" s="883">
        <v>14356</v>
      </c>
      <c r="AX82" s="883">
        <v>76466.30421774846</v>
      </c>
      <c r="AY82" s="883">
        <v>79015.992973719694</v>
      </c>
      <c r="AZ82" s="886">
        <v>0</v>
      </c>
      <c r="BA82" s="886">
        <v>0</v>
      </c>
      <c r="BB82" s="883">
        <v>0.6</v>
      </c>
      <c r="BC82" s="888">
        <v>0</v>
      </c>
      <c r="BD82" s="889">
        <v>0</v>
      </c>
      <c r="BE82" s="889">
        <v>0</v>
      </c>
      <c r="BF82" s="890">
        <v>1</v>
      </c>
      <c r="BG82" s="889">
        <v>1</v>
      </c>
      <c r="BH82" s="889">
        <v>0</v>
      </c>
      <c r="BI82" s="890">
        <v>0</v>
      </c>
      <c r="BJ82" s="889">
        <v>0</v>
      </c>
      <c r="BK82" s="889">
        <v>0</v>
      </c>
      <c r="BL82" s="889">
        <v>0</v>
      </c>
      <c r="BM82" s="890">
        <v>1</v>
      </c>
      <c r="BN82" s="958">
        <v>0</v>
      </c>
      <c r="BO82" s="959">
        <v>18</v>
      </c>
      <c r="BP82" s="1018">
        <f t="shared" ca="1" si="91"/>
        <v>181.084</v>
      </c>
      <c r="BQ82" s="1018">
        <f t="shared" ca="1" si="92"/>
        <v>302.464</v>
      </c>
      <c r="BR82" s="1018">
        <f t="shared" ca="1" si="93"/>
        <v>104.854</v>
      </c>
      <c r="BS82" s="1018">
        <f t="shared" ca="1" si="94"/>
        <v>129.21406907627619</v>
      </c>
      <c r="BT82" s="1018">
        <f t="shared" ca="1" si="95"/>
        <v>104.86</v>
      </c>
      <c r="BU82" s="1018">
        <f t="shared" ca="1" si="96"/>
        <v>14</v>
      </c>
      <c r="BV82" s="1018">
        <f t="shared" ca="1" si="97"/>
        <v>4.3</v>
      </c>
      <c r="BW82" s="1018">
        <v>0</v>
      </c>
      <c r="BX82" s="1018">
        <f t="shared" ca="1" si="98"/>
        <v>31.789994946942901</v>
      </c>
      <c r="BY82" s="1018">
        <f t="shared" ca="1" si="99"/>
        <v>291.28273085838049</v>
      </c>
      <c r="BZ82" s="1018">
        <f t="shared" ca="1" si="107"/>
        <v>26.681340533672177</v>
      </c>
      <c r="CA82" s="1018">
        <f t="shared" ca="1" si="108"/>
        <v>27.999999988800003</v>
      </c>
      <c r="CB82" s="1018">
        <f t="shared" ca="1" si="100"/>
        <v>9.0267175572519083</v>
      </c>
      <c r="CC82" s="1018">
        <f t="shared" si="109"/>
        <v>0</v>
      </c>
      <c r="CD82" s="1018">
        <f t="shared" ca="1" si="104"/>
        <v>386.78078388504753</v>
      </c>
      <c r="CE82" s="1018">
        <f t="shared" ca="1" si="105"/>
        <v>184.56333165243285</v>
      </c>
      <c r="CF82" s="1018">
        <f t="shared" ca="1" si="110"/>
        <v>17.140323466124411</v>
      </c>
      <c r="CG82" s="1018">
        <f t="shared" ca="1" si="111"/>
        <v>28537.952958158494</v>
      </c>
    </row>
    <row r="83" spans="3:85" x14ac:dyDescent="0.25">
      <c r="D83" s="1"/>
      <c r="F83" s="1"/>
      <c r="G83" s="3"/>
      <c r="H83" s="6"/>
      <c r="I83" s="3"/>
      <c r="J83" s="6"/>
      <c r="K83" s="8"/>
      <c r="L83" s="6"/>
      <c r="M83" s="1" t="s">
        <v>17</v>
      </c>
      <c r="N83" s="4"/>
      <c r="O83" s="1" t="s">
        <v>19</v>
      </c>
      <c r="P83" s="4"/>
      <c r="Q83" s="1" t="s">
        <v>17</v>
      </c>
      <c r="R83" s="4"/>
      <c r="T83" s="77"/>
      <c r="U83" s="294"/>
      <c r="X83" s="176">
        <f t="shared" si="101"/>
        <v>0</v>
      </c>
      <c r="Y83" s="34">
        <f>X83/Calculation_sheet!M$67</f>
        <v>0</v>
      </c>
      <c r="Z83" s="176">
        <f ca="1">IF(AN83&gt;0,Y83*Calculation_sheet!C$87,0)</f>
        <v>0</v>
      </c>
      <c r="AA83" s="176">
        <f t="shared" ca="1" si="102"/>
        <v>0</v>
      </c>
      <c r="AB83" s="176">
        <f ca="1">IF(AP83&gt;0,AA83*Calculation_sheet!C$94,0)</f>
        <v>0</v>
      </c>
      <c r="AC83" s="176">
        <f t="shared" ca="1" si="90"/>
        <v>0</v>
      </c>
      <c r="AD83" s="958">
        <f ca="1">AC83*Calculation_sheet!C$99</f>
        <v>0</v>
      </c>
      <c r="AE83" s="176">
        <f t="shared" ca="1" si="90"/>
        <v>0</v>
      </c>
      <c r="AF83" s="176">
        <f t="shared" ca="1" si="103"/>
        <v>0</v>
      </c>
      <c r="AG83" s="958">
        <f ca="1">AF83*User_sheet!B$77/100</f>
        <v>0</v>
      </c>
      <c r="AH83" s="313"/>
      <c r="AI83" s="883">
        <v>101</v>
      </c>
      <c r="AJ83" s="985"/>
      <c r="AK83" s="1020">
        <f t="shared" ca="1" si="106"/>
        <v>386.78078388504753</v>
      </c>
      <c r="AL83" s="954">
        <f ca="1">AK83/'101'!I$24</f>
        <v>1.0962550540214009</v>
      </c>
      <c r="AM83" s="954">
        <f ca="1">0.8*(AK83*30+'101'!D$17*0.34*30*1)</f>
        <v>13008.209661241141</v>
      </c>
      <c r="AN83" s="954">
        <f ca="1">IF(AM83&lt;User_sheet!B$50,Y83,0)</f>
        <v>0</v>
      </c>
      <c r="AO83" s="954">
        <f ca="1">20-(User_sheet!B$57/('Freestanding '!AK83+'101'!D$17*1*0.34))</f>
        <v>9.483564336481674</v>
      </c>
      <c r="AP83" s="954">
        <f ca="1">IF(AO83&lt;User_sheet!B$59,0,BC83*AA83)</f>
        <v>0</v>
      </c>
      <c r="AQ83" s="985"/>
      <c r="AR83" s="883">
        <v>0.32</v>
      </c>
      <c r="AS83" s="883">
        <v>3.7</v>
      </c>
      <c r="AT83" s="883">
        <v>0.89</v>
      </c>
      <c r="AU83" s="883">
        <v>2</v>
      </c>
      <c r="AV83" s="883">
        <v>3.3</v>
      </c>
      <c r="AW83" s="883">
        <v>14356</v>
      </c>
      <c r="AX83" s="883">
        <v>76466.30421774846</v>
      </c>
      <c r="AY83" s="883">
        <v>79015.992973719694</v>
      </c>
      <c r="AZ83" s="886">
        <v>0</v>
      </c>
      <c r="BA83" s="886">
        <v>0</v>
      </c>
      <c r="BB83" s="883">
        <v>0.6</v>
      </c>
      <c r="BC83" s="888">
        <v>0</v>
      </c>
      <c r="BD83" s="889">
        <v>0</v>
      </c>
      <c r="BE83" s="889">
        <v>0</v>
      </c>
      <c r="BF83" s="890">
        <v>1</v>
      </c>
      <c r="BG83" s="889">
        <v>0</v>
      </c>
      <c r="BH83" s="889">
        <v>1</v>
      </c>
      <c r="BI83" s="890">
        <v>0</v>
      </c>
      <c r="BJ83" s="889">
        <v>0</v>
      </c>
      <c r="BK83" s="889">
        <v>0</v>
      </c>
      <c r="BL83" s="889">
        <v>0</v>
      </c>
      <c r="BM83" s="890">
        <v>1</v>
      </c>
      <c r="BN83" s="958">
        <v>0</v>
      </c>
      <c r="BO83" s="959">
        <v>18</v>
      </c>
      <c r="BP83" s="1018">
        <f t="shared" ca="1" si="91"/>
        <v>181.084</v>
      </c>
      <c r="BQ83" s="1018">
        <f t="shared" ca="1" si="92"/>
        <v>302.464</v>
      </c>
      <c r="BR83" s="1018">
        <f t="shared" ca="1" si="93"/>
        <v>104.854</v>
      </c>
      <c r="BS83" s="1018">
        <f t="shared" ca="1" si="94"/>
        <v>129.21406907627619</v>
      </c>
      <c r="BT83" s="1018">
        <f t="shared" ca="1" si="95"/>
        <v>104.86</v>
      </c>
      <c r="BU83" s="1018">
        <f t="shared" ca="1" si="96"/>
        <v>14</v>
      </c>
      <c r="BV83" s="1018">
        <f t="shared" ca="1" si="97"/>
        <v>4.3</v>
      </c>
      <c r="BW83" s="1018">
        <v>0</v>
      </c>
      <c r="BX83" s="1018">
        <f t="shared" ca="1" si="98"/>
        <v>31.789994946942901</v>
      </c>
      <c r="BY83" s="1018">
        <f t="shared" ca="1" si="99"/>
        <v>291.28273085838049</v>
      </c>
      <c r="BZ83" s="1018">
        <f t="shared" ca="1" si="107"/>
        <v>26.681340533672177</v>
      </c>
      <c r="CA83" s="1018">
        <f t="shared" ca="1" si="108"/>
        <v>27.999999988800003</v>
      </c>
      <c r="CB83" s="1018">
        <f t="shared" ca="1" si="100"/>
        <v>9.0267175572519083</v>
      </c>
      <c r="CC83" s="1018">
        <f t="shared" si="109"/>
        <v>0</v>
      </c>
      <c r="CD83" s="1018">
        <f t="shared" ca="1" si="104"/>
        <v>386.78078388504753</v>
      </c>
      <c r="CE83" s="1018">
        <f t="shared" ca="1" si="105"/>
        <v>184.56333165243285</v>
      </c>
      <c r="CF83" s="1018">
        <f t="shared" ca="1" si="110"/>
        <v>17.140323466124411</v>
      </c>
      <c r="CG83" s="1018">
        <f t="shared" ca="1" si="111"/>
        <v>28537.952958158494</v>
      </c>
    </row>
    <row r="84" spans="3:85" s="14" customFormat="1" x14ac:dyDescent="0.25">
      <c r="D84" s="15"/>
      <c r="F84" s="15"/>
      <c r="H84" s="15"/>
      <c r="J84" s="15"/>
      <c r="K84" s="16"/>
      <c r="L84" s="15"/>
      <c r="M84" s="15"/>
      <c r="N84" s="15"/>
      <c r="O84" s="15"/>
      <c r="P84" s="15"/>
      <c r="Q84" s="15"/>
      <c r="R84" s="15"/>
      <c r="S84" s="15"/>
      <c r="T84" s="80"/>
      <c r="U84" s="273"/>
      <c r="V84" s="292"/>
      <c r="W84" s="292"/>
      <c r="X84" s="292"/>
      <c r="Y84" s="277"/>
      <c r="Z84" s="292"/>
      <c r="AA84" s="292"/>
      <c r="AB84" s="292"/>
      <c r="AC84" s="292"/>
      <c r="AD84" s="277"/>
      <c r="AE84" s="292"/>
      <c r="AF84" s="292"/>
      <c r="AG84" s="277"/>
      <c r="AH84" s="313"/>
      <c r="AI84" s="887"/>
      <c r="AJ84" s="985"/>
      <c r="AK84" s="1020">
        <f t="shared" si="106"/>
        <v>0</v>
      </c>
      <c r="AL84" s="986"/>
      <c r="AM84" s="986"/>
      <c r="AN84" s="986"/>
      <c r="AO84" s="986"/>
      <c r="AP84" s="986"/>
      <c r="AQ84" s="985"/>
      <c r="AR84" s="887"/>
      <c r="AS84" s="887"/>
      <c r="AT84" s="887"/>
      <c r="AU84" s="887"/>
      <c r="AV84" s="887"/>
      <c r="AW84" s="887"/>
      <c r="AX84" s="887"/>
      <c r="AY84" s="887"/>
      <c r="AZ84" s="887"/>
      <c r="BA84" s="887"/>
      <c r="BB84" s="887"/>
      <c r="BC84" s="45"/>
      <c r="BD84" s="277"/>
      <c r="BE84" s="277"/>
      <c r="BF84" s="49"/>
      <c r="BG84" s="887"/>
      <c r="BH84" s="887"/>
      <c r="BI84" s="49"/>
      <c r="BJ84" s="887"/>
      <c r="BK84" s="887"/>
      <c r="BL84" s="887"/>
      <c r="BM84" s="49"/>
      <c r="BN84" s="277"/>
      <c r="BO84" s="49"/>
      <c r="BP84" s="928"/>
      <c r="BQ84" s="928"/>
      <c r="BR84" s="928"/>
      <c r="BS84" s="928"/>
      <c r="BT84" s="928"/>
      <c r="BU84" s="928"/>
      <c r="BV84" s="928"/>
      <c r="BW84" s="928"/>
      <c r="BX84" s="928"/>
      <c r="BY84" s="928"/>
      <c r="BZ84" s="928"/>
      <c r="CA84" s="928"/>
      <c r="CB84" s="928"/>
      <c r="CC84" s="928"/>
      <c r="CD84" s="928"/>
      <c r="CE84" s="928"/>
      <c r="CF84" s="928"/>
      <c r="CG84" s="928"/>
    </row>
    <row r="85" spans="3:85" x14ac:dyDescent="0.25">
      <c r="C85" s="350"/>
      <c r="D85" s="351"/>
      <c r="E85" s="350"/>
      <c r="F85" s="351"/>
      <c r="G85" s="350"/>
      <c r="H85" s="355"/>
      <c r="I85" s="350"/>
      <c r="J85" s="351"/>
      <c r="K85" s="353"/>
      <c r="L85" s="355"/>
      <c r="M85" s="351"/>
      <c r="N85" s="351"/>
      <c r="O85" s="351"/>
      <c r="P85" s="351"/>
      <c r="Q85" s="351" t="s">
        <v>16</v>
      </c>
      <c r="R85" s="352">
        <v>0.73860000000000003</v>
      </c>
      <c r="S85" s="351"/>
      <c r="T85" s="359">
        <v>4.7357724687251282E-3</v>
      </c>
      <c r="V85" s="176">
        <f t="shared" si="11"/>
        <v>4.7357724687251282E-3</v>
      </c>
      <c r="W85" s="176">
        <f>V85-V85*Calculation_sheet!J$66</f>
        <v>4.7357724687251282E-3</v>
      </c>
      <c r="X85" s="176">
        <f>W85-W85*Calculation_sheet!J$76</f>
        <v>4.7357724687251282E-3</v>
      </c>
      <c r="Y85" s="34">
        <f>X85/Calculation_sheet!M$67</f>
        <v>4.7358692983590529E-3</v>
      </c>
      <c r="Z85" s="176">
        <f ca="1">IF(AN85&gt;0,Y85*Calculation_sheet!C$87,0)</f>
        <v>0</v>
      </c>
      <c r="AA85" s="176">
        <f ca="1">Y85-Z85</f>
        <v>4.7358692983590529E-3</v>
      </c>
      <c r="AB85" s="176">
        <f ca="1">IF(AP85&gt;0,AA85*Calculation_sheet!C$94,0)</f>
        <v>0</v>
      </c>
      <c r="AC85" s="176">
        <f t="shared" ref="AC85:AE95" ca="1" si="112">AA85-AB85</f>
        <v>4.7358692983590529E-3</v>
      </c>
      <c r="AD85" s="958">
        <f ca="1">AC85*Calculation_sheet!C$99</f>
        <v>2.8415215790154316E-3</v>
      </c>
      <c r="AE85" s="176">
        <f t="shared" ca="1" si="112"/>
        <v>1.8943477193436213E-3</v>
      </c>
      <c r="AF85" s="176">
        <f ca="1">Y85-AB85</f>
        <v>4.7358692983590529E-3</v>
      </c>
      <c r="AG85" s="958">
        <f ca="1">AF85*User_sheet!B$77/100</f>
        <v>0</v>
      </c>
      <c r="AH85" s="313"/>
      <c r="AI85" s="883">
        <v>101</v>
      </c>
      <c r="AJ85" s="985"/>
      <c r="AK85" s="1020">
        <f t="shared" ca="1" si="106"/>
        <v>883.46821724498454</v>
      </c>
      <c r="AL85" s="954">
        <f ca="1">AK85/'101'!I$24</f>
        <v>2.5040191720329479</v>
      </c>
      <c r="AM85" s="954">
        <f ca="1">0.8*(AK85*30+'101'!D$17*0.34*30*1)</f>
        <v>24928.708061879632</v>
      </c>
      <c r="AN85" s="954">
        <f ca="1">IF(AM85&lt;User_sheet!B$50,Y85,0)</f>
        <v>0</v>
      </c>
      <c r="AO85" s="954">
        <f ca="1">20-(User_sheet!B$57/('Freestanding '!AK85+'101'!D$17*1*0.34))</f>
        <v>14.51235099466742</v>
      </c>
      <c r="AP85" s="954">
        <f ca="1">IF(AO85&lt;User_sheet!B$59,0,BC85*AA85)</f>
        <v>4.7358692983590529E-3</v>
      </c>
      <c r="AQ85" s="985"/>
      <c r="AR85" s="883">
        <v>14.1</v>
      </c>
      <c r="AS85" s="883">
        <v>3.7</v>
      </c>
      <c r="AT85" s="883">
        <v>7.9</v>
      </c>
      <c r="AU85" s="883">
        <v>2.75</v>
      </c>
      <c r="AV85" s="883">
        <v>3.3</v>
      </c>
      <c r="AW85" s="883">
        <v>7211.5338771527777</v>
      </c>
      <c r="AX85" s="883">
        <v>76466.30421774846</v>
      </c>
      <c r="AY85" s="883">
        <v>67352.647733737584</v>
      </c>
      <c r="AZ85" s="883">
        <v>0</v>
      </c>
      <c r="BA85" s="883">
        <v>0</v>
      </c>
      <c r="BB85" s="883">
        <v>0.6</v>
      </c>
      <c r="BC85" s="888">
        <v>1</v>
      </c>
      <c r="BD85" s="889">
        <v>0</v>
      </c>
      <c r="BE85" s="889">
        <v>0</v>
      </c>
      <c r="BF85" s="890">
        <v>0</v>
      </c>
      <c r="BG85" s="883">
        <v>1</v>
      </c>
      <c r="BH85" s="883">
        <v>0</v>
      </c>
      <c r="BI85" s="890">
        <v>0</v>
      </c>
      <c r="BJ85" s="883">
        <v>1</v>
      </c>
      <c r="BK85" s="883">
        <v>0</v>
      </c>
      <c r="BL85" s="883">
        <v>0</v>
      </c>
      <c r="BM85" s="890">
        <v>0</v>
      </c>
      <c r="BN85" s="958">
        <v>0</v>
      </c>
      <c r="BO85" s="959">
        <v>18</v>
      </c>
      <c r="BP85" s="1018">
        <f t="shared" ref="BP85:BP95" ca="1" si="113">INDIRECT("'"&amp;AI85&amp;"'!"&amp;"B2")</f>
        <v>181.084</v>
      </c>
      <c r="BQ85" s="1018">
        <f t="shared" ref="BQ85:BQ95" ca="1" si="114">INDIRECT("'"&amp;AI85&amp;"'!"&amp;"C12")+INDIRECT("'"&amp;AI85&amp;"'!"&amp;"C13")+INDIRECT("'"&amp;AI85&amp;"'!"&amp;"C14")+INDIRECT("'"&amp;AI85&amp;"'!"&amp;"C15")+INDIRECT("'"&amp;AI85&amp;"'!"&amp;"C17")</f>
        <v>302.464</v>
      </c>
      <c r="BR85" s="1018">
        <f t="shared" ref="BR85:BR95" ca="1" si="115">INDIRECT("'"&amp;AI85&amp;"'!"&amp;"G5")</f>
        <v>104.854</v>
      </c>
      <c r="BS85" s="1018">
        <f t="shared" ref="BS85:BS95" ca="1" si="116">INDIRECT("'"&amp;AI85&amp;"'!"&amp;"G4")</f>
        <v>129.21406907627619</v>
      </c>
      <c r="BT85" s="1018">
        <f t="shared" ref="BT85:BT95" ca="1" si="117">INDIRECT("'"&amp;AI85&amp;"'!"&amp;"G6")</f>
        <v>104.86</v>
      </c>
      <c r="BU85" s="1018">
        <f t="shared" ref="BU85:BU95" ca="1" si="118">INDIRECT("'"&amp;AI85&amp;"'!"&amp;"G2")</f>
        <v>14</v>
      </c>
      <c r="BV85" s="1018">
        <f t="shared" ref="BV85:BV95" ca="1" si="119">INDIRECT("'"&amp;AI85&amp;"'!"&amp;"G3")</f>
        <v>4.3</v>
      </c>
      <c r="BW85" s="1018">
        <v>0</v>
      </c>
      <c r="BX85" s="1018">
        <f t="shared" ref="BX85:BX95" ca="1" si="120">IF(BR85=0,0,1/(1/(BR85*$BY$3)+1/(BR85*AR85)+1/(BR85*$BY$4)))</f>
        <v>429.28031358885011</v>
      </c>
      <c r="BY85" s="1018">
        <f t="shared" ref="BY85:BY95" ca="1" si="121">IF(BS85=0,0,1/(1/(BS85*$BY$3)+1/(BS85*AS85)+1/(BS85*$BY$4)))</f>
        <v>291.28273085838049</v>
      </c>
      <c r="BZ85" s="1018">
        <f t="shared" ca="1" si="107"/>
        <v>115.37845526167696</v>
      </c>
      <c r="CA85" s="1018">
        <f t="shared" ca="1" si="108"/>
        <v>38.499999978825002</v>
      </c>
      <c r="CB85" s="1018">
        <f t="shared" ref="CB85:CB95" ca="1" si="122">IF(BV85=0,0,1/(1/(BV85*$BY$3)+1/(BV85*AV85)+1/(BV85*$BY$4)))</f>
        <v>9.0267175572519083</v>
      </c>
      <c r="CC85" s="1018">
        <f t="shared" si="109"/>
        <v>0</v>
      </c>
      <c r="CD85" s="1018">
        <f ca="1">SUM(BX85:CC85)+(BR85+BS85+BT85+BU85+BV85)*BN85</f>
        <v>883.46821724498454</v>
      </c>
      <c r="CE85" s="1018">
        <f ca="1">0.34*BO85*(1/25)^0.66*(BR85+BS85+BU85+BV85)</f>
        <v>184.56333165243285</v>
      </c>
      <c r="CF85" s="1018">
        <f t="shared" ca="1" si="110"/>
        <v>32.04094646692252</v>
      </c>
      <c r="CG85" s="1018">
        <f t="shared" ca="1" si="111"/>
        <v>53346.894229567319</v>
      </c>
    </row>
    <row r="86" spans="3:85" x14ac:dyDescent="0.25">
      <c r="C86" s="350"/>
      <c r="D86" s="351"/>
      <c r="E86" s="350"/>
      <c r="F86" s="351"/>
      <c r="G86" s="350"/>
      <c r="H86" s="355"/>
      <c r="I86" s="350"/>
      <c r="J86" s="351"/>
      <c r="K86" s="353"/>
      <c r="L86" s="355"/>
      <c r="M86" s="351"/>
      <c r="N86" s="351"/>
      <c r="O86" s="351" t="s">
        <v>18</v>
      </c>
      <c r="P86" s="352">
        <v>0.62953995200000001</v>
      </c>
      <c r="Q86" s="351" t="s">
        <v>7</v>
      </c>
      <c r="R86" s="352">
        <v>0.26140000000000002</v>
      </c>
      <c r="S86" s="351"/>
      <c r="T86" s="359">
        <v>1.6760505325274146E-3</v>
      </c>
      <c r="V86" s="176">
        <f t="shared" si="11"/>
        <v>1.6760505325274146E-3</v>
      </c>
      <c r="W86" s="176">
        <f>V86-V86*Calculation_sheet!J$66</f>
        <v>1.6760505325274146E-3</v>
      </c>
      <c r="X86" s="176">
        <f>W86-W86*Calculation_sheet!J$76</f>
        <v>1.6760505325274146E-3</v>
      </c>
      <c r="Y86" s="34">
        <f>X86/Calculation_sheet!M$67</f>
        <v>1.6760848017750561E-3</v>
      </c>
      <c r="Z86" s="176">
        <f ca="1">IF(AN86&gt;0,Y86*Calculation_sheet!C$87,0)</f>
        <v>0</v>
      </c>
      <c r="AA86" s="176">
        <f t="shared" ref="AA86:AA95" ca="1" si="123">Y86-Z86</f>
        <v>1.6760848017750561E-3</v>
      </c>
      <c r="AB86" s="176">
        <f ca="1">IF(AP86&gt;0,AA86*Calculation_sheet!C$94,0)</f>
        <v>0</v>
      </c>
      <c r="AC86" s="176">
        <f t="shared" ca="1" si="112"/>
        <v>1.6760848017750561E-3</v>
      </c>
      <c r="AD86" s="958">
        <f ca="1">AC86*Calculation_sheet!C$99</f>
        <v>1.0056508810650335E-3</v>
      </c>
      <c r="AE86" s="176">
        <f t="shared" ca="1" si="112"/>
        <v>6.7043392071002256E-4</v>
      </c>
      <c r="AF86" s="176">
        <f t="shared" ref="AF86:AF95" ca="1" si="124">Y86-AB86</f>
        <v>1.6760848017750561E-3</v>
      </c>
      <c r="AG86" s="958">
        <f ca="1">AF86*User_sheet!B$77/100</f>
        <v>0</v>
      </c>
      <c r="AH86" s="313"/>
      <c r="AI86" s="883">
        <v>101</v>
      </c>
      <c r="AJ86" s="985"/>
      <c r="AK86" s="1020">
        <f t="shared" ca="1" si="106"/>
        <v>883.46821724498454</v>
      </c>
      <c r="AL86" s="954">
        <f ca="1">AK86/'101'!I$24</f>
        <v>2.5040191720329479</v>
      </c>
      <c r="AM86" s="954">
        <f ca="1">0.8*(AK86*30+'101'!D$17*0.34*30*1)</f>
        <v>24928.708061879632</v>
      </c>
      <c r="AN86" s="954">
        <f ca="1">IF(AM86&lt;User_sheet!B$50,Y86,0)</f>
        <v>0</v>
      </c>
      <c r="AO86" s="954">
        <f ca="1">20-(User_sheet!B$57/('Freestanding '!AK86+'101'!D$17*1*0.34))</f>
        <v>14.51235099466742</v>
      </c>
      <c r="AP86" s="954">
        <f ca="1">IF(AO86&lt;User_sheet!B$59,0,BC86*AA86)</f>
        <v>1.6760848017750561E-3</v>
      </c>
      <c r="AQ86" s="985"/>
      <c r="AR86" s="883">
        <v>14.1</v>
      </c>
      <c r="AS86" s="883">
        <v>3.7</v>
      </c>
      <c r="AT86" s="883">
        <v>7.9</v>
      </c>
      <c r="AU86" s="883">
        <v>2.75</v>
      </c>
      <c r="AV86" s="883">
        <v>3.3</v>
      </c>
      <c r="AW86" s="883">
        <v>7211.5338771527777</v>
      </c>
      <c r="AX86" s="883">
        <v>76466.30421774846</v>
      </c>
      <c r="AY86" s="883">
        <v>67352.647733737584</v>
      </c>
      <c r="AZ86" s="883">
        <v>0</v>
      </c>
      <c r="BA86" s="883">
        <v>0</v>
      </c>
      <c r="BB86" s="883">
        <v>0.6</v>
      </c>
      <c r="BC86" s="888">
        <v>1</v>
      </c>
      <c r="BD86" s="889">
        <v>0</v>
      </c>
      <c r="BE86" s="889">
        <v>0</v>
      </c>
      <c r="BF86" s="890">
        <v>0</v>
      </c>
      <c r="BG86" s="883">
        <v>1</v>
      </c>
      <c r="BH86" s="883">
        <v>0</v>
      </c>
      <c r="BI86" s="890">
        <v>0</v>
      </c>
      <c r="BJ86" s="883">
        <v>0</v>
      </c>
      <c r="BK86" s="883">
        <v>0</v>
      </c>
      <c r="BL86" s="883">
        <v>1</v>
      </c>
      <c r="BM86" s="890">
        <v>0</v>
      </c>
      <c r="BN86" s="958">
        <v>0</v>
      </c>
      <c r="BO86" s="959">
        <v>18</v>
      </c>
      <c r="BP86" s="1018">
        <f t="shared" ca="1" si="113"/>
        <v>181.084</v>
      </c>
      <c r="BQ86" s="1018">
        <f t="shared" ca="1" si="114"/>
        <v>302.464</v>
      </c>
      <c r="BR86" s="1018">
        <f t="shared" ca="1" si="115"/>
        <v>104.854</v>
      </c>
      <c r="BS86" s="1018">
        <f t="shared" ca="1" si="116"/>
        <v>129.21406907627619</v>
      </c>
      <c r="BT86" s="1018">
        <f t="shared" ca="1" si="117"/>
        <v>104.86</v>
      </c>
      <c r="BU86" s="1018">
        <f t="shared" ca="1" si="118"/>
        <v>14</v>
      </c>
      <c r="BV86" s="1018">
        <f t="shared" ca="1" si="119"/>
        <v>4.3</v>
      </c>
      <c r="BW86" s="1018">
        <v>0</v>
      </c>
      <c r="BX86" s="1018">
        <f t="shared" ca="1" si="120"/>
        <v>429.28031358885011</v>
      </c>
      <c r="BY86" s="1018">
        <f t="shared" ca="1" si="121"/>
        <v>291.28273085838049</v>
      </c>
      <c r="BZ86" s="1018">
        <f t="shared" ca="1" si="107"/>
        <v>115.37845526167696</v>
      </c>
      <c r="CA86" s="1018">
        <f t="shared" ca="1" si="108"/>
        <v>38.499999978825002</v>
      </c>
      <c r="CB86" s="1018">
        <f t="shared" ca="1" si="122"/>
        <v>9.0267175572519083</v>
      </c>
      <c r="CC86" s="1018">
        <f t="shared" si="109"/>
        <v>0</v>
      </c>
      <c r="CD86" s="1018">
        <f t="shared" ref="CD86:CD95" ca="1" si="125">SUM(BX86:CC86)+(BR86+BS86+BT86+BU86+BV86)*BN86</f>
        <v>883.46821724498454</v>
      </c>
      <c r="CE86" s="1018">
        <f t="shared" ref="CE86:CE95" ca="1" si="126">0.34*BO86*(1/25)^0.66*(BR86+BS86+BU86+BV86)</f>
        <v>184.56333165243285</v>
      </c>
      <c r="CF86" s="1018">
        <f t="shared" ca="1" si="110"/>
        <v>32.04094646692252</v>
      </c>
      <c r="CG86" s="1018">
        <f t="shared" ca="1" si="111"/>
        <v>53346.894229567319</v>
      </c>
    </row>
    <row r="87" spans="3:85" x14ac:dyDescent="0.25">
      <c r="C87" s="350"/>
      <c r="D87" s="351"/>
      <c r="E87" s="350"/>
      <c r="F87" s="351"/>
      <c r="G87" s="350"/>
      <c r="H87" s="355"/>
      <c r="I87" s="350"/>
      <c r="J87" s="351"/>
      <c r="K87" s="353"/>
      <c r="L87" s="355"/>
      <c r="M87" s="351"/>
      <c r="N87" s="351"/>
      <c r="O87" s="351"/>
      <c r="P87" s="351"/>
      <c r="Q87" s="351" t="s">
        <v>16</v>
      </c>
      <c r="R87" s="352">
        <v>0.73860000000000003</v>
      </c>
      <c r="S87" s="351"/>
      <c r="T87" s="359">
        <v>2.7868199476575699E-3</v>
      </c>
      <c r="V87" s="176">
        <f t="shared" si="11"/>
        <v>2.7868199476575699E-3</v>
      </c>
      <c r="W87" s="176">
        <f>V87-V87*Calculation_sheet!J$66</f>
        <v>2.7868199476575699E-3</v>
      </c>
      <c r="X87" s="176">
        <f>W87-W87*Calculation_sheet!J$76</f>
        <v>2.7868199476575699E-3</v>
      </c>
      <c r="Y87" s="34">
        <f>X87/Calculation_sheet!M$67</f>
        <v>2.786876928172814E-3</v>
      </c>
      <c r="Z87" s="176">
        <f ca="1">IF(AN87&gt;0,Y87*Calculation_sheet!C$87,0)</f>
        <v>0</v>
      </c>
      <c r="AA87" s="176">
        <f t="shared" ca="1" si="123"/>
        <v>2.786876928172814E-3</v>
      </c>
      <c r="AB87" s="176">
        <f ca="1">IF(AP87&gt;0,AA87*Calculation_sheet!C$94,0)</f>
        <v>0</v>
      </c>
      <c r="AC87" s="176">
        <f t="shared" ca="1" si="112"/>
        <v>2.786876928172814E-3</v>
      </c>
      <c r="AD87" s="958">
        <f ca="1">AC87*Calculation_sheet!C$99</f>
        <v>1.6721261569036883E-3</v>
      </c>
      <c r="AE87" s="176">
        <f t="shared" ca="1" si="112"/>
        <v>1.1147507712691257E-3</v>
      </c>
      <c r="AF87" s="176">
        <f t="shared" ca="1" si="124"/>
        <v>2.786876928172814E-3</v>
      </c>
      <c r="AG87" s="958">
        <f ca="1">AF87*User_sheet!B$77/100</f>
        <v>0</v>
      </c>
      <c r="AH87" s="313"/>
      <c r="AI87" s="883">
        <v>101</v>
      </c>
      <c r="AJ87" s="985"/>
      <c r="AK87" s="1020">
        <f t="shared" ca="1" si="106"/>
        <v>883.46821724498454</v>
      </c>
      <c r="AL87" s="954">
        <f ca="1">AK87/'101'!I$24</f>
        <v>2.5040191720329479</v>
      </c>
      <c r="AM87" s="954">
        <f ca="1">0.8*(AK87*30+'101'!D$17*0.34*30*1)</f>
        <v>24928.708061879632</v>
      </c>
      <c r="AN87" s="954">
        <f ca="1">IF(AM87&lt;User_sheet!B$50,Y87,0)</f>
        <v>0</v>
      </c>
      <c r="AO87" s="954">
        <f ca="1">20-(User_sheet!B$57/('Freestanding '!AK87+'101'!D$17*1*0.34))</f>
        <v>14.51235099466742</v>
      </c>
      <c r="AP87" s="954">
        <f ca="1">IF(AO87&lt;User_sheet!B$59,0,BC87*AA87)</f>
        <v>2.786876928172814E-3</v>
      </c>
      <c r="AQ87" s="985"/>
      <c r="AR87" s="883">
        <v>14.1</v>
      </c>
      <c r="AS87" s="883">
        <v>3.7</v>
      </c>
      <c r="AT87" s="883">
        <v>7.9</v>
      </c>
      <c r="AU87" s="883">
        <v>2.75</v>
      </c>
      <c r="AV87" s="883">
        <v>3.3</v>
      </c>
      <c r="AW87" s="883">
        <v>7211.5338771527777</v>
      </c>
      <c r="AX87" s="883">
        <v>76466.30421774846</v>
      </c>
      <c r="AY87" s="883">
        <v>67352.647733737584</v>
      </c>
      <c r="AZ87" s="883">
        <v>0</v>
      </c>
      <c r="BA87" s="883">
        <v>0</v>
      </c>
      <c r="BB87" s="883">
        <v>0.6</v>
      </c>
      <c r="BC87" s="888">
        <v>1</v>
      </c>
      <c r="BD87" s="889">
        <v>0</v>
      </c>
      <c r="BE87" s="889">
        <v>0</v>
      </c>
      <c r="BF87" s="890">
        <v>0</v>
      </c>
      <c r="BG87" s="883">
        <v>0</v>
      </c>
      <c r="BH87" s="883">
        <v>1</v>
      </c>
      <c r="BI87" s="890">
        <v>0</v>
      </c>
      <c r="BJ87" s="883">
        <v>1</v>
      </c>
      <c r="BK87" s="883">
        <v>0</v>
      </c>
      <c r="BL87" s="883">
        <v>0</v>
      </c>
      <c r="BM87" s="890">
        <v>0</v>
      </c>
      <c r="BN87" s="958">
        <v>0</v>
      </c>
      <c r="BO87" s="959">
        <v>18</v>
      </c>
      <c r="BP87" s="1018">
        <f t="shared" ca="1" si="113"/>
        <v>181.084</v>
      </c>
      <c r="BQ87" s="1018">
        <f t="shared" ca="1" si="114"/>
        <v>302.464</v>
      </c>
      <c r="BR87" s="1018">
        <f t="shared" ca="1" si="115"/>
        <v>104.854</v>
      </c>
      <c r="BS87" s="1018">
        <f t="shared" ca="1" si="116"/>
        <v>129.21406907627619</v>
      </c>
      <c r="BT87" s="1018">
        <f t="shared" ca="1" si="117"/>
        <v>104.86</v>
      </c>
      <c r="BU87" s="1018">
        <f t="shared" ca="1" si="118"/>
        <v>14</v>
      </c>
      <c r="BV87" s="1018">
        <f t="shared" ca="1" si="119"/>
        <v>4.3</v>
      </c>
      <c r="BW87" s="1018">
        <v>0</v>
      </c>
      <c r="BX87" s="1018">
        <f t="shared" ca="1" si="120"/>
        <v>429.28031358885011</v>
      </c>
      <c r="BY87" s="1018">
        <f t="shared" ca="1" si="121"/>
        <v>291.28273085838049</v>
      </c>
      <c r="BZ87" s="1018">
        <f t="shared" ca="1" si="107"/>
        <v>115.37845526167696</v>
      </c>
      <c r="CA87" s="1018">
        <f t="shared" ca="1" si="108"/>
        <v>38.499999978825002</v>
      </c>
      <c r="CB87" s="1018">
        <f t="shared" ca="1" si="122"/>
        <v>9.0267175572519083</v>
      </c>
      <c r="CC87" s="1018">
        <f t="shared" si="109"/>
        <v>0</v>
      </c>
      <c r="CD87" s="1018">
        <f t="shared" ca="1" si="125"/>
        <v>883.46821724498454</v>
      </c>
      <c r="CE87" s="1018">
        <f t="shared" ca="1" si="126"/>
        <v>184.56333165243285</v>
      </c>
      <c r="CF87" s="1018">
        <f t="shared" ca="1" si="110"/>
        <v>32.04094646692252</v>
      </c>
      <c r="CG87" s="1018">
        <f t="shared" ca="1" si="111"/>
        <v>53346.894229567319</v>
      </c>
    </row>
    <row r="88" spans="3:85" x14ac:dyDescent="0.25">
      <c r="C88" s="350"/>
      <c r="D88" s="351"/>
      <c r="E88" s="350"/>
      <c r="F88" s="351"/>
      <c r="G88" s="350"/>
      <c r="H88" s="355"/>
      <c r="I88" s="350"/>
      <c r="J88" s="351"/>
      <c r="K88" s="353"/>
      <c r="L88" s="355"/>
      <c r="M88" s="351" t="s">
        <v>16</v>
      </c>
      <c r="N88" s="352">
        <v>0.44680851100000002</v>
      </c>
      <c r="O88" s="351" t="s">
        <v>19</v>
      </c>
      <c r="P88" s="352">
        <v>0.37046004799999999</v>
      </c>
      <c r="Q88" s="351" t="s">
        <v>7</v>
      </c>
      <c r="R88" s="352">
        <v>0.26140000000000002</v>
      </c>
      <c r="S88" s="351"/>
      <c r="T88" s="359">
        <v>9.8629127310816242E-4</v>
      </c>
      <c r="V88" s="176">
        <f t="shared" si="11"/>
        <v>9.8629127310816242E-4</v>
      </c>
      <c r="W88" s="176">
        <f>V88-V88*Calculation_sheet!J$66</f>
        <v>9.8629127310816242E-4</v>
      </c>
      <c r="X88" s="176">
        <f>W88-W88*Calculation_sheet!J$76</f>
        <v>9.8629127310816242E-4</v>
      </c>
      <c r="Y88" s="34">
        <f>X88/Calculation_sheet!M$67</f>
        <v>9.8631143924231453E-4</v>
      </c>
      <c r="Z88" s="176">
        <f ca="1">IF(AN88&gt;0,Y88*Calculation_sheet!C$87,0)</f>
        <v>0</v>
      </c>
      <c r="AA88" s="176">
        <f t="shared" ca="1" si="123"/>
        <v>9.8631143924231453E-4</v>
      </c>
      <c r="AB88" s="176">
        <f ca="1">IF(AP88&gt;0,AA88*Calculation_sheet!C$94,0)</f>
        <v>0</v>
      </c>
      <c r="AC88" s="176">
        <f t="shared" ca="1" si="112"/>
        <v>9.8631143924231453E-4</v>
      </c>
      <c r="AD88" s="958">
        <f ca="1">AC88*Calculation_sheet!C$99</f>
        <v>5.9178686354538869E-4</v>
      </c>
      <c r="AE88" s="176">
        <f t="shared" ca="1" si="112"/>
        <v>3.9452457569692583E-4</v>
      </c>
      <c r="AF88" s="176">
        <f t="shared" ca="1" si="124"/>
        <v>9.8631143924231453E-4</v>
      </c>
      <c r="AG88" s="958">
        <f ca="1">AF88*User_sheet!B$77/100</f>
        <v>0</v>
      </c>
      <c r="AH88" s="313"/>
      <c r="AI88" s="883">
        <v>101</v>
      </c>
      <c r="AJ88" s="985"/>
      <c r="AK88" s="1020">
        <f t="shared" ca="1" si="106"/>
        <v>883.46821724498454</v>
      </c>
      <c r="AL88" s="954">
        <f ca="1">AK88/'101'!I$24</f>
        <v>2.5040191720329479</v>
      </c>
      <c r="AM88" s="954">
        <f ca="1">0.8*(AK88*30+'101'!D$17*0.34*30*1)</f>
        <v>24928.708061879632</v>
      </c>
      <c r="AN88" s="954">
        <f ca="1">IF(AM88&lt;User_sheet!B$50,Y88,0)</f>
        <v>0</v>
      </c>
      <c r="AO88" s="954">
        <f ca="1">20-(User_sheet!B$57/('Freestanding '!AK88+'101'!D$17*1*0.34))</f>
        <v>14.51235099466742</v>
      </c>
      <c r="AP88" s="954">
        <f ca="1">IF(AO88&lt;User_sheet!B$59,0,BC88*AA88)</f>
        <v>9.8631143924231453E-4</v>
      </c>
      <c r="AQ88" s="985"/>
      <c r="AR88" s="883">
        <v>14.1</v>
      </c>
      <c r="AS88" s="883">
        <v>3.7</v>
      </c>
      <c r="AT88" s="883">
        <v>7.9</v>
      </c>
      <c r="AU88" s="883">
        <v>2.75</v>
      </c>
      <c r="AV88" s="883">
        <v>3.3</v>
      </c>
      <c r="AW88" s="883">
        <v>7211.5338771527777</v>
      </c>
      <c r="AX88" s="883">
        <v>76466.30421774846</v>
      </c>
      <c r="AY88" s="883">
        <v>67352.647733737584</v>
      </c>
      <c r="AZ88" s="883">
        <v>0</v>
      </c>
      <c r="BA88" s="883">
        <v>0</v>
      </c>
      <c r="BB88" s="883">
        <v>0.6</v>
      </c>
      <c r="BC88" s="888">
        <v>1</v>
      </c>
      <c r="BD88" s="889">
        <v>0</v>
      </c>
      <c r="BE88" s="889">
        <v>0</v>
      </c>
      <c r="BF88" s="890">
        <v>0</v>
      </c>
      <c r="BG88" s="883">
        <v>0</v>
      </c>
      <c r="BH88" s="883">
        <v>1</v>
      </c>
      <c r="BI88" s="890">
        <v>0</v>
      </c>
      <c r="BJ88" s="883">
        <v>0</v>
      </c>
      <c r="BK88" s="883">
        <v>0</v>
      </c>
      <c r="BL88" s="883">
        <v>1</v>
      </c>
      <c r="BM88" s="890">
        <v>0</v>
      </c>
      <c r="BN88" s="958">
        <v>0</v>
      </c>
      <c r="BO88" s="959">
        <v>18</v>
      </c>
      <c r="BP88" s="1018">
        <f t="shared" ca="1" si="113"/>
        <v>181.084</v>
      </c>
      <c r="BQ88" s="1018">
        <f t="shared" ca="1" si="114"/>
        <v>302.464</v>
      </c>
      <c r="BR88" s="1018">
        <f t="shared" ca="1" si="115"/>
        <v>104.854</v>
      </c>
      <c r="BS88" s="1018">
        <f t="shared" ca="1" si="116"/>
        <v>129.21406907627619</v>
      </c>
      <c r="BT88" s="1018">
        <f t="shared" ca="1" si="117"/>
        <v>104.86</v>
      </c>
      <c r="BU88" s="1018">
        <f t="shared" ca="1" si="118"/>
        <v>14</v>
      </c>
      <c r="BV88" s="1018">
        <f t="shared" ca="1" si="119"/>
        <v>4.3</v>
      </c>
      <c r="BW88" s="1018">
        <v>0</v>
      </c>
      <c r="BX88" s="1018">
        <f t="shared" ca="1" si="120"/>
        <v>429.28031358885011</v>
      </c>
      <c r="BY88" s="1018">
        <f t="shared" ca="1" si="121"/>
        <v>291.28273085838049</v>
      </c>
      <c r="BZ88" s="1018">
        <f t="shared" ca="1" si="107"/>
        <v>115.37845526167696</v>
      </c>
      <c r="CA88" s="1018">
        <f t="shared" ca="1" si="108"/>
        <v>38.499999978825002</v>
      </c>
      <c r="CB88" s="1018">
        <f t="shared" ca="1" si="122"/>
        <v>9.0267175572519083</v>
      </c>
      <c r="CC88" s="1018">
        <f t="shared" si="109"/>
        <v>0</v>
      </c>
      <c r="CD88" s="1018">
        <f t="shared" ca="1" si="125"/>
        <v>883.46821724498454</v>
      </c>
      <c r="CE88" s="1018">
        <f t="shared" ca="1" si="126"/>
        <v>184.56333165243285</v>
      </c>
      <c r="CF88" s="1018">
        <f t="shared" ca="1" si="110"/>
        <v>32.04094646692252</v>
      </c>
      <c r="CG88" s="1018">
        <f t="shared" ca="1" si="111"/>
        <v>53346.894229567319</v>
      </c>
    </row>
    <row r="89" spans="3:85" x14ac:dyDescent="0.25">
      <c r="C89" s="350"/>
      <c r="D89" s="351"/>
      <c r="E89" s="350"/>
      <c r="F89" s="351"/>
      <c r="G89" s="350"/>
      <c r="H89" s="355"/>
      <c r="I89" s="350"/>
      <c r="J89" s="351"/>
      <c r="K89" s="353"/>
      <c r="L89" s="355"/>
      <c r="M89" s="351"/>
      <c r="N89" s="351"/>
      <c r="O89" s="351"/>
      <c r="P89" s="351"/>
      <c r="Q89" s="351" t="s">
        <v>22</v>
      </c>
      <c r="R89" s="352">
        <v>0.53710000000000002</v>
      </c>
      <c r="S89" s="351"/>
      <c r="T89" s="359">
        <v>4.4215058539002258E-3</v>
      </c>
      <c r="V89" s="176">
        <f t="shared" si="11"/>
        <v>4.4215058539002258E-3</v>
      </c>
      <c r="W89" s="176">
        <f>V89-V89*Calculation_sheet!J$66</f>
        <v>4.4215058539002258E-3</v>
      </c>
      <c r="X89" s="176">
        <f>W89-W89*Calculation_sheet!J$76</f>
        <v>4.4215058539002258E-3</v>
      </c>
      <c r="Y89" s="34">
        <f>X89/Calculation_sheet!M$67</f>
        <v>4.4215962579042308E-3</v>
      </c>
      <c r="Z89" s="176">
        <f ca="1">IF(AN89&gt;0,Y89*Calculation_sheet!C$87,0)</f>
        <v>0</v>
      </c>
      <c r="AA89" s="176">
        <f t="shared" ca="1" si="123"/>
        <v>4.4215962579042308E-3</v>
      </c>
      <c r="AB89" s="176">
        <f ca="1">IF(AP89&gt;0,AA89*Calculation_sheet!C$94,0)</f>
        <v>0</v>
      </c>
      <c r="AC89" s="176">
        <f t="shared" ca="1" si="112"/>
        <v>4.4215962579042308E-3</v>
      </c>
      <c r="AD89" s="958">
        <f ca="1">AC89*Calculation_sheet!C$99</f>
        <v>2.6529577547425385E-3</v>
      </c>
      <c r="AE89" s="176">
        <f t="shared" ca="1" si="112"/>
        <v>1.7686385031616923E-3</v>
      </c>
      <c r="AF89" s="176">
        <f t="shared" ca="1" si="124"/>
        <v>4.4215962579042308E-3</v>
      </c>
      <c r="AG89" s="958">
        <f ca="1">AF89*User_sheet!B$77/100</f>
        <v>0</v>
      </c>
      <c r="AH89" s="313"/>
      <c r="AI89" s="883">
        <v>101</v>
      </c>
      <c r="AJ89" s="985"/>
      <c r="AK89" s="1020">
        <f t="shared" ca="1" si="106"/>
        <v>883.46821724498454</v>
      </c>
      <c r="AL89" s="954">
        <f ca="1">AK89/'101'!I$24</f>
        <v>2.5040191720329479</v>
      </c>
      <c r="AM89" s="954">
        <f ca="1">0.8*(AK89*30+'101'!D$17*0.34*30*1)</f>
        <v>24928.708061879632</v>
      </c>
      <c r="AN89" s="954">
        <f ca="1">IF(AM89&lt;User_sheet!B$50,Y89,0)</f>
        <v>0</v>
      </c>
      <c r="AO89" s="954">
        <f ca="1">20-(User_sheet!B$57/('Freestanding '!AK89+'101'!D$17*1*0.34))</f>
        <v>14.51235099466742</v>
      </c>
      <c r="AP89" s="954">
        <f ca="1">IF(AO89&lt;User_sheet!B$59,0,BC89*AA89)</f>
        <v>0</v>
      </c>
      <c r="AQ89" s="985"/>
      <c r="AR89" s="883">
        <v>14.1</v>
      </c>
      <c r="AS89" s="883">
        <v>3.7</v>
      </c>
      <c r="AT89" s="883">
        <v>7.9</v>
      </c>
      <c r="AU89" s="883">
        <v>2.75</v>
      </c>
      <c r="AV89" s="883">
        <v>3.3</v>
      </c>
      <c r="AW89" s="883">
        <v>7211.5338771527777</v>
      </c>
      <c r="AX89" s="883">
        <v>76466.30421774846</v>
      </c>
      <c r="AY89" s="883">
        <v>67352.647733737584</v>
      </c>
      <c r="AZ89" s="883">
        <v>0</v>
      </c>
      <c r="BA89" s="883">
        <v>0</v>
      </c>
      <c r="BB89" s="883">
        <v>0.6</v>
      </c>
      <c r="BC89" s="888">
        <v>0</v>
      </c>
      <c r="BD89" s="889">
        <v>1</v>
      </c>
      <c r="BE89" s="889">
        <v>0</v>
      </c>
      <c r="BF89" s="890">
        <v>0</v>
      </c>
      <c r="BG89" s="883">
        <v>1</v>
      </c>
      <c r="BH89" s="883">
        <v>0</v>
      </c>
      <c r="BI89" s="890">
        <v>0</v>
      </c>
      <c r="BJ89" s="883">
        <v>0</v>
      </c>
      <c r="BK89" s="883">
        <v>1</v>
      </c>
      <c r="BL89" s="883">
        <v>0</v>
      </c>
      <c r="BM89" s="890">
        <v>0</v>
      </c>
      <c r="BN89" s="958">
        <v>0</v>
      </c>
      <c r="BO89" s="959">
        <v>18</v>
      </c>
      <c r="BP89" s="1018">
        <f t="shared" ca="1" si="113"/>
        <v>181.084</v>
      </c>
      <c r="BQ89" s="1018">
        <f t="shared" ca="1" si="114"/>
        <v>302.464</v>
      </c>
      <c r="BR89" s="1018">
        <f t="shared" ca="1" si="115"/>
        <v>104.854</v>
      </c>
      <c r="BS89" s="1018">
        <f t="shared" ca="1" si="116"/>
        <v>129.21406907627619</v>
      </c>
      <c r="BT89" s="1018">
        <f t="shared" ca="1" si="117"/>
        <v>104.86</v>
      </c>
      <c r="BU89" s="1018">
        <f t="shared" ca="1" si="118"/>
        <v>14</v>
      </c>
      <c r="BV89" s="1018">
        <f t="shared" ca="1" si="119"/>
        <v>4.3</v>
      </c>
      <c r="BW89" s="1018">
        <v>0</v>
      </c>
      <c r="BX89" s="1018">
        <f t="shared" ca="1" si="120"/>
        <v>429.28031358885011</v>
      </c>
      <c r="BY89" s="1018">
        <f t="shared" ca="1" si="121"/>
        <v>291.28273085838049</v>
      </c>
      <c r="BZ89" s="1018">
        <f t="shared" ca="1" si="107"/>
        <v>115.37845526167696</v>
      </c>
      <c r="CA89" s="1018">
        <f t="shared" ca="1" si="108"/>
        <v>38.499999978825002</v>
      </c>
      <c r="CB89" s="1018">
        <f t="shared" ca="1" si="122"/>
        <v>9.0267175572519083</v>
      </c>
      <c r="CC89" s="1018">
        <f t="shared" si="109"/>
        <v>0</v>
      </c>
      <c r="CD89" s="1018">
        <f t="shared" ca="1" si="125"/>
        <v>883.46821724498454</v>
      </c>
      <c r="CE89" s="1018">
        <f t="shared" ca="1" si="126"/>
        <v>184.56333165243285</v>
      </c>
      <c r="CF89" s="1018">
        <f t="shared" ca="1" si="110"/>
        <v>32.04094646692252</v>
      </c>
      <c r="CG89" s="1018">
        <f t="shared" ca="1" si="111"/>
        <v>53346.894229567319</v>
      </c>
    </row>
    <row r="90" spans="3:85" x14ac:dyDescent="0.25">
      <c r="C90" s="350"/>
      <c r="D90" s="351"/>
      <c r="E90" s="350"/>
      <c r="F90" s="351"/>
      <c r="G90" s="350"/>
      <c r="H90" s="355"/>
      <c r="I90" s="350"/>
      <c r="J90" s="351"/>
      <c r="K90" s="353"/>
      <c r="L90" s="355"/>
      <c r="M90" s="351"/>
      <c r="N90" s="351"/>
      <c r="O90" s="351" t="s">
        <v>18</v>
      </c>
      <c r="P90" s="352">
        <v>0.80827067699999999</v>
      </c>
      <c r="Q90" s="351" t="s">
        <v>7</v>
      </c>
      <c r="R90" s="352">
        <v>0.46289999999999998</v>
      </c>
      <c r="S90" s="351"/>
      <c r="T90" s="359">
        <v>3.8106778249309527E-3</v>
      </c>
      <c r="V90" s="176">
        <f t="shared" si="11"/>
        <v>3.8106778249309527E-3</v>
      </c>
      <c r="W90" s="176">
        <f>V90-V90*Calculation_sheet!J$66</f>
        <v>3.8106778249309527E-3</v>
      </c>
      <c r="X90" s="176">
        <f>W90-W90*Calculation_sheet!J$76</f>
        <v>3.8106778249309527E-3</v>
      </c>
      <c r="Y90" s="34">
        <f>X90/Calculation_sheet!M$67</f>
        <v>3.8107557396832412E-3</v>
      </c>
      <c r="Z90" s="176">
        <f ca="1">IF(AN90&gt;0,Y90*Calculation_sheet!C$87,0)</f>
        <v>0</v>
      </c>
      <c r="AA90" s="176">
        <f t="shared" ca="1" si="123"/>
        <v>3.8107557396832412E-3</v>
      </c>
      <c r="AB90" s="176">
        <f ca="1">IF(AP90&gt;0,AA90*Calculation_sheet!C$94,0)</f>
        <v>0</v>
      </c>
      <c r="AC90" s="176">
        <f t="shared" ca="1" si="112"/>
        <v>3.8107557396832412E-3</v>
      </c>
      <c r="AD90" s="958">
        <f ca="1">AC90*Calculation_sheet!C$99</f>
        <v>2.2864534438099444E-3</v>
      </c>
      <c r="AE90" s="176">
        <f t="shared" ca="1" si="112"/>
        <v>1.5243022958732967E-3</v>
      </c>
      <c r="AF90" s="176">
        <f t="shared" ca="1" si="124"/>
        <v>3.8107557396832412E-3</v>
      </c>
      <c r="AG90" s="958">
        <f ca="1">AF90*User_sheet!B$77/100</f>
        <v>0</v>
      </c>
      <c r="AH90" s="313"/>
      <c r="AI90" s="883">
        <v>101</v>
      </c>
      <c r="AJ90" s="985"/>
      <c r="AK90" s="1020">
        <f t="shared" ca="1" si="106"/>
        <v>883.46821724498454</v>
      </c>
      <c r="AL90" s="954">
        <f ca="1">AK90/'101'!I$24</f>
        <v>2.5040191720329479</v>
      </c>
      <c r="AM90" s="954">
        <f ca="1">0.8*(AK90*30+'101'!D$17*0.34*30*1)</f>
        <v>24928.708061879632</v>
      </c>
      <c r="AN90" s="954">
        <f ca="1">IF(AM90&lt;User_sheet!B$50,Y90,0)</f>
        <v>0</v>
      </c>
      <c r="AO90" s="954">
        <f ca="1">20-(User_sheet!B$57/('Freestanding '!AK90+'101'!D$17*1*0.34))</f>
        <v>14.51235099466742</v>
      </c>
      <c r="AP90" s="954">
        <f ca="1">IF(AO90&lt;User_sheet!B$59,0,BC90*AA90)</f>
        <v>0</v>
      </c>
      <c r="AQ90" s="985"/>
      <c r="AR90" s="883">
        <v>14.1</v>
      </c>
      <c r="AS90" s="883">
        <v>3.7</v>
      </c>
      <c r="AT90" s="883">
        <v>7.9</v>
      </c>
      <c r="AU90" s="883">
        <v>2.75</v>
      </c>
      <c r="AV90" s="883">
        <v>3.3</v>
      </c>
      <c r="AW90" s="883">
        <v>7211.5338771527777</v>
      </c>
      <c r="AX90" s="883">
        <v>76466.30421774846</v>
      </c>
      <c r="AY90" s="883">
        <v>67352.647733737584</v>
      </c>
      <c r="AZ90" s="883">
        <v>0</v>
      </c>
      <c r="BA90" s="883">
        <v>0</v>
      </c>
      <c r="BB90" s="883">
        <v>0.6</v>
      </c>
      <c r="BC90" s="888">
        <v>0</v>
      </c>
      <c r="BD90" s="889">
        <v>1</v>
      </c>
      <c r="BE90" s="889">
        <v>0</v>
      </c>
      <c r="BF90" s="890">
        <v>0</v>
      </c>
      <c r="BG90" s="883">
        <v>1</v>
      </c>
      <c r="BH90" s="883">
        <v>0</v>
      </c>
      <c r="BI90" s="890">
        <v>0</v>
      </c>
      <c r="BJ90" s="883">
        <v>0</v>
      </c>
      <c r="BK90" s="883">
        <v>0</v>
      </c>
      <c r="BL90" s="883">
        <v>1</v>
      </c>
      <c r="BM90" s="890">
        <v>0</v>
      </c>
      <c r="BN90" s="958">
        <v>0</v>
      </c>
      <c r="BO90" s="959">
        <v>18</v>
      </c>
      <c r="BP90" s="1018">
        <f t="shared" ca="1" si="113"/>
        <v>181.084</v>
      </c>
      <c r="BQ90" s="1018">
        <f t="shared" ca="1" si="114"/>
        <v>302.464</v>
      </c>
      <c r="BR90" s="1018">
        <f t="shared" ca="1" si="115"/>
        <v>104.854</v>
      </c>
      <c r="BS90" s="1018">
        <f t="shared" ca="1" si="116"/>
        <v>129.21406907627619</v>
      </c>
      <c r="BT90" s="1018">
        <f t="shared" ca="1" si="117"/>
        <v>104.86</v>
      </c>
      <c r="BU90" s="1018">
        <f t="shared" ca="1" si="118"/>
        <v>14</v>
      </c>
      <c r="BV90" s="1018">
        <f t="shared" ca="1" si="119"/>
        <v>4.3</v>
      </c>
      <c r="BW90" s="1018">
        <v>0</v>
      </c>
      <c r="BX90" s="1018">
        <f t="shared" ca="1" si="120"/>
        <v>429.28031358885011</v>
      </c>
      <c r="BY90" s="1018">
        <f t="shared" ca="1" si="121"/>
        <v>291.28273085838049</v>
      </c>
      <c r="BZ90" s="1018">
        <f t="shared" ca="1" si="107"/>
        <v>115.37845526167696</v>
      </c>
      <c r="CA90" s="1018">
        <f t="shared" ca="1" si="108"/>
        <v>38.499999978825002</v>
      </c>
      <c r="CB90" s="1018">
        <f t="shared" ca="1" si="122"/>
        <v>9.0267175572519083</v>
      </c>
      <c r="CC90" s="1018">
        <f t="shared" si="109"/>
        <v>0</v>
      </c>
      <c r="CD90" s="1018">
        <f t="shared" ca="1" si="125"/>
        <v>883.46821724498454</v>
      </c>
      <c r="CE90" s="1018">
        <f t="shared" ca="1" si="126"/>
        <v>184.56333165243285</v>
      </c>
      <c r="CF90" s="1018">
        <f t="shared" ca="1" si="110"/>
        <v>32.04094646692252</v>
      </c>
      <c r="CG90" s="1018">
        <f t="shared" ca="1" si="111"/>
        <v>53346.894229567319</v>
      </c>
    </row>
    <row r="91" spans="3:85" x14ac:dyDescent="0.25">
      <c r="C91" s="350"/>
      <c r="D91" s="351"/>
      <c r="E91" s="350"/>
      <c r="F91" s="351"/>
      <c r="G91" s="350"/>
      <c r="H91" s="355"/>
      <c r="I91" s="350"/>
      <c r="J91" s="351"/>
      <c r="K91" s="353"/>
      <c r="L91" s="355"/>
      <c r="M91" s="351"/>
      <c r="N91" s="351"/>
      <c r="O91" s="351"/>
      <c r="P91" s="351"/>
      <c r="Q91" s="351" t="s">
        <v>22</v>
      </c>
      <c r="R91" s="352">
        <v>0.53710000000000002</v>
      </c>
      <c r="S91" s="351"/>
      <c r="T91" s="359">
        <v>1.0488223167457887E-3</v>
      </c>
      <c r="V91" s="176">
        <f t="shared" si="11"/>
        <v>1.0488223167457887E-3</v>
      </c>
      <c r="W91" s="176">
        <f>V91-V91*Calculation_sheet!J$66</f>
        <v>1.0488223167457887E-3</v>
      </c>
      <c r="X91" s="176">
        <f>W91-W91*Calculation_sheet!J$76</f>
        <v>1.0488223167457887E-3</v>
      </c>
      <c r="Y91" s="34">
        <f>X91/Calculation_sheet!M$67</f>
        <v>1.0488437614164636E-3</v>
      </c>
      <c r="Z91" s="176">
        <f ca="1">IF(AN91&gt;0,Y91*Calculation_sheet!C$87,0)</f>
        <v>0</v>
      </c>
      <c r="AA91" s="176">
        <f t="shared" ca="1" si="123"/>
        <v>1.0488437614164636E-3</v>
      </c>
      <c r="AB91" s="176">
        <f ca="1">IF(AP91&gt;0,AA91*Calculation_sheet!C$94,0)</f>
        <v>0</v>
      </c>
      <c r="AC91" s="176">
        <f t="shared" ca="1" si="112"/>
        <v>1.0488437614164636E-3</v>
      </c>
      <c r="AD91" s="958">
        <f ca="1">AC91*Calculation_sheet!C$99</f>
        <v>6.2930625684987811E-4</v>
      </c>
      <c r="AE91" s="176">
        <f t="shared" ca="1" si="112"/>
        <v>4.1953750456658544E-4</v>
      </c>
      <c r="AF91" s="176">
        <f t="shared" ca="1" si="124"/>
        <v>1.0488437614164636E-3</v>
      </c>
      <c r="AG91" s="958">
        <f ca="1">AF91*User_sheet!B$77/100</f>
        <v>0</v>
      </c>
      <c r="AH91" s="313"/>
      <c r="AI91" s="883">
        <v>101</v>
      </c>
      <c r="AJ91" s="985"/>
      <c r="AK91" s="1020">
        <f t="shared" ca="1" si="106"/>
        <v>883.46821724498454</v>
      </c>
      <c r="AL91" s="954">
        <f ca="1">AK91/'101'!I$24</f>
        <v>2.5040191720329479</v>
      </c>
      <c r="AM91" s="954">
        <f ca="1">0.8*(AK91*30+'101'!D$17*0.34*30*1)</f>
        <v>24928.708061879632</v>
      </c>
      <c r="AN91" s="954">
        <f ca="1">IF(AM91&lt;User_sheet!B$50,Y91,0)</f>
        <v>0</v>
      </c>
      <c r="AO91" s="954">
        <f ca="1">20-(User_sheet!B$57/('Freestanding '!AK91+'101'!D$17*1*0.34))</f>
        <v>14.51235099466742</v>
      </c>
      <c r="AP91" s="954">
        <f ca="1">IF(AO91&lt;User_sheet!B$59,0,BC91*AA91)</f>
        <v>0</v>
      </c>
      <c r="AQ91" s="985"/>
      <c r="AR91" s="883">
        <v>14.1</v>
      </c>
      <c r="AS91" s="883">
        <v>3.7</v>
      </c>
      <c r="AT91" s="883">
        <v>7.9</v>
      </c>
      <c r="AU91" s="883">
        <v>2.75</v>
      </c>
      <c r="AV91" s="883">
        <v>3.3</v>
      </c>
      <c r="AW91" s="883">
        <v>7211.5338771527777</v>
      </c>
      <c r="AX91" s="883">
        <v>76466.30421774846</v>
      </c>
      <c r="AY91" s="883">
        <v>67352.647733737584</v>
      </c>
      <c r="AZ91" s="883">
        <v>0</v>
      </c>
      <c r="BA91" s="883">
        <v>0</v>
      </c>
      <c r="BB91" s="883">
        <v>0.6</v>
      </c>
      <c r="BC91" s="888">
        <v>0</v>
      </c>
      <c r="BD91" s="889">
        <v>1</v>
      </c>
      <c r="BE91" s="889">
        <v>0</v>
      </c>
      <c r="BF91" s="890">
        <v>0</v>
      </c>
      <c r="BG91" s="883">
        <v>0</v>
      </c>
      <c r="BH91" s="883">
        <v>1</v>
      </c>
      <c r="BI91" s="890">
        <v>0</v>
      </c>
      <c r="BJ91" s="883">
        <v>0</v>
      </c>
      <c r="BK91" s="883">
        <v>1</v>
      </c>
      <c r="BL91" s="883">
        <v>0</v>
      </c>
      <c r="BM91" s="890">
        <v>0</v>
      </c>
      <c r="BN91" s="958">
        <v>0</v>
      </c>
      <c r="BO91" s="959">
        <v>18</v>
      </c>
      <c r="BP91" s="1018">
        <f t="shared" ca="1" si="113"/>
        <v>181.084</v>
      </c>
      <c r="BQ91" s="1018">
        <f t="shared" ca="1" si="114"/>
        <v>302.464</v>
      </c>
      <c r="BR91" s="1018">
        <f t="shared" ca="1" si="115"/>
        <v>104.854</v>
      </c>
      <c r="BS91" s="1018">
        <f t="shared" ca="1" si="116"/>
        <v>129.21406907627619</v>
      </c>
      <c r="BT91" s="1018">
        <f t="shared" ca="1" si="117"/>
        <v>104.86</v>
      </c>
      <c r="BU91" s="1018">
        <f t="shared" ca="1" si="118"/>
        <v>14</v>
      </c>
      <c r="BV91" s="1018">
        <f t="shared" ca="1" si="119"/>
        <v>4.3</v>
      </c>
      <c r="BW91" s="1018">
        <v>0</v>
      </c>
      <c r="BX91" s="1018">
        <f t="shared" ca="1" si="120"/>
        <v>429.28031358885011</v>
      </c>
      <c r="BY91" s="1018">
        <f t="shared" ca="1" si="121"/>
        <v>291.28273085838049</v>
      </c>
      <c r="BZ91" s="1018">
        <f t="shared" ca="1" si="107"/>
        <v>115.37845526167696</v>
      </c>
      <c r="CA91" s="1018">
        <f t="shared" ca="1" si="108"/>
        <v>38.499999978825002</v>
      </c>
      <c r="CB91" s="1018">
        <f t="shared" ca="1" si="122"/>
        <v>9.0267175572519083</v>
      </c>
      <c r="CC91" s="1018">
        <f t="shared" si="109"/>
        <v>0</v>
      </c>
      <c r="CD91" s="1018">
        <f t="shared" ca="1" si="125"/>
        <v>883.46821724498454</v>
      </c>
      <c r="CE91" s="1018">
        <f t="shared" ca="1" si="126"/>
        <v>184.56333165243285</v>
      </c>
      <c r="CF91" s="1018">
        <f t="shared" ca="1" si="110"/>
        <v>32.04094646692252</v>
      </c>
      <c r="CG91" s="1018">
        <f t="shared" ca="1" si="111"/>
        <v>53346.894229567319</v>
      </c>
    </row>
    <row r="92" spans="3:85" x14ac:dyDescent="0.25">
      <c r="C92" s="350"/>
      <c r="D92" s="351"/>
      <c r="E92" s="350"/>
      <c r="F92" s="351"/>
      <c r="G92" s="350"/>
      <c r="H92" s="351"/>
      <c r="I92" s="350"/>
      <c r="J92" s="351"/>
      <c r="K92" s="351"/>
      <c r="L92" s="351"/>
      <c r="M92" s="351" t="s">
        <v>22</v>
      </c>
      <c r="N92" s="352">
        <v>0.44680851100000002</v>
      </c>
      <c r="O92" s="351" t="s">
        <v>20</v>
      </c>
      <c r="P92" s="352">
        <v>0.19172932300000001</v>
      </c>
      <c r="Q92" s="351" t="s">
        <v>7</v>
      </c>
      <c r="R92" s="352">
        <v>0.46289999999999998</v>
      </c>
      <c r="S92" s="351"/>
      <c r="T92" s="359">
        <v>9.0392822644130616E-4</v>
      </c>
      <c r="V92" s="176">
        <f t="shared" si="11"/>
        <v>9.0392822644130616E-4</v>
      </c>
      <c r="W92" s="176">
        <f>V92-V92*Calculation_sheet!J$66</f>
        <v>9.0392822644130616E-4</v>
      </c>
      <c r="X92" s="176">
        <f>W92-W92*Calculation_sheet!J$76</f>
        <v>9.0392822644130616E-4</v>
      </c>
      <c r="Y92" s="34">
        <f>X92/Calculation_sheet!M$67</f>
        <v>9.0394670854530054E-4</v>
      </c>
      <c r="Z92" s="176">
        <f ca="1">IF(AN92&gt;0,Y92*Calculation_sheet!C$87,0)</f>
        <v>0</v>
      </c>
      <c r="AA92" s="176">
        <f t="shared" ca="1" si="123"/>
        <v>9.0394670854530054E-4</v>
      </c>
      <c r="AB92" s="176">
        <f ca="1">IF(AP92&gt;0,AA92*Calculation_sheet!C$94,0)</f>
        <v>0</v>
      </c>
      <c r="AC92" s="176">
        <f t="shared" ca="1" si="112"/>
        <v>9.0394670854530054E-4</v>
      </c>
      <c r="AD92" s="958">
        <f ca="1">AC92*Calculation_sheet!C$99</f>
        <v>5.4236802512718028E-4</v>
      </c>
      <c r="AE92" s="176">
        <f t="shared" ca="1" si="112"/>
        <v>3.6157868341812026E-4</v>
      </c>
      <c r="AF92" s="176">
        <f t="shared" ca="1" si="124"/>
        <v>9.0394670854530054E-4</v>
      </c>
      <c r="AG92" s="958">
        <f ca="1">AF92*User_sheet!B$77/100</f>
        <v>0</v>
      </c>
      <c r="AH92" s="313"/>
      <c r="AI92" s="883">
        <v>101</v>
      </c>
      <c r="AJ92" s="985"/>
      <c r="AK92" s="1020">
        <f t="shared" ca="1" si="106"/>
        <v>883.46821724498454</v>
      </c>
      <c r="AL92" s="954">
        <f ca="1">AK92/'101'!I$24</f>
        <v>2.5040191720329479</v>
      </c>
      <c r="AM92" s="954">
        <f ca="1">0.8*(AK92*30+'101'!D$17*0.34*30*1)</f>
        <v>24928.708061879632</v>
      </c>
      <c r="AN92" s="954">
        <f ca="1">IF(AM92&lt;User_sheet!B$50,Y92,0)</f>
        <v>0</v>
      </c>
      <c r="AO92" s="954">
        <f ca="1">20-(User_sheet!B$57/('Freestanding '!AK92+'101'!D$17*1*0.34))</f>
        <v>14.51235099466742</v>
      </c>
      <c r="AP92" s="954">
        <f ca="1">IF(AO92&lt;User_sheet!B$59,0,BC92*AA92)</f>
        <v>0</v>
      </c>
      <c r="AQ92" s="985"/>
      <c r="AR92" s="883">
        <v>14.1</v>
      </c>
      <c r="AS92" s="883">
        <v>3.7</v>
      </c>
      <c r="AT92" s="883">
        <v>7.9</v>
      </c>
      <c r="AU92" s="883">
        <v>2.75</v>
      </c>
      <c r="AV92" s="883">
        <v>3.3</v>
      </c>
      <c r="AW92" s="883">
        <v>7211.5338771527777</v>
      </c>
      <c r="AX92" s="883">
        <v>76466.30421774846</v>
      </c>
      <c r="AY92" s="883">
        <v>67352.647733737584</v>
      </c>
      <c r="AZ92" s="883">
        <v>0</v>
      </c>
      <c r="BA92" s="883">
        <v>0</v>
      </c>
      <c r="BB92" s="883">
        <v>0.6</v>
      </c>
      <c r="BC92" s="888">
        <v>0</v>
      </c>
      <c r="BD92" s="889">
        <v>1</v>
      </c>
      <c r="BE92" s="889">
        <v>0</v>
      </c>
      <c r="BF92" s="890">
        <v>0</v>
      </c>
      <c r="BG92" s="883">
        <v>0</v>
      </c>
      <c r="BH92" s="883">
        <v>1</v>
      </c>
      <c r="BI92" s="890">
        <v>0</v>
      </c>
      <c r="BJ92" s="883">
        <v>0</v>
      </c>
      <c r="BK92" s="883">
        <v>0</v>
      </c>
      <c r="BL92" s="883">
        <v>1</v>
      </c>
      <c r="BM92" s="890">
        <v>0</v>
      </c>
      <c r="BN92" s="958">
        <v>0</v>
      </c>
      <c r="BO92" s="959">
        <v>18</v>
      </c>
      <c r="BP92" s="1018">
        <f t="shared" ca="1" si="113"/>
        <v>181.084</v>
      </c>
      <c r="BQ92" s="1018">
        <f t="shared" ca="1" si="114"/>
        <v>302.464</v>
      </c>
      <c r="BR92" s="1018">
        <f t="shared" ca="1" si="115"/>
        <v>104.854</v>
      </c>
      <c r="BS92" s="1018">
        <f t="shared" ca="1" si="116"/>
        <v>129.21406907627619</v>
      </c>
      <c r="BT92" s="1018">
        <f t="shared" ca="1" si="117"/>
        <v>104.86</v>
      </c>
      <c r="BU92" s="1018">
        <f t="shared" ca="1" si="118"/>
        <v>14</v>
      </c>
      <c r="BV92" s="1018">
        <f t="shared" ca="1" si="119"/>
        <v>4.3</v>
      </c>
      <c r="BW92" s="1018">
        <v>0</v>
      </c>
      <c r="BX92" s="1018">
        <f t="shared" ca="1" si="120"/>
        <v>429.28031358885011</v>
      </c>
      <c r="BY92" s="1018">
        <f t="shared" ca="1" si="121"/>
        <v>291.28273085838049</v>
      </c>
      <c r="BZ92" s="1018">
        <f t="shared" ca="1" si="107"/>
        <v>115.37845526167696</v>
      </c>
      <c r="CA92" s="1018">
        <f t="shared" ca="1" si="108"/>
        <v>38.499999978825002</v>
      </c>
      <c r="CB92" s="1018">
        <f t="shared" ca="1" si="122"/>
        <v>9.0267175572519083</v>
      </c>
      <c r="CC92" s="1018">
        <f t="shared" si="109"/>
        <v>0</v>
      </c>
      <c r="CD92" s="1018">
        <f t="shared" ca="1" si="125"/>
        <v>883.46821724498454</v>
      </c>
      <c r="CE92" s="1018">
        <f t="shared" ca="1" si="126"/>
        <v>184.56333165243285</v>
      </c>
      <c r="CF92" s="1018">
        <f t="shared" ca="1" si="110"/>
        <v>32.04094646692252</v>
      </c>
      <c r="CG92" s="1018">
        <f t="shared" ca="1" si="111"/>
        <v>53346.894229567319</v>
      </c>
    </row>
    <row r="93" spans="3:85" x14ac:dyDescent="0.25">
      <c r="D93" s="351"/>
      <c r="E93" s="350" t="s">
        <v>8</v>
      </c>
      <c r="F93" s="354">
        <v>0.86</v>
      </c>
      <c r="G93" s="350"/>
      <c r="H93" s="351"/>
      <c r="I93" s="350" t="s">
        <v>10</v>
      </c>
      <c r="J93" s="354">
        <v>0.73429999999999995</v>
      </c>
      <c r="K93" s="351"/>
      <c r="L93" s="351"/>
      <c r="M93" s="351" t="s">
        <v>7</v>
      </c>
      <c r="N93" s="352">
        <v>2.1276595999999998E-2</v>
      </c>
      <c r="O93" s="351" t="s">
        <v>23</v>
      </c>
      <c r="P93" s="351">
        <v>1</v>
      </c>
      <c r="Q93" s="351" t="s">
        <v>7</v>
      </c>
      <c r="R93" s="352">
        <v>1</v>
      </c>
      <c r="S93" s="351"/>
      <c r="T93" s="359">
        <v>4.8499687314250168E-4</v>
      </c>
      <c r="V93" s="176">
        <f t="shared" si="11"/>
        <v>4.8499687314250168E-4</v>
      </c>
      <c r="W93" s="176">
        <f>V93-V93*Calculation_sheet!J$66</f>
        <v>4.8499687314250168E-4</v>
      </c>
      <c r="X93" s="176">
        <f>W93-W93*Calculation_sheet!J$76</f>
        <v>4.8499687314250168E-4</v>
      </c>
      <c r="Y93" s="34">
        <f>X93/Calculation_sheet!M$67</f>
        <v>4.8500678959646803E-4</v>
      </c>
      <c r="Z93" s="176">
        <f ca="1">IF(AN93&gt;0,Y93*Calculation_sheet!C$87,0)</f>
        <v>0</v>
      </c>
      <c r="AA93" s="176">
        <f t="shared" ca="1" si="123"/>
        <v>4.8500678959646803E-4</v>
      </c>
      <c r="AB93" s="176">
        <f ca="1">IF(AP93&gt;0,AA93*Calculation_sheet!C$94,0)</f>
        <v>0</v>
      </c>
      <c r="AC93" s="176">
        <f t="shared" ca="1" si="112"/>
        <v>4.8500678959646803E-4</v>
      </c>
      <c r="AD93" s="958">
        <f ca="1">AC93*Calculation_sheet!C$99</f>
        <v>2.9100407375788081E-4</v>
      </c>
      <c r="AE93" s="176">
        <f t="shared" ca="1" si="112"/>
        <v>1.9400271583858722E-4</v>
      </c>
      <c r="AF93" s="176">
        <f t="shared" ca="1" si="124"/>
        <v>4.8500678959646803E-4</v>
      </c>
      <c r="AG93" s="958">
        <f ca="1">AF93*User_sheet!B$77/100</f>
        <v>0</v>
      </c>
      <c r="AH93" s="313"/>
      <c r="AI93" s="883">
        <v>101</v>
      </c>
      <c r="AJ93" s="985"/>
      <c r="AK93" s="1020">
        <f t="shared" ca="1" si="106"/>
        <v>883.46821724498454</v>
      </c>
      <c r="AL93" s="954">
        <f ca="1">AK93/'101'!I$24</f>
        <v>2.5040191720329479</v>
      </c>
      <c r="AM93" s="954">
        <f ca="1">0.8*(AK93*30+'101'!D$17*0.34*30*1)</f>
        <v>24928.708061879632</v>
      </c>
      <c r="AN93" s="954">
        <f ca="1">IF(AM93&lt;User_sheet!B$50,Y93,0)</f>
        <v>0</v>
      </c>
      <c r="AO93" s="954">
        <f ca="1">20-(User_sheet!B$57/('Freestanding '!AK93+'101'!D$17*1*0.34))</f>
        <v>14.51235099466742</v>
      </c>
      <c r="AP93" s="954">
        <f ca="1">IF(AO93&lt;User_sheet!B$59,0,BC93*AA93)</f>
        <v>0</v>
      </c>
      <c r="AQ93" s="985"/>
      <c r="AR93" s="883">
        <v>14.1</v>
      </c>
      <c r="AS93" s="883">
        <v>3.7</v>
      </c>
      <c r="AT93" s="883">
        <v>7.9</v>
      </c>
      <c r="AU93" s="883">
        <v>2.75</v>
      </c>
      <c r="AV93" s="883">
        <v>3.3</v>
      </c>
      <c r="AW93" s="883">
        <v>7211.5338771527777</v>
      </c>
      <c r="AX93" s="883">
        <v>76466.30421774846</v>
      </c>
      <c r="AY93" s="883">
        <v>67352.647733737584</v>
      </c>
      <c r="AZ93" s="883">
        <v>0</v>
      </c>
      <c r="BA93" s="883">
        <v>0</v>
      </c>
      <c r="BB93" s="883">
        <v>0.6</v>
      </c>
      <c r="BC93" s="888">
        <v>0</v>
      </c>
      <c r="BD93" s="889">
        <v>0</v>
      </c>
      <c r="BE93" s="889">
        <v>1</v>
      </c>
      <c r="BF93" s="890">
        <v>0</v>
      </c>
      <c r="BG93" s="883">
        <v>0</v>
      </c>
      <c r="BH93" s="883">
        <v>0</v>
      </c>
      <c r="BI93" s="890">
        <v>1</v>
      </c>
      <c r="BJ93" s="883">
        <v>0</v>
      </c>
      <c r="BK93" s="883">
        <v>0</v>
      </c>
      <c r="BL93" s="883">
        <v>1</v>
      </c>
      <c r="BM93" s="890">
        <v>0</v>
      </c>
      <c r="BN93" s="958">
        <v>0</v>
      </c>
      <c r="BO93" s="959">
        <v>18</v>
      </c>
      <c r="BP93" s="1018">
        <f t="shared" ca="1" si="113"/>
        <v>181.084</v>
      </c>
      <c r="BQ93" s="1018">
        <f t="shared" ca="1" si="114"/>
        <v>302.464</v>
      </c>
      <c r="BR93" s="1018">
        <f t="shared" ca="1" si="115"/>
        <v>104.854</v>
      </c>
      <c r="BS93" s="1018">
        <f t="shared" ca="1" si="116"/>
        <v>129.21406907627619</v>
      </c>
      <c r="BT93" s="1018">
        <f t="shared" ca="1" si="117"/>
        <v>104.86</v>
      </c>
      <c r="BU93" s="1018">
        <f t="shared" ca="1" si="118"/>
        <v>14</v>
      </c>
      <c r="BV93" s="1018">
        <f t="shared" ca="1" si="119"/>
        <v>4.3</v>
      </c>
      <c r="BW93" s="1018">
        <v>0</v>
      </c>
      <c r="BX93" s="1018">
        <f t="shared" ca="1" si="120"/>
        <v>429.28031358885011</v>
      </c>
      <c r="BY93" s="1018">
        <f t="shared" ca="1" si="121"/>
        <v>291.28273085838049</v>
      </c>
      <c r="BZ93" s="1018">
        <f t="shared" ca="1" si="107"/>
        <v>115.37845526167696</v>
      </c>
      <c r="CA93" s="1018">
        <f t="shared" ca="1" si="108"/>
        <v>38.499999978825002</v>
      </c>
      <c r="CB93" s="1018">
        <f t="shared" ca="1" si="122"/>
        <v>9.0267175572519083</v>
      </c>
      <c r="CC93" s="1018">
        <f t="shared" si="109"/>
        <v>0</v>
      </c>
      <c r="CD93" s="1018">
        <f t="shared" ca="1" si="125"/>
        <v>883.46821724498454</v>
      </c>
      <c r="CE93" s="1018">
        <f t="shared" ca="1" si="126"/>
        <v>184.56333165243285</v>
      </c>
      <c r="CF93" s="1018">
        <f t="shared" ca="1" si="110"/>
        <v>32.04094646692252</v>
      </c>
      <c r="CG93" s="1018">
        <f t="shared" ca="1" si="111"/>
        <v>53346.894229567319</v>
      </c>
    </row>
    <row r="94" spans="3:85" x14ac:dyDescent="0.25">
      <c r="D94" s="351"/>
      <c r="E94" s="350"/>
      <c r="F94" s="351"/>
      <c r="G94" s="350"/>
      <c r="H94" s="351"/>
      <c r="I94" s="350"/>
      <c r="J94" s="351"/>
      <c r="K94" s="351"/>
      <c r="L94" s="351"/>
      <c r="M94" s="351"/>
      <c r="N94" s="351"/>
      <c r="O94" s="351" t="s">
        <v>18</v>
      </c>
      <c r="P94" s="352">
        <v>0.15910607099999999</v>
      </c>
      <c r="Q94" s="351" t="s">
        <v>17</v>
      </c>
      <c r="R94" s="352">
        <v>1</v>
      </c>
      <c r="S94" s="351"/>
      <c r="T94" s="359">
        <v>3.0866378410515595E-4</v>
      </c>
      <c r="V94" s="176">
        <f t="shared" si="11"/>
        <v>3.0866378410515595E-4</v>
      </c>
      <c r="W94" s="176">
        <f>V94-V94*Calculation_sheet!J$66</f>
        <v>3.0866378410515595E-4</v>
      </c>
      <c r="X94" s="176">
        <f>W94-W94*Calculation_sheet!J$76</f>
        <v>3.0866378410515595E-4</v>
      </c>
      <c r="Y94" s="34">
        <f>X94/Calculation_sheet!M$67</f>
        <v>3.0867009517719716E-4</v>
      </c>
      <c r="Z94" s="176">
        <f ca="1">IF(AN94&gt;0,Y94*Calculation_sheet!C$87,0)</f>
        <v>0</v>
      </c>
      <c r="AA94" s="176">
        <f t="shared" ca="1" si="123"/>
        <v>3.0867009517719716E-4</v>
      </c>
      <c r="AB94" s="176">
        <f ca="1">IF(AP94&gt;0,AA94*Calculation_sheet!C$94,0)</f>
        <v>0</v>
      </c>
      <c r="AC94" s="176">
        <f t="shared" ca="1" si="112"/>
        <v>3.0867009517719716E-4</v>
      </c>
      <c r="AD94" s="958">
        <f ca="1">AC94*Calculation_sheet!C$99</f>
        <v>1.852020571063183E-4</v>
      </c>
      <c r="AE94" s="176">
        <f t="shared" ca="1" si="112"/>
        <v>1.2346803807087886E-4</v>
      </c>
      <c r="AF94" s="176">
        <f t="shared" ca="1" si="124"/>
        <v>3.0867009517719716E-4</v>
      </c>
      <c r="AG94" s="958">
        <f ca="1">AF94*User_sheet!B$77/100</f>
        <v>0</v>
      </c>
      <c r="AH94" s="313"/>
      <c r="AI94" s="883">
        <v>101</v>
      </c>
      <c r="AJ94" s="985"/>
      <c r="AK94" s="1020">
        <f t="shared" ca="1" si="106"/>
        <v>883.46821724498454</v>
      </c>
      <c r="AL94" s="954">
        <f ca="1">AK94/'101'!I$24</f>
        <v>2.5040191720329479</v>
      </c>
      <c r="AM94" s="954">
        <f ca="1">0.8*(AK94*30+'101'!D$17*0.34*30*1)</f>
        <v>24928.708061879632</v>
      </c>
      <c r="AN94" s="954">
        <f ca="1">IF(AM94&lt;User_sheet!B$50,Y94,0)</f>
        <v>0</v>
      </c>
      <c r="AO94" s="954">
        <f ca="1">20-(User_sheet!B$57/('Freestanding '!AK94+'101'!D$17*1*0.34))</f>
        <v>14.51235099466742</v>
      </c>
      <c r="AP94" s="954">
        <f ca="1">IF(AO94&lt;User_sheet!B$59,0,BC94*AA94)</f>
        <v>0</v>
      </c>
      <c r="AQ94" s="985"/>
      <c r="AR94" s="883">
        <v>14.1</v>
      </c>
      <c r="AS94" s="883">
        <v>3.7</v>
      </c>
      <c r="AT94" s="883">
        <v>7.9</v>
      </c>
      <c r="AU94" s="883">
        <v>2.75</v>
      </c>
      <c r="AV94" s="883">
        <v>3.3</v>
      </c>
      <c r="AW94" s="883">
        <v>7211.5338771527777</v>
      </c>
      <c r="AX94" s="883">
        <v>76466.30421774846</v>
      </c>
      <c r="AY94" s="883">
        <v>67352.647733737584</v>
      </c>
      <c r="AZ94" s="883">
        <v>0</v>
      </c>
      <c r="BA94" s="883">
        <v>0</v>
      </c>
      <c r="BB94" s="883">
        <v>0.6</v>
      </c>
      <c r="BC94" s="888">
        <v>0</v>
      </c>
      <c r="BD94" s="889">
        <v>0</v>
      </c>
      <c r="BE94" s="889">
        <v>0</v>
      </c>
      <c r="BF94" s="890">
        <v>1</v>
      </c>
      <c r="BG94" s="883">
        <v>1</v>
      </c>
      <c r="BH94" s="883">
        <v>0</v>
      </c>
      <c r="BI94" s="890">
        <v>0</v>
      </c>
      <c r="BJ94" s="883">
        <v>0</v>
      </c>
      <c r="BK94" s="883">
        <v>0</v>
      </c>
      <c r="BL94" s="883">
        <v>0</v>
      </c>
      <c r="BM94" s="890">
        <v>1</v>
      </c>
      <c r="BN94" s="958">
        <v>0</v>
      </c>
      <c r="BO94" s="959">
        <v>18</v>
      </c>
      <c r="BP94" s="1018">
        <f t="shared" ca="1" si="113"/>
        <v>181.084</v>
      </c>
      <c r="BQ94" s="1018">
        <f t="shared" ca="1" si="114"/>
        <v>302.464</v>
      </c>
      <c r="BR94" s="1018">
        <f t="shared" ca="1" si="115"/>
        <v>104.854</v>
      </c>
      <c r="BS94" s="1018">
        <f t="shared" ca="1" si="116"/>
        <v>129.21406907627619</v>
      </c>
      <c r="BT94" s="1018">
        <f t="shared" ca="1" si="117"/>
        <v>104.86</v>
      </c>
      <c r="BU94" s="1018">
        <f t="shared" ca="1" si="118"/>
        <v>14</v>
      </c>
      <c r="BV94" s="1018">
        <f t="shared" ca="1" si="119"/>
        <v>4.3</v>
      </c>
      <c r="BW94" s="1018">
        <v>0</v>
      </c>
      <c r="BX94" s="1018">
        <f t="shared" ca="1" si="120"/>
        <v>429.28031358885011</v>
      </c>
      <c r="BY94" s="1018">
        <f t="shared" ca="1" si="121"/>
        <v>291.28273085838049</v>
      </c>
      <c r="BZ94" s="1018">
        <f t="shared" ca="1" si="107"/>
        <v>115.37845526167696</v>
      </c>
      <c r="CA94" s="1018">
        <f t="shared" ca="1" si="108"/>
        <v>38.499999978825002</v>
      </c>
      <c r="CB94" s="1018">
        <f t="shared" ca="1" si="122"/>
        <v>9.0267175572519083</v>
      </c>
      <c r="CC94" s="1018">
        <f t="shared" si="109"/>
        <v>0</v>
      </c>
      <c r="CD94" s="1018">
        <f t="shared" ca="1" si="125"/>
        <v>883.46821724498454</v>
      </c>
      <c r="CE94" s="1018">
        <f t="shared" ca="1" si="126"/>
        <v>184.56333165243285</v>
      </c>
      <c r="CF94" s="1018">
        <f t="shared" ca="1" si="110"/>
        <v>32.04094646692252</v>
      </c>
      <c r="CG94" s="1018">
        <f t="shared" ca="1" si="111"/>
        <v>53346.894229567319</v>
      </c>
    </row>
    <row r="95" spans="3:85" x14ac:dyDescent="0.25">
      <c r="D95" s="351"/>
      <c r="E95" s="350"/>
      <c r="F95" s="351"/>
      <c r="G95" s="350"/>
      <c r="H95" s="351"/>
      <c r="I95" s="350"/>
      <c r="J95" s="351"/>
      <c r="K95" s="353" t="s">
        <v>13</v>
      </c>
      <c r="L95" s="354">
        <v>1</v>
      </c>
      <c r="M95" s="351" t="s">
        <v>17</v>
      </c>
      <c r="N95" s="352">
        <v>8.5106382999999994E-2</v>
      </c>
      <c r="O95" s="351" t="s">
        <v>19</v>
      </c>
      <c r="P95" s="352">
        <v>0.84089392900000004</v>
      </c>
      <c r="Q95" s="351" t="s">
        <v>17</v>
      </c>
      <c r="R95" s="352">
        <v>1</v>
      </c>
      <c r="S95" s="351"/>
      <c r="T95" s="359">
        <v>1.6313236856699981E-3</v>
      </c>
      <c r="V95" s="176">
        <f t="shared" si="11"/>
        <v>1.6313236856699981E-3</v>
      </c>
      <c r="W95" s="176">
        <f>V95-V95*Calculation_sheet!J$66</f>
        <v>1.6313236856699981E-3</v>
      </c>
      <c r="X95" s="176">
        <f>W95-W95*Calculation_sheet!J$76</f>
        <v>1.6313236856699981E-3</v>
      </c>
      <c r="Y95" s="34">
        <f>X95/Calculation_sheet!M$67</f>
        <v>1.6313570404133562E-3</v>
      </c>
      <c r="Z95" s="176">
        <f ca="1">IF(AN95&gt;0,Y95*Calculation_sheet!C$87,0)</f>
        <v>0</v>
      </c>
      <c r="AA95" s="176">
        <f t="shared" ca="1" si="123"/>
        <v>1.6313570404133562E-3</v>
      </c>
      <c r="AB95" s="176">
        <f ca="1">IF(AP95&gt;0,AA95*Calculation_sheet!C$94,0)</f>
        <v>0</v>
      </c>
      <c r="AC95" s="176">
        <f t="shared" ca="1" si="112"/>
        <v>1.6313570404133562E-3</v>
      </c>
      <c r="AD95" s="958">
        <f ca="1">AC95*Calculation_sheet!C$99</f>
        <v>9.7881422424801376E-4</v>
      </c>
      <c r="AE95" s="176">
        <f t="shared" ca="1" si="112"/>
        <v>6.5254281616534244E-4</v>
      </c>
      <c r="AF95" s="176">
        <f t="shared" ca="1" si="124"/>
        <v>1.6313570404133562E-3</v>
      </c>
      <c r="AG95" s="958">
        <f ca="1">AF95*User_sheet!B$77/100</f>
        <v>0</v>
      </c>
      <c r="AH95" s="313"/>
      <c r="AI95" s="883">
        <v>101</v>
      </c>
      <c r="AJ95" s="985"/>
      <c r="AK95" s="1020">
        <f t="shared" ca="1" si="106"/>
        <v>883.46821724498454</v>
      </c>
      <c r="AL95" s="954">
        <f ca="1">AK95/'101'!I$24</f>
        <v>2.5040191720329479</v>
      </c>
      <c r="AM95" s="954">
        <f ca="1">0.8*(AK95*30+'101'!D$17*0.34*30*1)</f>
        <v>24928.708061879632</v>
      </c>
      <c r="AN95" s="954">
        <f ca="1">IF(AM95&lt;User_sheet!B$50,Y95,0)</f>
        <v>0</v>
      </c>
      <c r="AO95" s="954">
        <f ca="1">20-(User_sheet!B$57/('Freestanding '!AK95+'101'!D$17*1*0.34))</f>
        <v>14.51235099466742</v>
      </c>
      <c r="AP95" s="954">
        <f ca="1">IF(AO95&lt;User_sheet!B$59,0,BC95*AA95)</f>
        <v>0</v>
      </c>
      <c r="AQ95" s="985"/>
      <c r="AR95" s="883">
        <v>14.1</v>
      </c>
      <c r="AS95" s="883">
        <v>3.7</v>
      </c>
      <c r="AT95" s="883">
        <v>7.9</v>
      </c>
      <c r="AU95" s="883">
        <v>2.75</v>
      </c>
      <c r="AV95" s="883">
        <v>3.3</v>
      </c>
      <c r="AW95" s="883">
        <v>7211.5338771527777</v>
      </c>
      <c r="AX95" s="883">
        <v>76466.30421774846</v>
      </c>
      <c r="AY95" s="883">
        <v>67352.647733737584</v>
      </c>
      <c r="AZ95" s="883">
        <v>0</v>
      </c>
      <c r="BA95" s="883">
        <v>0</v>
      </c>
      <c r="BB95" s="883">
        <v>0.6</v>
      </c>
      <c r="BC95" s="888">
        <v>0</v>
      </c>
      <c r="BD95" s="889">
        <v>0</v>
      </c>
      <c r="BE95" s="889">
        <v>0</v>
      </c>
      <c r="BF95" s="890">
        <v>1</v>
      </c>
      <c r="BG95" s="883">
        <v>0</v>
      </c>
      <c r="BH95" s="883">
        <v>1</v>
      </c>
      <c r="BI95" s="890">
        <v>0</v>
      </c>
      <c r="BJ95" s="883">
        <v>0</v>
      </c>
      <c r="BK95" s="883">
        <v>0</v>
      </c>
      <c r="BL95" s="883">
        <v>0</v>
      </c>
      <c r="BM95" s="890">
        <v>1</v>
      </c>
      <c r="BN95" s="958">
        <v>0</v>
      </c>
      <c r="BO95" s="959">
        <v>18</v>
      </c>
      <c r="BP95" s="1018">
        <f t="shared" ca="1" si="113"/>
        <v>181.084</v>
      </c>
      <c r="BQ95" s="1018">
        <f t="shared" ca="1" si="114"/>
        <v>302.464</v>
      </c>
      <c r="BR95" s="1018">
        <f t="shared" ca="1" si="115"/>
        <v>104.854</v>
      </c>
      <c r="BS95" s="1018">
        <f t="shared" ca="1" si="116"/>
        <v>129.21406907627619</v>
      </c>
      <c r="BT95" s="1018">
        <f t="shared" ca="1" si="117"/>
        <v>104.86</v>
      </c>
      <c r="BU95" s="1018">
        <f t="shared" ca="1" si="118"/>
        <v>14</v>
      </c>
      <c r="BV95" s="1018">
        <f t="shared" ca="1" si="119"/>
        <v>4.3</v>
      </c>
      <c r="BW95" s="1018">
        <v>0</v>
      </c>
      <c r="BX95" s="1018">
        <f t="shared" ca="1" si="120"/>
        <v>429.28031358885011</v>
      </c>
      <c r="BY95" s="1018">
        <f t="shared" ca="1" si="121"/>
        <v>291.28273085838049</v>
      </c>
      <c r="BZ95" s="1018">
        <f t="shared" ca="1" si="107"/>
        <v>115.37845526167696</v>
      </c>
      <c r="CA95" s="1018">
        <f t="shared" ca="1" si="108"/>
        <v>38.499999978825002</v>
      </c>
      <c r="CB95" s="1018">
        <f t="shared" ca="1" si="122"/>
        <v>9.0267175572519083</v>
      </c>
      <c r="CC95" s="1018">
        <f t="shared" si="109"/>
        <v>0</v>
      </c>
      <c r="CD95" s="1018">
        <f t="shared" ca="1" si="125"/>
        <v>883.46821724498454</v>
      </c>
      <c r="CE95" s="1018">
        <f t="shared" ca="1" si="126"/>
        <v>184.56333165243285</v>
      </c>
      <c r="CF95" s="1018">
        <f t="shared" ca="1" si="110"/>
        <v>32.04094646692252</v>
      </c>
      <c r="CG95" s="1018">
        <f t="shared" ca="1" si="111"/>
        <v>53346.894229567319</v>
      </c>
    </row>
    <row r="96" spans="3:85" s="14" customFormat="1" x14ac:dyDescent="0.25">
      <c r="D96" s="357"/>
      <c r="E96" s="356"/>
      <c r="F96" s="357"/>
      <c r="G96" s="356"/>
      <c r="H96" s="357"/>
      <c r="I96" s="356"/>
      <c r="J96" s="357"/>
      <c r="K96" s="358"/>
      <c r="L96" s="357"/>
      <c r="M96" s="357"/>
      <c r="N96" s="357"/>
      <c r="O96" s="357"/>
      <c r="P96" s="357"/>
      <c r="Q96" s="357"/>
      <c r="R96" s="357"/>
      <c r="S96" s="357"/>
      <c r="T96" s="360"/>
      <c r="U96" s="295"/>
      <c r="V96" s="292"/>
      <c r="W96" s="292"/>
      <c r="X96" s="292"/>
      <c r="Y96" s="277"/>
      <c r="Z96" s="292"/>
      <c r="AA96" s="292"/>
      <c r="AB96" s="292"/>
      <c r="AC96" s="292"/>
      <c r="AD96" s="277"/>
      <c r="AE96" s="292"/>
      <c r="AF96" s="292"/>
      <c r="AG96" s="277"/>
      <c r="AH96" s="313"/>
      <c r="AI96" s="887"/>
      <c r="AJ96" s="985"/>
      <c r="AK96" s="1020">
        <f t="shared" si="106"/>
        <v>0</v>
      </c>
      <c r="AL96" s="986"/>
      <c r="AM96" s="986"/>
      <c r="AN96" s="986"/>
      <c r="AO96" s="986"/>
      <c r="AP96" s="986"/>
      <c r="AQ96" s="985"/>
      <c r="AR96" s="887"/>
      <c r="AS96" s="887"/>
      <c r="AT96" s="887"/>
      <c r="AU96" s="887"/>
      <c r="AV96" s="887"/>
      <c r="AW96" s="887"/>
      <c r="AX96" s="887"/>
      <c r="AY96" s="887"/>
      <c r="AZ96" s="887"/>
      <c r="BA96" s="887"/>
      <c r="BB96" s="887"/>
      <c r="BC96" s="45"/>
      <c r="BD96" s="277"/>
      <c r="BE96" s="277"/>
      <c r="BF96" s="49"/>
      <c r="BG96" s="887"/>
      <c r="BH96" s="887"/>
      <c r="BI96" s="49"/>
      <c r="BJ96" s="887"/>
      <c r="BK96" s="887"/>
      <c r="BL96" s="887"/>
      <c r="BM96" s="49"/>
      <c r="BN96" s="277"/>
      <c r="BO96" s="49"/>
      <c r="BP96" s="928"/>
      <c r="BQ96" s="928"/>
      <c r="BR96" s="928"/>
      <c r="BS96" s="928"/>
      <c r="BT96" s="928"/>
      <c r="BU96" s="928"/>
      <c r="BV96" s="928"/>
      <c r="BW96" s="928"/>
      <c r="BX96" s="928"/>
      <c r="BY96" s="928"/>
      <c r="BZ96" s="928"/>
      <c r="CA96" s="928"/>
      <c r="CB96" s="928"/>
      <c r="CC96" s="928"/>
      <c r="CD96" s="928"/>
      <c r="CE96" s="928"/>
      <c r="CF96" s="928"/>
      <c r="CG96" s="928"/>
    </row>
    <row r="97" spans="4:85" x14ac:dyDescent="0.25">
      <c r="D97" s="1"/>
      <c r="F97" s="1"/>
      <c r="G97" s="3"/>
      <c r="H97" s="6"/>
      <c r="I97" s="3"/>
      <c r="J97" s="6"/>
      <c r="K97" s="8"/>
      <c r="L97" s="6"/>
      <c r="M97" s="1"/>
      <c r="N97" s="1"/>
      <c r="O97" s="1"/>
      <c r="P97" s="1"/>
      <c r="Q97" s="1" t="s">
        <v>16</v>
      </c>
      <c r="R97" s="4"/>
      <c r="S97" s="1"/>
      <c r="T97" s="77"/>
      <c r="U97" s="294"/>
      <c r="X97" s="176">
        <f>W85-X85</f>
        <v>0</v>
      </c>
      <c r="Y97" s="34">
        <f>X97/Calculation_sheet!M$67</f>
        <v>0</v>
      </c>
      <c r="Z97" s="176">
        <f ca="1">IF(AN97&gt;0,Y97*Calculation_sheet!C$87,0)</f>
        <v>0</v>
      </c>
      <c r="AA97" s="176">
        <f ca="1">Y97-Z97</f>
        <v>0</v>
      </c>
      <c r="AB97" s="176">
        <f ca="1">IF(AP97&gt;0,AA97*Calculation_sheet!C$94,0)</f>
        <v>0</v>
      </c>
      <c r="AC97" s="176">
        <f t="shared" ref="AC97:AE107" ca="1" si="127">AA97-AB97</f>
        <v>0</v>
      </c>
      <c r="AD97" s="958">
        <f ca="1">AC97*Calculation_sheet!C$99</f>
        <v>0</v>
      </c>
      <c r="AE97" s="176">
        <f t="shared" ca="1" si="127"/>
        <v>0</v>
      </c>
      <c r="AF97" s="176">
        <f ca="1">Y97-AB97</f>
        <v>0</v>
      </c>
      <c r="AG97" s="958">
        <f ca="1">AF97*User_sheet!B$77/100</f>
        <v>0</v>
      </c>
      <c r="AH97" s="313"/>
      <c r="AI97" s="883">
        <v>101</v>
      </c>
      <c r="AJ97" s="985"/>
      <c r="AK97" s="1020">
        <f t="shared" ca="1" si="106"/>
        <v>475.47789861305228</v>
      </c>
      <c r="AL97" s="954">
        <f ca="1">AK97/'101'!I$24</f>
        <v>1.3476498087478654</v>
      </c>
      <c r="AM97" s="954">
        <f ca="1">0.8*(AK97*30+'101'!D$17*0.34*30*1)</f>
        <v>15136.940414713254</v>
      </c>
      <c r="AN97" s="954">
        <f ca="1">IF(AM97&lt;User_sheet!B$50,Y97,0)</f>
        <v>0</v>
      </c>
      <c r="AO97" s="954">
        <f ca="1">20-(User_sheet!B$57/('Freestanding '!AK97+'101'!D$17*1*0.34))</f>
        <v>10.962506540157278</v>
      </c>
      <c r="AP97" s="954">
        <f ca="1">IF(AO97&lt;User_sheet!B$59,0,BC97*AA97)</f>
        <v>0</v>
      </c>
      <c r="AQ97" s="985"/>
      <c r="AR97" s="883">
        <v>0.32</v>
      </c>
      <c r="AS97" s="883">
        <v>3.7</v>
      </c>
      <c r="AT97" s="883">
        <v>7.9</v>
      </c>
      <c r="AU97" s="883">
        <v>2</v>
      </c>
      <c r="AV97" s="883">
        <v>3.3</v>
      </c>
      <c r="AW97" s="883">
        <v>14356</v>
      </c>
      <c r="AX97" s="883">
        <v>76466.30421774846</v>
      </c>
      <c r="AY97" s="883">
        <v>67352.647733737584</v>
      </c>
      <c r="AZ97" s="886">
        <v>0</v>
      </c>
      <c r="BA97" s="886">
        <v>0</v>
      </c>
      <c r="BB97" s="883">
        <v>0.6</v>
      </c>
      <c r="BC97" s="888">
        <v>1</v>
      </c>
      <c r="BD97" s="889">
        <v>0</v>
      </c>
      <c r="BE97" s="889">
        <v>0</v>
      </c>
      <c r="BF97" s="890">
        <v>0</v>
      </c>
      <c r="BG97" s="889">
        <v>1</v>
      </c>
      <c r="BH97" s="889">
        <v>0</v>
      </c>
      <c r="BI97" s="890">
        <v>0</v>
      </c>
      <c r="BJ97" s="889">
        <v>1</v>
      </c>
      <c r="BK97" s="889">
        <v>0</v>
      </c>
      <c r="BL97" s="889">
        <v>0</v>
      </c>
      <c r="BM97" s="890">
        <v>0</v>
      </c>
      <c r="BN97" s="958">
        <v>0</v>
      </c>
      <c r="BO97" s="959">
        <v>18</v>
      </c>
      <c r="BP97" s="1018">
        <f t="shared" ref="BP97:BP107" ca="1" si="128">INDIRECT("'"&amp;AI97&amp;"'!"&amp;"B2")</f>
        <v>181.084</v>
      </c>
      <c r="BQ97" s="1018">
        <f t="shared" ref="BQ97:BQ107" ca="1" si="129">INDIRECT("'"&amp;AI97&amp;"'!"&amp;"C12")+INDIRECT("'"&amp;AI97&amp;"'!"&amp;"C13")+INDIRECT("'"&amp;AI97&amp;"'!"&amp;"C14")+INDIRECT("'"&amp;AI97&amp;"'!"&amp;"C15")+INDIRECT("'"&amp;AI97&amp;"'!"&amp;"C17")</f>
        <v>302.464</v>
      </c>
      <c r="BR97" s="1018">
        <f t="shared" ref="BR97:BR107" ca="1" si="130">INDIRECT("'"&amp;AI97&amp;"'!"&amp;"G5")</f>
        <v>104.854</v>
      </c>
      <c r="BS97" s="1018">
        <f t="shared" ref="BS97:BS107" ca="1" si="131">INDIRECT("'"&amp;AI97&amp;"'!"&amp;"G4")</f>
        <v>129.21406907627619</v>
      </c>
      <c r="BT97" s="1018">
        <f t="shared" ref="BT97:BT107" ca="1" si="132">INDIRECT("'"&amp;AI97&amp;"'!"&amp;"G6")</f>
        <v>104.86</v>
      </c>
      <c r="BU97" s="1018">
        <f t="shared" ref="BU97:BU107" ca="1" si="133">INDIRECT("'"&amp;AI97&amp;"'!"&amp;"G2")</f>
        <v>14</v>
      </c>
      <c r="BV97" s="1018">
        <f t="shared" ref="BV97:BV107" ca="1" si="134">INDIRECT("'"&amp;AI97&amp;"'!"&amp;"G3")</f>
        <v>4.3</v>
      </c>
      <c r="BW97" s="1018">
        <v>0</v>
      </c>
      <c r="BX97" s="1018">
        <f t="shared" ref="BX97:BX107" ca="1" si="135">IF(BR97=0,0,1/(1/(BR97*$BY$3)+1/(BR97*AR97)+1/(BR97*$BY$4)))</f>
        <v>31.789994946942901</v>
      </c>
      <c r="BY97" s="1018">
        <f t="shared" ref="BY97:BY107" ca="1" si="136">IF(BS97=0,0,1/(1/(BS97*$BY$3)+1/(BS97*AS97)+1/(BS97*$BY$4)))</f>
        <v>291.28273085838049</v>
      </c>
      <c r="BZ97" s="1018">
        <f t="shared" ca="1" si="107"/>
        <v>115.37845526167696</v>
      </c>
      <c r="CA97" s="1018">
        <f t="shared" ca="1" si="108"/>
        <v>27.999999988800003</v>
      </c>
      <c r="CB97" s="1018">
        <f t="shared" ref="CB97:CB107" ca="1" si="137">IF(BV97=0,0,1/(1/(BV97*$BY$3)+1/(BV97*AV97)+1/(BV97*$BY$4)))</f>
        <v>9.0267175572519083</v>
      </c>
      <c r="CC97" s="1018">
        <f t="shared" si="109"/>
        <v>0</v>
      </c>
      <c r="CD97" s="1018">
        <f ca="1">SUM(BX97:CC97)+(BR97+BS97+BT97+BU97+BV97)*BN97</f>
        <v>475.47789861305228</v>
      </c>
      <c r="CE97" s="1018">
        <f ca="1">0.34*BO97*(1/25)^0.66*(BR97+BS97+BU97+BV97)</f>
        <v>184.56333165243285</v>
      </c>
      <c r="CF97" s="1018">
        <f t="shared" ca="1" si="110"/>
        <v>19.801236907964554</v>
      </c>
      <c r="CG97" s="1018">
        <f t="shared" ca="1" si="111"/>
        <v>32968.267402284662</v>
      </c>
    </row>
    <row r="98" spans="4:85" x14ac:dyDescent="0.25">
      <c r="D98" s="1"/>
      <c r="F98" s="1"/>
      <c r="G98" s="3"/>
      <c r="H98" s="6"/>
      <c r="I98" s="3"/>
      <c r="J98" s="6"/>
      <c r="K98" s="8"/>
      <c r="L98" s="6"/>
      <c r="M98" s="1"/>
      <c r="N98" s="1"/>
      <c r="O98" s="1" t="s">
        <v>18</v>
      </c>
      <c r="P98" s="4"/>
      <c r="Q98" s="1" t="s">
        <v>7</v>
      </c>
      <c r="R98" s="4"/>
      <c r="S98" s="1"/>
      <c r="T98" s="77"/>
      <c r="U98" s="294"/>
      <c r="X98" s="176">
        <f t="shared" ref="X98:X107" si="138">W86-X86</f>
        <v>0</v>
      </c>
      <c r="Y98" s="34">
        <f>X98/Calculation_sheet!M$67</f>
        <v>0</v>
      </c>
      <c r="Z98" s="176">
        <f ca="1">IF(AN98&gt;0,Y98*Calculation_sheet!C$87,0)</f>
        <v>0</v>
      </c>
      <c r="AA98" s="176">
        <f t="shared" ref="AA98:AA107" ca="1" si="139">Y98-Z98</f>
        <v>0</v>
      </c>
      <c r="AB98" s="176">
        <f ca="1">IF(AP98&gt;0,AA98*Calculation_sheet!C$94,0)</f>
        <v>0</v>
      </c>
      <c r="AC98" s="176">
        <f t="shared" ca="1" si="127"/>
        <v>0</v>
      </c>
      <c r="AD98" s="958">
        <f ca="1">AC98*Calculation_sheet!C$99</f>
        <v>0</v>
      </c>
      <c r="AE98" s="176">
        <f t="shared" ca="1" si="127"/>
        <v>0</v>
      </c>
      <c r="AF98" s="176">
        <f t="shared" ref="AF98:AF107" ca="1" si="140">Y98-AB98</f>
        <v>0</v>
      </c>
      <c r="AG98" s="958">
        <f ca="1">AF98*User_sheet!B$77/100</f>
        <v>0</v>
      </c>
      <c r="AH98" s="313"/>
      <c r="AI98" s="883">
        <v>101</v>
      </c>
      <c r="AJ98" s="985"/>
      <c r="AK98" s="1020">
        <f t="shared" ca="1" si="106"/>
        <v>475.47789861305228</v>
      </c>
      <c r="AL98" s="954">
        <f ca="1">AK98/'101'!I$24</f>
        <v>1.3476498087478654</v>
      </c>
      <c r="AM98" s="954">
        <f ca="1">0.8*(AK98*30+'101'!D$17*0.34*30*1)</f>
        <v>15136.940414713254</v>
      </c>
      <c r="AN98" s="954">
        <f ca="1">IF(AM98&lt;User_sheet!B$50,Y98,0)</f>
        <v>0</v>
      </c>
      <c r="AO98" s="954">
        <f ca="1">20-(User_sheet!B$57/('Freestanding '!AK98+'101'!D$17*1*0.34))</f>
        <v>10.962506540157278</v>
      </c>
      <c r="AP98" s="954">
        <f ca="1">IF(AO98&lt;User_sheet!B$59,0,BC98*AA98)</f>
        <v>0</v>
      </c>
      <c r="AQ98" s="985"/>
      <c r="AR98" s="883">
        <v>0.32</v>
      </c>
      <c r="AS98" s="883">
        <v>3.7</v>
      </c>
      <c r="AT98" s="883">
        <v>7.9</v>
      </c>
      <c r="AU98" s="883">
        <v>2</v>
      </c>
      <c r="AV98" s="883">
        <v>3.3</v>
      </c>
      <c r="AW98" s="883">
        <v>14356</v>
      </c>
      <c r="AX98" s="883">
        <v>76466.30421774846</v>
      </c>
      <c r="AY98" s="883">
        <v>67352.647733737584</v>
      </c>
      <c r="AZ98" s="886">
        <v>0</v>
      </c>
      <c r="BA98" s="886">
        <v>0</v>
      </c>
      <c r="BB98" s="883">
        <v>0.6</v>
      </c>
      <c r="BC98" s="888">
        <v>1</v>
      </c>
      <c r="BD98" s="889">
        <v>0</v>
      </c>
      <c r="BE98" s="889">
        <v>0</v>
      </c>
      <c r="BF98" s="890">
        <v>0</v>
      </c>
      <c r="BG98" s="889">
        <v>1</v>
      </c>
      <c r="BH98" s="889">
        <v>0</v>
      </c>
      <c r="BI98" s="890">
        <v>0</v>
      </c>
      <c r="BJ98" s="889">
        <v>0</v>
      </c>
      <c r="BK98" s="889">
        <v>0</v>
      </c>
      <c r="BL98" s="889">
        <v>1</v>
      </c>
      <c r="BM98" s="890">
        <v>0</v>
      </c>
      <c r="BN98" s="958">
        <v>0</v>
      </c>
      <c r="BO98" s="959">
        <v>18</v>
      </c>
      <c r="BP98" s="1018">
        <f t="shared" ca="1" si="128"/>
        <v>181.084</v>
      </c>
      <c r="BQ98" s="1018">
        <f t="shared" ca="1" si="129"/>
        <v>302.464</v>
      </c>
      <c r="BR98" s="1018">
        <f t="shared" ca="1" si="130"/>
        <v>104.854</v>
      </c>
      <c r="BS98" s="1018">
        <f t="shared" ca="1" si="131"/>
        <v>129.21406907627619</v>
      </c>
      <c r="BT98" s="1018">
        <f t="shared" ca="1" si="132"/>
        <v>104.86</v>
      </c>
      <c r="BU98" s="1018">
        <f t="shared" ca="1" si="133"/>
        <v>14</v>
      </c>
      <c r="BV98" s="1018">
        <f t="shared" ca="1" si="134"/>
        <v>4.3</v>
      </c>
      <c r="BW98" s="1018">
        <v>0</v>
      </c>
      <c r="BX98" s="1018">
        <f t="shared" ca="1" si="135"/>
        <v>31.789994946942901</v>
      </c>
      <c r="BY98" s="1018">
        <f t="shared" ca="1" si="136"/>
        <v>291.28273085838049</v>
      </c>
      <c r="BZ98" s="1018">
        <f t="shared" ca="1" si="107"/>
        <v>115.37845526167696</v>
      </c>
      <c r="CA98" s="1018">
        <f t="shared" ca="1" si="108"/>
        <v>27.999999988800003</v>
      </c>
      <c r="CB98" s="1018">
        <f t="shared" ca="1" si="137"/>
        <v>9.0267175572519083</v>
      </c>
      <c r="CC98" s="1018">
        <f t="shared" si="109"/>
        <v>0</v>
      </c>
      <c r="CD98" s="1018">
        <f t="shared" ref="CD98:CD107" ca="1" si="141">SUM(BX98:CC98)+(BR98+BS98+BT98+BU98+BV98)*BN98</f>
        <v>475.47789861305228</v>
      </c>
      <c r="CE98" s="1018">
        <f t="shared" ref="CE98:CE107" ca="1" si="142">0.34*BO98*(1/25)^0.66*(BR98+BS98+BU98+BV98)</f>
        <v>184.56333165243285</v>
      </c>
      <c r="CF98" s="1018">
        <f t="shared" ca="1" si="110"/>
        <v>19.801236907964554</v>
      </c>
      <c r="CG98" s="1018">
        <f t="shared" ca="1" si="111"/>
        <v>32968.267402284662</v>
      </c>
    </row>
    <row r="99" spans="4:85" x14ac:dyDescent="0.25">
      <c r="D99" s="1"/>
      <c r="F99" s="1"/>
      <c r="G99" s="3"/>
      <c r="H99" s="6"/>
      <c r="I99" s="3"/>
      <c r="J99" s="6"/>
      <c r="K99" s="8"/>
      <c r="L99" s="6"/>
      <c r="M99" s="1"/>
      <c r="N99" s="1"/>
      <c r="O99" s="1"/>
      <c r="P99" s="1"/>
      <c r="Q99" s="1" t="s">
        <v>16</v>
      </c>
      <c r="R99" s="4"/>
      <c r="S99" s="1"/>
      <c r="T99" s="77"/>
      <c r="U99" s="294"/>
      <c r="X99" s="176">
        <f t="shared" si="138"/>
        <v>0</v>
      </c>
      <c r="Y99" s="34">
        <f>X99/Calculation_sheet!M$67</f>
        <v>0</v>
      </c>
      <c r="Z99" s="176">
        <f ca="1">IF(AN99&gt;0,Y99*Calculation_sheet!C$87,0)</f>
        <v>0</v>
      </c>
      <c r="AA99" s="176">
        <f t="shared" ca="1" si="139"/>
        <v>0</v>
      </c>
      <c r="AB99" s="176">
        <f ca="1">IF(AP99&gt;0,AA99*Calculation_sheet!C$94,0)</f>
        <v>0</v>
      </c>
      <c r="AC99" s="176">
        <f t="shared" ca="1" si="127"/>
        <v>0</v>
      </c>
      <c r="AD99" s="958">
        <f ca="1">AC99*Calculation_sheet!C$99</f>
        <v>0</v>
      </c>
      <c r="AE99" s="176">
        <f t="shared" ca="1" si="127"/>
        <v>0</v>
      </c>
      <c r="AF99" s="176">
        <f t="shared" ca="1" si="140"/>
        <v>0</v>
      </c>
      <c r="AG99" s="958">
        <f ca="1">AF99*User_sheet!B$77/100</f>
        <v>0</v>
      </c>
      <c r="AH99" s="313"/>
      <c r="AI99" s="883">
        <v>101</v>
      </c>
      <c r="AJ99" s="985"/>
      <c r="AK99" s="1020">
        <f t="shared" ca="1" si="106"/>
        <v>475.47789861305228</v>
      </c>
      <c r="AL99" s="954">
        <f ca="1">AK99/'101'!I$24</f>
        <v>1.3476498087478654</v>
      </c>
      <c r="AM99" s="954">
        <f ca="1">0.8*(AK99*30+'101'!D$17*0.34*30*1)</f>
        <v>15136.940414713254</v>
      </c>
      <c r="AN99" s="954">
        <f ca="1">IF(AM99&lt;User_sheet!B$50,Y99,0)</f>
        <v>0</v>
      </c>
      <c r="AO99" s="954">
        <f ca="1">20-(User_sheet!B$57/('Freestanding '!AK99+'101'!D$17*1*0.34))</f>
        <v>10.962506540157278</v>
      </c>
      <c r="AP99" s="954">
        <f ca="1">IF(AO99&lt;User_sheet!B$59,0,BC99*AA99)</f>
        <v>0</v>
      </c>
      <c r="AQ99" s="985"/>
      <c r="AR99" s="883">
        <v>0.32</v>
      </c>
      <c r="AS99" s="883">
        <v>3.7</v>
      </c>
      <c r="AT99" s="883">
        <v>7.9</v>
      </c>
      <c r="AU99" s="883">
        <v>2</v>
      </c>
      <c r="AV99" s="883">
        <v>3.3</v>
      </c>
      <c r="AW99" s="883">
        <v>14356</v>
      </c>
      <c r="AX99" s="883">
        <v>76466.30421774846</v>
      </c>
      <c r="AY99" s="883">
        <v>67352.647733737584</v>
      </c>
      <c r="AZ99" s="886">
        <v>0</v>
      </c>
      <c r="BA99" s="886">
        <v>0</v>
      </c>
      <c r="BB99" s="883">
        <v>0.6</v>
      </c>
      <c r="BC99" s="888">
        <v>1</v>
      </c>
      <c r="BD99" s="889">
        <v>0</v>
      </c>
      <c r="BE99" s="889">
        <v>0</v>
      </c>
      <c r="BF99" s="890">
        <v>0</v>
      </c>
      <c r="BG99" s="889">
        <v>0</v>
      </c>
      <c r="BH99" s="889">
        <v>1</v>
      </c>
      <c r="BI99" s="890">
        <v>0</v>
      </c>
      <c r="BJ99" s="889">
        <v>1</v>
      </c>
      <c r="BK99" s="889">
        <v>0</v>
      </c>
      <c r="BL99" s="889">
        <v>0</v>
      </c>
      <c r="BM99" s="890">
        <v>0</v>
      </c>
      <c r="BN99" s="958">
        <v>0</v>
      </c>
      <c r="BO99" s="959">
        <v>18</v>
      </c>
      <c r="BP99" s="1018">
        <f t="shared" ca="1" si="128"/>
        <v>181.084</v>
      </c>
      <c r="BQ99" s="1018">
        <f t="shared" ca="1" si="129"/>
        <v>302.464</v>
      </c>
      <c r="BR99" s="1018">
        <f t="shared" ca="1" si="130"/>
        <v>104.854</v>
      </c>
      <c r="BS99" s="1018">
        <f t="shared" ca="1" si="131"/>
        <v>129.21406907627619</v>
      </c>
      <c r="BT99" s="1018">
        <f t="shared" ca="1" si="132"/>
        <v>104.86</v>
      </c>
      <c r="BU99" s="1018">
        <f t="shared" ca="1" si="133"/>
        <v>14</v>
      </c>
      <c r="BV99" s="1018">
        <f t="shared" ca="1" si="134"/>
        <v>4.3</v>
      </c>
      <c r="BW99" s="1018">
        <v>0</v>
      </c>
      <c r="BX99" s="1018">
        <f t="shared" ca="1" si="135"/>
        <v>31.789994946942901</v>
      </c>
      <c r="BY99" s="1018">
        <f t="shared" ca="1" si="136"/>
        <v>291.28273085838049</v>
      </c>
      <c r="BZ99" s="1018">
        <f t="shared" ca="1" si="107"/>
        <v>115.37845526167696</v>
      </c>
      <c r="CA99" s="1018">
        <f t="shared" ca="1" si="108"/>
        <v>27.999999988800003</v>
      </c>
      <c r="CB99" s="1018">
        <f t="shared" ca="1" si="137"/>
        <v>9.0267175572519083</v>
      </c>
      <c r="CC99" s="1018">
        <f t="shared" si="109"/>
        <v>0</v>
      </c>
      <c r="CD99" s="1018">
        <f t="shared" ca="1" si="141"/>
        <v>475.47789861305228</v>
      </c>
      <c r="CE99" s="1018">
        <f t="shared" ca="1" si="142"/>
        <v>184.56333165243285</v>
      </c>
      <c r="CF99" s="1018">
        <f t="shared" ca="1" si="110"/>
        <v>19.801236907964554</v>
      </c>
      <c r="CG99" s="1018">
        <f t="shared" ca="1" si="111"/>
        <v>32968.267402284662</v>
      </c>
    </row>
    <row r="100" spans="4:85" x14ac:dyDescent="0.25">
      <c r="D100" s="1"/>
      <c r="F100" s="1"/>
      <c r="G100" s="3"/>
      <c r="H100" s="6"/>
      <c r="I100" s="3"/>
      <c r="J100" s="6"/>
      <c r="K100" s="8"/>
      <c r="L100" s="6"/>
      <c r="M100" s="1" t="s">
        <v>16</v>
      </c>
      <c r="N100" s="4"/>
      <c r="O100" s="1" t="s">
        <v>19</v>
      </c>
      <c r="P100" s="4"/>
      <c r="Q100" s="1" t="s">
        <v>7</v>
      </c>
      <c r="R100" s="4"/>
      <c r="S100" s="1"/>
      <c r="T100" s="77"/>
      <c r="U100" s="294"/>
      <c r="X100" s="176">
        <f t="shared" si="138"/>
        <v>0</v>
      </c>
      <c r="Y100" s="34">
        <f>X100/Calculation_sheet!M$67</f>
        <v>0</v>
      </c>
      <c r="Z100" s="176">
        <f ca="1">IF(AN100&gt;0,Y100*Calculation_sheet!C$87,0)</f>
        <v>0</v>
      </c>
      <c r="AA100" s="176">
        <f t="shared" ca="1" si="139"/>
        <v>0</v>
      </c>
      <c r="AB100" s="176">
        <f ca="1">IF(AP100&gt;0,AA100*Calculation_sheet!C$94,0)</f>
        <v>0</v>
      </c>
      <c r="AC100" s="176">
        <f t="shared" ca="1" si="127"/>
        <v>0</v>
      </c>
      <c r="AD100" s="958">
        <f ca="1">AC100*Calculation_sheet!C$99</f>
        <v>0</v>
      </c>
      <c r="AE100" s="176">
        <f t="shared" ca="1" si="127"/>
        <v>0</v>
      </c>
      <c r="AF100" s="176">
        <f t="shared" ca="1" si="140"/>
        <v>0</v>
      </c>
      <c r="AG100" s="958">
        <f ca="1">AF100*User_sheet!B$77/100</f>
        <v>0</v>
      </c>
      <c r="AH100" s="313"/>
      <c r="AI100" s="883">
        <v>101</v>
      </c>
      <c r="AJ100" s="985"/>
      <c r="AK100" s="1020">
        <f t="shared" ca="1" si="106"/>
        <v>475.47789861305228</v>
      </c>
      <c r="AL100" s="954">
        <f ca="1">AK100/'101'!I$24</f>
        <v>1.3476498087478654</v>
      </c>
      <c r="AM100" s="954">
        <f ca="1">0.8*(AK100*30+'101'!D$17*0.34*30*1)</f>
        <v>15136.940414713254</v>
      </c>
      <c r="AN100" s="954">
        <f ca="1">IF(AM100&lt;User_sheet!B$50,Y100,0)</f>
        <v>0</v>
      </c>
      <c r="AO100" s="954">
        <f ca="1">20-(User_sheet!B$57/('Freestanding '!AK100+'101'!D$17*1*0.34))</f>
        <v>10.962506540157278</v>
      </c>
      <c r="AP100" s="954">
        <f ca="1">IF(AO100&lt;User_sheet!B$59,0,BC100*AA100)</f>
        <v>0</v>
      </c>
      <c r="AQ100" s="985"/>
      <c r="AR100" s="883">
        <v>0.32</v>
      </c>
      <c r="AS100" s="883">
        <v>3.7</v>
      </c>
      <c r="AT100" s="883">
        <v>7.9</v>
      </c>
      <c r="AU100" s="883">
        <v>2</v>
      </c>
      <c r="AV100" s="883">
        <v>3.3</v>
      </c>
      <c r="AW100" s="883">
        <v>14356</v>
      </c>
      <c r="AX100" s="883">
        <v>76466.30421774846</v>
      </c>
      <c r="AY100" s="883">
        <v>67352.647733737584</v>
      </c>
      <c r="AZ100" s="886">
        <v>0</v>
      </c>
      <c r="BA100" s="886">
        <v>0</v>
      </c>
      <c r="BB100" s="883">
        <v>0.6</v>
      </c>
      <c r="BC100" s="888">
        <v>1</v>
      </c>
      <c r="BD100" s="889">
        <v>0</v>
      </c>
      <c r="BE100" s="889">
        <v>0</v>
      </c>
      <c r="BF100" s="890">
        <v>0</v>
      </c>
      <c r="BG100" s="889">
        <v>0</v>
      </c>
      <c r="BH100" s="889">
        <v>1</v>
      </c>
      <c r="BI100" s="890">
        <v>0</v>
      </c>
      <c r="BJ100" s="889">
        <v>0</v>
      </c>
      <c r="BK100" s="889">
        <v>0</v>
      </c>
      <c r="BL100" s="889">
        <v>1</v>
      </c>
      <c r="BM100" s="890">
        <v>0</v>
      </c>
      <c r="BN100" s="958">
        <v>0</v>
      </c>
      <c r="BO100" s="959">
        <v>18</v>
      </c>
      <c r="BP100" s="1018">
        <f t="shared" ca="1" si="128"/>
        <v>181.084</v>
      </c>
      <c r="BQ100" s="1018">
        <f t="shared" ca="1" si="129"/>
        <v>302.464</v>
      </c>
      <c r="BR100" s="1018">
        <f t="shared" ca="1" si="130"/>
        <v>104.854</v>
      </c>
      <c r="BS100" s="1018">
        <f t="shared" ca="1" si="131"/>
        <v>129.21406907627619</v>
      </c>
      <c r="BT100" s="1018">
        <f t="shared" ca="1" si="132"/>
        <v>104.86</v>
      </c>
      <c r="BU100" s="1018">
        <f t="shared" ca="1" si="133"/>
        <v>14</v>
      </c>
      <c r="BV100" s="1018">
        <f t="shared" ca="1" si="134"/>
        <v>4.3</v>
      </c>
      <c r="BW100" s="1018">
        <v>0</v>
      </c>
      <c r="BX100" s="1018">
        <f t="shared" ca="1" si="135"/>
        <v>31.789994946942901</v>
      </c>
      <c r="BY100" s="1018">
        <f t="shared" ca="1" si="136"/>
        <v>291.28273085838049</v>
      </c>
      <c r="BZ100" s="1018">
        <f t="shared" ca="1" si="107"/>
        <v>115.37845526167696</v>
      </c>
      <c r="CA100" s="1018">
        <f t="shared" ca="1" si="108"/>
        <v>27.999999988800003</v>
      </c>
      <c r="CB100" s="1018">
        <f t="shared" ca="1" si="137"/>
        <v>9.0267175572519083</v>
      </c>
      <c r="CC100" s="1018">
        <f t="shared" si="109"/>
        <v>0</v>
      </c>
      <c r="CD100" s="1018">
        <f t="shared" ca="1" si="141"/>
        <v>475.47789861305228</v>
      </c>
      <c r="CE100" s="1018">
        <f t="shared" ca="1" si="142"/>
        <v>184.56333165243285</v>
      </c>
      <c r="CF100" s="1018">
        <f t="shared" ca="1" si="110"/>
        <v>19.801236907964554</v>
      </c>
      <c r="CG100" s="1018">
        <f t="shared" ca="1" si="111"/>
        <v>32968.267402284662</v>
      </c>
    </row>
    <row r="101" spans="4:85" x14ac:dyDescent="0.25">
      <c r="D101" s="1"/>
      <c r="F101" s="1"/>
      <c r="G101" s="3"/>
      <c r="H101" s="6"/>
      <c r="I101" s="3"/>
      <c r="J101" s="6"/>
      <c r="K101" s="8"/>
      <c r="L101" s="6"/>
      <c r="M101" s="1"/>
      <c r="N101" s="1"/>
      <c r="O101" s="1"/>
      <c r="P101" s="1"/>
      <c r="Q101" s="1" t="s">
        <v>22</v>
      </c>
      <c r="R101" s="4"/>
      <c r="S101" s="1"/>
      <c r="T101" s="77"/>
      <c r="U101" s="294"/>
      <c r="X101" s="176">
        <f t="shared" si="138"/>
        <v>0</v>
      </c>
      <c r="Y101" s="34">
        <f>X101/Calculation_sheet!M$67</f>
        <v>0</v>
      </c>
      <c r="Z101" s="176">
        <f ca="1">IF(AN101&gt;0,Y101*Calculation_sheet!C$87,0)</f>
        <v>0</v>
      </c>
      <c r="AA101" s="176">
        <f t="shared" ca="1" si="139"/>
        <v>0</v>
      </c>
      <c r="AB101" s="176">
        <f ca="1">IF(AP101&gt;0,AA101*Calculation_sheet!C$94,0)</f>
        <v>0</v>
      </c>
      <c r="AC101" s="176">
        <f t="shared" ca="1" si="127"/>
        <v>0</v>
      </c>
      <c r="AD101" s="958">
        <f ca="1">AC101*Calculation_sheet!C$99</f>
        <v>0</v>
      </c>
      <c r="AE101" s="176">
        <f t="shared" ca="1" si="127"/>
        <v>0</v>
      </c>
      <c r="AF101" s="176">
        <f t="shared" ca="1" si="140"/>
        <v>0</v>
      </c>
      <c r="AG101" s="958">
        <f ca="1">AF101*User_sheet!B$77/100</f>
        <v>0</v>
      </c>
      <c r="AH101" s="313"/>
      <c r="AI101" s="883">
        <v>101</v>
      </c>
      <c r="AJ101" s="985"/>
      <c r="AK101" s="1020">
        <f t="shared" ca="1" si="106"/>
        <v>475.47789861305228</v>
      </c>
      <c r="AL101" s="954">
        <f ca="1">AK101/'101'!I$24</f>
        <v>1.3476498087478654</v>
      </c>
      <c r="AM101" s="954">
        <f ca="1">0.8*(AK101*30+'101'!D$17*0.34*30*1)</f>
        <v>15136.940414713254</v>
      </c>
      <c r="AN101" s="954">
        <f ca="1">IF(AM101&lt;User_sheet!B$50,Y101,0)</f>
        <v>0</v>
      </c>
      <c r="AO101" s="954">
        <f ca="1">20-(User_sheet!B$57/('Freestanding '!AK101+'101'!D$17*1*0.34))</f>
        <v>10.962506540157278</v>
      </c>
      <c r="AP101" s="954">
        <f ca="1">IF(AO101&lt;User_sheet!B$59,0,BC101*AA101)</f>
        <v>0</v>
      </c>
      <c r="AQ101" s="985"/>
      <c r="AR101" s="883">
        <v>0.32</v>
      </c>
      <c r="AS101" s="883">
        <v>3.7</v>
      </c>
      <c r="AT101" s="883">
        <v>7.9</v>
      </c>
      <c r="AU101" s="883">
        <v>2</v>
      </c>
      <c r="AV101" s="883">
        <v>3.3</v>
      </c>
      <c r="AW101" s="883">
        <v>14356</v>
      </c>
      <c r="AX101" s="883">
        <v>76466.30421774846</v>
      </c>
      <c r="AY101" s="883">
        <v>67352.647733737584</v>
      </c>
      <c r="AZ101" s="886">
        <v>0</v>
      </c>
      <c r="BA101" s="886">
        <v>0</v>
      </c>
      <c r="BB101" s="883">
        <v>0.6</v>
      </c>
      <c r="BC101" s="888">
        <v>0</v>
      </c>
      <c r="BD101" s="889">
        <v>1</v>
      </c>
      <c r="BE101" s="889">
        <v>0</v>
      </c>
      <c r="BF101" s="890">
        <v>0</v>
      </c>
      <c r="BG101" s="889">
        <v>1</v>
      </c>
      <c r="BH101" s="889">
        <v>0</v>
      </c>
      <c r="BI101" s="890">
        <v>0</v>
      </c>
      <c r="BJ101" s="889">
        <v>0</v>
      </c>
      <c r="BK101" s="889">
        <v>1</v>
      </c>
      <c r="BL101" s="889">
        <v>0</v>
      </c>
      <c r="BM101" s="890">
        <v>0</v>
      </c>
      <c r="BN101" s="958">
        <v>0</v>
      </c>
      <c r="BO101" s="959">
        <v>18</v>
      </c>
      <c r="BP101" s="1018">
        <f t="shared" ca="1" si="128"/>
        <v>181.084</v>
      </c>
      <c r="BQ101" s="1018">
        <f t="shared" ca="1" si="129"/>
        <v>302.464</v>
      </c>
      <c r="BR101" s="1018">
        <f t="shared" ca="1" si="130"/>
        <v>104.854</v>
      </c>
      <c r="BS101" s="1018">
        <f t="shared" ca="1" si="131"/>
        <v>129.21406907627619</v>
      </c>
      <c r="BT101" s="1018">
        <f t="shared" ca="1" si="132"/>
        <v>104.86</v>
      </c>
      <c r="BU101" s="1018">
        <f t="shared" ca="1" si="133"/>
        <v>14</v>
      </c>
      <c r="BV101" s="1018">
        <f t="shared" ca="1" si="134"/>
        <v>4.3</v>
      </c>
      <c r="BW101" s="1018">
        <v>0</v>
      </c>
      <c r="BX101" s="1018">
        <f t="shared" ca="1" si="135"/>
        <v>31.789994946942901</v>
      </c>
      <c r="BY101" s="1018">
        <f t="shared" ca="1" si="136"/>
        <v>291.28273085838049</v>
      </c>
      <c r="BZ101" s="1018">
        <f t="shared" ca="1" si="107"/>
        <v>115.37845526167696</v>
      </c>
      <c r="CA101" s="1018">
        <f t="shared" ca="1" si="108"/>
        <v>27.999999988800003</v>
      </c>
      <c r="CB101" s="1018">
        <f t="shared" ca="1" si="137"/>
        <v>9.0267175572519083</v>
      </c>
      <c r="CC101" s="1018">
        <f t="shared" si="109"/>
        <v>0</v>
      </c>
      <c r="CD101" s="1018">
        <f t="shared" ca="1" si="141"/>
        <v>475.47789861305228</v>
      </c>
      <c r="CE101" s="1018">
        <f t="shared" ca="1" si="142"/>
        <v>184.56333165243285</v>
      </c>
      <c r="CF101" s="1018">
        <f t="shared" ca="1" si="110"/>
        <v>19.801236907964554</v>
      </c>
      <c r="CG101" s="1018">
        <f t="shared" ca="1" si="111"/>
        <v>32968.267402284662</v>
      </c>
    </row>
    <row r="102" spans="4:85" x14ac:dyDescent="0.25">
      <c r="D102" s="1"/>
      <c r="F102" s="1"/>
      <c r="G102" s="3"/>
      <c r="H102" s="6"/>
      <c r="I102" s="3"/>
      <c r="J102" s="3" t="s">
        <v>144</v>
      </c>
      <c r="K102" s="8"/>
      <c r="L102" s="6"/>
      <c r="M102" s="1"/>
      <c r="N102" s="1"/>
      <c r="O102" s="1" t="s">
        <v>18</v>
      </c>
      <c r="P102" s="4"/>
      <c r="Q102" s="1" t="s">
        <v>7</v>
      </c>
      <c r="R102" s="4"/>
      <c r="S102" s="1"/>
      <c r="T102" s="77"/>
      <c r="U102" s="294"/>
      <c r="X102" s="176">
        <f t="shared" si="138"/>
        <v>0</v>
      </c>
      <c r="Y102" s="34">
        <f>X102/Calculation_sheet!M$67</f>
        <v>0</v>
      </c>
      <c r="Z102" s="176">
        <f ca="1">IF(AN102&gt;0,Y102*Calculation_sheet!C$87,0)</f>
        <v>0</v>
      </c>
      <c r="AA102" s="176">
        <f t="shared" ca="1" si="139"/>
        <v>0</v>
      </c>
      <c r="AB102" s="176">
        <f ca="1">IF(AP102&gt;0,AA102*Calculation_sheet!C$94,0)</f>
        <v>0</v>
      </c>
      <c r="AC102" s="176">
        <f t="shared" ca="1" si="127"/>
        <v>0</v>
      </c>
      <c r="AD102" s="958">
        <f ca="1">AC102*Calculation_sheet!C$99</f>
        <v>0</v>
      </c>
      <c r="AE102" s="176">
        <f t="shared" ca="1" si="127"/>
        <v>0</v>
      </c>
      <c r="AF102" s="176">
        <f t="shared" ca="1" si="140"/>
        <v>0</v>
      </c>
      <c r="AG102" s="958">
        <f ca="1">AF102*User_sheet!B$77/100</f>
        <v>0</v>
      </c>
      <c r="AH102" s="313"/>
      <c r="AI102" s="883">
        <v>101</v>
      </c>
      <c r="AJ102" s="985"/>
      <c r="AK102" s="1020">
        <f t="shared" ca="1" si="106"/>
        <v>475.47789861305228</v>
      </c>
      <c r="AL102" s="954">
        <f ca="1">AK102/'101'!I$24</f>
        <v>1.3476498087478654</v>
      </c>
      <c r="AM102" s="954">
        <f ca="1">0.8*(AK102*30+'101'!D$17*0.34*30*1)</f>
        <v>15136.940414713254</v>
      </c>
      <c r="AN102" s="954">
        <f ca="1">IF(AM102&lt;User_sheet!B$50,Y102,0)</f>
        <v>0</v>
      </c>
      <c r="AO102" s="954">
        <f ca="1">20-(User_sheet!B$57/('Freestanding '!AK102+'101'!D$17*1*0.34))</f>
        <v>10.962506540157278</v>
      </c>
      <c r="AP102" s="954">
        <f ca="1">IF(AO102&lt;User_sheet!B$59,0,BC102*AA102)</f>
        <v>0</v>
      </c>
      <c r="AQ102" s="985"/>
      <c r="AR102" s="883">
        <v>0.32</v>
      </c>
      <c r="AS102" s="883">
        <v>3.7</v>
      </c>
      <c r="AT102" s="883">
        <v>7.9</v>
      </c>
      <c r="AU102" s="883">
        <v>2</v>
      </c>
      <c r="AV102" s="883">
        <v>3.3</v>
      </c>
      <c r="AW102" s="883">
        <v>14356</v>
      </c>
      <c r="AX102" s="883">
        <v>76466.30421774846</v>
      </c>
      <c r="AY102" s="883">
        <v>67352.647733737584</v>
      </c>
      <c r="AZ102" s="886">
        <v>0</v>
      </c>
      <c r="BA102" s="886">
        <v>0</v>
      </c>
      <c r="BB102" s="883">
        <v>0.6</v>
      </c>
      <c r="BC102" s="888">
        <v>0</v>
      </c>
      <c r="BD102" s="889">
        <v>1</v>
      </c>
      <c r="BE102" s="889">
        <v>0</v>
      </c>
      <c r="BF102" s="890">
        <v>0</v>
      </c>
      <c r="BG102" s="889">
        <v>1</v>
      </c>
      <c r="BH102" s="889">
        <v>0</v>
      </c>
      <c r="BI102" s="890">
        <v>0</v>
      </c>
      <c r="BJ102" s="889">
        <v>0</v>
      </c>
      <c r="BK102" s="889">
        <v>0</v>
      </c>
      <c r="BL102" s="889">
        <v>1</v>
      </c>
      <c r="BM102" s="890">
        <v>0</v>
      </c>
      <c r="BN102" s="958">
        <v>0</v>
      </c>
      <c r="BO102" s="959">
        <v>18</v>
      </c>
      <c r="BP102" s="1018">
        <f t="shared" ca="1" si="128"/>
        <v>181.084</v>
      </c>
      <c r="BQ102" s="1018">
        <f t="shared" ca="1" si="129"/>
        <v>302.464</v>
      </c>
      <c r="BR102" s="1018">
        <f t="shared" ca="1" si="130"/>
        <v>104.854</v>
      </c>
      <c r="BS102" s="1018">
        <f t="shared" ca="1" si="131"/>
        <v>129.21406907627619</v>
      </c>
      <c r="BT102" s="1018">
        <f t="shared" ca="1" si="132"/>
        <v>104.86</v>
      </c>
      <c r="BU102" s="1018">
        <f t="shared" ca="1" si="133"/>
        <v>14</v>
      </c>
      <c r="BV102" s="1018">
        <f t="shared" ca="1" si="134"/>
        <v>4.3</v>
      </c>
      <c r="BW102" s="1018">
        <v>0</v>
      </c>
      <c r="BX102" s="1018">
        <f t="shared" ca="1" si="135"/>
        <v>31.789994946942901</v>
      </c>
      <c r="BY102" s="1018">
        <f t="shared" ca="1" si="136"/>
        <v>291.28273085838049</v>
      </c>
      <c r="BZ102" s="1018">
        <f t="shared" ca="1" si="107"/>
        <v>115.37845526167696</v>
      </c>
      <c r="CA102" s="1018">
        <f t="shared" ca="1" si="108"/>
        <v>27.999999988800003</v>
      </c>
      <c r="CB102" s="1018">
        <f t="shared" ca="1" si="137"/>
        <v>9.0267175572519083</v>
      </c>
      <c r="CC102" s="1018">
        <f t="shared" si="109"/>
        <v>0</v>
      </c>
      <c r="CD102" s="1018">
        <f t="shared" ca="1" si="141"/>
        <v>475.47789861305228</v>
      </c>
      <c r="CE102" s="1018">
        <f t="shared" ca="1" si="142"/>
        <v>184.56333165243285</v>
      </c>
      <c r="CF102" s="1018">
        <f t="shared" ca="1" si="110"/>
        <v>19.801236907964554</v>
      </c>
      <c r="CG102" s="1018">
        <f t="shared" ca="1" si="111"/>
        <v>32968.267402284662</v>
      </c>
    </row>
    <row r="103" spans="4:85" x14ac:dyDescent="0.25">
      <c r="D103" s="1"/>
      <c r="F103" s="1"/>
      <c r="G103" s="3"/>
      <c r="H103" s="6"/>
      <c r="I103" s="3"/>
      <c r="J103" s="6" t="s">
        <v>190</v>
      </c>
      <c r="K103" s="8"/>
      <c r="L103" s="6"/>
      <c r="M103" s="1"/>
      <c r="N103" s="1"/>
      <c r="O103" s="1"/>
      <c r="P103" s="1"/>
      <c r="Q103" s="1" t="s">
        <v>22</v>
      </c>
      <c r="R103" s="4"/>
      <c r="S103" s="1"/>
      <c r="T103" s="77"/>
      <c r="U103" s="294"/>
      <c r="X103" s="176">
        <f t="shared" si="138"/>
        <v>0</v>
      </c>
      <c r="Y103" s="34">
        <f>X103/Calculation_sheet!M$67</f>
        <v>0</v>
      </c>
      <c r="Z103" s="176">
        <f ca="1">IF(AN103&gt;0,Y103*Calculation_sheet!C$87,0)</f>
        <v>0</v>
      </c>
      <c r="AA103" s="176">
        <f t="shared" ca="1" si="139"/>
        <v>0</v>
      </c>
      <c r="AB103" s="176">
        <f ca="1">IF(AP103&gt;0,AA103*Calculation_sheet!C$94,0)</f>
        <v>0</v>
      </c>
      <c r="AC103" s="176">
        <f t="shared" ca="1" si="127"/>
        <v>0</v>
      </c>
      <c r="AD103" s="958">
        <f ca="1">AC103*Calculation_sheet!C$99</f>
        <v>0</v>
      </c>
      <c r="AE103" s="176">
        <f t="shared" ca="1" si="127"/>
        <v>0</v>
      </c>
      <c r="AF103" s="176">
        <f t="shared" ca="1" si="140"/>
        <v>0</v>
      </c>
      <c r="AG103" s="958">
        <f ca="1">AF103*User_sheet!B$77/100</f>
        <v>0</v>
      </c>
      <c r="AH103" s="313"/>
      <c r="AI103" s="883">
        <v>101</v>
      </c>
      <c r="AJ103" s="985"/>
      <c r="AK103" s="1020">
        <f t="shared" ca="1" si="106"/>
        <v>475.47789861305228</v>
      </c>
      <c r="AL103" s="954">
        <f ca="1">AK103/'101'!I$24</f>
        <v>1.3476498087478654</v>
      </c>
      <c r="AM103" s="954">
        <f ca="1">0.8*(AK103*30+'101'!D$17*0.34*30*1)</f>
        <v>15136.940414713254</v>
      </c>
      <c r="AN103" s="954">
        <f ca="1">IF(AM103&lt;User_sheet!B$50,Y103,0)</f>
        <v>0</v>
      </c>
      <c r="AO103" s="954">
        <f ca="1">20-(User_sheet!B$57/('Freestanding '!AK103+'101'!D$17*1*0.34))</f>
        <v>10.962506540157278</v>
      </c>
      <c r="AP103" s="954">
        <f ca="1">IF(AO103&lt;User_sheet!B$59,0,BC103*AA103)</f>
        <v>0</v>
      </c>
      <c r="AQ103" s="985"/>
      <c r="AR103" s="883">
        <v>0.32</v>
      </c>
      <c r="AS103" s="883">
        <v>3.7</v>
      </c>
      <c r="AT103" s="883">
        <v>7.9</v>
      </c>
      <c r="AU103" s="883">
        <v>2</v>
      </c>
      <c r="AV103" s="883">
        <v>3.3</v>
      </c>
      <c r="AW103" s="883">
        <v>14356</v>
      </c>
      <c r="AX103" s="883">
        <v>76466.30421774846</v>
      </c>
      <c r="AY103" s="883">
        <v>67352.647733737584</v>
      </c>
      <c r="AZ103" s="886">
        <v>0</v>
      </c>
      <c r="BA103" s="886">
        <v>0</v>
      </c>
      <c r="BB103" s="883">
        <v>0.6</v>
      </c>
      <c r="BC103" s="888">
        <v>0</v>
      </c>
      <c r="BD103" s="889">
        <v>1</v>
      </c>
      <c r="BE103" s="889">
        <v>0</v>
      </c>
      <c r="BF103" s="890">
        <v>0</v>
      </c>
      <c r="BG103" s="889">
        <v>0</v>
      </c>
      <c r="BH103" s="889">
        <v>1</v>
      </c>
      <c r="BI103" s="890">
        <v>0</v>
      </c>
      <c r="BJ103" s="889">
        <v>0</v>
      </c>
      <c r="BK103" s="889">
        <v>1</v>
      </c>
      <c r="BL103" s="889">
        <v>0</v>
      </c>
      <c r="BM103" s="890">
        <v>0</v>
      </c>
      <c r="BN103" s="958">
        <v>0</v>
      </c>
      <c r="BO103" s="959">
        <v>18</v>
      </c>
      <c r="BP103" s="1018">
        <f t="shared" ca="1" si="128"/>
        <v>181.084</v>
      </c>
      <c r="BQ103" s="1018">
        <f t="shared" ca="1" si="129"/>
        <v>302.464</v>
      </c>
      <c r="BR103" s="1018">
        <f t="shared" ca="1" si="130"/>
        <v>104.854</v>
      </c>
      <c r="BS103" s="1018">
        <f t="shared" ca="1" si="131"/>
        <v>129.21406907627619</v>
      </c>
      <c r="BT103" s="1018">
        <f t="shared" ca="1" si="132"/>
        <v>104.86</v>
      </c>
      <c r="BU103" s="1018">
        <f t="shared" ca="1" si="133"/>
        <v>14</v>
      </c>
      <c r="BV103" s="1018">
        <f t="shared" ca="1" si="134"/>
        <v>4.3</v>
      </c>
      <c r="BW103" s="1018">
        <v>0</v>
      </c>
      <c r="BX103" s="1018">
        <f t="shared" ca="1" si="135"/>
        <v>31.789994946942901</v>
      </c>
      <c r="BY103" s="1018">
        <f t="shared" ca="1" si="136"/>
        <v>291.28273085838049</v>
      </c>
      <c r="BZ103" s="1018">
        <f t="shared" ca="1" si="107"/>
        <v>115.37845526167696</v>
      </c>
      <c r="CA103" s="1018">
        <f t="shared" ca="1" si="108"/>
        <v>27.999999988800003</v>
      </c>
      <c r="CB103" s="1018">
        <f t="shared" ca="1" si="137"/>
        <v>9.0267175572519083</v>
      </c>
      <c r="CC103" s="1018">
        <f t="shared" si="109"/>
        <v>0</v>
      </c>
      <c r="CD103" s="1018">
        <f t="shared" ca="1" si="141"/>
        <v>475.47789861305228</v>
      </c>
      <c r="CE103" s="1018">
        <f t="shared" ca="1" si="142"/>
        <v>184.56333165243285</v>
      </c>
      <c r="CF103" s="1018">
        <f t="shared" ca="1" si="110"/>
        <v>19.801236907964554</v>
      </c>
      <c r="CG103" s="1018">
        <f t="shared" ca="1" si="111"/>
        <v>32968.267402284662</v>
      </c>
    </row>
    <row r="104" spans="4:85" x14ac:dyDescent="0.25">
      <c r="D104" s="1"/>
      <c r="F104" s="1"/>
      <c r="G104" s="3"/>
      <c r="H104" s="6"/>
      <c r="I104" s="3"/>
      <c r="J104" s="6"/>
      <c r="K104" s="8"/>
      <c r="L104" s="6"/>
      <c r="M104" s="1" t="s">
        <v>22</v>
      </c>
      <c r="N104" s="4"/>
      <c r="O104" s="1" t="s">
        <v>20</v>
      </c>
      <c r="P104" s="4"/>
      <c r="Q104" s="1" t="s">
        <v>7</v>
      </c>
      <c r="R104" s="4"/>
      <c r="S104" s="1"/>
      <c r="T104" s="77"/>
      <c r="U104" s="294"/>
      <c r="X104" s="176">
        <f t="shared" si="138"/>
        <v>0</v>
      </c>
      <c r="Y104" s="34">
        <f>X104/Calculation_sheet!M$67</f>
        <v>0</v>
      </c>
      <c r="Z104" s="176">
        <f ca="1">IF(AN104&gt;0,Y104*Calculation_sheet!C$87,0)</f>
        <v>0</v>
      </c>
      <c r="AA104" s="176">
        <f t="shared" ca="1" si="139"/>
        <v>0</v>
      </c>
      <c r="AB104" s="176">
        <f ca="1">IF(AP104&gt;0,AA104*Calculation_sheet!C$94,0)</f>
        <v>0</v>
      </c>
      <c r="AC104" s="176">
        <f t="shared" ca="1" si="127"/>
        <v>0</v>
      </c>
      <c r="AD104" s="958">
        <f ca="1">AC104*Calculation_sheet!C$99</f>
        <v>0</v>
      </c>
      <c r="AE104" s="176">
        <f t="shared" ca="1" si="127"/>
        <v>0</v>
      </c>
      <c r="AF104" s="176">
        <f t="shared" ca="1" si="140"/>
        <v>0</v>
      </c>
      <c r="AG104" s="958">
        <f ca="1">AF104*User_sheet!B$77/100</f>
        <v>0</v>
      </c>
      <c r="AH104" s="313"/>
      <c r="AI104" s="883">
        <v>101</v>
      </c>
      <c r="AJ104" s="985"/>
      <c r="AK104" s="1020">
        <f t="shared" ca="1" si="106"/>
        <v>475.47789861305228</v>
      </c>
      <c r="AL104" s="954">
        <f ca="1">AK104/'101'!I$24</f>
        <v>1.3476498087478654</v>
      </c>
      <c r="AM104" s="954">
        <f ca="1">0.8*(AK104*30+'101'!D$17*0.34*30*1)</f>
        <v>15136.940414713254</v>
      </c>
      <c r="AN104" s="954">
        <f ca="1">IF(AM104&lt;User_sheet!B$50,Y104,0)</f>
        <v>0</v>
      </c>
      <c r="AO104" s="954">
        <f ca="1">20-(User_sheet!B$57/('Freestanding '!AK104+'101'!D$17*1*0.34))</f>
        <v>10.962506540157278</v>
      </c>
      <c r="AP104" s="954">
        <f ca="1">IF(AO104&lt;User_sheet!B$59,0,BC104*AA104)</f>
        <v>0</v>
      </c>
      <c r="AQ104" s="985"/>
      <c r="AR104" s="883">
        <v>0.32</v>
      </c>
      <c r="AS104" s="883">
        <v>3.7</v>
      </c>
      <c r="AT104" s="883">
        <v>7.9</v>
      </c>
      <c r="AU104" s="883">
        <v>2</v>
      </c>
      <c r="AV104" s="883">
        <v>3.3</v>
      </c>
      <c r="AW104" s="883">
        <v>14356</v>
      </c>
      <c r="AX104" s="883">
        <v>76466.30421774846</v>
      </c>
      <c r="AY104" s="883">
        <v>67352.647733737584</v>
      </c>
      <c r="AZ104" s="886">
        <v>0</v>
      </c>
      <c r="BA104" s="886">
        <v>0</v>
      </c>
      <c r="BB104" s="883">
        <v>0.6</v>
      </c>
      <c r="BC104" s="888">
        <v>0</v>
      </c>
      <c r="BD104" s="889">
        <v>1</v>
      </c>
      <c r="BE104" s="889">
        <v>0</v>
      </c>
      <c r="BF104" s="890">
        <v>0</v>
      </c>
      <c r="BG104" s="889">
        <v>0</v>
      </c>
      <c r="BH104" s="889">
        <v>1</v>
      </c>
      <c r="BI104" s="890">
        <v>0</v>
      </c>
      <c r="BJ104" s="889">
        <v>0</v>
      </c>
      <c r="BK104" s="889">
        <v>0</v>
      </c>
      <c r="BL104" s="889">
        <v>1</v>
      </c>
      <c r="BM104" s="890">
        <v>0</v>
      </c>
      <c r="BN104" s="958">
        <v>0</v>
      </c>
      <c r="BO104" s="959">
        <v>18</v>
      </c>
      <c r="BP104" s="1018">
        <f t="shared" ca="1" si="128"/>
        <v>181.084</v>
      </c>
      <c r="BQ104" s="1018">
        <f t="shared" ca="1" si="129"/>
        <v>302.464</v>
      </c>
      <c r="BR104" s="1018">
        <f t="shared" ca="1" si="130"/>
        <v>104.854</v>
      </c>
      <c r="BS104" s="1018">
        <f t="shared" ca="1" si="131"/>
        <v>129.21406907627619</v>
      </c>
      <c r="BT104" s="1018">
        <f t="shared" ca="1" si="132"/>
        <v>104.86</v>
      </c>
      <c r="BU104" s="1018">
        <f t="shared" ca="1" si="133"/>
        <v>14</v>
      </c>
      <c r="BV104" s="1018">
        <f t="shared" ca="1" si="134"/>
        <v>4.3</v>
      </c>
      <c r="BW104" s="1018">
        <v>0</v>
      </c>
      <c r="BX104" s="1018">
        <f t="shared" ca="1" si="135"/>
        <v>31.789994946942901</v>
      </c>
      <c r="BY104" s="1018">
        <f t="shared" ca="1" si="136"/>
        <v>291.28273085838049</v>
      </c>
      <c r="BZ104" s="1018">
        <f t="shared" ca="1" si="107"/>
        <v>115.37845526167696</v>
      </c>
      <c r="CA104" s="1018">
        <f t="shared" ca="1" si="108"/>
        <v>27.999999988800003</v>
      </c>
      <c r="CB104" s="1018">
        <f t="shared" ca="1" si="137"/>
        <v>9.0267175572519083</v>
      </c>
      <c r="CC104" s="1018">
        <f t="shared" si="109"/>
        <v>0</v>
      </c>
      <c r="CD104" s="1018">
        <f t="shared" ca="1" si="141"/>
        <v>475.47789861305228</v>
      </c>
      <c r="CE104" s="1018">
        <f t="shared" ca="1" si="142"/>
        <v>184.56333165243285</v>
      </c>
      <c r="CF104" s="1018">
        <f t="shared" ca="1" si="110"/>
        <v>19.801236907964554</v>
      </c>
      <c r="CG104" s="1018">
        <f t="shared" ca="1" si="111"/>
        <v>32968.267402284662</v>
      </c>
    </row>
    <row r="105" spans="4:85" x14ac:dyDescent="0.25">
      <c r="D105" s="1"/>
      <c r="F105" s="1"/>
      <c r="G105" s="3"/>
      <c r="H105" s="6"/>
      <c r="I105" s="3"/>
      <c r="J105" s="6"/>
      <c r="K105" s="8"/>
      <c r="L105" s="6"/>
      <c r="M105" s="1" t="s">
        <v>7</v>
      </c>
      <c r="N105" s="4"/>
      <c r="O105" s="1" t="s">
        <v>23</v>
      </c>
      <c r="P105" s="4"/>
      <c r="Q105" s="1" t="s">
        <v>7</v>
      </c>
      <c r="R105" s="4"/>
      <c r="S105" s="1"/>
      <c r="T105" s="77"/>
      <c r="U105" s="294"/>
      <c r="X105" s="176">
        <f t="shared" si="138"/>
        <v>0</v>
      </c>
      <c r="Y105" s="34">
        <f>X105/Calculation_sheet!M$67</f>
        <v>0</v>
      </c>
      <c r="Z105" s="176">
        <f ca="1">IF(AN105&gt;0,Y105*Calculation_sheet!C$87,0)</f>
        <v>0</v>
      </c>
      <c r="AA105" s="176">
        <f t="shared" ca="1" si="139"/>
        <v>0</v>
      </c>
      <c r="AB105" s="176">
        <f ca="1">IF(AP105&gt;0,AA105*Calculation_sheet!C$94,0)</f>
        <v>0</v>
      </c>
      <c r="AC105" s="176">
        <f t="shared" ca="1" si="127"/>
        <v>0</v>
      </c>
      <c r="AD105" s="958">
        <f ca="1">AC105*Calculation_sheet!C$99</f>
        <v>0</v>
      </c>
      <c r="AE105" s="176">
        <f t="shared" ca="1" si="127"/>
        <v>0</v>
      </c>
      <c r="AF105" s="176">
        <f t="shared" ca="1" si="140"/>
        <v>0</v>
      </c>
      <c r="AG105" s="958">
        <f ca="1">AF105*User_sheet!B$77/100</f>
        <v>0</v>
      </c>
      <c r="AH105" s="313"/>
      <c r="AI105" s="883">
        <v>101</v>
      </c>
      <c r="AJ105" s="985"/>
      <c r="AK105" s="1020">
        <f t="shared" ca="1" si="106"/>
        <v>475.47789861305228</v>
      </c>
      <c r="AL105" s="954">
        <f ca="1">AK105/'101'!I$24</f>
        <v>1.3476498087478654</v>
      </c>
      <c r="AM105" s="954">
        <f ca="1">0.8*(AK105*30+'101'!D$17*0.34*30*1)</f>
        <v>15136.940414713254</v>
      </c>
      <c r="AN105" s="954">
        <f ca="1">IF(AM105&lt;User_sheet!B$50,Y105,0)</f>
        <v>0</v>
      </c>
      <c r="AO105" s="954">
        <f ca="1">20-(User_sheet!B$57/('Freestanding '!AK105+'101'!D$17*1*0.34))</f>
        <v>10.962506540157278</v>
      </c>
      <c r="AP105" s="954">
        <f ca="1">IF(AO105&lt;User_sheet!B$59,0,BC105*AA105)</f>
        <v>0</v>
      </c>
      <c r="AQ105" s="985"/>
      <c r="AR105" s="883">
        <v>0.32</v>
      </c>
      <c r="AS105" s="883">
        <v>3.7</v>
      </c>
      <c r="AT105" s="883">
        <v>7.9</v>
      </c>
      <c r="AU105" s="883">
        <v>2</v>
      </c>
      <c r="AV105" s="883">
        <v>3.3</v>
      </c>
      <c r="AW105" s="883">
        <v>14356</v>
      </c>
      <c r="AX105" s="883">
        <v>76466.30421774846</v>
      </c>
      <c r="AY105" s="883">
        <v>67352.647733737584</v>
      </c>
      <c r="AZ105" s="886">
        <v>0</v>
      </c>
      <c r="BA105" s="886">
        <v>0</v>
      </c>
      <c r="BB105" s="883">
        <v>0.6</v>
      </c>
      <c r="BC105" s="888">
        <v>0</v>
      </c>
      <c r="BD105" s="889">
        <v>0</v>
      </c>
      <c r="BE105" s="889">
        <v>1</v>
      </c>
      <c r="BF105" s="890">
        <v>0</v>
      </c>
      <c r="BG105" s="889">
        <v>0</v>
      </c>
      <c r="BH105" s="889">
        <v>0</v>
      </c>
      <c r="BI105" s="890">
        <v>1</v>
      </c>
      <c r="BJ105" s="889">
        <v>0</v>
      </c>
      <c r="BK105" s="889">
        <v>0</v>
      </c>
      <c r="BL105" s="889">
        <v>1</v>
      </c>
      <c r="BM105" s="890">
        <v>0</v>
      </c>
      <c r="BN105" s="958">
        <v>0</v>
      </c>
      <c r="BO105" s="959">
        <v>18</v>
      </c>
      <c r="BP105" s="1018">
        <f t="shared" ca="1" si="128"/>
        <v>181.084</v>
      </c>
      <c r="BQ105" s="1018">
        <f t="shared" ca="1" si="129"/>
        <v>302.464</v>
      </c>
      <c r="BR105" s="1018">
        <f t="shared" ca="1" si="130"/>
        <v>104.854</v>
      </c>
      <c r="BS105" s="1018">
        <f t="shared" ca="1" si="131"/>
        <v>129.21406907627619</v>
      </c>
      <c r="BT105" s="1018">
        <f t="shared" ca="1" si="132"/>
        <v>104.86</v>
      </c>
      <c r="BU105" s="1018">
        <f t="shared" ca="1" si="133"/>
        <v>14</v>
      </c>
      <c r="BV105" s="1018">
        <f t="shared" ca="1" si="134"/>
        <v>4.3</v>
      </c>
      <c r="BW105" s="1018">
        <v>0</v>
      </c>
      <c r="BX105" s="1018">
        <f t="shared" ca="1" si="135"/>
        <v>31.789994946942901</v>
      </c>
      <c r="BY105" s="1018">
        <f t="shared" ca="1" si="136"/>
        <v>291.28273085838049</v>
      </c>
      <c r="BZ105" s="1018">
        <f t="shared" ca="1" si="107"/>
        <v>115.37845526167696</v>
      </c>
      <c r="CA105" s="1018">
        <f t="shared" ca="1" si="108"/>
        <v>27.999999988800003</v>
      </c>
      <c r="CB105" s="1018">
        <f t="shared" ca="1" si="137"/>
        <v>9.0267175572519083</v>
      </c>
      <c r="CC105" s="1018">
        <f t="shared" si="109"/>
        <v>0</v>
      </c>
      <c r="CD105" s="1018">
        <f t="shared" ca="1" si="141"/>
        <v>475.47789861305228</v>
      </c>
      <c r="CE105" s="1018">
        <f t="shared" ca="1" si="142"/>
        <v>184.56333165243285</v>
      </c>
      <c r="CF105" s="1018">
        <f t="shared" ca="1" si="110"/>
        <v>19.801236907964554</v>
      </c>
      <c r="CG105" s="1018">
        <f t="shared" ca="1" si="111"/>
        <v>32968.267402284662</v>
      </c>
    </row>
    <row r="106" spans="4:85" x14ac:dyDescent="0.25">
      <c r="D106" s="1"/>
      <c r="F106" s="1"/>
      <c r="G106" s="3"/>
      <c r="H106" s="6"/>
      <c r="I106" s="3"/>
      <c r="J106" s="6"/>
      <c r="K106" s="8"/>
      <c r="L106" s="6"/>
      <c r="M106" s="1"/>
      <c r="N106" s="1"/>
      <c r="O106" s="1" t="s">
        <v>18</v>
      </c>
      <c r="P106" s="4"/>
      <c r="Q106" s="1" t="s">
        <v>17</v>
      </c>
      <c r="R106" s="4"/>
      <c r="S106" s="1"/>
      <c r="T106" s="77"/>
      <c r="U106" s="294"/>
      <c r="X106" s="176">
        <f t="shared" si="138"/>
        <v>0</v>
      </c>
      <c r="Y106" s="34">
        <f>X106/Calculation_sheet!M$67</f>
        <v>0</v>
      </c>
      <c r="Z106" s="176">
        <f ca="1">IF(AN106&gt;0,Y106*Calculation_sheet!C$87,0)</f>
        <v>0</v>
      </c>
      <c r="AA106" s="176">
        <f t="shared" ca="1" si="139"/>
        <v>0</v>
      </c>
      <c r="AB106" s="176">
        <f ca="1">IF(AP106&gt;0,AA106*Calculation_sheet!C$94,0)</f>
        <v>0</v>
      </c>
      <c r="AC106" s="176">
        <f t="shared" ca="1" si="127"/>
        <v>0</v>
      </c>
      <c r="AD106" s="958">
        <f ca="1">AC106*Calculation_sheet!C$99</f>
        <v>0</v>
      </c>
      <c r="AE106" s="176">
        <f t="shared" ca="1" si="127"/>
        <v>0</v>
      </c>
      <c r="AF106" s="176">
        <f t="shared" ca="1" si="140"/>
        <v>0</v>
      </c>
      <c r="AG106" s="958">
        <f ca="1">AF106*User_sheet!B$77/100</f>
        <v>0</v>
      </c>
      <c r="AH106" s="313"/>
      <c r="AI106" s="883">
        <v>101</v>
      </c>
      <c r="AJ106" s="985"/>
      <c r="AK106" s="1020">
        <f t="shared" ca="1" si="106"/>
        <v>475.47789861305228</v>
      </c>
      <c r="AL106" s="954">
        <f ca="1">AK106/'101'!I$24</f>
        <v>1.3476498087478654</v>
      </c>
      <c r="AM106" s="954">
        <f ca="1">0.8*(AK106*30+'101'!D$17*0.34*30*1)</f>
        <v>15136.940414713254</v>
      </c>
      <c r="AN106" s="954">
        <f ca="1">IF(AM106&lt;User_sheet!B$50,Y106,0)</f>
        <v>0</v>
      </c>
      <c r="AO106" s="954">
        <f ca="1">20-(User_sheet!B$57/('Freestanding '!AK106+'101'!D$17*1*0.34))</f>
        <v>10.962506540157278</v>
      </c>
      <c r="AP106" s="954">
        <f ca="1">IF(AO106&lt;User_sheet!B$59,0,BC106*AA106)</f>
        <v>0</v>
      </c>
      <c r="AQ106" s="985"/>
      <c r="AR106" s="883">
        <v>0.32</v>
      </c>
      <c r="AS106" s="883">
        <v>3.7</v>
      </c>
      <c r="AT106" s="883">
        <v>7.9</v>
      </c>
      <c r="AU106" s="883">
        <v>2</v>
      </c>
      <c r="AV106" s="883">
        <v>3.3</v>
      </c>
      <c r="AW106" s="883">
        <v>14356</v>
      </c>
      <c r="AX106" s="883">
        <v>76466.30421774846</v>
      </c>
      <c r="AY106" s="883">
        <v>67352.647733737584</v>
      </c>
      <c r="AZ106" s="886">
        <v>0</v>
      </c>
      <c r="BA106" s="886">
        <v>0</v>
      </c>
      <c r="BB106" s="883">
        <v>0.6</v>
      </c>
      <c r="BC106" s="888">
        <v>0</v>
      </c>
      <c r="BD106" s="889">
        <v>0</v>
      </c>
      <c r="BE106" s="889">
        <v>0</v>
      </c>
      <c r="BF106" s="890">
        <v>1</v>
      </c>
      <c r="BG106" s="889">
        <v>1</v>
      </c>
      <c r="BH106" s="889">
        <v>0</v>
      </c>
      <c r="BI106" s="890">
        <v>0</v>
      </c>
      <c r="BJ106" s="889">
        <v>0</v>
      </c>
      <c r="BK106" s="889">
        <v>0</v>
      </c>
      <c r="BL106" s="889">
        <v>0</v>
      </c>
      <c r="BM106" s="890">
        <v>1</v>
      </c>
      <c r="BN106" s="958">
        <v>0</v>
      </c>
      <c r="BO106" s="959">
        <v>18</v>
      </c>
      <c r="BP106" s="1018">
        <f t="shared" ca="1" si="128"/>
        <v>181.084</v>
      </c>
      <c r="BQ106" s="1018">
        <f t="shared" ca="1" si="129"/>
        <v>302.464</v>
      </c>
      <c r="BR106" s="1018">
        <f t="shared" ca="1" si="130"/>
        <v>104.854</v>
      </c>
      <c r="BS106" s="1018">
        <f t="shared" ca="1" si="131"/>
        <v>129.21406907627619</v>
      </c>
      <c r="BT106" s="1018">
        <f t="shared" ca="1" si="132"/>
        <v>104.86</v>
      </c>
      <c r="BU106" s="1018">
        <f t="shared" ca="1" si="133"/>
        <v>14</v>
      </c>
      <c r="BV106" s="1018">
        <f t="shared" ca="1" si="134"/>
        <v>4.3</v>
      </c>
      <c r="BW106" s="1018">
        <v>0</v>
      </c>
      <c r="BX106" s="1018">
        <f t="shared" ca="1" si="135"/>
        <v>31.789994946942901</v>
      </c>
      <c r="BY106" s="1018">
        <f t="shared" ca="1" si="136"/>
        <v>291.28273085838049</v>
      </c>
      <c r="BZ106" s="1018">
        <f t="shared" ca="1" si="107"/>
        <v>115.37845526167696</v>
      </c>
      <c r="CA106" s="1018">
        <f t="shared" ca="1" si="108"/>
        <v>27.999999988800003</v>
      </c>
      <c r="CB106" s="1018">
        <f t="shared" ca="1" si="137"/>
        <v>9.0267175572519083</v>
      </c>
      <c r="CC106" s="1018">
        <f t="shared" si="109"/>
        <v>0</v>
      </c>
      <c r="CD106" s="1018">
        <f t="shared" ca="1" si="141"/>
        <v>475.47789861305228</v>
      </c>
      <c r="CE106" s="1018">
        <f t="shared" ca="1" si="142"/>
        <v>184.56333165243285</v>
      </c>
      <c r="CF106" s="1018">
        <f t="shared" ca="1" si="110"/>
        <v>19.801236907964554</v>
      </c>
      <c r="CG106" s="1018">
        <f t="shared" ca="1" si="111"/>
        <v>32968.267402284662</v>
      </c>
    </row>
    <row r="107" spans="4:85" x14ac:dyDescent="0.25">
      <c r="D107" s="1"/>
      <c r="F107" s="1"/>
      <c r="G107" s="3"/>
      <c r="H107" s="6"/>
      <c r="I107" s="3"/>
      <c r="J107" s="6"/>
      <c r="K107" s="8"/>
      <c r="L107" s="6"/>
      <c r="M107" s="1" t="s">
        <v>17</v>
      </c>
      <c r="N107" s="4"/>
      <c r="O107" s="1" t="s">
        <v>19</v>
      </c>
      <c r="P107" s="4"/>
      <c r="Q107" s="1" t="s">
        <v>17</v>
      </c>
      <c r="R107" s="4"/>
      <c r="S107" s="1"/>
      <c r="T107" s="77"/>
      <c r="U107" s="294"/>
      <c r="X107" s="176">
        <f t="shared" si="138"/>
        <v>0</v>
      </c>
      <c r="Y107" s="34">
        <f>X107/Calculation_sheet!M$67</f>
        <v>0</v>
      </c>
      <c r="Z107" s="176">
        <f ca="1">IF(AN107&gt;0,Y107*Calculation_sheet!C$87,0)</f>
        <v>0</v>
      </c>
      <c r="AA107" s="176">
        <f t="shared" ca="1" si="139"/>
        <v>0</v>
      </c>
      <c r="AB107" s="176">
        <f ca="1">IF(AP107&gt;0,AA107*Calculation_sheet!C$94,0)</f>
        <v>0</v>
      </c>
      <c r="AC107" s="176">
        <f t="shared" ca="1" si="127"/>
        <v>0</v>
      </c>
      <c r="AD107" s="958">
        <f ca="1">AC107*Calculation_sheet!C$99</f>
        <v>0</v>
      </c>
      <c r="AE107" s="176">
        <f t="shared" ca="1" si="127"/>
        <v>0</v>
      </c>
      <c r="AF107" s="176">
        <f t="shared" ca="1" si="140"/>
        <v>0</v>
      </c>
      <c r="AG107" s="958">
        <f ca="1">AF107*User_sheet!B$77/100</f>
        <v>0</v>
      </c>
      <c r="AH107" s="313"/>
      <c r="AI107" s="883">
        <v>101</v>
      </c>
      <c r="AJ107" s="985"/>
      <c r="AK107" s="1020">
        <f t="shared" ca="1" si="106"/>
        <v>475.47789861305228</v>
      </c>
      <c r="AL107" s="954">
        <f ca="1">AK107/'101'!I$24</f>
        <v>1.3476498087478654</v>
      </c>
      <c r="AM107" s="954">
        <f ca="1">0.8*(AK107*30+'101'!D$17*0.34*30*1)</f>
        <v>15136.940414713254</v>
      </c>
      <c r="AN107" s="954">
        <f ca="1">IF(AM107&lt;User_sheet!B$50,Y107,0)</f>
        <v>0</v>
      </c>
      <c r="AO107" s="954">
        <f ca="1">20-(User_sheet!B$57/('Freestanding '!AK107+'101'!D$17*1*0.34))</f>
        <v>10.962506540157278</v>
      </c>
      <c r="AP107" s="954">
        <f ca="1">IF(AO107&lt;User_sheet!B$59,0,BC107*AA107)</f>
        <v>0</v>
      </c>
      <c r="AQ107" s="985"/>
      <c r="AR107" s="883">
        <v>0.32</v>
      </c>
      <c r="AS107" s="883">
        <v>3.7</v>
      </c>
      <c r="AT107" s="883">
        <v>7.9</v>
      </c>
      <c r="AU107" s="883">
        <v>2</v>
      </c>
      <c r="AV107" s="883">
        <v>3.3</v>
      </c>
      <c r="AW107" s="883">
        <v>14356</v>
      </c>
      <c r="AX107" s="883">
        <v>76466.30421774846</v>
      </c>
      <c r="AY107" s="883">
        <v>67352.647733737584</v>
      </c>
      <c r="AZ107" s="886">
        <v>0</v>
      </c>
      <c r="BA107" s="886">
        <v>0</v>
      </c>
      <c r="BB107" s="883">
        <v>0.6</v>
      </c>
      <c r="BC107" s="888">
        <v>0</v>
      </c>
      <c r="BD107" s="889">
        <v>0</v>
      </c>
      <c r="BE107" s="889">
        <v>0</v>
      </c>
      <c r="BF107" s="890">
        <v>1</v>
      </c>
      <c r="BG107" s="889">
        <v>0</v>
      </c>
      <c r="BH107" s="889">
        <v>1</v>
      </c>
      <c r="BI107" s="890">
        <v>0</v>
      </c>
      <c r="BJ107" s="889">
        <v>0</v>
      </c>
      <c r="BK107" s="889">
        <v>0</v>
      </c>
      <c r="BL107" s="889">
        <v>0</v>
      </c>
      <c r="BM107" s="890">
        <v>1</v>
      </c>
      <c r="BN107" s="958">
        <v>0</v>
      </c>
      <c r="BO107" s="959">
        <v>18</v>
      </c>
      <c r="BP107" s="1018">
        <f t="shared" ca="1" si="128"/>
        <v>181.084</v>
      </c>
      <c r="BQ107" s="1018">
        <f t="shared" ca="1" si="129"/>
        <v>302.464</v>
      </c>
      <c r="BR107" s="1018">
        <f t="shared" ca="1" si="130"/>
        <v>104.854</v>
      </c>
      <c r="BS107" s="1018">
        <f t="shared" ca="1" si="131"/>
        <v>129.21406907627619</v>
      </c>
      <c r="BT107" s="1018">
        <f t="shared" ca="1" si="132"/>
        <v>104.86</v>
      </c>
      <c r="BU107" s="1018">
        <f t="shared" ca="1" si="133"/>
        <v>14</v>
      </c>
      <c r="BV107" s="1018">
        <f t="shared" ca="1" si="134"/>
        <v>4.3</v>
      </c>
      <c r="BW107" s="1018">
        <v>0</v>
      </c>
      <c r="BX107" s="1018">
        <f t="shared" ca="1" si="135"/>
        <v>31.789994946942901</v>
      </c>
      <c r="BY107" s="1018">
        <f t="shared" ca="1" si="136"/>
        <v>291.28273085838049</v>
      </c>
      <c r="BZ107" s="1018">
        <f t="shared" ca="1" si="107"/>
        <v>115.37845526167696</v>
      </c>
      <c r="CA107" s="1018">
        <f t="shared" ca="1" si="108"/>
        <v>27.999999988800003</v>
      </c>
      <c r="CB107" s="1018">
        <f t="shared" ca="1" si="137"/>
        <v>9.0267175572519083</v>
      </c>
      <c r="CC107" s="1018">
        <f t="shared" si="109"/>
        <v>0</v>
      </c>
      <c r="CD107" s="1018">
        <f t="shared" ca="1" si="141"/>
        <v>475.47789861305228</v>
      </c>
      <c r="CE107" s="1018">
        <f t="shared" ca="1" si="142"/>
        <v>184.56333165243285</v>
      </c>
      <c r="CF107" s="1018">
        <f t="shared" ca="1" si="110"/>
        <v>19.801236907964554</v>
      </c>
      <c r="CG107" s="1018">
        <f t="shared" ca="1" si="111"/>
        <v>32968.267402284662</v>
      </c>
    </row>
    <row r="108" spans="4:85" s="14" customFormat="1" x14ac:dyDescent="0.25">
      <c r="D108" s="15"/>
      <c r="F108" s="15"/>
      <c r="H108" s="15"/>
      <c r="J108" s="15"/>
      <c r="K108" s="16"/>
      <c r="L108" s="15"/>
      <c r="M108" s="15"/>
      <c r="N108" s="15"/>
      <c r="O108" s="15"/>
      <c r="P108" s="15"/>
      <c r="Q108" s="15"/>
      <c r="R108" s="15"/>
      <c r="S108" s="15"/>
      <c r="T108" s="80"/>
      <c r="U108" s="273"/>
      <c r="V108" s="292"/>
      <c r="W108" s="292"/>
      <c r="X108" s="292"/>
      <c r="Y108" s="277"/>
      <c r="Z108" s="292"/>
      <c r="AA108" s="292"/>
      <c r="AB108" s="292"/>
      <c r="AC108" s="292"/>
      <c r="AD108" s="277"/>
      <c r="AE108" s="292"/>
      <c r="AF108" s="292"/>
      <c r="AG108" s="277"/>
      <c r="AH108" s="313"/>
      <c r="AI108" s="887"/>
      <c r="AJ108" s="985"/>
      <c r="AK108" s="1020">
        <f t="shared" si="106"/>
        <v>0</v>
      </c>
      <c r="AL108" s="986"/>
      <c r="AM108" s="986"/>
      <c r="AN108" s="986"/>
      <c r="AO108" s="986"/>
      <c r="AP108" s="986"/>
      <c r="AQ108" s="985"/>
      <c r="AR108" s="887"/>
      <c r="AS108" s="887"/>
      <c r="AT108" s="887"/>
      <c r="AU108" s="887"/>
      <c r="AV108" s="887"/>
      <c r="AW108" s="887"/>
      <c r="AX108" s="887"/>
      <c r="AY108" s="887"/>
      <c r="AZ108" s="887"/>
      <c r="BA108" s="887"/>
      <c r="BB108" s="887"/>
      <c r="BC108" s="45"/>
      <c r="BD108" s="277"/>
      <c r="BE108" s="277"/>
      <c r="BF108" s="49"/>
      <c r="BG108" s="887"/>
      <c r="BH108" s="887"/>
      <c r="BI108" s="49"/>
      <c r="BJ108" s="887"/>
      <c r="BK108" s="887"/>
      <c r="BL108" s="887"/>
      <c r="BM108" s="49"/>
      <c r="BN108" s="277"/>
      <c r="BO108" s="49"/>
      <c r="BP108" s="928"/>
      <c r="BQ108" s="928"/>
      <c r="BR108" s="928"/>
      <c r="BS108" s="928"/>
      <c r="BT108" s="928"/>
      <c r="BU108" s="928"/>
      <c r="BV108" s="928"/>
      <c r="BW108" s="928"/>
      <c r="BX108" s="928"/>
      <c r="BY108" s="928"/>
      <c r="BZ108" s="928"/>
      <c r="CA108" s="928"/>
      <c r="CB108" s="928"/>
      <c r="CC108" s="928"/>
      <c r="CD108" s="928"/>
      <c r="CE108" s="928"/>
      <c r="CF108" s="928"/>
      <c r="CG108" s="928"/>
    </row>
    <row r="109" spans="4:85" x14ac:dyDescent="0.25">
      <c r="D109" s="362"/>
      <c r="E109" s="361"/>
      <c r="F109" s="362"/>
      <c r="G109" s="361"/>
      <c r="H109" s="362"/>
      <c r="I109" s="361"/>
      <c r="J109" s="362"/>
      <c r="K109" s="364"/>
      <c r="L109" s="366"/>
      <c r="M109" s="362"/>
      <c r="N109" s="362"/>
      <c r="O109" s="362"/>
      <c r="P109" s="362"/>
      <c r="Q109" s="362" t="s">
        <v>16</v>
      </c>
      <c r="R109" s="363">
        <v>0.73860000000000003</v>
      </c>
      <c r="S109" s="362"/>
      <c r="T109" s="371">
        <v>3.8580777219424421E-3</v>
      </c>
      <c r="U109" s="361"/>
      <c r="V109" s="176">
        <f>T109-T109*Calculation_sheet!F$58</f>
        <v>3.8580777219424421E-3</v>
      </c>
      <c r="W109" s="176">
        <f>V109-V109*Calculation_sheet!E$66</f>
        <v>3.8580777219424421E-3</v>
      </c>
      <c r="X109" s="176">
        <f>W109-W109*Calculation_sheet!E$76</f>
        <v>3.8580777219424421E-3</v>
      </c>
      <c r="Y109" s="34">
        <f>X109/Calculation_sheet!M$67</f>
        <v>3.8581566058533429E-3</v>
      </c>
      <c r="Z109" s="176">
        <f ca="1">IF(AN109&gt;0,Y109*Calculation_sheet!C$87,0)</f>
        <v>0</v>
      </c>
      <c r="AA109" s="176">
        <f ca="1">Y109-Z109</f>
        <v>3.8581566058533429E-3</v>
      </c>
      <c r="AB109" s="176">
        <f ca="1">IF(AP109&gt;0,AA109*Calculation_sheet!C$94,0)</f>
        <v>0</v>
      </c>
      <c r="AC109" s="176">
        <f t="shared" ref="AC109:AE119" ca="1" si="143">AA109-AB109</f>
        <v>3.8581566058533429E-3</v>
      </c>
      <c r="AD109" s="958">
        <f ca="1">AC109*Calculation_sheet!C$99</f>
        <v>2.3148939635120056E-3</v>
      </c>
      <c r="AE109" s="176">
        <f t="shared" ca="1" si="143"/>
        <v>1.5432626423413373E-3</v>
      </c>
      <c r="AF109" s="176">
        <f ca="1">Y109-AB109</f>
        <v>3.8581566058533429E-3</v>
      </c>
      <c r="AG109" s="958">
        <f ca="1">AF109*User_sheet!B$77/100</f>
        <v>0</v>
      </c>
      <c r="AH109" s="313"/>
      <c r="AI109" s="883">
        <v>101</v>
      </c>
      <c r="AJ109" s="985"/>
      <c r="AK109" s="1020">
        <f t="shared" ca="1" si="106"/>
        <v>914.96821719615946</v>
      </c>
      <c r="AL109" s="954">
        <f ca="1">AK109/'101'!I$24</f>
        <v>2.5932998074391072</v>
      </c>
      <c r="AM109" s="954">
        <f ca="1">0.8*(AK109*30+'101'!D$17*0.34*30*1)</f>
        <v>25684.708060707828</v>
      </c>
      <c r="AN109" s="954">
        <f ca="1">IF(AM109&lt;User_sheet!B$50,Y109,0)</f>
        <v>0</v>
      </c>
      <c r="AO109" s="954">
        <f ca="1">20-(User_sheet!B$57/('Freestanding '!AK109+'101'!D$17*1*0.34))</f>
        <v>14.673873665347394</v>
      </c>
      <c r="AP109" s="954">
        <f ca="1">IF(AO109&lt;User_sheet!B$59,0,BC109*AA109)</f>
        <v>3.8581566058533429E-3</v>
      </c>
      <c r="AQ109" s="985"/>
      <c r="AR109" s="883">
        <v>14.1</v>
      </c>
      <c r="AS109" s="883">
        <v>3.7</v>
      </c>
      <c r="AT109" s="883">
        <v>7.9</v>
      </c>
      <c r="AU109" s="883">
        <v>5</v>
      </c>
      <c r="AV109" s="883">
        <v>3.3</v>
      </c>
      <c r="AW109" s="883">
        <v>7211.5338771527777</v>
      </c>
      <c r="AX109" s="883">
        <v>76466.30421774846</v>
      </c>
      <c r="AY109" s="883">
        <v>67352.647733737584</v>
      </c>
      <c r="AZ109" s="883">
        <v>0</v>
      </c>
      <c r="BA109" s="883">
        <v>0</v>
      </c>
      <c r="BB109" s="883">
        <v>0.87</v>
      </c>
      <c r="BC109" s="888">
        <v>1</v>
      </c>
      <c r="BD109" s="889">
        <v>0</v>
      </c>
      <c r="BE109" s="889">
        <v>0</v>
      </c>
      <c r="BF109" s="890">
        <v>0</v>
      </c>
      <c r="BG109" s="883">
        <v>1</v>
      </c>
      <c r="BH109" s="883">
        <v>0</v>
      </c>
      <c r="BI109" s="890">
        <v>0</v>
      </c>
      <c r="BJ109" s="883">
        <v>1</v>
      </c>
      <c r="BK109" s="883">
        <v>0</v>
      </c>
      <c r="BL109" s="883">
        <v>0</v>
      </c>
      <c r="BM109" s="890">
        <v>0</v>
      </c>
      <c r="BN109" s="958">
        <v>0</v>
      </c>
      <c r="BO109" s="959">
        <v>18</v>
      </c>
      <c r="BP109" s="1018">
        <f t="shared" ref="BP109:BP119" ca="1" si="144">INDIRECT("'"&amp;AI109&amp;"'!"&amp;"B2")</f>
        <v>181.084</v>
      </c>
      <c r="BQ109" s="1018">
        <f t="shared" ref="BQ109:BQ119" ca="1" si="145">INDIRECT("'"&amp;AI109&amp;"'!"&amp;"C12")+INDIRECT("'"&amp;AI109&amp;"'!"&amp;"C13")+INDIRECT("'"&amp;AI109&amp;"'!"&amp;"C14")+INDIRECT("'"&amp;AI109&amp;"'!"&amp;"C15")+INDIRECT("'"&amp;AI109&amp;"'!"&amp;"C17")</f>
        <v>302.464</v>
      </c>
      <c r="BR109" s="1018">
        <f t="shared" ref="BR109:BR119" ca="1" si="146">INDIRECT("'"&amp;AI109&amp;"'!"&amp;"G5")</f>
        <v>104.854</v>
      </c>
      <c r="BS109" s="1018">
        <f t="shared" ref="BS109:BS119" ca="1" si="147">INDIRECT("'"&amp;AI109&amp;"'!"&amp;"G4")</f>
        <v>129.21406907627619</v>
      </c>
      <c r="BT109" s="1018">
        <f t="shared" ref="BT109:BT119" ca="1" si="148">INDIRECT("'"&amp;AI109&amp;"'!"&amp;"G6")</f>
        <v>104.86</v>
      </c>
      <c r="BU109" s="1018">
        <f t="shared" ref="BU109:BU119" ca="1" si="149">INDIRECT("'"&amp;AI109&amp;"'!"&amp;"G2")</f>
        <v>14</v>
      </c>
      <c r="BV109" s="1018">
        <f t="shared" ref="BV109:BV119" ca="1" si="150">INDIRECT("'"&amp;AI109&amp;"'!"&amp;"G3")</f>
        <v>4.3</v>
      </c>
      <c r="BW109" s="1018">
        <v>0</v>
      </c>
      <c r="BX109" s="1018">
        <f t="shared" ref="BX109:BX119" ca="1" si="151">IF(BR109=0,0,1/(1/(BR109*$BY$3)+1/(BR109*AR109)+1/(BR109*$BY$4)))</f>
        <v>429.28031358885011</v>
      </c>
      <c r="BY109" s="1018">
        <f t="shared" ref="BY109:BY119" ca="1" si="152">IF(BS109=0,0,1/(1/(BS109*$BY$3)+1/(BS109*AS109)+1/(BS109*$BY$4)))</f>
        <v>291.28273085838049</v>
      </c>
      <c r="BZ109" s="1018">
        <f t="shared" ca="1" si="107"/>
        <v>115.37845526167696</v>
      </c>
      <c r="CA109" s="1018">
        <f t="shared" ca="1" si="108"/>
        <v>69.999999930000001</v>
      </c>
      <c r="CB109" s="1018">
        <f t="shared" ref="CB109:CB119" ca="1" si="153">IF(BV109=0,0,1/(1/(BV109*$BY$3)+1/(BV109*AV109)+1/(BV109*$BY$4)))</f>
        <v>9.0267175572519083</v>
      </c>
      <c r="CC109" s="1018">
        <f t="shared" si="109"/>
        <v>0</v>
      </c>
      <c r="CD109" s="1018">
        <f ca="1">SUM(BX109:CC109)+(BR109+BS109+BT109+BU109+BV109)*BN109</f>
        <v>914.96821719615946</v>
      </c>
      <c r="CE109" s="1018">
        <f ca="1">0.34*BO109*(1/25)^0.66*(BR109+BS109+BU109+BV109)</f>
        <v>184.56333165243285</v>
      </c>
      <c r="CF109" s="1018">
        <f t="shared" ca="1" si="110"/>
        <v>32.985946465457765</v>
      </c>
      <c r="CG109" s="1018">
        <f t="shared" ca="1" si="111"/>
        <v>54920.281427128568</v>
      </c>
    </row>
    <row r="110" spans="4:85" x14ac:dyDescent="0.25">
      <c r="D110" s="362"/>
      <c r="E110" s="361"/>
      <c r="F110" s="362"/>
      <c r="G110" s="361"/>
      <c r="H110" s="362"/>
      <c r="I110" s="361"/>
      <c r="J110" s="362"/>
      <c r="K110" s="364"/>
      <c r="L110" s="366"/>
      <c r="M110" s="362"/>
      <c r="N110" s="362"/>
      <c r="O110" s="362" t="s">
        <v>18</v>
      </c>
      <c r="P110" s="363">
        <v>0.62953995200000001</v>
      </c>
      <c r="Q110" s="362" t="s">
        <v>7</v>
      </c>
      <c r="R110" s="363">
        <v>0.26140000000000002</v>
      </c>
      <c r="S110" s="362"/>
      <c r="T110" s="371">
        <v>1.3654231201133966E-3</v>
      </c>
      <c r="U110" s="361"/>
      <c r="V110" s="176">
        <f>T110-T110*Calculation_sheet!F$58</f>
        <v>1.3654231201133966E-3</v>
      </c>
      <c r="W110" s="176">
        <f>V110-V110*Calculation_sheet!E$66</f>
        <v>1.3654231201133966E-3</v>
      </c>
      <c r="X110" s="176">
        <f>W110-W110*Calculation_sheet!E$76</f>
        <v>1.3654231201133966E-3</v>
      </c>
      <c r="Y110" s="34">
        <f>X110/Calculation_sheet!M$67</f>
        <v>1.3654510381398107E-3</v>
      </c>
      <c r="Z110" s="176">
        <f ca="1">IF(AN110&gt;0,Y110*Calculation_sheet!C$87,0)</f>
        <v>0</v>
      </c>
      <c r="AA110" s="176">
        <f t="shared" ref="AA110:AA119" ca="1" si="154">Y110-Z110</f>
        <v>1.3654510381398107E-3</v>
      </c>
      <c r="AB110" s="176">
        <f ca="1">IF(AP110&gt;0,AA110*Calculation_sheet!C$94,0)</f>
        <v>0</v>
      </c>
      <c r="AC110" s="176">
        <f t="shared" ca="1" si="143"/>
        <v>1.3654510381398107E-3</v>
      </c>
      <c r="AD110" s="958">
        <f ca="1">AC110*Calculation_sheet!C$99</f>
        <v>8.1927062288388638E-4</v>
      </c>
      <c r="AE110" s="176">
        <f t="shared" ca="1" si="143"/>
        <v>5.4618041525592432E-4</v>
      </c>
      <c r="AF110" s="176">
        <f t="shared" ref="AF110:AF119" ca="1" si="155">Y110-AB110</f>
        <v>1.3654510381398107E-3</v>
      </c>
      <c r="AG110" s="958">
        <f ca="1">AF110*User_sheet!B$77/100</f>
        <v>0</v>
      </c>
      <c r="AH110" s="313"/>
      <c r="AI110" s="883">
        <v>101</v>
      </c>
      <c r="AJ110" s="985"/>
      <c r="AK110" s="1020">
        <f t="shared" ca="1" si="106"/>
        <v>914.96821719615946</v>
      </c>
      <c r="AL110" s="954">
        <f ca="1">AK110/'101'!I$24</f>
        <v>2.5932998074391072</v>
      </c>
      <c r="AM110" s="954">
        <f ca="1">0.8*(AK110*30+'101'!D$17*0.34*30*1)</f>
        <v>25684.708060707828</v>
      </c>
      <c r="AN110" s="954">
        <f ca="1">IF(AM110&lt;User_sheet!B$50,Y110,0)</f>
        <v>0</v>
      </c>
      <c r="AO110" s="954">
        <f ca="1">20-(User_sheet!B$57/('Freestanding '!AK110+'101'!D$17*1*0.34))</f>
        <v>14.673873665347394</v>
      </c>
      <c r="AP110" s="954">
        <f ca="1">IF(AO110&lt;User_sheet!B$59,0,BC110*AA110)</f>
        <v>1.3654510381398107E-3</v>
      </c>
      <c r="AQ110" s="985"/>
      <c r="AR110" s="883">
        <v>14.1</v>
      </c>
      <c r="AS110" s="883">
        <v>3.7</v>
      </c>
      <c r="AT110" s="883">
        <v>7.9</v>
      </c>
      <c r="AU110" s="883">
        <v>5</v>
      </c>
      <c r="AV110" s="883">
        <v>3.3</v>
      </c>
      <c r="AW110" s="883">
        <v>7211.5338771527777</v>
      </c>
      <c r="AX110" s="883">
        <v>76466.30421774846</v>
      </c>
      <c r="AY110" s="883">
        <v>67352.647733737584</v>
      </c>
      <c r="AZ110" s="883">
        <v>0</v>
      </c>
      <c r="BA110" s="883">
        <v>0</v>
      </c>
      <c r="BB110" s="883">
        <v>0.87</v>
      </c>
      <c r="BC110" s="888">
        <v>1</v>
      </c>
      <c r="BD110" s="889">
        <v>0</v>
      </c>
      <c r="BE110" s="889">
        <v>0</v>
      </c>
      <c r="BF110" s="890">
        <v>0</v>
      </c>
      <c r="BG110" s="883">
        <v>1</v>
      </c>
      <c r="BH110" s="883">
        <v>0</v>
      </c>
      <c r="BI110" s="890">
        <v>0</v>
      </c>
      <c r="BJ110" s="883">
        <v>0</v>
      </c>
      <c r="BK110" s="883">
        <v>0</v>
      </c>
      <c r="BL110" s="883">
        <v>1</v>
      </c>
      <c r="BM110" s="890">
        <v>0</v>
      </c>
      <c r="BN110" s="958">
        <v>0</v>
      </c>
      <c r="BO110" s="959">
        <v>18</v>
      </c>
      <c r="BP110" s="1018">
        <f t="shared" ca="1" si="144"/>
        <v>181.084</v>
      </c>
      <c r="BQ110" s="1018">
        <f t="shared" ca="1" si="145"/>
        <v>302.464</v>
      </c>
      <c r="BR110" s="1018">
        <f t="shared" ca="1" si="146"/>
        <v>104.854</v>
      </c>
      <c r="BS110" s="1018">
        <f t="shared" ca="1" si="147"/>
        <v>129.21406907627619</v>
      </c>
      <c r="BT110" s="1018">
        <f t="shared" ca="1" si="148"/>
        <v>104.86</v>
      </c>
      <c r="BU110" s="1018">
        <f t="shared" ca="1" si="149"/>
        <v>14</v>
      </c>
      <c r="BV110" s="1018">
        <f t="shared" ca="1" si="150"/>
        <v>4.3</v>
      </c>
      <c r="BW110" s="1018">
        <v>0</v>
      </c>
      <c r="BX110" s="1018">
        <f t="shared" ca="1" si="151"/>
        <v>429.28031358885011</v>
      </c>
      <c r="BY110" s="1018">
        <f t="shared" ca="1" si="152"/>
        <v>291.28273085838049</v>
      </c>
      <c r="BZ110" s="1018">
        <f t="shared" ca="1" si="107"/>
        <v>115.37845526167696</v>
      </c>
      <c r="CA110" s="1018">
        <f t="shared" ca="1" si="108"/>
        <v>69.999999930000001</v>
      </c>
      <c r="CB110" s="1018">
        <f t="shared" ca="1" si="153"/>
        <v>9.0267175572519083</v>
      </c>
      <c r="CC110" s="1018">
        <f t="shared" si="109"/>
        <v>0</v>
      </c>
      <c r="CD110" s="1018">
        <f t="shared" ref="CD110:CD119" ca="1" si="156">SUM(BX110:CC110)+(BR110+BS110+BT110+BU110+BV110)*BN110</f>
        <v>914.96821719615946</v>
      </c>
      <c r="CE110" s="1018">
        <f t="shared" ref="CE110:CE119" ca="1" si="157">0.34*BO110*(1/25)^0.66*(BR110+BS110+BU110+BV110)</f>
        <v>184.56333165243285</v>
      </c>
      <c r="CF110" s="1018">
        <f t="shared" ca="1" si="110"/>
        <v>32.985946465457765</v>
      </c>
      <c r="CG110" s="1018">
        <f t="shared" ca="1" si="111"/>
        <v>54920.281427128568</v>
      </c>
    </row>
    <row r="111" spans="4:85" x14ac:dyDescent="0.25">
      <c r="D111" s="362"/>
      <c r="E111" s="361"/>
      <c r="F111" s="362"/>
      <c r="G111" s="361"/>
      <c r="H111" s="362"/>
      <c r="I111" s="361"/>
      <c r="J111" s="362"/>
      <c r="K111" s="364"/>
      <c r="L111" s="366"/>
      <c r="M111" s="362"/>
      <c r="N111" s="362"/>
      <c r="O111" s="362"/>
      <c r="P111" s="362"/>
      <c r="Q111" s="362" t="s">
        <v>16</v>
      </c>
      <c r="R111" s="363">
        <v>0.73860000000000003</v>
      </c>
      <c r="S111" s="362"/>
      <c r="T111" s="371">
        <v>2.2703303476099769E-3</v>
      </c>
      <c r="U111" s="361"/>
      <c r="V111" s="176">
        <f>T111-T111*Calculation_sheet!F$58</f>
        <v>2.2703303476099769E-3</v>
      </c>
      <c r="W111" s="176">
        <f>V111-V111*Calculation_sheet!E$66</f>
        <v>2.2703303476099769E-3</v>
      </c>
      <c r="X111" s="176">
        <f>W111-W111*Calculation_sheet!E$76</f>
        <v>2.2703303476099769E-3</v>
      </c>
      <c r="Y111" s="34">
        <f>X111/Calculation_sheet!M$67</f>
        <v>2.2703767677574606E-3</v>
      </c>
      <c r="Z111" s="176">
        <f ca="1">IF(AN111&gt;0,Y111*Calculation_sheet!C$87,0)</f>
        <v>0</v>
      </c>
      <c r="AA111" s="176">
        <f t="shared" ca="1" si="154"/>
        <v>2.2703767677574606E-3</v>
      </c>
      <c r="AB111" s="176">
        <f ca="1">IF(AP111&gt;0,AA111*Calculation_sheet!C$94,0)</f>
        <v>0</v>
      </c>
      <c r="AC111" s="176">
        <f t="shared" ca="1" si="143"/>
        <v>2.2703767677574606E-3</v>
      </c>
      <c r="AD111" s="958">
        <f ca="1">AC111*Calculation_sheet!C$99</f>
        <v>1.3622260606544763E-3</v>
      </c>
      <c r="AE111" s="176">
        <f t="shared" ca="1" si="143"/>
        <v>9.0815070710298438E-4</v>
      </c>
      <c r="AF111" s="176">
        <f t="shared" ca="1" si="155"/>
        <v>2.2703767677574606E-3</v>
      </c>
      <c r="AG111" s="958">
        <f ca="1">AF111*User_sheet!B$77/100</f>
        <v>0</v>
      </c>
      <c r="AH111" s="313"/>
      <c r="AI111" s="883">
        <v>101</v>
      </c>
      <c r="AJ111" s="985"/>
      <c r="AK111" s="1020">
        <f t="shared" ca="1" si="106"/>
        <v>914.96821719615946</v>
      </c>
      <c r="AL111" s="954">
        <f ca="1">AK111/'101'!I$24</f>
        <v>2.5932998074391072</v>
      </c>
      <c r="AM111" s="954">
        <f ca="1">0.8*(AK111*30+'101'!D$17*0.34*30*1)</f>
        <v>25684.708060707828</v>
      </c>
      <c r="AN111" s="954">
        <f ca="1">IF(AM111&lt;User_sheet!B$50,Y111,0)</f>
        <v>0</v>
      </c>
      <c r="AO111" s="954">
        <f ca="1">20-(User_sheet!B$57/('Freestanding '!AK111+'101'!D$17*1*0.34))</f>
        <v>14.673873665347394</v>
      </c>
      <c r="AP111" s="954">
        <f ca="1">IF(AO111&lt;User_sheet!B$59,0,BC111*AA111)</f>
        <v>2.2703767677574606E-3</v>
      </c>
      <c r="AQ111" s="985"/>
      <c r="AR111" s="883">
        <v>14.1</v>
      </c>
      <c r="AS111" s="883">
        <v>3.7</v>
      </c>
      <c r="AT111" s="883">
        <v>7.9</v>
      </c>
      <c r="AU111" s="883">
        <v>5</v>
      </c>
      <c r="AV111" s="883">
        <v>3.3</v>
      </c>
      <c r="AW111" s="883">
        <v>7211.5338771527777</v>
      </c>
      <c r="AX111" s="883">
        <v>76466.30421774846</v>
      </c>
      <c r="AY111" s="883">
        <v>67352.647733737584</v>
      </c>
      <c r="AZ111" s="883">
        <v>0</v>
      </c>
      <c r="BA111" s="883">
        <v>0</v>
      </c>
      <c r="BB111" s="883">
        <v>0.87</v>
      </c>
      <c r="BC111" s="888">
        <v>1</v>
      </c>
      <c r="BD111" s="889">
        <v>0</v>
      </c>
      <c r="BE111" s="889">
        <v>0</v>
      </c>
      <c r="BF111" s="890">
        <v>0</v>
      </c>
      <c r="BG111" s="883">
        <v>0</v>
      </c>
      <c r="BH111" s="883">
        <v>1</v>
      </c>
      <c r="BI111" s="890">
        <v>0</v>
      </c>
      <c r="BJ111" s="883">
        <v>1</v>
      </c>
      <c r="BK111" s="883">
        <v>0</v>
      </c>
      <c r="BL111" s="883">
        <v>0</v>
      </c>
      <c r="BM111" s="890">
        <v>0</v>
      </c>
      <c r="BN111" s="958">
        <v>0</v>
      </c>
      <c r="BO111" s="959">
        <v>18</v>
      </c>
      <c r="BP111" s="1018">
        <f t="shared" ca="1" si="144"/>
        <v>181.084</v>
      </c>
      <c r="BQ111" s="1018">
        <f t="shared" ca="1" si="145"/>
        <v>302.464</v>
      </c>
      <c r="BR111" s="1018">
        <f t="shared" ca="1" si="146"/>
        <v>104.854</v>
      </c>
      <c r="BS111" s="1018">
        <f t="shared" ca="1" si="147"/>
        <v>129.21406907627619</v>
      </c>
      <c r="BT111" s="1018">
        <f t="shared" ca="1" si="148"/>
        <v>104.86</v>
      </c>
      <c r="BU111" s="1018">
        <f t="shared" ca="1" si="149"/>
        <v>14</v>
      </c>
      <c r="BV111" s="1018">
        <f t="shared" ca="1" si="150"/>
        <v>4.3</v>
      </c>
      <c r="BW111" s="1018">
        <v>0</v>
      </c>
      <c r="BX111" s="1018">
        <f t="shared" ca="1" si="151"/>
        <v>429.28031358885011</v>
      </c>
      <c r="BY111" s="1018">
        <f t="shared" ca="1" si="152"/>
        <v>291.28273085838049</v>
      </c>
      <c r="BZ111" s="1018">
        <f t="shared" ca="1" si="107"/>
        <v>115.37845526167696</v>
      </c>
      <c r="CA111" s="1018">
        <f t="shared" ca="1" si="108"/>
        <v>69.999999930000001</v>
      </c>
      <c r="CB111" s="1018">
        <f t="shared" ca="1" si="153"/>
        <v>9.0267175572519083</v>
      </c>
      <c r="CC111" s="1018">
        <f t="shared" si="109"/>
        <v>0</v>
      </c>
      <c r="CD111" s="1018">
        <f t="shared" ca="1" si="156"/>
        <v>914.96821719615946</v>
      </c>
      <c r="CE111" s="1018">
        <f t="shared" ca="1" si="157"/>
        <v>184.56333165243285</v>
      </c>
      <c r="CF111" s="1018">
        <f t="shared" ca="1" si="110"/>
        <v>32.985946465457765</v>
      </c>
      <c r="CG111" s="1018">
        <f t="shared" ca="1" si="111"/>
        <v>54920.281427128568</v>
      </c>
    </row>
    <row r="112" spans="4:85" x14ac:dyDescent="0.25">
      <c r="D112" s="362"/>
      <c r="E112" s="361"/>
      <c r="F112" s="362"/>
      <c r="G112" s="361"/>
      <c r="H112" s="362"/>
      <c r="I112" s="361"/>
      <c r="J112" s="362"/>
      <c r="K112" s="364"/>
      <c r="L112" s="366"/>
      <c r="M112" s="362" t="s">
        <v>16</v>
      </c>
      <c r="N112" s="363">
        <v>0.44680851100000002</v>
      </c>
      <c r="O112" s="362" t="s">
        <v>19</v>
      </c>
      <c r="P112" s="363">
        <v>0.37046004799999999</v>
      </c>
      <c r="Q112" s="362" t="s">
        <v>7</v>
      </c>
      <c r="R112" s="363">
        <v>0.26140000000000002</v>
      </c>
      <c r="S112" s="362"/>
      <c r="T112" s="371">
        <v>8.0349898844468974E-4</v>
      </c>
      <c r="U112" s="361"/>
      <c r="V112" s="176">
        <f>T112-T112*Calculation_sheet!F$58</f>
        <v>8.0349898844468974E-4</v>
      </c>
      <c r="W112" s="176">
        <f>V112-V112*Calculation_sheet!E$66</f>
        <v>8.0349898844468974E-4</v>
      </c>
      <c r="X112" s="176">
        <f>W112-W112*Calculation_sheet!E$76</f>
        <v>8.0349898844468974E-4</v>
      </c>
      <c r="Y112" s="34">
        <f>X112/Calculation_sheet!M$67</f>
        <v>8.0351541712943427E-4</v>
      </c>
      <c r="Z112" s="176">
        <f ca="1">IF(AN112&gt;0,Y112*Calculation_sheet!C$87,0)</f>
        <v>0</v>
      </c>
      <c r="AA112" s="176">
        <f t="shared" ca="1" si="154"/>
        <v>8.0351541712943427E-4</v>
      </c>
      <c r="AB112" s="176">
        <f ca="1">IF(AP112&gt;0,AA112*Calculation_sheet!C$94,0)</f>
        <v>0</v>
      </c>
      <c r="AC112" s="176">
        <f t="shared" ca="1" si="143"/>
        <v>8.0351541712943427E-4</v>
      </c>
      <c r="AD112" s="958">
        <f ca="1">AC112*Calculation_sheet!C$99</f>
        <v>4.8210925027766056E-4</v>
      </c>
      <c r="AE112" s="176">
        <f t="shared" ca="1" si="143"/>
        <v>3.2140616685177371E-4</v>
      </c>
      <c r="AF112" s="176">
        <f t="shared" ca="1" si="155"/>
        <v>8.0351541712943427E-4</v>
      </c>
      <c r="AG112" s="958">
        <f ca="1">AF112*User_sheet!B$77/100</f>
        <v>0</v>
      </c>
      <c r="AH112" s="313"/>
      <c r="AI112" s="883">
        <v>101</v>
      </c>
      <c r="AJ112" s="985"/>
      <c r="AK112" s="1020">
        <f t="shared" ca="1" si="106"/>
        <v>914.96821719615946</v>
      </c>
      <c r="AL112" s="954">
        <f ca="1">AK112/'101'!I$24</f>
        <v>2.5932998074391072</v>
      </c>
      <c r="AM112" s="954">
        <f ca="1">0.8*(AK112*30+'101'!D$17*0.34*30*1)</f>
        <v>25684.708060707828</v>
      </c>
      <c r="AN112" s="954">
        <f ca="1">IF(AM112&lt;User_sheet!B$50,Y112,0)</f>
        <v>0</v>
      </c>
      <c r="AO112" s="954">
        <f ca="1">20-(User_sheet!B$57/('Freestanding '!AK112+'101'!D$17*1*0.34))</f>
        <v>14.673873665347394</v>
      </c>
      <c r="AP112" s="954">
        <f ca="1">IF(AO112&lt;User_sheet!B$59,0,BC112*AA112)</f>
        <v>8.0351541712943427E-4</v>
      </c>
      <c r="AQ112" s="985"/>
      <c r="AR112" s="883">
        <v>14.1</v>
      </c>
      <c r="AS112" s="883">
        <v>3.7</v>
      </c>
      <c r="AT112" s="883">
        <v>7.9</v>
      </c>
      <c r="AU112" s="883">
        <v>5</v>
      </c>
      <c r="AV112" s="883">
        <v>3.3</v>
      </c>
      <c r="AW112" s="883">
        <v>7211.5338771527777</v>
      </c>
      <c r="AX112" s="883">
        <v>76466.30421774846</v>
      </c>
      <c r="AY112" s="883">
        <v>67352.647733737584</v>
      </c>
      <c r="AZ112" s="883">
        <v>0</v>
      </c>
      <c r="BA112" s="883">
        <v>0</v>
      </c>
      <c r="BB112" s="883">
        <v>0.87</v>
      </c>
      <c r="BC112" s="888">
        <v>1</v>
      </c>
      <c r="BD112" s="889">
        <v>0</v>
      </c>
      <c r="BE112" s="889">
        <v>0</v>
      </c>
      <c r="BF112" s="890">
        <v>0</v>
      </c>
      <c r="BG112" s="883">
        <v>0</v>
      </c>
      <c r="BH112" s="883">
        <v>1</v>
      </c>
      <c r="BI112" s="890">
        <v>0</v>
      </c>
      <c r="BJ112" s="883">
        <v>0</v>
      </c>
      <c r="BK112" s="883">
        <v>0</v>
      </c>
      <c r="BL112" s="883">
        <v>1</v>
      </c>
      <c r="BM112" s="890">
        <v>0</v>
      </c>
      <c r="BN112" s="958">
        <v>0</v>
      </c>
      <c r="BO112" s="959">
        <v>18</v>
      </c>
      <c r="BP112" s="1018">
        <f t="shared" ca="1" si="144"/>
        <v>181.084</v>
      </c>
      <c r="BQ112" s="1018">
        <f t="shared" ca="1" si="145"/>
        <v>302.464</v>
      </c>
      <c r="BR112" s="1018">
        <f t="shared" ca="1" si="146"/>
        <v>104.854</v>
      </c>
      <c r="BS112" s="1018">
        <f t="shared" ca="1" si="147"/>
        <v>129.21406907627619</v>
      </c>
      <c r="BT112" s="1018">
        <f t="shared" ca="1" si="148"/>
        <v>104.86</v>
      </c>
      <c r="BU112" s="1018">
        <f t="shared" ca="1" si="149"/>
        <v>14</v>
      </c>
      <c r="BV112" s="1018">
        <f t="shared" ca="1" si="150"/>
        <v>4.3</v>
      </c>
      <c r="BW112" s="1018">
        <v>0</v>
      </c>
      <c r="BX112" s="1018">
        <f t="shared" ca="1" si="151"/>
        <v>429.28031358885011</v>
      </c>
      <c r="BY112" s="1018">
        <f t="shared" ca="1" si="152"/>
        <v>291.28273085838049</v>
      </c>
      <c r="BZ112" s="1018">
        <f t="shared" ca="1" si="107"/>
        <v>115.37845526167696</v>
      </c>
      <c r="CA112" s="1018">
        <f t="shared" ca="1" si="108"/>
        <v>69.999999930000001</v>
      </c>
      <c r="CB112" s="1018">
        <f t="shared" ca="1" si="153"/>
        <v>9.0267175572519083</v>
      </c>
      <c r="CC112" s="1018">
        <f t="shared" si="109"/>
        <v>0</v>
      </c>
      <c r="CD112" s="1018">
        <f t="shared" ca="1" si="156"/>
        <v>914.96821719615946</v>
      </c>
      <c r="CE112" s="1018">
        <f t="shared" ca="1" si="157"/>
        <v>184.56333165243285</v>
      </c>
      <c r="CF112" s="1018">
        <f t="shared" ca="1" si="110"/>
        <v>32.985946465457765</v>
      </c>
      <c r="CG112" s="1018">
        <f t="shared" ca="1" si="111"/>
        <v>54920.281427128568</v>
      </c>
    </row>
    <row r="113" spans="4:85" x14ac:dyDescent="0.25">
      <c r="D113" s="362"/>
      <c r="E113" s="361"/>
      <c r="F113" s="362"/>
      <c r="G113" s="361"/>
      <c r="H113" s="362"/>
      <c r="I113" s="361"/>
      <c r="J113" s="362"/>
      <c r="K113" s="364"/>
      <c r="L113" s="366"/>
      <c r="M113" s="362"/>
      <c r="N113" s="362"/>
      <c r="O113" s="362"/>
      <c r="P113" s="362"/>
      <c r="Q113" s="362" t="s">
        <v>22</v>
      </c>
      <c r="R113" s="363">
        <v>0.53710000000000002</v>
      </c>
      <c r="S113" s="362"/>
      <c r="T113" s="371">
        <v>3.6020550702180838E-3</v>
      </c>
      <c r="U113" s="361"/>
      <c r="V113" s="176">
        <f>T113-T113*Calculation_sheet!F$58</f>
        <v>3.6020550702180838E-3</v>
      </c>
      <c r="W113" s="176">
        <f>V113-V113*Calculation_sheet!E$66</f>
        <v>3.6020550702180838E-3</v>
      </c>
      <c r="X113" s="176">
        <f>W113-W113*Calculation_sheet!E$76</f>
        <v>3.6020550702180838E-3</v>
      </c>
      <c r="Y113" s="34">
        <f>X113/Calculation_sheet!M$67</f>
        <v>3.6021287193801015E-3</v>
      </c>
      <c r="Z113" s="176">
        <f ca="1">IF(AN113&gt;0,Y113*Calculation_sheet!C$87,0)</f>
        <v>0</v>
      </c>
      <c r="AA113" s="176">
        <f t="shared" ca="1" si="154"/>
        <v>3.6021287193801015E-3</v>
      </c>
      <c r="AB113" s="176">
        <f ca="1">IF(AP113&gt;0,AA113*Calculation_sheet!C$94,0)</f>
        <v>0</v>
      </c>
      <c r="AC113" s="176">
        <f t="shared" ca="1" si="143"/>
        <v>3.6021287193801015E-3</v>
      </c>
      <c r="AD113" s="958">
        <f ca="1">AC113*Calculation_sheet!C$99</f>
        <v>2.161277231628061E-3</v>
      </c>
      <c r="AE113" s="176">
        <f t="shared" ca="1" si="143"/>
        <v>1.4408514877520405E-3</v>
      </c>
      <c r="AF113" s="176">
        <f t="shared" ca="1" si="155"/>
        <v>3.6021287193801015E-3</v>
      </c>
      <c r="AG113" s="958">
        <f ca="1">AF113*User_sheet!B$77/100</f>
        <v>0</v>
      </c>
      <c r="AH113" s="313"/>
      <c r="AI113" s="883">
        <v>101</v>
      </c>
      <c r="AJ113" s="985"/>
      <c r="AK113" s="1020">
        <f t="shared" ca="1" si="106"/>
        <v>914.96821719615946</v>
      </c>
      <c r="AL113" s="954">
        <f ca="1">AK113/'101'!I$24</f>
        <v>2.5932998074391072</v>
      </c>
      <c r="AM113" s="954">
        <f ca="1">0.8*(AK113*30+'101'!D$17*0.34*30*1)</f>
        <v>25684.708060707828</v>
      </c>
      <c r="AN113" s="954">
        <f ca="1">IF(AM113&lt;User_sheet!B$50,Y113,0)</f>
        <v>0</v>
      </c>
      <c r="AO113" s="954">
        <f ca="1">20-(User_sheet!B$57/('Freestanding '!AK113+'101'!D$17*1*0.34))</f>
        <v>14.673873665347394</v>
      </c>
      <c r="AP113" s="954">
        <f ca="1">IF(AO113&lt;User_sheet!B$59,0,BC113*AA113)</f>
        <v>0</v>
      </c>
      <c r="AQ113" s="985"/>
      <c r="AR113" s="883">
        <v>14.1</v>
      </c>
      <c r="AS113" s="883">
        <v>3.7</v>
      </c>
      <c r="AT113" s="883">
        <v>7.9</v>
      </c>
      <c r="AU113" s="883">
        <v>5</v>
      </c>
      <c r="AV113" s="883">
        <v>3.3</v>
      </c>
      <c r="AW113" s="883">
        <v>7211.5338771527777</v>
      </c>
      <c r="AX113" s="883">
        <v>76466.30421774846</v>
      </c>
      <c r="AY113" s="883">
        <v>67352.647733737584</v>
      </c>
      <c r="AZ113" s="883">
        <v>0</v>
      </c>
      <c r="BA113" s="883">
        <v>0</v>
      </c>
      <c r="BB113" s="883">
        <v>0.87</v>
      </c>
      <c r="BC113" s="888">
        <v>0</v>
      </c>
      <c r="BD113" s="889">
        <v>1</v>
      </c>
      <c r="BE113" s="889">
        <v>0</v>
      </c>
      <c r="BF113" s="890">
        <v>0</v>
      </c>
      <c r="BG113" s="883">
        <v>1</v>
      </c>
      <c r="BH113" s="883">
        <v>0</v>
      </c>
      <c r="BI113" s="890">
        <v>0</v>
      </c>
      <c r="BJ113" s="883">
        <v>0</v>
      </c>
      <c r="BK113" s="883">
        <v>1</v>
      </c>
      <c r="BL113" s="883">
        <v>0</v>
      </c>
      <c r="BM113" s="890">
        <v>0</v>
      </c>
      <c r="BN113" s="958">
        <v>0</v>
      </c>
      <c r="BO113" s="959">
        <v>18</v>
      </c>
      <c r="BP113" s="1018">
        <f t="shared" ca="1" si="144"/>
        <v>181.084</v>
      </c>
      <c r="BQ113" s="1018">
        <f t="shared" ca="1" si="145"/>
        <v>302.464</v>
      </c>
      <c r="BR113" s="1018">
        <f t="shared" ca="1" si="146"/>
        <v>104.854</v>
      </c>
      <c r="BS113" s="1018">
        <f t="shared" ca="1" si="147"/>
        <v>129.21406907627619</v>
      </c>
      <c r="BT113" s="1018">
        <f t="shared" ca="1" si="148"/>
        <v>104.86</v>
      </c>
      <c r="BU113" s="1018">
        <f t="shared" ca="1" si="149"/>
        <v>14</v>
      </c>
      <c r="BV113" s="1018">
        <f t="shared" ca="1" si="150"/>
        <v>4.3</v>
      </c>
      <c r="BW113" s="1018">
        <v>0</v>
      </c>
      <c r="BX113" s="1018">
        <f t="shared" ca="1" si="151"/>
        <v>429.28031358885011</v>
      </c>
      <c r="BY113" s="1018">
        <f t="shared" ca="1" si="152"/>
        <v>291.28273085838049</v>
      </c>
      <c r="BZ113" s="1018">
        <f t="shared" ca="1" si="107"/>
        <v>115.37845526167696</v>
      </c>
      <c r="CA113" s="1018">
        <f t="shared" ca="1" si="108"/>
        <v>69.999999930000001</v>
      </c>
      <c r="CB113" s="1018">
        <f t="shared" ca="1" si="153"/>
        <v>9.0267175572519083</v>
      </c>
      <c r="CC113" s="1018">
        <f t="shared" si="109"/>
        <v>0</v>
      </c>
      <c r="CD113" s="1018">
        <f t="shared" ca="1" si="156"/>
        <v>914.96821719615946</v>
      </c>
      <c r="CE113" s="1018">
        <f t="shared" ca="1" si="157"/>
        <v>184.56333165243285</v>
      </c>
      <c r="CF113" s="1018">
        <f t="shared" ca="1" si="110"/>
        <v>32.985946465457765</v>
      </c>
      <c r="CG113" s="1018">
        <f t="shared" ca="1" si="111"/>
        <v>54920.281427128568</v>
      </c>
    </row>
    <row r="114" spans="4:85" x14ac:dyDescent="0.25">
      <c r="D114" s="362"/>
      <c r="E114" s="361"/>
      <c r="F114" s="362"/>
      <c r="G114" s="361"/>
      <c r="H114" s="362"/>
      <c r="I114" s="361"/>
      <c r="J114" s="362"/>
      <c r="K114" s="364"/>
      <c r="L114" s="366"/>
      <c r="M114" s="362"/>
      <c r="N114" s="362"/>
      <c r="O114" s="362" t="s">
        <v>18</v>
      </c>
      <c r="P114" s="363">
        <v>0.80827067699999999</v>
      </c>
      <c r="Q114" s="362" t="s">
        <v>7</v>
      </c>
      <c r="R114" s="363">
        <v>0.46289999999999998</v>
      </c>
      <c r="S114" s="362"/>
      <c r="T114" s="371">
        <v>3.1044336101358249E-3</v>
      </c>
      <c r="U114" s="361"/>
      <c r="V114" s="176">
        <f>T114-T114*Calculation_sheet!F$58</f>
        <v>3.1044336101358249E-3</v>
      </c>
      <c r="W114" s="176">
        <f>V114-V114*Calculation_sheet!E$66</f>
        <v>3.1044336101358249E-3</v>
      </c>
      <c r="X114" s="176">
        <f>W114-W114*Calculation_sheet!E$76</f>
        <v>3.1044336101358249E-3</v>
      </c>
      <c r="Y114" s="34">
        <f>X114/Calculation_sheet!M$67</f>
        <v>3.1044970847161598E-3</v>
      </c>
      <c r="Z114" s="176">
        <f ca="1">IF(AN114&gt;0,Y114*Calculation_sheet!C$87,0)</f>
        <v>0</v>
      </c>
      <c r="AA114" s="176">
        <f t="shared" ca="1" si="154"/>
        <v>3.1044970847161598E-3</v>
      </c>
      <c r="AB114" s="176">
        <f ca="1">IF(AP114&gt;0,AA114*Calculation_sheet!C$94,0)</f>
        <v>0</v>
      </c>
      <c r="AC114" s="176">
        <f t="shared" ca="1" si="143"/>
        <v>3.1044970847161598E-3</v>
      </c>
      <c r="AD114" s="958">
        <f ca="1">AC114*Calculation_sheet!C$99</f>
        <v>1.8626982508296959E-3</v>
      </c>
      <c r="AE114" s="176">
        <f t="shared" ca="1" si="143"/>
        <v>1.2417988338864639E-3</v>
      </c>
      <c r="AF114" s="176">
        <f t="shared" ca="1" si="155"/>
        <v>3.1044970847161598E-3</v>
      </c>
      <c r="AG114" s="958">
        <f ca="1">AF114*User_sheet!B$77/100</f>
        <v>0</v>
      </c>
      <c r="AH114" s="313"/>
      <c r="AI114" s="883">
        <v>101</v>
      </c>
      <c r="AJ114" s="985"/>
      <c r="AK114" s="1020">
        <f t="shared" ca="1" si="106"/>
        <v>914.96821719615946</v>
      </c>
      <c r="AL114" s="954">
        <f ca="1">AK114/'101'!I$24</f>
        <v>2.5932998074391072</v>
      </c>
      <c r="AM114" s="954">
        <f ca="1">0.8*(AK114*30+'101'!D$17*0.34*30*1)</f>
        <v>25684.708060707828</v>
      </c>
      <c r="AN114" s="954">
        <f ca="1">IF(AM114&lt;User_sheet!B$50,Y114,0)</f>
        <v>0</v>
      </c>
      <c r="AO114" s="954">
        <f ca="1">20-(User_sheet!B$57/('Freestanding '!AK114+'101'!D$17*1*0.34))</f>
        <v>14.673873665347394</v>
      </c>
      <c r="AP114" s="954">
        <f ca="1">IF(AO114&lt;User_sheet!B$59,0,BC114*AA114)</f>
        <v>0</v>
      </c>
      <c r="AQ114" s="985"/>
      <c r="AR114" s="883">
        <v>14.1</v>
      </c>
      <c r="AS114" s="883">
        <v>3.7</v>
      </c>
      <c r="AT114" s="883">
        <v>7.9</v>
      </c>
      <c r="AU114" s="883">
        <v>5</v>
      </c>
      <c r="AV114" s="883">
        <v>3.3</v>
      </c>
      <c r="AW114" s="883">
        <v>7211.5338771527777</v>
      </c>
      <c r="AX114" s="883">
        <v>76466.30421774846</v>
      </c>
      <c r="AY114" s="883">
        <v>67352.647733737584</v>
      </c>
      <c r="AZ114" s="883">
        <v>0</v>
      </c>
      <c r="BA114" s="883">
        <v>0</v>
      </c>
      <c r="BB114" s="883">
        <v>0.87</v>
      </c>
      <c r="BC114" s="888">
        <v>0</v>
      </c>
      <c r="BD114" s="889">
        <v>1</v>
      </c>
      <c r="BE114" s="889">
        <v>0</v>
      </c>
      <c r="BF114" s="890">
        <v>0</v>
      </c>
      <c r="BG114" s="883">
        <v>1</v>
      </c>
      <c r="BH114" s="883">
        <v>0</v>
      </c>
      <c r="BI114" s="890">
        <v>0</v>
      </c>
      <c r="BJ114" s="883">
        <v>0</v>
      </c>
      <c r="BK114" s="883">
        <v>0</v>
      </c>
      <c r="BL114" s="883">
        <v>1</v>
      </c>
      <c r="BM114" s="890">
        <v>0</v>
      </c>
      <c r="BN114" s="958">
        <v>0</v>
      </c>
      <c r="BO114" s="959">
        <v>18</v>
      </c>
      <c r="BP114" s="1018">
        <f t="shared" ca="1" si="144"/>
        <v>181.084</v>
      </c>
      <c r="BQ114" s="1018">
        <f t="shared" ca="1" si="145"/>
        <v>302.464</v>
      </c>
      <c r="BR114" s="1018">
        <f t="shared" ca="1" si="146"/>
        <v>104.854</v>
      </c>
      <c r="BS114" s="1018">
        <f t="shared" ca="1" si="147"/>
        <v>129.21406907627619</v>
      </c>
      <c r="BT114" s="1018">
        <f t="shared" ca="1" si="148"/>
        <v>104.86</v>
      </c>
      <c r="BU114" s="1018">
        <f t="shared" ca="1" si="149"/>
        <v>14</v>
      </c>
      <c r="BV114" s="1018">
        <f t="shared" ca="1" si="150"/>
        <v>4.3</v>
      </c>
      <c r="BW114" s="1018">
        <v>0</v>
      </c>
      <c r="BX114" s="1018">
        <f t="shared" ca="1" si="151"/>
        <v>429.28031358885011</v>
      </c>
      <c r="BY114" s="1018">
        <f t="shared" ca="1" si="152"/>
        <v>291.28273085838049</v>
      </c>
      <c r="BZ114" s="1018">
        <f t="shared" ca="1" si="107"/>
        <v>115.37845526167696</v>
      </c>
      <c r="CA114" s="1018">
        <f t="shared" ca="1" si="108"/>
        <v>69.999999930000001</v>
      </c>
      <c r="CB114" s="1018">
        <f t="shared" ca="1" si="153"/>
        <v>9.0267175572519083</v>
      </c>
      <c r="CC114" s="1018">
        <f t="shared" si="109"/>
        <v>0</v>
      </c>
      <c r="CD114" s="1018">
        <f t="shared" ca="1" si="156"/>
        <v>914.96821719615946</v>
      </c>
      <c r="CE114" s="1018">
        <f t="shared" ca="1" si="157"/>
        <v>184.56333165243285</v>
      </c>
      <c r="CF114" s="1018">
        <f t="shared" ca="1" si="110"/>
        <v>32.985946465457765</v>
      </c>
      <c r="CG114" s="1018">
        <f t="shared" ca="1" si="111"/>
        <v>54920.281427128568</v>
      </c>
    </row>
    <row r="115" spans="4:85" x14ac:dyDescent="0.25">
      <c r="D115" s="362"/>
      <c r="E115" s="361"/>
      <c r="F115" s="362"/>
      <c r="G115" s="361"/>
      <c r="H115" s="362"/>
      <c r="I115" s="361"/>
      <c r="J115" s="362"/>
      <c r="K115" s="364"/>
      <c r="L115" s="366"/>
      <c r="M115" s="362"/>
      <c r="N115" s="362"/>
      <c r="O115" s="362"/>
      <c r="P115" s="362"/>
      <c r="Q115" s="362" t="s">
        <v>22</v>
      </c>
      <c r="R115" s="363">
        <v>0.53710000000000002</v>
      </c>
      <c r="S115" s="362"/>
      <c r="T115" s="371">
        <v>8.544409684450681E-4</v>
      </c>
      <c r="U115" s="361"/>
      <c r="V115" s="176">
        <f>T115-T115*Calculation_sheet!F$58</f>
        <v>8.544409684450681E-4</v>
      </c>
      <c r="W115" s="176">
        <f>V115-V115*Calculation_sheet!E$66</f>
        <v>8.544409684450681E-4</v>
      </c>
      <c r="X115" s="176">
        <f>W115-W115*Calculation_sheet!E$76</f>
        <v>8.544409684450681E-4</v>
      </c>
      <c r="Y115" s="34">
        <f>X115/Calculation_sheet!M$67</f>
        <v>8.5445843871137235E-4</v>
      </c>
      <c r="Z115" s="176">
        <f ca="1">IF(AN115&gt;0,Y115*Calculation_sheet!C$87,0)</f>
        <v>0</v>
      </c>
      <c r="AA115" s="176">
        <f t="shared" ca="1" si="154"/>
        <v>8.5445843871137235E-4</v>
      </c>
      <c r="AB115" s="176">
        <f ca="1">IF(AP115&gt;0,AA115*Calculation_sheet!C$94,0)</f>
        <v>0</v>
      </c>
      <c r="AC115" s="176">
        <f t="shared" ca="1" si="143"/>
        <v>8.5445843871137235E-4</v>
      </c>
      <c r="AD115" s="958">
        <f ca="1">AC115*Calculation_sheet!C$99</f>
        <v>5.1267506322682339E-4</v>
      </c>
      <c r="AE115" s="176">
        <f t="shared" ca="1" si="143"/>
        <v>3.4178337548454896E-4</v>
      </c>
      <c r="AF115" s="176">
        <f t="shared" ca="1" si="155"/>
        <v>8.5445843871137235E-4</v>
      </c>
      <c r="AG115" s="958">
        <f ca="1">AF115*User_sheet!B$77/100</f>
        <v>0</v>
      </c>
      <c r="AH115" s="313"/>
      <c r="AI115" s="883">
        <v>101</v>
      </c>
      <c r="AJ115" s="985"/>
      <c r="AK115" s="1020">
        <f t="shared" ca="1" si="106"/>
        <v>914.96821719615946</v>
      </c>
      <c r="AL115" s="954">
        <f ca="1">AK115/'101'!I$24</f>
        <v>2.5932998074391072</v>
      </c>
      <c r="AM115" s="954">
        <f ca="1">0.8*(AK115*30+'101'!D$17*0.34*30*1)</f>
        <v>25684.708060707828</v>
      </c>
      <c r="AN115" s="954">
        <f ca="1">IF(AM115&lt;User_sheet!B$50,Y115,0)</f>
        <v>0</v>
      </c>
      <c r="AO115" s="954">
        <f ca="1">20-(User_sheet!B$57/('Freestanding '!AK115+'101'!D$17*1*0.34))</f>
        <v>14.673873665347394</v>
      </c>
      <c r="AP115" s="954">
        <f ca="1">IF(AO115&lt;User_sheet!B$59,0,BC115*AA115)</f>
        <v>0</v>
      </c>
      <c r="AQ115" s="985"/>
      <c r="AR115" s="883">
        <v>14.1</v>
      </c>
      <c r="AS115" s="883">
        <v>3.7</v>
      </c>
      <c r="AT115" s="883">
        <v>7.9</v>
      </c>
      <c r="AU115" s="883">
        <v>5</v>
      </c>
      <c r="AV115" s="883">
        <v>3.3</v>
      </c>
      <c r="AW115" s="883">
        <v>7211.5338771527777</v>
      </c>
      <c r="AX115" s="883">
        <v>76466.30421774846</v>
      </c>
      <c r="AY115" s="883">
        <v>67352.647733737584</v>
      </c>
      <c r="AZ115" s="883">
        <v>0</v>
      </c>
      <c r="BA115" s="883">
        <v>0</v>
      </c>
      <c r="BB115" s="883">
        <v>0.87</v>
      </c>
      <c r="BC115" s="888">
        <v>0</v>
      </c>
      <c r="BD115" s="889">
        <v>1</v>
      </c>
      <c r="BE115" s="889">
        <v>0</v>
      </c>
      <c r="BF115" s="890">
        <v>0</v>
      </c>
      <c r="BG115" s="883">
        <v>0</v>
      </c>
      <c r="BH115" s="883">
        <v>1</v>
      </c>
      <c r="BI115" s="890">
        <v>0</v>
      </c>
      <c r="BJ115" s="883">
        <v>0</v>
      </c>
      <c r="BK115" s="883">
        <v>1</v>
      </c>
      <c r="BL115" s="883">
        <v>0</v>
      </c>
      <c r="BM115" s="890">
        <v>0</v>
      </c>
      <c r="BN115" s="958">
        <v>0</v>
      </c>
      <c r="BO115" s="959">
        <v>18</v>
      </c>
      <c r="BP115" s="1018">
        <f t="shared" ca="1" si="144"/>
        <v>181.084</v>
      </c>
      <c r="BQ115" s="1018">
        <f t="shared" ca="1" si="145"/>
        <v>302.464</v>
      </c>
      <c r="BR115" s="1018">
        <f t="shared" ca="1" si="146"/>
        <v>104.854</v>
      </c>
      <c r="BS115" s="1018">
        <f t="shared" ca="1" si="147"/>
        <v>129.21406907627619</v>
      </c>
      <c r="BT115" s="1018">
        <f t="shared" ca="1" si="148"/>
        <v>104.86</v>
      </c>
      <c r="BU115" s="1018">
        <f t="shared" ca="1" si="149"/>
        <v>14</v>
      </c>
      <c r="BV115" s="1018">
        <f t="shared" ca="1" si="150"/>
        <v>4.3</v>
      </c>
      <c r="BW115" s="1018">
        <v>0</v>
      </c>
      <c r="BX115" s="1018">
        <f t="shared" ca="1" si="151"/>
        <v>429.28031358885011</v>
      </c>
      <c r="BY115" s="1018">
        <f t="shared" ca="1" si="152"/>
        <v>291.28273085838049</v>
      </c>
      <c r="BZ115" s="1018">
        <f t="shared" ca="1" si="107"/>
        <v>115.37845526167696</v>
      </c>
      <c r="CA115" s="1018">
        <f t="shared" ca="1" si="108"/>
        <v>69.999999930000001</v>
      </c>
      <c r="CB115" s="1018">
        <f t="shared" ca="1" si="153"/>
        <v>9.0267175572519083</v>
      </c>
      <c r="CC115" s="1018">
        <f t="shared" si="109"/>
        <v>0</v>
      </c>
      <c r="CD115" s="1018">
        <f t="shared" ca="1" si="156"/>
        <v>914.96821719615946</v>
      </c>
      <c r="CE115" s="1018">
        <f t="shared" ca="1" si="157"/>
        <v>184.56333165243285</v>
      </c>
      <c r="CF115" s="1018">
        <f t="shared" ca="1" si="110"/>
        <v>32.985946465457765</v>
      </c>
      <c r="CG115" s="1018">
        <f t="shared" ca="1" si="111"/>
        <v>54920.281427128568</v>
      </c>
    </row>
    <row r="116" spans="4:85" x14ac:dyDescent="0.25">
      <c r="D116" s="362"/>
      <c r="E116" s="361"/>
      <c r="F116" s="362"/>
      <c r="G116" s="361"/>
      <c r="H116" s="362"/>
      <c r="I116" s="361"/>
      <c r="J116" s="362"/>
      <c r="K116" s="364"/>
      <c r="L116" s="366"/>
      <c r="M116" s="362" t="s">
        <v>22</v>
      </c>
      <c r="N116" s="363">
        <v>0.44680851100000002</v>
      </c>
      <c r="O116" s="362" t="s">
        <v>20</v>
      </c>
      <c r="P116" s="363">
        <v>0.19172932300000001</v>
      </c>
      <c r="Q116" s="362" t="s">
        <v>7</v>
      </c>
      <c r="R116" s="363">
        <v>0.46289999999999998</v>
      </c>
      <c r="S116" s="362"/>
      <c r="T116" s="371">
        <v>7.3640052931152854E-4</v>
      </c>
      <c r="U116" s="361"/>
      <c r="V116" s="176">
        <f>T116-T116*Calculation_sheet!F$58</f>
        <v>7.3640052931152854E-4</v>
      </c>
      <c r="W116" s="176">
        <f>V116-V116*Calculation_sheet!E$66</f>
        <v>7.3640052931152854E-4</v>
      </c>
      <c r="X116" s="176">
        <f>W116-W116*Calculation_sheet!E$76</f>
        <v>7.3640052931152854E-4</v>
      </c>
      <c r="Y116" s="34">
        <f>X116/Calculation_sheet!M$67</f>
        <v>7.3641558607241524E-4</v>
      </c>
      <c r="Z116" s="176">
        <f ca="1">IF(AN116&gt;0,Y116*Calculation_sheet!C$87,0)</f>
        <v>0</v>
      </c>
      <c r="AA116" s="176">
        <f t="shared" ca="1" si="154"/>
        <v>7.3641558607241524E-4</v>
      </c>
      <c r="AB116" s="176">
        <f ca="1">IF(AP116&gt;0,AA116*Calculation_sheet!C$94,0)</f>
        <v>0</v>
      </c>
      <c r="AC116" s="176">
        <f t="shared" ca="1" si="143"/>
        <v>7.3641558607241524E-4</v>
      </c>
      <c r="AD116" s="958">
        <f ca="1">AC116*Calculation_sheet!C$99</f>
        <v>4.4184935164344913E-4</v>
      </c>
      <c r="AE116" s="176">
        <f t="shared" ca="1" si="143"/>
        <v>2.9456623442896611E-4</v>
      </c>
      <c r="AF116" s="176">
        <f t="shared" ca="1" si="155"/>
        <v>7.3641558607241524E-4</v>
      </c>
      <c r="AG116" s="958">
        <f ca="1">AF116*User_sheet!B$77/100</f>
        <v>0</v>
      </c>
      <c r="AH116" s="313"/>
      <c r="AI116" s="883">
        <v>101</v>
      </c>
      <c r="AJ116" s="985"/>
      <c r="AK116" s="1020">
        <f t="shared" ca="1" si="106"/>
        <v>914.96821719615946</v>
      </c>
      <c r="AL116" s="954">
        <f ca="1">AK116/'101'!I$24</f>
        <v>2.5932998074391072</v>
      </c>
      <c r="AM116" s="954">
        <f ca="1">0.8*(AK116*30+'101'!D$17*0.34*30*1)</f>
        <v>25684.708060707828</v>
      </c>
      <c r="AN116" s="954">
        <f ca="1">IF(AM116&lt;User_sheet!B$50,Y116,0)</f>
        <v>0</v>
      </c>
      <c r="AO116" s="954">
        <f ca="1">20-(User_sheet!B$57/('Freestanding '!AK116+'101'!D$17*1*0.34))</f>
        <v>14.673873665347394</v>
      </c>
      <c r="AP116" s="954">
        <f ca="1">IF(AO116&lt;User_sheet!B$59,0,BC116*AA116)</f>
        <v>0</v>
      </c>
      <c r="AQ116" s="985"/>
      <c r="AR116" s="883">
        <v>14.1</v>
      </c>
      <c r="AS116" s="883">
        <v>3.7</v>
      </c>
      <c r="AT116" s="883">
        <v>7.9</v>
      </c>
      <c r="AU116" s="883">
        <v>5</v>
      </c>
      <c r="AV116" s="883">
        <v>3.3</v>
      </c>
      <c r="AW116" s="883">
        <v>7211.5338771527777</v>
      </c>
      <c r="AX116" s="883">
        <v>76466.30421774846</v>
      </c>
      <c r="AY116" s="883">
        <v>67352.647733737584</v>
      </c>
      <c r="AZ116" s="883">
        <v>0</v>
      </c>
      <c r="BA116" s="883">
        <v>0</v>
      </c>
      <c r="BB116" s="883">
        <v>0.87</v>
      </c>
      <c r="BC116" s="888">
        <v>0</v>
      </c>
      <c r="BD116" s="889">
        <v>1</v>
      </c>
      <c r="BE116" s="889">
        <v>0</v>
      </c>
      <c r="BF116" s="890">
        <v>0</v>
      </c>
      <c r="BG116" s="883">
        <v>0</v>
      </c>
      <c r="BH116" s="883">
        <v>1</v>
      </c>
      <c r="BI116" s="890">
        <v>0</v>
      </c>
      <c r="BJ116" s="883">
        <v>0</v>
      </c>
      <c r="BK116" s="883">
        <v>0</v>
      </c>
      <c r="BL116" s="883">
        <v>1</v>
      </c>
      <c r="BM116" s="890">
        <v>0</v>
      </c>
      <c r="BN116" s="958">
        <v>0</v>
      </c>
      <c r="BO116" s="959">
        <v>18</v>
      </c>
      <c r="BP116" s="1018">
        <f t="shared" ca="1" si="144"/>
        <v>181.084</v>
      </c>
      <c r="BQ116" s="1018">
        <f t="shared" ca="1" si="145"/>
        <v>302.464</v>
      </c>
      <c r="BR116" s="1018">
        <f t="shared" ca="1" si="146"/>
        <v>104.854</v>
      </c>
      <c r="BS116" s="1018">
        <f t="shared" ca="1" si="147"/>
        <v>129.21406907627619</v>
      </c>
      <c r="BT116" s="1018">
        <f t="shared" ca="1" si="148"/>
        <v>104.86</v>
      </c>
      <c r="BU116" s="1018">
        <f t="shared" ca="1" si="149"/>
        <v>14</v>
      </c>
      <c r="BV116" s="1018">
        <f t="shared" ca="1" si="150"/>
        <v>4.3</v>
      </c>
      <c r="BW116" s="1018">
        <v>0</v>
      </c>
      <c r="BX116" s="1018">
        <f t="shared" ca="1" si="151"/>
        <v>429.28031358885011</v>
      </c>
      <c r="BY116" s="1018">
        <f t="shared" ca="1" si="152"/>
        <v>291.28273085838049</v>
      </c>
      <c r="BZ116" s="1018">
        <f t="shared" ca="1" si="107"/>
        <v>115.37845526167696</v>
      </c>
      <c r="CA116" s="1018">
        <f t="shared" ca="1" si="108"/>
        <v>69.999999930000001</v>
      </c>
      <c r="CB116" s="1018">
        <f t="shared" ca="1" si="153"/>
        <v>9.0267175572519083</v>
      </c>
      <c r="CC116" s="1018">
        <f t="shared" si="109"/>
        <v>0</v>
      </c>
      <c r="CD116" s="1018">
        <f t="shared" ca="1" si="156"/>
        <v>914.96821719615946</v>
      </c>
      <c r="CE116" s="1018">
        <f t="shared" ca="1" si="157"/>
        <v>184.56333165243285</v>
      </c>
      <c r="CF116" s="1018">
        <f t="shared" ca="1" si="110"/>
        <v>32.985946465457765</v>
      </c>
      <c r="CG116" s="1018">
        <f t="shared" ca="1" si="111"/>
        <v>54920.281427128568</v>
      </c>
    </row>
    <row r="117" spans="4:85" x14ac:dyDescent="0.25">
      <c r="D117" s="362"/>
      <c r="E117" s="361"/>
      <c r="F117" s="362"/>
      <c r="G117" s="361"/>
      <c r="H117" s="362"/>
      <c r="I117" s="361"/>
      <c r="J117" s="362"/>
      <c r="K117" s="361"/>
      <c r="L117" s="361"/>
      <c r="M117" s="362" t="s">
        <v>7</v>
      </c>
      <c r="N117" s="363">
        <v>2.1276595999999998E-2</v>
      </c>
      <c r="O117" s="362" t="s">
        <v>23</v>
      </c>
      <c r="P117" s="363">
        <v>1</v>
      </c>
      <c r="Q117" s="362" t="s">
        <v>7</v>
      </c>
      <c r="R117" s="363">
        <v>1</v>
      </c>
      <c r="S117" s="362"/>
      <c r="T117" s="371">
        <v>3.9511096528388478E-4</v>
      </c>
      <c r="U117" s="361"/>
      <c r="V117" s="176">
        <f>T117-T117*Calculation_sheet!F$58</f>
        <v>3.9511096528388478E-4</v>
      </c>
      <c r="W117" s="176">
        <f>V117-V117*Calculation_sheet!E$66</f>
        <v>3.9511096528388478E-4</v>
      </c>
      <c r="X117" s="176">
        <f>W117-W117*Calculation_sheet!E$76</f>
        <v>3.9511096528388478E-4</v>
      </c>
      <c r="Y117" s="34">
        <f>X117/Calculation_sheet!M$67</f>
        <v>3.9511904389204867E-4</v>
      </c>
      <c r="Z117" s="176">
        <f ca="1">IF(AN117&gt;0,Y117*Calculation_sheet!C$87,0)</f>
        <v>0</v>
      </c>
      <c r="AA117" s="176">
        <f t="shared" ca="1" si="154"/>
        <v>3.9511904389204867E-4</v>
      </c>
      <c r="AB117" s="176">
        <f ca="1">IF(AP117&gt;0,AA117*Calculation_sheet!C$94,0)</f>
        <v>0</v>
      </c>
      <c r="AC117" s="176">
        <f t="shared" ca="1" si="143"/>
        <v>3.9511904389204867E-4</v>
      </c>
      <c r="AD117" s="958">
        <f ca="1">AC117*Calculation_sheet!C$99</f>
        <v>2.3707142633522919E-4</v>
      </c>
      <c r="AE117" s="176">
        <f t="shared" ca="1" si="143"/>
        <v>1.5804761755681948E-4</v>
      </c>
      <c r="AF117" s="176">
        <f t="shared" ca="1" si="155"/>
        <v>3.9511904389204867E-4</v>
      </c>
      <c r="AG117" s="958">
        <f ca="1">AF117*User_sheet!B$77/100</f>
        <v>0</v>
      </c>
      <c r="AH117" s="313"/>
      <c r="AI117" s="883">
        <v>101</v>
      </c>
      <c r="AJ117" s="985"/>
      <c r="AK117" s="1020">
        <f t="shared" ca="1" si="106"/>
        <v>914.96821719615946</v>
      </c>
      <c r="AL117" s="954">
        <f ca="1">AK117/'101'!I$24</f>
        <v>2.5932998074391072</v>
      </c>
      <c r="AM117" s="954">
        <f ca="1">0.8*(AK117*30+'101'!D$17*0.34*30*1)</f>
        <v>25684.708060707828</v>
      </c>
      <c r="AN117" s="954">
        <f ca="1">IF(AM117&lt;User_sheet!B$50,Y117,0)</f>
        <v>0</v>
      </c>
      <c r="AO117" s="954">
        <f ca="1">20-(User_sheet!B$57/('Freestanding '!AK117+'101'!D$17*1*0.34))</f>
        <v>14.673873665347394</v>
      </c>
      <c r="AP117" s="954">
        <f ca="1">IF(AO117&lt;User_sheet!B$59,0,BC117*AA117)</f>
        <v>0</v>
      </c>
      <c r="AQ117" s="985"/>
      <c r="AR117" s="883">
        <v>14.1</v>
      </c>
      <c r="AS117" s="883">
        <v>3.7</v>
      </c>
      <c r="AT117" s="883">
        <v>7.9</v>
      </c>
      <c r="AU117" s="883">
        <v>5</v>
      </c>
      <c r="AV117" s="883">
        <v>3.3</v>
      </c>
      <c r="AW117" s="883">
        <v>7211.5338771527777</v>
      </c>
      <c r="AX117" s="883">
        <v>76466.30421774846</v>
      </c>
      <c r="AY117" s="883">
        <v>67352.647733737584</v>
      </c>
      <c r="AZ117" s="883">
        <v>0</v>
      </c>
      <c r="BA117" s="883">
        <v>0</v>
      </c>
      <c r="BB117" s="883">
        <v>0.87</v>
      </c>
      <c r="BC117" s="888">
        <v>0</v>
      </c>
      <c r="BD117" s="889">
        <v>0</v>
      </c>
      <c r="BE117" s="889">
        <v>1</v>
      </c>
      <c r="BF117" s="890">
        <v>0</v>
      </c>
      <c r="BG117" s="883">
        <v>0</v>
      </c>
      <c r="BH117" s="883">
        <v>0</v>
      </c>
      <c r="BI117" s="890">
        <v>1</v>
      </c>
      <c r="BJ117" s="883">
        <v>0</v>
      </c>
      <c r="BK117" s="883">
        <v>0</v>
      </c>
      <c r="BL117" s="883">
        <v>1</v>
      </c>
      <c r="BM117" s="890">
        <v>0</v>
      </c>
      <c r="BN117" s="958">
        <v>0</v>
      </c>
      <c r="BO117" s="959">
        <v>18</v>
      </c>
      <c r="BP117" s="1018">
        <f t="shared" ca="1" si="144"/>
        <v>181.084</v>
      </c>
      <c r="BQ117" s="1018">
        <f t="shared" ca="1" si="145"/>
        <v>302.464</v>
      </c>
      <c r="BR117" s="1018">
        <f t="shared" ca="1" si="146"/>
        <v>104.854</v>
      </c>
      <c r="BS117" s="1018">
        <f t="shared" ca="1" si="147"/>
        <v>129.21406907627619</v>
      </c>
      <c r="BT117" s="1018">
        <f t="shared" ca="1" si="148"/>
        <v>104.86</v>
      </c>
      <c r="BU117" s="1018">
        <f t="shared" ca="1" si="149"/>
        <v>14</v>
      </c>
      <c r="BV117" s="1018">
        <f t="shared" ca="1" si="150"/>
        <v>4.3</v>
      </c>
      <c r="BW117" s="1018">
        <v>0</v>
      </c>
      <c r="BX117" s="1018">
        <f t="shared" ca="1" si="151"/>
        <v>429.28031358885011</v>
      </c>
      <c r="BY117" s="1018">
        <f t="shared" ca="1" si="152"/>
        <v>291.28273085838049</v>
      </c>
      <c r="BZ117" s="1018">
        <f t="shared" ca="1" si="107"/>
        <v>115.37845526167696</v>
      </c>
      <c r="CA117" s="1018">
        <f t="shared" ca="1" si="108"/>
        <v>69.999999930000001</v>
      </c>
      <c r="CB117" s="1018">
        <f t="shared" ca="1" si="153"/>
        <v>9.0267175572519083</v>
      </c>
      <c r="CC117" s="1018">
        <f t="shared" si="109"/>
        <v>0</v>
      </c>
      <c r="CD117" s="1018">
        <f t="shared" ca="1" si="156"/>
        <v>914.96821719615946</v>
      </c>
      <c r="CE117" s="1018">
        <f t="shared" ca="1" si="157"/>
        <v>184.56333165243285</v>
      </c>
      <c r="CF117" s="1018">
        <f t="shared" ca="1" si="110"/>
        <v>32.985946465457765</v>
      </c>
      <c r="CG117" s="1018">
        <f t="shared" ca="1" si="111"/>
        <v>54920.281427128568</v>
      </c>
    </row>
    <row r="118" spans="4:85" x14ac:dyDescent="0.25">
      <c r="D118" s="362"/>
      <c r="E118" s="361"/>
      <c r="F118" s="362"/>
      <c r="G118" s="361"/>
      <c r="H118" s="362"/>
      <c r="I118" s="361"/>
      <c r="J118" s="362"/>
      <c r="K118" s="362"/>
      <c r="L118" s="362"/>
      <c r="M118" s="362"/>
      <c r="N118" s="362"/>
      <c r="O118" s="362" t="s">
        <v>18</v>
      </c>
      <c r="P118" s="363">
        <v>0.15910607099999999</v>
      </c>
      <c r="Q118" s="362" t="s">
        <v>17</v>
      </c>
      <c r="R118" s="363">
        <v>1</v>
      </c>
      <c r="S118" s="362"/>
      <c r="T118" s="371">
        <v>2.5145821022671123E-4</v>
      </c>
      <c r="U118" s="361"/>
      <c r="V118" s="176">
        <f>T118-T118*Calculation_sheet!F$58</f>
        <v>2.5145821022671123E-4</v>
      </c>
      <c r="W118" s="176">
        <f>V118-V118*Calculation_sheet!E$66</f>
        <v>2.5145821022671123E-4</v>
      </c>
      <c r="X118" s="176">
        <f>W118-W118*Calculation_sheet!E$76</f>
        <v>2.5145821022671123E-4</v>
      </c>
      <c r="Y118" s="34">
        <f>X118/Calculation_sheet!M$67</f>
        <v>2.5146335164906723E-4</v>
      </c>
      <c r="Z118" s="176">
        <f ca="1">IF(AN118&gt;0,Y118*Calculation_sheet!C$87,0)</f>
        <v>0</v>
      </c>
      <c r="AA118" s="176">
        <f t="shared" ca="1" si="154"/>
        <v>2.5146335164906723E-4</v>
      </c>
      <c r="AB118" s="176">
        <f ca="1">IF(AP118&gt;0,AA118*Calculation_sheet!C$94,0)</f>
        <v>0</v>
      </c>
      <c r="AC118" s="176">
        <f t="shared" ca="1" si="143"/>
        <v>2.5146335164906723E-4</v>
      </c>
      <c r="AD118" s="958">
        <f ca="1">AC118*Calculation_sheet!C$99</f>
        <v>1.5087801098944033E-4</v>
      </c>
      <c r="AE118" s="176">
        <f t="shared" ca="1" si="143"/>
        <v>1.005853406596269E-4</v>
      </c>
      <c r="AF118" s="176">
        <f t="shared" ca="1" si="155"/>
        <v>2.5146335164906723E-4</v>
      </c>
      <c r="AG118" s="958">
        <f ca="1">AF118*User_sheet!B$77/100</f>
        <v>0</v>
      </c>
      <c r="AH118" s="313"/>
      <c r="AI118" s="883">
        <v>101</v>
      </c>
      <c r="AJ118" s="985"/>
      <c r="AK118" s="1020">
        <f t="shared" ca="1" si="106"/>
        <v>914.96821719615946</v>
      </c>
      <c r="AL118" s="954">
        <f ca="1">AK118/'101'!I$24</f>
        <v>2.5932998074391072</v>
      </c>
      <c r="AM118" s="954">
        <f ca="1">0.8*(AK118*30+'101'!D$17*0.34*30*1)</f>
        <v>25684.708060707828</v>
      </c>
      <c r="AN118" s="954">
        <f ca="1">IF(AM118&lt;User_sheet!B$50,Y118,0)</f>
        <v>0</v>
      </c>
      <c r="AO118" s="954">
        <f ca="1">20-(User_sheet!B$57/('Freestanding '!AK118+'101'!D$17*1*0.34))</f>
        <v>14.673873665347394</v>
      </c>
      <c r="AP118" s="954">
        <f ca="1">IF(AO118&lt;User_sheet!B$59,0,BC118*AA118)</f>
        <v>0</v>
      </c>
      <c r="AQ118" s="985"/>
      <c r="AR118" s="883">
        <v>14.1</v>
      </c>
      <c r="AS118" s="883">
        <v>3.7</v>
      </c>
      <c r="AT118" s="883">
        <v>7.9</v>
      </c>
      <c r="AU118" s="883">
        <v>5</v>
      </c>
      <c r="AV118" s="883">
        <v>3.3</v>
      </c>
      <c r="AW118" s="883">
        <v>7211.5338771527777</v>
      </c>
      <c r="AX118" s="883">
        <v>76466.30421774846</v>
      </c>
      <c r="AY118" s="883">
        <v>67352.647733737584</v>
      </c>
      <c r="AZ118" s="883">
        <v>0</v>
      </c>
      <c r="BA118" s="883">
        <v>0</v>
      </c>
      <c r="BB118" s="883">
        <v>0.87</v>
      </c>
      <c r="BC118" s="888">
        <v>0</v>
      </c>
      <c r="BD118" s="889">
        <v>0</v>
      </c>
      <c r="BE118" s="889">
        <v>0</v>
      </c>
      <c r="BF118" s="890">
        <v>1</v>
      </c>
      <c r="BG118" s="883">
        <v>1</v>
      </c>
      <c r="BH118" s="883">
        <v>0</v>
      </c>
      <c r="BI118" s="890">
        <v>0</v>
      </c>
      <c r="BJ118" s="883">
        <v>0</v>
      </c>
      <c r="BK118" s="883">
        <v>0</v>
      </c>
      <c r="BL118" s="883">
        <v>0</v>
      </c>
      <c r="BM118" s="890">
        <v>1</v>
      </c>
      <c r="BN118" s="958">
        <v>0</v>
      </c>
      <c r="BO118" s="959">
        <v>18</v>
      </c>
      <c r="BP118" s="1018">
        <f t="shared" ca="1" si="144"/>
        <v>181.084</v>
      </c>
      <c r="BQ118" s="1018">
        <f t="shared" ca="1" si="145"/>
        <v>302.464</v>
      </c>
      <c r="BR118" s="1018">
        <f t="shared" ca="1" si="146"/>
        <v>104.854</v>
      </c>
      <c r="BS118" s="1018">
        <f t="shared" ca="1" si="147"/>
        <v>129.21406907627619</v>
      </c>
      <c r="BT118" s="1018">
        <f t="shared" ca="1" si="148"/>
        <v>104.86</v>
      </c>
      <c r="BU118" s="1018">
        <f t="shared" ca="1" si="149"/>
        <v>14</v>
      </c>
      <c r="BV118" s="1018">
        <f t="shared" ca="1" si="150"/>
        <v>4.3</v>
      </c>
      <c r="BW118" s="1018">
        <v>0</v>
      </c>
      <c r="BX118" s="1018">
        <f t="shared" ca="1" si="151"/>
        <v>429.28031358885011</v>
      </c>
      <c r="BY118" s="1018">
        <f t="shared" ca="1" si="152"/>
        <v>291.28273085838049</v>
      </c>
      <c r="BZ118" s="1018">
        <f t="shared" ca="1" si="107"/>
        <v>115.37845526167696</v>
      </c>
      <c r="CA118" s="1018">
        <f t="shared" ca="1" si="108"/>
        <v>69.999999930000001</v>
      </c>
      <c r="CB118" s="1018">
        <f t="shared" ca="1" si="153"/>
        <v>9.0267175572519083</v>
      </c>
      <c r="CC118" s="1018">
        <f t="shared" si="109"/>
        <v>0</v>
      </c>
      <c r="CD118" s="1018">
        <f t="shared" ca="1" si="156"/>
        <v>914.96821719615946</v>
      </c>
      <c r="CE118" s="1018">
        <f t="shared" ca="1" si="157"/>
        <v>184.56333165243285</v>
      </c>
      <c r="CF118" s="1018">
        <f t="shared" ca="1" si="110"/>
        <v>32.985946465457765</v>
      </c>
      <c r="CG118" s="1018">
        <f t="shared" ca="1" si="111"/>
        <v>54920.281427128568</v>
      </c>
    </row>
    <row r="119" spans="4:85" x14ac:dyDescent="0.25">
      <c r="D119" s="362"/>
      <c r="E119" s="361"/>
      <c r="F119" s="362"/>
      <c r="G119" s="361" t="s">
        <v>11</v>
      </c>
      <c r="H119" s="365">
        <v>0.37430000000000002</v>
      </c>
      <c r="I119" s="361" t="s">
        <v>10</v>
      </c>
      <c r="J119" s="365">
        <v>1</v>
      </c>
      <c r="K119" s="364" t="s">
        <v>13</v>
      </c>
      <c r="L119" s="365">
        <v>1</v>
      </c>
      <c r="M119" s="362" t="s">
        <v>17</v>
      </c>
      <c r="N119" s="363">
        <v>8.5106382999999994E-2</v>
      </c>
      <c r="O119" s="362" t="s">
        <v>19</v>
      </c>
      <c r="P119" s="363">
        <v>0.84089392900000004</v>
      </c>
      <c r="Q119" s="362" t="s">
        <v>17</v>
      </c>
      <c r="R119" s="363">
        <v>1</v>
      </c>
      <c r="S119" s="362"/>
      <c r="T119" s="371">
        <v>1.3289856323386127E-3</v>
      </c>
      <c r="U119" s="370" t="s">
        <v>49</v>
      </c>
      <c r="V119" s="176">
        <f>T119-T119*Calculation_sheet!F$58</f>
        <v>1.3289856323386127E-3</v>
      </c>
      <c r="W119" s="176">
        <f>V119-V119*Calculation_sheet!E$66</f>
        <v>1.3289856323386127E-3</v>
      </c>
      <c r="X119" s="176">
        <f>W119-W119*Calculation_sheet!E$76</f>
        <v>1.3289856323386127E-3</v>
      </c>
      <c r="Y119" s="34">
        <f>X119/Calculation_sheet!M$67</f>
        <v>1.3290128053485325E-3</v>
      </c>
      <c r="Z119" s="176">
        <f ca="1">IF(AN119&gt;0,Y119*Calculation_sheet!C$87,0)</f>
        <v>0</v>
      </c>
      <c r="AA119" s="176">
        <f t="shared" ca="1" si="154"/>
        <v>1.3290128053485325E-3</v>
      </c>
      <c r="AB119" s="176">
        <f ca="1">IF(AP119&gt;0,AA119*Calculation_sheet!C$94,0)</f>
        <v>0</v>
      </c>
      <c r="AC119" s="176">
        <f t="shared" ca="1" si="143"/>
        <v>1.3290128053485325E-3</v>
      </c>
      <c r="AD119" s="958">
        <f ca="1">AC119*Calculation_sheet!C$99</f>
        <v>7.9740768320911946E-4</v>
      </c>
      <c r="AE119" s="176">
        <f t="shared" ca="1" si="143"/>
        <v>5.3160512213941305E-4</v>
      </c>
      <c r="AF119" s="176">
        <f t="shared" ca="1" si="155"/>
        <v>1.3290128053485325E-3</v>
      </c>
      <c r="AG119" s="958">
        <f ca="1">AF119*User_sheet!B$77/100</f>
        <v>0</v>
      </c>
      <c r="AH119" s="313"/>
      <c r="AI119" s="883">
        <v>101</v>
      </c>
      <c r="AJ119" s="985"/>
      <c r="AK119" s="1020">
        <f t="shared" ca="1" si="106"/>
        <v>914.96821719615946</v>
      </c>
      <c r="AL119" s="954">
        <f ca="1">AK119/'101'!I$24</f>
        <v>2.5932998074391072</v>
      </c>
      <c r="AM119" s="954">
        <f ca="1">0.8*(AK119*30+'101'!D$17*0.34*30*1)</f>
        <v>25684.708060707828</v>
      </c>
      <c r="AN119" s="954">
        <f ca="1">IF(AM119&lt;User_sheet!B$50,Y119,0)</f>
        <v>0</v>
      </c>
      <c r="AO119" s="954">
        <f ca="1">20-(User_sheet!B$57/('Freestanding '!AK119+'101'!D$17*1*0.34))</f>
        <v>14.673873665347394</v>
      </c>
      <c r="AP119" s="954">
        <f ca="1">IF(AO119&lt;User_sheet!B$59,0,BC119*AA119)</f>
        <v>0</v>
      </c>
      <c r="AQ119" s="985"/>
      <c r="AR119" s="883">
        <v>14.1</v>
      </c>
      <c r="AS119" s="883">
        <v>3.7</v>
      </c>
      <c r="AT119" s="883">
        <v>7.9</v>
      </c>
      <c r="AU119" s="883">
        <v>5</v>
      </c>
      <c r="AV119" s="883">
        <v>3.3</v>
      </c>
      <c r="AW119" s="883">
        <v>7211.5338771527777</v>
      </c>
      <c r="AX119" s="883">
        <v>76466.30421774846</v>
      </c>
      <c r="AY119" s="883">
        <v>67352.647733737584</v>
      </c>
      <c r="AZ119" s="883">
        <v>0</v>
      </c>
      <c r="BA119" s="883">
        <v>0</v>
      </c>
      <c r="BB119" s="883">
        <v>0.87</v>
      </c>
      <c r="BC119" s="888">
        <v>0</v>
      </c>
      <c r="BD119" s="889">
        <v>0</v>
      </c>
      <c r="BE119" s="889">
        <v>0</v>
      </c>
      <c r="BF119" s="890">
        <v>1</v>
      </c>
      <c r="BG119" s="883">
        <v>0</v>
      </c>
      <c r="BH119" s="883">
        <v>1</v>
      </c>
      <c r="BI119" s="890">
        <v>0</v>
      </c>
      <c r="BJ119" s="883">
        <v>0</v>
      </c>
      <c r="BK119" s="883">
        <v>0</v>
      </c>
      <c r="BL119" s="883">
        <v>0</v>
      </c>
      <c r="BM119" s="890">
        <v>1</v>
      </c>
      <c r="BN119" s="958">
        <v>0</v>
      </c>
      <c r="BO119" s="959">
        <v>18</v>
      </c>
      <c r="BP119" s="1018">
        <f t="shared" ca="1" si="144"/>
        <v>181.084</v>
      </c>
      <c r="BQ119" s="1018">
        <f t="shared" ca="1" si="145"/>
        <v>302.464</v>
      </c>
      <c r="BR119" s="1018">
        <f t="shared" ca="1" si="146"/>
        <v>104.854</v>
      </c>
      <c r="BS119" s="1018">
        <f t="shared" ca="1" si="147"/>
        <v>129.21406907627619</v>
      </c>
      <c r="BT119" s="1018">
        <f t="shared" ca="1" si="148"/>
        <v>104.86</v>
      </c>
      <c r="BU119" s="1018">
        <f t="shared" ca="1" si="149"/>
        <v>14</v>
      </c>
      <c r="BV119" s="1018">
        <f t="shared" ca="1" si="150"/>
        <v>4.3</v>
      </c>
      <c r="BW119" s="1018">
        <v>0</v>
      </c>
      <c r="BX119" s="1018">
        <f t="shared" ca="1" si="151"/>
        <v>429.28031358885011</v>
      </c>
      <c r="BY119" s="1018">
        <f t="shared" ca="1" si="152"/>
        <v>291.28273085838049</v>
      </c>
      <c r="BZ119" s="1018">
        <f t="shared" ca="1" si="107"/>
        <v>115.37845526167696</v>
      </c>
      <c r="CA119" s="1018">
        <f t="shared" ca="1" si="108"/>
        <v>69.999999930000001</v>
      </c>
      <c r="CB119" s="1018">
        <f t="shared" ca="1" si="153"/>
        <v>9.0267175572519083</v>
      </c>
      <c r="CC119" s="1018">
        <f t="shared" si="109"/>
        <v>0</v>
      </c>
      <c r="CD119" s="1018">
        <f t="shared" ca="1" si="156"/>
        <v>914.96821719615946</v>
      </c>
      <c r="CE119" s="1018">
        <f t="shared" ca="1" si="157"/>
        <v>184.56333165243285</v>
      </c>
      <c r="CF119" s="1018">
        <f t="shared" ca="1" si="110"/>
        <v>32.985946465457765</v>
      </c>
      <c r="CG119" s="1018">
        <f t="shared" ca="1" si="111"/>
        <v>54920.281427128568</v>
      </c>
    </row>
    <row r="120" spans="4:85" s="367" customFormat="1" x14ac:dyDescent="0.25">
      <c r="D120" s="368"/>
      <c r="F120" s="368"/>
      <c r="H120" s="368"/>
      <c r="J120" s="368"/>
      <c r="K120" s="369"/>
      <c r="L120" s="368"/>
      <c r="M120" s="368"/>
      <c r="N120" s="368"/>
      <c r="O120" s="368"/>
      <c r="P120" s="368"/>
      <c r="Q120" s="368"/>
      <c r="R120" s="368"/>
      <c r="S120" s="368"/>
      <c r="T120" s="372"/>
      <c r="U120" s="368"/>
      <c r="V120" s="292"/>
      <c r="W120" s="292"/>
      <c r="X120" s="292"/>
      <c r="Y120" s="277"/>
      <c r="Z120" s="292"/>
      <c r="AA120" s="292"/>
      <c r="AB120" s="292"/>
      <c r="AC120" s="292"/>
      <c r="AD120" s="277"/>
      <c r="AE120" s="292"/>
      <c r="AF120" s="292"/>
      <c r="AG120" s="277"/>
      <c r="AH120" s="313"/>
      <c r="AI120" s="887"/>
      <c r="AJ120" s="985"/>
      <c r="AK120" s="1020">
        <f t="shared" si="106"/>
        <v>0</v>
      </c>
      <c r="AL120" s="986"/>
      <c r="AM120" s="986"/>
      <c r="AN120" s="986"/>
      <c r="AO120" s="986"/>
      <c r="AP120" s="986"/>
      <c r="AQ120" s="985"/>
      <c r="AR120" s="887"/>
      <c r="AS120" s="887"/>
      <c r="AT120" s="887"/>
      <c r="AU120" s="887"/>
      <c r="AV120" s="887"/>
      <c r="AW120" s="887"/>
      <c r="AX120" s="887"/>
      <c r="AY120" s="887"/>
      <c r="AZ120" s="887"/>
      <c r="BA120" s="887"/>
      <c r="BB120" s="887"/>
      <c r="BC120" s="45"/>
      <c r="BD120" s="277"/>
      <c r="BE120" s="277"/>
      <c r="BF120" s="49"/>
      <c r="BG120" s="887"/>
      <c r="BH120" s="887"/>
      <c r="BI120" s="49"/>
      <c r="BJ120" s="887"/>
      <c r="BK120" s="887"/>
      <c r="BL120" s="887"/>
      <c r="BM120" s="49"/>
      <c r="BN120" s="277"/>
      <c r="BO120" s="49"/>
      <c r="BP120" s="928"/>
      <c r="BQ120" s="928"/>
      <c r="BR120" s="928"/>
      <c r="BS120" s="928"/>
      <c r="BT120" s="928"/>
      <c r="BU120" s="928"/>
      <c r="BV120" s="928"/>
      <c r="BW120" s="928"/>
      <c r="BX120" s="928"/>
      <c r="BY120" s="928"/>
      <c r="BZ120" s="928"/>
      <c r="CA120" s="928"/>
      <c r="CB120" s="928"/>
      <c r="CC120" s="928"/>
      <c r="CD120" s="928"/>
      <c r="CE120" s="928"/>
      <c r="CF120" s="928"/>
      <c r="CG120" s="928"/>
    </row>
    <row r="121" spans="4:85" x14ac:dyDescent="0.25">
      <c r="D121" s="1"/>
      <c r="F121" s="1"/>
      <c r="G121" s="3"/>
      <c r="H121" s="6"/>
      <c r="I121" s="3"/>
      <c r="J121" s="6"/>
      <c r="K121" s="8"/>
      <c r="L121" s="6"/>
      <c r="M121" s="1"/>
      <c r="N121" s="1"/>
      <c r="O121" s="1"/>
      <c r="P121" s="1"/>
      <c r="Q121" s="1" t="s">
        <v>16</v>
      </c>
      <c r="R121" s="4"/>
      <c r="S121" s="1"/>
      <c r="T121" s="77"/>
      <c r="U121" s="294"/>
      <c r="X121" s="176">
        <f>W109-X109</f>
        <v>0</v>
      </c>
      <c r="Y121" s="34">
        <f>X121/Calculation_sheet!M$67</f>
        <v>0</v>
      </c>
      <c r="Z121" s="176">
        <f ca="1">IF(AN121&gt;0,Y121*Calculation_sheet!C$87,0)</f>
        <v>0</v>
      </c>
      <c r="AA121" s="176">
        <f ca="1">Y121-Z121</f>
        <v>0</v>
      </c>
      <c r="AB121" s="176">
        <f ca="1">IF(AP121&gt;0,AA121*Calculation_sheet!C$94,0)</f>
        <v>0</v>
      </c>
      <c r="AC121" s="176">
        <f t="shared" ref="AC121:AE131" ca="1" si="158">AA121-AB121</f>
        <v>0</v>
      </c>
      <c r="AD121" s="958">
        <f ca="1">AC121*Calculation_sheet!C$99</f>
        <v>0</v>
      </c>
      <c r="AE121" s="176">
        <f t="shared" ca="1" si="158"/>
        <v>0</v>
      </c>
      <c r="AF121" s="176">
        <f ca="1">Y121-AB121</f>
        <v>0</v>
      </c>
      <c r="AG121" s="958">
        <f ca="1">AF121*User_sheet!B$77/100</f>
        <v>0</v>
      </c>
      <c r="AH121" s="313"/>
      <c r="AI121" s="883">
        <v>101</v>
      </c>
      <c r="AJ121" s="985"/>
      <c r="AK121" s="1020">
        <f t="shared" ref="AK121:AK132" ca="1" si="159">CD121</f>
        <v>475.47789861305228</v>
      </c>
      <c r="AL121" s="954">
        <f ca="1">AK121/'101'!I$24</f>
        <v>1.3476498087478654</v>
      </c>
      <c r="AM121" s="954">
        <f ca="1">0.8*(AK121*30+'101'!D$17*0.34*30*1)</f>
        <v>15136.940414713254</v>
      </c>
      <c r="AN121" s="954">
        <f ca="1">IF(AM121&lt;User_sheet!B$50,Y121,0)</f>
        <v>0</v>
      </c>
      <c r="AO121" s="954">
        <f ca="1">20-(User_sheet!B$57/('Freestanding '!AK121+'101'!D$17*1*0.34))</f>
        <v>10.962506540157278</v>
      </c>
      <c r="AP121" s="954">
        <f ca="1">IF(AO121&lt;User_sheet!B$59,0,BC121*AA121)</f>
        <v>0</v>
      </c>
      <c r="AQ121" s="985"/>
      <c r="AR121" s="883">
        <v>0.32</v>
      </c>
      <c r="AS121" s="883">
        <v>3.7</v>
      </c>
      <c r="AT121" s="883">
        <v>7.9</v>
      </c>
      <c r="AU121" s="883">
        <v>2</v>
      </c>
      <c r="AV121" s="883">
        <v>3.3</v>
      </c>
      <c r="AW121" s="883">
        <v>14356</v>
      </c>
      <c r="AX121" s="883">
        <v>76466.30421774846</v>
      </c>
      <c r="AY121" s="883">
        <v>67352.647733737584</v>
      </c>
      <c r="AZ121" s="886">
        <v>0</v>
      </c>
      <c r="BA121" s="886">
        <v>0</v>
      </c>
      <c r="BB121" s="883">
        <v>0.6</v>
      </c>
      <c r="BC121" s="888">
        <v>1</v>
      </c>
      <c r="BD121" s="889">
        <v>0</v>
      </c>
      <c r="BE121" s="889">
        <v>0</v>
      </c>
      <c r="BF121" s="890">
        <v>0</v>
      </c>
      <c r="BG121" s="889">
        <v>1</v>
      </c>
      <c r="BH121" s="889">
        <v>0</v>
      </c>
      <c r="BI121" s="890">
        <v>0</v>
      </c>
      <c r="BJ121" s="889">
        <v>1</v>
      </c>
      <c r="BK121" s="889">
        <v>0</v>
      </c>
      <c r="BL121" s="889">
        <v>0</v>
      </c>
      <c r="BM121" s="890">
        <v>0</v>
      </c>
      <c r="BN121" s="958">
        <v>0</v>
      </c>
      <c r="BO121" s="959">
        <v>18</v>
      </c>
      <c r="BP121" s="1018">
        <f t="shared" ref="BP121:BP131" ca="1" si="160">INDIRECT("'"&amp;AI121&amp;"'!"&amp;"B2")</f>
        <v>181.084</v>
      </c>
      <c r="BQ121" s="1018">
        <f t="shared" ref="BQ121:BQ131" ca="1" si="161">INDIRECT("'"&amp;AI121&amp;"'!"&amp;"C12")+INDIRECT("'"&amp;AI121&amp;"'!"&amp;"C13")+INDIRECT("'"&amp;AI121&amp;"'!"&amp;"C14")+INDIRECT("'"&amp;AI121&amp;"'!"&amp;"C15")+INDIRECT("'"&amp;AI121&amp;"'!"&amp;"C17")</f>
        <v>302.464</v>
      </c>
      <c r="BR121" s="1018">
        <f t="shared" ref="BR121:BR131" ca="1" si="162">INDIRECT("'"&amp;AI121&amp;"'!"&amp;"G5")</f>
        <v>104.854</v>
      </c>
      <c r="BS121" s="1018">
        <f t="shared" ref="BS121:BS131" ca="1" si="163">INDIRECT("'"&amp;AI121&amp;"'!"&amp;"G4")</f>
        <v>129.21406907627619</v>
      </c>
      <c r="BT121" s="1018">
        <f t="shared" ref="BT121:BT131" ca="1" si="164">INDIRECT("'"&amp;AI121&amp;"'!"&amp;"G6")</f>
        <v>104.86</v>
      </c>
      <c r="BU121" s="1018">
        <f t="shared" ref="BU121:BU131" ca="1" si="165">INDIRECT("'"&amp;AI121&amp;"'!"&amp;"G2")</f>
        <v>14</v>
      </c>
      <c r="BV121" s="1018">
        <f t="shared" ref="BV121:BV131" ca="1" si="166">INDIRECT("'"&amp;AI121&amp;"'!"&amp;"G3")</f>
        <v>4.3</v>
      </c>
      <c r="BW121" s="1018">
        <v>0</v>
      </c>
      <c r="BX121" s="1018">
        <f t="shared" ref="BX121:BX131" ca="1" si="167">IF(BR121=0,0,1/(1/(BR121*$BY$3)+1/(BR121*AR121)+1/(BR121*$BY$4)))</f>
        <v>31.789994946942901</v>
      </c>
      <c r="BY121" s="1018">
        <f t="shared" ref="BY121:BY131" ca="1" si="168">IF(BS121=0,0,1/(1/(BS121*$BY$3)+1/(BS121*AS121)+1/(BS121*$BY$4)))</f>
        <v>291.28273085838049</v>
      </c>
      <c r="BZ121" s="1018">
        <f t="shared" ca="1" si="107"/>
        <v>115.37845526167696</v>
      </c>
      <c r="CA121" s="1018">
        <f t="shared" ca="1" si="108"/>
        <v>27.999999988800003</v>
      </c>
      <c r="CB121" s="1018">
        <f t="shared" ref="CB121:CB131" ca="1" si="169">IF(BV121=0,0,1/(1/(BV121*$BY$3)+1/(BV121*AV121)+1/(BV121*$BY$4)))</f>
        <v>9.0267175572519083</v>
      </c>
      <c r="CC121" s="1018">
        <f t="shared" si="109"/>
        <v>0</v>
      </c>
      <c r="CD121" s="1018">
        <f t="shared" ref="CD121:CD131" ca="1" si="170">SUM(BX121:CC121)+(BR121+BS121+BT121+BU121+BV121)*BN121</f>
        <v>475.47789861305228</v>
      </c>
      <c r="CE121" s="1018">
        <f ca="1">0.34*BO121*(1/25)^0.66*(BR121+BS121+BU121+BV121)</f>
        <v>184.56333165243285</v>
      </c>
      <c r="CF121" s="1018">
        <f t="shared" ref="CF121:CF131" ca="1" si="171">(CD121+CE121)*($BY$7-$BV$5)/1000</f>
        <v>19.801236907964554</v>
      </c>
      <c r="CG121" s="1018">
        <f t="shared" ref="CG121:CG131" ca="1" si="172">$BV$8*(CD121+CE121)*($BY$10-$BV$7)*24/1000</f>
        <v>32968.267402284662</v>
      </c>
    </row>
    <row r="122" spans="4:85" x14ac:dyDescent="0.25">
      <c r="D122" s="1"/>
      <c r="F122" s="1"/>
      <c r="G122" s="3"/>
      <c r="H122" s="6"/>
      <c r="I122" s="3"/>
      <c r="J122" s="6"/>
      <c r="K122" s="8"/>
      <c r="L122" s="6"/>
      <c r="M122" s="1"/>
      <c r="N122" s="1"/>
      <c r="O122" s="1" t="s">
        <v>18</v>
      </c>
      <c r="P122" s="4"/>
      <c r="Q122" s="1" t="s">
        <v>7</v>
      </c>
      <c r="R122" s="4"/>
      <c r="S122" s="1"/>
      <c r="T122" s="77"/>
      <c r="U122" s="294"/>
      <c r="X122" s="176">
        <f t="shared" ref="X122:X131" si="173">W110-X110</f>
        <v>0</v>
      </c>
      <c r="Y122" s="34">
        <f>X122/Calculation_sheet!M$67</f>
        <v>0</v>
      </c>
      <c r="Z122" s="176">
        <f ca="1">IF(AN122&gt;0,Y122*Calculation_sheet!C$87,0)</f>
        <v>0</v>
      </c>
      <c r="AA122" s="176">
        <f t="shared" ref="AA122:AA131" ca="1" si="174">Y122-Z122</f>
        <v>0</v>
      </c>
      <c r="AB122" s="176">
        <f ca="1">IF(AP122&gt;0,AA122*Calculation_sheet!C$94,0)</f>
        <v>0</v>
      </c>
      <c r="AC122" s="176">
        <f t="shared" ca="1" si="158"/>
        <v>0</v>
      </c>
      <c r="AD122" s="958">
        <f ca="1">AC122*Calculation_sheet!C$99</f>
        <v>0</v>
      </c>
      <c r="AE122" s="176">
        <f t="shared" ca="1" si="158"/>
        <v>0</v>
      </c>
      <c r="AF122" s="176">
        <f t="shared" ref="AF122:AF131" ca="1" si="175">Y122-AB122</f>
        <v>0</v>
      </c>
      <c r="AG122" s="958">
        <f ca="1">AF122*User_sheet!B$77/100</f>
        <v>0</v>
      </c>
      <c r="AH122" s="313"/>
      <c r="AI122" s="883">
        <v>101</v>
      </c>
      <c r="AJ122" s="985"/>
      <c r="AK122" s="1020">
        <f t="shared" ca="1" si="159"/>
        <v>475.47789861305228</v>
      </c>
      <c r="AL122" s="954">
        <f ca="1">AK122/'101'!I$24</f>
        <v>1.3476498087478654</v>
      </c>
      <c r="AM122" s="954">
        <f ca="1">0.8*(AK122*30+'101'!D$17*0.34*30*1)</f>
        <v>15136.940414713254</v>
      </c>
      <c r="AN122" s="954">
        <f ca="1">IF(AM122&lt;User_sheet!B$50,Y122,0)</f>
        <v>0</v>
      </c>
      <c r="AO122" s="954">
        <f ca="1">20-(User_sheet!B$57/('Freestanding '!AK122+'101'!D$17*1*0.34))</f>
        <v>10.962506540157278</v>
      </c>
      <c r="AP122" s="954">
        <f ca="1">IF(AO122&lt;User_sheet!B$59,0,BC122*AA122)</f>
        <v>0</v>
      </c>
      <c r="AQ122" s="985"/>
      <c r="AR122" s="883">
        <v>0.32</v>
      </c>
      <c r="AS122" s="883">
        <v>3.7</v>
      </c>
      <c r="AT122" s="883">
        <v>7.9</v>
      </c>
      <c r="AU122" s="883">
        <v>2</v>
      </c>
      <c r="AV122" s="883">
        <v>3.3</v>
      </c>
      <c r="AW122" s="883">
        <v>14356</v>
      </c>
      <c r="AX122" s="883">
        <v>76466.30421774846</v>
      </c>
      <c r="AY122" s="883">
        <v>67352.647733737584</v>
      </c>
      <c r="AZ122" s="886">
        <v>0</v>
      </c>
      <c r="BA122" s="886">
        <v>0</v>
      </c>
      <c r="BB122" s="883">
        <v>0.6</v>
      </c>
      <c r="BC122" s="888">
        <v>1</v>
      </c>
      <c r="BD122" s="889">
        <v>0</v>
      </c>
      <c r="BE122" s="889">
        <v>0</v>
      </c>
      <c r="BF122" s="890">
        <v>0</v>
      </c>
      <c r="BG122" s="889">
        <v>1</v>
      </c>
      <c r="BH122" s="889">
        <v>0</v>
      </c>
      <c r="BI122" s="890">
        <v>0</v>
      </c>
      <c r="BJ122" s="889">
        <v>0</v>
      </c>
      <c r="BK122" s="889">
        <v>0</v>
      </c>
      <c r="BL122" s="889">
        <v>1</v>
      </c>
      <c r="BM122" s="890">
        <v>0</v>
      </c>
      <c r="BN122" s="958">
        <v>0</v>
      </c>
      <c r="BO122" s="959">
        <v>18</v>
      </c>
      <c r="BP122" s="1018">
        <f t="shared" ca="1" si="160"/>
        <v>181.084</v>
      </c>
      <c r="BQ122" s="1018">
        <f t="shared" ca="1" si="161"/>
        <v>302.464</v>
      </c>
      <c r="BR122" s="1018">
        <f t="shared" ca="1" si="162"/>
        <v>104.854</v>
      </c>
      <c r="BS122" s="1018">
        <f t="shared" ca="1" si="163"/>
        <v>129.21406907627619</v>
      </c>
      <c r="BT122" s="1018">
        <f t="shared" ca="1" si="164"/>
        <v>104.86</v>
      </c>
      <c r="BU122" s="1018">
        <f t="shared" ca="1" si="165"/>
        <v>14</v>
      </c>
      <c r="BV122" s="1018">
        <f t="shared" ca="1" si="166"/>
        <v>4.3</v>
      </c>
      <c r="BW122" s="1018">
        <v>0</v>
      </c>
      <c r="BX122" s="1018">
        <f t="shared" ca="1" si="167"/>
        <v>31.789994946942901</v>
      </c>
      <c r="BY122" s="1018">
        <f t="shared" ca="1" si="168"/>
        <v>291.28273085838049</v>
      </c>
      <c r="BZ122" s="1018">
        <f t="shared" ca="1" si="107"/>
        <v>115.37845526167696</v>
      </c>
      <c r="CA122" s="1018">
        <f t="shared" ca="1" si="108"/>
        <v>27.999999988800003</v>
      </c>
      <c r="CB122" s="1018">
        <f t="shared" ca="1" si="169"/>
        <v>9.0267175572519083</v>
      </c>
      <c r="CC122" s="1018">
        <f t="shared" si="109"/>
        <v>0</v>
      </c>
      <c r="CD122" s="1018">
        <f t="shared" ca="1" si="170"/>
        <v>475.47789861305228</v>
      </c>
      <c r="CE122" s="1018">
        <f t="shared" ref="CE122:CE131" ca="1" si="176">0.34*BO122*(1/25)^0.66*(BR122+BS122+BU122+BV122)</f>
        <v>184.56333165243285</v>
      </c>
      <c r="CF122" s="1018">
        <f t="shared" ca="1" si="171"/>
        <v>19.801236907964554</v>
      </c>
      <c r="CG122" s="1018">
        <f t="shared" ca="1" si="172"/>
        <v>32968.267402284662</v>
      </c>
    </row>
    <row r="123" spans="4:85" x14ac:dyDescent="0.25">
      <c r="D123" s="1"/>
      <c r="F123" s="1"/>
      <c r="G123" s="3"/>
      <c r="H123" s="6"/>
      <c r="I123" s="3"/>
      <c r="J123" s="6"/>
      <c r="K123" s="8"/>
      <c r="L123" s="6"/>
      <c r="M123" s="1"/>
      <c r="N123" s="1"/>
      <c r="O123" s="1"/>
      <c r="P123" s="1"/>
      <c r="Q123" s="1" t="s">
        <v>16</v>
      </c>
      <c r="R123" s="4"/>
      <c r="S123" s="1"/>
      <c r="T123" s="77"/>
      <c r="U123" s="294"/>
      <c r="X123" s="176">
        <f t="shared" si="173"/>
        <v>0</v>
      </c>
      <c r="Y123" s="34">
        <f>X123/Calculation_sheet!M$67</f>
        <v>0</v>
      </c>
      <c r="Z123" s="176">
        <f ca="1">IF(AN123&gt;0,Y123*Calculation_sheet!C$87,0)</f>
        <v>0</v>
      </c>
      <c r="AA123" s="176">
        <f t="shared" ca="1" si="174"/>
        <v>0</v>
      </c>
      <c r="AB123" s="176">
        <f ca="1">IF(AP123&gt;0,AA123*Calculation_sheet!C$94,0)</f>
        <v>0</v>
      </c>
      <c r="AC123" s="176">
        <f t="shared" ca="1" si="158"/>
        <v>0</v>
      </c>
      <c r="AD123" s="958">
        <f ca="1">AC123*Calculation_sheet!C$99</f>
        <v>0</v>
      </c>
      <c r="AE123" s="176">
        <f t="shared" ca="1" si="158"/>
        <v>0</v>
      </c>
      <c r="AF123" s="176">
        <f t="shared" ca="1" si="175"/>
        <v>0</v>
      </c>
      <c r="AG123" s="958">
        <f ca="1">AF123*User_sheet!B$77/100</f>
        <v>0</v>
      </c>
      <c r="AH123" s="313"/>
      <c r="AI123" s="883">
        <v>101</v>
      </c>
      <c r="AJ123" s="985"/>
      <c r="AK123" s="1020">
        <f t="shared" ca="1" si="159"/>
        <v>475.47789861305228</v>
      </c>
      <c r="AL123" s="954">
        <f ca="1">AK123/'101'!I$24</f>
        <v>1.3476498087478654</v>
      </c>
      <c r="AM123" s="954">
        <f ca="1">0.8*(AK123*30+'101'!D$17*0.34*30*1)</f>
        <v>15136.940414713254</v>
      </c>
      <c r="AN123" s="954">
        <f ca="1">IF(AM123&lt;User_sheet!B$50,Y123,0)</f>
        <v>0</v>
      </c>
      <c r="AO123" s="954">
        <f ca="1">20-(User_sheet!B$57/('Freestanding '!AK123+'101'!D$17*1*0.34))</f>
        <v>10.962506540157278</v>
      </c>
      <c r="AP123" s="954">
        <f ca="1">IF(AO123&lt;User_sheet!B$59,0,BC123*AA123)</f>
        <v>0</v>
      </c>
      <c r="AQ123" s="985"/>
      <c r="AR123" s="883">
        <v>0.32</v>
      </c>
      <c r="AS123" s="883">
        <v>3.7</v>
      </c>
      <c r="AT123" s="883">
        <v>7.9</v>
      </c>
      <c r="AU123" s="883">
        <v>2</v>
      </c>
      <c r="AV123" s="883">
        <v>3.3</v>
      </c>
      <c r="AW123" s="883">
        <v>14356</v>
      </c>
      <c r="AX123" s="883">
        <v>76466.30421774846</v>
      </c>
      <c r="AY123" s="883">
        <v>67352.647733737584</v>
      </c>
      <c r="AZ123" s="886">
        <v>0</v>
      </c>
      <c r="BA123" s="886">
        <v>0</v>
      </c>
      <c r="BB123" s="883">
        <v>0.6</v>
      </c>
      <c r="BC123" s="888">
        <v>1</v>
      </c>
      <c r="BD123" s="889">
        <v>0</v>
      </c>
      <c r="BE123" s="889">
        <v>0</v>
      </c>
      <c r="BF123" s="890">
        <v>0</v>
      </c>
      <c r="BG123" s="889">
        <v>0</v>
      </c>
      <c r="BH123" s="889">
        <v>1</v>
      </c>
      <c r="BI123" s="890">
        <v>0</v>
      </c>
      <c r="BJ123" s="889">
        <v>1</v>
      </c>
      <c r="BK123" s="889">
        <v>0</v>
      </c>
      <c r="BL123" s="889">
        <v>0</v>
      </c>
      <c r="BM123" s="890">
        <v>0</v>
      </c>
      <c r="BN123" s="958">
        <v>0</v>
      </c>
      <c r="BO123" s="959">
        <v>18</v>
      </c>
      <c r="BP123" s="1018">
        <f t="shared" ca="1" si="160"/>
        <v>181.084</v>
      </c>
      <c r="BQ123" s="1018">
        <f t="shared" ca="1" si="161"/>
        <v>302.464</v>
      </c>
      <c r="BR123" s="1018">
        <f t="shared" ca="1" si="162"/>
        <v>104.854</v>
      </c>
      <c r="BS123" s="1018">
        <f t="shared" ca="1" si="163"/>
        <v>129.21406907627619</v>
      </c>
      <c r="BT123" s="1018">
        <f t="shared" ca="1" si="164"/>
        <v>104.86</v>
      </c>
      <c r="BU123" s="1018">
        <f t="shared" ca="1" si="165"/>
        <v>14</v>
      </c>
      <c r="BV123" s="1018">
        <f t="shared" ca="1" si="166"/>
        <v>4.3</v>
      </c>
      <c r="BW123" s="1018">
        <v>0</v>
      </c>
      <c r="BX123" s="1018">
        <f t="shared" ca="1" si="167"/>
        <v>31.789994946942901</v>
      </c>
      <c r="BY123" s="1018">
        <f t="shared" ca="1" si="168"/>
        <v>291.28273085838049</v>
      </c>
      <c r="BZ123" s="1018">
        <f t="shared" ca="1" si="107"/>
        <v>115.37845526167696</v>
      </c>
      <c r="CA123" s="1018">
        <f t="shared" ca="1" si="108"/>
        <v>27.999999988800003</v>
      </c>
      <c r="CB123" s="1018">
        <f t="shared" ca="1" si="169"/>
        <v>9.0267175572519083</v>
      </c>
      <c r="CC123" s="1018">
        <f t="shared" si="109"/>
        <v>0</v>
      </c>
      <c r="CD123" s="1018">
        <f t="shared" ca="1" si="170"/>
        <v>475.47789861305228</v>
      </c>
      <c r="CE123" s="1018">
        <f t="shared" ca="1" si="176"/>
        <v>184.56333165243285</v>
      </c>
      <c r="CF123" s="1018">
        <f t="shared" ca="1" si="171"/>
        <v>19.801236907964554</v>
      </c>
      <c r="CG123" s="1018">
        <f t="shared" ca="1" si="172"/>
        <v>32968.267402284662</v>
      </c>
    </row>
    <row r="124" spans="4:85" x14ac:dyDescent="0.25">
      <c r="D124" s="1"/>
      <c r="F124" s="1"/>
      <c r="G124" s="3"/>
      <c r="H124" s="6"/>
      <c r="I124" s="3"/>
      <c r="J124" s="6"/>
      <c r="K124" s="8"/>
      <c r="L124" s="6"/>
      <c r="M124" s="1" t="s">
        <v>16</v>
      </c>
      <c r="N124" s="4"/>
      <c r="O124" s="1" t="s">
        <v>19</v>
      </c>
      <c r="P124" s="4"/>
      <c r="Q124" s="1" t="s">
        <v>7</v>
      </c>
      <c r="R124" s="4"/>
      <c r="S124" s="1"/>
      <c r="T124" s="77"/>
      <c r="U124" s="294"/>
      <c r="X124" s="176">
        <f t="shared" si="173"/>
        <v>0</v>
      </c>
      <c r="Y124" s="34">
        <f>X124/Calculation_sheet!M$67</f>
        <v>0</v>
      </c>
      <c r="Z124" s="176">
        <f ca="1">IF(AN124&gt;0,Y124*Calculation_sheet!C$87,0)</f>
        <v>0</v>
      </c>
      <c r="AA124" s="176">
        <f t="shared" ca="1" si="174"/>
        <v>0</v>
      </c>
      <c r="AB124" s="176">
        <f ca="1">IF(AP124&gt;0,AA124*Calculation_sheet!C$94,0)</f>
        <v>0</v>
      </c>
      <c r="AC124" s="176">
        <f t="shared" ca="1" si="158"/>
        <v>0</v>
      </c>
      <c r="AD124" s="958">
        <f ca="1">AC124*Calculation_sheet!C$99</f>
        <v>0</v>
      </c>
      <c r="AE124" s="176">
        <f t="shared" ca="1" si="158"/>
        <v>0</v>
      </c>
      <c r="AF124" s="176">
        <f t="shared" ca="1" si="175"/>
        <v>0</v>
      </c>
      <c r="AG124" s="958">
        <f ca="1">AF124*User_sheet!B$77/100</f>
        <v>0</v>
      </c>
      <c r="AH124" s="313"/>
      <c r="AI124" s="883">
        <v>101</v>
      </c>
      <c r="AJ124" s="985"/>
      <c r="AK124" s="1020">
        <f t="shared" ca="1" si="159"/>
        <v>475.47789861305228</v>
      </c>
      <c r="AL124" s="954">
        <f ca="1">AK124/'101'!I$24</f>
        <v>1.3476498087478654</v>
      </c>
      <c r="AM124" s="954">
        <f ca="1">0.8*(AK124*30+'101'!D$17*0.34*30*1)</f>
        <v>15136.940414713254</v>
      </c>
      <c r="AN124" s="954">
        <f ca="1">IF(AM124&lt;User_sheet!B$50,Y124,0)</f>
        <v>0</v>
      </c>
      <c r="AO124" s="954">
        <f ca="1">20-(User_sheet!B$57/('Freestanding '!AK124+'101'!D$17*1*0.34))</f>
        <v>10.962506540157278</v>
      </c>
      <c r="AP124" s="954">
        <f ca="1">IF(AO124&lt;User_sheet!B$59,0,BC124*AA124)</f>
        <v>0</v>
      </c>
      <c r="AQ124" s="985"/>
      <c r="AR124" s="883">
        <v>0.32</v>
      </c>
      <c r="AS124" s="883">
        <v>3.7</v>
      </c>
      <c r="AT124" s="883">
        <v>7.9</v>
      </c>
      <c r="AU124" s="883">
        <v>2</v>
      </c>
      <c r="AV124" s="883">
        <v>3.3</v>
      </c>
      <c r="AW124" s="883">
        <v>14356</v>
      </c>
      <c r="AX124" s="883">
        <v>76466.30421774846</v>
      </c>
      <c r="AY124" s="883">
        <v>67352.647733737584</v>
      </c>
      <c r="AZ124" s="886">
        <v>0</v>
      </c>
      <c r="BA124" s="886">
        <v>0</v>
      </c>
      <c r="BB124" s="883">
        <v>0.6</v>
      </c>
      <c r="BC124" s="888">
        <v>1</v>
      </c>
      <c r="BD124" s="889">
        <v>0</v>
      </c>
      <c r="BE124" s="889">
        <v>0</v>
      </c>
      <c r="BF124" s="890">
        <v>0</v>
      </c>
      <c r="BG124" s="889">
        <v>0</v>
      </c>
      <c r="BH124" s="889">
        <v>1</v>
      </c>
      <c r="BI124" s="890">
        <v>0</v>
      </c>
      <c r="BJ124" s="889">
        <v>0</v>
      </c>
      <c r="BK124" s="889">
        <v>0</v>
      </c>
      <c r="BL124" s="889">
        <v>1</v>
      </c>
      <c r="BM124" s="890">
        <v>0</v>
      </c>
      <c r="BN124" s="958">
        <v>0</v>
      </c>
      <c r="BO124" s="959">
        <v>18</v>
      </c>
      <c r="BP124" s="1018">
        <f t="shared" ca="1" si="160"/>
        <v>181.084</v>
      </c>
      <c r="BQ124" s="1018">
        <f t="shared" ca="1" si="161"/>
        <v>302.464</v>
      </c>
      <c r="BR124" s="1018">
        <f t="shared" ca="1" si="162"/>
        <v>104.854</v>
      </c>
      <c r="BS124" s="1018">
        <f t="shared" ca="1" si="163"/>
        <v>129.21406907627619</v>
      </c>
      <c r="BT124" s="1018">
        <f t="shared" ca="1" si="164"/>
        <v>104.86</v>
      </c>
      <c r="BU124" s="1018">
        <f t="shared" ca="1" si="165"/>
        <v>14</v>
      </c>
      <c r="BV124" s="1018">
        <f t="shared" ca="1" si="166"/>
        <v>4.3</v>
      </c>
      <c r="BW124" s="1018">
        <v>0</v>
      </c>
      <c r="BX124" s="1018">
        <f t="shared" ca="1" si="167"/>
        <v>31.789994946942901</v>
      </c>
      <c r="BY124" s="1018">
        <f t="shared" ca="1" si="168"/>
        <v>291.28273085838049</v>
      </c>
      <c r="BZ124" s="1018">
        <f t="shared" ca="1" si="107"/>
        <v>115.37845526167696</v>
      </c>
      <c r="CA124" s="1018">
        <f t="shared" ca="1" si="108"/>
        <v>27.999999988800003</v>
      </c>
      <c r="CB124" s="1018">
        <f t="shared" ca="1" si="169"/>
        <v>9.0267175572519083</v>
      </c>
      <c r="CC124" s="1018">
        <f t="shared" si="109"/>
        <v>0</v>
      </c>
      <c r="CD124" s="1018">
        <f t="shared" ca="1" si="170"/>
        <v>475.47789861305228</v>
      </c>
      <c r="CE124" s="1018">
        <f t="shared" ca="1" si="176"/>
        <v>184.56333165243285</v>
      </c>
      <c r="CF124" s="1018">
        <f t="shared" ca="1" si="171"/>
        <v>19.801236907964554</v>
      </c>
      <c r="CG124" s="1018">
        <f t="shared" ca="1" si="172"/>
        <v>32968.267402284662</v>
      </c>
    </row>
    <row r="125" spans="4:85" x14ac:dyDescent="0.25">
      <c r="D125" s="1"/>
      <c r="F125" s="1"/>
      <c r="G125" s="3"/>
      <c r="H125" s="6"/>
      <c r="I125" s="3"/>
      <c r="J125" s="6"/>
      <c r="K125" s="8"/>
      <c r="L125" s="6"/>
      <c r="M125" s="1"/>
      <c r="N125" s="1"/>
      <c r="O125" s="1"/>
      <c r="P125" s="1"/>
      <c r="Q125" s="1" t="s">
        <v>22</v>
      </c>
      <c r="R125" s="4"/>
      <c r="S125" s="1"/>
      <c r="T125" s="77"/>
      <c r="U125" s="294"/>
      <c r="X125" s="176">
        <f t="shared" si="173"/>
        <v>0</v>
      </c>
      <c r="Y125" s="34">
        <f>X125/Calculation_sheet!M$67</f>
        <v>0</v>
      </c>
      <c r="Z125" s="176">
        <f ca="1">IF(AN125&gt;0,Y125*Calculation_sheet!C$87,0)</f>
        <v>0</v>
      </c>
      <c r="AA125" s="176">
        <f t="shared" ca="1" si="174"/>
        <v>0</v>
      </c>
      <c r="AB125" s="176">
        <f ca="1">IF(AP125&gt;0,AA125*Calculation_sheet!C$94,0)</f>
        <v>0</v>
      </c>
      <c r="AC125" s="176">
        <f t="shared" ca="1" si="158"/>
        <v>0</v>
      </c>
      <c r="AD125" s="958">
        <f ca="1">AC125*Calculation_sheet!C$99</f>
        <v>0</v>
      </c>
      <c r="AE125" s="176">
        <f t="shared" ca="1" si="158"/>
        <v>0</v>
      </c>
      <c r="AF125" s="176">
        <f t="shared" ca="1" si="175"/>
        <v>0</v>
      </c>
      <c r="AG125" s="958">
        <f ca="1">AF125*User_sheet!B$77/100</f>
        <v>0</v>
      </c>
      <c r="AH125" s="313"/>
      <c r="AI125" s="883">
        <v>101</v>
      </c>
      <c r="AJ125" s="985"/>
      <c r="AK125" s="1020">
        <f t="shared" ca="1" si="159"/>
        <v>475.47789861305228</v>
      </c>
      <c r="AL125" s="954">
        <f ca="1">AK125/'101'!I$24</f>
        <v>1.3476498087478654</v>
      </c>
      <c r="AM125" s="954">
        <f ca="1">0.8*(AK125*30+'101'!D$17*0.34*30*1)</f>
        <v>15136.940414713254</v>
      </c>
      <c r="AN125" s="954">
        <f ca="1">IF(AM125&lt;User_sheet!B$50,Y125,0)</f>
        <v>0</v>
      </c>
      <c r="AO125" s="954">
        <f ca="1">20-(User_sheet!B$57/('Freestanding '!AK125+'101'!D$17*1*0.34))</f>
        <v>10.962506540157278</v>
      </c>
      <c r="AP125" s="954">
        <f ca="1">IF(AO125&lt;User_sheet!B$59,0,BC125*AA125)</f>
        <v>0</v>
      </c>
      <c r="AQ125" s="985"/>
      <c r="AR125" s="883">
        <v>0.32</v>
      </c>
      <c r="AS125" s="883">
        <v>3.7</v>
      </c>
      <c r="AT125" s="883">
        <v>7.9</v>
      </c>
      <c r="AU125" s="883">
        <v>2</v>
      </c>
      <c r="AV125" s="883">
        <v>3.3</v>
      </c>
      <c r="AW125" s="883">
        <v>14356</v>
      </c>
      <c r="AX125" s="883">
        <v>76466.30421774846</v>
      </c>
      <c r="AY125" s="883">
        <v>67352.647733737584</v>
      </c>
      <c r="AZ125" s="886">
        <v>0</v>
      </c>
      <c r="BA125" s="886">
        <v>0</v>
      </c>
      <c r="BB125" s="883">
        <v>0.6</v>
      </c>
      <c r="BC125" s="888">
        <v>0</v>
      </c>
      <c r="BD125" s="889">
        <v>1</v>
      </c>
      <c r="BE125" s="889">
        <v>0</v>
      </c>
      <c r="BF125" s="890">
        <v>0</v>
      </c>
      <c r="BG125" s="889">
        <v>1</v>
      </c>
      <c r="BH125" s="889">
        <v>0</v>
      </c>
      <c r="BI125" s="890">
        <v>0</v>
      </c>
      <c r="BJ125" s="889">
        <v>0</v>
      </c>
      <c r="BK125" s="889">
        <v>1</v>
      </c>
      <c r="BL125" s="889">
        <v>0</v>
      </c>
      <c r="BM125" s="890">
        <v>0</v>
      </c>
      <c r="BN125" s="958">
        <v>0</v>
      </c>
      <c r="BO125" s="959">
        <v>18</v>
      </c>
      <c r="BP125" s="1018">
        <f t="shared" ca="1" si="160"/>
        <v>181.084</v>
      </c>
      <c r="BQ125" s="1018">
        <f t="shared" ca="1" si="161"/>
        <v>302.464</v>
      </c>
      <c r="BR125" s="1018">
        <f t="shared" ca="1" si="162"/>
        <v>104.854</v>
      </c>
      <c r="BS125" s="1018">
        <f t="shared" ca="1" si="163"/>
        <v>129.21406907627619</v>
      </c>
      <c r="BT125" s="1018">
        <f t="shared" ca="1" si="164"/>
        <v>104.86</v>
      </c>
      <c r="BU125" s="1018">
        <f t="shared" ca="1" si="165"/>
        <v>14</v>
      </c>
      <c r="BV125" s="1018">
        <f t="shared" ca="1" si="166"/>
        <v>4.3</v>
      </c>
      <c r="BW125" s="1018">
        <v>0</v>
      </c>
      <c r="BX125" s="1018">
        <f t="shared" ca="1" si="167"/>
        <v>31.789994946942901</v>
      </c>
      <c r="BY125" s="1018">
        <f t="shared" ca="1" si="168"/>
        <v>291.28273085838049</v>
      </c>
      <c r="BZ125" s="1018">
        <f t="shared" ca="1" si="107"/>
        <v>115.37845526167696</v>
      </c>
      <c r="CA125" s="1018">
        <f t="shared" ca="1" si="108"/>
        <v>27.999999988800003</v>
      </c>
      <c r="CB125" s="1018">
        <f t="shared" ca="1" si="169"/>
        <v>9.0267175572519083</v>
      </c>
      <c r="CC125" s="1018">
        <f t="shared" si="109"/>
        <v>0</v>
      </c>
      <c r="CD125" s="1018">
        <f t="shared" ca="1" si="170"/>
        <v>475.47789861305228</v>
      </c>
      <c r="CE125" s="1018">
        <f t="shared" ca="1" si="176"/>
        <v>184.56333165243285</v>
      </c>
      <c r="CF125" s="1018">
        <f t="shared" ca="1" si="171"/>
        <v>19.801236907964554</v>
      </c>
      <c r="CG125" s="1018">
        <f t="shared" ca="1" si="172"/>
        <v>32968.267402284662</v>
      </c>
    </row>
    <row r="126" spans="4:85" x14ac:dyDescent="0.25">
      <c r="D126" s="1"/>
      <c r="F126" s="1"/>
      <c r="G126" s="3"/>
      <c r="H126" s="6"/>
      <c r="I126" s="3"/>
      <c r="J126" s="3" t="s">
        <v>144</v>
      </c>
      <c r="K126" s="8"/>
      <c r="L126" s="6"/>
      <c r="M126" s="1"/>
      <c r="N126" s="1"/>
      <c r="O126" s="1" t="s">
        <v>18</v>
      </c>
      <c r="P126" s="4"/>
      <c r="Q126" s="1" t="s">
        <v>7</v>
      </c>
      <c r="R126" s="4"/>
      <c r="S126" s="1"/>
      <c r="T126" s="77"/>
      <c r="U126" s="294"/>
      <c r="X126" s="176">
        <f t="shared" si="173"/>
        <v>0</v>
      </c>
      <c r="Y126" s="34">
        <f>X126/Calculation_sheet!M$67</f>
        <v>0</v>
      </c>
      <c r="Z126" s="176">
        <f ca="1">IF(AN126&gt;0,Y126*Calculation_sheet!C$87,0)</f>
        <v>0</v>
      </c>
      <c r="AA126" s="176">
        <f t="shared" ca="1" si="174"/>
        <v>0</v>
      </c>
      <c r="AB126" s="176">
        <f ca="1">IF(AP126&gt;0,AA126*Calculation_sheet!C$94,0)</f>
        <v>0</v>
      </c>
      <c r="AC126" s="176">
        <f t="shared" ca="1" si="158"/>
        <v>0</v>
      </c>
      <c r="AD126" s="958">
        <f ca="1">AC126*Calculation_sheet!C$99</f>
        <v>0</v>
      </c>
      <c r="AE126" s="176">
        <f t="shared" ca="1" si="158"/>
        <v>0</v>
      </c>
      <c r="AF126" s="176">
        <f t="shared" ca="1" si="175"/>
        <v>0</v>
      </c>
      <c r="AG126" s="958">
        <f ca="1">AF126*User_sheet!B$77/100</f>
        <v>0</v>
      </c>
      <c r="AH126" s="313"/>
      <c r="AI126" s="883">
        <v>101</v>
      </c>
      <c r="AJ126" s="985"/>
      <c r="AK126" s="1020">
        <f t="shared" ca="1" si="159"/>
        <v>475.47789861305228</v>
      </c>
      <c r="AL126" s="954">
        <f ca="1">AK126/'101'!I$24</f>
        <v>1.3476498087478654</v>
      </c>
      <c r="AM126" s="954">
        <f ca="1">0.8*(AK126*30+'101'!D$17*0.34*30*1)</f>
        <v>15136.940414713254</v>
      </c>
      <c r="AN126" s="954">
        <f ca="1">IF(AM126&lt;User_sheet!B$50,Y126,0)</f>
        <v>0</v>
      </c>
      <c r="AO126" s="954">
        <f ca="1">20-(User_sheet!B$57/('Freestanding '!AK126+'101'!D$17*1*0.34))</f>
        <v>10.962506540157278</v>
      </c>
      <c r="AP126" s="954">
        <f ca="1">IF(AO126&lt;User_sheet!B$59,0,BC126*AA126)</f>
        <v>0</v>
      </c>
      <c r="AQ126" s="985"/>
      <c r="AR126" s="883">
        <v>0.32</v>
      </c>
      <c r="AS126" s="883">
        <v>3.7</v>
      </c>
      <c r="AT126" s="883">
        <v>7.9</v>
      </c>
      <c r="AU126" s="883">
        <v>2</v>
      </c>
      <c r="AV126" s="883">
        <v>3.3</v>
      </c>
      <c r="AW126" s="883">
        <v>14356</v>
      </c>
      <c r="AX126" s="883">
        <v>76466.30421774846</v>
      </c>
      <c r="AY126" s="883">
        <v>67352.647733737584</v>
      </c>
      <c r="AZ126" s="886">
        <v>0</v>
      </c>
      <c r="BA126" s="886">
        <v>0</v>
      </c>
      <c r="BB126" s="883">
        <v>0.6</v>
      </c>
      <c r="BC126" s="888">
        <v>0</v>
      </c>
      <c r="BD126" s="889">
        <v>1</v>
      </c>
      <c r="BE126" s="889">
        <v>0</v>
      </c>
      <c r="BF126" s="890">
        <v>0</v>
      </c>
      <c r="BG126" s="889">
        <v>1</v>
      </c>
      <c r="BH126" s="889">
        <v>0</v>
      </c>
      <c r="BI126" s="890">
        <v>0</v>
      </c>
      <c r="BJ126" s="889">
        <v>0</v>
      </c>
      <c r="BK126" s="889">
        <v>0</v>
      </c>
      <c r="BL126" s="889">
        <v>1</v>
      </c>
      <c r="BM126" s="890">
        <v>0</v>
      </c>
      <c r="BN126" s="958">
        <v>0</v>
      </c>
      <c r="BO126" s="959">
        <v>18</v>
      </c>
      <c r="BP126" s="1018">
        <f t="shared" ca="1" si="160"/>
        <v>181.084</v>
      </c>
      <c r="BQ126" s="1018">
        <f t="shared" ca="1" si="161"/>
        <v>302.464</v>
      </c>
      <c r="BR126" s="1018">
        <f t="shared" ca="1" si="162"/>
        <v>104.854</v>
      </c>
      <c r="BS126" s="1018">
        <f t="shared" ca="1" si="163"/>
        <v>129.21406907627619</v>
      </c>
      <c r="BT126" s="1018">
        <f t="shared" ca="1" si="164"/>
        <v>104.86</v>
      </c>
      <c r="BU126" s="1018">
        <f t="shared" ca="1" si="165"/>
        <v>14</v>
      </c>
      <c r="BV126" s="1018">
        <f t="shared" ca="1" si="166"/>
        <v>4.3</v>
      </c>
      <c r="BW126" s="1018">
        <v>0</v>
      </c>
      <c r="BX126" s="1018">
        <f t="shared" ca="1" si="167"/>
        <v>31.789994946942901</v>
      </c>
      <c r="BY126" s="1018">
        <f t="shared" ca="1" si="168"/>
        <v>291.28273085838049</v>
      </c>
      <c r="BZ126" s="1018">
        <f t="shared" ca="1" si="107"/>
        <v>115.37845526167696</v>
      </c>
      <c r="CA126" s="1018">
        <f t="shared" ca="1" si="108"/>
        <v>27.999999988800003</v>
      </c>
      <c r="CB126" s="1018">
        <f t="shared" ca="1" si="169"/>
        <v>9.0267175572519083</v>
      </c>
      <c r="CC126" s="1018">
        <f t="shared" si="109"/>
        <v>0</v>
      </c>
      <c r="CD126" s="1018">
        <f t="shared" ca="1" si="170"/>
        <v>475.47789861305228</v>
      </c>
      <c r="CE126" s="1018">
        <f t="shared" ca="1" si="176"/>
        <v>184.56333165243285</v>
      </c>
      <c r="CF126" s="1018">
        <f t="shared" ca="1" si="171"/>
        <v>19.801236907964554</v>
      </c>
      <c r="CG126" s="1018">
        <f t="shared" ca="1" si="172"/>
        <v>32968.267402284662</v>
      </c>
    </row>
    <row r="127" spans="4:85" x14ac:dyDescent="0.25">
      <c r="D127" s="1"/>
      <c r="F127" s="1"/>
      <c r="G127" s="3"/>
      <c r="H127" s="6"/>
      <c r="I127" s="3"/>
      <c r="J127" s="6" t="s">
        <v>190</v>
      </c>
      <c r="K127" s="8"/>
      <c r="L127" s="6"/>
      <c r="M127" s="1"/>
      <c r="N127" s="1"/>
      <c r="O127" s="1"/>
      <c r="P127" s="1"/>
      <c r="Q127" s="1" t="s">
        <v>22</v>
      </c>
      <c r="R127" s="4"/>
      <c r="S127" s="1"/>
      <c r="T127" s="77"/>
      <c r="U127" s="294"/>
      <c r="X127" s="176">
        <f t="shared" si="173"/>
        <v>0</v>
      </c>
      <c r="Y127" s="34">
        <f>X127/Calculation_sheet!M$67</f>
        <v>0</v>
      </c>
      <c r="Z127" s="176">
        <f ca="1">IF(AN127&gt;0,Y127*Calculation_sheet!C$87,0)</f>
        <v>0</v>
      </c>
      <c r="AA127" s="176">
        <f t="shared" ca="1" si="174"/>
        <v>0</v>
      </c>
      <c r="AB127" s="176">
        <f ca="1">IF(AP127&gt;0,AA127*Calculation_sheet!C$94,0)</f>
        <v>0</v>
      </c>
      <c r="AC127" s="176">
        <f t="shared" ca="1" si="158"/>
        <v>0</v>
      </c>
      <c r="AD127" s="958">
        <f ca="1">AC127*Calculation_sheet!C$99</f>
        <v>0</v>
      </c>
      <c r="AE127" s="176">
        <f t="shared" ca="1" si="158"/>
        <v>0</v>
      </c>
      <c r="AF127" s="176">
        <f t="shared" ca="1" si="175"/>
        <v>0</v>
      </c>
      <c r="AG127" s="958">
        <f ca="1">AF127*User_sheet!B$77/100</f>
        <v>0</v>
      </c>
      <c r="AH127" s="313"/>
      <c r="AI127" s="883">
        <v>101</v>
      </c>
      <c r="AJ127" s="985"/>
      <c r="AK127" s="1020">
        <f t="shared" ca="1" si="159"/>
        <v>475.47789861305228</v>
      </c>
      <c r="AL127" s="954">
        <f ca="1">AK127/'101'!I$24</f>
        <v>1.3476498087478654</v>
      </c>
      <c r="AM127" s="954">
        <f ca="1">0.8*(AK127*30+'101'!D$17*0.34*30*1)</f>
        <v>15136.940414713254</v>
      </c>
      <c r="AN127" s="954">
        <f ca="1">IF(AM127&lt;User_sheet!B$50,Y127,0)</f>
        <v>0</v>
      </c>
      <c r="AO127" s="954">
        <f ca="1">20-(User_sheet!B$57/('Freestanding '!AK127+'101'!D$17*1*0.34))</f>
        <v>10.962506540157278</v>
      </c>
      <c r="AP127" s="954">
        <f ca="1">IF(AO127&lt;User_sheet!B$59,0,BC127*AA127)</f>
        <v>0</v>
      </c>
      <c r="AQ127" s="985"/>
      <c r="AR127" s="883">
        <v>0.32</v>
      </c>
      <c r="AS127" s="883">
        <v>3.7</v>
      </c>
      <c r="AT127" s="883">
        <v>7.9</v>
      </c>
      <c r="AU127" s="883">
        <v>2</v>
      </c>
      <c r="AV127" s="883">
        <v>3.3</v>
      </c>
      <c r="AW127" s="883">
        <v>14356</v>
      </c>
      <c r="AX127" s="883">
        <v>76466.30421774846</v>
      </c>
      <c r="AY127" s="883">
        <v>67352.647733737584</v>
      </c>
      <c r="AZ127" s="886">
        <v>0</v>
      </c>
      <c r="BA127" s="886">
        <v>0</v>
      </c>
      <c r="BB127" s="883">
        <v>0.6</v>
      </c>
      <c r="BC127" s="888">
        <v>0</v>
      </c>
      <c r="BD127" s="889">
        <v>1</v>
      </c>
      <c r="BE127" s="889">
        <v>0</v>
      </c>
      <c r="BF127" s="890">
        <v>0</v>
      </c>
      <c r="BG127" s="889">
        <v>0</v>
      </c>
      <c r="BH127" s="889">
        <v>1</v>
      </c>
      <c r="BI127" s="890">
        <v>0</v>
      </c>
      <c r="BJ127" s="889">
        <v>0</v>
      </c>
      <c r="BK127" s="889">
        <v>1</v>
      </c>
      <c r="BL127" s="889">
        <v>0</v>
      </c>
      <c r="BM127" s="890">
        <v>0</v>
      </c>
      <c r="BN127" s="958">
        <v>0</v>
      </c>
      <c r="BO127" s="959">
        <v>18</v>
      </c>
      <c r="BP127" s="1018">
        <f t="shared" ca="1" si="160"/>
        <v>181.084</v>
      </c>
      <c r="BQ127" s="1018">
        <f t="shared" ca="1" si="161"/>
        <v>302.464</v>
      </c>
      <c r="BR127" s="1018">
        <f t="shared" ca="1" si="162"/>
        <v>104.854</v>
      </c>
      <c r="BS127" s="1018">
        <f t="shared" ca="1" si="163"/>
        <v>129.21406907627619</v>
      </c>
      <c r="BT127" s="1018">
        <f t="shared" ca="1" si="164"/>
        <v>104.86</v>
      </c>
      <c r="BU127" s="1018">
        <f t="shared" ca="1" si="165"/>
        <v>14</v>
      </c>
      <c r="BV127" s="1018">
        <f t="shared" ca="1" si="166"/>
        <v>4.3</v>
      </c>
      <c r="BW127" s="1018">
        <v>0</v>
      </c>
      <c r="BX127" s="1018">
        <f t="shared" ca="1" si="167"/>
        <v>31.789994946942901</v>
      </c>
      <c r="BY127" s="1018">
        <f t="shared" ca="1" si="168"/>
        <v>291.28273085838049</v>
      </c>
      <c r="BZ127" s="1018">
        <f t="shared" ca="1" si="107"/>
        <v>115.37845526167696</v>
      </c>
      <c r="CA127" s="1018">
        <f t="shared" ca="1" si="108"/>
        <v>27.999999988800003</v>
      </c>
      <c r="CB127" s="1018">
        <f t="shared" ca="1" si="169"/>
        <v>9.0267175572519083</v>
      </c>
      <c r="CC127" s="1018">
        <f t="shared" si="109"/>
        <v>0</v>
      </c>
      <c r="CD127" s="1018">
        <f t="shared" ca="1" si="170"/>
        <v>475.47789861305228</v>
      </c>
      <c r="CE127" s="1018">
        <f t="shared" ca="1" si="176"/>
        <v>184.56333165243285</v>
      </c>
      <c r="CF127" s="1018">
        <f t="shared" ca="1" si="171"/>
        <v>19.801236907964554</v>
      </c>
      <c r="CG127" s="1018">
        <f t="shared" ca="1" si="172"/>
        <v>32968.267402284662</v>
      </c>
    </row>
    <row r="128" spans="4:85" x14ac:dyDescent="0.25">
      <c r="D128" s="1"/>
      <c r="F128" s="1"/>
      <c r="G128" s="3"/>
      <c r="H128" s="6"/>
      <c r="I128" s="3"/>
      <c r="J128" s="6"/>
      <c r="K128" s="8"/>
      <c r="L128" s="6"/>
      <c r="M128" s="1" t="s">
        <v>22</v>
      </c>
      <c r="N128" s="4"/>
      <c r="O128" s="1" t="s">
        <v>20</v>
      </c>
      <c r="P128" s="4"/>
      <c r="Q128" s="1" t="s">
        <v>7</v>
      </c>
      <c r="R128" s="4"/>
      <c r="S128" s="1"/>
      <c r="T128" s="77"/>
      <c r="U128" s="294"/>
      <c r="X128" s="176">
        <f t="shared" si="173"/>
        <v>0</v>
      </c>
      <c r="Y128" s="34">
        <f>X128/Calculation_sheet!M$67</f>
        <v>0</v>
      </c>
      <c r="Z128" s="176">
        <f ca="1">IF(AN128&gt;0,Y128*Calculation_sheet!C$87,0)</f>
        <v>0</v>
      </c>
      <c r="AA128" s="176">
        <f t="shared" ca="1" si="174"/>
        <v>0</v>
      </c>
      <c r="AB128" s="176">
        <f ca="1">IF(AP128&gt;0,AA128*Calculation_sheet!C$94,0)</f>
        <v>0</v>
      </c>
      <c r="AC128" s="176">
        <f t="shared" ca="1" si="158"/>
        <v>0</v>
      </c>
      <c r="AD128" s="958">
        <f ca="1">AC128*Calculation_sheet!C$99</f>
        <v>0</v>
      </c>
      <c r="AE128" s="176">
        <f t="shared" ca="1" si="158"/>
        <v>0</v>
      </c>
      <c r="AF128" s="176">
        <f t="shared" ca="1" si="175"/>
        <v>0</v>
      </c>
      <c r="AG128" s="958">
        <f ca="1">AF128*User_sheet!B$77/100</f>
        <v>0</v>
      </c>
      <c r="AH128" s="313"/>
      <c r="AI128" s="883">
        <v>101</v>
      </c>
      <c r="AJ128" s="985"/>
      <c r="AK128" s="1020">
        <f t="shared" ca="1" si="159"/>
        <v>475.47789861305228</v>
      </c>
      <c r="AL128" s="954">
        <f ca="1">AK128/'101'!I$24</f>
        <v>1.3476498087478654</v>
      </c>
      <c r="AM128" s="954">
        <f ca="1">0.8*(AK128*30+'101'!D$17*0.34*30*1)</f>
        <v>15136.940414713254</v>
      </c>
      <c r="AN128" s="954">
        <f ca="1">IF(AM128&lt;User_sheet!B$50,Y128,0)</f>
        <v>0</v>
      </c>
      <c r="AO128" s="954">
        <f ca="1">20-(User_sheet!B$57/('Freestanding '!AK128+'101'!D$17*1*0.34))</f>
        <v>10.962506540157278</v>
      </c>
      <c r="AP128" s="954">
        <f ca="1">IF(AO128&lt;User_sheet!B$59,0,BC128*AA128)</f>
        <v>0</v>
      </c>
      <c r="AQ128" s="985"/>
      <c r="AR128" s="883">
        <v>0.32</v>
      </c>
      <c r="AS128" s="883">
        <v>3.7</v>
      </c>
      <c r="AT128" s="883">
        <v>7.9</v>
      </c>
      <c r="AU128" s="883">
        <v>2</v>
      </c>
      <c r="AV128" s="883">
        <v>3.3</v>
      </c>
      <c r="AW128" s="883">
        <v>14356</v>
      </c>
      <c r="AX128" s="883">
        <v>76466.30421774846</v>
      </c>
      <c r="AY128" s="883">
        <v>67352.647733737584</v>
      </c>
      <c r="AZ128" s="886">
        <v>0</v>
      </c>
      <c r="BA128" s="886">
        <v>0</v>
      </c>
      <c r="BB128" s="883">
        <v>0.6</v>
      </c>
      <c r="BC128" s="888">
        <v>0</v>
      </c>
      <c r="BD128" s="889">
        <v>1</v>
      </c>
      <c r="BE128" s="889">
        <v>0</v>
      </c>
      <c r="BF128" s="890">
        <v>0</v>
      </c>
      <c r="BG128" s="889">
        <v>0</v>
      </c>
      <c r="BH128" s="889">
        <v>1</v>
      </c>
      <c r="BI128" s="890">
        <v>0</v>
      </c>
      <c r="BJ128" s="889">
        <v>0</v>
      </c>
      <c r="BK128" s="889">
        <v>0</v>
      </c>
      <c r="BL128" s="889">
        <v>1</v>
      </c>
      <c r="BM128" s="890">
        <v>0</v>
      </c>
      <c r="BN128" s="958">
        <v>0</v>
      </c>
      <c r="BO128" s="959">
        <v>18</v>
      </c>
      <c r="BP128" s="1018">
        <f t="shared" ca="1" si="160"/>
        <v>181.084</v>
      </c>
      <c r="BQ128" s="1018">
        <f t="shared" ca="1" si="161"/>
        <v>302.464</v>
      </c>
      <c r="BR128" s="1018">
        <f t="shared" ca="1" si="162"/>
        <v>104.854</v>
      </c>
      <c r="BS128" s="1018">
        <f t="shared" ca="1" si="163"/>
        <v>129.21406907627619</v>
      </c>
      <c r="BT128" s="1018">
        <f t="shared" ca="1" si="164"/>
        <v>104.86</v>
      </c>
      <c r="BU128" s="1018">
        <f t="shared" ca="1" si="165"/>
        <v>14</v>
      </c>
      <c r="BV128" s="1018">
        <f t="shared" ca="1" si="166"/>
        <v>4.3</v>
      </c>
      <c r="BW128" s="1018">
        <v>0</v>
      </c>
      <c r="BX128" s="1018">
        <f t="shared" ca="1" si="167"/>
        <v>31.789994946942901</v>
      </c>
      <c r="BY128" s="1018">
        <f t="shared" ca="1" si="168"/>
        <v>291.28273085838049</v>
      </c>
      <c r="BZ128" s="1018">
        <f t="shared" ca="1" si="107"/>
        <v>115.37845526167696</v>
      </c>
      <c r="CA128" s="1018">
        <f t="shared" ca="1" si="108"/>
        <v>27.999999988800003</v>
      </c>
      <c r="CB128" s="1018">
        <f t="shared" ca="1" si="169"/>
        <v>9.0267175572519083</v>
      </c>
      <c r="CC128" s="1018">
        <f t="shared" si="109"/>
        <v>0</v>
      </c>
      <c r="CD128" s="1018">
        <f t="shared" ca="1" si="170"/>
        <v>475.47789861305228</v>
      </c>
      <c r="CE128" s="1018">
        <f t="shared" ca="1" si="176"/>
        <v>184.56333165243285</v>
      </c>
      <c r="CF128" s="1018">
        <f t="shared" ca="1" si="171"/>
        <v>19.801236907964554</v>
      </c>
      <c r="CG128" s="1018">
        <f t="shared" ca="1" si="172"/>
        <v>32968.267402284662</v>
      </c>
    </row>
    <row r="129" spans="4:85" x14ac:dyDescent="0.25">
      <c r="D129" s="1"/>
      <c r="F129" s="1"/>
      <c r="G129" s="3"/>
      <c r="H129" s="6"/>
      <c r="I129" s="3"/>
      <c r="J129" s="6"/>
      <c r="K129" s="8"/>
      <c r="L129" s="6"/>
      <c r="M129" s="1" t="s">
        <v>7</v>
      </c>
      <c r="N129" s="4"/>
      <c r="O129" s="1" t="s">
        <v>23</v>
      </c>
      <c r="P129" s="4"/>
      <c r="Q129" s="1" t="s">
        <v>7</v>
      </c>
      <c r="R129" s="4"/>
      <c r="S129" s="1"/>
      <c r="T129" s="77"/>
      <c r="U129" s="294"/>
      <c r="X129" s="176">
        <f t="shared" si="173"/>
        <v>0</v>
      </c>
      <c r="Y129" s="34">
        <f>X129/Calculation_sheet!M$67</f>
        <v>0</v>
      </c>
      <c r="Z129" s="176">
        <f ca="1">IF(AN129&gt;0,Y129*Calculation_sheet!C$87,0)</f>
        <v>0</v>
      </c>
      <c r="AA129" s="176">
        <f t="shared" ca="1" si="174"/>
        <v>0</v>
      </c>
      <c r="AB129" s="176">
        <f ca="1">IF(AP129&gt;0,AA129*Calculation_sheet!C$94,0)</f>
        <v>0</v>
      </c>
      <c r="AC129" s="176">
        <f t="shared" ca="1" si="158"/>
        <v>0</v>
      </c>
      <c r="AD129" s="958">
        <f ca="1">AC129*Calculation_sheet!C$99</f>
        <v>0</v>
      </c>
      <c r="AE129" s="176">
        <f t="shared" ca="1" si="158"/>
        <v>0</v>
      </c>
      <c r="AF129" s="176">
        <f t="shared" ca="1" si="175"/>
        <v>0</v>
      </c>
      <c r="AG129" s="958">
        <f ca="1">AF129*User_sheet!B$77/100</f>
        <v>0</v>
      </c>
      <c r="AH129" s="313"/>
      <c r="AI129" s="883">
        <v>101</v>
      </c>
      <c r="AJ129" s="985"/>
      <c r="AK129" s="1020">
        <f t="shared" ca="1" si="159"/>
        <v>475.47789861305228</v>
      </c>
      <c r="AL129" s="954">
        <f ca="1">AK129/'101'!I$24</f>
        <v>1.3476498087478654</v>
      </c>
      <c r="AM129" s="954">
        <f ca="1">0.8*(AK129*30+'101'!D$17*0.34*30*1)</f>
        <v>15136.940414713254</v>
      </c>
      <c r="AN129" s="954">
        <f ca="1">IF(AM129&lt;User_sheet!B$50,Y129,0)</f>
        <v>0</v>
      </c>
      <c r="AO129" s="954">
        <f ca="1">20-(User_sheet!B$57/('Freestanding '!AK129+'101'!D$17*1*0.34))</f>
        <v>10.962506540157278</v>
      </c>
      <c r="AP129" s="954">
        <f ca="1">IF(AO129&lt;User_sheet!B$59,0,BC129*AA129)</f>
        <v>0</v>
      </c>
      <c r="AQ129" s="985"/>
      <c r="AR129" s="883">
        <v>0.32</v>
      </c>
      <c r="AS129" s="883">
        <v>3.7</v>
      </c>
      <c r="AT129" s="883">
        <v>7.9</v>
      </c>
      <c r="AU129" s="883">
        <v>2</v>
      </c>
      <c r="AV129" s="883">
        <v>3.3</v>
      </c>
      <c r="AW129" s="883">
        <v>14356</v>
      </c>
      <c r="AX129" s="883">
        <v>76466.30421774846</v>
      </c>
      <c r="AY129" s="883">
        <v>67352.647733737584</v>
      </c>
      <c r="AZ129" s="886">
        <v>0</v>
      </c>
      <c r="BA129" s="886">
        <v>0</v>
      </c>
      <c r="BB129" s="883">
        <v>0.6</v>
      </c>
      <c r="BC129" s="888">
        <v>0</v>
      </c>
      <c r="BD129" s="889">
        <v>0</v>
      </c>
      <c r="BE129" s="889">
        <v>1</v>
      </c>
      <c r="BF129" s="890">
        <v>0</v>
      </c>
      <c r="BG129" s="889">
        <v>0</v>
      </c>
      <c r="BH129" s="889">
        <v>0</v>
      </c>
      <c r="BI129" s="890">
        <v>1</v>
      </c>
      <c r="BJ129" s="889">
        <v>0</v>
      </c>
      <c r="BK129" s="889">
        <v>0</v>
      </c>
      <c r="BL129" s="889">
        <v>1</v>
      </c>
      <c r="BM129" s="890">
        <v>0</v>
      </c>
      <c r="BN129" s="958">
        <v>0</v>
      </c>
      <c r="BO129" s="959">
        <v>18</v>
      </c>
      <c r="BP129" s="1018">
        <f t="shared" ca="1" si="160"/>
        <v>181.084</v>
      </c>
      <c r="BQ129" s="1018">
        <f t="shared" ca="1" si="161"/>
        <v>302.464</v>
      </c>
      <c r="BR129" s="1018">
        <f t="shared" ca="1" si="162"/>
        <v>104.854</v>
      </c>
      <c r="BS129" s="1018">
        <f t="shared" ca="1" si="163"/>
        <v>129.21406907627619</v>
      </c>
      <c r="BT129" s="1018">
        <f t="shared" ca="1" si="164"/>
        <v>104.86</v>
      </c>
      <c r="BU129" s="1018">
        <f t="shared" ca="1" si="165"/>
        <v>14</v>
      </c>
      <c r="BV129" s="1018">
        <f t="shared" ca="1" si="166"/>
        <v>4.3</v>
      </c>
      <c r="BW129" s="1018">
        <v>0</v>
      </c>
      <c r="BX129" s="1018">
        <f t="shared" ca="1" si="167"/>
        <v>31.789994946942901</v>
      </c>
      <c r="BY129" s="1018">
        <f t="shared" ca="1" si="168"/>
        <v>291.28273085838049</v>
      </c>
      <c r="BZ129" s="1018">
        <f t="shared" ca="1" si="107"/>
        <v>115.37845526167696</v>
      </c>
      <c r="CA129" s="1018">
        <f t="shared" ca="1" si="108"/>
        <v>27.999999988800003</v>
      </c>
      <c r="CB129" s="1018">
        <f t="shared" ca="1" si="169"/>
        <v>9.0267175572519083</v>
      </c>
      <c r="CC129" s="1018">
        <f t="shared" si="109"/>
        <v>0</v>
      </c>
      <c r="CD129" s="1018">
        <f t="shared" ca="1" si="170"/>
        <v>475.47789861305228</v>
      </c>
      <c r="CE129" s="1018">
        <f t="shared" ca="1" si="176"/>
        <v>184.56333165243285</v>
      </c>
      <c r="CF129" s="1018">
        <f t="shared" ca="1" si="171"/>
        <v>19.801236907964554</v>
      </c>
      <c r="CG129" s="1018">
        <f t="shared" ca="1" si="172"/>
        <v>32968.267402284662</v>
      </c>
    </row>
    <row r="130" spans="4:85" x14ac:dyDescent="0.25">
      <c r="D130" s="1"/>
      <c r="F130" s="1"/>
      <c r="G130" s="3"/>
      <c r="H130" s="6"/>
      <c r="I130" s="3"/>
      <c r="J130" s="6"/>
      <c r="K130" s="8"/>
      <c r="L130" s="6"/>
      <c r="M130" s="1"/>
      <c r="N130" s="1"/>
      <c r="O130" s="1" t="s">
        <v>18</v>
      </c>
      <c r="P130" s="4"/>
      <c r="Q130" s="1" t="s">
        <v>17</v>
      </c>
      <c r="R130" s="4"/>
      <c r="S130" s="1"/>
      <c r="T130" s="77"/>
      <c r="U130" s="294"/>
      <c r="X130" s="176">
        <f t="shared" si="173"/>
        <v>0</v>
      </c>
      <c r="Y130" s="34">
        <f>X130/Calculation_sheet!M$67</f>
        <v>0</v>
      </c>
      <c r="Z130" s="176">
        <f ca="1">IF(AN130&gt;0,Y130*Calculation_sheet!C$87,0)</f>
        <v>0</v>
      </c>
      <c r="AA130" s="176">
        <f t="shared" ca="1" si="174"/>
        <v>0</v>
      </c>
      <c r="AB130" s="176">
        <f ca="1">IF(AP130&gt;0,AA130*Calculation_sheet!C$94,0)</f>
        <v>0</v>
      </c>
      <c r="AC130" s="176">
        <f t="shared" ca="1" si="158"/>
        <v>0</v>
      </c>
      <c r="AD130" s="958">
        <f ca="1">AC130*Calculation_sheet!C$99</f>
        <v>0</v>
      </c>
      <c r="AE130" s="176">
        <f t="shared" ca="1" si="158"/>
        <v>0</v>
      </c>
      <c r="AF130" s="176">
        <f t="shared" ca="1" si="175"/>
        <v>0</v>
      </c>
      <c r="AG130" s="958">
        <f ca="1">AF130*User_sheet!B$77/100</f>
        <v>0</v>
      </c>
      <c r="AH130" s="313"/>
      <c r="AI130" s="883">
        <v>101</v>
      </c>
      <c r="AJ130" s="985"/>
      <c r="AK130" s="1020">
        <f t="shared" ca="1" si="159"/>
        <v>475.47789861305228</v>
      </c>
      <c r="AL130" s="954">
        <f ca="1">AK130/'101'!I$24</f>
        <v>1.3476498087478654</v>
      </c>
      <c r="AM130" s="954">
        <f ca="1">0.8*(AK130*30+'101'!D$17*0.34*30*1)</f>
        <v>15136.940414713254</v>
      </c>
      <c r="AN130" s="954">
        <f ca="1">IF(AM130&lt;User_sheet!B$50,Y130,0)</f>
        <v>0</v>
      </c>
      <c r="AO130" s="954">
        <f ca="1">20-(User_sheet!B$57/('Freestanding '!AK130+'101'!D$17*1*0.34))</f>
        <v>10.962506540157278</v>
      </c>
      <c r="AP130" s="954">
        <f ca="1">IF(AO130&lt;User_sheet!B$59,0,BC130*AA130)</f>
        <v>0</v>
      </c>
      <c r="AQ130" s="985"/>
      <c r="AR130" s="883">
        <v>0.32</v>
      </c>
      <c r="AS130" s="883">
        <v>3.7</v>
      </c>
      <c r="AT130" s="883">
        <v>7.9</v>
      </c>
      <c r="AU130" s="883">
        <v>2</v>
      </c>
      <c r="AV130" s="883">
        <v>3.3</v>
      </c>
      <c r="AW130" s="883">
        <v>14356</v>
      </c>
      <c r="AX130" s="883">
        <v>76466.30421774846</v>
      </c>
      <c r="AY130" s="883">
        <v>67352.647733737584</v>
      </c>
      <c r="AZ130" s="886">
        <v>0</v>
      </c>
      <c r="BA130" s="886">
        <v>0</v>
      </c>
      <c r="BB130" s="883">
        <v>0.6</v>
      </c>
      <c r="BC130" s="888">
        <v>0</v>
      </c>
      <c r="BD130" s="889">
        <v>0</v>
      </c>
      <c r="BE130" s="889">
        <v>0</v>
      </c>
      <c r="BF130" s="890">
        <v>1</v>
      </c>
      <c r="BG130" s="889">
        <v>1</v>
      </c>
      <c r="BH130" s="889">
        <v>0</v>
      </c>
      <c r="BI130" s="890">
        <v>0</v>
      </c>
      <c r="BJ130" s="889">
        <v>0</v>
      </c>
      <c r="BK130" s="889">
        <v>0</v>
      </c>
      <c r="BL130" s="889">
        <v>0</v>
      </c>
      <c r="BM130" s="890">
        <v>1</v>
      </c>
      <c r="BN130" s="958">
        <v>0</v>
      </c>
      <c r="BO130" s="959">
        <v>18</v>
      </c>
      <c r="BP130" s="1018">
        <f t="shared" ca="1" si="160"/>
        <v>181.084</v>
      </c>
      <c r="BQ130" s="1018">
        <f t="shared" ca="1" si="161"/>
        <v>302.464</v>
      </c>
      <c r="BR130" s="1018">
        <f t="shared" ca="1" si="162"/>
        <v>104.854</v>
      </c>
      <c r="BS130" s="1018">
        <f t="shared" ca="1" si="163"/>
        <v>129.21406907627619</v>
      </c>
      <c r="BT130" s="1018">
        <f t="shared" ca="1" si="164"/>
        <v>104.86</v>
      </c>
      <c r="BU130" s="1018">
        <f t="shared" ca="1" si="165"/>
        <v>14</v>
      </c>
      <c r="BV130" s="1018">
        <f t="shared" ca="1" si="166"/>
        <v>4.3</v>
      </c>
      <c r="BW130" s="1018">
        <v>0</v>
      </c>
      <c r="BX130" s="1018">
        <f t="shared" ca="1" si="167"/>
        <v>31.789994946942901</v>
      </c>
      <c r="BY130" s="1018">
        <f t="shared" ca="1" si="168"/>
        <v>291.28273085838049</v>
      </c>
      <c r="BZ130" s="1018">
        <f t="shared" ca="1" si="107"/>
        <v>115.37845526167696</v>
      </c>
      <c r="CA130" s="1018">
        <f t="shared" ca="1" si="108"/>
        <v>27.999999988800003</v>
      </c>
      <c r="CB130" s="1018">
        <f t="shared" ca="1" si="169"/>
        <v>9.0267175572519083</v>
      </c>
      <c r="CC130" s="1018">
        <f t="shared" si="109"/>
        <v>0</v>
      </c>
      <c r="CD130" s="1018">
        <f t="shared" ca="1" si="170"/>
        <v>475.47789861305228</v>
      </c>
      <c r="CE130" s="1018">
        <f t="shared" ca="1" si="176"/>
        <v>184.56333165243285</v>
      </c>
      <c r="CF130" s="1018">
        <f t="shared" ca="1" si="171"/>
        <v>19.801236907964554</v>
      </c>
      <c r="CG130" s="1018">
        <f t="shared" ca="1" si="172"/>
        <v>32968.267402284662</v>
      </c>
    </row>
    <row r="131" spans="4:85" x14ac:dyDescent="0.25">
      <c r="D131" s="1"/>
      <c r="F131" s="1"/>
      <c r="G131" s="3"/>
      <c r="H131" s="6"/>
      <c r="I131" s="3"/>
      <c r="J131" s="6"/>
      <c r="K131" s="8"/>
      <c r="L131" s="6"/>
      <c r="M131" s="1" t="s">
        <v>17</v>
      </c>
      <c r="N131" s="4"/>
      <c r="O131" s="1" t="s">
        <v>19</v>
      </c>
      <c r="P131" s="4"/>
      <c r="Q131" s="1" t="s">
        <v>17</v>
      </c>
      <c r="R131" s="4"/>
      <c r="S131" s="1"/>
      <c r="T131" s="77"/>
      <c r="U131" s="294"/>
      <c r="X131" s="176">
        <f t="shared" si="173"/>
        <v>0</v>
      </c>
      <c r="Y131" s="34">
        <f>X131/Calculation_sheet!M$67</f>
        <v>0</v>
      </c>
      <c r="Z131" s="176">
        <f ca="1">IF(AN131&gt;0,Y131*Calculation_sheet!C$87,0)</f>
        <v>0</v>
      </c>
      <c r="AA131" s="176">
        <f t="shared" ca="1" si="174"/>
        <v>0</v>
      </c>
      <c r="AB131" s="176">
        <f ca="1">IF(AP131&gt;0,AA131*Calculation_sheet!C$94,0)</f>
        <v>0</v>
      </c>
      <c r="AC131" s="176">
        <f t="shared" ca="1" si="158"/>
        <v>0</v>
      </c>
      <c r="AD131" s="958">
        <f ca="1">AC131*Calculation_sheet!C$99</f>
        <v>0</v>
      </c>
      <c r="AE131" s="176">
        <f t="shared" ca="1" si="158"/>
        <v>0</v>
      </c>
      <c r="AF131" s="176">
        <f t="shared" ca="1" si="175"/>
        <v>0</v>
      </c>
      <c r="AG131" s="958">
        <f ca="1">AF131*User_sheet!B$77/100</f>
        <v>0</v>
      </c>
      <c r="AH131" s="313"/>
      <c r="AI131" s="883">
        <v>101</v>
      </c>
      <c r="AJ131" s="985"/>
      <c r="AK131" s="1020">
        <f t="shared" ca="1" si="159"/>
        <v>475.47789861305228</v>
      </c>
      <c r="AL131" s="954">
        <f ca="1">AK131/'101'!I$24</f>
        <v>1.3476498087478654</v>
      </c>
      <c r="AM131" s="954">
        <f ca="1">0.8*(AK131*30+'101'!D$17*0.34*30*1)</f>
        <v>15136.940414713254</v>
      </c>
      <c r="AN131" s="954">
        <f ca="1">IF(AM131&lt;User_sheet!B$50,Y131,0)</f>
        <v>0</v>
      </c>
      <c r="AO131" s="954">
        <f ca="1">20-(User_sheet!B$57/('Freestanding '!AK131+'101'!D$17*1*0.34))</f>
        <v>10.962506540157278</v>
      </c>
      <c r="AP131" s="954">
        <f ca="1">IF(AO131&lt;User_sheet!B$59,0,BC131*AA131)</f>
        <v>0</v>
      </c>
      <c r="AQ131" s="985"/>
      <c r="AR131" s="883">
        <v>0.32</v>
      </c>
      <c r="AS131" s="883">
        <v>3.7</v>
      </c>
      <c r="AT131" s="883">
        <v>7.9</v>
      </c>
      <c r="AU131" s="883">
        <v>2</v>
      </c>
      <c r="AV131" s="883">
        <v>3.3</v>
      </c>
      <c r="AW131" s="883">
        <v>14356</v>
      </c>
      <c r="AX131" s="883">
        <v>76466.30421774846</v>
      </c>
      <c r="AY131" s="883">
        <v>67352.647733737584</v>
      </c>
      <c r="AZ131" s="886">
        <v>0</v>
      </c>
      <c r="BA131" s="886">
        <v>0</v>
      </c>
      <c r="BB131" s="883">
        <v>0.6</v>
      </c>
      <c r="BC131" s="888">
        <v>0</v>
      </c>
      <c r="BD131" s="889">
        <v>0</v>
      </c>
      <c r="BE131" s="889">
        <v>0</v>
      </c>
      <c r="BF131" s="890">
        <v>1</v>
      </c>
      <c r="BG131" s="889">
        <v>0</v>
      </c>
      <c r="BH131" s="889">
        <v>1</v>
      </c>
      <c r="BI131" s="890">
        <v>0</v>
      </c>
      <c r="BJ131" s="889">
        <v>0</v>
      </c>
      <c r="BK131" s="889">
        <v>0</v>
      </c>
      <c r="BL131" s="889">
        <v>0</v>
      </c>
      <c r="BM131" s="890">
        <v>1</v>
      </c>
      <c r="BN131" s="958">
        <v>0</v>
      </c>
      <c r="BO131" s="959">
        <v>18</v>
      </c>
      <c r="BP131" s="1018">
        <f t="shared" ca="1" si="160"/>
        <v>181.084</v>
      </c>
      <c r="BQ131" s="1018">
        <f t="shared" ca="1" si="161"/>
        <v>302.464</v>
      </c>
      <c r="BR131" s="1018">
        <f t="shared" ca="1" si="162"/>
        <v>104.854</v>
      </c>
      <c r="BS131" s="1018">
        <f t="shared" ca="1" si="163"/>
        <v>129.21406907627619</v>
      </c>
      <c r="BT131" s="1018">
        <f t="shared" ca="1" si="164"/>
        <v>104.86</v>
      </c>
      <c r="BU131" s="1018">
        <f t="shared" ca="1" si="165"/>
        <v>14</v>
      </c>
      <c r="BV131" s="1018">
        <f t="shared" ca="1" si="166"/>
        <v>4.3</v>
      </c>
      <c r="BW131" s="1018">
        <v>0</v>
      </c>
      <c r="BX131" s="1018">
        <f t="shared" ca="1" si="167"/>
        <v>31.789994946942901</v>
      </c>
      <c r="BY131" s="1018">
        <f t="shared" ca="1" si="168"/>
        <v>291.28273085838049</v>
      </c>
      <c r="BZ131" s="1018">
        <f t="shared" ca="1" si="107"/>
        <v>115.37845526167696</v>
      </c>
      <c r="CA131" s="1018">
        <f t="shared" ca="1" si="108"/>
        <v>27.999999988800003</v>
      </c>
      <c r="CB131" s="1018">
        <f t="shared" ca="1" si="169"/>
        <v>9.0267175572519083</v>
      </c>
      <c r="CC131" s="1018">
        <f t="shared" si="109"/>
        <v>0</v>
      </c>
      <c r="CD131" s="1018">
        <f t="shared" ca="1" si="170"/>
        <v>475.47789861305228</v>
      </c>
      <c r="CE131" s="1018">
        <f t="shared" ca="1" si="176"/>
        <v>184.56333165243285</v>
      </c>
      <c r="CF131" s="1018">
        <f t="shared" ca="1" si="171"/>
        <v>19.801236907964554</v>
      </c>
      <c r="CG131" s="1018">
        <f t="shared" ca="1" si="172"/>
        <v>32968.267402284662</v>
      </c>
    </row>
    <row r="132" spans="4:85" s="14" customFormat="1" x14ac:dyDescent="0.25">
      <c r="D132" s="15"/>
      <c r="F132" s="15"/>
      <c r="H132" s="15"/>
      <c r="J132" s="15"/>
      <c r="K132" s="16"/>
      <c r="L132" s="15"/>
      <c r="M132" s="15"/>
      <c r="N132" s="15"/>
      <c r="O132" s="15"/>
      <c r="P132" s="15"/>
      <c r="Q132" s="15"/>
      <c r="R132" s="15"/>
      <c r="S132" s="15"/>
      <c r="T132" s="80"/>
      <c r="U132" s="295"/>
      <c r="V132" s="292"/>
      <c r="W132" s="292"/>
      <c r="X132" s="292"/>
      <c r="Y132" s="277"/>
      <c r="Z132" s="292"/>
      <c r="AA132" s="292"/>
      <c r="AB132" s="292"/>
      <c r="AC132" s="292"/>
      <c r="AD132" s="277"/>
      <c r="AE132" s="292"/>
      <c r="AF132" s="292"/>
      <c r="AG132" s="277"/>
      <c r="AH132" s="313"/>
      <c r="AI132" s="887"/>
      <c r="AJ132" s="985"/>
      <c r="AK132" s="1020">
        <f t="shared" si="159"/>
        <v>0</v>
      </c>
      <c r="AL132" s="986"/>
      <c r="AM132" s="986"/>
      <c r="AN132" s="986"/>
      <c r="AO132" s="986"/>
      <c r="AP132" s="986"/>
      <c r="AQ132" s="985"/>
      <c r="AR132" s="887"/>
      <c r="AS132" s="887"/>
      <c r="AT132" s="887"/>
      <c r="AU132" s="887"/>
      <c r="AV132" s="887"/>
      <c r="AW132" s="887"/>
      <c r="AX132" s="887"/>
      <c r="AY132" s="887"/>
      <c r="AZ132" s="887"/>
      <c r="BA132" s="887"/>
      <c r="BB132" s="887"/>
      <c r="BC132" s="45"/>
      <c r="BD132" s="277"/>
      <c r="BE132" s="277"/>
      <c r="BF132" s="49"/>
      <c r="BG132" s="887"/>
      <c r="BH132" s="887"/>
      <c r="BI132" s="49"/>
      <c r="BJ132" s="887"/>
      <c r="BK132" s="887"/>
      <c r="BL132" s="887"/>
      <c r="BM132" s="49"/>
      <c r="BN132" s="277"/>
      <c r="BO132" s="49"/>
      <c r="BP132" s="928"/>
      <c r="BQ132" s="928"/>
      <c r="BR132" s="928"/>
      <c r="BS132" s="928"/>
      <c r="BT132" s="928"/>
      <c r="BU132" s="928"/>
      <c r="BV132" s="928"/>
      <c r="BW132" s="928"/>
      <c r="BX132" s="928"/>
      <c r="BY132" s="928"/>
      <c r="BZ132" s="928"/>
      <c r="CA132" s="928"/>
      <c r="CB132" s="928"/>
      <c r="CC132" s="928"/>
      <c r="CD132" s="928"/>
      <c r="CE132" s="928"/>
      <c r="CF132" s="928"/>
      <c r="CG132" s="928"/>
    </row>
    <row r="133" spans="4:85" x14ac:dyDescent="0.25">
      <c r="D133" s="1"/>
      <c r="F133" s="1"/>
      <c r="H133" s="6"/>
      <c r="I133" s="3"/>
      <c r="J133" s="6"/>
      <c r="K133" s="8"/>
      <c r="L133" s="6"/>
      <c r="M133" s="1"/>
      <c r="N133" s="1"/>
      <c r="O133" s="1"/>
      <c r="P133" s="1"/>
      <c r="Q133" s="1" t="s">
        <v>16</v>
      </c>
      <c r="R133" s="4"/>
      <c r="S133" s="1"/>
      <c r="T133" s="77"/>
      <c r="U133" s="294"/>
      <c r="W133" s="176">
        <f t="shared" ref="W133:W143" si="177">(V109-W109)+(V85-W85)</f>
        <v>0</v>
      </c>
      <c r="X133" s="176">
        <f>W133</f>
        <v>0</v>
      </c>
      <c r="Y133" s="34">
        <f>X133/Calculation_sheet!M$67</f>
        <v>0</v>
      </c>
      <c r="Z133" s="176">
        <f ca="1">IF(AN133&gt;0,Y133*Calculation_sheet!C$87,0)</f>
        <v>0</v>
      </c>
      <c r="AA133" s="176">
        <f ca="1">Y133-Z133</f>
        <v>0</v>
      </c>
      <c r="AB133" s="176">
        <f ca="1">IF(AP133&gt;0,AA133*Calculation_sheet!C$94,0)</f>
        <v>0</v>
      </c>
      <c r="AC133" s="176">
        <f t="shared" ref="AC133:AE143" ca="1" si="178">AA133-AB133</f>
        <v>0</v>
      </c>
      <c r="AD133" s="958">
        <f ca="1">AC133*Calculation_sheet!C$99</f>
        <v>0</v>
      </c>
      <c r="AE133" s="176">
        <f t="shared" ca="1" si="178"/>
        <v>0</v>
      </c>
      <c r="AF133" s="176">
        <f ca="1">Y133-AB133</f>
        <v>0</v>
      </c>
      <c r="AG133" s="958">
        <f ca="1">AF133*User_sheet!B$77/100</f>
        <v>0</v>
      </c>
      <c r="AH133" s="313"/>
      <c r="AI133" s="883">
        <v>101</v>
      </c>
      <c r="AJ133" s="985"/>
      <c r="AK133" s="1020">
        <f t="shared" ca="1" si="106"/>
        <v>136.15845871639959</v>
      </c>
      <c r="AL133" s="954">
        <f ca="1">AK133/'101'!I$24</f>
        <v>0.38591472155446888</v>
      </c>
      <c r="AM133" s="954">
        <f ca="1">0.8*(AK133*30+'101'!D$17*0.34*30*1)</f>
        <v>6993.2738571935906</v>
      </c>
      <c r="AN133" s="954">
        <f ca="1">IF(AM133&lt;User_sheet!B$50,Y133,0)</f>
        <v>0</v>
      </c>
      <c r="AO133" s="954">
        <f ca="1">20-(User_sheet!B$57/('Freestanding '!AK133+'101'!D$17*1*0.34))</f>
        <v>0.43834650357908345</v>
      </c>
      <c r="AP133" s="954">
        <f ca="1">IF(AO133&lt;User_sheet!B$59,0,BC133*AA133)</f>
        <v>0</v>
      </c>
      <c r="AQ133" s="985"/>
      <c r="AR133" s="883">
        <v>0.32</v>
      </c>
      <c r="AS133" s="883">
        <v>0.43</v>
      </c>
      <c r="AT133" s="883">
        <v>0.43</v>
      </c>
      <c r="AU133" s="883">
        <v>2</v>
      </c>
      <c r="AV133" s="883">
        <v>3.3</v>
      </c>
      <c r="AW133" s="883">
        <v>14356</v>
      </c>
      <c r="AX133" s="883">
        <v>74834</v>
      </c>
      <c r="AY133" s="883">
        <v>69246</v>
      </c>
      <c r="AZ133" s="886">
        <v>0</v>
      </c>
      <c r="BA133" s="886">
        <v>0</v>
      </c>
      <c r="BB133" s="883">
        <v>0.6</v>
      </c>
      <c r="BC133" s="888">
        <v>1</v>
      </c>
      <c r="BD133" s="889">
        <v>0</v>
      </c>
      <c r="BE133" s="889">
        <v>0</v>
      </c>
      <c r="BF133" s="890">
        <v>0</v>
      </c>
      <c r="BG133" s="889">
        <v>1</v>
      </c>
      <c r="BH133" s="889">
        <v>0</v>
      </c>
      <c r="BI133" s="890">
        <v>0</v>
      </c>
      <c r="BJ133" s="889">
        <v>1</v>
      </c>
      <c r="BK133" s="889">
        <v>0</v>
      </c>
      <c r="BL133" s="889">
        <v>0</v>
      </c>
      <c r="BM133" s="890">
        <v>0</v>
      </c>
      <c r="BN133" s="958">
        <v>5.0000000000000001E-3</v>
      </c>
      <c r="BO133" s="959">
        <v>2.5</v>
      </c>
      <c r="BP133" s="1018">
        <f t="shared" ref="BP133:BP143" ca="1" si="179">INDIRECT("'"&amp;AI133&amp;"'!"&amp;"B2")</f>
        <v>181.084</v>
      </c>
      <c r="BQ133" s="1018">
        <f t="shared" ref="BQ133:BQ143" ca="1" si="180">INDIRECT("'"&amp;AI133&amp;"'!"&amp;"C12")+INDIRECT("'"&amp;AI133&amp;"'!"&amp;"C13")+INDIRECT("'"&amp;AI133&amp;"'!"&amp;"C14")+INDIRECT("'"&amp;AI133&amp;"'!"&amp;"C15")+INDIRECT("'"&amp;AI133&amp;"'!"&amp;"C17")</f>
        <v>302.464</v>
      </c>
      <c r="BR133" s="1018">
        <f t="shared" ref="BR133:BR143" ca="1" si="181">INDIRECT("'"&amp;AI133&amp;"'!"&amp;"G5")</f>
        <v>104.854</v>
      </c>
      <c r="BS133" s="1018">
        <f t="shared" ref="BS133:BS143" ca="1" si="182">INDIRECT("'"&amp;AI133&amp;"'!"&amp;"G4")</f>
        <v>129.21406907627619</v>
      </c>
      <c r="BT133" s="1018">
        <f t="shared" ref="BT133:BT143" ca="1" si="183">INDIRECT("'"&amp;AI133&amp;"'!"&amp;"G6")</f>
        <v>104.86</v>
      </c>
      <c r="BU133" s="1018">
        <f t="shared" ref="BU133:BU143" ca="1" si="184">INDIRECT("'"&amp;AI133&amp;"'!"&amp;"G2")</f>
        <v>14</v>
      </c>
      <c r="BV133" s="1018">
        <f t="shared" ref="BV133:BV143" ca="1" si="185">INDIRECT("'"&amp;AI133&amp;"'!"&amp;"G3")</f>
        <v>4.3</v>
      </c>
      <c r="BW133" s="1018">
        <v>0</v>
      </c>
      <c r="BX133" s="1018">
        <f t="shared" ref="BX133:BX143" ca="1" si="186">IF(BR133=0,0,1/(1/(BR133*$BY$3)+1/(BR133*AR133)+1/(BR133*$BY$4)))</f>
        <v>31.789994946942901</v>
      </c>
      <c r="BY133" s="1018">
        <f t="shared" ref="BY133:BY143" ca="1" si="187">IF(BS133=0,0,1/(1/(BS133*$BY$3)+1/(BS133*AS133)+1/(BS133*$BY$4)))</f>
        <v>51.708074546592727</v>
      </c>
      <c r="BZ133" s="1018">
        <f t="shared" ca="1" si="107"/>
        <v>13.847531331430698</v>
      </c>
      <c r="CA133" s="1018">
        <f t="shared" ca="1" si="108"/>
        <v>27.999999988800003</v>
      </c>
      <c r="CB133" s="1018">
        <f t="shared" ref="CB133:CB143" ca="1" si="188">IF(BV133=0,0,1/(1/(BV133*$BY$3)+1/(BV133*AV133)+1/(BV133*$BY$4)))</f>
        <v>9.0267175572519083</v>
      </c>
      <c r="CC133" s="1018">
        <f t="shared" si="109"/>
        <v>0</v>
      </c>
      <c r="CD133" s="1018">
        <f t="shared" ref="CD133:CD143" ca="1" si="189">SUM(BX133:CC133)+(BR133+BS133+BT133+BU133+BV133)*BN133</f>
        <v>136.15845871639959</v>
      </c>
      <c r="CE133" s="1018">
        <f ca="1">0.34*BO133*(1/25)^0.66*(BR133+BS133+BU133+BV133)+0.6*BQ133*0.34</f>
        <v>87.336452062837907</v>
      </c>
      <c r="CF133" s="1018">
        <f t="shared" ca="1" si="110"/>
        <v>6.7048473233771251</v>
      </c>
      <c r="CG133" s="1018">
        <f t="shared" ca="1" si="111"/>
        <v>11163.302599529978</v>
      </c>
    </row>
    <row r="134" spans="4:85" x14ac:dyDescent="0.25">
      <c r="D134" s="1"/>
      <c r="F134" s="1"/>
      <c r="H134" s="6"/>
      <c r="I134" s="3"/>
      <c r="J134" s="6"/>
      <c r="K134" s="8"/>
      <c r="L134" s="6"/>
      <c r="M134" s="1"/>
      <c r="N134" s="1"/>
      <c r="O134" s="1" t="s">
        <v>18</v>
      </c>
      <c r="P134" s="4"/>
      <c r="Q134" s="1" t="s">
        <v>7</v>
      </c>
      <c r="R134" s="4"/>
      <c r="S134" s="1"/>
      <c r="T134" s="77"/>
      <c r="U134" s="294"/>
      <c r="W134" s="176">
        <f t="shared" si="177"/>
        <v>0</v>
      </c>
      <c r="X134" s="176">
        <f t="shared" ref="X134:X143" si="190">W134</f>
        <v>0</v>
      </c>
      <c r="Y134" s="34">
        <f>X134/Calculation_sheet!M$67</f>
        <v>0</v>
      </c>
      <c r="Z134" s="176">
        <f ca="1">IF(AN134&gt;0,Y134*Calculation_sheet!C$87,0)</f>
        <v>0</v>
      </c>
      <c r="AA134" s="176">
        <f t="shared" ref="AA134:AA143" ca="1" si="191">Y134-Z134</f>
        <v>0</v>
      </c>
      <c r="AB134" s="176">
        <f ca="1">IF(AP134&gt;0,AA134*Calculation_sheet!C$94,0)</f>
        <v>0</v>
      </c>
      <c r="AC134" s="176">
        <f t="shared" ca="1" si="178"/>
        <v>0</v>
      </c>
      <c r="AD134" s="958">
        <f ca="1">AC134*Calculation_sheet!C$99</f>
        <v>0</v>
      </c>
      <c r="AE134" s="176">
        <f t="shared" ca="1" si="178"/>
        <v>0</v>
      </c>
      <c r="AF134" s="176">
        <f t="shared" ref="AF134:AF143" ca="1" si="192">Y134-AB134</f>
        <v>0</v>
      </c>
      <c r="AG134" s="958">
        <f ca="1">AF134*User_sheet!B$77/100</f>
        <v>0</v>
      </c>
      <c r="AH134" s="313"/>
      <c r="AI134" s="883">
        <v>101</v>
      </c>
      <c r="AJ134" s="985"/>
      <c r="AK134" s="1020">
        <f t="shared" ca="1" si="106"/>
        <v>136.15845871639959</v>
      </c>
      <c r="AL134" s="954">
        <f ca="1">AK134/'101'!I$24</f>
        <v>0.38591472155446888</v>
      </c>
      <c r="AM134" s="954">
        <f ca="1">0.8*(AK134*30+'101'!D$17*0.34*30*1)</f>
        <v>6993.2738571935906</v>
      </c>
      <c r="AN134" s="954">
        <f ca="1">IF(AM134&lt;User_sheet!B$50,Y134,0)</f>
        <v>0</v>
      </c>
      <c r="AO134" s="954">
        <f ca="1">20-(User_sheet!B$57/('Freestanding '!AK134+'101'!D$17*1*0.34))</f>
        <v>0.43834650357908345</v>
      </c>
      <c r="AP134" s="954">
        <f ca="1">IF(AO134&lt;User_sheet!B$59,0,BC134*AA134)</f>
        <v>0</v>
      </c>
      <c r="AQ134" s="985"/>
      <c r="AR134" s="883">
        <v>0.32</v>
      </c>
      <c r="AS134" s="883">
        <v>0.43</v>
      </c>
      <c r="AT134" s="883">
        <v>0.43</v>
      </c>
      <c r="AU134" s="883">
        <v>2</v>
      </c>
      <c r="AV134" s="883">
        <v>3.3</v>
      </c>
      <c r="AW134" s="883">
        <v>14356</v>
      </c>
      <c r="AX134" s="883">
        <v>74834</v>
      </c>
      <c r="AY134" s="883">
        <v>69246</v>
      </c>
      <c r="AZ134" s="886">
        <v>0</v>
      </c>
      <c r="BA134" s="886">
        <v>0</v>
      </c>
      <c r="BB134" s="883">
        <v>0.6</v>
      </c>
      <c r="BC134" s="888">
        <v>1</v>
      </c>
      <c r="BD134" s="889">
        <v>0</v>
      </c>
      <c r="BE134" s="889">
        <v>0</v>
      </c>
      <c r="BF134" s="890">
        <v>0</v>
      </c>
      <c r="BG134" s="889">
        <v>1</v>
      </c>
      <c r="BH134" s="889">
        <v>0</v>
      </c>
      <c r="BI134" s="890">
        <v>0</v>
      </c>
      <c r="BJ134" s="889">
        <v>0</v>
      </c>
      <c r="BK134" s="889">
        <v>0</v>
      </c>
      <c r="BL134" s="889">
        <v>1</v>
      </c>
      <c r="BM134" s="890">
        <v>0</v>
      </c>
      <c r="BN134" s="958">
        <v>5.0000000000000001E-3</v>
      </c>
      <c r="BO134" s="959">
        <v>2.5</v>
      </c>
      <c r="BP134" s="1018">
        <f t="shared" ca="1" si="179"/>
        <v>181.084</v>
      </c>
      <c r="BQ134" s="1018">
        <f t="shared" ca="1" si="180"/>
        <v>302.464</v>
      </c>
      <c r="BR134" s="1018">
        <f t="shared" ca="1" si="181"/>
        <v>104.854</v>
      </c>
      <c r="BS134" s="1018">
        <f t="shared" ca="1" si="182"/>
        <v>129.21406907627619</v>
      </c>
      <c r="BT134" s="1018">
        <f t="shared" ca="1" si="183"/>
        <v>104.86</v>
      </c>
      <c r="BU134" s="1018">
        <f t="shared" ca="1" si="184"/>
        <v>14</v>
      </c>
      <c r="BV134" s="1018">
        <f t="shared" ca="1" si="185"/>
        <v>4.3</v>
      </c>
      <c r="BW134" s="1018">
        <v>0</v>
      </c>
      <c r="BX134" s="1018">
        <f t="shared" ca="1" si="186"/>
        <v>31.789994946942901</v>
      </c>
      <c r="BY134" s="1018">
        <f t="shared" ca="1" si="187"/>
        <v>51.708074546592727</v>
      </c>
      <c r="BZ134" s="1018">
        <f t="shared" ca="1" si="107"/>
        <v>13.847531331430698</v>
      </c>
      <c r="CA134" s="1018">
        <f t="shared" ca="1" si="108"/>
        <v>27.999999988800003</v>
      </c>
      <c r="CB134" s="1018">
        <f t="shared" ca="1" si="188"/>
        <v>9.0267175572519083</v>
      </c>
      <c r="CC134" s="1018">
        <f t="shared" si="109"/>
        <v>0</v>
      </c>
      <c r="CD134" s="1018">
        <f t="shared" ca="1" si="189"/>
        <v>136.15845871639959</v>
      </c>
      <c r="CE134" s="1018">
        <f t="shared" ref="CE134:CE143" ca="1" si="193">0.34*BO134*(1/25)^0.66*(BR134+BS134+BU134+BV134)+0.6*BQ134*0.34</f>
        <v>87.336452062837907</v>
      </c>
      <c r="CF134" s="1018">
        <f t="shared" ca="1" si="110"/>
        <v>6.7048473233771251</v>
      </c>
      <c r="CG134" s="1018">
        <f t="shared" ca="1" si="111"/>
        <v>11163.302599529978</v>
      </c>
    </row>
    <row r="135" spans="4:85" x14ac:dyDescent="0.25">
      <c r="D135" s="1"/>
      <c r="F135" s="1"/>
      <c r="H135" s="6"/>
      <c r="I135" s="3"/>
      <c r="J135" s="6"/>
      <c r="K135" s="8"/>
      <c r="L135" s="6"/>
      <c r="M135" s="1"/>
      <c r="N135" s="1"/>
      <c r="O135" s="1"/>
      <c r="P135" s="1"/>
      <c r="Q135" s="1" t="s">
        <v>16</v>
      </c>
      <c r="R135" s="4"/>
      <c r="S135" s="1"/>
      <c r="T135" s="77"/>
      <c r="U135" s="294"/>
      <c r="W135" s="176">
        <f t="shared" si="177"/>
        <v>0</v>
      </c>
      <c r="X135" s="176">
        <f t="shared" si="190"/>
        <v>0</v>
      </c>
      <c r="Y135" s="34">
        <f>X135/Calculation_sheet!M$67</f>
        <v>0</v>
      </c>
      <c r="Z135" s="176">
        <f ca="1">IF(AN135&gt;0,Y135*Calculation_sheet!C$87,0)</f>
        <v>0</v>
      </c>
      <c r="AA135" s="176">
        <f t="shared" ca="1" si="191"/>
        <v>0</v>
      </c>
      <c r="AB135" s="176">
        <f ca="1">IF(AP135&gt;0,AA135*Calculation_sheet!C$94,0)</f>
        <v>0</v>
      </c>
      <c r="AC135" s="176">
        <f t="shared" ca="1" si="178"/>
        <v>0</v>
      </c>
      <c r="AD135" s="958">
        <f ca="1">AC135*Calculation_sheet!C$99</f>
        <v>0</v>
      </c>
      <c r="AE135" s="176">
        <f t="shared" ca="1" si="178"/>
        <v>0</v>
      </c>
      <c r="AF135" s="176">
        <f t="shared" ca="1" si="192"/>
        <v>0</v>
      </c>
      <c r="AG135" s="958">
        <f ca="1">AF135*User_sheet!B$77/100</f>
        <v>0</v>
      </c>
      <c r="AH135" s="313"/>
      <c r="AI135" s="883">
        <v>101</v>
      </c>
      <c r="AJ135" s="985"/>
      <c r="AK135" s="1020">
        <f t="shared" ca="1" si="106"/>
        <v>136.15845871639959</v>
      </c>
      <c r="AL135" s="954">
        <f ca="1">AK135/'101'!I$24</f>
        <v>0.38591472155446888</v>
      </c>
      <c r="AM135" s="954">
        <f ca="1">0.8*(AK135*30+'101'!D$17*0.34*30*1)</f>
        <v>6993.2738571935906</v>
      </c>
      <c r="AN135" s="954">
        <f ca="1">IF(AM135&lt;User_sheet!B$50,Y135,0)</f>
        <v>0</v>
      </c>
      <c r="AO135" s="954">
        <f ca="1">20-(User_sheet!B$57/('Freestanding '!AK135+'101'!D$17*1*0.34))</f>
        <v>0.43834650357908345</v>
      </c>
      <c r="AP135" s="954">
        <f ca="1">IF(AO135&lt;User_sheet!B$59,0,BC135*AA135)</f>
        <v>0</v>
      </c>
      <c r="AQ135" s="985"/>
      <c r="AR135" s="883">
        <v>0.32</v>
      </c>
      <c r="AS135" s="883">
        <v>0.43</v>
      </c>
      <c r="AT135" s="883">
        <v>0.43</v>
      </c>
      <c r="AU135" s="883">
        <v>2</v>
      </c>
      <c r="AV135" s="883">
        <v>3.3</v>
      </c>
      <c r="AW135" s="883">
        <v>14356</v>
      </c>
      <c r="AX135" s="883">
        <v>74834</v>
      </c>
      <c r="AY135" s="883">
        <v>69246</v>
      </c>
      <c r="AZ135" s="886">
        <v>0</v>
      </c>
      <c r="BA135" s="886">
        <v>0</v>
      </c>
      <c r="BB135" s="883">
        <v>0.6</v>
      </c>
      <c r="BC135" s="888">
        <v>1</v>
      </c>
      <c r="BD135" s="889">
        <v>0</v>
      </c>
      <c r="BE135" s="889">
        <v>0</v>
      </c>
      <c r="BF135" s="890">
        <v>0</v>
      </c>
      <c r="BG135" s="889">
        <v>0</v>
      </c>
      <c r="BH135" s="889">
        <v>1</v>
      </c>
      <c r="BI135" s="890">
        <v>0</v>
      </c>
      <c r="BJ135" s="889">
        <v>1</v>
      </c>
      <c r="BK135" s="889">
        <v>0</v>
      </c>
      <c r="BL135" s="889">
        <v>0</v>
      </c>
      <c r="BM135" s="890">
        <v>0</v>
      </c>
      <c r="BN135" s="958">
        <v>5.0000000000000001E-3</v>
      </c>
      <c r="BO135" s="959">
        <v>2.5</v>
      </c>
      <c r="BP135" s="1018">
        <f t="shared" ca="1" si="179"/>
        <v>181.084</v>
      </c>
      <c r="BQ135" s="1018">
        <f t="shared" ca="1" si="180"/>
        <v>302.464</v>
      </c>
      <c r="BR135" s="1018">
        <f t="shared" ca="1" si="181"/>
        <v>104.854</v>
      </c>
      <c r="BS135" s="1018">
        <f t="shared" ca="1" si="182"/>
        <v>129.21406907627619</v>
      </c>
      <c r="BT135" s="1018">
        <f t="shared" ca="1" si="183"/>
        <v>104.86</v>
      </c>
      <c r="BU135" s="1018">
        <f t="shared" ca="1" si="184"/>
        <v>14</v>
      </c>
      <c r="BV135" s="1018">
        <f t="shared" ca="1" si="185"/>
        <v>4.3</v>
      </c>
      <c r="BW135" s="1018">
        <v>0</v>
      </c>
      <c r="BX135" s="1018">
        <f t="shared" ca="1" si="186"/>
        <v>31.789994946942901</v>
      </c>
      <c r="BY135" s="1018">
        <f t="shared" ca="1" si="187"/>
        <v>51.708074546592727</v>
      </c>
      <c r="BZ135" s="1018">
        <f t="shared" ca="1" si="107"/>
        <v>13.847531331430698</v>
      </c>
      <c r="CA135" s="1018">
        <f t="shared" ca="1" si="108"/>
        <v>27.999999988800003</v>
      </c>
      <c r="CB135" s="1018">
        <f t="shared" ca="1" si="188"/>
        <v>9.0267175572519083</v>
      </c>
      <c r="CC135" s="1018">
        <f t="shared" si="109"/>
        <v>0</v>
      </c>
      <c r="CD135" s="1018">
        <f t="shared" ca="1" si="189"/>
        <v>136.15845871639959</v>
      </c>
      <c r="CE135" s="1018">
        <f t="shared" ca="1" si="193"/>
        <v>87.336452062837907</v>
      </c>
      <c r="CF135" s="1018">
        <f t="shared" ca="1" si="110"/>
        <v>6.7048473233771251</v>
      </c>
      <c r="CG135" s="1018">
        <f t="shared" ca="1" si="111"/>
        <v>11163.302599529978</v>
      </c>
    </row>
    <row r="136" spans="4:85" x14ac:dyDescent="0.25">
      <c r="D136" s="1"/>
      <c r="F136" s="1"/>
      <c r="H136" s="6"/>
      <c r="I136" s="3"/>
      <c r="J136" s="6"/>
      <c r="K136" s="8"/>
      <c r="L136" s="6"/>
      <c r="M136" s="1" t="s">
        <v>16</v>
      </c>
      <c r="N136" s="4"/>
      <c r="O136" s="1" t="s">
        <v>19</v>
      </c>
      <c r="P136" s="4"/>
      <c r="Q136" s="1" t="s">
        <v>7</v>
      </c>
      <c r="R136" s="4"/>
      <c r="S136" s="1"/>
      <c r="T136" s="77"/>
      <c r="U136" s="294"/>
      <c r="W136" s="176">
        <f t="shared" si="177"/>
        <v>0</v>
      </c>
      <c r="X136" s="176">
        <f>W136</f>
        <v>0</v>
      </c>
      <c r="Y136" s="34">
        <f>X136/Calculation_sheet!M$67</f>
        <v>0</v>
      </c>
      <c r="Z136" s="176">
        <f ca="1">IF(AN136&gt;0,Y136*Calculation_sheet!C$87,0)</f>
        <v>0</v>
      </c>
      <c r="AA136" s="176">
        <f t="shared" ca="1" si="191"/>
        <v>0</v>
      </c>
      <c r="AB136" s="176">
        <f ca="1">IF(AP136&gt;0,AA136*Calculation_sheet!C$94,0)</f>
        <v>0</v>
      </c>
      <c r="AC136" s="176">
        <f t="shared" ca="1" si="178"/>
        <v>0</v>
      </c>
      <c r="AD136" s="958">
        <f ca="1">AC136*Calculation_sheet!C$99</f>
        <v>0</v>
      </c>
      <c r="AE136" s="176">
        <f t="shared" ca="1" si="178"/>
        <v>0</v>
      </c>
      <c r="AF136" s="176">
        <f t="shared" ca="1" si="192"/>
        <v>0</v>
      </c>
      <c r="AG136" s="958">
        <f ca="1">AF136*User_sheet!B$77/100</f>
        <v>0</v>
      </c>
      <c r="AH136" s="313"/>
      <c r="AI136" s="883">
        <v>101</v>
      </c>
      <c r="AJ136" s="985"/>
      <c r="AK136" s="1020">
        <f t="shared" ca="1" si="106"/>
        <v>136.15845871639959</v>
      </c>
      <c r="AL136" s="954">
        <f ca="1">AK136/'101'!I$24</f>
        <v>0.38591472155446888</v>
      </c>
      <c r="AM136" s="954">
        <f ca="1">0.8*(AK136*30+'101'!D$17*0.34*30*1)</f>
        <v>6993.2738571935906</v>
      </c>
      <c r="AN136" s="954">
        <f ca="1">IF(AM136&lt;User_sheet!B$50,Y136,0)</f>
        <v>0</v>
      </c>
      <c r="AO136" s="954">
        <f ca="1">20-(User_sheet!B$57/('Freestanding '!AK136+'101'!D$17*1*0.34))</f>
        <v>0.43834650357908345</v>
      </c>
      <c r="AP136" s="954">
        <f ca="1">IF(AO136&lt;User_sheet!B$59,0,BC136*AA136)</f>
        <v>0</v>
      </c>
      <c r="AQ136" s="985"/>
      <c r="AR136" s="883">
        <v>0.32</v>
      </c>
      <c r="AS136" s="883">
        <v>0.43</v>
      </c>
      <c r="AT136" s="883">
        <v>0.43</v>
      </c>
      <c r="AU136" s="883">
        <v>2</v>
      </c>
      <c r="AV136" s="883">
        <v>3.3</v>
      </c>
      <c r="AW136" s="883">
        <v>14356</v>
      </c>
      <c r="AX136" s="883">
        <v>74834</v>
      </c>
      <c r="AY136" s="883">
        <v>69246</v>
      </c>
      <c r="AZ136" s="886">
        <v>0</v>
      </c>
      <c r="BA136" s="886">
        <v>0</v>
      </c>
      <c r="BB136" s="883">
        <v>0.6</v>
      </c>
      <c r="BC136" s="888">
        <v>1</v>
      </c>
      <c r="BD136" s="889">
        <v>0</v>
      </c>
      <c r="BE136" s="889">
        <v>0</v>
      </c>
      <c r="BF136" s="890">
        <v>0</v>
      </c>
      <c r="BG136" s="889">
        <v>0</v>
      </c>
      <c r="BH136" s="889">
        <v>1</v>
      </c>
      <c r="BI136" s="890">
        <v>0</v>
      </c>
      <c r="BJ136" s="889">
        <v>0</v>
      </c>
      <c r="BK136" s="889">
        <v>0</v>
      </c>
      <c r="BL136" s="889">
        <v>1</v>
      </c>
      <c r="BM136" s="890">
        <v>0</v>
      </c>
      <c r="BN136" s="958">
        <v>5.0000000000000001E-3</v>
      </c>
      <c r="BO136" s="959">
        <v>2.5</v>
      </c>
      <c r="BP136" s="1018">
        <f t="shared" ca="1" si="179"/>
        <v>181.084</v>
      </c>
      <c r="BQ136" s="1018">
        <f t="shared" ca="1" si="180"/>
        <v>302.464</v>
      </c>
      <c r="BR136" s="1018">
        <f t="shared" ca="1" si="181"/>
        <v>104.854</v>
      </c>
      <c r="BS136" s="1018">
        <f t="shared" ca="1" si="182"/>
        <v>129.21406907627619</v>
      </c>
      <c r="BT136" s="1018">
        <f t="shared" ca="1" si="183"/>
        <v>104.86</v>
      </c>
      <c r="BU136" s="1018">
        <f t="shared" ca="1" si="184"/>
        <v>14</v>
      </c>
      <c r="BV136" s="1018">
        <f t="shared" ca="1" si="185"/>
        <v>4.3</v>
      </c>
      <c r="BW136" s="1018">
        <v>0</v>
      </c>
      <c r="BX136" s="1018">
        <f t="shared" ca="1" si="186"/>
        <v>31.789994946942901</v>
      </c>
      <c r="BY136" s="1018">
        <f t="shared" ca="1" si="187"/>
        <v>51.708074546592727</v>
      </c>
      <c r="BZ136" s="1018">
        <f t="shared" ca="1" si="107"/>
        <v>13.847531331430698</v>
      </c>
      <c r="CA136" s="1018">
        <f t="shared" ca="1" si="108"/>
        <v>27.999999988800003</v>
      </c>
      <c r="CB136" s="1018">
        <f t="shared" ca="1" si="188"/>
        <v>9.0267175572519083</v>
      </c>
      <c r="CC136" s="1018">
        <f t="shared" si="109"/>
        <v>0</v>
      </c>
      <c r="CD136" s="1018">
        <f t="shared" ca="1" si="189"/>
        <v>136.15845871639959</v>
      </c>
      <c r="CE136" s="1018">
        <f t="shared" ca="1" si="193"/>
        <v>87.336452062837907</v>
      </c>
      <c r="CF136" s="1018">
        <f t="shared" ca="1" si="110"/>
        <v>6.7048473233771251</v>
      </c>
      <c r="CG136" s="1018">
        <f t="shared" ca="1" si="111"/>
        <v>11163.302599529978</v>
      </c>
    </row>
    <row r="137" spans="4:85" x14ac:dyDescent="0.25">
      <c r="D137" s="1"/>
      <c r="F137" s="1"/>
      <c r="H137" s="6"/>
      <c r="I137" s="3"/>
      <c r="J137" s="6"/>
      <c r="K137" s="8"/>
      <c r="L137" s="6"/>
      <c r="M137" s="1"/>
      <c r="N137" s="1"/>
      <c r="O137" s="1"/>
      <c r="P137" s="1"/>
      <c r="Q137" s="1" t="s">
        <v>22</v>
      </c>
      <c r="R137" s="4"/>
      <c r="S137" s="1"/>
      <c r="T137" s="77"/>
      <c r="U137" s="294"/>
      <c r="W137" s="176">
        <f t="shared" si="177"/>
        <v>0</v>
      </c>
      <c r="X137" s="176">
        <f t="shared" si="190"/>
        <v>0</v>
      </c>
      <c r="Y137" s="34">
        <f>X137/Calculation_sheet!M$67</f>
        <v>0</v>
      </c>
      <c r="Z137" s="176">
        <f ca="1">IF(AN137&gt;0,Y137*Calculation_sheet!C$87,0)</f>
        <v>0</v>
      </c>
      <c r="AA137" s="176">
        <f t="shared" ca="1" si="191"/>
        <v>0</v>
      </c>
      <c r="AB137" s="176">
        <f ca="1">IF(AP137&gt;0,AA137*Calculation_sheet!C$94,0)</f>
        <v>0</v>
      </c>
      <c r="AC137" s="176">
        <f t="shared" ca="1" si="178"/>
        <v>0</v>
      </c>
      <c r="AD137" s="958">
        <f ca="1">AC137*Calculation_sheet!C$99</f>
        <v>0</v>
      </c>
      <c r="AE137" s="176">
        <f t="shared" ca="1" si="178"/>
        <v>0</v>
      </c>
      <c r="AF137" s="176">
        <f t="shared" ca="1" si="192"/>
        <v>0</v>
      </c>
      <c r="AG137" s="958">
        <f ca="1">AF137*User_sheet!B$77/100</f>
        <v>0</v>
      </c>
      <c r="AH137" s="313"/>
      <c r="AI137" s="883">
        <v>101</v>
      </c>
      <c r="AJ137" s="985"/>
      <c r="AK137" s="1020">
        <f t="shared" ca="1" si="106"/>
        <v>136.15845871639959</v>
      </c>
      <c r="AL137" s="954">
        <f ca="1">AK137/'101'!I$24</f>
        <v>0.38591472155446888</v>
      </c>
      <c r="AM137" s="954">
        <f ca="1">0.8*(AK137*30+'101'!D$17*0.34*30*1)</f>
        <v>6993.2738571935906</v>
      </c>
      <c r="AN137" s="954">
        <f ca="1">IF(AM137&lt;User_sheet!B$50,Y137,0)</f>
        <v>0</v>
      </c>
      <c r="AO137" s="954">
        <f ca="1">20-(User_sheet!B$57/('Freestanding '!AK137+'101'!D$17*1*0.34))</f>
        <v>0.43834650357908345</v>
      </c>
      <c r="AP137" s="954">
        <f ca="1">IF(AO137&lt;User_sheet!B$59,0,BC137*AA137)</f>
        <v>0</v>
      </c>
      <c r="AQ137" s="985"/>
      <c r="AR137" s="883">
        <v>0.32</v>
      </c>
      <c r="AS137" s="883">
        <v>0.43</v>
      </c>
      <c r="AT137" s="883">
        <v>0.43</v>
      </c>
      <c r="AU137" s="883">
        <v>2</v>
      </c>
      <c r="AV137" s="883">
        <v>3.3</v>
      </c>
      <c r="AW137" s="883">
        <v>14356</v>
      </c>
      <c r="AX137" s="883">
        <v>74834</v>
      </c>
      <c r="AY137" s="883">
        <v>69246</v>
      </c>
      <c r="AZ137" s="886">
        <v>0</v>
      </c>
      <c r="BA137" s="886">
        <v>0</v>
      </c>
      <c r="BB137" s="883">
        <v>0.6</v>
      </c>
      <c r="BC137" s="888">
        <v>0</v>
      </c>
      <c r="BD137" s="889">
        <v>1</v>
      </c>
      <c r="BE137" s="889">
        <v>0</v>
      </c>
      <c r="BF137" s="890">
        <v>0</v>
      </c>
      <c r="BG137" s="889">
        <v>1</v>
      </c>
      <c r="BH137" s="889">
        <v>0</v>
      </c>
      <c r="BI137" s="890">
        <v>0</v>
      </c>
      <c r="BJ137" s="889">
        <v>0</v>
      </c>
      <c r="BK137" s="889">
        <v>1</v>
      </c>
      <c r="BL137" s="889">
        <v>0</v>
      </c>
      <c r="BM137" s="890">
        <v>0</v>
      </c>
      <c r="BN137" s="958">
        <v>5.0000000000000001E-3</v>
      </c>
      <c r="BO137" s="959">
        <v>2.5</v>
      </c>
      <c r="BP137" s="1018">
        <f t="shared" ca="1" si="179"/>
        <v>181.084</v>
      </c>
      <c r="BQ137" s="1018">
        <f t="shared" ca="1" si="180"/>
        <v>302.464</v>
      </c>
      <c r="BR137" s="1018">
        <f t="shared" ca="1" si="181"/>
        <v>104.854</v>
      </c>
      <c r="BS137" s="1018">
        <f t="shared" ca="1" si="182"/>
        <v>129.21406907627619</v>
      </c>
      <c r="BT137" s="1018">
        <f t="shared" ca="1" si="183"/>
        <v>104.86</v>
      </c>
      <c r="BU137" s="1018">
        <f t="shared" ca="1" si="184"/>
        <v>14</v>
      </c>
      <c r="BV137" s="1018">
        <f t="shared" ca="1" si="185"/>
        <v>4.3</v>
      </c>
      <c r="BW137" s="1018">
        <v>0</v>
      </c>
      <c r="BX137" s="1018">
        <f t="shared" ca="1" si="186"/>
        <v>31.789994946942901</v>
      </c>
      <c r="BY137" s="1018">
        <f t="shared" ca="1" si="187"/>
        <v>51.708074546592727</v>
      </c>
      <c r="BZ137" s="1018">
        <f t="shared" ca="1" si="107"/>
        <v>13.847531331430698</v>
      </c>
      <c r="CA137" s="1018">
        <f t="shared" ca="1" si="108"/>
        <v>27.999999988800003</v>
      </c>
      <c r="CB137" s="1018">
        <f t="shared" ca="1" si="188"/>
        <v>9.0267175572519083</v>
      </c>
      <c r="CC137" s="1018">
        <f t="shared" si="109"/>
        <v>0</v>
      </c>
      <c r="CD137" s="1018">
        <f t="shared" ca="1" si="189"/>
        <v>136.15845871639959</v>
      </c>
      <c r="CE137" s="1018">
        <f t="shared" ca="1" si="193"/>
        <v>87.336452062837907</v>
      </c>
      <c r="CF137" s="1018">
        <f t="shared" ca="1" si="110"/>
        <v>6.7048473233771251</v>
      </c>
      <c r="CG137" s="1018">
        <f t="shared" ca="1" si="111"/>
        <v>11163.302599529978</v>
      </c>
    </row>
    <row r="138" spans="4:85" x14ac:dyDescent="0.25">
      <c r="D138" s="1"/>
      <c r="F138" s="1"/>
      <c r="H138" s="6"/>
      <c r="J138" s="3" t="s">
        <v>143</v>
      </c>
      <c r="K138" s="8"/>
      <c r="L138" s="6"/>
      <c r="M138" s="1"/>
      <c r="N138" s="1"/>
      <c r="O138" s="1" t="s">
        <v>18</v>
      </c>
      <c r="P138" s="4"/>
      <c r="Q138" s="1" t="s">
        <v>7</v>
      </c>
      <c r="R138" s="4"/>
      <c r="S138" s="1"/>
      <c r="T138" s="77"/>
      <c r="U138" s="294"/>
      <c r="W138" s="176">
        <f t="shared" si="177"/>
        <v>0</v>
      </c>
      <c r="X138" s="176">
        <f t="shared" si="190"/>
        <v>0</v>
      </c>
      <c r="Y138" s="34">
        <f>X138/Calculation_sheet!M$67</f>
        <v>0</v>
      </c>
      <c r="Z138" s="176">
        <f ca="1">IF(AN138&gt;0,Y138*Calculation_sheet!C$87,0)</f>
        <v>0</v>
      </c>
      <c r="AA138" s="176">
        <f t="shared" ca="1" si="191"/>
        <v>0</v>
      </c>
      <c r="AB138" s="176">
        <f ca="1">IF(AP138&gt;0,AA138*Calculation_sheet!C$94,0)</f>
        <v>0</v>
      </c>
      <c r="AC138" s="176">
        <f t="shared" ca="1" si="178"/>
        <v>0</v>
      </c>
      <c r="AD138" s="958">
        <f ca="1">AC138*Calculation_sheet!C$99</f>
        <v>0</v>
      </c>
      <c r="AE138" s="176">
        <f t="shared" ca="1" si="178"/>
        <v>0</v>
      </c>
      <c r="AF138" s="176">
        <f t="shared" ca="1" si="192"/>
        <v>0</v>
      </c>
      <c r="AG138" s="958">
        <f ca="1">AF138*User_sheet!B$77/100</f>
        <v>0</v>
      </c>
      <c r="AH138" s="313"/>
      <c r="AI138" s="883">
        <v>101</v>
      </c>
      <c r="AJ138" s="985"/>
      <c r="AK138" s="1020">
        <f t="shared" ca="1" si="106"/>
        <v>136.15845871639959</v>
      </c>
      <c r="AL138" s="954">
        <f ca="1">AK138/'101'!I$24</f>
        <v>0.38591472155446888</v>
      </c>
      <c r="AM138" s="954">
        <f ca="1">0.8*(AK138*30+'101'!D$17*0.34*30*1)</f>
        <v>6993.2738571935906</v>
      </c>
      <c r="AN138" s="954">
        <f ca="1">IF(AM138&lt;User_sheet!B$50,Y138,0)</f>
        <v>0</v>
      </c>
      <c r="AO138" s="954">
        <f ca="1">20-(User_sheet!B$57/('Freestanding '!AK138+'101'!D$17*1*0.34))</f>
        <v>0.43834650357908345</v>
      </c>
      <c r="AP138" s="954">
        <f ca="1">IF(AO138&lt;User_sheet!B$59,0,BC138*AA138)</f>
        <v>0</v>
      </c>
      <c r="AQ138" s="985"/>
      <c r="AR138" s="883">
        <v>0.32</v>
      </c>
      <c r="AS138" s="883">
        <v>0.43</v>
      </c>
      <c r="AT138" s="883">
        <v>0.43</v>
      </c>
      <c r="AU138" s="883">
        <v>2</v>
      </c>
      <c r="AV138" s="883">
        <v>3.3</v>
      </c>
      <c r="AW138" s="883">
        <v>14356</v>
      </c>
      <c r="AX138" s="883">
        <v>74834</v>
      </c>
      <c r="AY138" s="883">
        <v>69246</v>
      </c>
      <c r="AZ138" s="886">
        <v>0</v>
      </c>
      <c r="BA138" s="886">
        <v>0</v>
      </c>
      <c r="BB138" s="883">
        <v>0.6</v>
      </c>
      <c r="BC138" s="888">
        <v>0</v>
      </c>
      <c r="BD138" s="889">
        <v>1</v>
      </c>
      <c r="BE138" s="889">
        <v>0</v>
      </c>
      <c r="BF138" s="890">
        <v>0</v>
      </c>
      <c r="BG138" s="889">
        <v>1</v>
      </c>
      <c r="BH138" s="889">
        <v>0</v>
      </c>
      <c r="BI138" s="890">
        <v>0</v>
      </c>
      <c r="BJ138" s="889">
        <v>0</v>
      </c>
      <c r="BK138" s="889">
        <v>0</v>
      </c>
      <c r="BL138" s="889">
        <v>1</v>
      </c>
      <c r="BM138" s="890">
        <v>0</v>
      </c>
      <c r="BN138" s="958">
        <v>5.0000000000000001E-3</v>
      </c>
      <c r="BO138" s="959">
        <v>2.5</v>
      </c>
      <c r="BP138" s="1018">
        <f t="shared" ca="1" si="179"/>
        <v>181.084</v>
      </c>
      <c r="BQ138" s="1018">
        <f t="shared" ca="1" si="180"/>
        <v>302.464</v>
      </c>
      <c r="BR138" s="1018">
        <f t="shared" ca="1" si="181"/>
        <v>104.854</v>
      </c>
      <c r="BS138" s="1018">
        <f t="shared" ca="1" si="182"/>
        <v>129.21406907627619</v>
      </c>
      <c r="BT138" s="1018">
        <f t="shared" ca="1" si="183"/>
        <v>104.86</v>
      </c>
      <c r="BU138" s="1018">
        <f t="shared" ca="1" si="184"/>
        <v>14</v>
      </c>
      <c r="BV138" s="1018">
        <f t="shared" ca="1" si="185"/>
        <v>4.3</v>
      </c>
      <c r="BW138" s="1018">
        <v>0</v>
      </c>
      <c r="BX138" s="1018">
        <f t="shared" ca="1" si="186"/>
        <v>31.789994946942901</v>
      </c>
      <c r="BY138" s="1018">
        <f t="shared" ca="1" si="187"/>
        <v>51.708074546592727</v>
      </c>
      <c r="BZ138" s="1018">
        <f t="shared" ca="1" si="107"/>
        <v>13.847531331430698</v>
      </c>
      <c r="CA138" s="1018">
        <f t="shared" ca="1" si="108"/>
        <v>27.999999988800003</v>
      </c>
      <c r="CB138" s="1018">
        <f t="shared" ca="1" si="188"/>
        <v>9.0267175572519083</v>
      </c>
      <c r="CC138" s="1018">
        <f t="shared" si="109"/>
        <v>0</v>
      </c>
      <c r="CD138" s="1018">
        <f t="shared" ca="1" si="189"/>
        <v>136.15845871639959</v>
      </c>
      <c r="CE138" s="1018">
        <f t="shared" ca="1" si="193"/>
        <v>87.336452062837907</v>
      </c>
      <c r="CF138" s="1018">
        <f t="shared" ca="1" si="110"/>
        <v>6.7048473233771251</v>
      </c>
      <c r="CG138" s="1018">
        <f t="shared" ca="1" si="111"/>
        <v>11163.302599529978</v>
      </c>
    </row>
    <row r="139" spans="4:85" x14ac:dyDescent="0.25">
      <c r="D139" s="1"/>
      <c r="F139" s="1"/>
      <c r="H139" s="6"/>
      <c r="I139" s="3"/>
      <c r="J139" s="6" t="s">
        <v>190</v>
      </c>
      <c r="K139" s="8"/>
      <c r="L139" s="6"/>
      <c r="M139" s="1"/>
      <c r="N139" s="1"/>
      <c r="O139" s="1"/>
      <c r="P139" s="1"/>
      <c r="Q139" s="1" t="s">
        <v>22</v>
      </c>
      <c r="R139" s="4"/>
      <c r="S139" s="1"/>
      <c r="T139" s="77"/>
      <c r="U139" s="294"/>
      <c r="W139" s="176">
        <f t="shared" si="177"/>
        <v>0</v>
      </c>
      <c r="X139" s="176">
        <f t="shared" si="190"/>
        <v>0</v>
      </c>
      <c r="Y139" s="34">
        <f>X139/Calculation_sheet!M$67</f>
        <v>0</v>
      </c>
      <c r="Z139" s="176">
        <f ca="1">IF(AN139&gt;0,Y139*Calculation_sheet!C$87,0)</f>
        <v>0</v>
      </c>
      <c r="AA139" s="176">
        <f t="shared" ca="1" si="191"/>
        <v>0</v>
      </c>
      <c r="AB139" s="176">
        <f ca="1">IF(AP139&gt;0,AA139*Calculation_sheet!C$94,0)</f>
        <v>0</v>
      </c>
      <c r="AC139" s="176">
        <f t="shared" ca="1" si="178"/>
        <v>0</v>
      </c>
      <c r="AD139" s="958">
        <f ca="1">AC139*Calculation_sheet!C$99</f>
        <v>0</v>
      </c>
      <c r="AE139" s="176">
        <f t="shared" ca="1" si="178"/>
        <v>0</v>
      </c>
      <c r="AF139" s="176">
        <f t="shared" ca="1" si="192"/>
        <v>0</v>
      </c>
      <c r="AG139" s="958">
        <f ca="1">AF139*User_sheet!B$77/100</f>
        <v>0</v>
      </c>
      <c r="AH139" s="313"/>
      <c r="AI139" s="883">
        <v>101</v>
      </c>
      <c r="AJ139" s="985"/>
      <c r="AK139" s="1020">
        <f t="shared" ca="1" si="106"/>
        <v>136.15845871639959</v>
      </c>
      <c r="AL139" s="954">
        <f ca="1">AK139/'101'!I$24</f>
        <v>0.38591472155446888</v>
      </c>
      <c r="AM139" s="954">
        <f ca="1">0.8*(AK139*30+'101'!D$17*0.34*30*1)</f>
        <v>6993.2738571935906</v>
      </c>
      <c r="AN139" s="954">
        <f ca="1">IF(AM139&lt;User_sheet!B$50,Y139,0)</f>
        <v>0</v>
      </c>
      <c r="AO139" s="954">
        <f ca="1">20-(User_sheet!B$57/('Freestanding '!AK139+'101'!D$17*1*0.34))</f>
        <v>0.43834650357908345</v>
      </c>
      <c r="AP139" s="954">
        <f ca="1">IF(AO139&lt;User_sheet!B$59,0,BC139*AA139)</f>
        <v>0</v>
      </c>
      <c r="AQ139" s="985"/>
      <c r="AR139" s="883">
        <v>0.32</v>
      </c>
      <c r="AS139" s="883">
        <v>0.43</v>
      </c>
      <c r="AT139" s="883">
        <v>0.43</v>
      </c>
      <c r="AU139" s="883">
        <v>2</v>
      </c>
      <c r="AV139" s="883">
        <v>3.3</v>
      </c>
      <c r="AW139" s="883">
        <v>14356</v>
      </c>
      <c r="AX139" s="883">
        <v>74834</v>
      </c>
      <c r="AY139" s="883">
        <v>69246</v>
      </c>
      <c r="AZ139" s="886">
        <v>0</v>
      </c>
      <c r="BA139" s="886">
        <v>0</v>
      </c>
      <c r="BB139" s="883">
        <v>0.6</v>
      </c>
      <c r="BC139" s="888">
        <v>0</v>
      </c>
      <c r="BD139" s="889">
        <v>1</v>
      </c>
      <c r="BE139" s="889">
        <v>0</v>
      </c>
      <c r="BF139" s="890">
        <v>0</v>
      </c>
      <c r="BG139" s="889">
        <v>0</v>
      </c>
      <c r="BH139" s="889">
        <v>1</v>
      </c>
      <c r="BI139" s="890">
        <v>0</v>
      </c>
      <c r="BJ139" s="889">
        <v>0</v>
      </c>
      <c r="BK139" s="889">
        <v>1</v>
      </c>
      <c r="BL139" s="889">
        <v>0</v>
      </c>
      <c r="BM139" s="890">
        <v>0</v>
      </c>
      <c r="BN139" s="958">
        <v>5.0000000000000001E-3</v>
      </c>
      <c r="BO139" s="959">
        <v>2.5</v>
      </c>
      <c r="BP139" s="1018">
        <f t="shared" ca="1" si="179"/>
        <v>181.084</v>
      </c>
      <c r="BQ139" s="1018">
        <f t="shared" ca="1" si="180"/>
        <v>302.464</v>
      </c>
      <c r="BR139" s="1018">
        <f t="shared" ca="1" si="181"/>
        <v>104.854</v>
      </c>
      <c r="BS139" s="1018">
        <f t="shared" ca="1" si="182"/>
        <v>129.21406907627619</v>
      </c>
      <c r="BT139" s="1018">
        <f t="shared" ca="1" si="183"/>
        <v>104.86</v>
      </c>
      <c r="BU139" s="1018">
        <f t="shared" ca="1" si="184"/>
        <v>14</v>
      </c>
      <c r="BV139" s="1018">
        <f t="shared" ca="1" si="185"/>
        <v>4.3</v>
      </c>
      <c r="BW139" s="1018">
        <v>0</v>
      </c>
      <c r="BX139" s="1018">
        <f t="shared" ca="1" si="186"/>
        <v>31.789994946942901</v>
      </c>
      <c r="BY139" s="1018">
        <f t="shared" ca="1" si="187"/>
        <v>51.708074546592727</v>
      </c>
      <c r="BZ139" s="1018">
        <f t="shared" ca="1" si="107"/>
        <v>13.847531331430698</v>
      </c>
      <c r="CA139" s="1018">
        <f t="shared" ca="1" si="108"/>
        <v>27.999999988800003</v>
      </c>
      <c r="CB139" s="1018">
        <f t="shared" ca="1" si="188"/>
        <v>9.0267175572519083</v>
      </c>
      <c r="CC139" s="1018">
        <f t="shared" si="109"/>
        <v>0</v>
      </c>
      <c r="CD139" s="1018">
        <f t="shared" ca="1" si="189"/>
        <v>136.15845871639959</v>
      </c>
      <c r="CE139" s="1018">
        <f t="shared" ca="1" si="193"/>
        <v>87.336452062837907</v>
      </c>
      <c r="CF139" s="1018">
        <f t="shared" ca="1" si="110"/>
        <v>6.7048473233771251</v>
      </c>
      <c r="CG139" s="1018">
        <f t="shared" ca="1" si="111"/>
        <v>11163.302599529978</v>
      </c>
    </row>
    <row r="140" spans="4:85" x14ac:dyDescent="0.25">
      <c r="D140" s="1"/>
      <c r="F140" s="1"/>
      <c r="H140" s="6"/>
      <c r="I140" s="3"/>
      <c r="J140" s="6"/>
      <c r="K140" s="8"/>
      <c r="L140" s="6"/>
      <c r="M140" s="1" t="s">
        <v>22</v>
      </c>
      <c r="N140" s="4"/>
      <c r="O140" s="1" t="s">
        <v>20</v>
      </c>
      <c r="P140" s="4"/>
      <c r="Q140" s="1" t="s">
        <v>7</v>
      </c>
      <c r="R140" s="4"/>
      <c r="S140" s="1"/>
      <c r="T140" s="77"/>
      <c r="U140" s="294"/>
      <c r="W140" s="176">
        <f t="shared" si="177"/>
        <v>0</v>
      </c>
      <c r="X140" s="176">
        <f t="shared" si="190"/>
        <v>0</v>
      </c>
      <c r="Y140" s="34">
        <f>X140/Calculation_sheet!M$67</f>
        <v>0</v>
      </c>
      <c r="Z140" s="176">
        <f ca="1">IF(AN140&gt;0,Y140*Calculation_sheet!C$87,0)</f>
        <v>0</v>
      </c>
      <c r="AA140" s="176">
        <f t="shared" ca="1" si="191"/>
        <v>0</v>
      </c>
      <c r="AB140" s="176">
        <f ca="1">IF(AP140&gt;0,AA140*Calculation_sheet!C$94,0)</f>
        <v>0</v>
      </c>
      <c r="AC140" s="176">
        <f t="shared" ca="1" si="178"/>
        <v>0</v>
      </c>
      <c r="AD140" s="958">
        <f ca="1">AC140*Calculation_sheet!C$99</f>
        <v>0</v>
      </c>
      <c r="AE140" s="176">
        <f t="shared" ca="1" si="178"/>
        <v>0</v>
      </c>
      <c r="AF140" s="176">
        <f t="shared" ca="1" si="192"/>
        <v>0</v>
      </c>
      <c r="AG140" s="958">
        <f ca="1">AF140*User_sheet!B$77/100</f>
        <v>0</v>
      </c>
      <c r="AH140" s="313"/>
      <c r="AI140" s="883">
        <v>101</v>
      </c>
      <c r="AJ140" s="985"/>
      <c r="AK140" s="1020">
        <f t="shared" ca="1" si="106"/>
        <v>136.15845871639959</v>
      </c>
      <c r="AL140" s="954">
        <f ca="1">AK140/'101'!I$24</f>
        <v>0.38591472155446888</v>
      </c>
      <c r="AM140" s="954">
        <f ca="1">0.8*(AK140*30+'101'!D$17*0.34*30*1)</f>
        <v>6993.2738571935906</v>
      </c>
      <c r="AN140" s="954">
        <f ca="1">IF(AM140&lt;User_sheet!B$50,Y140,0)</f>
        <v>0</v>
      </c>
      <c r="AO140" s="954">
        <f ca="1">20-(User_sheet!B$57/('Freestanding '!AK140+'101'!D$17*1*0.34))</f>
        <v>0.43834650357908345</v>
      </c>
      <c r="AP140" s="954">
        <f ca="1">IF(AO140&lt;User_sheet!B$59,0,BC140*AA140)</f>
        <v>0</v>
      </c>
      <c r="AQ140" s="985"/>
      <c r="AR140" s="883">
        <v>0.32</v>
      </c>
      <c r="AS140" s="883">
        <v>0.43</v>
      </c>
      <c r="AT140" s="883">
        <v>0.43</v>
      </c>
      <c r="AU140" s="883">
        <v>2</v>
      </c>
      <c r="AV140" s="883">
        <v>3.3</v>
      </c>
      <c r="AW140" s="883">
        <v>14356</v>
      </c>
      <c r="AX140" s="883">
        <v>74834</v>
      </c>
      <c r="AY140" s="883">
        <v>69246</v>
      </c>
      <c r="AZ140" s="886">
        <v>0</v>
      </c>
      <c r="BA140" s="886">
        <v>0</v>
      </c>
      <c r="BB140" s="883">
        <v>0.6</v>
      </c>
      <c r="BC140" s="888">
        <v>0</v>
      </c>
      <c r="BD140" s="889">
        <v>1</v>
      </c>
      <c r="BE140" s="889">
        <v>0</v>
      </c>
      <c r="BF140" s="890">
        <v>0</v>
      </c>
      <c r="BG140" s="889">
        <v>0</v>
      </c>
      <c r="BH140" s="889">
        <v>1</v>
      </c>
      <c r="BI140" s="890">
        <v>0</v>
      </c>
      <c r="BJ140" s="889">
        <v>0</v>
      </c>
      <c r="BK140" s="889">
        <v>0</v>
      </c>
      <c r="BL140" s="889">
        <v>1</v>
      </c>
      <c r="BM140" s="890">
        <v>0</v>
      </c>
      <c r="BN140" s="958">
        <v>5.0000000000000001E-3</v>
      </c>
      <c r="BO140" s="959">
        <v>2.5</v>
      </c>
      <c r="BP140" s="1018">
        <f t="shared" ca="1" si="179"/>
        <v>181.084</v>
      </c>
      <c r="BQ140" s="1018">
        <f t="shared" ca="1" si="180"/>
        <v>302.464</v>
      </c>
      <c r="BR140" s="1018">
        <f t="shared" ca="1" si="181"/>
        <v>104.854</v>
      </c>
      <c r="BS140" s="1018">
        <f t="shared" ca="1" si="182"/>
        <v>129.21406907627619</v>
      </c>
      <c r="BT140" s="1018">
        <f t="shared" ca="1" si="183"/>
        <v>104.86</v>
      </c>
      <c r="BU140" s="1018">
        <f t="shared" ca="1" si="184"/>
        <v>14</v>
      </c>
      <c r="BV140" s="1018">
        <f t="shared" ca="1" si="185"/>
        <v>4.3</v>
      </c>
      <c r="BW140" s="1018">
        <v>0</v>
      </c>
      <c r="BX140" s="1018">
        <f t="shared" ca="1" si="186"/>
        <v>31.789994946942901</v>
      </c>
      <c r="BY140" s="1018">
        <f t="shared" ca="1" si="187"/>
        <v>51.708074546592727</v>
      </c>
      <c r="BZ140" s="1018">
        <f t="shared" ca="1" si="107"/>
        <v>13.847531331430698</v>
      </c>
      <c r="CA140" s="1018">
        <f t="shared" ca="1" si="108"/>
        <v>27.999999988800003</v>
      </c>
      <c r="CB140" s="1018">
        <f t="shared" ca="1" si="188"/>
        <v>9.0267175572519083</v>
      </c>
      <c r="CC140" s="1018">
        <f t="shared" si="109"/>
        <v>0</v>
      </c>
      <c r="CD140" s="1018">
        <f t="shared" ca="1" si="189"/>
        <v>136.15845871639959</v>
      </c>
      <c r="CE140" s="1018">
        <f t="shared" ca="1" si="193"/>
        <v>87.336452062837907</v>
      </c>
      <c r="CF140" s="1018">
        <f t="shared" ca="1" si="110"/>
        <v>6.7048473233771251</v>
      </c>
      <c r="CG140" s="1018">
        <f t="shared" ca="1" si="111"/>
        <v>11163.302599529978</v>
      </c>
    </row>
    <row r="141" spans="4:85" x14ac:dyDescent="0.25">
      <c r="D141" s="1"/>
      <c r="F141" s="1"/>
      <c r="H141" s="6"/>
      <c r="I141" s="3"/>
      <c r="J141" s="6"/>
      <c r="K141" s="8"/>
      <c r="L141" s="6"/>
      <c r="M141" s="1" t="s">
        <v>7</v>
      </c>
      <c r="N141" s="4"/>
      <c r="O141" s="1" t="s">
        <v>23</v>
      </c>
      <c r="P141" s="4"/>
      <c r="Q141" s="1" t="s">
        <v>7</v>
      </c>
      <c r="R141" s="4"/>
      <c r="S141" s="1"/>
      <c r="T141" s="77"/>
      <c r="U141" s="294"/>
      <c r="W141" s="176">
        <f t="shared" si="177"/>
        <v>0</v>
      </c>
      <c r="X141" s="176">
        <f t="shared" si="190"/>
        <v>0</v>
      </c>
      <c r="Y141" s="34">
        <f>X141/Calculation_sheet!M$67</f>
        <v>0</v>
      </c>
      <c r="Z141" s="176">
        <f ca="1">IF(AN141&gt;0,Y141*Calculation_sheet!C$87,0)</f>
        <v>0</v>
      </c>
      <c r="AA141" s="176">
        <f t="shared" ca="1" si="191"/>
        <v>0</v>
      </c>
      <c r="AB141" s="176">
        <f ca="1">IF(AP141&gt;0,AA141*Calculation_sheet!C$94,0)</f>
        <v>0</v>
      </c>
      <c r="AC141" s="176">
        <f t="shared" ca="1" si="178"/>
        <v>0</v>
      </c>
      <c r="AD141" s="958">
        <f ca="1">AC141*Calculation_sheet!C$99</f>
        <v>0</v>
      </c>
      <c r="AE141" s="176">
        <f t="shared" ca="1" si="178"/>
        <v>0</v>
      </c>
      <c r="AF141" s="176">
        <f t="shared" ca="1" si="192"/>
        <v>0</v>
      </c>
      <c r="AG141" s="958">
        <f ca="1">AF141*User_sheet!B$77/100</f>
        <v>0</v>
      </c>
      <c r="AH141" s="313"/>
      <c r="AI141" s="883">
        <v>101</v>
      </c>
      <c r="AJ141" s="985"/>
      <c r="AK141" s="1020">
        <f t="shared" ca="1" si="106"/>
        <v>136.15845871639959</v>
      </c>
      <c r="AL141" s="954">
        <f ca="1">AK141/'101'!I$24</f>
        <v>0.38591472155446888</v>
      </c>
      <c r="AM141" s="954">
        <f ca="1">0.8*(AK141*30+'101'!D$17*0.34*30*1)</f>
        <v>6993.2738571935906</v>
      </c>
      <c r="AN141" s="954">
        <f ca="1">IF(AM141&lt;User_sheet!B$50,Y141,0)</f>
        <v>0</v>
      </c>
      <c r="AO141" s="954">
        <f ca="1">20-(User_sheet!B$57/('Freestanding '!AK141+'101'!D$17*1*0.34))</f>
        <v>0.43834650357908345</v>
      </c>
      <c r="AP141" s="954">
        <f ca="1">IF(AO141&lt;User_sheet!B$59,0,BC141*AA141)</f>
        <v>0</v>
      </c>
      <c r="AQ141" s="985"/>
      <c r="AR141" s="883">
        <v>0.32</v>
      </c>
      <c r="AS141" s="883">
        <v>0.43</v>
      </c>
      <c r="AT141" s="883">
        <v>0.43</v>
      </c>
      <c r="AU141" s="883">
        <v>2</v>
      </c>
      <c r="AV141" s="883">
        <v>3.3</v>
      </c>
      <c r="AW141" s="883">
        <v>14356</v>
      </c>
      <c r="AX141" s="883">
        <v>74834</v>
      </c>
      <c r="AY141" s="883">
        <v>69246</v>
      </c>
      <c r="AZ141" s="886">
        <v>0</v>
      </c>
      <c r="BA141" s="886">
        <v>0</v>
      </c>
      <c r="BB141" s="883">
        <v>0.6</v>
      </c>
      <c r="BC141" s="888">
        <v>0</v>
      </c>
      <c r="BD141" s="889">
        <v>0</v>
      </c>
      <c r="BE141" s="889">
        <v>1</v>
      </c>
      <c r="BF141" s="890">
        <v>0</v>
      </c>
      <c r="BG141" s="889">
        <v>0</v>
      </c>
      <c r="BH141" s="889">
        <v>0</v>
      </c>
      <c r="BI141" s="890">
        <v>1</v>
      </c>
      <c r="BJ141" s="889">
        <v>0</v>
      </c>
      <c r="BK141" s="889">
        <v>0</v>
      </c>
      <c r="BL141" s="889">
        <v>1</v>
      </c>
      <c r="BM141" s="890">
        <v>0</v>
      </c>
      <c r="BN141" s="958">
        <v>5.0000000000000001E-3</v>
      </c>
      <c r="BO141" s="959">
        <v>2.5</v>
      </c>
      <c r="BP141" s="1018">
        <f t="shared" ca="1" si="179"/>
        <v>181.084</v>
      </c>
      <c r="BQ141" s="1018">
        <f t="shared" ca="1" si="180"/>
        <v>302.464</v>
      </c>
      <c r="BR141" s="1018">
        <f t="shared" ca="1" si="181"/>
        <v>104.854</v>
      </c>
      <c r="BS141" s="1018">
        <f t="shared" ca="1" si="182"/>
        <v>129.21406907627619</v>
      </c>
      <c r="BT141" s="1018">
        <f t="shared" ca="1" si="183"/>
        <v>104.86</v>
      </c>
      <c r="BU141" s="1018">
        <f t="shared" ca="1" si="184"/>
        <v>14</v>
      </c>
      <c r="BV141" s="1018">
        <f t="shared" ca="1" si="185"/>
        <v>4.3</v>
      </c>
      <c r="BW141" s="1018">
        <v>0</v>
      </c>
      <c r="BX141" s="1018">
        <f t="shared" ca="1" si="186"/>
        <v>31.789994946942901</v>
      </c>
      <c r="BY141" s="1018">
        <f t="shared" ca="1" si="187"/>
        <v>51.708074546592727</v>
      </c>
      <c r="BZ141" s="1018">
        <f t="shared" ca="1" si="107"/>
        <v>13.847531331430698</v>
      </c>
      <c r="CA141" s="1018">
        <f t="shared" ca="1" si="108"/>
        <v>27.999999988800003</v>
      </c>
      <c r="CB141" s="1018">
        <f t="shared" ca="1" si="188"/>
        <v>9.0267175572519083</v>
      </c>
      <c r="CC141" s="1018">
        <f t="shared" si="109"/>
        <v>0</v>
      </c>
      <c r="CD141" s="1018">
        <f t="shared" ca="1" si="189"/>
        <v>136.15845871639959</v>
      </c>
      <c r="CE141" s="1018">
        <f t="shared" ca="1" si="193"/>
        <v>87.336452062837907</v>
      </c>
      <c r="CF141" s="1018">
        <f t="shared" ca="1" si="110"/>
        <v>6.7048473233771251</v>
      </c>
      <c r="CG141" s="1018">
        <f t="shared" ca="1" si="111"/>
        <v>11163.302599529978</v>
      </c>
    </row>
    <row r="142" spans="4:85" x14ac:dyDescent="0.25">
      <c r="D142" s="1"/>
      <c r="F142" s="1"/>
      <c r="H142" s="6"/>
      <c r="I142" s="3"/>
      <c r="J142" s="6"/>
      <c r="K142" s="8"/>
      <c r="L142" s="6"/>
      <c r="M142" s="1"/>
      <c r="N142" s="1"/>
      <c r="O142" s="1" t="s">
        <v>18</v>
      </c>
      <c r="P142" s="4"/>
      <c r="Q142" s="1" t="s">
        <v>17</v>
      </c>
      <c r="R142" s="4"/>
      <c r="S142" s="1"/>
      <c r="T142" s="77"/>
      <c r="U142" s="294"/>
      <c r="W142" s="176">
        <f t="shared" si="177"/>
        <v>0</v>
      </c>
      <c r="X142" s="176">
        <f t="shared" si="190"/>
        <v>0</v>
      </c>
      <c r="Y142" s="34">
        <f>X142/Calculation_sheet!M$67</f>
        <v>0</v>
      </c>
      <c r="Z142" s="176">
        <f ca="1">IF(AN142&gt;0,Y142*Calculation_sheet!C$87,0)</f>
        <v>0</v>
      </c>
      <c r="AA142" s="176">
        <f t="shared" ca="1" si="191"/>
        <v>0</v>
      </c>
      <c r="AB142" s="176">
        <f ca="1">IF(AP142&gt;0,AA142*Calculation_sheet!C$94,0)</f>
        <v>0</v>
      </c>
      <c r="AC142" s="176">
        <f t="shared" ca="1" si="178"/>
        <v>0</v>
      </c>
      <c r="AD142" s="958">
        <f ca="1">AC142*Calculation_sheet!C$99</f>
        <v>0</v>
      </c>
      <c r="AE142" s="176">
        <f t="shared" ca="1" si="178"/>
        <v>0</v>
      </c>
      <c r="AF142" s="176">
        <f t="shared" ca="1" si="192"/>
        <v>0</v>
      </c>
      <c r="AG142" s="958">
        <f ca="1">AF142*User_sheet!B$77/100</f>
        <v>0</v>
      </c>
      <c r="AH142" s="313"/>
      <c r="AI142" s="883">
        <v>101</v>
      </c>
      <c r="AJ142" s="985"/>
      <c r="AK142" s="1020">
        <f t="shared" ref="AK142:AK205" ca="1" si="194">CD142</f>
        <v>136.15845871639959</v>
      </c>
      <c r="AL142" s="954">
        <f ca="1">AK142/'101'!I$24</f>
        <v>0.38591472155446888</v>
      </c>
      <c r="AM142" s="954">
        <f ca="1">0.8*(AK142*30+'101'!D$17*0.34*30*1)</f>
        <v>6993.2738571935906</v>
      </c>
      <c r="AN142" s="954">
        <f ca="1">IF(AM142&lt;User_sheet!B$50,Y142,0)</f>
        <v>0</v>
      </c>
      <c r="AO142" s="954">
        <f ca="1">20-(User_sheet!B$57/('Freestanding '!AK142+'101'!D$17*1*0.34))</f>
        <v>0.43834650357908345</v>
      </c>
      <c r="AP142" s="954">
        <f ca="1">IF(AO142&lt;User_sheet!B$59,0,BC142*AA142)</f>
        <v>0</v>
      </c>
      <c r="AQ142" s="985"/>
      <c r="AR142" s="883">
        <v>0.32</v>
      </c>
      <c r="AS142" s="883">
        <v>0.43</v>
      </c>
      <c r="AT142" s="883">
        <v>0.43</v>
      </c>
      <c r="AU142" s="883">
        <v>2</v>
      </c>
      <c r="AV142" s="883">
        <v>3.3</v>
      </c>
      <c r="AW142" s="883">
        <v>14356</v>
      </c>
      <c r="AX142" s="883">
        <v>74834</v>
      </c>
      <c r="AY142" s="883">
        <v>69246</v>
      </c>
      <c r="AZ142" s="886">
        <v>0</v>
      </c>
      <c r="BA142" s="886">
        <v>0</v>
      </c>
      <c r="BB142" s="883">
        <v>0.6</v>
      </c>
      <c r="BC142" s="888">
        <v>0</v>
      </c>
      <c r="BD142" s="889">
        <v>0</v>
      </c>
      <c r="BE142" s="889">
        <v>0</v>
      </c>
      <c r="BF142" s="890">
        <v>1</v>
      </c>
      <c r="BG142" s="889">
        <v>1</v>
      </c>
      <c r="BH142" s="889">
        <v>0</v>
      </c>
      <c r="BI142" s="890">
        <v>0</v>
      </c>
      <c r="BJ142" s="889">
        <v>0</v>
      </c>
      <c r="BK142" s="889">
        <v>0</v>
      </c>
      <c r="BL142" s="889">
        <v>0</v>
      </c>
      <c r="BM142" s="890">
        <v>1</v>
      </c>
      <c r="BN142" s="958">
        <v>5.0000000000000001E-3</v>
      </c>
      <c r="BO142" s="959">
        <v>2.5</v>
      </c>
      <c r="BP142" s="1018">
        <f t="shared" ca="1" si="179"/>
        <v>181.084</v>
      </c>
      <c r="BQ142" s="1018">
        <f t="shared" ca="1" si="180"/>
        <v>302.464</v>
      </c>
      <c r="BR142" s="1018">
        <f t="shared" ca="1" si="181"/>
        <v>104.854</v>
      </c>
      <c r="BS142" s="1018">
        <f t="shared" ca="1" si="182"/>
        <v>129.21406907627619</v>
      </c>
      <c r="BT142" s="1018">
        <f t="shared" ca="1" si="183"/>
        <v>104.86</v>
      </c>
      <c r="BU142" s="1018">
        <f t="shared" ca="1" si="184"/>
        <v>14</v>
      </c>
      <c r="BV142" s="1018">
        <f t="shared" ca="1" si="185"/>
        <v>4.3</v>
      </c>
      <c r="BW142" s="1018">
        <v>0</v>
      </c>
      <c r="BX142" s="1018">
        <f t="shared" ca="1" si="186"/>
        <v>31.789994946942901</v>
      </c>
      <c r="BY142" s="1018">
        <f t="shared" ca="1" si="187"/>
        <v>51.708074546592727</v>
      </c>
      <c r="BZ142" s="1018">
        <f t="shared" ref="BZ142:BZ205" ca="1" si="195">IF(BT142=0,0,1/(1/(BT142*$BY$3)+1/(BT142*AT142)+1/(BT142*$BY$4)))*0.33</f>
        <v>13.847531331430698</v>
      </c>
      <c r="CA142" s="1018">
        <f t="shared" ref="CA142:CA205" ca="1" si="196">IF(BU142=0,0,1/(1/(BU142*$BY$5)+1/(BU142*AU142)+1/(BU142*$BY$6)))</f>
        <v>27.999999988800003</v>
      </c>
      <c r="CB142" s="1018">
        <f t="shared" ca="1" si="188"/>
        <v>9.0267175572519083</v>
      </c>
      <c r="CC142" s="1018">
        <f t="shared" ref="CC142:CC205" si="197">0.67*IF(BW142=0,0,1/(1/(BW142*$BY$3)+1/(BW142*AS142)+1/(BW142*$BY$4)))</f>
        <v>0</v>
      </c>
      <c r="CD142" s="1018">
        <f t="shared" ca="1" si="189"/>
        <v>136.15845871639959</v>
      </c>
      <c r="CE142" s="1018">
        <f t="shared" ca="1" si="193"/>
        <v>87.336452062837907</v>
      </c>
      <c r="CF142" s="1018">
        <f t="shared" ref="CF142:CF205" ca="1" si="198">(CD142+CE142)*($BY$7-$BV$5)/1000</f>
        <v>6.7048473233771251</v>
      </c>
      <c r="CG142" s="1018">
        <f t="shared" ref="CG142:CG205" ca="1" si="199">$BV$8*(CD142+CE142)*($BY$10-$BV$7)*24/1000</f>
        <v>11163.302599529978</v>
      </c>
    </row>
    <row r="143" spans="4:85" x14ac:dyDescent="0.25">
      <c r="D143" s="1"/>
      <c r="F143" s="1"/>
      <c r="H143" s="6"/>
      <c r="I143" s="3"/>
      <c r="J143" s="6"/>
      <c r="K143" s="8"/>
      <c r="L143" s="6"/>
      <c r="M143" s="1" t="s">
        <v>17</v>
      </c>
      <c r="N143" s="4"/>
      <c r="O143" s="1" t="s">
        <v>19</v>
      </c>
      <c r="P143" s="4"/>
      <c r="Q143" s="1" t="s">
        <v>17</v>
      </c>
      <c r="R143" s="4"/>
      <c r="S143" s="1"/>
      <c r="T143" s="77"/>
      <c r="U143" s="294"/>
      <c r="W143" s="176">
        <f t="shared" si="177"/>
        <v>0</v>
      </c>
      <c r="X143" s="176">
        <f t="shared" si="190"/>
        <v>0</v>
      </c>
      <c r="Y143" s="34">
        <f>X143/Calculation_sheet!M$67</f>
        <v>0</v>
      </c>
      <c r="Z143" s="176">
        <f ca="1">IF(AN143&gt;0,Y143*Calculation_sheet!C$87,0)</f>
        <v>0</v>
      </c>
      <c r="AA143" s="176">
        <f t="shared" ca="1" si="191"/>
        <v>0</v>
      </c>
      <c r="AB143" s="176">
        <f ca="1">IF(AP143&gt;0,AA143*Calculation_sheet!C$94,0)</f>
        <v>0</v>
      </c>
      <c r="AC143" s="176">
        <f t="shared" ca="1" si="178"/>
        <v>0</v>
      </c>
      <c r="AD143" s="958">
        <f ca="1">AC143*Calculation_sheet!C$99</f>
        <v>0</v>
      </c>
      <c r="AE143" s="176">
        <f t="shared" ca="1" si="178"/>
        <v>0</v>
      </c>
      <c r="AF143" s="176">
        <f t="shared" ca="1" si="192"/>
        <v>0</v>
      </c>
      <c r="AG143" s="958">
        <f ca="1">AF143*User_sheet!B$77/100</f>
        <v>0</v>
      </c>
      <c r="AH143" s="313"/>
      <c r="AI143" s="883">
        <v>101</v>
      </c>
      <c r="AJ143" s="985"/>
      <c r="AK143" s="1020">
        <f t="shared" ca="1" si="194"/>
        <v>136.15845871639959</v>
      </c>
      <c r="AL143" s="954">
        <f ca="1">AK143/'101'!I$24</f>
        <v>0.38591472155446888</v>
      </c>
      <c r="AM143" s="954">
        <f ca="1">0.8*(AK143*30+'101'!D$17*0.34*30*1)</f>
        <v>6993.2738571935906</v>
      </c>
      <c r="AN143" s="954">
        <f ca="1">IF(AM143&lt;User_sheet!B$50,Y143,0)</f>
        <v>0</v>
      </c>
      <c r="AO143" s="954">
        <f ca="1">20-(User_sheet!B$57/('Freestanding '!AK143+'101'!D$17*1*0.34))</f>
        <v>0.43834650357908345</v>
      </c>
      <c r="AP143" s="954">
        <f ca="1">IF(AO143&lt;User_sheet!B$59,0,BC143*AA143)</f>
        <v>0</v>
      </c>
      <c r="AQ143" s="985"/>
      <c r="AR143" s="883">
        <v>0.32</v>
      </c>
      <c r="AS143" s="883">
        <v>0.43</v>
      </c>
      <c r="AT143" s="883">
        <v>0.43</v>
      </c>
      <c r="AU143" s="883">
        <v>2</v>
      </c>
      <c r="AV143" s="883">
        <v>3.3</v>
      </c>
      <c r="AW143" s="883">
        <v>14356</v>
      </c>
      <c r="AX143" s="883">
        <v>74834</v>
      </c>
      <c r="AY143" s="883">
        <v>69246</v>
      </c>
      <c r="AZ143" s="886">
        <v>0</v>
      </c>
      <c r="BA143" s="886">
        <v>0</v>
      </c>
      <c r="BB143" s="883">
        <v>0.6</v>
      </c>
      <c r="BC143" s="888">
        <v>0</v>
      </c>
      <c r="BD143" s="889">
        <v>0</v>
      </c>
      <c r="BE143" s="889">
        <v>0</v>
      </c>
      <c r="BF143" s="890">
        <v>1</v>
      </c>
      <c r="BG143" s="889">
        <v>0</v>
      </c>
      <c r="BH143" s="889">
        <v>1</v>
      </c>
      <c r="BI143" s="890">
        <v>0</v>
      </c>
      <c r="BJ143" s="889">
        <v>0</v>
      </c>
      <c r="BK143" s="889">
        <v>0</v>
      </c>
      <c r="BL143" s="889">
        <v>0</v>
      </c>
      <c r="BM143" s="890">
        <v>1</v>
      </c>
      <c r="BN143" s="958">
        <v>5.0000000000000001E-3</v>
      </c>
      <c r="BO143" s="959">
        <v>2.5</v>
      </c>
      <c r="BP143" s="1018">
        <f t="shared" ca="1" si="179"/>
        <v>181.084</v>
      </c>
      <c r="BQ143" s="1018">
        <f t="shared" ca="1" si="180"/>
        <v>302.464</v>
      </c>
      <c r="BR143" s="1018">
        <f t="shared" ca="1" si="181"/>
        <v>104.854</v>
      </c>
      <c r="BS143" s="1018">
        <f t="shared" ca="1" si="182"/>
        <v>129.21406907627619</v>
      </c>
      <c r="BT143" s="1018">
        <f t="shared" ca="1" si="183"/>
        <v>104.86</v>
      </c>
      <c r="BU143" s="1018">
        <f t="shared" ca="1" si="184"/>
        <v>14</v>
      </c>
      <c r="BV143" s="1018">
        <f t="shared" ca="1" si="185"/>
        <v>4.3</v>
      </c>
      <c r="BW143" s="1018">
        <v>0</v>
      </c>
      <c r="BX143" s="1018">
        <f t="shared" ca="1" si="186"/>
        <v>31.789994946942901</v>
      </c>
      <c r="BY143" s="1018">
        <f t="shared" ca="1" si="187"/>
        <v>51.708074546592727</v>
      </c>
      <c r="BZ143" s="1018">
        <f t="shared" ca="1" si="195"/>
        <v>13.847531331430698</v>
      </c>
      <c r="CA143" s="1018">
        <f t="shared" ca="1" si="196"/>
        <v>27.999999988800003</v>
      </c>
      <c r="CB143" s="1018">
        <f t="shared" ca="1" si="188"/>
        <v>9.0267175572519083</v>
      </c>
      <c r="CC143" s="1018">
        <f t="shared" si="197"/>
        <v>0</v>
      </c>
      <c r="CD143" s="1018">
        <f t="shared" ca="1" si="189"/>
        <v>136.15845871639959</v>
      </c>
      <c r="CE143" s="1018">
        <f t="shared" ca="1" si="193"/>
        <v>87.336452062837907</v>
      </c>
      <c r="CF143" s="1018">
        <f t="shared" ca="1" si="198"/>
        <v>6.7048473233771251</v>
      </c>
      <c r="CG143" s="1018">
        <f t="shared" ca="1" si="199"/>
        <v>11163.302599529978</v>
      </c>
    </row>
    <row r="144" spans="4:85" s="9" customFormat="1" x14ac:dyDescent="0.25">
      <c r="D144" s="10"/>
      <c r="F144" s="10"/>
      <c r="H144" s="10"/>
      <c r="J144" s="10"/>
      <c r="K144" s="219"/>
      <c r="L144" s="10"/>
      <c r="M144" s="10"/>
      <c r="N144" s="10"/>
      <c r="O144" s="10"/>
      <c r="P144" s="10"/>
      <c r="Q144" s="10"/>
      <c r="R144" s="10"/>
      <c r="S144" s="10"/>
      <c r="T144" s="81"/>
      <c r="U144" s="81"/>
      <c r="V144" s="283"/>
      <c r="W144" s="283"/>
      <c r="X144" s="283"/>
      <c r="Y144" s="279"/>
      <c r="Z144" s="283"/>
      <c r="AA144" s="283"/>
      <c r="AB144" s="283"/>
      <c r="AC144" s="283"/>
      <c r="AD144" s="279"/>
      <c r="AE144" s="283"/>
      <c r="AF144" s="283"/>
      <c r="AG144" s="279"/>
      <c r="AH144" s="313"/>
      <c r="AI144" s="884"/>
      <c r="AJ144" s="985"/>
      <c r="AK144" s="1020">
        <f t="shared" si="194"/>
        <v>0</v>
      </c>
      <c r="AL144" s="916"/>
      <c r="AM144" s="916"/>
      <c r="AN144" s="916"/>
      <c r="AO144" s="916"/>
      <c r="AP144" s="916"/>
      <c r="AQ144" s="985"/>
      <c r="AR144" s="884"/>
      <c r="AS144" s="884"/>
      <c r="AT144" s="884"/>
      <c r="AU144" s="884"/>
      <c r="AV144" s="884"/>
      <c r="AW144" s="884"/>
      <c r="AX144" s="884"/>
      <c r="AY144" s="884"/>
      <c r="AZ144" s="884"/>
      <c r="BA144" s="884"/>
      <c r="BB144" s="884"/>
      <c r="BC144" s="47"/>
      <c r="BD144" s="279"/>
      <c r="BE144" s="279"/>
      <c r="BF144" s="51"/>
      <c r="BG144" s="884"/>
      <c r="BH144" s="884"/>
      <c r="BI144" s="51"/>
      <c r="BJ144" s="884"/>
      <c r="BK144" s="884"/>
      <c r="BL144" s="884"/>
      <c r="BM144" s="51"/>
      <c r="BN144" s="279"/>
      <c r="BO144" s="51"/>
      <c r="BP144" s="17"/>
      <c r="BQ144" s="17"/>
      <c r="BR144" s="17"/>
      <c r="BS144" s="17"/>
      <c r="BT144" s="17"/>
      <c r="BU144" s="17"/>
      <c r="BV144" s="17"/>
      <c r="BW144" s="17"/>
      <c r="BX144" s="17"/>
      <c r="BY144" s="17"/>
      <c r="BZ144" s="17"/>
      <c r="CA144" s="17"/>
      <c r="CB144" s="17"/>
      <c r="CC144" s="17"/>
      <c r="CD144" s="17"/>
      <c r="CE144" s="17"/>
      <c r="CF144" s="17"/>
      <c r="CG144" s="17"/>
    </row>
    <row r="145" spans="4:85" s="3" customFormat="1" x14ac:dyDescent="0.25">
      <c r="D145" s="380"/>
      <c r="E145" s="376"/>
      <c r="F145" s="380"/>
      <c r="G145" s="376"/>
      <c r="H145" s="380"/>
      <c r="I145" s="376"/>
      <c r="J145" s="380"/>
      <c r="K145" s="380"/>
      <c r="L145" s="380"/>
      <c r="M145" s="380"/>
      <c r="N145" s="380"/>
      <c r="O145" s="380"/>
      <c r="P145" s="380"/>
      <c r="Q145" s="380" t="s">
        <v>16</v>
      </c>
      <c r="R145" s="377">
        <v>0.73860000000000003</v>
      </c>
      <c r="S145" s="380"/>
      <c r="T145" s="385">
        <v>1.717129931435847E-3</v>
      </c>
      <c r="U145" s="376"/>
      <c r="V145" s="176">
        <f t="shared" ref="V145:V225" si="200">T145</f>
        <v>1.717129931435847E-3</v>
      </c>
      <c r="W145" s="176">
        <f>V145</f>
        <v>1.717129931435847E-3</v>
      </c>
      <c r="X145" s="176">
        <f>W145</f>
        <v>1.717129931435847E-3</v>
      </c>
      <c r="Y145" s="34">
        <f>X145/Calculation_sheet!M$67</f>
        <v>1.7171650406104877E-3</v>
      </c>
      <c r="Z145" s="176">
        <f ca="1">IF(AN145&gt;0,Y145*Calculation_sheet!C$87,0)</f>
        <v>0</v>
      </c>
      <c r="AA145" s="176">
        <f ca="1">Y145-Z145</f>
        <v>1.7171650406104877E-3</v>
      </c>
      <c r="AB145" s="176">
        <f ca="1">IF(AP145&gt;0,AA145*Calculation_sheet!C$94,0)</f>
        <v>0</v>
      </c>
      <c r="AC145" s="176">
        <f t="shared" ref="AC145:AE155" ca="1" si="201">AA145-AB145</f>
        <v>1.7171650406104877E-3</v>
      </c>
      <c r="AD145" s="958">
        <f ca="1">AC145*Calculation_sheet!C$99</f>
        <v>1.0302990243662925E-3</v>
      </c>
      <c r="AE145" s="176">
        <f t="shared" ca="1" si="201"/>
        <v>6.8686601624419518E-4</v>
      </c>
      <c r="AF145" s="176">
        <f ca="1">Y145-AB145</f>
        <v>1.7171650406104877E-3</v>
      </c>
      <c r="AG145" s="958">
        <f ca="1">AF145*User_sheet!B$77/100</f>
        <v>0</v>
      </c>
      <c r="AH145" s="313"/>
      <c r="AI145" s="886">
        <v>102</v>
      </c>
      <c r="AJ145" s="985"/>
      <c r="AK145" s="1020">
        <f t="shared" ca="1" si="194"/>
        <v>187.25350607247449</v>
      </c>
      <c r="AL145" s="954">
        <f ca="1">AK145/'102'!I$24</f>
        <v>0.67787879083030911</v>
      </c>
      <c r="AM145" s="954">
        <f ca="1">0.8*(AK145*30+'102'!D$17*0.34*30*1)</f>
        <v>7154.4215144666614</v>
      </c>
      <c r="AN145" s="954">
        <f ca="1">IF(AM145&lt;User_sheet!B$50,Y145,0)</f>
        <v>1.7171650406104877E-3</v>
      </c>
      <c r="AO145" s="954">
        <f ca="1">20-(User_sheet!B$57/('Freestanding '!AK145+'102'!D$17*1*0.34))</f>
        <v>0.87895719823296048</v>
      </c>
      <c r="AP145" s="954">
        <f ca="1">IF(AO145&lt;User_sheet!B$59,0,BC145*AA145)</f>
        <v>0</v>
      </c>
      <c r="AQ145" s="985"/>
      <c r="AR145" s="883">
        <v>0.47</v>
      </c>
      <c r="AS145" s="883">
        <v>0.6</v>
      </c>
      <c r="AT145" s="883">
        <v>0.89</v>
      </c>
      <c r="AU145" s="883">
        <v>2.75</v>
      </c>
      <c r="AV145" s="883">
        <v>3.3</v>
      </c>
      <c r="AW145" s="883">
        <v>11617.129718053829</v>
      </c>
      <c r="AX145" s="883">
        <v>69341.450841082013</v>
      </c>
      <c r="AY145" s="883">
        <v>79015.992973719694</v>
      </c>
      <c r="AZ145" s="883">
        <v>0</v>
      </c>
      <c r="BA145" s="883">
        <v>0</v>
      </c>
      <c r="BB145" s="883">
        <v>0.6</v>
      </c>
      <c r="BC145" s="46">
        <v>1</v>
      </c>
      <c r="BD145" s="199">
        <v>0</v>
      </c>
      <c r="BE145" s="199">
        <v>0</v>
      </c>
      <c r="BF145" s="50">
        <v>0</v>
      </c>
      <c r="BG145" s="886">
        <v>1</v>
      </c>
      <c r="BH145" s="886">
        <v>0</v>
      </c>
      <c r="BI145" s="50">
        <v>0</v>
      </c>
      <c r="BJ145" s="886">
        <v>1</v>
      </c>
      <c r="BK145" s="886">
        <v>0</v>
      </c>
      <c r="BL145" s="886">
        <v>0</v>
      </c>
      <c r="BM145" s="50">
        <v>0</v>
      </c>
      <c r="BN145" s="199">
        <v>7.0000000000000007E-2</v>
      </c>
      <c r="BO145" s="959">
        <v>6</v>
      </c>
      <c r="BP145" s="926">
        <f t="shared" ref="BP145:BP155" ca="1" si="202">INDIRECT("'"&amp;AI145&amp;"'!"&amp;"B2")</f>
        <v>121.5</v>
      </c>
      <c r="BQ145" s="926">
        <f t="shared" ref="BQ145:BQ155" ca="1" si="203">INDIRECT("'"&amp;AI145&amp;"'!"&amp;"C12")+INDIRECT("'"&amp;AI145&amp;"'!"&amp;"C13")+INDIRECT("'"&amp;AI145&amp;"'!"&amp;"C14")+INDIRECT("'"&amp;AI145&amp;"'!"&amp;"C15")+INDIRECT("'"&amp;AI145&amp;"'!"&amp;"C17")</f>
        <v>287.05844999999999</v>
      </c>
      <c r="BR145" s="926">
        <f t="shared" ref="BR145:BR155" ca="1" si="204">INDIRECT("'"&amp;AI145&amp;"'!"&amp;"G5")</f>
        <v>88.2</v>
      </c>
      <c r="BS145" s="926">
        <f t="shared" ref="BS145:BS155" ca="1" si="205">INDIRECT("'"&amp;AI145&amp;"'!"&amp;"G4")</f>
        <v>110.2144959090909</v>
      </c>
      <c r="BT145" s="926">
        <f t="shared" ref="BT145:BT155" ca="1" si="206">INDIRECT("'"&amp;AI145&amp;"'!"&amp;"G6")</f>
        <v>60.75</v>
      </c>
      <c r="BU145" s="926">
        <f t="shared" ref="BU145:BU155" ca="1" si="207">INDIRECT("'"&amp;AI145&amp;"'!"&amp;"G2")</f>
        <v>18</v>
      </c>
      <c r="BV145" s="926">
        <f t="shared" ref="BV145:BV155" ca="1" si="208">INDIRECT("'"&amp;AI145&amp;"'!"&amp;"G3")</f>
        <v>2.15</v>
      </c>
      <c r="BW145" s="926">
        <v>0</v>
      </c>
      <c r="BX145" s="926">
        <f t="shared" ref="BX145:BX155" ca="1" si="209">IF(BR145=0,0,1/(1/(BR145*$BY$3)+1/(BR145*AR145)+1/(BR145*$BY$4)))</f>
        <v>38.331278510664532</v>
      </c>
      <c r="BY145" s="926">
        <f t="shared" ref="BY145:BY155" ca="1" si="210">IF(BS145=0,0,1/(1/(BS145*$BY$3)+1/(BS145*AS145)+1/(BS145*$BY$4)))</f>
        <v>59.899182559288541</v>
      </c>
      <c r="BZ145" s="926">
        <f t="shared" ca="1" si="195"/>
        <v>15.457671537484117</v>
      </c>
      <c r="CA145" s="926">
        <f t="shared" ca="1" si="196"/>
        <v>49.499999972774994</v>
      </c>
      <c r="CB145" s="926">
        <f t="shared" ref="CB145:CB155" ca="1" si="211">IF(BV145=0,0,1/(1/(BV145*$BY$3)+1/(BV145*AV145)+1/(BV145*$BY$4)))</f>
        <v>4.5133587786259541</v>
      </c>
      <c r="CC145" s="926">
        <f t="shared" si="197"/>
        <v>0</v>
      </c>
      <c r="CD145" s="1018">
        <f t="shared" ref="CD145:CD155" ca="1" si="212">SUM(BX145:CC145)+(BR145+BS145+BT145+BU145+BV145)*BN145</f>
        <v>187.25350607247449</v>
      </c>
      <c r="CE145" s="1018">
        <f ca="1">0.34*BO145*(1/25)^0.66*(BR145+BS145+BU145+BV145)</f>
        <v>53.280633182010853</v>
      </c>
      <c r="CF145" s="926">
        <f t="shared" ca="1" si="198"/>
        <v>7.2160241776345613</v>
      </c>
      <c r="CG145" s="926">
        <f t="shared" ca="1" si="199"/>
        <v>12014.391614794436</v>
      </c>
    </row>
    <row r="146" spans="4:85" x14ac:dyDescent="0.25">
      <c r="D146" s="375"/>
      <c r="E146" s="374"/>
      <c r="F146" s="375"/>
      <c r="G146" s="374"/>
      <c r="H146" s="375"/>
      <c r="I146" s="374"/>
      <c r="J146" s="375"/>
      <c r="K146" s="375"/>
      <c r="L146" s="375"/>
      <c r="M146" s="375"/>
      <c r="N146" s="375"/>
      <c r="O146" s="375" t="s">
        <v>18</v>
      </c>
      <c r="P146" s="377">
        <v>0.62953995200000001</v>
      </c>
      <c r="Q146" s="375" t="s">
        <v>7</v>
      </c>
      <c r="R146" s="377">
        <v>0.26140000000000002</v>
      </c>
      <c r="S146" s="375"/>
      <c r="T146" s="385">
        <v>6.0771427576134646E-4</v>
      </c>
      <c r="U146" s="374"/>
      <c r="V146" s="176">
        <f t="shared" si="200"/>
        <v>6.0771427576134646E-4</v>
      </c>
      <c r="W146" s="176">
        <f t="shared" ref="W146:X155" si="213">V146</f>
        <v>6.0771427576134646E-4</v>
      </c>
      <c r="X146" s="176">
        <f t="shared" si="213"/>
        <v>6.0771427576134646E-4</v>
      </c>
      <c r="Y146" s="34">
        <f>X146/Calculation_sheet!M$67</f>
        <v>6.0772670134793063E-4</v>
      </c>
      <c r="Z146" s="176">
        <f ca="1">IF(AN146&gt;0,Y146*Calculation_sheet!C$87,0)</f>
        <v>0</v>
      </c>
      <c r="AA146" s="176">
        <f t="shared" ref="AA146:AA155" ca="1" si="214">Y146-Z146</f>
        <v>6.0772670134793063E-4</v>
      </c>
      <c r="AB146" s="176">
        <f ca="1">IF(AP146&gt;0,AA146*Calculation_sheet!C$94,0)</f>
        <v>0</v>
      </c>
      <c r="AC146" s="176">
        <f t="shared" ca="1" si="201"/>
        <v>6.0772670134793063E-4</v>
      </c>
      <c r="AD146" s="958">
        <f ca="1">AC146*Calculation_sheet!C$99</f>
        <v>3.6463602080875836E-4</v>
      </c>
      <c r="AE146" s="176">
        <f t="shared" ca="1" si="201"/>
        <v>2.4309068053917228E-4</v>
      </c>
      <c r="AF146" s="176">
        <f t="shared" ref="AF146:AF155" ca="1" si="215">Y146-AB146</f>
        <v>6.0772670134793063E-4</v>
      </c>
      <c r="AG146" s="958">
        <f ca="1">AF146*User_sheet!B$77/100</f>
        <v>0</v>
      </c>
      <c r="AH146" s="313"/>
      <c r="AI146" s="886">
        <v>102</v>
      </c>
      <c r="AJ146" s="985"/>
      <c r="AK146" s="1020">
        <f t="shared" ca="1" si="194"/>
        <v>187.25350607247449</v>
      </c>
      <c r="AL146" s="954">
        <f ca="1">AK146/'102'!I$24</f>
        <v>0.67787879083030911</v>
      </c>
      <c r="AM146" s="954">
        <f ca="1">0.8*(AK146*30+'102'!D$17*0.34*30*1)</f>
        <v>7154.4215144666614</v>
      </c>
      <c r="AN146" s="954">
        <f ca="1">IF(AM146&lt;User_sheet!B$50,Y146,0)</f>
        <v>6.0772670134793063E-4</v>
      </c>
      <c r="AO146" s="954">
        <f ca="1">20-(User_sheet!B$57/('Freestanding '!AK146+'102'!D$17*1*0.34))</f>
        <v>0.87895719823296048</v>
      </c>
      <c r="AP146" s="954">
        <f ca="1">IF(AO146&lt;User_sheet!B$59,0,BC146*AA146)</f>
        <v>0</v>
      </c>
      <c r="AQ146" s="985"/>
      <c r="AR146" s="883">
        <v>0.47</v>
      </c>
      <c r="AS146" s="883">
        <v>0.6</v>
      </c>
      <c r="AT146" s="883">
        <v>0.89</v>
      </c>
      <c r="AU146" s="883">
        <v>2.75</v>
      </c>
      <c r="AV146" s="883">
        <v>3.3</v>
      </c>
      <c r="AW146" s="883">
        <v>11617.129718053829</v>
      </c>
      <c r="AX146" s="883">
        <v>69341.450841082013</v>
      </c>
      <c r="AY146" s="883">
        <v>79015.992973719694</v>
      </c>
      <c r="AZ146" s="883">
        <v>0</v>
      </c>
      <c r="BA146" s="883">
        <v>0</v>
      </c>
      <c r="BB146" s="883">
        <v>0.6</v>
      </c>
      <c r="BC146" s="888">
        <v>1</v>
      </c>
      <c r="BD146" s="889">
        <v>0</v>
      </c>
      <c r="BE146" s="889">
        <v>0</v>
      </c>
      <c r="BF146" s="890">
        <v>0</v>
      </c>
      <c r="BG146" s="883">
        <v>1</v>
      </c>
      <c r="BH146" s="883">
        <v>0</v>
      </c>
      <c r="BI146" s="890">
        <v>0</v>
      </c>
      <c r="BJ146" s="883">
        <v>0</v>
      </c>
      <c r="BK146" s="883">
        <v>0</v>
      </c>
      <c r="BL146" s="883">
        <v>1</v>
      </c>
      <c r="BM146" s="890">
        <v>0</v>
      </c>
      <c r="BN146" s="199">
        <v>7.0000000000000007E-2</v>
      </c>
      <c r="BO146" s="959">
        <v>6</v>
      </c>
      <c r="BP146" s="1018">
        <f t="shared" ca="1" si="202"/>
        <v>121.5</v>
      </c>
      <c r="BQ146" s="1018">
        <f t="shared" ca="1" si="203"/>
        <v>287.05844999999999</v>
      </c>
      <c r="BR146" s="1018">
        <f t="shared" ca="1" si="204"/>
        <v>88.2</v>
      </c>
      <c r="BS146" s="1018">
        <f t="shared" ca="1" si="205"/>
        <v>110.2144959090909</v>
      </c>
      <c r="BT146" s="1018">
        <f t="shared" ca="1" si="206"/>
        <v>60.75</v>
      </c>
      <c r="BU146" s="1018">
        <f t="shared" ca="1" si="207"/>
        <v>18</v>
      </c>
      <c r="BV146" s="1018">
        <f t="shared" ca="1" si="208"/>
        <v>2.15</v>
      </c>
      <c r="BW146" s="1018">
        <v>0</v>
      </c>
      <c r="BX146" s="1018">
        <f t="shared" ca="1" si="209"/>
        <v>38.331278510664532</v>
      </c>
      <c r="BY146" s="1018">
        <f t="shared" ca="1" si="210"/>
        <v>59.899182559288541</v>
      </c>
      <c r="BZ146" s="1018">
        <f t="shared" ca="1" si="195"/>
        <v>15.457671537484117</v>
      </c>
      <c r="CA146" s="1018">
        <f t="shared" ca="1" si="196"/>
        <v>49.499999972774994</v>
      </c>
      <c r="CB146" s="1018">
        <f t="shared" ca="1" si="211"/>
        <v>4.5133587786259541</v>
      </c>
      <c r="CC146" s="1018">
        <f t="shared" si="197"/>
        <v>0</v>
      </c>
      <c r="CD146" s="1018">
        <f t="shared" ca="1" si="212"/>
        <v>187.25350607247449</v>
      </c>
      <c r="CE146" s="1018">
        <f t="shared" ref="CE146:CE155" ca="1" si="216">0.34*BO146*(1/25)^0.66*(BR146+BS146+BU146+BV146)</f>
        <v>53.280633182010853</v>
      </c>
      <c r="CF146" s="1018">
        <f t="shared" ca="1" si="198"/>
        <v>7.2160241776345613</v>
      </c>
      <c r="CG146" s="1018">
        <f t="shared" ca="1" si="199"/>
        <v>12014.391614794436</v>
      </c>
    </row>
    <row r="147" spans="4:85" x14ac:dyDescent="0.25">
      <c r="D147" s="375"/>
      <c r="E147" s="374"/>
      <c r="F147" s="375"/>
      <c r="G147" s="374"/>
      <c r="H147" s="375"/>
      <c r="I147" s="374"/>
      <c r="J147" s="375"/>
      <c r="K147" s="375"/>
      <c r="L147" s="375"/>
      <c r="M147" s="375"/>
      <c r="N147" s="375"/>
      <c r="O147" s="375"/>
      <c r="P147" s="375"/>
      <c r="Q147" s="375" t="s">
        <v>16</v>
      </c>
      <c r="R147" s="377">
        <v>0.73860000000000003</v>
      </c>
      <c r="S147" s="375"/>
      <c r="T147" s="385">
        <v>1.0104649193447227E-3</v>
      </c>
      <c r="U147" s="374"/>
      <c r="V147" s="176">
        <f t="shared" si="200"/>
        <v>1.0104649193447227E-3</v>
      </c>
      <c r="W147" s="176">
        <f t="shared" si="213"/>
        <v>1.0104649193447227E-3</v>
      </c>
      <c r="X147" s="176">
        <f t="shared" si="213"/>
        <v>1.0104649193447227E-3</v>
      </c>
      <c r="Y147" s="34">
        <f>X147/Calculation_sheet!M$67</f>
        <v>1.0104855797436081E-3</v>
      </c>
      <c r="Z147" s="176">
        <f ca="1">IF(AN147&gt;0,Y147*Calculation_sheet!C$87,0)</f>
        <v>0</v>
      </c>
      <c r="AA147" s="176">
        <f t="shared" ca="1" si="214"/>
        <v>1.0104855797436081E-3</v>
      </c>
      <c r="AB147" s="176">
        <f ca="1">IF(AP147&gt;0,AA147*Calculation_sheet!C$94,0)</f>
        <v>0</v>
      </c>
      <c r="AC147" s="176">
        <f t="shared" ca="1" si="201"/>
        <v>1.0104855797436081E-3</v>
      </c>
      <c r="AD147" s="958">
        <f ca="1">AC147*Calculation_sheet!C$99</f>
        <v>6.0629134784616486E-4</v>
      </c>
      <c r="AE147" s="176">
        <f t="shared" ca="1" si="201"/>
        <v>4.0419423189744328E-4</v>
      </c>
      <c r="AF147" s="176">
        <f t="shared" ca="1" si="215"/>
        <v>1.0104855797436081E-3</v>
      </c>
      <c r="AG147" s="958">
        <f ca="1">AF147*User_sheet!B$77/100</f>
        <v>0</v>
      </c>
      <c r="AH147" s="313"/>
      <c r="AI147" s="886">
        <v>102</v>
      </c>
      <c r="AJ147" s="985"/>
      <c r="AK147" s="1020">
        <f t="shared" ca="1" si="194"/>
        <v>187.25350607247449</v>
      </c>
      <c r="AL147" s="954">
        <f ca="1">AK147/'102'!I$24</f>
        <v>0.67787879083030911</v>
      </c>
      <c r="AM147" s="954">
        <f ca="1">0.8*(AK147*30+'102'!D$17*0.34*30*1)</f>
        <v>7154.4215144666614</v>
      </c>
      <c r="AN147" s="954">
        <f ca="1">IF(AM147&lt;User_sheet!B$50,Y147,0)</f>
        <v>1.0104855797436081E-3</v>
      </c>
      <c r="AO147" s="954">
        <f ca="1">20-(User_sheet!B$57/('Freestanding '!AK147+'102'!D$17*1*0.34))</f>
        <v>0.87895719823296048</v>
      </c>
      <c r="AP147" s="954">
        <f ca="1">IF(AO147&lt;User_sheet!B$59,0,BC147*AA147)</f>
        <v>0</v>
      </c>
      <c r="AQ147" s="985"/>
      <c r="AR147" s="883">
        <v>0.47</v>
      </c>
      <c r="AS147" s="883">
        <v>0.6</v>
      </c>
      <c r="AT147" s="883">
        <v>0.89</v>
      </c>
      <c r="AU147" s="883">
        <v>2.75</v>
      </c>
      <c r="AV147" s="883">
        <v>3.3</v>
      </c>
      <c r="AW147" s="883">
        <v>11617.129718053829</v>
      </c>
      <c r="AX147" s="883">
        <v>69341.450841082013</v>
      </c>
      <c r="AY147" s="883">
        <v>79015.992973719694</v>
      </c>
      <c r="AZ147" s="883">
        <v>0</v>
      </c>
      <c r="BA147" s="883">
        <v>0</v>
      </c>
      <c r="BB147" s="883">
        <v>0.6</v>
      </c>
      <c r="BC147" s="888">
        <v>1</v>
      </c>
      <c r="BD147" s="889">
        <v>0</v>
      </c>
      <c r="BE147" s="889">
        <v>0</v>
      </c>
      <c r="BF147" s="890">
        <v>0</v>
      </c>
      <c r="BG147" s="883">
        <v>0</v>
      </c>
      <c r="BH147" s="883">
        <v>1</v>
      </c>
      <c r="BI147" s="890">
        <v>0</v>
      </c>
      <c r="BJ147" s="883">
        <v>1</v>
      </c>
      <c r="BK147" s="883">
        <v>0</v>
      </c>
      <c r="BL147" s="883">
        <v>0</v>
      </c>
      <c r="BM147" s="890">
        <v>0</v>
      </c>
      <c r="BN147" s="199">
        <v>7.0000000000000007E-2</v>
      </c>
      <c r="BO147" s="959">
        <v>6</v>
      </c>
      <c r="BP147" s="1018">
        <f t="shared" ca="1" si="202"/>
        <v>121.5</v>
      </c>
      <c r="BQ147" s="1018">
        <f t="shared" ca="1" si="203"/>
        <v>287.05844999999999</v>
      </c>
      <c r="BR147" s="1018">
        <f t="shared" ca="1" si="204"/>
        <v>88.2</v>
      </c>
      <c r="BS147" s="1018">
        <f t="shared" ca="1" si="205"/>
        <v>110.2144959090909</v>
      </c>
      <c r="BT147" s="1018">
        <f t="shared" ca="1" si="206"/>
        <v>60.75</v>
      </c>
      <c r="BU147" s="1018">
        <f t="shared" ca="1" si="207"/>
        <v>18</v>
      </c>
      <c r="BV147" s="1018">
        <f t="shared" ca="1" si="208"/>
        <v>2.15</v>
      </c>
      <c r="BW147" s="1018">
        <v>0</v>
      </c>
      <c r="BX147" s="1018">
        <f t="shared" ca="1" si="209"/>
        <v>38.331278510664532</v>
      </c>
      <c r="BY147" s="1018">
        <f t="shared" ca="1" si="210"/>
        <v>59.899182559288541</v>
      </c>
      <c r="BZ147" s="1018">
        <f t="shared" ca="1" si="195"/>
        <v>15.457671537484117</v>
      </c>
      <c r="CA147" s="1018">
        <f t="shared" ca="1" si="196"/>
        <v>49.499999972774994</v>
      </c>
      <c r="CB147" s="1018">
        <f t="shared" ca="1" si="211"/>
        <v>4.5133587786259541</v>
      </c>
      <c r="CC147" s="1018">
        <f t="shared" si="197"/>
        <v>0</v>
      </c>
      <c r="CD147" s="1018">
        <f t="shared" ca="1" si="212"/>
        <v>187.25350607247449</v>
      </c>
      <c r="CE147" s="1018">
        <f t="shared" ca="1" si="216"/>
        <v>53.280633182010853</v>
      </c>
      <c r="CF147" s="1018">
        <f t="shared" ca="1" si="198"/>
        <v>7.2160241776345613</v>
      </c>
      <c r="CG147" s="1018">
        <f t="shared" ca="1" si="199"/>
        <v>12014.391614794436</v>
      </c>
    </row>
    <row r="148" spans="4:85" x14ac:dyDescent="0.25">
      <c r="D148" s="375"/>
      <c r="E148" s="374"/>
      <c r="F148" s="375"/>
      <c r="G148" s="374"/>
      <c r="H148" s="375"/>
      <c r="I148" s="374"/>
      <c r="J148" s="375"/>
      <c r="K148" s="375"/>
      <c r="L148" s="375"/>
      <c r="M148" s="375" t="s">
        <v>16</v>
      </c>
      <c r="N148" s="377">
        <v>0.44680851100000002</v>
      </c>
      <c r="O148" s="375" t="s">
        <v>19</v>
      </c>
      <c r="P148" s="377">
        <v>0.37046004799999999</v>
      </c>
      <c r="Q148" s="375" t="s">
        <v>7</v>
      </c>
      <c r="R148" s="377">
        <v>0.26140000000000002</v>
      </c>
      <c r="S148" s="375"/>
      <c r="T148" s="385">
        <v>3.5761647700610687E-4</v>
      </c>
      <c r="U148" s="374"/>
      <c r="V148" s="176">
        <f t="shared" si="200"/>
        <v>3.5761647700610687E-4</v>
      </c>
      <c r="W148" s="176">
        <f t="shared" si="213"/>
        <v>3.5761647700610687E-4</v>
      </c>
      <c r="X148" s="176">
        <f t="shared" si="213"/>
        <v>3.5761647700610687E-4</v>
      </c>
      <c r="Y148" s="34">
        <f>X148/Calculation_sheet!M$67</f>
        <v>3.5762378898589111E-4</v>
      </c>
      <c r="Z148" s="176">
        <f ca="1">IF(AN148&gt;0,Y148*Calculation_sheet!C$87,0)</f>
        <v>0</v>
      </c>
      <c r="AA148" s="176">
        <f t="shared" ca="1" si="214"/>
        <v>3.5762378898589111E-4</v>
      </c>
      <c r="AB148" s="176">
        <f ca="1">IF(AP148&gt;0,AA148*Calculation_sheet!C$94,0)</f>
        <v>0</v>
      </c>
      <c r="AC148" s="176">
        <f t="shared" ca="1" si="201"/>
        <v>3.5762378898589111E-4</v>
      </c>
      <c r="AD148" s="958">
        <f ca="1">AC148*Calculation_sheet!C$99</f>
        <v>2.1457427339153465E-4</v>
      </c>
      <c r="AE148" s="176">
        <f t="shared" ca="1" si="201"/>
        <v>1.4304951559435645E-4</v>
      </c>
      <c r="AF148" s="176">
        <f t="shared" ca="1" si="215"/>
        <v>3.5762378898589111E-4</v>
      </c>
      <c r="AG148" s="958">
        <f ca="1">AF148*User_sheet!B$77/100</f>
        <v>0</v>
      </c>
      <c r="AH148" s="313"/>
      <c r="AI148" s="886">
        <v>102</v>
      </c>
      <c r="AJ148" s="985"/>
      <c r="AK148" s="1020">
        <f t="shared" ca="1" si="194"/>
        <v>187.25350607247449</v>
      </c>
      <c r="AL148" s="954">
        <f ca="1">AK148/'102'!I$24</f>
        <v>0.67787879083030911</v>
      </c>
      <c r="AM148" s="954">
        <f ca="1">0.8*(AK148*30+'102'!D$17*0.34*30*1)</f>
        <v>7154.4215144666614</v>
      </c>
      <c r="AN148" s="954">
        <f ca="1">IF(AM148&lt;User_sheet!B$50,Y148,0)</f>
        <v>3.5762378898589111E-4</v>
      </c>
      <c r="AO148" s="954">
        <f ca="1">20-(User_sheet!B$57/('Freestanding '!AK148+'102'!D$17*1*0.34))</f>
        <v>0.87895719823296048</v>
      </c>
      <c r="AP148" s="954">
        <f ca="1">IF(AO148&lt;User_sheet!B$59,0,BC148*AA148)</f>
        <v>0</v>
      </c>
      <c r="AQ148" s="985"/>
      <c r="AR148" s="883">
        <v>0.47</v>
      </c>
      <c r="AS148" s="883">
        <v>0.6</v>
      </c>
      <c r="AT148" s="883">
        <v>0.89</v>
      </c>
      <c r="AU148" s="883">
        <v>2.75</v>
      </c>
      <c r="AV148" s="883">
        <v>3.3</v>
      </c>
      <c r="AW148" s="883">
        <v>11617.129718053829</v>
      </c>
      <c r="AX148" s="883">
        <v>69341.450841082013</v>
      </c>
      <c r="AY148" s="883">
        <v>79015.992973719694</v>
      </c>
      <c r="AZ148" s="883">
        <v>0</v>
      </c>
      <c r="BA148" s="883">
        <v>0</v>
      </c>
      <c r="BB148" s="883">
        <v>0.6</v>
      </c>
      <c r="BC148" s="888">
        <v>1</v>
      </c>
      <c r="BD148" s="889">
        <v>0</v>
      </c>
      <c r="BE148" s="889">
        <v>0</v>
      </c>
      <c r="BF148" s="890">
        <v>0</v>
      </c>
      <c r="BG148" s="883">
        <v>0</v>
      </c>
      <c r="BH148" s="883">
        <v>1</v>
      </c>
      <c r="BI148" s="890">
        <v>0</v>
      </c>
      <c r="BJ148" s="883">
        <v>0</v>
      </c>
      <c r="BK148" s="883">
        <v>0</v>
      </c>
      <c r="BL148" s="883">
        <v>1</v>
      </c>
      <c r="BM148" s="890">
        <v>0</v>
      </c>
      <c r="BN148" s="199">
        <v>7.0000000000000007E-2</v>
      </c>
      <c r="BO148" s="959">
        <v>6</v>
      </c>
      <c r="BP148" s="1018">
        <f t="shared" ca="1" si="202"/>
        <v>121.5</v>
      </c>
      <c r="BQ148" s="1018">
        <f t="shared" ca="1" si="203"/>
        <v>287.05844999999999</v>
      </c>
      <c r="BR148" s="1018">
        <f t="shared" ca="1" si="204"/>
        <v>88.2</v>
      </c>
      <c r="BS148" s="1018">
        <f t="shared" ca="1" si="205"/>
        <v>110.2144959090909</v>
      </c>
      <c r="BT148" s="1018">
        <f t="shared" ca="1" si="206"/>
        <v>60.75</v>
      </c>
      <c r="BU148" s="1018">
        <f t="shared" ca="1" si="207"/>
        <v>18</v>
      </c>
      <c r="BV148" s="1018">
        <f t="shared" ca="1" si="208"/>
        <v>2.15</v>
      </c>
      <c r="BW148" s="1018">
        <v>0</v>
      </c>
      <c r="BX148" s="1018">
        <f t="shared" ca="1" si="209"/>
        <v>38.331278510664532</v>
      </c>
      <c r="BY148" s="1018">
        <f t="shared" ca="1" si="210"/>
        <v>59.899182559288541</v>
      </c>
      <c r="BZ148" s="1018">
        <f t="shared" ca="1" si="195"/>
        <v>15.457671537484117</v>
      </c>
      <c r="CA148" s="1018">
        <f t="shared" ca="1" si="196"/>
        <v>49.499999972774994</v>
      </c>
      <c r="CB148" s="1018">
        <f t="shared" ca="1" si="211"/>
        <v>4.5133587786259541</v>
      </c>
      <c r="CC148" s="1018">
        <f t="shared" si="197"/>
        <v>0</v>
      </c>
      <c r="CD148" s="1018">
        <f t="shared" ca="1" si="212"/>
        <v>187.25350607247449</v>
      </c>
      <c r="CE148" s="1018">
        <f t="shared" ca="1" si="216"/>
        <v>53.280633182010853</v>
      </c>
      <c r="CF148" s="1018">
        <f t="shared" ca="1" si="198"/>
        <v>7.2160241776345613</v>
      </c>
      <c r="CG148" s="1018">
        <f t="shared" ca="1" si="199"/>
        <v>12014.391614794436</v>
      </c>
    </row>
    <row r="149" spans="4:85" x14ac:dyDescent="0.25">
      <c r="D149" s="375"/>
      <c r="E149" s="374"/>
      <c r="F149" s="375"/>
      <c r="G149" s="374"/>
      <c r="H149" s="375"/>
      <c r="I149" s="374"/>
      <c r="J149" s="375"/>
      <c r="K149" s="375"/>
      <c r="L149" s="375"/>
      <c r="M149" s="375"/>
      <c r="N149" s="375"/>
      <c r="O149" s="375"/>
      <c r="P149" s="375"/>
      <c r="Q149" s="375" t="s">
        <v>22</v>
      </c>
      <c r="R149" s="377">
        <v>0.53710000000000002</v>
      </c>
      <c r="S149" s="375"/>
      <c r="T149" s="385">
        <v>1.6031809158675108E-3</v>
      </c>
      <c r="U149" s="374"/>
      <c r="V149" s="176">
        <f t="shared" si="200"/>
        <v>1.6031809158675108E-3</v>
      </c>
      <c r="W149" s="176">
        <f t="shared" si="213"/>
        <v>1.6031809158675108E-3</v>
      </c>
      <c r="X149" s="176">
        <f t="shared" si="213"/>
        <v>1.6031809158675108E-3</v>
      </c>
      <c r="Y149" s="34">
        <f>X149/Calculation_sheet!M$67</f>
        <v>1.6032136951917339E-3</v>
      </c>
      <c r="Z149" s="176">
        <f ca="1">IF(AN149&gt;0,Y149*Calculation_sheet!C$87,0)</f>
        <v>0</v>
      </c>
      <c r="AA149" s="176">
        <f t="shared" ca="1" si="214"/>
        <v>1.6032136951917339E-3</v>
      </c>
      <c r="AB149" s="176">
        <f ca="1">IF(AP149&gt;0,AA149*Calculation_sheet!C$94,0)</f>
        <v>0</v>
      </c>
      <c r="AC149" s="176">
        <f t="shared" ca="1" si="201"/>
        <v>1.6032136951917339E-3</v>
      </c>
      <c r="AD149" s="958">
        <f ca="1">AC149*Calculation_sheet!C$99</f>
        <v>9.6192821711504027E-4</v>
      </c>
      <c r="AE149" s="176">
        <f t="shared" ca="1" si="201"/>
        <v>6.4128547807669359E-4</v>
      </c>
      <c r="AF149" s="176">
        <f t="shared" ca="1" si="215"/>
        <v>1.6032136951917339E-3</v>
      </c>
      <c r="AG149" s="958">
        <f ca="1">AF149*User_sheet!B$77/100</f>
        <v>0</v>
      </c>
      <c r="AH149" s="313"/>
      <c r="AI149" s="886">
        <v>102</v>
      </c>
      <c r="AJ149" s="985"/>
      <c r="AK149" s="1020">
        <f t="shared" ca="1" si="194"/>
        <v>187.25350607247449</v>
      </c>
      <c r="AL149" s="954">
        <f ca="1">AK149/'102'!I$24</f>
        <v>0.67787879083030911</v>
      </c>
      <c r="AM149" s="954">
        <f ca="1">0.8*(AK149*30+'102'!D$17*0.34*30*1)</f>
        <v>7154.4215144666614</v>
      </c>
      <c r="AN149" s="954">
        <f ca="1">IF(AM149&lt;User_sheet!B$50,Y149,0)</f>
        <v>1.6032136951917339E-3</v>
      </c>
      <c r="AO149" s="954">
        <f ca="1">20-(User_sheet!B$57/('Freestanding '!AK149+'102'!D$17*1*0.34))</f>
        <v>0.87895719823296048</v>
      </c>
      <c r="AP149" s="954">
        <f ca="1">IF(AO149&lt;User_sheet!B$59,0,BC149*AA149)</f>
        <v>0</v>
      </c>
      <c r="AQ149" s="985"/>
      <c r="AR149" s="883">
        <v>0.47</v>
      </c>
      <c r="AS149" s="883">
        <v>0.6</v>
      </c>
      <c r="AT149" s="883">
        <v>0.89</v>
      </c>
      <c r="AU149" s="883">
        <v>2.75</v>
      </c>
      <c r="AV149" s="883">
        <v>3.3</v>
      </c>
      <c r="AW149" s="883">
        <v>11617.129718053829</v>
      </c>
      <c r="AX149" s="883">
        <v>69341.450841082013</v>
      </c>
      <c r="AY149" s="883">
        <v>79015.992973719694</v>
      </c>
      <c r="AZ149" s="883">
        <v>0</v>
      </c>
      <c r="BA149" s="883">
        <v>0</v>
      </c>
      <c r="BB149" s="883">
        <v>0.6</v>
      </c>
      <c r="BC149" s="888">
        <v>0</v>
      </c>
      <c r="BD149" s="889">
        <v>1</v>
      </c>
      <c r="BE149" s="889">
        <v>0</v>
      </c>
      <c r="BF149" s="890">
        <v>0</v>
      </c>
      <c r="BG149" s="883">
        <v>1</v>
      </c>
      <c r="BH149" s="883">
        <v>0</v>
      </c>
      <c r="BI149" s="890">
        <v>0</v>
      </c>
      <c r="BJ149" s="883">
        <v>0</v>
      </c>
      <c r="BK149" s="883">
        <v>1</v>
      </c>
      <c r="BL149" s="883">
        <v>0</v>
      </c>
      <c r="BM149" s="890">
        <v>0</v>
      </c>
      <c r="BN149" s="199">
        <v>7.0000000000000007E-2</v>
      </c>
      <c r="BO149" s="959">
        <v>6</v>
      </c>
      <c r="BP149" s="1018">
        <f t="shared" ca="1" si="202"/>
        <v>121.5</v>
      </c>
      <c r="BQ149" s="1018">
        <f t="shared" ca="1" si="203"/>
        <v>287.05844999999999</v>
      </c>
      <c r="BR149" s="1018">
        <f t="shared" ca="1" si="204"/>
        <v>88.2</v>
      </c>
      <c r="BS149" s="1018">
        <f t="shared" ca="1" si="205"/>
        <v>110.2144959090909</v>
      </c>
      <c r="BT149" s="1018">
        <f t="shared" ca="1" si="206"/>
        <v>60.75</v>
      </c>
      <c r="BU149" s="1018">
        <f t="shared" ca="1" si="207"/>
        <v>18</v>
      </c>
      <c r="BV149" s="1018">
        <f t="shared" ca="1" si="208"/>
        <v>2.15</v>
      </c>
      <c r="BW149" s="1018">
        <v>0</v>
      </c>
      <c r="BX149" s="1018">
        <f t="shared" ca="1" si="209"/>
        <v>38.331278510664532</v>
      </c>
      <c r="BY149" s="1018">
        <f t="shared" ca="1" si="210"/>
        <v>59.899182559288541</v>
      </c>
      <c r="BZ149" s="1018">
        <f t="shared" ca="1" si="195"/>
        <v>15.457671537484117</v>
      </c>
      <c r="CA149" s="1018">
        <f t="shared" ca="1" si="196"/>
        <v>49.499999972774994</v>
      </c>
      <c r="CB149" s="1018">
        <f t="shared" ca="1" si="211"/>
        <v>4.5133587786259541</v>
      </c>
      <c r="CC149" s="1018">
        <f t="shared" si="197"/>
        <v>0</v>
      </c>
      <c r="CD149" s="1018">
        <f t="shared" ca="1" si="212"/>
        <v>187.25350607247449</v>
      </c>
      <c r="CE149" s="1018">
        <f t="shared" ca="1" si="216"/>
        <v>53.280633182010853</v>
      </c>
      <c r="CF149" s="1018">
        <f t="shared" ca="1" si="198"/>
        <v>7.2160241776345613</v>
      </c>
      <c r="CG149" s="1018">
        <f t="shared" ca="1" si="199"/>
        <v>12014.391614794436</v>
      </c>
    </row>
    <row r="150" spans="4:85" x14ac:dyDescent="0.25">
      <c r="D150" s="375"/>
      <c r="E150" s="374"/>
      <c r="F150" s="375"/>
      <c r="G150" s="374"/>
      <c r="H150" s="375"/>
      <c r="I150" s="374"/>
      <c r="J150" s="375"/>
      <c r="K150" s="375"/>
      <c r="L150" s="375"/>
      <c r="M150" s="375"/>
      <c r="N150" s="375"/>
      <c r="O150" s="375" t="s">
        <v>18</v>
      </c>
      <c r="P150" s="377">
        <v>0.80827067699999999</v>
      </c>
      <c r="Q150" s="375" t="s">
        <v>7</v>
      </c>
      <c r="R150" s="377">
        <v>0.46289999999999998</v>
      </c>
      <c r="S150" s="375"/>
      <c r="T150" s="385">
        <v>1.3817025618228832E-3</v>
      </c>
      <c r="U150" s="374"/>
      <c r="V150" s="176">
        <f t="shared" si="200"/>
        <v>1.3817025618228832E-3</v>
      </c>
      <c r="W150" s="176">
        <f t="shared" si="213"/>
        <v>1.3817025618228832E-3</v>
      </c>
      <c r="X150" s="176">
        <f t="shared" si="213"/>
        <v>1.3817025618228832E-3</v>
      </c>
      <c r="Y150" s="34">
        <f>X150/Calculation_sheet!M$67</f>
        <v>1.3817308127057409E-3</v>
      </c>
      <c r="Z150" s="176">
        <f ca="1">IF(AN150&gt;0,Y150*Calculation_sheet!C$87,0)</f>
        <v>0</v>
      </c>
      <c r="AA150" s="176">
        <f t="shared" ca="1" si="214"/>
        <v>1.3817308127057409E-3</v>
      </c>
      <c r="AB150" s="176">
        <f ca="1">IF(AP150&gt;0,AA150*Calculation_sheet!C$94,0)</f>
        <v>0</v>
      </c>
      <c r="AC150" s="176">
        <f t="shared" ca="1" si="201"/>
        <v>1.3817308127057409E-3</v>
      </c>
      <c r="AD150" s="958">
        <f ca="1">AC150*Calculation_sheet!C$99</f>
        <v>8.2903848762344448E-4</v>
      </c>
      <c r="AE150" s="176">
        <f t="shared" ca="1" si="201"/>
        <v>5.526923250822964E-4</v>
      </c>
      <c r="AF150" s="176">
        <f t="shared" ca="1" si="215"/>
        <v>1.3817308127057409E-3</v>
      </c>
      <c r="AG150" s="958">
        <f ca="1">AF150*User_sheet!B$77/100</f>
        <v>0</v>
      </c>
      <c r="AH150" s="313"/>
      <c r="AI150" s="886">
        <v>102</v>
      </c>
      <c r="AJ150" s="985"/>
      <c r="AK150" s="1020">
        <f t="shared" ca="1" si="194"/>
        <v>187.25350607247449</v>
      </c>
      <c r="AL150" s="954">
        <f ca="1">AK150/'102'!I$24</f>
        <v>0.67787879083030911</v>
      </c>
      <c r="AM150" s="954">
        <f ca="1">0.8*(AK150*30+'102'!D$17*0.34*30*1)</f>
        <v>7154.4215144666614</v>
      </c>
      <c r="AN150" s="954">
        <f ca="1">IF(AM150&lt;User_sheet!B$50,Y150,0)</f>
        <v>1.3817308127057409E-3</v>
      </c>
      <c r="AO150" s="954">
        <f ca="1">20-(User_sheet!B$57/('Freestanding '!AK150+'102'!D$17*1*0.34))</f>
        <v>0.87895719823296048</v>
      </c>
      <c r="AP150" s="954">
        <f ca="1">IF(AO150&lt;User_sheet!B$59,0,BC150*AA150)</f>
        <v>0</v>
      </c>
      <c r="AQ150" s="985"/>
      <c r="AR150" s="883">
        <v>0.47</v>
      </c>
      <c r="AS150" s="883">
        <v>0.6</v>
      </c>
      <c r="AT150" s="883">
        <v>0.89</v>
      </c>
      <c r="AU150" s="883">
        <v>2.75</v>
      </c>
      <c r="AV150" s="883">
        <v>3.3</v>
      </c>
      <c r="AW150" s="883">
        <v>11617.129718053829</v>
      </c>
      <c r="AX150" s="883">
        <v>69341.450841082013</v>
      </c>
      <c r="AY150" s="883">
        <v>79015.992973719694</v>
      </c>
      <c r="AZ150" s="883">
        <v>0</v>
      </c>
      <c r="BA150" s="883">
        <v>0</v>
      </c>
      <c r="BB150" s="883">
        <v>0.6</v>
      </c>
      <c r="BC150" s="888">
        <v>0</v>
      </c>
      <c r="BD150" s="889">
        <v>1</v>
      </c>
      <c r="BE150" s="889">
        <v>0</v>
      </c>
      <c r="BF150" s="890">
        <v>0</v>
      </c>
      <c r="BG150" s="883">
        <v>1</v>
      </c>
      <c r="BH150" s="883">
        <v>0</v>
      </c>
      <c r="BI150" s="890">
        <v>0</v>
      </c>
      <c r="BJ150" s="883">
        <v>0</v>
      </c>
      <c r="BK150" s="883">
        <v>0</v>
      </c>
      <c r="BL150" s="883">
        <v>1</v>
      </c>
      <c r="BM150" s="890">
        <v>0</v>
      </c>
      <c r="BN150" s="199">
        <v>7.0000000000000007E-2</v>
      </c>
      <c r="BO150" s="959">
        <v>6</v>
      </c>
      <c r="BP150" s="1018">
        <f t="shared" ca="1" si="202"/>
        <v>121.5</v>
      </c>
      <c r="BQ150" s="1018">
        <f t="shared" ca="1" si="203"/>
        <v>287.05844999999999</v>
      </c>
      <c r="BR150" s="1018">
        <f t="shared" ca="1" si="204"/>
        <v>88.2</v>
      </c>
      <c r="BS150" s="1018">
        <f t="shared" ca="1" si="205"/>
        <v>110.2144959090909</v>
      </c>
      <c r="BT150" s="1018">
        <f t="shared" ca="1" si="206"/>
        <v>60.75</v>
      </c>
      <c r="BU150" s="1018">
        <f t="shared" ca="1" si="207"/>
        <v>18</v>
      </c>
      <c r="BV150" s="1018">
        <f t="shared" ca="1" si="208"/>
        <v>2.15</v>
      </c>
      <c r="BW150" s="1018">
        <v>0</v>
      </c>
      <c r="BX150" s="1018">
        <f t="shared" ca="1" si="209"/>
        <v>38.331278510664532</v>
      </c>
      <c r="BY150" s="1018">
        <f t="shared" ca="1" si="210"/>
        <v>59.899182559288541</v>
      </c>
      <c r="BZ150" s="1018">
        <f t="shared" ca="1" si="195"/>
        <v>15.457671537484117</v>
      </c>
      <c r="CA150" s="1018">
        <f t="shared" ca="1" si="196"/>
        <v>49.499999972774994</v>
      </c>
      <c r="CB150" s="1018">
        <f t="shared" ca="1" si="211"/>
        <v>4.5133587786259541</v>
      </c>
      <c r="CC150" s="1018">
        <f t="shared" si="197"/>
        <v>0</v>
      </c>
      <c r="CD150" s="1018">
        <f t="shared" ca="1" si="212"/>
        <v>187.25350607247449</v>
      </c>
      <c r="CE150" s="1018">
        <f t="shared" ca="1" si="216"/>
        <v>53.280633182010853</v>
      </c>
      <c r="CF150" s="1018">
        <f t="shared" ca="1" si="198"/>
        <v>7.2160241776345613</v>
      </c>
      <c r="CG150" s="1018">
        <f t="shared" ca="1" si="199"/>
        <v>12014.391614794436</v>
      </c>
    </row>
    <row r="151" spans="4:85" x14ac:dyDescent="0.25">
      <c r="D151" s="375"/>
      <c r="E151" s="374"/>
      <c r="F151" s="375"/>
      <c r="G151" s="374"/>
      <c r="H151" s="375"/>
      <c r="I151" s="374"/>
      <c r="J151" s="375"/>
      <c r="K151" s="375"/>
      <c r="L151" s="375"/>
      <c r="M151" s="375"/>
      <c r="N151" s="375"/>
      <c r="O151" s="375"/>
      <c r="P151" s="375"/>
      <c r="Q151" s="375" t="s">
        <v>22</v>
      </c>
      <c r="R151" s="377">
        <v>0.53710000000000002</v>
      </c>
      <c r="S151" s="375"/>
      <c r="T151" s="385">
        <v>3.8028942579813239E-4</v>
      </c>
      <c r="U151" s="374"/>
      <c r="V151" s="176">
        <f t="shared" si="200"/>
        <v>3.8028942579813239E-4</v>
      </c>
      <c r="W151" s="176">
        <f t="shared" si="213"/>
        <v>3.8028942579813239E-4</v>
      </c>
      <c r="X151" s="176">
        <f t="shared" si="213"/>
        <v>3.8028942579813239E-4</v>
      </c>
      <c r="Y151" s="34">
        <f>X151/Calculation_sheet!M$67</f>
        <v>3.8029720135874661E-4</v>
      </c>
      <c r="Z151" s="176">
        <f ca="1">IF(AN151&gt;0,Y151*Calculation_sheet!C$87,0)</f>
        <v>0</v>
      </c>
      <c r="AA151" s="176">
        <f t="shared" ca="1" si="214"/>
        <v>3.8029720135874661E-4</v>
      </c>
      <c r="AB151" s="176">
        <f ca="1">IF(AP151&gt;0,AA151*Calculation_sheet!C$94,0)</f>
        <v>0</v>
      </c>
      <c r="AC151" s="176">
        <f t="shared" ca="1" si="201"/>
        <v>3.8029720135874661E-4</v>
      </c>
      <c r="AD151" s="958">
        <f ca="1">AC151*Calculation_sheet!C$99</f>
        <v>2.2817832081524795E-4</v>
      </c>
      <c r="AE151" s="176">
        <f t="shared" ca="1" si="201"/>
        <v>1.5211888054349865E-4</v>
      </c>
      <c r="AF151" s="176">
        <f t="shared" ca="1" si="215"/>
        <v>3.8029720135874661E-4</v>
      </c>
      <c r="AG151" s="958">
        <f ca="1">AF151*User_sheet!B$77/100</f>
        <v>0</v>
      </c>
      <c r="AH151" s="313"/>
      <c r="AI151" s="886">
        <v>102</v>
      </c>
      <c r="AJ151" s="985"/>
      <c r="AK151" s="1020">
        <f t="shared" ca="1" si="194"/>
        <v>187.25350607247449</v>
      </c>
      <c r="AL151" s="954">
        <f ca="1">AK151/'102'!I$24</f>
        <v>0.67787879083030911</v>
      </c>
      <c r="AM151" s="954">
        <f ca="1">0.8*(AK151*30+'102'!D$17*0.34*30*1)</f>
        <v>7154.4215144666614</v>
      </c>
      <c r="AN151" s="954">
        <f ca="1">IF(AM151&lt;User_sheet!B$50,Y151,0)</f>
        <v>3.8029720135874661E-4</v>
      </c>
      <c r="AO151" s="954">
        <f ca="1">20-(User_sheet!B$57/('Freestanding '!AK151+'102'!D$17*1*0.34))</f>
        <v>0.87895719823296048</v>
      </c>
      <c r="AP151" s="954">
        <f ca="1">IF(AO151&lt;User_sheet!B$59,0,BC151*AA151)</f>
        <v>0</v>
      </c>
      <c r="AQ151" s="985"/>
      <c r="AR151" s="883">
        <v>0.47</v>
      </c>
      <c r="AS151" s="883">
        <v>0.6</v>
      </c>
      <c r="AT151" s="883">
        <v>0.89</v>
      </c>
      <c r="AU151" s="883">
        <v>2.75</v>
      </c>
      <c r="AV151" s="883">
        <v>3.3</v>
      </c>
      <c r="AW151" s="883">
        <v>11617.129718053829</v>
      </c>
      <c r="AX151" s="883">
        <v>69341.450841082013</v>
      </c>
      <c r="AY151" s="883">
        <v>79015.992973719694</v>
      </c>
      <c r="AZ151" s="883">
        <v>0</v>
      </c>
      <c r="BA151" s="883">
        <v>0</v>
      </c>
      <c r="BB151" s="883">
        <v>0.6</v>
      </c>
      <c r="BC151" s="888">
        <v>0</v>
      </c>
      <c r="BD151" s="889">
        <v>1</v>
      </c>
      <c r="BE151" s="889">
        <v>0</v>
      </c>
      <c r="BF151" s="890">
        <v>0</v>
      </c>
      <c r="BG151" s="883">
        <v>0</v>
      </c>
      <c r="BH151" s="883">
        <v>1</v>
      </c>
      <c r="BI151" s="890">
        <v>0</v>
      </c>
      <c r="BJ151" s="883">
        <v>0</v>
      </c>
      <c r="BK151" s="883">
        <v>1</v>
      </c>
      <c r="BL151" s="883">
        <v>0</v>
      </c>
      <c r="BM151" s="890">
        <v>0</v>
      </c>
      <c r="BN151" s="199">
        <v>7.0000000000000007E-2</v>
      </c>
      <c r="BO151" s="959">
        <v>6</v>
      </c>
      <c r="BP151" s="1018">
        <f t="shared" ca="1" si="202"/>
        <v>121.5</v>
      </c>
      <c r="BQ151" s="1018">
        <f t="shared" ca="1" si="203"/>
        <v>287.05844999999999</v>
      </c>
      <c r="BR151" s="1018">
        <f t="shared" ca="1" si="204"/>
        <v>88.2</v>
      </c>
      <c r="BS151" s="1018">
        <f t="shared" ca="1" si="205"/>
        <v>110.2144959090909</v>
      </c>
      <c r="BT151" s="1018">
        <f t="shared" ca="1" si="206"/>
        <v>60.75</v>
      </c>
      <c r="BU151" s="1018">
        <f t="shared" ca="1" si="207"/>
        <v>18</v>
      </c>
      <c r="BV151" s="1018">
        <f t="shared" ca="1" si="208"/>
        <v>2.15</v>
      </c>
      <c r="BW151" s="1018">
        <v>0</v>
      </c>
      <c r="BX151" s="1018">
        <f t="shared" ca="1" si="209"/>
        <v>38.331278510664532</v>
      </c>
      <c r="BY151" s="1018">
        <f t="shared" ca="1" si="210"/>
        <v>59.899182559288541</v>
      </c>
      <c r="BZ151" s="1018">
        <f t="shared" ca="1" si="195"/>
        <v>15.457671537484117</v>
      </c>
      <c r="CA151" s="1018">
        <f t="shared" ca="1" si="196"/>
        <v>49.499999972774994</v>
      </c>
      <c r="CB151" s="1018">
        <f t="shared" ca="1" si="211"/>
        <v>4.5133587786259541</v>
      </c>
      <c r="CC151" s="1018">
        <f t="shared" si="197"/>
        <v>0</v>
      </c>
      <c r="CD151" s="1018">
        <f t="shared" ca="1" si="212"/>
        <v>187.25350607247449</v>
      </c>
      <c r="CE151" s="1018">
        <f t="shared" ca="1" si="216"/>
        <v>53.280633182010853</v>
      </c>
      <c r="CF151" s="1018">
        <f t="shared" ca="1" si="198"/>
        <v>7.2160241776345613</v>
      </c>
      <c r="CG151" s="1018">
        <f t="shared" ca="1" si="199"/>
        <v>12014.391614794436</v>
      </c>
    </row>
    <row r="152" spans="4:85" x14ac:dyDescent="0.25">
      <c r="D152" s="375"/>
      <c r="E152" s="374"/>
      <c r="F152" s="375"/>
      <c r="G152" s="374"/>
      <c r="H152" s="375"/>
      <c r="I152" s="374"/>
      <c r="J152" s="375"/>
      <c r="K152" s="375"/>
      <c r="L152" s="375"/>
      <c r="M152" s="375" t="s">
        <v>22</v>
      </c>
      <c r="N152" s="377">
        <v>0.44680851100000002</v>
      </c>
      <c r="O152" s="375" t="s">
        <v>20</v>
      </c>
      <c r="P152" s="377">
        <v>0.19172932300000001</v>
      </c>
      <c r="Q152" s="375" t="s">
        <v>7</v>
      </c>
      <c r="R152" s="377">
        <v>0.46289999999999998</v>
      </c>
      <c r="S152" s="375"/>
      <c r="T152" s="385">
        <v>3.2775270005949632E-4</v>
      </c>
      <c r="U152" s="374"/>
      <c r="V152" s="176">
        <f t="shared" si="200"/>
        <v>3.2775270005949632E-4</v>
      </c>
      <c r="W152" s="176">
        <f t="shared" si="213"/>
        <v>3.2775270005949632E-4</v>
      </c>
      <c r="X152" s="176">
        <f t="shared" si="213"/>
        <v>3.2775270005949632E-4</v>
      </c>
      <c r="Y152" s="34">
        <f>X152/Calculation_sheet!M$67</f>
        <v>3.2775940143169572E-4</v>
      </c>
      <c r="Z152" s="176">
        <f ca="1">IF(AN152&gt;0,Y152*Calculation_sheet!C$87,0)</f>
        <v>0</v>
      </c>
      <c r="AA152" s="176">
        <f t="shared" ca="1" si="214"/>
        <v>3.2775940143169572E-4</v>
      </c>
      <c r="AB152" s="176">
        <f ca="1">IF(AP152&gt;0,AA152*Calculation_sheet!C$94,0)</f>
        <v>0</v>
      </c>
      <c r="AC152" s="176">
        <f t="shared" ca="1" si="201"/>
        <v>3.2775940143169572E-4</v>
      </c>
      <c r="AD152" s="958">
        <f ca="1">AC152*Calculation_sheet!C$99</f>
        <v>1.9665564085901742E-4</v>
      </c>
      <c r="AE152" s="176">
        <f t="shared" ca="1" si="201"/>
        <v>1.3110376057267831E-4</v>
      </c>
      <c r="AF152" s="176">
        <f t="shared" ca="1" si="215"/>
        <v>3.2775940143169572E-4</v>
      </c>
      <c r="AG152" s="958">
        <f ca="1">AF152*User_sheet!B$77/100</f>
        <v>0</v>
      </c>
      <c r="AH152" s="313"/>
      <c r="AI152" s="886">
        <v>102</v>
      </c>
      <c r="AJ152" s="985"/>
      <c r="AK152" s="1020">
        <f t="shared" ca="1" si="194"/>
        <v>187.25350607247449</v>
      </c>
      <c r="AL152" s="954">
        <f ca="1">AK152/'102'!I$24</f>
        <v>0.67787879083030911</v>
      </c>
      <c r="AM152" s="954">
        <f ca="1">0.8*(AK152*30+'102'!D$17*0.34*30*1)</f>
        <v>7154.4215144666614</v>
      </c>
      <c r="AN152" s="954">
        <f ca="1">IF(AM152&lt;User_sheet!B$50,Y152,0)</f>
        <v>3.2775940143169572E-4</v>
      </c>
      <c r="AO152" s="954">
        <f ca="1">20-(User_sheet!B$57/('Freestanding '!AK152+'102'!D$17*1*0.34))</f>
        <v>0.87895719823296048</v>
      </c>
      <c r="AP152" s="954">
        <f ca="1">IF(AO152&lt;User_sheet!B$59,0,BC152*AA152)</f>
        <v>0</v>
      </c>
      <c r="AQ152" s="985"/>
      <c r="AR152" s="883">
        <v>0.47</v>
      </c>
      <c r="AS152" s="883">
        <v>0.6</v>
      </c>
      <c r="AT152" s="883">
        <v>0.89</v>
      </c>
      <c r="AU152" s="883">
        <v>2.75</v>
      </c>
      <c r="AV152" s="883">
        <v>3.3</v>
      </c>
      <c r="AW152" s="883">
        <v>11617.129718053829</v>
      </c>
      <c r="AX152" s="883">
        <v>69341.450841082013</v>
      </c>
      <c r="AY152" s="883">
        <v>79015.992973719694</v>
      </c>
      <c r="AZ152" s="883">
        <v>0</v>
      </c>
      <c r="BA152" s="883">
        <v>0</v>
      </c>
      <c r="BB152" s="883">
        <v>0.6</v>
      </c>
      <c r="BC152" s="888">
        <v>0</v>
      </c>
      <c r="BD152" s="889">
        <v>1</v>
      </c>
      <c r="BE152" s="889">
        <v>0</v>
      </c>
      <c r="BF152" s="890">
        <v>0</v>
      </c>
      <c r="BG152" s="883">
        <v>0</v>
      </c>
      <c r="BH152" s="883">
        <v>1</v>
      </c>
      <c r="BI152" s="890">
        <v>0</v>
      </c>
      <c r="BJ152" s="883">
        <v>0</v>
      </c>
      <c r="BK152" s="883">
        <v>0</v>
      </c>
      <c r="BL152" s="883">
        <v>1</v>
      </c>
      <c r="BM152" s="890">
        <v>0</v>
      </c>
      <c r="BN152" s="199">
        <v>7.0000000000000007E-2</v>
      </c>
      <c r="BO152" s="959">
        <v>6</v>
      </c>
      <c r="BP152" s="1018">
        <f t="shared" ca="1" si="202"/>
        <v>121.5</v>
      </c>
      <c r="BQ152" s="1018">
        <f t="shared" ca="1" si="203"/>
        <v>287.05844999999999</v>
      </c>
      <c r="BR152" s="1018">
        <f t="shared" ca="1" si="204"/>
        <v>88.2</v>
      </c>
      <c r="BS152" s="1018">
        <f t="shared" ca="1" si="205"/>
        <v>110.2144959090909</v>
      </c>
      <c r="BT152" s="1018">
        <f t="shared" ca="1" si="206"/>
        <v>60.75</v>
      </c>
      <c r="BU152" s="1018">
        <f t="shared" ca="1" si="207"/>
        <v>18</v>
      </c>
      <c r="BV152" s="1018">
        <f t="shared" ca="1" si="208"/>
        <v>2.15</v>
      </c>
      <c r="BW152" s="1018">
        <v>0</v>
      </c>
      <c r="BX152" s="1018">
        <f t="shared" ca="1" si="209"/>
        <v>38.331278510664532</v>
      </c>
      <c r="BY152" s="1018">
        <f t="shared" ca="1" si="210"/>
        <v>59.899182559288541</v>
      </c>
      <c r="BZ152" s="1018">
        <f t="shared" ca="1" si="195"/>
        <v>15.457671537484117</v>
      </c>
      <c r="CA152" s="1018">
        <f t="shared" ca="1" si="196"/>
        <v>49.499999972774994</v>
      </c>
      <c r="CB152" s="1018">
        <f t="shared" ca="1" si="211"/>
        <v>4.5133587786259541</v>
      </c>
      <c r="CC152" s="1018">
        <f t="shared" si="197"/>
        <v>0</v>
      </c>
      <c r="CD152" s="1018">
        <f t="shared" ca="1" si="212"/>
        <v>187.25350607247449</v>
      </c>
      <c r="CE152" s="1018">
        <f t="shared" ca="1" si="216"/>
        <v>53.280633182010853</v>
      </c>
      <c r="CF152" s="1018">
        <f t="shared" ca="1" si="198"/>
        <v>7.2160241776345613</v>
      </c>
      <c r="CG152" s="1018">
        <f t="shared" ca="1" si="199"/>
        <v>12014.391614794436</v>
      </c>
    </row>
    <row r="153" spans="4:85" x14ac:dyDescent="0.25">
      <c r="D153" s="375"/>
      <c r="E153" s="374"/>
      <c r="F153" s="375"/>
      <c r="G153" s="374"/>
      <c r="H153" s="375"/>
      <c r="I153" s="374"/>
      <c r="J153" s="375"/>
      <c r="K153" s="375"/>
      <c r="L153" s="375"/>
      <c r="M153" s="375" t="s">
        <v>7</v>
      </c>
      <c r="N153" s="377">
        <v>2.1276595999999998E-2</v>
      </c>
      <c r="O153" s="375" t="s">
        <v>23</v>
      </c>
      <c r="P153" s="377">
        <v>1</v>
      </c>
      <c r="Q153" s="375" t="s">
        <v>7</v>
      </c>
      <c r="R153" s="377">
        <v>1</v>
      </c>
      <c r="S153" s="375"/>
      <c r="T153" s="385">
        <v>1.7585360213683896E-4</v>
      </c>
      <c r="U153" s="374"/>
      <c r="V153" s="176">
        <f t="shared" si="200"/>
        <v>1.7585360213683896E-4</v>
      </c>
      <c r="W153" s="176">
        <f t="shared" si="213"/>
        <v>1.7585360213683896E-4</v>
      </c>
      <c r="X153" s="176">
        <f t="shared" si="213"/>
        <v>1.7585360213683896E-4</v>
      </c>
      <c r="Y153" s="34">
        <f>X153/Calculation_sheet!M$67</f>
        <v>1.7585719771496942E-4</v>
      </c>
      <c r="Z153" s="176">
        <f ca="1">IF(AN153&gt;0,Y153*Calculation_sheet!C$87,0)</f>
        <v>0</v>
      </c>
      <c r="AA153" s="176">
        <f t="shared" ca="1" si="214"/>
        <v>1.7585719771496942E-4</v>
      </c>
      <c r="AB153" s="176">
        <f ca="1">IF(AP153&gt;0,AA153*Calculation_sheet!C$94,0)</f>
        <v>0</v>
      </c>
      <c r="AC153" s="176">
        <f t="shared" ca="1" si="201"/>
        <v>1.7585719771496942E-4</v>
      </c>
      <c r="AD153" s="958">
        <f ca="1">AC153*Calculation_sheet!C$99</f>
        <v>1.0551431862898164E-4</v>
      </c>
      <c r="AE153" s="176">
        <f t="shared" ca="1" si="201"/>
        <v>7.0342879085987772E-5</v>
      </c>
      <c r="AF153" s="176">
        <f t="shared" ca="1" si="215"/>
        <v>1.7585719771496942E-4</v>
      </c>
      <c r="AG153" s="958">
        <f ca="1">AF153*User_sheet!B$77/100</f>
        <v>0</v>
      </c>
      <c r="AH153" s="313"/>
      <c r="AI153" s="886">
        <v>102</v>
      </c>
      <c r="AJ153" s="985"/>
      <c r="AK153" s="1020">
        <f t="shared" ca="1" si="194"/>
        <v>187.25350607247449</v>
      </c>
      <c r="AL153" s="954">
        <f ca="1">AK153/'102'!I$24</f>
        <v>0.67787879083030911</v>
      </c>
      <c r="AM153" s="954">
        <f ca="1">0.8*(AK153*30+'102'!D$17*0.34*30*1)</f>
        <v>7154.4215144666614</v>
      </c>
      <c r="AN153" s="954">
        <f ca="1">IF(AM153&lt;User_sheet!B$50,Y153,0)</f>
        <v>1.7585719771496942E-4</v>
      </c>
      <c r="AO153" s="954">
        <f ca="1">20-(User_sheet!B$57/('Freestanding '!AK153+'102'!D$17*1*0.34))</f>
        <v>0.87895719823296048</v>
      </c>
      <c r="AP153" s="954">
        <f ca="1">IF(AO153&lt;User_sheet!B$59,0,BC153*AA153)</f>
        <v>0</v>
      </c>
      <c r="AQ153" s="985"/>
      <c r="AR153" s="883">
        <v>0.47</v>
      </c>
      <c r="AS153" s="883">
        <v>0.6</v>
      </c>
      <c r="AT153" s="883">
        <v>0.89</v>
      </c>
      <c r="AU153" s="883">
        <v>2.75</v>
      </c>
      <c r="AV153" s="883">
        <v>3.3</v>
      </c>
      <c r="AW153" s="883">
        <v>11617.129718053829</v>
      </c>
      <c r="AX153" s="883">
        <v>69341.450841082013</v>
      </c>
      <c r="AY153" s="883">
        <v>79015.992973719694</v>
      </c>
      <c r="AZ153" s="883">
        <v>0</v>
      </c>
      <c r="BA153" s="883">
        <v>0</v>
      </c>
      <c r="BB153" s="883">
        <v>0.6</v>
      </c>
      <c r="BC153" s="888">
        <v>0</v>
      </c>
      <c r="BD153" s="889">
        <v>0</v>
      </c>
      <c r="BE153" s="889">
        <v>1</v>
      </c>
      <c r="BF153" s="890">
        <v>0</v>
      </c>
      <c r="BG153" s="883">
        <v>0</v>
      </c>
      <c r="BH153" s="883">
        <v>0</v>
      </c>
      <c r="BI153" s="890">
        <v>1</v>
      </c>
      <c r="BJ153" s="883">
        <v>0</v>
      </c>
      <c r="BK153" s="883">
        <v>0</v>
      </c>
      <c r="BL153" s="883">
        <v>1</v>
      </c>
      <c r="BM153" s="890">
        <v>0</v>
      </c>
      <c r="BN153" s="199">
        <v>7.0000000000000007E-2</v>
      </c>
      <c r="BO153" s="959">
        <v>6</v>
      </c>
      <c r="BP153" s="1018">
        <f t="shared" ca="1" si="202"/>
        <v>121.5</v>
      </c>
      <c r="BQ153" s="1018">
        <f t="shared" ca="1" si="203"/>
        <v>287.05844999999999</v>
      </c>
      <c r="BR153" s="1018">
        <f t="shared" ca="1" si="204"/>
        <v>88.2</v>
      </c>
      <c r="BS153" s="1018">
        <f t="shared" ca="1" si="205"/>
        <v>110.2144959090909</v>
      </c>
      <c r="BT153" s="1018">
        <f t="shared" ca="1" si="206"/>
        <v>60.75</v>
      </c>
      <c r="BU153" s="1018">
        <f t="shared" ca="1" si="207"/>
        <v>18</v>
      </c>
      <c r="BV153" s="1018">
        <f t="shared" ca="1" si="208"/>
        <v>2.15</v>
      </c>
      <c r="BW153" s="1018">
        <v>0</v>
      </c>
      <c r="BX153" s="1018">
        <f t="shared" ca="1" si="209"/>
        <v>38.331278510664532</v>
      </c>
      <c r="BY153" s="1018">
        <f t="shared" ca="1" si="210"/>
        <v>59.899182559288541</v>
      </c>
      <c r="BZ153" s="1018">
        <f t="shared" ca="1" si="195"/>
        <v>15.457671537484117</v>
      </c>
      <c r="CA153" s="1018">
        <f t="shared" ca="1" si="196"/>
        <v>49.499999972774994</v>
      </c>
      <c r="CB153" s="1018">
        <f t="shared" ca="1" si="211"/>
        <v>4.5133587786259541</v>
      </c>
      <c r="CC153" s="1018">
        <f t="shared" si="197"/>
        <v>0</v>
      </c>
      <c r="CD153" s="1018">
        <f t="shared" ca="1" si="212"/>
        <v>187.25350607247449</v>
      </c>
      <c r="CE153" s="1018">
        <f t="shared" ca="1" si="216"/>
        <v>53.280633182010853</v>
      </c>
      <c r="CF153" s="1018">
        <f t="shared" ca="1" si="198"/>
        <v>7.2160241776345613</v>
      </c>
      <c r="CG153" s="1018">
        <f t="shared" ca="1" si="199"/>
        <v>12014.391614794436</v>
      </c>
    </row>
    <row r="154" spans="4:85" x14ac:dyDescent="0.25">
      <c r="D154" s="375"/>
      <c r="E154" s="374"/>
      <c r="F154" s="375"/>
      <c r="G154" s="374"/>
      <c r="H154" s="375"/>
      <c r="I154" s="374"/>
      <c r="J154" s="375"/>
      <c r="K154" s="375"/>
      <c r="L154" s="375"/>
      <c r="M154" s="375"/>
      <c r="N154" s="375"/>
      <c r="O154" s="375" t="s">
        <v>18</v>
      </c>
      <c r="P154" s="377">
        <v>0.15910607099999999</v>
      </c>
      <c r="Q154" s="375" t="s">
        <v>17</v>
      </c>
      <c r="R154" s="377">
        <v>1</v>
      </c>
      <c r="S154" s="375"/>
      <c r="T154" s="385">
        <v>1.1191750151372796E-4</v>
      </c>
      <c r="U154" s="374"/>
      <c r="V154" s="176">
        <f t="shared" si="200"/>
        <v>1.1191750151372796E-4</v>
      </c>
      <c r="W154" s="176">
        <f t="shared" si="213"/>
        <v>1.1191750151372796E-4</v>
      </c>
      <c r="X154" s="176">
        <f t="shared" si="213"/>
        <v>1.1191750151372796E-4</v>
      </c>
      <c r="Y154" s="34">
        <f>X154/Calculation_sheet!M$67</f>
        <v>1.1191978982693831E-4</v>
      </c>
      <c r="Z154" s="176">
        <f ca="1">IF(AN154&gt;0,Y154*Calculation_sheet!C$87,0)</f>
        <v>0</v>
      </c>
      <c r="AA154" s="176">
        <f t="shared" ca="1" si="214"/>
        <v>1.1191978982693831E-4</v>
      </c>
      <c r="AB154" s="176">
        <f ca="1">IF(AP154&gt;0,AA154*Calculation_sheet!C$94,0)</f>
        <v>0</v>
      </c>
      <c r="AC154" s="176">
        <f t="shared" ca="1" si="201"/>
        <v>1.1191978982693831E-4</v>
      </c>
      <c r="AD154" s="958">
        <f ca="1">AC154*Calculation_sheet!C$99</f>
        <v>6.7151873896162975E-5</v>
      </c>
      <c r="AE154" s="176">
        <f t="shared" ca="1" si="201"/>
        <v>4.476791593077533E-5</v>
      </c>
      <c r="AF154" s="176">
        <f t="shared" ca="1" si="215"/>
        <v>1.1191978982693831E-4</v>
      </c>
      <c r="AG154" s="958">
        <f ca="1">AF154*User_sheet!B$77/100</f>
        <v>0</v>
      </c>
      <c r="AH154" s="313"/>
      <c r="AI154" s="886">
        <v>102</v>
      </c>
      <c r="AJ154" s="985"/>
      <c r="AK154" s="1020">
        <f t="shared" ca="1" si="194"/>
        <v>187.25350607247449</v>
      </c>
      <c r="AL154" s="954">
        <f ca="1">AK154/'102'!I$24</f>
        <v>0.67787879083030911</v>
      </c>
      <c r="AM154" s="954">
        <f ca="1">0.8*(AK154*30+'102'!D$17*0.34*30*1)</f>
        <v>7154.4215144666614</v>
      </c>
      <c r="AN154" s="954">
        <f ca="1">IF(AM154&lt;User_sheet!B$50,Y154,0)</f>
        <v>1.1191978982693831E-4</v>
      </c>
      <c r="AO154" s="954">
        <f ca="1">20-(User_sheet!B$57/('Freestanding '!AK154+'102'!D$17*1*0.34))</f>
        <v>0.87895719823296048</v>
      </c>
      <c r="AP154" s="954">
        <f ca="1">IF(AO154&lt;User_sheet!B$59,0,BC154*AA154)</f>
        <v>0</v>
      </c>
      <c r="AQ154" s="985"/>
      <c r="AR154" s="883">
        <v>0.47</v>
      </c>
      <c r="AS154" s="883">
        <v>0.6</v>
      </c>
      <c r="AT154" s="883">
        <v>0.89</v>
      </c>
      <c r="AU154" s="883">
        <v>2.75</v>
      </c>
      <c r="AV154" s="883">
        <v>3.3</v>
      </c>
      <c r="AW154" s="883">
        <v>11617.129718053829</v>
      </c>
      <c r="AX154" s="883">
        <v>69341.450841082013</v>
      </c>
      <c r="AY154" s="883">
        <v>79015.992973719694</v>
      </c>
      <c r="AZ154" s="883">
        <v>0</v>
      </c>
      <c r="BA154" s="883">
        <v>0</v>
      </c>
      <c r="BB154" s="883">
        <v>0.6</v>
      </c>
      <c r="BC154" s="888">
        <v>0</v>
      </c>
      <c r="BD154" s="889">
        <v>0</v>
      </c>
      <c r="BE154" s="889">
        <v>0</v>
      </c>
      <c r="BF154" s="890">
        <v>1</v>
      </c>
      <c r="BG154" s="883">
        <v>1</v>
      </c>
      <c r="BH154" s="883">
        <v>0</v>
      </c>
      <c r="BI154" s="890">
        <v>0</v>
      </c>
      <c r="BJ154" s="883">
        <v>0</v>
      </c>
      <c r="BK154" s="883">
        <v>0</v>
      </c>
      <c r="BL154" s="883">
        <v>0</v>
      </c>
      <c r="BM154" s="890">
        <v>1</v>
      </c>
      <c r="BN154" s="199">
        <v>7.0000000000000007E-2</v>
      </c>
      <c r="BO154" s="959">
        <v>6</v>
      </c>
      <c r="BP154" s="1018">
        <f t="shared" ca="1" si="202"/>
        <v>121.5</v>
      </c>
      <c r="BQ154" s="1018">
        <f t="shared" ca="1" si="203"/>
        <v>287.05844999999999</v>
      </c>
      <c r="BR154" s="1018">
        <f t="shared" ca="1" si="204"/>
        <v>88.2</v>
      </c>
      <c r="BS154" s="1018">
        <f t="shared" ca="1" si="205"/>
        <v>110.2144959090909</v>
      </c>
      <c r="BT154" s="1018">
        <f t="shared" ca="1" si="206"/>
        <v>60.75</v>
      </c>
      <c r="BU154" s="1018">
        <f t="shared" ca="1" si="207"/>
        <v>18</v>
      </c>
      <c r="BV154" s="1018">
        <f t="shared" ca="1" si="208"/>
        <v>2.15</v>
      </c>
      <c r="BW154" s="1018">
        <v>0</v>
      </c>
      <c r="BX154" s="1018">
        <f t="shared" ca="1" si="209"/>
        <v>38.331278510664532</v>
      </c>
      <c r="BY154" s="1018">
        <f t="shared" ca="1" si="210"/>
        <v>59.899182559288541</v>
      </c>
      <c r="BZ154" s="1018">
        <f t="shared" ca="1" si="195"/>
        <v>15.457671537484117</v>
      </c>
      <c r="CA154" s="1018">
        <f t="shared" ca="1" si="196"/>
        <v>49.499999972774994</v>
      </c>
      <c r="CB154" s="1018">
        <f t="shared" ca="1" si="211"/>
        <v>4.5133587786259541</v>
      </c>
      <c r="CC154" s="1018">
        <f t="shared" si="197"/>
        <v>0</v>
      </c>
      <c r="CD154" s="1018">
        <f t="shared" ca="1" si="212"/>
        <v>187.25350607247449</v>
      </c>
      <c r="CE154" s="1018">
        <f t="shared" ca="1" si="216"/>
        <v>53.280633182010853</v>
      </c>
      <c r="CF154" s="1018">
        <f t="shared" ca="1" si="198"/>
        <v>7.2160241776345613</v>
      </c>
      <c r="CG154" s="1018">
        <f t="shared" ca="1" si="199"/>
        <v>12014.391614794436</v>
      </c>
    </row>
    <row r="155" spans="4:85" x14ac:dyDescent="0.25">
      <c r="D155" s="375"/>
      <c r="E155" s="374" t="s">
        <v>4</v>
      </c>
      <c r="F155" s="379">
        <v>0.25</v>
      </c>
      <c r="G155" s="374" t="s">
        <v>5</v>
      </c>
      <c r="H155" s="379">
        <v>1</v>
      </c>
      <c r="I155" s="374" t="s">
        <v>6</v>
      </c>
      <c r="J155" s="379">
        <v>1</v>
      </c>
      <c r="K155" s="378" t="s">
        <v>12</v>
      </c>
      <c r="L155" s="379">
        <v>0.49970000000000003</v>
      </c>
      <c r="M155" s="375" t="s">
        <v>17</v>
      </c>
      <c r="N155" s="377">
        <v>8.5106382999999994E-2</v>
      </c>
      <c r="O155" s="375" t="s">
        <v>19</v>
      </c>
      <c r="P155" s="377">
        <v>0.84089392900000004</v>
      </c>
      <c r="Q155" s="375" t="s">
        <v>17</v>
      </c>
      <c r="R155" s="377">
        <v>1</v>
      </c>
      <c r="S155" s="375"/>
      <c r="T155" s="385">
        <v>5.9149689876850878E-4</v>
      </c>
      <c r="U155" s="374"/>
      <c r="V155" s="176">
        <f t="shared" si="200"/>
        <v>5.9149689876850878E-4</v>
      </c>
      <c r="W155" s="176">
        <f t="shared" si="213"/>
        <v>5.9149689876850878E-4</v>
      </c>
      <c r="X155" s="176">
        <f t="shared" si="213"/>
        <v>5.9149689876850878E-4</v>
      </c>
      <c r="Y155" s="34">
        <f>X155/Calculation_sheet!M$67</f>
        <v>5.9150899276765121E-4</v>
      </c>
      <c r="Z155" s="176">
        <f ca="1">IF(AN155&gt;0,Y155*Calculation_sheet!C$87,0)</f>
        <v>0</v>
      </c>
      <c r="AA155" s="176">
        <f t="shared" ca="1" si="214"/>
        <v>5.9150899276765121E-4</v>
      </c>
      <c r="AB155" s="176">
        <f ca="1">IF(AP155&gt;0,AA155*Calculation_sheet!C$94,0)</f>
        <v>0</v>
      </c>
      <c r="AC155" s="176">
        <f t="shared" ca="1" si="201"/>
        <v>5.9150899276765121E-4</v>
      </c>
      <c r="AD155" s="958">
        <f ca="1">AC155*Calculation_sheet!C$99</f>
        <v>3.5490539566059069E-4</v>
      </c>
      <c r="AE155" s="176">
        <f t="shared" ca="1" si="201"/>
        <v>2.3660359710706052E-4</v>
      </c>
      <c r="AF155" s="176">
        <f t="shared" ca="1" si="215"/>
        <v>5.9150899276765121E-4</v>
      </c>
      <c r="AG155" s="958">
        <f ca="1">AF155*User_sheet!B$77/100</f>
        <v>0</v>
      </c>
      <c r="AH155" s="313"/>
      <c r="AI155" s="886">
        <v>102</v>
      </c>
      <c r="AJ155" s="985"/>
      <c r="AK155" s="1020">
        <f t="shared" ca="1" si="194"/>
        <v>187.25350607247449</v>
      </c>
      <c r="AL155" s="954">
        <f ca="1">AK155/'102'!I$24</f>
        <v>0.67787879083030911</v>
      </c>
      <c r="AM155" s="954">
        <f ca="1">0.8*(AK155*30+'102'!D$17*0.34*30*1)</f>
        <v>7154.4215144666614</v>
      </c>
      <c r="AN155" s="954">
        <f ca="1">IF(AM155&lt;User_sheet!B$50,Y155,0)</f>
        <v>5.9150899276765121E-4</v>
      </c>
      <c r="AO155" s="954">
        <f ca="1">20-(User_sheet!B$57/('Freestanding '!AK155+'102'!D$17*1*0.34))</f>
        <v>0.87895719823296048</v>
      </c>
      <c r="AP155" s="954">
        <f ca="1">IF(AO155&lt;User_sheet!B$59,0,BC155*AA155)</f>
        <v>0</v>
      </c>
      <c r="AQ155" s="985"/>
      <c r="AR155" s="883">
        <v>0.47</v>
      </c>
      <c r="AS155" s="883">
        <v>0.6</v>
      </c>
      <c r="AT155" s="883">
        <v>0.89</v>
      </c>
      <c r="AU155" s="883">
        <v>2.75</v>
      </c>
      <c r="AV155" s="883">
        <v>3.3</v>
      </c>
      <c r="AW155" s="883">
        <v>11617.129718053829</v>
      </c>
      <c r="AX155" s="883">
        <v>69341.450841082013</v>
      </c>
      <c r="AY155" s="883">
        <v>79015.992973719694</v>
      </c>
      <c r="AZ155" s="883">
        <v>0</v>
      </c>
      <c r="BA155" s="883">
        <v>0</v>
      </c>
      <c r="BB155" s="883">
        <v>0.6</v>
      </c>
      <c r="BC155" s="888">
        <v>0</v>
      </c>
      <c r="BD155" s="889">
        <v>0</v>
      </c>
      <c r="BE155" s="889">
        <v>0</v>
      </c>
      <c r="BF155" s="890">
        <v>1</v>
      </c>
      <c r="BG155" s="883">
        <v>0</v>
      </c>
      <c r="BH155" s="883">
        <v>1</v>
      </c>
      <c r="BI155" s="890">
        <v>0</v>
      </c>
      <c r="BJ155" s="883">
        <v>0</v>
      </c>
      <c r="BK155" s="883">
        <v>0</v>
      </c>
      <c r="BL155" s="883">
        <v>0</v>
      </c>
      <c r="BM155" s="890">
        <v>1</v>
      </c>
      <c r="BN155" s="199">
        <v>7.0000000000000007E-2</v>
      </c>
      <c r="BO155" s="959">
        <v>6</v>
      </c>
      <c r="BP155" s="1018">
        <f t="shared" ca="1" si="202"/>
        <v>121.5</v>
      </c>
      <c r="BQ155" s="1018">
        <f t="shared" ca="1" si="203"/>
        <v>287.05844999999999</v>
      </c>
      <c r="BR155" s="1018">
        <f t="shared" ca="1" si="204"/>
        <v>88.2</v>
      </c>
      <c r="BS155" s="1018">
        <f t="shared" ca="1" si="205"/>
        <v>110.2144959090909</v>
      </c>
      <c r="BT155" s="1018">
        <f t="shared" ca="1" si="206"/>
        <v>60.75</v>
      </c>
      <c r="BU155" s="1018">
        <f t="shared" ca="1" si="207"/>
        <v>18</v>
      </c>
      <c r="BV155" s="1018">
        <f t="shared" ca="1" si="208"/>
        <v>2.15</v>
      </c>
      <c r="BW155" s="1018">
        <v>0</v>
      </c>
      <c r="BX155" s="1018">
        <f t="shared" ca="1" si="209"/>
        <v>38.331278510664532</v>
      </c>
      <c r="BY155" s="1018">
        <f t="shared" ca="1" si="210"/>
        <v>59.899182559288541</v>
      </c>
      <c r="BZ155" s="1018">
        <f t="shared" ca="1" si="195"/>
        <v>15.457671537484117</v>
      </c>
      <c r="CA155" s="1018">
        <f t="shared" ca="1" si="196"/>
        <v>49.499999972774994</v>
      </c>
      <c r="CB155" s="1018">
        <f t="shared" ca="1" si="211"/>
        <v>4.5133587786259541</v>
      </c>
      <c r="CC155" s="1018">
        <f t="shared" si="197"/>
        <v>0</v>
      </c>
      <c r="CD155" s="1018">
        <f t="shared" ca="1" si="212"/>
        <v>187.25350607247449</v>
      </c>
      <c r="CE155" s="1018">
        <f t="shared" ca="1" si="216"/>
        <v>53.280633182010853</v>
      </c>
      <c r="CF155" s="1018">
        <f t="shared" ca="1" si="198"/>
        <v>7.2160241776345613</v>
      </c>
      <c r="CG155" s="1018">
        <f t="shared" ca="1" si="199"/>
        <v>12014.391614794436</v>
      </c>
    </row>
    <row r="156" spans="4:85" s="14" customFormat="1" x14ac:dyDescent="0.25">
      <c r="D156" s="383"/>
      <c r="E156" s="382"/>
      <c r="F156" s="383"/>
      <c r="G156" s="382"/>
      <c r="H156" s="383"/>
      <c r="I156" s="382"/>
      <c r="J156" s="383"/>
      <c r="K156" s="384"/>
      <c r="L156" s="383"/>
      <c r="M156" s="383"/>
      <c r="N156" s="383"/>
      <c r="O156" s="383"/>
      <c r="P156" s="383"/>
      <c r="Q156" s="383"/>
      <c r="R156" s="383"/>
      <c r="S156" s="383"/>
      <c r="T156" s="386"/>
      <c r="U156" s="382"/>
      <c r="V156" s="292"/>
      <c r="W156" s="292"/>
      <c r="X156" s="292"/>
      <c r="Y156" s="277"/>
      <c r="Z156" s="292"/>
      <c r="AA156" s="292"/>
      <c r="AB156" s="292"/>
      <c r="AC156" s="292"/>
      <c r="AD156" s="277"/>
      <c r="AE156" s="292"/>
      <c r="AF156" s="292"/>
      <c r="AG156" s="277"/>
      <c r="AH156" s="313"/>
      <c r="AI156" s="887"/>
      <c r="AJ156" s="985"/>
      <c r="AK156" s="1020">
        <f t="shared" si="194"/>
        <v>0</v>
      </c>
      <c r="AL156" s="941"/>
      <c r="AM156" s="941"/>
      <c r="AN156" s="941"/>
      <c r="AO156" s="941"/>
      <c r="AP156" s="941"/>
      <c r="AQ156" s="985"/>
      <c r="AR156" s="887"/>
      <c r="AS156" s="887"/>
      <c r="AT156" s="887"/>
      <c r="AU156" s="887"/>
      <c r="AV156" s="887"/>
      <c r="AW156" s="887"/>
      <c r="AX156" s="887"/>
      <c r="AY156" s="887"/>
      <c r="AZ156" s="887"/>
      <c r="BA156" s="887"/>
      <c r="BB156" s="887"/>
      <c r="BC156" s="45"/>
      <c r="BD156" s="277"/>
      <c r="BE156" s="277"/>
      <c r="BF156" s="49"/>
      <c r="BG156" s="887"/>
      <c r="BH156" s="887"/>
      <c r="BI156" s="49"/>
      <c r="BJ156" s="887"/>
      <c r="BK156" s="887"/>
      <c r="BL156" s="887"/>
      <c r="BM156" s="49"/>
      <c r="BN156" s="277"/>
      <c r="BO156" s="49"/>
      <c r="BP156" s="928"/>
      <c r="BQ156" s="928"/>
      <c r="BR156" s="928"/>
      <c r="BS156" s="928"/>
      <c r="BT156" s="928"/>
      <c r="BU156" s="928"/>
      <c r="BV156" s="928"/>
      <c r="BW156" s="928"/>
      <c r="BX156" s="928"/>
      <c r="BY156" s="928"/>
      <c r="BZ156" s="928"/>
      <c r="CA156" s="928"/>
      <c r="CB156" s="928"/>
      <c r="CC156" s="928"/>
      <c r="CD156" s="928"/>
      <c r="CE156" s="928"/>
      <c r="CF156" s="928"/>
      <c r="CG156" s="928"/>
    </row>
    <row r="157" spans="4:85" x14ac:dyDescent="0.25">
      <c r="D157" s="380"/>
      <c r="E157" s="376"/>
      <c r="F157" s="380"/>
      <c r="G157" s="376"/>
      <c r="H157" s="380"/>
      <c r="I157" s="376"/>
      <c r="J157" s="380"/>
      <c r="K157" s="380"/>
      <c r="L157" s="380"/>
      <c r="M157" s="380"/>
      <c r="N157" s="380"/>
      <c r="O157" s="380"/>
      <c r="P157" s="380"/>
      <c r="Q157" s="380" t="s">
        <v>16</v>
      </c>
      <c r="R157" s="377">
        <v>0.73860000000000003</v>
      </c>
      <c r="S157" s="380"/>
      <c r="T157" s="385">
        <v>1.719191724429366E-3</v>
      </c>
      <c r="U157" s="376"/>
      <c r="V157" s="176">
        <f>T157</f>
        <v>1.719191724429366E-3</v>
      </c>
      <c r="W157" s="176">
        <f>V157</f>
        <v>1.719191724429366E-3</v>
      </c>
      <c r="X157" s="176">
        <f>W157</f>
        <v>1.719191724429366E-3</v>
      </c>
      <c r="Y157" s="958">
        <f>X157/Calculation_sheet!M$67</f>
        <v>1.7192268757603099E-3</v>
      </c>
      <c r="Z157" s="176">
        <f ca="1">IF(AN157&gt;0,Y157*Calculation_sheet!C$87,0)</f>
        <v>0</v>
      </c>
      <c r="AA157" s="176">
        <f ca="1">Y157-Z157</f>
        <v>1.7192268757603099E-3</v>
      </c>
      <c r="AB157" s="176">
        <f ca="1">IF(AP157&gt;0,AA157*Calculation_sheet!C$94,0)</f>
        <v>0</v>
      </c>
      <c r="AC157" s="176">
        <f t="shared" ref="AC157:AE167" ca="1" si="217">AA157-AB157</f>
        <v>1.7192268757603099E-3</v>
      </c>
      <c r="AD157" s="958">
        <f ca="1">AC157*Calculation_sheet!C$99</f>
        <v>1.0315361254561858E-3</v>
      </c>
      <c r="AE157" s="176">
        <f t="shared" ca="1" si="217"/>
        <v>6.8769075030412409E-4</v>
      </c>
      <c r="AF157" s="176">
        <f ca="1">Y157-AB157</f>
        <v>1.7192268757603099E-3</v>
      </c>
      <c r="AG157" s="958">
        <f ca="1">AF157*User_sheet!B$77/100</f>
        <v>0</v>
      </c>
      <c r="AH157" s="313"/>
      <c r="AI157" s="886">
        <v>102</v>
      </c>
      <c r="AJ157" s="985"/>
      <c r="AK157" s="1020">
        <f t="shared" ca="1" si="194"/>
        <v>217.57854961473905</v>
      </c>
      <c r="AL157" s="954">
        <f ca="1">AK157/'102'!I$24</f>
        <v>0.78765886533716789</v>
      </c>
      <c r="AM157" s="954">
        <f ca="1">0.8*(AK157*30+'102'!D$17*0.34*30*1)</f>
        <v>7882.2225594810097</v>
      </c>
      <c r="AN157" s="954">
        <f ca="1">IF(AM157&lt;User_sheet!B$50,Y157,0)</f>
        <v>1.7192268757603099E-3</v>
      </c>
      <c r="AO157" s="954">
        <f ca="1">20-(User_sheet!B$57/('Freestanding '!AK157+'102'!D$17*1*0.34))</f>
        <v>2.6444890425667786</v>
      </c>
      <c r="AP157" s="954">
        <f ca="1">IF(AO157&lt;User_sheet!B$59,0,BC157*AA157)</f>
        <v>0</v>
      </c>
      <c r="AQ157" s="985"/>
      <c r="AR157" s="883">
        <v>0.47</v>
      </c>
      <c r="AS157" s="883">
        <v>0.6</v>
      </c>
      <c r="AT157" s="883">
        <v>3.78</v>
      </c>
      <c r="AU157" s="883">
        <v>2.75</v>
      </c>
      <c r="AV157" s="883">
        <v>3.3</v>
      </c>
      <c r="AW157" s="883">
        <v>11617.129718053829</v>
      </c>
      <c r="AX157" s="883">
        <v>69341.450841082013</v>
      </c>
      <c r="AY157" s="883">
        <v>67352.647733737584</v>
      </c>
      <c r="AZ157" s="883">
        <v>0</v>
      </c>
      <c r="BA157" s="883">
        <v>0</v>
      </c>
      <c r="BB157" s="883">
        <v>0.6</v>
      </c>
      <c r="BC157" s="888">
        <v>1</v>
      </c>
      <c r="BD157" s="889">
        <v>0</v>
      </c>
      <c r="BE157" s="889">
        <v>0</v>
      </c>
      <c r="BF157" s="890">
        <v>0</v>
      </c>
      <c r="BG157" s="883">
        <v>1</v>
      </c>
      <c r="BH157" s="883">
        <v>0</v>
      </c>
      <c r="BI157" s="890">
        <v>0</v>
      </c>
      <c r="BJ157" s="883">
        <v>1</v>
      </c>
      <c r="BK157" s="883">
        <v>0</v>
      </c>
      <c r="BL157" s="883">
        <v>0</v>
      </c>
      <c r="BM157" s="890">
        <v>0</v>
      </c>
      <c r="BN157" s="199">
        <v>7.0000000000000007E-2</v>
      </c>
      <c r="BO157" s="959">
        <v>6</v>
      </c>
      <c r="BP157" s="926">
        <f t="shared" ref="BP157:BP167" ca="1" si="218">INDIRECT("'"&amp;AI157&amp;"'!"&amp;"B2")</f>
        <v>121.5</v>
      </c>
      <c r="BQ157" s="926">
        <f t="shared" ref="BQ157:BQ167" ca="1" si="219">INDIRECT("'"&amp;AI157&amp;"'!"&amp;"C12")+INDIRECT("'"&amp;AI157&amp;"'!"&amp;"C13")+INDIRECT("'"&amp;AI157&amp;"'!"&amp;"C14")+INDIRECT("'"&amp;AI157&amp;"'!"&amp;"C15")+INDIRECT("'"&amp;AI157&amp;"'!"&amp;"C17")</f>
        <v>287.05844999999999</v>
      </c>
      <c r="BR157" s="926">
        <f t="shared" ref="BR157:BR167" ca="1" si="220">INDIRECT("'"&amp;AI157&amp;"'!"&amp;"G5")</f>
        <v>88.2</v>
      </c>
      <c r="BS157" s="926">
        <f t="shared" ref="BS157:BS167" ca="1" si="221">INDIRECT("'"&amp;AI157&amp;"'!"&amp;"G4")</f>
        <v>110.2144959090909</v>
      </c>
      <c r="BT157" s="926">
        <f t="shared" ref="BT157:BT167" ca="1" si="222">INDIRECT("'"&amp;AI157&amp;"'!"&amp;"G6")</f>
        <v>60.75</v>
      </c>
      <c r="BU157" s="926">
        <f t="shared" ref="BU157:BU167" ca="1" si="223">INDIRECT("'"&amp;AI157&amp;"'!"&amp;"G2")</f>
        <v>18</v>
      </c>
      <c r="BV157" s="926">
        <f t="shared" ref="BV157:BV167" ca="1" si="224">INDIRECT("'"&amp;AI157&amp;"'!"&amp;"G3")</f>
        <v>2.15</v>
      </c>
      <c r="BW157" s="926">
        <v>0</v>
      </c>
      <c r="BX157" s="926">
        <f t="shared" ref="BX157:BX167" ca="1" si="225">IF(BR157=0,0,1/(1/(BR157*$BY$3)+1/(BR157*AR157)+1/(BR157*$BY$4)))</f>
        <v>38.331278510664532</v>
      </c>
      <c r="BY157" s="926">
        <f t="shared" ref="BY157:BY167" ca="1" si="226">IF(BS157=0,0,1/(1/(BS157*$BY$3)+1/(BS157*AS157)+1/(BS157*$BY$4)))</f>
        <v>59.899182559288541</v>
      </c>
      <c r="BZ157" s="926">
        <f t="shared" ca="1" si="195"/>
        <v>45.782715079748669</v>
      </c>
      <c r="CA157" s="926">
        <f t="shared" ca="1" si="196"/>
        <v>49.499999972774994</v>
      </c>
      <c r="CB157" s="926">
        <f t="shared" ref="CB157:CB167" ca="1" si="227">IF(BV157=0,0,1/(1/(BV157*$BY$3)+1/(BV157*AV157)+1/(BV157*$BY$4)))</f>
        <v>4.5133587786259541</v>
      </c>
      <c r="CC157" s="926">
        <f t="shared" si="197"/>
        <v>0</v>
      </c>
      <c r="CD157" s="1018">
        <f t="shared" ref="CD157:CD167" ca="1" si="228">SUM(BX157:CC157)+(BR157+BS157+BT157+BU157+BV157)*BN157</f>
        <v>217.57854961473905</v>
      </c>
      <c r="CE157" s="1018">
        <f ca="1">0.34*BO157*(1/25)^0.66*(BR157+BS157+BU157+BV157)</f>
        <v>53.280633182010853</v>
      </c>
      <c r="CF157" s="926">
        <f t="shared" ca="1" si="198"/>
        <v>8.1257754839024976</v>
      </c>
      <c r="CG157" s="926">
        <f t="shared" ca="1" si="199"/>
        <v>13529.091149678301</v>
      </c>
    </row>
    <row r="158" spans="4:85" x14ac:dyDescent="0.25">
      <c r="D158" s="380"/>
      <c r="E158" s="376"/>
      <c r="F158" s="380"/>
      <c r="G158" s="376"/>
      <c r="H158" s="380"/>
      <c r="I158" s="376"/>
      <c r="J158" s="380"/>
      <c r="K158" s="375"/>
      <c r="L158" s="375"/>
      <c r="M158" s="375"/>
      <c r="N158" s="375"/>
      <c r="O158" s="375" t="s">
        <v>18</v>
      </c>
      <c r="P158" s="377">
        <v>0.62953995200000001</v>
      </c>
      <c r="Q158" s="375" t="s">
        <v>7</v>
      </c>
      <c r="R158" s="377">
        <v>0.26140000000000002</v>
      </c>
      <c r="S158" s="375"/>
      <c r="T158" s="385">
        <v>6.0844397070922867E-4</v>
      </c>
      <c r="U158" s="374"/>
      <c r="V158" s="176">
        <f t="shared" ref="V158:V167" si="229">T158</f>
        <v>6.0844397070922867E-4</v>
      </c>
      <c r="W158" s="176">
        <f t="shared" ref="W158:W167" si="230">V158</f>
        <v>6.0844397070922867E-4</v>
      </c>
      <c r="X158" s="176">
        <f t="shared" ref="X158:X167" si="231">W158</f>
        <v>6.0844397070922867E-4</v>
      </c>
      <c r="Y158" s="958">
        <f>X158/Calculation_sheet!M$67</f>
        <v>6.0845641121546853E-4</v>
      </c>
      <c r="Z158" s="176">
        <f ca="1">IF(AN158&gt;0,Y158*Calculation_sheet!C$87,0)</f>
        <v>0</v>
      </c>
      <c r="AA158" s="176">
        <f t="shared" ref="AA158:AA167" ca="1" si="232">Y158-Z158</f>
        <v>6.0845641121546853E-4</v>
      </c>
      <c r="AB158" s="176">
        <f ca="1">IF(AP158&gt;0,AA158*Calculation_sheet!C$94,0)</f>
        <v>0</v>
      </c>
      <c r="AC158" s="176">
        <f t="shared" ca="1" si="217"/>
        <v>6.0845641121546853E-4</v>
      </c>
      <c r="AD158" s="958">
        <f ca="1">AC158*Calculation_sheet!C$99</f>
        <v>3.6507384672928108E-4</v>
      </c>
      <c r="AE158" s="176">
        <f t="shared" ca="1" si="217"/>
        <v>2.4338256448618744E-4</v>
      </c>
      <c r="AF158" s="176">
        <f t="shared" ref="AF158:AF167" ca="1" si="233">Y158-AB158</f>
        <v>6.0845641121546853E-4</v>
      </c>
      <c r="AG158" s="958">
        <f ca="1">AF158*User_sheet!B$77/100</f>
        <v>0</v>
      </c>
      <c r="AH158" s="313"/>
      <c r="AI158" s="886">
        <v>102</v>
      </c>
      <c r="AJ158" s="985"/>
      <c r="AK158" s="1020">
        <f t="shared" ca="1" si="194"/>
        <v>217.57854961473905</v>
      </c>
      <c r="AL158" s="954">
        <f ca="1">AK158/'102'!I$24</f>
        <v>0.78765886533716789</v>
      </c>
      <c r="AM158" s="954">
        <f ca="1">0.8*(AK158*30+'102'!D$17*0.34*30*1)</f>
        <v>7882.2225594810097</v>
      </c>
      <c r="AN158" s="954">
        <f ca="1">IF(AM158&lt;User_sheet!B$50,Y158,0)</f>
        <v>6.0845641121546853E-4</v>
      </c>
      <c r="AO158" s="954">
        <f ca="1">20-(User_sheet!B$57/('Freestanding '!AK158+'102'!D$17*1*0.34))</f>
        <v>2.6444890425667786</v>
      </c>
      <c r="AP158" s="954">
        <f ca="1">IF(AO158&lt;User_sheet!B$59,0,BC158*AA158)</f>
        <v>0</v>
      </c>
      <c r="AQ158" s="985"/>
      <c r="AR158" s="883">
        <v>0.47</v>
      </c>
      <c r="AS158" s="883">
        <v>0.6</v>
      </c>
      <c r="AT158" s="883">
        <v>3.78</v>
      </c>
      <c r="AU158" s="883">
        <v>2.75</v>
      </c>
      <c r="AV158" s="883">
        <v>3.3</v>
      </c>
      <c r="AW158" s="883">
        <v>11617.129718053829</v>
      </c>
      <c r="AX158" s="883">
        <v>69341.450841082013</v>
      </c>
      <c r="AY158" s="883">
        <v>67352.647733737584</v>
      </c>
      <c r="AZ158" s="883">
        <v>0</v>
      </c>
      <c r="BA158" s="883">
        <v>0</v>
      </c>
      <c r="BB158" s="883">
        <v>0.6</v>
      </c>
      <c r="BC158" s="888">
        <v>1</v>
      </c>
      <c r="BD158" s="889">
        <v>0</v>
      </c>
      <c r="BE158" s="889">
        <v>0</v>
      </c>
      <c r="BF158" s="890">
        <v>0</v>
      </c>
      <c r="BG158" s="883">
        <v>1</v>
      </c>
      <c r="BH158" s="883">
        <v>0</v>
      </c>
      <c r="BI158" s="890">
        <v>0</v>
      </c>
      <c r="BJ158" s="883">
        <v>0</v>
      </c>
      <c r="BK158" s="883">
        <v>0</v>
      </c>
      <c r="BL158" s="883">
        <v>1</v>
      </c>
      <c r="BM158" s="890">
        <v>0</v>
      </c>
      <c r="BN158" s="199">
        <v>7.0000000000000007E-2</v>
      </c>
      <c r="BO158" s="959">
        <v>6</v>
      </c>
      <c r="BP158" s="926">
        <f t="shared" ca="1" si="218"/>
        <v>121.5</v>
      </c>
      <c r="BQ158" s="926">
        <f t="shared" ca="1" si="219"/>
        <v>287.05844999999999</v>
      </c>
      <c r="BR158" s="926">
        <f t="shared" ca="1" si="220"/>
        <v>88.2</v>
      </c>
      <c r="BS158" s="926">
        <f t="shared" ca="1" si="221"/>
        <v>110.2144959090909</v>
      </c>
      <c r="BT158" s="926">
        <f t="shared" ca="1" si="222"/>
        <v>60.75</v>
      </c>
      <c r="BU158" s="926">
        <f t="shared" ca="1" si="223"/>
        <v>18</v>
      </c>
      <c r="BV158" s="926">
        <f t="shared" ca="1" si="224"/>
        <v>2.15</v>
      </c>
      <c r="BW158" s="926">
        <v>0</v>
      </c>
      <c r="BX158" s="926">
        <f t="shared" ca="1" si="225"/>
        <v>38.331278510664532</v>
      </c>
      <c r="BY158" s="926">
        <f t="shared" ca="1" si="226"/>
        <v>59.899182559288541</v>
      </c>
      <c r="BZ158" s="926">
        <f t="shared" ca="1" si="195"/>
        <v>45.782715079748669</v>
      </c>
      <c r="CA158" s="926">
        <f t="shared" ca="1" si="196"/>
        <v>49.499999972774994</v>
      </c>
      <c r="CB158" s="926">
        <f t="shared" ca="1" si="227"/>
        <v>4.5133587786259541</v>
      </c>
      <c r="CC158" s="926">
        <f t="shared" si="197"/>
        <v>0</v>
      </c>
      <c r="CD158" s="1018">
        <f t="shared" ca="1" si="228"/>
        <v>217.57854961473905</v>
      </c>
      <c r="CE158" s="1018">
        <f t="shared" ref="CE158:CE167" ca="1" si="234">0.34*BO158*(1/25)^0.66*(BR158+BS158+BU158+BV158)</f>
        <v>53.280633182010853</v>
      </c>
      <c r="CF158" s="926">
        <f t="shared" ca="1" si="198"/>
        <v>8.1257754839024976</v>
      </c>
      <c r="CG158" s="926">
        <f t="shared" ca="1" si="199"/>
        <v>13529.091149678301</v>
      </c>
    </row>
    <row r="159" spans="4:85" x14ac:dyDescent="0.25">
      <c r="D159" s="380"/>
      <c r="E159" s="376"/>
      <c r="F159" s="380"/>
      <c r="G159" s="376"/>
      <c r="H159" s="380"/>
      <c r="I159" s="376"/>
      <c r="J159" s="380"/>
      <c r="K159" s="375"/>
      <c r="L159" s="375"/>
      <c r="M159" s="375"/>
      <c r="N159" s="375"/>
      <c r="O159" s="375"/>
      <c r="P159" s="375"/>
      <c r="Q159" s="375" t="s">
        <v>16</v>
      </c>
      <c r="R159" s="377">
        <v>0.73860000000000003</v>
      </c>
      <c r="S159" s="375"/>
      <c r="T159" s="385">
        <v>1.0116782052194612E-3</v>
      </c>
      <c r="U159" s="374"/>
      <c r="V159" s="176">
        <f t="shared" si="229"/>
        <v>1.0116782052194612E-3</v>
      </c>
      <c r="W159" s="176">
        <f t="shared" si="230"/>
        <v>1.0116782052194612E-3</v>
      </c>
      <c r="X159" s="176">
        <f t="shared" si="231"/>
        <v>1.0116782052194612E-3</v>
      </c>
      <c r="Y159" s="958">
        <f>X159/Calculation_sheet!M$67</f>
        <v>1.0116988904257096E-3</v>
      </c>
      <c r="Z159" s="176">
        <f ca="1">IF(AN159&gt;0,Y159*Calculation_sheet!C$87,0)</f>
        <v>0</v>
      </c>
      <c r="AA159" s="176">
        <f t="shared" ca="1" si="232"/>
        <v>1.0116988904257096E-3</v>
      </c>
      <c r="AB159" s="176">
        <f ca="1">IF(AP159&gt;0,AA159*Calculation_sheet!C$94,0)</f>
        <v>0</v>
      </c>
      <c r="AC159" s="176">
        <f t="shared" ca="1" si="217"/>
        <v>1.0116988904257096E-3</v>
      </c>
      <c r="AD159" s="958">
        <f ca="1">AC159*Calculation_sheet!C$99</f>
        <v>6.0701933425542573E-4</v>
      </c>
      <c r="AE159" s="176">
        <f t="shared" ca="1" si="217"/>
        <v>4.0467955617028389E-4</v>
      </c>
      <c r="AF159" s="176">
        <f t="shared" ca="1" si="233"/>
        <v>1.0116988904257096E-3</v>
      </c>
      <c r="AG159" s="958">
        <f ca="1">AF159*User_sheet!B$77/100</f>
        <v>0</v>
      </c>
      <c r="AH159" s="313"/>
      <c r="AI159" s="886">
        <v>102</v>
      </c>
      <c r="AJ159" s="985"/>
      <c r="AK159" s="1020">
        <f t="shared" ca="1" si="194"/>
        <v>217.57854961473905</v>
      </c>
      <c r="AL159" s="954">
        <f ca="1">AK159/'102'!I$24</f>
        <v>0.78765886533716789</v>
      </c>
      <c r="AM159" s="954">
        <f ca="1">0.8*(AK159*30+'102'!D$17*0.34*30*1)</f>
        <v>7882.2225594810097</v>
      </c>
      <c r="AN159" s="954">
        <f ca="1">IF(AM159&lt;User_sheet!B$50,Y159,0)</f>
        <v>1.0116988904257096E-3</v>
      </c>
      <c r="AO159" s="954">
        <f ca="1">20-(User_sheet!B$57/('Freestanding '!AK159+'102'!D$17*1*0.34))</f>
        <v>2.6444890425667786</v>
      </c>
      <c r="AP159" s="954">
        <f ca="1">IF(AO159&lt;User_sheet!B$59,0,BC159*AA159)</f>
        <v>0</v>
      </c>
      <c r="AQ159" s="985"/>
      <c r="AR159" s="883">
        <v>0.47</v>
      </c>
      <c r="AS159" s="883">
        <v>0.6</v>
      </c>
      <c r="AT159" s="883">
        <v>3.78</v>
      </c>
      <c r="AU159" s="883">
        <v>2.75</v>
      </c>
      <c r="AV159" s="883">
        <v>3.3</v>
      </c>
      <c r="AW159" s="883">
        <v>11617.129718053829</v>
      </c>
      <c r="AX159" s="883">
        <v>69341.450841082013</v>
      </c>
      <c r="AY159" s="883">
        <v>67352.647733737584</v>
      </c>
      <c r="AZ159" s="883">
        <v>0</v>
      </c>
      <c r="BA159" s="883">
        <v>0</v>
      </c>
      <c r="BB159" s="883">
        <v>0.6</v>
      </c>
      <c r="BC159" s="888">
        <v>1</v>
      </c>
      <c r="BD159" s="889">
        <v>0</v>
      </c>
      <c r="BE159" s="889">
        <v>0</v>
      </c>
      <c r="BF159" s="890">
        <v>0</v>
      </c>
      <c r="BG159" s="883">
        <v>0</v>
      </c>
      <c r="BH159" s="883">
        <v>1</v>
      </c>
      <c r="BI159" s="890">
        <v>0</v>
      </c>
      <c r="BJ159" s="883">
        <v>1</v>
      </c>
      <c r="BK159" s="883">
        <v>0</v>
      </c>
      <c r="BL159" s="883">
        <v>0</v>
      </c>
      <c r="BM159" s="890">
        <v>0</v>
      </c>
      <c r="BN159" s="199">
        <v>7.0000000000000007E-2</v>
      </c>
      <c r="BO159" s="959">
        <v>6</v>
      </c>
      <c r="BP159" s="926">
        <f t="shared" ca="1" si="218"/>
        <v>121.5</v>
      </c>
      <c r="BQ159" s="926">
        <f t="shared" ca="1" si="219"/>
        <v>287.05844999999999</v>
      </c>
      <c r="BR159" s="926">
        <f t="shared" ca="1" si="220"/>
        <v>88.2</v>
      </c>
      <c r="BS159" s="926">
        <f t="shared" ca="1" si="221"/>
        <v>110.2144959090909</v>
      </c>
      <c r="BT159" s="926">
        <f t="shared" ca="1" si="222"/>
        <v>60.75</v>
      </c>
      <c r="BU159" s="926">
        <f t="shared" ca="1" si="223"/>
        <v>18</v>
      </c>
      <c r="BV159" s="926">
        <f t="shared" ca="1" si="224"/>
        <v>2.15</v>
      </c>
      <c r="BW159" s="926">
        <v>0</v>
      </c>
      <c r="BX159" s="926">
        <f t="shared" ca="1" si="225"/>
        <v>38.331278510664532</v>
      </c>
      <c r="BY159" s="926">
        <f t="shared" ca="1" si="226"/>
        <v>59.899182559288541</v>
      </c>
      <c r="BZ159" s="926">
        <f t="shared" ca="1" si="195"/>
        <v>45.782715079748669</v>
      </c>
      <c r="CA159" s="926">
        <f t="shared" ca="1" si="196"/>
        <v>49.499999972774994</v>
      </c>
      <c r="CB159" s="926">
        <f t="shared" ca="1" si="227"/>
        <v>4.5133587786259541</v>
      </c>
      <c r="CC159" s="926">
        <f t="shared" si="197"/>
        <v>0</v>
      </c>
      <c r="CD159" s="1018">
        <f t="shared" ca="1" si="228"/>
        <v>217.57854961473905</v>
      </c>
      <c r="CE159" s="1018">
        <f t="shared" ca="1" si="234"/>
        <v>53.280633182010853</v>
      </c>
      <c r="CF159" s="926">
        <f t="shared" ca="1" si="198"/>
        <v>8.1257754839024976</v>
      </c>
      <c r="CG159" s="926">
        <f t="shared" ca="1" si="199"/>
        <v>13529.091149678301</v>
      </c>
    </row>
    <row r="160" spans="4:85" x14ac:dyDescent="0.25">
      <c r="D160" s="380"/>
      <c r="E160" s="376"/>
      <c r="F160" s="380"/>
      <c r="G160" s="376"/>
      <c r="H160" s="380"/>
      <c r="I160" s="376"/>
      <c r="J160" s="380"/>
      <c r="K160" s="375"/>
      <c r="L160" s="375"/>
      <c r="M160" s="375" t="s">
        <v>16</v>
      </c>
      <c r="N160" s="377">
        <v>0.44680851100000002</v>
      </c>
      <c r="O160" s="375" t="s">
        <v>19</v>
      </c>
      <c r="P160" s="377">
        <v>0.37046004799999999</v>
      </c>
      <c r="Q160" s="375" t="s">
        <v>7</v>
      </c>
      <c r="R160" s="377">
        <v>0.26140000000000002</v>
      </c>
      <c r="S160" s="375"/>
      <c r="T160" s="385">
        <v>3.5804587441696064E-4</v>
      </c>
      <c r="U160" s="374"/>
      <c r="V160" s="176">
        <f t="shared" si="229"/>
        <v>3.5804587441696064E-4</v>
      </c>
      <c r="W160" s="176">
        <f t="shared" si="230"/>
        <v>3.5804587441696064E-4</v>
      </c>
      <c r="X160" s="176">
        <f t="shared" si="231"/>
        <v>3.5804587441696064E-4</v>
      </c>
      <c r="Y160" s="958">
        <f>X160/Calculation_sheet!M$67</f>
        <v>3.5805319517638839E-4</v>
      </c>
      <c r="Z160" s="176">
        <f ca="1">IF(AN160&gt;0,Y160*Calculation_sheet!C$87,0)</f>
        <v>0</v>
      </c>
      <c r="AA160" s="176">
        <f t="shared" ca="1" si="232"/>
        <v>3.5805319517638839E-4</v>
      </c>
      <c r="AB160" s="176">
        <f ca="1">IF(AP160&gt;0,AA160*Calculation_sheet!C$94,0)</f>
        <v>0</v>
      </c>
      <c r="AC160" s="176">
        <f t="shared" ca="1" si="217"/>
        <v>3.5805319517638839E-4</v>
      </c>
      <c r="AD160" s="958">
        <f ca="1">AC160*Calculation_sheet!C$99</f>
        <v>2.1483191710583302E-4</v>
      </c>
      <c r="AE160" s="176">
        <f t="shared" ca="1" si="217"/>
        <v>1.4322127807055537E-4</v>
      </c>
      <c r="AF160" s="176">
        <f t="shared" ca="1" si="233"/>
        <v>3.5805319517638839E-4</v>
      </c>
      <c r="AG160" s="958">
        <f ca="1">AF160*User_sheet!B$77/100</f>
        <v>0</v>
      </c>
      <c r="AH160" s="313"/>
      <c r="AI160" s="886">
        <v>102</v>
      </c>
      <c r="AJ160" s="985"/>
      <c r="AK160" s="1020">
        <f t="shared" ca="1" si="194"/>
        <v>217.57854961473905</v>
      </c>
      <c r="AL160" s="954">
        <f ca="1">AK160/'102'!I$24</f>
        <v>0.78765886533716789</v>
      </c>
      <c r="AM160" s="954">
        <f ca="1">0.8*(AK160*30+'102'!D$17*0.34*30*1)</f>
        <v>7882.2225594810097</v>
      </c>
      <c r="AN160" s="954">
        <f ca="1">IF(AM160&lt;User_sheet!B$50,Y160,0)</f>
        <v>3.5805319517638839E-4</v>
      </c>
      <c r="AO160" s="954">
        <f ca="1">20-(User_sheet!B$57/('Freestanding '!AK160+'102'!D$17*1*0.34))</f>
        <v>2.6444890425667786</v>
      </c>
      <c r="AP160" s="954">
        <f ca="1">IF(AO160&lt;User_sheet!B$59,0,BC160*AA160)</f>
        <v>0</v>
      </c>
      <c r="AQ160" s="985"/>
      <c r="AR160" s="883">
        <v>0.47</v>
      </c>
      <c r="AS160" s="883">
        <v>0.6</v>
      </c>
      <c r="AT160" s="883">
        <v>3.78</v>
      </c>
      <c r="AU160" s="883">
        <v>2.75</v>
      </c>
      <c r="AV160" s="883">
        <v>3.3</v>
      </c>
      <c r="AW160" s="883">
        <v>11617.129718053829</v>
      </c>
      <c r="AX160" s="883">
        <v>69341.450841082013</v>
      </c>
      <c r="AY160" s="883">
        <v>67352.647733737584</v>
      </c>
      <c r="AZ160" s="883">
        <v>0</v>
      </c>
      <c r="BA160" s="883">
        <v>0</v>
      </c>
      <c r="BB160" s="883">
        <v>0.6</v>
      </c>
      <c r="BC160" s="888">
        <v>1</v>
      </c>
      <c r="BD160" s="889">
        <v>0</v>
      </c>
      <c r="BE160" s="889">
        <v>0</v>
      </c>
      <c r="BF160" s="890">
        <v>0</v>
      </c>
      <c r="BG160" s="883">
        <v>0</v>
      </c>
      <c r="BH160" s="883">
        <v>1</v>
      </c>
      <c r="BI160" s="890">
        <v>0</v>
      </c>
      <c r="BJ160" s="883">
        <v>0</v>
      </c>
      <c r="BK160" s="883">
        <v>0</v>
      </c>
      <c r="BL160" s="883">
        <v>1</v>
      </c>
      <c r="BM160" s="890">
        <v>0</v>
      </c>
      <c r="BN160" s="199">
        <v>7.0000000000000007E-2</v>
      </c>
      <c r="BO160" s="959">
        <v>6</v>
      </c>
      <c r="BP160" s="926">
        <f t="shared" ca="1" si="218"/>
        <v>121.5</v>
      </c>
      <c r="BQ160" s="926">
        <f t="shared" ca="1" si="219"/>
        <v>287.05844999999999</v>
      </c>
      <c r="BR160" s="926">
        <f t="shared" ca="1" si="220"/>
        <v>88.2</v>
      </c>
      <c r="BS160" s="926">
        <f t="shared" ca="1" si="221"/>
        <v>110.2144959090909</v>
      </c>
      <c r="BT160" s="926">
        <f t="shared" ca="1" si="222"/>
        <v>60.75</v>
      </c>
      <c r="BU160" s="926">
        <f t="shared" ca="1" si="223"/>
        <v>18</v>
      </c>
      <c r="BV160" s="926">
        <f t="shared" ca="1" si="224"/>
        <v>2.15</v>
      </c>
      <c r="BW160" s="926">
        <v>0</v>
      </c>
      <c r="BX160" s="926">
        <f t="shared" ca="1" si="225"/>
        <v>38.331278510664532</v>
      </c>
      <c r="BY160" s="926">
        <f t="shared" ca="1" si="226"/>
        <v>59.899182559288541</v>
      </c>
      <c r="BZ160" s="926">
        <f t="shared" ca="1" si="195"/>
        <v>45.782715079748669</v>
      </c>
      <c r="CA160" s="926">
        <f t="shared" ca="1" si="196"/>
        <v>49.499999972774994</v>
      </c>
      <c r="CB160" s="926">
        <f t="shared" ca="1" si="227"/>
        <v>4.5133587786259541</v>
      </c>
      <c r="CC160" s="926">
        <f t="shared" si="197"/>
        <v>0</v>
      </c>
      <c r="CD160" s="1018">
        <f t="shared" ca="1" si="228"/>
        <v>217.57854961473905</v>
      </c>
      <c r="CE160" s="1018">
        <f t="shared" ca="1" si="234"/>
        <v>53.280633182010853</v>
      </c>
      <c r="CF160" s="926">
        <f t="shared" ca="1" si="198"/>
        <v>8.1257754839024976</v>
      </c>
      <c r="CG160" s="926">
        <f t="shared" ca="1" si="199"/>
        <v>13529.091149678301</v>
      </c>
    </row>
    <row r="161" spans="4:85" x14ac:dyDescent="0.25">
      <c r="D161" s="380"/>
      <c r="E161" s="376"/>
      <c r="F161" s="380"/>
      <c r="G161" s="376"/>
      <c r="H161" s="380"/>
      <c r="I161" s="376"/>
      <c r="J161" s="380"/>
      <c r="K161" s="375"/>
      <c r="L161" s="375"/>
      <c r="M161" s="375"/>
      <c r="N161" s="375"/>
      <c r="O161" s="375"/>
      <c r="P161" s="375"/>
      <c r="Q161" s="375" t="s">
        <v>22</v>
      </c>
      <c r="R161" s="377">
        <v>0.53710000000000002</v>
      </c>
      <c r="S161" s="375"/>
      <c r="T161" s="385">
        <v>1.6051058879498006E-3</v>
      </c>
      <c r="U161" s="374"/>
      <c r="V161" s="176">
        <f t="shared" si="229"/>
        <v>1.6051058879498006E-3</v>
      </c>
      <c r="W161" s="176">
        <f t="shared" si="230"/>
        <v>1.6051058879498006E-3</v>
      </c>
      <c r="X161" s="176">
        <f t="shared" si="231"/>
        <v>1.6051058879498006E-3</v>
      </c>
      <c r="Y161" s="958">
        <f>X161/Calculation_sheet!M$67</f>
        <v>1.6051387066328281E-3</v>
      </c>
      <c r="Z161" s="176">
        <f ca="1">IF(AN161&gt;0,Y161*Calculation_sheet!C$87,0)</f>
        <v>0</v>
      </c>
      <c r="AA161" s="176">
        <f t="shared" ca="1" si="232"/>
        <v>1.6051387066328281E-3</v>
      </c>
      <c r="AB161" s="176">
        <f ca="1">IF(AP161&gt;0,AA161*Calculation_sheet!C$94,0)</f>
        <v>0</v>
      </c>
      <c r="AC161" s="176">
        <f t="shared" ca="1" si="217"/>
        <v>1.6051387066328281E-3</v>
      </c>
      <c r="AD161" s="958">
        <f ca="1">AC161*Calculation_sheet!C$99</f>
        <v>9.6308322397969676E-4</v>
      </c>
      <c r="AE161" s="176">
        <f t="shared" ca="1" si="217"/>
        <v>6.4205548265313132E-4</v>
      </c>
      <c r="AF161" s="176">
        <f t="shared" ca="1" si="233"/>
        <v>1.6051387066328281E-3</v>
      </c>
      <c r="AG161" s="958">
        <f ca="1">AF161*User_sheet!B$77/100</f>
        <v>0</v>
      </c>
      <c r="AH161" s="313"/>
      <c r="AI161" s="886">
        <v>102</v>
      </c>
      <c r="AJ161" s="985"/>
      <c r="AK161" s="1020">
        <f t="shared" ca="1" si="194"/>
        <v>217.57854961473905</v>
      </c>
      <c r="AL161" s="954">
        <f ca="1">AK161/'102'!I$24</f>
        <v>0.78765886533716789</v>
      </c>
      <c r="AM161" s="954">
        <f ca="1">0.8*(AK161*30+'102'!D$17*0.34*30*1)</f>
        <v>7882.2225594810097</v>
      </c>
      <c r="AN161" s="954">
        <f ca="1">IF(AM161&lt;User_sheet!B$50,Y161,0)</f>
        <v>1.6051387066328281E-3</v>
      </c>
      <c r="AO161" s="954">
        <f ca="1">20-(User_sheet!B$57/('Freestanding '!AK161+'102'!D$17*1*0.34))</f>
        <v>2.6444890425667786</v>
      </c>
      <c r="AP161" s="954">
        <f ca="1">IF(AO161&lt;User_sheet!B$59,0,BC161*AA161)</f>
        <v>0</v>
      </c>
      <c r="AQ161" s="985"/>
      <c r="AR161" s="883">
        <v>0.47</v>
      </c>
      <c r="AS161" s="883">
        <v>0.6</v>
      </c>
      <c r="AT161" s="883">
        <v>3.78</v>
      </c>
      <c r="AU161" s="883">
        <v>2.75</v>
      </c>
      <c r="AV161" s="883">
        <v>3.3</v>
      </c>
      <c r="AW161" s="883">
        <v>11617.129718053829</v>
      </c>
      <c r="AX161" s="883">
        <v>69341.450841082013</v>
      </c>
      <c r="AY161" s="883">
        <v>67352.647733737584</v>
      </c>
      <c r="AZ161" s="883">
        <v>0</v>
      </c>
      <c r="BA161" s="883">
        <v>0</v>
      </c>
      <c r="BB161" s="883">
        <v>0.6</v>
      </c>
      <c r="BC161" s="888">
        <v>0</v>
      </c>
      <c r="BD161" s="889">
        <v>1</v>
      </c>
      <c r="BE161" s="889">
        <v>0</v>
      </c>
      <c r="BF161" s="890">
        <v>0</v>
      </c>
      <c r="BG161" s="883">
        <v>1</v>
      </c>
      <c r="BH161" s="883">
        <v>0</v>
      </c>
      <c r="BI161" s="890">
        <v>0</v>
      </c>
      <c r="BJ161" s="883">
        <v>0</v>
      </c>
      <c r="BK161" s="883">
        <v>1</v>
      </c>
      <c r="BL161" s="883">
        <v>0</v>
      </c>
      <c r="BM161" s="890">
        <v>0</v>
      </c>
      <c r="BN161" s="199">
        <v>7.0000000000000007E-2</v>
      </c>
      <c r="BO161" s="959">
        <v>6</v>
      </c>
      <c r="BP161" s="926">
        <f t="shared" ca="1" si="218"/>
        <v>121.5</v>
      </c>
      <c r="BQ161" s="926">
        <f t="shared" ca="1" si="219"/>
        <v>287.05844999999999</v>
      </c>
      <c r="BR161" s="926">
        <f t="shared" ca="1" si="220"/>
        <v>88.2</v>
      </c>
      <c r="BS161" s="926">
        <f t="shared" ca="1" si="221"/>
        <v>110.2144959090909</v>
      </c>
      <c r="BT161" s="926">
        <f t="shared" ca="1" si="222"/>
        <v>60.75</v>
      </c>
      <c r="BU161" s="926">
        <f t="shared" ca="1" si="223"/>
        <v>18</v>
      </c>
      <c r="BV161" s="926">
        <f t="shared" ca="1" si="224"/>
        <v>2.15</v>
      </c>
      <c r="BW161" s="926">
        <v>0</v>
      </c>
      <c r="BX161" s="926">
        <f t="shared" ca="1" si="225"/>
        <v>38.331278510664532</v>
      </c>
      <c r="BY161" s="926">
        <f t="shared" ca="1" si="226"/>
        <v>59.899182559288541</v>
      </c>
      <c r="BZ161" s="926">
        <f t="shared" ca="1" si="195"/>
        <v>45.782715079748669</v>
      </c>
      <c r="CA161" s="926">
        <f t="shared" ca="1" si="196"/>
        <v>49.499999972774994</v>
      </c>
      <c r="CB161" s="926">
        <f t="shared" ca="1" si="227"/>
        <v>4.5133587786259541</v>
      </c>
      <c r="CC161" s="926">
        <f t="shared" si="197"/>
        <v>0</v>
      </c>
      <c r="CD161" s="1018">
        <f t="shared" ca="1" si="228"/>
        <v>217.57854961473905</v>
      </c>
      <c r="CE161" s="1018">
        <f t="shared" ca="1" si="234"/>
        <v>53.280633182010853</v>
      </c>
      <c r="CF161" s="926">
        <f t="shared" ca="1" si="198"/>
        <v>8.1257754839024976</v>
      </c>
      <c r="CG161" s="926">
        <f t="shared" ca="1" si="199"/>
        <v>13529.091149678301</v>
      </c>
    </row>
    <row r="162" spans="4:85" x14ac:dyDescent="0.25">
      <c r="D162" s="380"/>
      <c r="E162" s="376"/>
      <c r="F162" s="380"/>
      <c r="G162" s="376"/>
      <c r="H162" s="380"/>
      <c r="I162" s="376"/>
      <c r="J162" s="380"/>
      <c r="K162" s="375"/>
      <c r="L162" s="375"/>
      <c r="M162" s="375"/>
      <c r="N162" s="375"/>
      <c r="O162" s="375" t="s">
        <v>18</v>
      </c>
      <c r="P162" s="377">
        <v>0.80827067699999999</v>
      </c>
      <c r="Q162" s="375" t="s">
        <v>7</v>
      </c>
      <c r="R162" s="377">
        <v>0.46289999999999998</v>
      </c>
      <c r="S162" s="375"/>
      <c r="T162" s="385">
        <v>1.3833616003201693E-3</v>
      </c>
      <c r="U162" s="374"/>
      <c r="V162" s="176">
        <f t="shared" si="229"/>
        <v>1.3833616003201693E-3</v>
      </c>
      <c r="W162" s="176">
        <f t="shared" si="230"/>
        <v>1.3833616003201693E-3</v>
      </c>
      <c r="X162" s="176">
        <f t="shared" si="231"/>
        <v>1.3833616003201693E-3</v>
      </c>
      <c r="Y162" s="958">
        <f>X162/Calculation_sheet!M$67</f>
        <v>1.3833898851244393E-3</v>
      </c>
      <c r="Z162" s="176">
        <f ca="1">IF(AN162&gt;0,Y162*Calculation_sheet!C$87,0)</f>
        <v>0</v>
      </c>
      <c r="AA162" s="176">
        <f t="shared" ca="1" si="232"/>
        <v>1.3833898851244393E-3</v>
      </c>
      <c r="AB162" s="176">
        <f ca="1">IF(AP162&gt;0,AA162*Calculation_sheet!C$94,0)</f>
        <v>0</v>
      </c>
      <c r="AC162" s="176">
        <f t="shared" ca="1" si="217"/>
        <v>1.3833898851244393E-3</v>
      </c>
      <c r="AD162" s="958">
        <f ca="1">AC162*Calculation_sheet!C$99</f>
        <v>8.3003393107466353E-4</v>
      </c>
      <c r="AE162" s="176">
        <f t="shared" ca="1" si="217"/>
        <v>5.5335595404977576E-4</v>
      </c>
      <c r="AF162" s="176">
        <f t="shared" ca="1" si="233"/>
        <v>1.3833898851244393E-3</v>
      </c>
      <c r="AG162" s="958">
        <f ca="1">AF162*User_sheet!B$77/100</f>
        <v>0</v>
      </c>
      <c r="AH162" s="313"/>
      <c r="AI162" s="886">
        <v>102</v>
      </c>
      <c r="AJ162" s="985"/>
      <c r="AK162" s="1020">
        <f t="shared" ca="1" si="194"/>
        <v>217.57854961473905</v>
      </c>
      <c r="AL162" s="954">
        <f ca="1">AK162/'102'!I$24</f>
        <v>0.78765886533716789</v>
      </c>
      <c r="AM162" s="954">
        <f ca="1">0.8*(AK162*30+'102'!D$17*0.34*30*1)</f>
        <v>7882.2225594810097</v>
      </c>
      <c r="AN162" s="954">
        <f ca="1">IF(AM162&lt;User_sheet!B$50,Y162,0)</f>
        <v>1.3833898851244393E-3</v>
      </c>
      <c r="AO162" s="954">
        <f ca="1">20-(User_sheet!B$57/('Freestanding '!AK162+'102'!D$17*1*0.34))</f>
        <v>2.6444890425667786</v>
      </c>
      <c r="AP162" s="954">
        <f ca="1">IF(AO162&lt;User_sheet!B$59,0,BC162*AA162)</f>
        <v>0</v>
      </c>
      <c r="AQ162" s="985"/>
      <c r="AR162" s="883">
        <v>0.47</v>
      </c>
      <c r="AS162" s="883">
        <v>0.6</v>
      </c>
      <c r="AT162" s="883">
        <v>3.78</v>
      </c>
      <c r="AU162" s="883">
        <v>2.75</v>
      </c>
      <c r="AV162" s="883">
        <v>3.3</v>
      </c>
      <c r="AW162" s="883">
        <v>11617.129718053829</v>
      </c>
      <c r="AX162" s="883">
        <v>69341.450841082013</v>
      </c>
      <c r="AY162" s="883">
        <v>67352.647733737584</v>
      </c>
      <c r="AZ162" s="883">
        <v>0</v>
      </c>
      <c r="BA162" s="883">
        <v>0</v>
      </c>
      <c r="BB162" s="883">
        <v>0.6</v>
      </c>
      <c r="BC162" s="888">
        <v>0</v>
      </c>
      <c r="BD162" s="889">
        <v>1</v>
      </c>
      <c r="BE162" s="889">
        <v>0</v>
      </c>
      <c r="BF162" s="890">
        <v>0</v>
      </c>
      <c r="BG162" s="883">
        <v>1</v>
      </c>
      <c r="BH162" s="883">
        <v>0</v>
      </c>
      <c r="BI162" s="890">
        <v>0</v>
      </c>
      <c r="BJ162" s="883">
        <v>0</v>
      </c>
      <c r="BK162" s="883">
        <v>0</v>
      </c>
      <c r="BL162" s="883">
        <v>1</v>
      </c>
      <c r="BM162" s="890">
        <v>0</v>
      </c>
      <c r="BN162" s="199">
        <v>7.0000000000000007E-2</v>
      </c>
      <c r="BO162" s="959">
        <v>6</v>
      </c>
      <c r="BP162" s="926">
        <f t="shared" ca="1" si="218"/>
        <v>121.5</v>
      </c>
      <c r="BQ162" s="926">
        <f t="shared" ca="1" si="219"/>
        <v>287.05844999999999</v>
      </c>
      <c r="BR162" s="926">
        <f t="shared" ca="1" si="220"/>
        <v>88.2</v>
      </c>
      <c r="BS162" s="926">
        <f t="shared" ca="1" si="221"/>
        <v>110.2144959090909</v>
      </c>
      <c r="BT162" s="926">
        <f t="shared" ca="1" si="222"/>
        <v>60.75</v>
      </c>
      <c r="BU162" s="926">
        <f t="shared" ca="1" si="223"/>
        <v>18</v>
      </c>
      <c r="BV162" s="926">
        <f t="shared" ca="1" si="224"/>
        <v>2.15</v>
      </c>
      <c r="BW162" s="926">
        <v>0</v>
      </c>
      <c r="BX162" s="926">
        <f t="shared" ca="1" si="225"/>
        <v>38.331278510664532</v>
      </c>
      <c r="BY162" s="926">
        <f t="shared" ca="1" si="226"/>
        <v>59.899182559288541</v>
      </c>
      <c r="BZ162" s="926">
        <f t="shared" ca="1" si="195"/>
        <v>45.782715079748669</v>
      </c>
      <c r="CA162" s="926">
        <f t="shared" ca="1" si="196"/>
        <v>49.499999972774994</v>
      </c>
      <c r="CB162" s="926">
        <f t="shared" ca="1" si="227"/>
        <v>4.5133587786259541</v>
      </c>
      <c r="CC162" s="926">
        <f t="shared" si="197"/>
        <v>0</v>
      </c>
      <c r="CD162" s="1018">
        <f t="shared" ca="1" si="228"/>
        <v>217.57854961473905</v>
      </c>
      <c r="CE162" s="1018">
        <f t="shared" ca="1" si="234"/>
        <v>53.280633182010853</v>
      </c>
      <c r="CF162" s="926">
        <f t="shared" ca="1" si="198"/>
        <v>8.1257754839024976</v>
      </c>
      <c r="CG162" s="926">
        <f t="shared" ca="1" si="199"/>
        <v>13529.091149678301</v>
      </c>
    </row>
    <row r="163" spans="4:85" x14ac:dyDescent="0.25">
      <c r="D163" s="380"/>
      <c r="E163" s="376"/>
      <c r="F163" s="380"/>
      <c r="G163" s="376"/>
      <c r="H163" s="380"/>
      <c r="I163" s="376"/>
      <c r="J163" s="380"/>
      <c r="K163" s="375"/>
      <c r="L163" s="375"/>
      <c r="M163" s="375"/>
      <c r="N163" s="375"/>
      <c r="O163" s="375"/>
      <c r="P163" s="375"/>
      <c r="Q163" s="375" t="s">
        <v>22</v>
      </c>
      <c r="R163" s="377">
        <v>0.53710000000000002</v>
      </c>
      <c r="S163" s="375"/>
      <c r="T163" s="385">
        <v>3.8074604708186033E-4</v>
      </c>
      <c r="U163" s="374"/>
      <c r="V163" s="176">
        <f t="shared" si="229"/>
        <v>3.8074604708186033E-4</v>
      </c>
      <c r="W163" s="176">
        <f t="shared" si="230"/>
        <v>3.8074604708186033E-4</v>
      </c>
      <c r="X163" s="176">
        <f t="shared" si="231"/>
        <v>3.8074604708186033E-4</v>
      </c>
      <c r="Y163" s="958">
        <f>X163/Calculation_sheet!M$67</f>
        <v>3.8075383197874903E-4</v>
      </c>
      <c r="Z163" s="176">
        <f ca="1">IF(AN163&gt;0,Y163*Calculation_sheet!C$87,0)</f>
        <v>0</v>
      </c>
      <c r="AA163" s="176">
        <f t="shared" ca="1" si="232"/>
        <v>3.8075383197874903E-4</v>
      </c>
      <c r="AB163" s="176">
        <f ca="1">IF(AP163&gt;0,AA163*Calculation_sheet!C$94,0)</f>
        <v>0</v>
      </c>
      <c r="AC163" s="176">
        <f t="shared" ca="1" si="217"/>
        <v>3.8075383197874903E-4</v>
      </c>
      <c r="AD163" s="958">
        <f ca="1">AC163*Calculation_sheet!C$99</f>
        <v>2.2845229918724941E-4</v>
      </c>
      <c r="AE163" s="176">
        <f t="shared" ca="1" si="217"/>
        <v>1.5230153279149962E-4</v>
      </c>
      <c r="AF163" s="176">
        <f t="shared" ca="1" si="233"/>
        <v>3.8075383197874903E-4</v>
      </c>
      <c r="AG163" s="958">
        <f ca="1">AF163*User_sheet!B$77/100</f>
        <v>0</v>
      </c>
      <c r="AH163" s="313"/>
      <c r="AI163" s="886">
        <v>102</v>
      </c>
      <c r="AJ163" s="985"/>
      <c r="AK163" s="1020">
        <f t="shared" ca="1" si="194"/>
        <v>217.57854961473905</v>
      </c>
      <c r="AL163" s="954">
        <f ca="1">AK163/'102'!I$24</f>
        <v>0.78765886533716789</v>
      </c>
      <c r="AM163" s="954">
        <f ca="1">0.8*(AK163*30+'102'!D$17*0.34*30*1)</f>
        <v>7882.2225594810097</v>
      </c>
      <c r="AN163" s="954">
        <f ca="1">IF(AM163&lt;User_sheet!B$50,Y163,0)</f>
        <v>3.8075383197874903E-4</v>
      </c>
      <c r="AO163" s="954">
        <f ca="1">20-(User_sheet!B$57/('Freestanding '!AK163+'102'!D$17*1*0.34))</f>
        <v>2.6444890425667786</v>
      </c>
      <c r="AP163" s="954">
        <f ca="1">IF(AO163&lt;User_sheet!B$59,0,BC163*AA163)</f>
        <v>0</v>
      </c>
      <c r="AQ163" s="985"/>
      <c r="AR163" s="883">
        <v>0.47</v>
      </c>
      <c r="AS163" s="883">
        <v>0.6</v>
      </c>
      <c r="AT163" s="883">
        <v>3.78</v>
      </c>
      <c r="AU163" s="883">
        <v>2.75</v>
      </c>
      <c r="AV163" s="883">
        <v>3.3</v>
      </c>
      <c r="AW163" s="883">
        <v>11617.129718053829</v>
      </c>
      <c r="AX163" s="883">
        <v>69341.450841082013</v>
      </c>
      <c r="AY163" s="883">
        <v>67352.647733737584</v>
      </c>
      <c r="AZ163" s="883">
        <v>0</v>
      </c>
      <c r="BA163" s="883">
        <v>0</v>
      </c>
      <c r="BB163" s="883">
        <v>0.6</v>
      </c>
      <c r="BC163" s="888">
        <v>0</v>
      </c>
      <c r="BD163" s="889">
        <v>1</v>
      </c>
      <c r="BE163" s="889">
        <v>0</v>
      </c>
      <c r="BF163" s="890">
        <v>0</v>
      </c>
      <c r="BG163" s="883">
        <v>0</v>
      </c>
      <c r="BH163" s="883">
        <v>1</v>
      </c>
      <c r="BI163" s="890">
        <v>0</v>
      </c>
      <c r="BJ163" s="883">
        <v>0</v>
      </c>
      <c r="BK163" s="883">
        <v>1</v>
      </c>
      <c r="BL163" s="883">
        <v>0</v>
      </c>
      <c r="BM163" s="890">
        <v>0</v>
      </c>
      <c r="BN163" s="199">
        <v>7.0000000000000007E-2</v>
      </c>
      <c r="BO163" s="959">
        <v>6</v>
      </c>
      <c r="BP163" s="926">
        <f t="shared" ca="1" si="218"/>
        <v>121.5</v>
      </c>
      <c r="BQ163" s="926">
        <f t="shared" ca="1" si="219"/>
        <v>287.05844999999999</v>
      </c>
      <c r="BR163" s="926">
        <f t="shared" ca="1" si="220"/>
        <v>88.2</v>
      </c>
      <c r="BS163" s="926">
        <f t="shared" ca="1" si="221"/>
        <v>110.2144959090909</v>
      </c>
      <c r="BT163" s="926">
        <f t="shared" ca="1" si="222"/>
        <v>60.75</v>
      </c>
      <c r="BU163" s="926">
        <f t="shared" ca="1" si="223"/>
        <v>18</v>
      </c>
      <c r="BV163" s="926">
        <f t="shared" ca="1" si="224"/>
        <v>2.15</v>
      </c>
      <c r="BW163" s="926">
        <v>0</v>
      </c>
      <c r="BX163" s="926">
        <f t="shared" ca="1" si="225"/>
        <v>38.331278510664532</v>
      </c>
      <c r="BY163" s="926">
        <f t="shared" ca="1" si="226"/>
        <v>59.899182559288541</v>
      </c>
      <c r="BZ163" s="926">
        <f t="shared" ca="1" si="195"/>
        <v>45.782715079748669</v>
      </c>
      <c r="CA163" s="926">
        <f t="shared" ca="1" si="196"/>
        <v>49.499999972774994</v>
      </c>
      <c r="CB163" s="926">
        <f t="shared" ca="1" si="227"/>
        <v>4.5133587786259541</v>
      </c>
      <c r="CC163" s="926">
        <f t="shared" si="197"/>
        <v>0</v>
      </c>
      <c r="CD163" s="1018">
        <f t="shared" ca="1" si="228"/>
        <v>217.57854961473905</v>
      </c>
      <c r="CE163" s="1018">
        <f t="shared" ca="1" si="234"/>
        <v>53.280633182010853</v>
      </c>
      <c r="CF163" s="926">
        <f t="shared" ca="1" si="198"/>
        <v>8.1257754839024976</v>
      </c>
      <c r="CG163" s="926">
        <f t="shared" ca="1" si="199"/>
        <v>13529.091149678301</v>
      </c>
    </row>
    <row r="164" spans="4:85" x14ac:dyDescent="0.25">
      <c r="D164" s="380"/>
      <c r="E164" s="376"/>
      <c r="F164" s="380"/>
      <c r="G164" s="376"/>
      <c r="H164" s="380"/>
      <c r="I164" s="376"/>
      <c r="J164" s="380"/>
      <c r="K164" s="375"/>
      <c r="L164" s="375"/>
      <c r="M164" s="375" t="s">
        <v>22</v>
      </c>
      <c r="N164" s="377">
        <v>0.44680851100000002</v>
      </c>
      <c r="O164" s="375" t="s">
        <v>20</v>
      </c>
      <c r="P164" s="377">
        <v>0.19172932300000001</v>
      </c>
      <c r="Q164" s="375" t="s">
        <v>7</v>
      </c>
      <c r="R164" s="377">
        <v>0.46289999999999998</v>
      </c>
      <c r="S164" s="375"/>
      <c r="T164" s="385">
        <v>3.2814623942318595E-4</v>
      </c>
      <c r="U164" s="374"/>
      <c r="V164" s="176">
        <f t="shared" si="229"/>
        <v>3.2814623942318595E-4</v>
      </c>
      <c r="W164" s="176">
        <f t="shared" si="230"/>
        <v>3.2814623942318595E-4</v>
      </c>
      <c r="X164" s="176">
        <f t="shared" si="231"/>
        <v>3.2814623942318595E-4</v>
      </c>
      <c r="Y164" s="958">
        <f>X164/Calculation_sheet!M$67</f>
        <v>3.2815294884185991E-4</v>
      </c>
      <c r="Z164" s="176">
        <f ca="1">IF(AN164&gt;0,Y164*Calculation_sheet!C$87,0)</f>
        <v>0</v>
      </c>
      <c r="AA164" s="176">
        <f t="shared" ca="1" si="232"/>
        <v>3.2815294884185991E-4</v>
      </c>
      <c r="AB164" s="176">
        <f ca="1">IF(AP164&gt;0,AA164*Calculation_sheet!C$94,0)</f>
        <v>0</v>
      </c>
      <c r="AC164" s="176">
        <f t="shared" ca="1" si="217"/>
        <v>3.2815294884185991E-4</v>
      </c>
      <c r="AD164" s="958">
        <f ca="1">AC164*Calculation_sheet!C$99</f>
        <v>1.9689176930511593E-4</v>
      </c>
      <c r="AE164" s="176">
        <f t="shared" ca="1" si="217"/>
        <v>1.3126117953674398E-4</v>
      </c>
      <c r="AF164" s="176">
        <f t="shared" ca="1" si="233"/>
        <v>3.2815294884185991E-4</v>
      </c>
      <c r="AG164" s="958">
        <f ca="1">AF164*User_sheet!B$77/100</f>
        <v>0</v>
      </c>
      <c r="AH164" s="313"/>
      <c r="AI164" s="886">
        <v>102</v>
      </c>
      <c r="AJ164" s="985"/>
      <c r="AK164" s="1020">
        <f t="shared" ca="1" si="194"/>
        <v>217.57854961473905</v>
      </c>
      <c r="AL164" s="954">
        <f ca="1">AK164/'102'!I$24</f>
        <v>0.78765886533716789</v>
      </c>
      <c r="AM164" s="954">
        <f ca="1">0.8*(AK164*30+'102'!D$17*0.34*30*1)</f>
        <v>7882.2225594810097</v>
      </c>
      <c r="AN164" s="954">
        <f ca="1">IF(AM164&lt;User_sheet!B$50,Y164,0)</f>
        <v>3.2815294884185991E-4</v>
      </c>
      <c r="AO164" s="954">
        <f ca="1">20-(User_sheet!B$57/('Freestanding '!AK164+'102'!D$17*1*0.34))</f>
        <v>2.6444890425667786</v>
      </c>
      <c r="AP164" s="954">
        <f ca="1">IF(AO164&lt;User_sheet!B$59,0,BC164*AA164)</f>
        <v>0</v>
      </c>
      <c r="AQ164" s="985"/>
      <c r="AR164" s="883">
        <v>0.47</v>
      </c>
      <c r="AS164" s="883">
        <v>0.6</v>
      </c>
      <c r="AT164" s="883">
        <v>3.78</v>
      </c>
      <c r="AU164" s="883">
        <v>2.75</v>
      </c>
      <c r="AV164" s="883">
        <v>3.3</v>
      </c>
      <c r="AW164" s="883">
        <v>11617.129718053829</v>
      </c>
      <c r="AX164" s="883">
        <v>69341.450841082013</v>
      </c>
      <c r="AY164" s="883">
        <v>67352.647733737584</v>
      </c>
      <c r="AZ164" s="883">
        <v>0</v>
      </c>
      <c r="BA164" s="883">
        <v>0</v>
      </c>
      <c r="BB164" s="883">
        <v>0.6</v>
      </c>
      <c r="BC164" s="888">
        <v>0</v>
      </c>
      <c r="BD164" s="889">
        <v>1</v>
      </c>
      <c r="BE164" s="889">
        <v>0</v>
      </c>
      <c r="BF164" s="890">
        <v>0</v>
      </c>
      <c r="BG164" s="883">
        <v>0</v>
      </c>
      <c r="BH164" s="883">
        <v>1</v>
      </c>
      <c r="BI164" s="890">
        <v>0</v>
      </c>
      <c r="BJ164" s="883">
        <v>0</v>
      </c>
      <c r="BK164" s="883">
        <v>0</v>
      </c>
      <c r="BL164" s="883">
        <v>1</v>
      </c>
      <c r="BM164" s="890">
        <v>0</v>
      </c>
      <c r="BN164" s="199">
        <v>7.0000000000000007E-2</v>
      </c>
      <c r="BO164" s="959">
        <v>6</v>
      </c>
      <c r="BP164" s="926">
        <f t="shared" ca="1" si="218"/>
        <v>121.5</v>
      </c>
      <c r="BQ164" s="926">
        <f t="shared" ca="1" si="219"/>
        <v>287.05844999999999</v>
      </c>
      <c r="BR164" s="926">
        <f t="shared" ca="1" si="220"/>
        <v>88.2</v>
      </c>
      <c r="BS164" s="926">
        <f t="shared" ca="1" si="221"/>
        <v>110.2144959090909</v>
      </c>
      <c r="BT164" s="926">
        <f t="shared" ca="1" si="222"/>
        <v>60.75</v>
      </c>
      <c r="BU164" s="926">
        <f t="shared" ca="1" si="223"/>
        <v>18</v>
      </c>
      <c r="BV164" s="926">
        <f t="shared" ca="1" si="224"/>
        <v>2.15</v>
      </c>
      <c r="BW164" s="926">
        <v>0</v>
      </c>
      <c r="BX164" s="926">
        <f t="shared" ca="1" si="225"/>
        <v>38.331278510664532</v>
      </c>
      <c r="BY164" s="926">
        <f t="shared" ca="1" si="226"/>
        <v>59.899182559288541</v>
      </c>
      <c r="BZ164" s="926">
        <f t="shared" ca="1" si="195"/>
        <v>45.782715079748669</v>
      </c>
      <c r="CA164" s="926">
        <f t="shared" ca="1" si="196"/>
        <v>49.499999972774994</v>
      </c>
      <c r="CB164" s="926">
        <f t="shared" ca="1" si="227"/>
        <v>4.5133587786259541</v>
      </c>
      <c r="CC164" s="926">
        <f t="shared" si="197"/>
        <v>0</v>
      </c>
      <c r="CD164" s="1018">
        <f t="shared" ca="1" si="228"/>
        <v>217.57854961473905</v>
      </c>
      <c r="CE164" s="1018">
        <f t="shared" ca="1" si="234"/>
        <v>53.280633182010853</v>
      </c>
      <c r="CF164" s="926">
        <f t="shared" ca="1" si="198"/>
        <v>8.1257754839024976</v>
      </c>
      <c r="CG164" s="926">
        <f t="shared" ca="1" si="199"/>
        <v>13529.091149678301</v>
      </c>
    </row>
    <row r="165" spans="4:85" x14ac:dyDescent="0.25">
      <c r="D165" s="380"/>
      <c r="E165" s="376"/>
      <c r="F165" s="380"/>
      <c r="G165" s="376"/>
      <c r="H165" s="380"/>
      <c r="I165" s="376"/>
      <c r="J165" s="380"/>
      <c r="K165" s="375"/>
      <c r="L165" s="375"/>
      <c r="M165" s="375" t="s">
        <v>7</v>
      </c>
      <c r="N165" s="377">
        <v>2.1276595999999998E-2</v>
      </c>
      <c r="O165" s="375" t="s">
        <v>23</v>
      </c>
      <c r="P165" s="377">
        <v>1</v>
      </c>
      <c r="Q165" s="375" t="s">
        <v>7</v>
      </c>
      <c r="R165" s="377">
        <v>1</v>
      </c>
      <c r="S165" s="375"/>
      <c r="T165" s="385">
        <v>1.7606475315001103E-4</v>
      </c>
      <c r="U165" s="374"/>
      <c r="V165" s="176">
        <f t="shared" si="229"/>
        <v>1.7606475315001103E-4</v>
      </c>
      <c r="W165" s="176">
        <f t="shared" si="230"/>
        <v>1.7606475315001103E-4</v>
      </c>
      <c r="X165" s="176">
        <f t="shared" si="231"/>
        <v>1.7606475315001103E-4</v>
      </c>
      <c r="Y165" s="958">
        <f>X165/Calculation_sheet!M$67</f>
        <v>1.7606835304542559E-4</v>
      </c>
      <c r="Z165" s="176">
        <f ca="1">IF(AN165&gt;0,Y165*Calculation_sheet!C$87,0)</f>
        <v>0</v>
      </c>
      <c r="AA165" s="176">
        <f t="shared" ca="1" si="232"/>
        <v>1.7606835304542559E-4</v>
      </c>
      <c r="AB165" s="176">
        <f ca="1">IF(AP165&gt;0,AA165*Calculation_sheet!C$94,0)</f>
        <v>0</v>
      </c>
      <c r="AC165" s="176">
        <f t="shared" ca="1" si="217"/>
        <v>1.7606835304542559E-4</v>
      </c>
      <c r="AD165" s="958">
        <f ca="1">AC165*Calculation_sheet!C$99</f>
        <v>1.0564101182725535E-4</v>
      </c>
      <c r="AE165" s="176">
        <f t="shared" ca="1" si="217"/>
        <v>7.0427341218170237E-5</v>
      </c>
      <c r="AF165" s="176">
        <f t="shared" ca="1" si="233"/>
        <v>1.7606835304542559E-4</v>
      </c>
      <c r="AG165" s="958">
        <f ca="1">AF165*User_sheet!B$77/100</f>
        <v>0</v>
      </c>
      <c r="AH165" s="313"/>
      <c r="AI165" s="886">
        <v>102</v>
      </c>
      <c r="AJ165" s="985"/>
      <c r="AK165" s="1020">
        <f t="shared" ca="1" si="194"/>
        <v>217.57854961473905</v>
      </c>
      <c r="AL165" s="954">
        <f ca="1">AK165/'102'!I$24</f>
        <v>0.78765886533716789</v>
      </c>
      <c r="AM165" s="954">
        <f ca="1">0.8*(AK165*30+'102'!D$17*0.34*30*1)</f>
        <v>7882.2225594810097</v>
      </c>
      <c r="AN165" s="954">
        <f ca="1">IF(AM165&lt;User_sheet!B$50,Y165,0)</f>
        <v>1.7606835304542559E-4</v>
      </c>
      <c r="AO165" s="954">
        <f ca="1">20-(User_sheet!B$57/('Freestanding '!AK165+'102'!D$17*1*0.34))</f>
        <v>2.6444890425667786</v>
      </c>
      <c r="AP165" s="954">
        <f ca="1">IF(AO165&lt;User_sheet!B$59,0,BC165*AA165)</f>
        <v>0</v>
      </c>
      <c r="AQ165" s="985"/>
      <c r="AR165" s="883">
        <v>0.47</v>
      </c>
      <c r="AS165" s="883">
        <v>0.6</v>
      </c>
      <c r="AT165" s="883">
        <v>3.78</v>
      </c>
      <c r="AU165" s="883">
        <v>2.75</v>
      </c>
      <c r="AV165" s="883">
        <v>3.3</v>
      </c>
      <c r="AW165" s="883">
        <v>11617.129718053829</v>
      </c>
      <c r="AX165" s="883">
        <v>69341.450841082013</v>
      </c>
      <c r="AY165" s="883">
        <v>67352.647733737584</v>
      </c>
      <c r="AZ165" s="883">
        <v>0</v>
      </c>
      <c r="BA165" s="883">
        <v>0</v>
      </c>
      <c r="BB165" s="883">
        <v>0.6</v>
      </c>
      <c r="BC165" s="888">
        <v>0</v>
      </c>
      <c r="BD165" s="889">
        <v>0</v>
      </c>
      <c r="BE165" s="889">
        <v>1</v>
      </c>
      <c r="BF165" s="890">
        <v>0</v>
      </c>
      <c r="BG165" s="883">
        <v>0</v>
      </c>
      <c r="BH165" s="883">
        <v>0</v>
      </c>
      <c r="BI165" s="890">
        <v>1</v>
      </c>
      <c r="BJ165" s="883">
        <v>0</v>
      </c>
      <c r="BK165" s="883">
        <v>0</v>
      </c>
      <c r="BL165" s="883">
        <v>1</v>
      </c>
      <c r="BM165" s="890">
        <v>0</v>
      </c>
      <c r="BN165" s="199">
        <v>7.0000000000000007E-2</v>
      </c>
      <c r="BO165" s="959">
        <v>6</v>
      </c>
      <c r="BP165" s="926">
        <f t="shared" ca="1" si="218"/>
        <v>121.5</v>
      </c>
      <c r="BQ165" s="926">
        <f t="shared" ca="1" si="219"/>
        <v>287.05844999999999</v>
      </c>
      <c r="BR165" s="926">
        <f t="shared" ca="1" si="220"/>
        <v>88.2</v>
      </c>
      <c r="BS165" s="926">
        <f t="shared" ca="1" si="221"/>
        <v>110.2144959090909</v>
      </c>
      <c r="BT165" s="926">
        <f t="shared" ca="1" si="222"/>
        <v>60.75</v>
      </c>
      <c r="BU165" s="926">
        <f t="shared" ca="1" si="223"/>
        <v>18</v>
      </c>
      <c r="BV165" s="926">
        <f t="shared" ca="1" si="224"/>
        <v>2.15</v>
      </c>
      <c r="BW165" s="926">
        <v>0</v>
      </c>
      <c r="BX165" s="926">
        <f t="shared" ca="1" si="225"/>
        <v>38.331278510664532</v>
      </c>
      <c r="BY165" s="926">
        <f t="shared" ca="1" si="226"/>
        <v>59.899182559288541</v>
      </c>
      <c r="BZ165" s="926">
        <f t="shared" ca="1" si="195"/>
        <v>45.782715079748669</v>
      </c>
      <c r="CA165" s="926">
        <f t="shared" ca="1" si="196"/>
        <v>49.499999972774994</v>
      </c>
      <c r="CB165" s="926">
        <f t="shared" ca="1" si="227"/>
        <v>4.5133587786259541</v>
      </c>
      <c r="CC165" s="926">
        <f t="shared" si="197"/>
        <v>0</v>
      </c>
      <c r="CD165" s="1018">
        <f t="shared" ca="1" si="228"/>
        <v>217.57854961473905</v>
      </c>
      <c r="CE165" s="1018">
        <f t="shared" ca="1" si="234"/>
        <v>53.280633182010853</v>
      </c>
      <c r="CF165" s="926">
        <f t="shared" ca="1" si="198"/>
        <v>8.1257754839024976</v>
      </c>
      <c r="CG165" s="926">
        <f t="shared" ca="1" si="199"/>
        <v>13529.091149678301</v>
      </c>
    </row>
    <row r="166" spans="4:85" x14ac:dyDescent="0.25">
      <c r="D166" s="380"/>
      <c r="E166" s="376"/>
      <c r="F166" s="380"/>
      <c r="G166" s="376"/>
      <c r="H166" s="380"/>
      <c r="I166" s="376"/>
      <c r="J166" s="380"/>
      <c r="K166" s="375"/>
      <c r="L166" s="375"/>
      <c r="M166" s="375"/>
      <c r="N166" s="375"/>
      <c r="O166" s="375" t="s">
        <v>18</v>
      </c>
      <c r="P166" s="377">
        <v>0.15910607099999999</v>
      </c>
      <c r="Q166" s="375" t="s">
        <v>17</v>
      </c>
      <c r="R166" s="377">
        <v>1</v>
      </c>
      <c r="S166" s="375"/>
      <c r="T166" s="385">
        <v>1.120518831445229E-4</v>
      </c>
      <c r="U166" s="374"/>
      <c r="V166" s="176">
        <f t="shared" si="229"/>
        <v>1.120518831445229E-4</v>
      </c>
      <c r="W166" s="176">
        <f t="shared" si="230"/>
        <v>1.120518831445229E-4</v>
      </c>
      <c r="X166" s="176">
        <f t="shared" si="231"/>
        <v>1.120518831445229E-4</v>
      </c>
      <c r="Y166" s="958">
        <f>X166/Calculation_sheet!M$67</f>
        <v>1.1205417420535768E-4</v>
      </c>
      <c r="Z166" s="176">
        <f ca="1">IF(AN166&gt;0,Y166*Calculation_sheet!C$87,0)</f>
        <v>0</v>
      </c>
      <c r="AA166" s="176">
        <f t="shared" ca="1" si="232"/>
        <v>1.1205417420535768E-4</v>
      </c>
      <c r="AB166" s="176">
        <f ca="1">IF(AP166&gt;0,AA166*Calculation_sheet!C$94,0)</f>
        <v>0</v>
      </c>
      <c r="AC166" s="176">
        <f t="shared" ca="1" si="217"/>
        <v>1.1205417420535768E-4</v>
      </c>
      <c r="AD166" s="958">
        <f ca="1">AC166*Calculation_sheet!C$99</f>
        <v>6.7232504523214611E-5</v>
      </c>
      <c r="AE166" s="176">
        <f t="shared" ca="1" si="217"/>
        <v>4.482166968214307E-5</v>
      </c>
      <c r="AF166" s="176">
        <f t="shared" ca="1" si="233"/>
        <v>1.1205417420535768E-4</v>
      </c>
      <c r="AG166" s="958">
        <f ca="1">AF166*User_sheet!B$77/100</f>
        <v>0</v>
      </c>
      <c r="AH166" s="313"/>
      <c r="AI166" s="886">
        <v>102</v>
      </c>
      <c r="AJ166" s="985"/>
      <c r="AK166" s="1020">
        <f t="shared" ca="1" si="194"/>
        <v>217.57854961473905</v>
      </c>
      <c r="AL166" s="954">
        <f ca="1">AK166/'102'!I$24</f>
        <v>0.78765886533716789</v>
      </c>
      <c r="AM166" s="954">
        <f ca="1">0.8*(AK166*30+'102'!D$17*0.34*30*1)</f>
        <v>7882.2225594810097</v>
      </c>
      <c r="AN166" s="954">
        <f ca="1">IF(AM166&lt;User_sheet!B$50,Y166,0)</f>
        <v>1.1205417420535768E-4</v>
      </c>
      <c r="AO166" s="954">
        <f ca="1">20-(User_sheet!B$57/('Freestanding '!AK166+'102'!D$17*1*0.34))</f>
        <v>2.6444890425667786</v>
      </c>
      <c r="AP166" s="954">
        <f ca="1">IF(AO166&lt;User_sheet!B$59,0,BC166*AA166)</f>
        <v>0</v>
      </c>
      <c r="AQ166" s="985"/>
      <c r="AR166" s="883">
        <v>0.47</v>
      </c>
      <c r="AS166" s="883">
        <v>0.6</v>
      </c>
      <c r="AT166" s="883">
        <v>3.78</v>
      </c>
      <c r="AU166" s="883">
        <v>2.75</v>
      </c>
      <c r="AV166" s="883">
        <v>3.3</v>
      </c>
      <c r="AW166" s="883">
        <v>11617.129718053829</v>
      </c>
      <c r="AX166" s="883">
        <v>69341.450841082013</v>
      </c>
      <c r="AY166" s="883">
        <v>67352.647733737584</v>
      </c>
      <c r="AZ166" s="883">
        <v>0</v>
      </c>
      <c r="BA166" s="883">
        <v>0</v>
      </c>
      <c r="BB166" s="883">
        <v>0.6</v>
      </c>
      <c r="BC166" s="888">
        <v>0</v>
      </c>
      <c r="BD166" s="889">
        <v>0</v>
      </c>
      <c r="BE166" s="889">
        <v>0</v>
      </c>
      <c r="BF166" s="890">
        <v>1</v>
      </c>
      <c r="BG166" s="883">
        <v>1</v>
      </c>
      <c r="BH166" s="883">
        <v>0</v>
      </c>
      <c r="BI166" s="890">
        <v>0</v>
      </c>
      <c r="BJ166" s="883">
        <v>0</v>
      </c>
      <c r="BK166" s="883">
        <v>0</v>
      </c>
      <c r="BL166" s="883">
        <v>0</v>
      </c>
      <c r="BM166" s="890">
        <v>1</v>
      </c>
      <c r="BN166" s="199">
        <v>7.0000000000000007E-2</v>
      </c>
      <c r="BO166" s="959">
        <v>6</v>
      </c>
      <c r="BP166" s="926">
        <f t="shared" ca="1" si="218"/>
        <v>121.5</v>
      </c>
      <c r="BQ166" s="926">
        <f t="shared" ca="1" si="219"/>
        <v>287.05844999999999</v>
      </c>
      <c r="BR166" s="926">
        <f t="shared" ca="1" si="220"/>
        <v>88.2</v>
      </c>
      <c r="BS166" s="926">
        <f t="shared" ca="1" si="221"/>
        <v>110.2144959090909</v>
      </c>
      <c r="BT166" s="926">
        <f t="shared" ca="1" si="222"/>
        <v>60.75</v>
      </c>
      <c r="BU166" s="926">
        <f t="shared" ca="1" si="223"/>
        <v>18</v>
      </c>
      <c r="BV166" s="926">
        <f t="shared" ca="1" si="224"/>
        <v>2.15</v>
      </c>
      <c r="BW166" s="926">
        <v>0</v>
      </c>
      <c r="BX166" s="926">
        <f t="shared" ca="1" si="225"/>
        <v>38.331278510664532</v>
      </c>
      <c r="BY166" s="926">
        <f t="shared" ca="1" si="226"/>
        <v>59.899182559288541</v>
      </c>
      <c r="BZ166" s="926">
        <f t="shared" ca="1" si="195"/>
        <v>45.782715079748669</v>
      </c>
      <c r="CA166" s="926">
        <f t="shared" ca="1" si="196"/>
        <v>49.499999972774994</v>
      </c>
      <c r="CB166" s="926">
        <f t="shared" ca="1" si="227"/>
        <v>4.5133587786259541</v>
      </c>
      <c r="CC166" s="926">
        <f t="shared" si="197"/>
        <v>0</v>
      </c>
      <c r="CD166" s="1018">
        <f t="shared" ca="1" si="228"/>
        <v>217.57854961473905</v>
      </c>
      <c r="CE166" s="1018">
        <f t="shared" ca="1" si="234"/>
        <v>53.280633182010853</v>
      </c>
      <c r="CF166" s="926">
        <f t="shared" ca="1" si="198"/>
        <v>8.1257754839024976</v>
      </c>
      <c r="CG166" s="926">
        <f t="shared" ca="1" si="199"/>
        <v>13529.091149678301</v>
      </c>
    </row>
    <row r="167" spans="4:85" x14ac:dyDescent="0.25">
      <c r="D167" s="380"/>
      <c r="E167" s="376"/>
      <c r="F167" s="380"/>
      <c r="G167" s="376"/>
      <c r="H167" s="380"/>
      <c r="I167" s="376"/>
      <c r="J167" s="380"/>
      <c r="K167" s="378" t="s">
        <v>228</v>
      </c>
      <c r="L167" s="379">
        <v>0.50029999999999997</v>
      </c>
      <c r="M167" s="375" t="s">
        <v>17</v>
      </c>
      <c r="N167" s="377">
        <v>8.5106382999999994E-2</v>
      </c>
      <c r="O167" s="375" t="s">
        <v>19</v>
      </c>
      <c r="P167" s="377">
        <v>0.84089392900000004</v>
      </c>
      <c r="Q167" s="375" t="s">
        <v>17</v>
      </c>
      <c r="R167" s="377">
        <v>1</v>
      </c>
      <c r="S167" s="375"/>
      <c r="T167" s="385">
        <v>5.9220712118047796E-4</v>
      </c>
      <c r="U167" s="374"/>
      <c r="V167" s="176">
        <f t="shared" si="229"/>
        <v>5.9220712118047796E-4</v>
      </c>
      <c r="W167" s="176">
        <f t="shared" si="230"/>
        <v>5.9220712118047796E-4</v>
      </c>
      <c r="X167" s="176">
        <f t="shared" si="231"/>
        <v>5.9220712118047796E-4</v>
      </c>
      <c r="Y167" s="958">
        <f>X167/Calculation_sheet!M$67</f>
        <v>5.922192297011323E-4</v>
      </c>
      <c r="Z167" s="176">
        <f ca="1">IF(AN167&gt;0,Y167*Calculation_sheet!C$87,0)</f>
        <v>0</v>
      </c>
      <c r="AA167" s="176">
        <f t="shared" ca="1" si="232"/>
        <v>5.922192297011323E-4</v>
      </c>
      <c r="AB167" s="176">
        <f ca="1">IF(AP167&gt;0,AA167*Calculation_sheet!C$94,0)</f>
        <v>0</v>
      </c>
      <c r="AC167" s="176">
        <f t="shared" ca="1" si="217"/>
        <v>5.922192297011323E-4</v>
      </c>
      <c r="AD167" s="958">
        <f ca="1">AC167*Calculation_sheet!C$99</f>
        <v>3.5533153782067939E-4</v>
      </c>
      <c r="AE167" s="176">
        <f t="shared" ca="1" si="217"/>
        <v>2.3688769188045291E-4</v>
      </c>
      <c r="AF167" s="176">
        <f t="shared" ca="1" si="233"/>
        <v>5.922192297011323E-4</v>
      </c>
      <c r="AG167" s="958">
        <f ca="1">AF167*User_sheet!B$77/100</f>
        <v>0</v>
      </c>
      <c r="AH167" s="313"/>
      <c r="AI167" s="886">
        <v>102</v>
      </c>
      <c r="AJ167" s="985"/>
      <c r="AK167" s="1020">
        <f t="shared" ca="1" si="194"/>
        <v>217.57854961473905</v>
      </c>
      <c r="AL167" s="954">
        <f ca="1">AK167/'102'!I$24</f>
        <v>0.78765886533716789</v>
      </c>
      <c r="AM167" s="954">
        <f ca="1">0.8*(AK167*30+'102'!D$17*0.34*30*1)</f>
        <v>7882.2225594810097</v>
      </c>
      <c r="AN167" s="954">
        <f ca="1">IF(AM167&lt;User_sheet!B$50,Y167,0)</f>
        <v>5.922192297011323E-4</v>
      </c>
      <c r="AO167" s="954">
        <f ca="1">20-(User_sheet!B$57/('Freestanding '!AK167+'102'!D$17*1*0.34))</f>
        <v>2.6444890425667786</v>
      </c>
      <c r="AP167" s="954">
        <f ca="1">IF(AO167&lt;User_sheet!B$59,0,BC167*AA167)</f>
        <v>0</v>
      </c>
      <c r="AQ167" s="985"/>
      <c r="AR167" s="883">
        <v>0.47</v>
      </c>
      <c r="AS167" s="883">
        <v>0.6</v>
      </c>
      <c r="AT167" s="883">
        <v>3.78</v>
      </c>
      <c r="AU167" s="883">
        <v>2.75</v>
      </c>
      <c r="AV167" s="883">
        <v>3.3</v>
      </c>
      <c r="AW167" s="883">
        <v>11617.129718053829</v>
      </c>
      <c r="AX167" s="883">
        <v>69341.450841082013</v>
      </c>
      <c r="AY167" s="883">
        <v>67352.647733737584</v>
      </c>
      <c r="AZ167" s="883">
        <v>0</v>
      </c>
      <c r="BA167" s="883">
        <v>0</v>
      </c>
      <c r="BB167" s="883">
        <v>0.6</v>
      </c>
      <c r="BC167" s="888">
        <v>0</v>
      </c>
      <c r="BD167" s="889">
        <v>0</v>
      </c>
      <c r="BE167" s="889">
        <v>0</v>
      </c>
      <c r="BF167" s="890">
        <v>1</v>
      </c>
      <c r="BG167" s="883">
        <v>0</v>
      </c>
      <c r="BH167" s="883">
        <v>1</v>
      </c>
      <c r="BI167" s="890">
        <v>0</v>
      </c>
      <c r="BJ167" s="883">
        <v>0</v>
      </c>
      <c r="BK167" s="883">
        <v>0</v>
      </c>
      <c r="BL167" s="883">
        <v>0</v>
      </c>
      <c r="BM167" s="890">
        <v>1</v>
      </c>
      <c r="BN167" s="199">
        <v>7.0000000000000007E-2</v>
      </c>
      <c r="BO167" s="959">
        <v>6</v>
      </c>
      <c r="BP167" s="926">
        <f t="shared" ca="1" si="218"/>
        <v>121.5</v>
      </c>
      <c r="BQ167" s="926">
        <f t="shared" ca="1" si="219"/>
        <v>287.05844999999999</v>
      </c>
      <c r="BR167" s="926">
        <f t="shared" ca="1" si="220"/>
        <v>88.2</v>
      </c>
      <c r="BS167" s="926">
        <f t="shared" ca="1" si="221"/>
        <v>110.2144959090909</v>
      </c>
      <c r="BT167" s="926">
        <f t="shared" ca="1" si="222"/>
        <v>60.75</v>
      </c>
      <c r="BU167" s="926">
        <f t="shared" ca="1" si="223"/>
        <v>18</v>
      </c>
      <c r="BV167" s="926">
        <f t="shared" ca="1" si="224"/>
        <v>2.15</v>
      </c>
      <c r="BW167" s="926">
        <v>0</v>
      </c>
      <c r="BX167" s="926">
        <f t="shared" ca="1" si="225"/>
        <v>38.331278510664532</v>
      </c>
      <c r="BY167" s="926">
        <f t="shared" ca="1" si="226"/>
        <v>59.899182559288541</v>
      </c>
      <c r="BZ167" s="926">
        <f t="shared" ca="1" si="195"/>
        <v>45.782715079748669</v>
      </c>
      <c r="CA167" s="926">
        <f t="shared" ca="1" si="196"/>
        <v>49.499999972774994</v>
      </c>
      <c r="CB167" s="926">
        <f t="shared" ca="1" si="227"/>
        <v>4.5133587786259541</v>
      </c>
      <c r="CC167" s="926">
        <f t="shared" si="197"/>
        <v>0</v>
      </c>
      <c r="CD167" s="1018">
        <f t="shared" ca="1" si="228"/>
        <v>217.57854961473905</v>
      </c>
      <c r="CE167" s="1018">
        <f t="shared" ca="1" si="234"/>
        <v>53.280633182010853</v>
      </c>
      <c r="CF167" s="926">
        <f t="shared" ca="1" si="198"/>
        <v>8.1257754839024976</v>
      </c>
      <c r="CG167" s="926">
        <f t="shared" ca="1" si="199"/>
        <v>13529.091149678301</v>
      </c>
    </row>
    <row r="168" spans="4:85" s="14" customFormat="1" x14ac:dyDescent="0.25">
      <c r="D168" s="383"/>
      <c r="E168" s="382"/>
      <c r="F168" s="383"/>
      <c r="G168" s="382"/>
      <c r="H168" s="383"/>
      <c r="I168" s="382"/>
      <c r="J168" s="383"/>
      <c r="K168" s="384"/>
      <c r="L168" s="383"/>
      <c r="M168" s="383"/>
      <c r="N168" s="383"/>
      <c r="O168" s="383"/>
      <c r="P168" s="383"/>
      <c r="Q168" s="383"/>
      <c r="R168" s="383"/>
      <c r="S168" s="383"/>
      <c r="T168" s="386"/>
      <c r="U168" s="382"/>
      <c r="V168" s="292"/>
      <c r="W168" s="292"/>
      <c r="X168" s="292"/>
      <c r="Y168" s="277"/>
      <c r="Z168" s="292"/>
      <c r="AA168" s="292"/>
      <c r="AB168" s="292"/>
      <c r="AC168" s="292"/>
      <c r="AD168" s="277"/>
      <c r="AE168" s="292"/>
      <c r="AF168" s="292"/>
      <c r="AG168" s="277"/>
      <c r="AH168" s="313"/>
      <c r="AI168" s="887"/>
      <c r="AJ168" s="985"/>
      <c r="AK168" s="1020">
        <f t="shared" si="194"/>
        <v>0</v>
      </c>
      <c r="AL168" s="941"/>
      <c r="AM168" s="941"/>
      <c r="AN168" s="941"/>
      <c r="AO168" s="941"/>
      <c r="AP168" s="941"/>
      <c r="AQ168" s="985"/>
      <c r="AR168" s="887"/>
      <c r="AS168" s="887"/>
      <c r="AT168" s="887"/>
      <c r="AU168" s="887"/>
      <c r="AV168" s="887"/>
      <c r="AW168" s="887"/>
      <c r="AX168" s="887"/>
      <c r="AY168" s="887"/>
      <c r="AZ168" s="887"/>
      <c r="BA168" s="887"/>
      <c r="BB168" s="887"/>
      <c r="BC168" s="45"/>
      <c r="BD168" s="277"/>
      <c r="BE168" s="277"/>
      <c r="BF168" s="49"/>
      <c r="BG168" s="887"/>
      <c r="BH168" s="887"/>
      <c r="BI168" s="49"/>
      <c r="BJ168" s="887"/>
      <c r="BK168" s="887"/>
      <c r="BL168" s="887"/>
      <c r="BM168" s="49"/>
      <c r="BN168" s="277"/>
      <c r="BO168" s="49"/>
      <c r="BP168" s="928"/>
      <c r="BQ168" s="928"/>
      <c r="BR168" s="928"/>
      <c r="BS168" s="928"/>
      <c r="BT168" s="928"/>
      <c r="BU168" s="928"/>
      <c r="BV168" s="928"/>
      <c r="BW168" s="928"/>
      <c r="BX168" s="928"/>
      <c r="BY168" s="928"/>
      <c r="BZ168" s="928"/>
      <c r="CA168" s="928"/>
      <c r="CB168" s="928"/>
      <c r="CC168" s="928"/>
      <c r="CD168" s="928"/>
      <c r="CE168" s="928"/>
      <c r="CF168" s="928"/>
      <c r="CG168" s="928"/>
    </row>
    <row r="169" spans="4:85" x14ac:dyDescent="0.25">
      <c r="D169" s="375"/>
      <c r="E169" s="374"/>
      <c r="F169" s="380"/>
      <c r="G169" s="376"/>
      <c r="H169" s="380"/>
      <c r="I169" s="376"/>
      <c r="J169" s="380"/>
      <c r="K169" s="381"/>
      <c r="L169" s="380"/>
      <c r="M169" s="375"/>
      <c r="N169" s="375"/>
      <c r="O169" s="375"/>
      <c r="P169" s="375"/>
      <c r="Q169" s="375" t="s">
        <v>16</v>
      </c>
      <c r="R169" s="377">
        <v>0.73860000000000003</v>
      </c>
      <c r="S169" s="375"/>
      <c r="T169" s="385">
        <v>0</v>
      </c>
      <c r="U169" s="374"/>
      <c r="V169" s="176">
        <f t="shared" si="200"/>
        <v>0</v>
      </c>
      <c r="W169" s="176">
        <f>V169</f>
        <v>0</v>
      </c>
      <c r="X169" s="176">
        <f>W169</f>
        <v>0</v>
      </c>
      <c r="Y169" s="34">
        <f>X169/Calculation_sheet!M$67</f>
        <v>0</v>
      </c>
      <c r="Z169" s="176">
        <f ca="1">IF(AN169&gt;0,Y169*Calculation_sheet!C$87,0)</f>
        <v>0</v>
      </c>
      <c r="AA169" s="176">
        <f ca="1">Y169-Z169</f>
        <v>0</v>
      </c>
      <c r="AB169" s="176">
        <f ca="1">IF(AP169&gt;0,AA169*Calculation_sheet!C$94,0)</f>
        <v>0</v>
      </c>
      <c r="AC169" s="176">
        <f t="shared" ref="AC169:AE179" ca="1" si="235">AA169-AB169</f>
        <v>0</v>
      </c>
      <c r="AD169" s="958">
        <f ca="1">AC169*Calculation_sheet!C$99</f>
        <v>0</v>
      </c>
      <c r="AE169" s="176">
        <f t="shared" ca="1" si="235"/>
        <v>0</v>
      </c>
      <c r="AF169" s="176">
        <f ca="1">Y169-AB169</f>
        <v>0</v>
      </c>
      <c r="AG169" s="958">
        <f ca="1">AF169*User_sheet!B$77/100</f>
        <v>0</v>
      </c>
      <c r="AH169" s="313"/>
      <c r="AI169" s="886">
        <v>102</v>
      </c>
      <c r="AJ169" s="985"/>
      <c r="AK169" s="1020">
        <f t="shared" ca="1" si="194"/>
        <v>277.48738314639041</v>
      </c>
      <c r="AL169" s="954">
        <f ca="1">AK169/'102'!I$24</f>
        <v>1.0045355929684896</v>
      </c>
      <c r="AM169" s="954">
        <f ca="1">0.8*(AK169*30+'102'!D$17*0.34*30*1)</f>
        <v>9320.0345642406446</v>
      </c>
      <c r="AN169" s="954">
        <f ca="1">IF(AM169&lt;User_sheet!B$50,Y169,0)</f>
        <v>0</v>
      </c>
      <c r="AO169" s="954">
        <f ca="1">20-(User_sheet!B$57/('Freestanding '!AK169+'102'!D$17*1*0.34))</f>
        <v>5.3219428471995283</v>
      </c>
      <c r="AP169" s="954">
        <f ca="1">IF(AO169&lt;User_sheet!B$59,0,BC169*AA169)</f>
        <v>0</v>
      </c>
      <c r="AQ169" s="985"/>
      <c r="AR169" s="883">
        <v>0.47</v>
      </c>
      <c r="AS169" s="883">
        <v>2.1</v>
      </c>
      <c r="AT169" s="883">
        <v>0.89</v>
      </c>
      <c r="AU169" s="883">
        <v>2.75</v>
      </c>
      <c r="AV169" s="883">
        <v>3.3</v>
      </c>
      <c r="AW169" s="883">
        <v>11617.129718053829</v>
      </c>
      <c r="AX169" s="883">
        <v>74715.401027665983</v>
      </c>
      <c r="AY169" s="883">
        <v>79015.992973719694</v>
      </c>
      <c r="AZ169" s="883">
        <v>0</v>
      </c>
      <c r="BA169" s="883">
        <v>0</v>
      </c>
      <c r="BB169" s="883">
        <v>0.6</v>
      </c>
      <c r="BC169" s="888">
        <v>1</v>
      </c>
      <c r="BD169" s="889">
        <v>0</v>
      </c>
      <c r="BE169" s="889">
        <v>0</v>
      </c>
      <c r="BF169" s="890">
        <v>0</v>
      </c>
      <c r="BG169" s="883">
        <v>1</v>
      </c>
      <c r="BH169" s="883">
        <v>0</v>
      </c>
      <c r="BI169" s="890">
        <v>0</v>
      </c>
      <c r="BJ169" s="883">
        <v>1</v>
      </c>
      <c r="BK169" s="883">
        <v>0</v>
      </c>
      <c r="BL169" s="883">
        <v>0</v>
      </c>
      <c r="BM169" s="890">
        <v>0</v>
      </c>
      <c r="BN169" s="958">
        <v>0</v>
      </c>
      <c r="BO169" s="959">
        <v>18</v>
      </c>
      <c r="BP169" s="1018">
        <f t="shared" ref="BP169:BP179" ca="1" si="236">INDIRECT("'"&amp;AI169&amp;"'!"&amp;"B2")</f>
        <v>121.5</v>
      </c>
      <c r="BQ169" s="1018">
        <f t="shared" ref="BQ169:BQ179" ca="1" si="237">INDIRECT("'"&amp;AI169&amp;"'!"&amp;"C12")+INDIRECT("'"&amp;AI169&amp;"'!"&amp;"C13")+INDIRECT("'"&amp;AI169&amp;"'!"&amp;"C14")+INDIRECT("'"&amp;AI169&amp;"'!"&amp;"C15")+INDIRECT("'"&amp;AI169&amp;"'!"&amp;"C17")</f>
        <v>287.05844999999999</v>
      </c>
      <c r="BR169" s="1018">
        <f t="shared" ref="BR169:BR179" ca="1" si="238">INDIRECT("'"&amp;AI169&amp;"'!"&amp;"G5")</f>
        <v>88.2</v>
      </c>
      <c r="BS169" s="1018">
        <f t="shared" ref="BS169:BS179" ca="1" si="239">INDIRECT("'"&amp;AI169&amp;"'!"&amp;"G4")</f>
        <v>110.2144959090909</v>
      </c>
      <c r="BT169" s="1018">
        <f t="shared" ref="BT169:BT179" ca="1" si="240">INDIRECT("'"&amp;AI169&amp;"'!"&amp;"G6")</f>
        <v>60.75</v>
      </c>
      <c r="BU169" s="1018">
        <f t="shared" ref="BU169:BU179" ca="1" si="241">INDIRECT("'"&amp;AI169&amp;"'!"&amp;"G2")</f>
        <v>18</v>
      </c>
      <c r="BV169" s="1018">
        <f t="shared" ref="BV169:BV179" ca="1" si="242">INDIRECT("'"&amp;AI169&amp;"'!"&amp;"G3")</f>
        <v>2.15</v>
      </c>
      <c r="BW169" s="1018">
        <v>0</v>
      </c>
      <c r="BX169" s="1018">
        <f t="shared" ref="BX169:BX179" ca="1" si="243">IF(BR169=0,0,1/(1/(BR169*$BY$3)+1/(BR169*AR169)+1/(BR169*$BY$4)))</f>
        <v>38.331278510664532</v>
      </c>
      <c r="BY169" s="1018">
        <f t="shared" ref="BY169:BY179" ca="1" si="244">IF(BS169=0,0,1/(1/(BS169*$BY$3)+1/(BS169*AS169)+1/(BS169*$BY$4)))</f>
        <v>169.68507434684082</v>
      </c>
      <c r="BZ169" s="1018">
        <f t="shared" ca="1" si="195"/>
        <v>15.457671537484117</v>
      </c>
      <c r="CA169" s="1018">
        <f t="shared" ca="1" si="196"/>
        <v>49.499999972774994</v>
      </c>
      <c r="CB169" s="1018">
        <f t="shared" ref="CB169:CB179" ca="1" si="245">IF(BV169=0,0,1/(1/(BV169*$BY$3)+1/(BV169*AV169)+1/(BV169*$BY$4)))</f>
        <v>4.5133587786259541</v>
      </c>
      <c r="CC169" s="1018">
        <f t="shared" si="197"/>
        <v>0</v>
      </c>
      <c r="CD169" s="1018">
        <f t="shared" ref="CD169:CD179" ca="1" si="246">SUM(BX169:CC169)+(BR169+BS169+BT169+BU169+BV169)*BN169</f>
        <v>277.48738314639041</v>
      </c>
      <c r="CE169" s="1018">
        <f ca="1">0.34*BO169*(1/25)^0.66*(BR169+BS169+BU169+BV169)</f>
        <v>159.84189954603258</v>
      </c>
      <c r="CF169" s="1018">
        <f t="shared" ca="1" si="198"/>
        <v>13.119878480772691</v>
      </c>
      <c r="CG169" s="1018">
        <f t="shared" ca="1" si="199"/>
        <v>21844.072875347298</v>
      </c>
    </row>
    <row r="170" spans="4:85" x14ac:dyDescent="0.25">
      <c r="D170" s="375"/>
      <c r="E170" s="374"/>
      <c r="F170" s="380"/>
      <c r="G170" s="376"/>
      <c r="H170" s="380"/>
      <c r="I170" s="376"/>
      <c r="J170" s="380"/>
      <c r="K170" s="381"/>
      <c r="L170" s="380"/>
      <c r="M170" s="375"/>
      <c r="N170" s="375"/>
      <c r="O170" s="375" t="s">
        <v>18</v>
      </c>
      <c r="P170" s="377">
        <v>0.62953995200000001</v>
      </c>
      <c r="Q170" s="375" t="s">
        <v>7</v>
      </c>
      <c r="R170" s="377">
        <v>0.26140000000000002</v>
      </c>
      <c r="S170" s="375"/>
      <c r="T170" s="385">
        <v>0</v>
      </c>
      <c r="U170" s="374"/>
      <c r="V170" s="176">
        <f t="shared" si="200"/>
        <v>0</v>
      </c>
      <c r="W170" s="176">
        <f t="shared" ref="W170:X179" si="247">V170</f>
        <v>0</v>
      </c>
      <c r="X170" s="176">
        <f t="shared" si="247"/>
        <v>0</v>
      </c>
      <c r="Y170" s="34">
        <f>X170/Calculation_sheet!M$67</f>
        <v>0</v>
      </c>
      <c r="Z170" s="176">
        <f ca="1">IF(AN170&gt;0,Y170*Calculation_sheet!C$87,0)</f>
        <v>0</v>
      </c>
      <c r="AA170" s="176">
        <f t="shared" ref="AA170:AA179" ca="1" si="248">Y170-Z170</f>
        <v>0</v>
      </c>
      <c r="AB170" s="176">
        <f ca="1">IF(AP170&gt;0,AA170*Calculation_sheet!C$94,0)</f>
        <v>0</v>
      </c>
      <c r="AC170" s="176">
        <f t="shared" ca="1" si="235"/>
        <v>0</v>
      </c>
      <c r="AD170" s="958">
        <f ca="1">AC170*Calculation_sheet!C$99</f>
        <v>0</v>
      </c>
      <c r="AE170" s="176">
        <f t="shared" ca="1" si="235"/>
        <v>0</v>
      </c>
      <c r="AF170" s="176">
        <f t="shared" ref="AF170:AF179" ca="1" si="249">Y170-AB170</f>
        <v>0</v>
      </c>
      <c r="AG170" s="958">
        <f ca="1">AF170*User_sheet!B$77/100</f>
        <v>0</v>
      </c>
      <c r="AH170" s="313"/>
      <c r="AI170" s="886">
        <v>102</v>
      </c>
      <c r="AJ170" s="985"/>
      <c r="AK170" s="1020">
        <f t="shared" ca="1" si="194"/>
        <v>277.48738314639041</v>
      </c>
      <c r="AL170" s="954">
        <f ca="1">AK170/'102'!I$24</f>
        <v>1.0045355929684896</v>
      </c>
      <c r="AM170" s="954">
        <f ca="1">0.8*(AK170*30+'102'!D$17*0.34*30*1)</f>
        <v>9320.0345642406446</v>
      </c>
      <c r="AN170" s="954">
        <f ca="1">IF(AM170&lt;User_sheet!B$50,Y170,0)</f>
        <v>0</v>
      </c>
      <c r="AO170" s="954">
        <f ca="1">20-(User_sheet!B$57/('Freestanding '!AK170+'102'!D$17*1*0.34))</f>
        <v>5.3219428471995283</v>
      </c>
      <c r="AP170" s="954">
        <f ca="1">IF(AO170&lt;User_sheet!B$59,0,BC170*AA170)</f>
        <v>0</v>
      </c>
      <c r="AQ170" s="985"/>
      <c r="AR170" s="883">
        <v>0.47</v>
      </c>
      <c r="AS170" s="883">
        <v>2.1</v>
      </c>
      <c r="AT170" s="883">
        <v>0.89</v>
      </c>
      <c r="AU170" s="883">
        <v>2.75</v>
      </c>
      <c r="AV170" s="883">
        <v>3.3</v>
      </c>
      <c r="AW170" s="883">
        <v>11617.129718053829</v>
      </c>
      <c r="AX170" s="883">
        <v>74715.401027665983</v>
      </c>
      <c r="AY170" s="883">
        <v>79015.992973719694</v>
      </c>
      <c r="AZ170" s="883">
        <v>0</v>
      </c>
      <c r="BA170" s="883">
        <v>0</v>
      </c>
      <c r="BB170" s="883">
        <v>0.6</v>
      </c>
      <c r="BC170" s="888">
        <v>1</v>
      </c>
      <c r="BD170" s="889">
        <v>0</v>
      </c>
      <c r="BE170" s="889">
        <v>0</v>
      </c>
      <c r="BF170" s="890">
        <v>0</v>
      </c>
      <c r="BG170" s="883">
        <v>1</v>
      </c>
      <c r="BH170" s="883">
        <v>0</v>
      </c>
      <c r="BI170" s="890">
        <v>0</v>
      </c>
      <c r="BJ170" s="883">
        <v>0</v>
      </c>
      <c r="BK170" s="883">
        <v>0</v>
      </c>
      <c r="BL170" s="883">
        <v>1</v>
      </c>
      <c r="BM170" s="890">
        <v>0</v>
      </c>
      <c r="BN170" s="958">
        <v>0</v>
      </c>
      <c r="BO170" s="959">
        <v>18</v>
      </c>
      <c r="BP170" s="1018">
        <f t="shared" ca="1" si="236"/>
        <v>121.5</v>
      </c>
      <c r="BQ170" s="1018">
        <f t="shared" ca="1" si="237"/>
        <v>287.05844999999999</v>
      </c>
      <c r="BR170" s="1018">
        <f t="shared" ca="1" si="238"/>
        <v>88.2</v>
      </c>
      <c r="BS170" s="1018">
        <f t="shared" ca="1" si="239"/>
        <v>110.2144959090909</v>
      </c>
      <c r="BT170" s="1018">
        <f t="shared" ca="1" si="240"/>
        <v>60.75</v>
      </c>
      <c r="BU170" s="1018">
        <f t="shared" ca="1" si="241"/>
        <v>18</v>
      </c>
      <c r="BV170" s="1018">
        <f t="shared" ca="1" si="242"/>
        <v>2.15</v>
      </c>
      <c r="BW170" s="1018">
        <v>0</v>
      </c>
      <c r="BX170" s="1018">
        <f t="shared" ca="1" si="243"/>
        <v>38.331278510664532</v>
      </c>
      <c r="BY170" s="1018">
        <f t="shared" ca="1" si="244"/>
        <v>169.68507434684082</v>
      </c>
      <c r="BZ170" s="1018">
        <f t="shared" ca="1" si="195"/>
        <v>15.457671537484117</v>
      </c>
      <c r="CA170" s="1018">
        <f t="shared" ca="1" si="196"/>
        <v>49.499999972774994</v>
      </c>
      <c r="CB170" s="1018">
        <f t="shared" ca="1" si="245"/>
        <v>4.5133587786259541</v>
      </c>
      <c r="CC170" s="1018">
        <f t="shared" si="197"/>
        <v>0</v>
      </c>
      <c r="CD170" s="1018">
        <f t="shared" ca="1" si="246"/>
        <v>277.48738314639041</v>
      </c>
      <c r="CE170" s="1018">
        <f t="shared" ref="CE170:CE179" ca="1" si="250">0.34*BO170*(1/25)^0.66*(BR170+BS170+BU170+BV170)</f>
        <v>159.84189954603258</v>
      </c>
      <c r="CF170" s="1018">
        <f t="shared" ca="1" si="198"/>
        <v>13.119878480772691</v>
      </c>
      <c r="CG170" s="1018">
        <f t="shared" ca="1" si="199"/>
        <v>21844.072875347298</v>
      </c>
    </row>
    <row r="171" spans="4:85" x14ac:dyDescent="0.25">
      <c r="D171" s="375"/>
      <c r="E171" s="374"/>
      <c r="F171" s="380"/>
      <c r="G171" s="376"/>
      <c r="H171" s="380"/>
      <c r="I171" s="376"/>
      <c r="J171" s="380"/>
      <c r="K171" s="381"/>
      <c r="L171" s="380"/>
      <c r="M171" s="375"/>
      <c r="N171" s="375"/>
      <c r="O171" s="375"/>
      <c r="P171" s="375"/>
      <c r="Q171" s="375" t="s">
        <v>16</v>
      </c>
      <c r="R171" s="377">
        <v>0.73860000000000003</v>
      </c>
      <c r="S171" s="375"/>
      <c r="T171" s="385">
        <v>0</v>
      </c>
      <c r="U171" s="374"/>
      <c r="V171" s="176">
        <f t="shared" si="200"/>
        <v>0</v>
      </c>
      <c r="W171" s="176">
        <f t="shared" si="247"/>
        <v>0</v>
      </c>
      <c r="X171" s="176">
        <f t="shared" si="247"/>
        <v>0</v>
      </c>
      <c r="Y171" s="34">
        <f>X171/Calculation_sheet!M$67</f>
        <v>0</v>
      </c>
      <c r="Z171" s="176">
        <f ca="1">IF(AN171&gt;0,Y171*Calculation_sheet!C$87,0)</f>
        <v>0</v>
      </c>
      <c r="AA171" s="176">
        <f t="shared" ca="1" si="248"/>
        <v>0</v>
      </c>
      <c r="AB171" s="176">
        <f ca="1">IF(AP171&gt;0,AA171*Calculation_sheet!C$94,0)</f>
        <v>0</v>
      </c>
      <c r="AC171" s="176">
        <f t="shared" ca="1" si="235"/>
        <v>0</v>
      </c>
      <c r="AD171" s="958">
        <f ca="1">AC171*Calculation_sheet!C$99</f>
        <v>0</v>
      </c>
      <c r="AE171" s="176">
        <f t="shared" ca="1" si="235"/>
        <v>0</v>
      </c>
      <c r="AF171" s="176">
        <f t="shared" ca="1" si="249"/>
        <v>0</v>
      </c>
      <c r="AG171" s="958">
        <f ca="1">AF171*User_sheet!B$77/100</f>
        <v>0</v>
      </c>
      <c r="AH171" s="313"/>
      <c r="AI171" s="886">
        <v>102</v>
      </c>
      <c r="AJ171" s="985"/>
      <c r="AK171" s="1020">
        <f t="shared" ca="1" si="194"/>
        <v>277.48738314639041</v>
      </c>
      <c r="AL171" s="954">
        <f ca="1">AK171/'102'!I$24</f>
        <v>1.0045355929684896</v>
      </c>
      <c r="AM171" s="954">
        <f ca="1">0.8*(AK171*30+'102'!D$17*0.34*30*1)</f>
        <v>9320.0345642406446</v>
      </c>
      <c r="AN171" s="954">
        <f ca="1">IF(AM171&lt;User_sheet!B$50,Y171,0)</f>
        <v>0</v>
      </c>
      <c r="AO171" s="954">
        <f ca="1">20-(User_sheet!B$57/('Freestanding '!AK171+'102'!D$17*1*0.34))</f>
        <v>5.3219428471995283</v>
      </c>
      <c r="AP171" s="954">
        <f ca="1">IF(AO171&lt;User_sheet!B$59,0,BC171*AA171)</f>
        <v>0</v>
      </c>
      <c r="AQ171" s="985"/>
      <c r="AR171" s="883">
        <v>0.47</v>
      </c>
      <c r="AS171" s="883">
        <v>2.1</v>
      </c>
      <c r="AT171" s="883">
        <v>0.89</v>
      </c>
      <c r="AU171" s="883">
        <v>2.75</v>
      </c>
      <c r="AV171" s="883">
        <v>3.3</v>
      </c>
      <c r="AW171" s="883">
        <v>11617.129718053829</v>
      </c>
      <c r="AX171" s="883">
        <v>74715.401027665983</v>
      </c>
      <c r="AY171" s="883">
        <v>79015.992973719694</v>
      </c>
      <c r="AZ171" s="883">
        <v>0</v>
      </c>
      <c r="BA171" s="883">
        <v>0</v>
      </c>
      <c r="BB171" s="883">
        <v>0.6</v>
      </c>
      <c r="BC171" s="888">
        <v>1</v>
      </c>
      <c r="BD171" s="889">
        <v>0</v>
      </c>
      <c r="BE171" s="889">
        <v>0</v>
      </c>
      <c r="BF171" s="890">
        <v>0</v>
      </c>
      <c r="BG171" s="883">
        <v>0</v>
      </c>
      <c r="BH171" s="883">
        <v>1</v>
      </c>
      <c r="BI171" s="890">
        <v>0</v>
      </c>
      <c r="BJ171" s="883">
        <v>1</v>
      </c>
      <c r="BK171" s="883">
        <v>0</v>
      </c>
      <c r="BL171" s="883">
        <v>0</v>
      </c>
      <c r="BM171" s="890">
        <v>0</v>
      </c>
      <c r="BN171" s="958">
        <v>0</v>
      </c>
      <c r="BO171" s="959">
        <v>18</v>
      </c>
      <c r="BP171" s="1018">
        <f t="shared" ca="1" si="236"/>
        <v>121.5</v>
      </c>
      <c r="BQ171" s="1018">
        <f t="shared" ca="1" si="237"/>
        <v>287.05844999999999</v>
      </c>
      <c r="BR171" s="1018">
        <f t="shared" ca="1" si="238"/>
        <v>88.2</v>
      </c>
      <c r="BS171" s="1018">
        <f t="shared" ca="1" si="239"/>
        <v>110.2144959090909</v>
      </c>
      <c r="BT171" s="1018">
        <f t="shared" ca="1" si="240"/>
        <v>60.75</v>
      </c>
      <c r="BU171" s="1018">
        <f t="shared" ca="1" si="241"/>
        <v>18</v>
      </c>
      <c r="BV171" s="1018">
        <f t="shared" ca="1" si="242"/>
        <v>2.15</v>
      </c>
      <c r="BW171" s="1018">
        <v>0</v>
      </c>
      <c r="BX171" s="1018">
        <f t="shared" ca="1" si="243"/>
        <v>38.331278510664532</v>
      </c>
      <c r="BY171" s="1018">
        <f t="shared" ca="1" si="244"/>
        <v>169.68507434684082</v>
      </c>
      <c r="BZ171" s="1018">
        <f t="shared" ca="1" si="195"/>
        <v>15.457671537484117</v>
      </c>
      <c r="CA171" s="1018">
        <f t="shared" ca="1" si="196"/>
        <v>49.499999972774994</v>
      </c>
      <c r="CB171" s="1018">
        <f t="shared" ca="1" si="245"/>
        <v>4.5133587786259541</v>
      </c>
      <c r="CC171" s="1018">
        <f t="shared" si="197"/>
        <v>0</v>
      </c>
      <c r="CD171" s="1018">
        <f t="shared" ca="1" si="246"/>
        <v>277.48738314639041</v>
      </c>
      <c r="CE171" s="1018">
        <f t="shared" ca="1" si="250"/>
        <v>159.84189954603258</v>
      </c>
      <c r="CF171" s="1018">
        <f t="shared" ca="1" si="198"/>
        <v>13.119878480772691</v>
      </c>
      <c r="CG171" s="1018">
        <f t="shared" ca="1" si="199"/>
        <v>21844.072875347298</v>
      </c>
    </row>
    <row r="172" spans="4:85" x14ac:dyDescent="0.25">
      <c r="D172" s="375"/>
      <c r="E172" s="374"/>
      <c r="F172" s="380"/>
      <c r="G172" s="376"/>
      <c r="H172" s="380"/>
      <c r="I172" s="376"/>
      <c r="J172" s="380"/>
      <c r="K172" s="381"/>
      <c r="L172" s="380"/>
      <c r="M172" s="375" t="s">
        <v>16</v>
      </c>
      <c r="N172" s="377">
        <v>0.44680851100000002</v>
      </c>
      <c r="O172" s="375" t="s">
        <v>19</v>
      </c>
      <c r="P172" s="377">
        <v>0.37046004799999999</v>
      </c>
      <c r="Q172" s="375" t="s">
        <v>7</v>
      </c>
      <c r="R172" s="377">
        <v>0.26140000000000002</v>
      </c>
      <c r="S172" s="375"/>
      <c r="T172" s="385">
        <v>0</v>
      </c>
      <c r="U172" s="374"/>
      <c r="V172" s="176">
        <f t="shared" si="200"/>
        <v>0</v>
      </c>
      <c r="W172" s="176">
        <f t="shared" si="247"/>
        <v>0</v>
      </c>
      <c r="X172" s="176">
        <f t="shared" si="247"/>
        <v>0</v>
      </c>
      <c r="Y172" s="34">
        <f>X172/Calculation_sheet!M$67</f>
        <v>0</v>
      </c>
      <c r="Z172" s="176">
        <f ca="1">IF(AN172&gt;0,Y172*Calculation_sheet!C$87,0)</f>
        <v>0</v>
      </c>
      <c r="AA172" s="176">
        <f t="shared" ca="1" si="248"/>
        <v>0</v>
      </c>
      <c r="AB172" s="176">
        <f ca="1">IF(AP172&gt;0,AA172*Calculation_sheet!C$94,0)</f>
        <v>0</v>
      </c>
      <c r="AC172" s="176">
        <f t="shared" ca="1" si="235"/>
        <v>0</v>
      </c>
      <c r="AD172" s="958">
        <f ca="1">AC172*Calculation_sheet!C$99</f>
        <v>0</v>
      </c>
      <c r="AE172" s="176">
        <f t="shared" ca="1" si="235"/>
        <v>0</v>
      </c>
      <c r="AF172" s="176">
        <f t="shared" ca="1" si="249"/>
        <v>0</v>
      </c>
      <c r="AG172" s="958">
        <f ca="1">AF172*User_sheet!B$77/100</f>
        <v>0</v>
      </c>
      <c r="AH172" s="313"/>
      <c r="AI172" s="886">
        <v>102</v>
      </c>
      <c r="AJ172" s="985"/>
      <c r="AK172" s="1020">
        <f t="shared" ca="1" si="194"/>
        <v>277.48738314639041</v>
      </c>
      <c r="AL172" s="954">
        <f ca="1">AK172/'102'!I$24</f>
        <v>1.0045355929684896</v>
      </c>
      <c r="AM172" s="954">
        <f ca="1">0.8*(AK172*30+'102'!D$17*0.34*30*1)</f>
        <v>9320.0345642406446</v>
      </c>
      <c r="AN172" s="954">
        <f ca="1">IF(AM172&lt;User_sheet!B$50,Y172,0)</f>
        <v>0</v>
      </c>
      <c r="AO172" s="954">
        <f ca="1">20-(User_sheet!B$57/('Freestanding '!AK172+'102'!D$17*1*0.34))</f>
        <v>5.3219428471995283</v>
      </c>
      <c r="AP172" s="954">
        <f ca="1">IF(AO172&lt;User_sheet!B$59,0,BC172*AA172)</f>
        <v>0</v>
      </c>
      <c r="AQ172" s="985"/>
      <c r="AR172" s="883">
        <v>0.47</v>
      </c>
      <c r="AS172" s="883">
        <v>2.1</v>
      </c>
      <c r="AT172" s="883">
        <v>0.89</v>
      </c>
      <c r="AU172" s="883">
        <v>2.75</v>
      </c>
      <c r="AV172" s="883">
        <v>3.3</v>
      </c>
      <c r="AW172" s="883">
        <v>11617.129718053829</v>
      </c>
      <c r="AX172" s="883">
        <v>74715.401027665983</v>
      </c>
      <c r="AY172" s="883">
        <v>79015.992973719694</v>
      </c>
      <c r="AZ172" s="883">
        <v>0</v>
      </c>
      <c r="BA172" s="883">
        <v>0</v>
      </c>
      <c r="BB172" s="883">
        <v>0.6</v>
      </c>
      <c r="BC172" s="888">
        <v>1</v>
      </c>
      <c r="BD172" s="889">
        <v>0</v>
      </c>
      <c r="BE172" s="889">
        <v>0</v>
      </c>
      <c r="BF172" s="890">
        <v>0</v>
      </c>
      <c r="BG172" s="883">
        <v>0</v>
      </c>
      <c r="BH172" s="883">
        <v>1</v>
      </c>
      <c r="BI172" s="890">
        <v>0</v>
      </c>
      <c r="BJ172" s="883">
        <v>0</v>
      </c>
      <c r="BK172" s="883">
        <v>0</v>
      </c>
      <c r="BL172" s="883">
        <v>1</v>
      </c>
      <c r="BM172" s="890">
        <v>0</v>
      </c>
      <c r="BN172" s="958">
        <v>0</v>
      </c>
      <c r="BO172" s="959">
        <v>18</v>
      </c>
      <c r="BP172" s="1018">
        <f t="shared" ca="1" si="236"/>
        <v>121.5</v>
      </c>
      <c r="BQ172" s="1018">
        <f t="shared" ca="1" si="237"/>
        <v>287.05844999999999</v>
      </c>
      <c r="BR172" s="1018">
        <f t="shared" ca="1" si="238"/>
        <v>88.2</v>
      </c>
      <c r="BS172" s="1018">
        <f t="shared" ca="1" si="239"/>
        <v>110.2144959090909</v>
      </c>
      <c r="BT172" s="1018">
        <f t="shared" ca="1" si="240"/>
        <v>60.75</v>
      </c>
      <c r="BU172" s="1018">
        <f t="shared" ca="1" si="241"/>
        <v>18</v>
      </c>
      <c r="BV172" s="1018">
        <f t="shared" ca="1" si="242"/>
        <v>2.15</v>
      </c>
      <c r="BW172" s="1018">
        <v>0</v>
      </c>
      <c r="BX172" s="1018">
        <f t="shared" ca="1" si="243"/>
        <v>38.331278510664532</v>
      </c>
      <c r="BY172" s="1018">
        <f t="shared" ca="1" si="244"/>
        <v>169.68507434684082</v>
      </c>
      <c r="BZ172" s="1018">
        <f t="shared" ca="1" si="195"/>
        <v>15.457671537484117</v>
      </c>
      <c r="CA172" s="1018">
        <f t="shared" ca="1" si="196"/>
        <v>49.499999972774994</v>
      </c>
      <c r="CB172" s="1018">
        <f t="shared" ca="1" si="245"/>
        <v>4.5133587786259541</v>
      </c>
      <c r="CC172" s="1018">
        <f t="shared" si="197"/>
        <v>0</v>
      </c>
      <c r="CD172" s="1018">
        <f t="shared" ca="1" si="246"/>
        <v>277.48738314639041</v>
      </c>
      <c r="CE172" s="1018">
        <f t="shared" ca="1" si="250"/>
        <v>159.84189954603258</v>
      </c>
      <c r="CF172" s="1018">
        <f t="shared" ca="1" si="198"/>
        <v>13.119878480772691</v>
      </c>
      <c r="CG172" s="1018">
        <f t="shared" ca="1" si="199"/>
        <v>21844.072875347298</v>
      </c>
    </row>
    <row r="173" spans="4:85" x14ac:dyDescent="0.25">
      <c r="D173" s="375"/>
      <c r="E173" s="374"/>
      <c r="F173" s="380"/>
      <c r="G173" s="376"/>
      <c r="H173" s="380"/>
      <c r="I173" s="376"/>
      <c r="J173" s="380"/>
      <c r="K173" s="381"/>
      <c r="L173" s="380"/>
      <c r="M173" s="375"/>
      <c r="N173" s="375"/>
      <c r="O173" s="375"/>
      <c r="P173" s="375"/>
      <c r="Q173" s="375" t="s">
        <v>22</v>
      </c>
      <c r="R173" s="377">
        <v>0.53710000000000002</v>
      </c>
      <c r="S173" s="375"/>
      <c r="T173" s="385">
        <v>0</v>
      </c>
      <c r="U173" s="374"/>
      <c r="V173" s="176">
        <f t="shared" si="200"/>
        <v>0</v>
      </c>
      <c r="W173" s="176">
        <f t="shared" si="247"/>
        <v>0</v>
      </c>
      <c r="X173" s="176">
        <f t="shared" si="247"/>
        <v>0</v>
      </c>
      <c r="Y173" s="34">
        <f>X173/Calculation_sheet!M$67</f>
        <v>0</v>
      </c>
      <c r="Z173" s="176">
        <f ca="1">IF(AN173&gt;0,Y173*Calculation_sheet!C$87,0)</f>
        <v>0</v>
      </c>
      <c r="AA173" s="176">
        <f t="shared" ca="1" si="248"/>
        <v>0</v>
      </c>
      <c r="AB173" s="176">
        <f ca="1">IF(AP173&gt;0,AA173*Calculation_sheet!C$94,0)</f>
        <v>0</v>
      </c>
      <c r="AC173" s="176">
        <f t="shared" ca="1" si="235"/>
        <v>0</v>
      </c>
      <c r="AD173" s="958">
        <f ca="1">AC173*Calculation_sheet!C$99</f>
        <v>0</v>
      </c>
      <c r="AE173" s="176">
        <f t="shared" ca="1" si="235"/>
        <v>0</v>
      </c>
      <c r="AF173" s="176">
        <f t="shared" ca="1" si="249"/>
        <v>0</v>
      </c>
      <c r="AG173" s="958">
        <f ca="1">AF173*User_sheet!B$77/100</f>
        <v>0</v>
      </c>
      <c r="AH173" s="313"/>
      <c r="AI173" s="886">
        <v>102</v>
      </c>
      <c r="AJ173" s="985"/>
      <c r="AK173" s="1020">
        <f t="shared" ca="1" si="194"/>
        <v>277.48738314639041</v>
      </c>
      <c r="AL173" s="954">
        <f ca="1">AK173/'102'!I$24</f>
        <v>1.0045355929684896</v>
      </c>
      <c r="AM173" s="954">
        <f ca="1">0.8*(AK173*30+'102'!D$17*0.34*30*1)</f>
        <v>9320.0345642406446</v>
      </c>
      <c r="AN173" s="954">
        <f ca="1">IF(AM173&lt;User_sheet!B$50,Y173,0)</f>
        <v>0</v>
      </c>
      <c r="AO173" s="954">
        <f ca="1">20-(User_sheet!B$57/('Freestanding '!AK173+'102'!D$17*1*0.34))</f>
        <v>5.3219428471995283</v>
      </c>
      <c r="AP173" s="954">
        <f ca="1">IF(AO173&lt;User_sheet!B$59,0,BC173*AA173)</f>
        <v>0</v>
      </c>
      <c r="AQ173" s="985"/>
      <c r="AR173" s="883">
        <v>0.47</v>
      </c>
      <c r="AS173" s="883">
        <v>2.1</v>
      </c>
      <c r="AT173" s="883">
        <v>0.89</v>
      </c>
      <c r="AU173" s="883">
        <v>2.75</v>
      </c>
      <c r="AV173" s="883">
        <v>3.3</v>
      </c>
      <c r="AW173" s="883">
        <v>11617.129718053829</v>
      </c>
      <c r="AX173" s="883">
        <v>74715.401027665983</v>
      </c>
      <c r="AY173" s="883">
        <v>79015.992973719694</v>
      </c>
      <c r="AZ173" s="883">
        <v>0</v>
      </c>
      <c r="BA173" s="883">
        <v>0</v>
      </c>
      <c r="BB173" s="883">
        <v>0.6</v>
      </c>
      <c r="BC173" s="888">
        <v>0</v>
      </c>
      <c r="BD173" s="889">
        <v>1</v>
      </c>
      <c r="BE173" s="889">
        <v>0</v>
      </c>
      <c r="BF173" s="890">
        <v>0</v>
      </c>
      <c r="BG173" s="883">
        <v>1</v>
      </c>
      <c r="BH173" s="883">
        <v>0</v>
      </c>
      <c r="BI173" s="890">
        <v>0</v>
      </c>
      <c r="BJ173" s="883">
        <v>0</v>
      </c>
      <c r="BK173" s="883">
        <v>1</v>
      </c>
      <c r="BL173" s="883">
        <v>0</v>
      </c>
      <c r="BM173" s="890">
        <v>0</v>
      </c>
      <c r="BN173" s="958">
        <v>0</v>
      </c>
      <c r="BO173" s="959">
        <v>18</v>
      </c>
      <c r="BP173" s="1018">
        <f t="shared" ca="1" si="236"/>
        <v>121.5</v>
      </c>
      <c r="BQ173" s="1018">
        <f t="shared" ca="1" si="237"/>
        <v>287.05844999999999</v>
      </c>
      <c r="BR173" s="1018">
        <f t="shared" ca="1" si="238"/>
        <v>88.2</v>
      </c>
      <c r="BS173" s="1018">
        <f t="shared" ca="1" si="239"/>
        <v>110.2144959090909</v>
      </c>
      <c r="BT173" s="1018">
        <f t="shared" ca="1" si="240"/>
        <v>60.75</v>
      </c>
      <c r="BU173" s="1018">
        <f t="shared" ca="1" si="241"/>
        <v>18</v>
      </c>
      <c r="BV173" s="1018">
        <f t="shared" ca="1" si="242"/>
        <v>2.15</v>
      </c>
      <c r="BW173" s="1018">
        <v>0</v>
      </c>
      <c r="BX173" s="1018">
        <f t="shared" ca="1" si="243"/>
        <v>38.331278510664532</v>
      </c>
      <c r="BY173" s="1018">
        <f t="shared" ca="1" si="244"/>
        <v>169.68507434684082</v>
      </c>
      <c r="BZ173" s="1018">
        <f t="shared" ca="1" si="195"/>
        <v>15.457671537484117</v>
      </c>
      <c r="CA173" s="1018">
        <f t="shared" ca="1" si="196"/>
        <v>49.499999972774994</v>
      </c>
      <c r="CB173" s="1018">
        <f t="shared" ca="1" si="245"/>
        <v>4.5133587786259541</v>
      </c>
      <c r="CC173" s="1018">
        <f t="shared" si="197"/>
        <v>0</v>
      </c>
      <c r="CD173" s="1018">
        <f t="shared" ca="1" si="246"/>
        <v>277.48738314639041</v>
      </c>
      <c r="CE173" s="1018">
        <f t="shared" ca="1" si="250"/>
        <v>159.84189954603258</v>
      </c>
      <c r="CF173" s="1018">
        <f t="shared" ca="1" si="198"/>
        <v>13.119878480772691</v>
      </c>
      <c r="CG173" s="1018">
        <f t="shared" ca="1" si="199"/>
        <v>21844.072875347298</v>
      </c>
    </row>
    <row r="174" spans="4:85" x14ac:dyDescent="0.25">
      <c r="D174" s="375"/>
      <c r="E174" s="374"/>
      <c r="F174" s="380"/>
      <c r="G174" s="376"/>
      <c r="H174" s="380"/>
      <c r="I174" s="376"/>
      <c r="J174" s="380"/>
      <c r="K174" s="381"/>
      <c r="L174" s="380"/>
      <c r="M174" s="375"/>
      <c r="N174" s="375"/>
      <c r="O174" s="375" t="s">
        <v>18</v>
      </c>
      <c r="P174" s="377">
        <v>0.80827067699999999</v>
      </c>
      <c r="Q174" s="375" t="s">
        <v>7</v>
      </c>
      <c r="R174" s="377">
        <v>0.46289999999999998</v>
      </c>
      <c r="S174" s="375"/>
      <c r="T174" s="385">
        <v>0</v>
      </c>
      <c r="U174" s="374"/>
      <c r="V174" s="176">
        <f t="shared" si="200"/>
        <v>0</v>
      </c>
      <c r="W174" s="176">
        <f t="shared" si="247"/>
        <v>0</v>
      </c>
      <c r="X174" s="176">
        <f t="shared" si="247"/>
        <v>0</v>
      </c>
      <c r="Y174" s="34">
        <f>X174/Calculation_sheet!M$67</f>
        <v>0</v>
      </c>
      <c r="Z174" s="176">
        <f ca="1">IF(AN174&gt;0,Y174*Calculation_sheet!C$87,0)</f>
        <v>0</v>
      </c>
      <c r="AA174" s="176">
        <f t="shared" ca="1" si="248"/>
        <v>0</v>
      </c>
      <c r="AB174" s="176">
        <f ca="1">IF(AP174&gt;0,AA174*Calculation_sheet!C$94,0)</f>
        <v>0</v>
      </c>
      <c r="AC174" s="176">
        <f t="shared" ca="1" si="235"/>
        <v>0</v>
      </c>
      <c r="AD174" s="958">
        <f ca="1">AC174*Calculation_sheet!C$99</f>
        <v>0</v>
      </c>
      <c r="AE174" s="176">
        <f t="shared" ca="1" si="235"/>
        <v>0</v>
      </c>
      <c r="AF174" s="176">
        <f t="shared" ca="1" si="249"/>
        <v>0</v>
      </c>
      <c r="AG174" s="958">
        <f ca="1">AF174*User_sheet!B$77/100</f>
        <v>0</v>
      </c>
      <c r="AH174" s="313"/>
      <c r="AI174" s="886">
        <v>102</v>
      </c>
      <c r="AJ174" s="985"/>
      <c r="AK174" s="1020">
        <f t="shared" ca="1" si="194"/>
        <v>277.48738314639041</v>
      </c>
      <c r="AL174" s="954">
        <f ca="1">AK174/'102'!I$24</f>
        <v>1.0045355929684896</v>
      </c>
      <c r="AM174" s="954">
        <f ca="1">0.8*(AK174*30+'102'!D$17*0.34*30*1)</f>
        <v>9320.0345642406446</v>
      </c>
      <c r="AN174" s="954">
        <f ca="1">IF(AM174&lt;User_sheet!B$50,Y174,0)</f>
        <v>0</v>
      </c>
      <c r="AO174" s="954">
        <f ca="1">20-(User_sheet!B$57/('Freestanding '!AK174+'102'!D$17*1*0.34))</f>
        <v>5.3219428471995283</v>
      </c>
      <c r="AP174" s="954">
        <f ca="1">IF(AO174&lt;User_sheet!B$59,0,BC174*AA174)</f>
        <v>0</v>
      </c>
      <c r="AQ174" s="985"/>
      <c r="AR174" s="883">
        <v>0.47</v>
      </c>
      <c r="AS174" s="883">
        <v>2.1</v>
      </c>
      <c r="AT174" s="883">
        <v>0.89</v>
      </c>
      <c r="AU174" s="883">
        <v>2.75</v>
      </c>
      <c r="AV174" s="883">
        <v>3.3</v>
      </c>
      <c r="AW174" s="883">
        <v>11617.129718053829</v>
      </c>
      <c r="AX174" s="883">
        <v>74715.401027665983</v>
      </c>
      <c r="AY174" s="883">
        <v>79015.992973719694</v>
      </c>
      <c r="AZ174" s="883">
        <v>0</v>
      </c>
      <c r="BA174" s="883">
        <v>0</v>
      </c>
      <c r="BB174" s="883">
        <v>0.6</v>
      </c>
      <c r="BC174" s="888">
        <v>0</v>
      </c>
      <c r="BD174" s="889">
        <v>1</v>
      </c>
      <c r="BE174" s="889">
        <v>0</v>
      </c>
      <c r="BF174" s="890">
        <v>0</v>
      </c>
      <c r="BG174" s="883">
        <v>1</v>
      </c>
      <c r="BH174" s="883">
        <v>0</v>
      </c>
      <c r="BI174" s="890">
        <v>0</v>
      </c>
      <c r="BJ174" s="883">
        <v>0</v>
      </c>
      <c r="BK174" s="883">
        <v>0</v>
      </c>
      <c r="BL174" s="883">
        <v>1</v>
      </c>
      <c r="BM174" s="890">
        <v>0</v>
      </c>
      <c r="BN174" s="958">
        <v>0</v>
      </c>
      <c r="BO174" s="959">
        <v>18</v>
      </c>
      <c r="BP174" s="1018">
        <f t="shared" ca="1" si="236"/>
        <v>121.5</v>
      </c>
      <c r="BQ174" s="1018">
        <f t="shared" ca="1" si="237"/>
        <v>287.05844999999999</v>
      </c>
      <c r="BR174" s="1018">
        <f t="shared" ca="1" si="238"/>
        <v>88.2</v>
      </c>
      <c r="BS174" s="1018">
        <f t="shared" ca="1" si="239"/>
        <v>110.2144959090909</v>
      </c>
      <c r="BT174" s="1018">
        <f t="shared" ca="1" si="240"/>
        <v>60.75</v>
      </c>
      <c r="BU174" s="1018">
        <f t="shared" ca="1" si="241"/>
        <v>18</v>
      </c>
      <c r="BV174" s="1018">
        <f t="shared" ca="1" si="242"/>
        <v>2.15</v>
      </c>
      <c r="BW174" s="1018">
        <v>0</v>
      </c>
      <c r="BX174" s="1018">
        <f t="shared" ca="1" si="243"/>
        <v>38.331278510664532</v>
      </c>
      <c r="BY174" s="1018">
        <f t="shared" ca="1" si="244"/>
        <v>169.68507434684082</v>
      </c>
      <c r="BZ174" s="1018">
        <f t="shared" ca="1" si="195"/>
        <v>15.457671537484117</v>
      </c>
      <c r="CA174" s="1018">
        <f t="shared" ca="1" si="196"/>
        <v>49.499999972774994</v>
      </c>
      <c r="CB174" s="1018">
        <f t="shared" ca="1" si="245"/>
        <v>4.5133587786259541</v>
      </c>
      <c r="CC174" s="1018">
        <f t="shared" si="197"/>
        <v>0</v>
      </c>
      <c r="CD174" s="1018">
        <f t="shared" ca="1" si="246"/>
        <v>277.48738314639041</v>
      </c>
      <c r="CE174" s="1018">
        <f t="shared" ca="1" si="250"/>
        <v>159.84189954603258</v>
      </c>
      <c r="CF174" s="1018">
        <f t="shared" ca="1" si="198"/>
        <v>13.119878480772691</v>
      </c>
      <c r="CG174" s="1018">
        <f t="shared" ca="1" si="199"/>
        <v>21844.072875347298</v>
      </c>
    </row>
    <row r="175" spans="4:85" x14ac:dyDescent="0.25">
      <c r="D175" s="375"/>
      <c r="E175" s="374"/>
      <c r="F175" s="380"/>
      <c r="G175" s="376"/>
      <c r="H175" s="380"/>
      <c r="I175" s="376"/>
      <c r="J175" s="380"/>
      <c r="K175" s="381"/>
      <c r="L175" s="380"/>
      <c r="M175" s="375"/>
      <c r="N175" s="375"/>
      <c r="O175" s="375"/>
      <c r="P175" s="375"/>
      <c r="Q175" s="375" t="s">
        <v>22</v>
      </c>
      <c r="R175" s="377">
        <v>0.53710000000000002</v>
      </c>
      <c r="S175" s="375"/>
      <c r="T175" s="385">
        <v>0</v>
      </c>
      <c r="U175" s="374"/>
      <c r="V175" s="176">
        <f t="shared" si="200"/>
        <v>0</v>
      </c>
      <c r="W175" s="176">
        <f t="shared" si="247"/>
        <v>0</v>
      </c>
      <c r="X175" s="176">
        <f t="shared" si="247"/>
        <v>0</v>
      </c>
      <c r="Y175" s="34">
        <f>X175/Calculation_sheet!M$67</f>
        <v>0</v>
      </c>
      <c r="Z175" s="176">
        <f ca="1">IF(AN175&gt;0,Y175*Calculation_sheet!C$87,0)</f>
        <v>0</v>
      </c>
      <c r="AA175" s="176">
        <f t="shared" ca="1" si="248"/>
        <v>0</v>
      </c>
      <c r="AB175" s="176">
        <f ca="1">IF(AP175&gt;0,AA175*Calculation_sheet!C$94,0)</f>
        <v>0</v>
      </c>
      <c r="AC175" s="176">
        <f t="shared" ca="1" si="235"/>
        <v>0</v>
      </c>
      <c r="AD175" s="958">
        <f ca="1">AC175*Calculation_sheet!C$99</f>
        <v>0</v>
      </c>
      <c r="AE175" s="176">
        <f t="shared" ca="1" si="235"/>
        <v>0</v>
      </c>
      <c r="AF175" s="176">
        <f t="shared" ca="1" si="249"/>
        <v>0</v>
      </c>
      <c r="AG175" s="958">
        <f ca="1">AF175*User_sheet!B$77/100</f>
        <v>0</v>
      </c>
      <c r="AH175" s="313"/>
      <c r="AI175" s="886">
        <v>102</v>
      </c>
      <c r="AJ175" s="985"/>
      <c r="AK175" s="1020">
        <f t="shared" ca="1" si="194"/>
        <v>277.48738314639041</v>
      </c>
      <c r="AL175" s="954">
        <f ca="1">AK175/'102'!I$24</f>
        <v>1.0045355929684896</v>
      </c>
      <c r="AM175" s="954">
        <f ca="1">0.8*(AK175*30+'102'!D$17*0.34*30*1)</f>
        <v>9320.0345642406446</v>
      </c>
      <c r="AN175" s="954">
        <f ca="1">IF(AM175&lt;User_sheet!B$50,Y175,0)</f>
        <v>0</v>
      </c>
      <c r="AO175" s="954">
        <f ca="1">20-(User_sheet!B$57/('Freestanding '!AK175+'102'!D$17*1*0.34))</f>
        <v>5.3219428471995283</v>
      </c>
      <c r="AP175" s="954">
        <f ca="1">IF(AO175&lt;User_sheet!B$59,0,BC175*AA175)</f>
        <v>0</v>
      </c>
      <c r="AQ175" s="985"/>
      <c r="AR175" s="883">
        <v>0.47</v>
      </c>
      <c r="AS175" s="883">
        <v>2.1</v>
      </c>
      <c r="AT175" s="883">
        <v>0.89</v>
      </c>
      <c r="AU175" s="883">
        <v>2.75</v>
      </c>
      <c r="AV175" s="883">
        <v>3.3</v>
      </c>
      <c r="AW175" s="883">
        <v>11617.129718053829</v>
      </c>
      <c r="AX175" s="883">
        <v>74715.401027665983</v>
      </c>
      <c r="AY175" s="883">
        <v>79015.992973719694</v>
      </c>
      <c r="AZ175" s="883">
        <v>0</v>
      </c>
      <c r="BA175" s="883">
        <v>0</v>
      </c>
      <c r="BB175" s="883">
        <v>0.6</v>
      </c>
      <c r="BC175" s="888">
        <v>0</v>
      </c>
      <c r="BD175" s="889">
        <v>1</v>
      </c>
      <c r="BE175" s="889">
        <v>0</v>
      </c>
      <c r="BF175" s="890">
        <v>0</v>
      </c>
      <c r="BG175" s="883">
        <v>0</v>
      </c>
      <c r="BH175" s="883">
        <v>1</v>
      </c>
      <c r="BI175" s="890">
        <v>0</v>
      </c>
      <c r="BJ175" s="883">
        <v>0</v>
      </c>
      <c r="BK175" s="883">
        <v>1</v>
      </c>
      <c r="BL175" s="883">
        <v>0</v>
      </c>
      <c r="BM175" s="890">
        <v>0</v>
      </c>
      <c r="BN175" s="958">
        <v>0</v>
      </c>
      <c r="BO175" s="959">
        <v>18</v>
      </c>
      <c r="BP175" s="1018">
        <f t="shared" ca="1" si="236"/>
        <v>121.5</v>
      </c>
      <c r="BQ175" s="1018">
        <f t="shared" ca="1" si="237"/>
        <v>287.05844999999999</v>
      </c>
      <c r="BR175" s="1018">
        <f t="shared" ca="1" si="238"/>
        <v>88.2</v>
      </c>
      <c r="BS175" s="1018">
        <f t="shared" ca="1" si="239"/>
        <v>110.2144959090909</v>
      </c>
      <c r="BT175" s="1018">
        <f t="shared" ca="1" si="240"/>
        <v>60.75</v>
      </c>
      <c r="BU175" s="1018">
        <f t="shared" ca="1" si="241"/>
        <v>18</v>
      </c>
      <c r="BV175" s="1018">
        <f t="shared" ca="1" si="242"/>
        <v>2.15</v>
      </c>
      <c r="BW175" s="1018">
        <v>0</v>
      </c>
      <c r="BX175" s="1018">
        <f t="shared" ca="1" si="243"/>
        <v>38.331278510664532</v>
      </c>
      <c r="BY175" s="1018">
        <f t="shared" ca="1" si="244"/>
        <v>169.68507434684082</v>
      </c>
      <c r="BZ175" s="1018">
        <f t="shared" ca="1" si="195"/>
        <v>15.457671537484117</v>
      </c>
      <c r="CA175" s="1018">
        <f t="shared" ca="1" si="196"/>
        <v>49.499999972774994</v>
      </c>
      <c r="CB175" s="1018">
        <f t="shared" ca="1" si="245"/>
        <v>4.5133587786259541</v>
      </c>
      <c r="CC175" s="1018">
        <f t="shared" si="197"/>
        <v>0</v>
      </c>
      <c r="CD175" s="1018">
        <f t="shared" ca="1" si="246"/>
        <v>277.48738314639041</v>
      </c>
      <c r="CE175" s="1018">
        <f t="shared" ca="1" si="250"/>
        <v>159.84189954603258</v>
      </c>
      <c r="CF175" s="1018">
        <f t="shared" ca="1" si="198"/>
        <v>13.119878480772691</v>
      </c>
      <c r="CG175" s="1018">
        <f t="shared" ca="1" si="199"/>
        <v>21844.072875347298</v>
      </c>
    </row>
    <row r="176" spans="4:85" x14ac:dyDescent="0.25">
      <c r="D176" s="375"/>
      <c r="E176" s="374"/>
      <c r="F176" s="380"/>
      <c r="G176" s="376"/>
      <c r="H176" s="380"/>
      <c r="I176" s="376"/>
      <c r="J176" s="380"/>
      <c r="K176" s="381"/>
      <c r="L176" s="380"/>
      <c r="M176" s="375" t="s">
        <v>22</v>
      </c>
      <c r="N176" s="377">
        <v>0.44680851100000002</v>
      </c>
      <c r="O176" s="375" t="s">
        <v>20</v>
      </c>
      <c r="P176" s="377">
        <v>0.19172932300000001</v>
      </c>
      <c r="Q176" s="375" t="s">
        <v>7</v>
      </c>
      <c r="R176" s="377">
        <v>0.46289999999999998</v>
      </c>
      <c r="S176" s="375"/>
      <c r="T176" s="385">
        <v>0</v>
      </c>
      <c r="U176" s="374"/>
      <c r="V176" s="176">
        <f t="shared" si="200"/>
        <v>0</v>
      </c>
      <c r="W176" s="176">
        <f t="shared" si="247"/>
        <v>0</v>
      </c>
      <c r="X176" s="176">
        <f t="shared" si="247"/>
        <v>0</v>
      </c>
      <c r="Y176" s="34">
        <f>X176/Calculation_sheet!M$67</f>
        <v>0</v>
      </c>
      <c r="Z176" s="176">
        <f ca="1">IF(AN176&gt;0,Y176*Calculation_sheet!C$87,0)</f>
        <v>0</v>
      </c>
      <c r="AA176" s="176">
        <f t="shared" ca="1" si="248"/>
        <v>0</v>
      </c>
      <c r="AB176" s="176">
        <f ca="1">IF(AP176&gt;0,AA176*Calculation_sheet!C$94,0)</f>
        <v>0</v>
      </c>
      <c r="AC176" s="176">
        <f t="shared" ca="1" si="235"/>
        <v>0</v>
      </c>
      <c r="AD176" s="958">
        <f ca="1">AC176*Calculation_sheet!C$99</f>
        <v>0</v>
      </c>
      <c r="AE176" s="176">
        <f t="shared" ca="1" si="235"/>
        <v>0</v>
      </c>
      <c r="AF176" s="176">
        <f t="shared" ca="1" si="249"/>
        <v>0</v>
      </c>
      <c r="AG176" s="958">
        <f ca="1">AF176*User_sheet!B$77/100</f>
        <v>0</v>
      </c>
      <c r="AH176" s="313"/>
      <c r="AI176" s="886">
        <v>102</v>
      </c>
      <c r="AJ176" s="985"/>
      <c r="AK176" s="1020">
        <f t="shared" ca="1" si="194"/>
        <v>277.48738314639041</v>
      </c>
      <c r="AL176" s="954">
        <f ca="1">AK176/'102'!I$24</f>
        <v>1.0045355929684896</v>
      </c>
      <c r="AM176" s="954">
        <f ca="1">0.8*(AK176*30+'102'!D$17*0.34*30*1)</f>
        <v>9320.0345642406446</v>
      </c>
      <c r="AN176" s="954">
        <f ca="1">IF(AM176&lt;User_sheet!B$50,Y176,0)</f>
        <v>0</v>
      </c>
      <c r="AO176" s="954">
        <f ca="1">20-(User_sheet!B$57/('Freestanding '!AK176+'102'!D$17*1*0.34))</f>
        <v>5.3219428471995283</v>
      </c>
      <c r="AP176" s="954">
        <f ca="1">IF(AO176&lt;User_sheet!B$59,0,BC176*AA176)</f>
        <v>0</v>
      </c>
      <c r="AQ176" s="985"/>
      <c r="AR176" s="883">
        <v>0.47</v>
      </c>
      <c r="AS176" s="883">
        <v>2.1</v>
      </c>
      <c r="AT176" s="883">
        <v>0.89</v>
      </c>
      <c r="AU176" s="883">
        <v>2.75</v>
      </c>
      <c r="AV176" s="883">
        <v>3.3</v>
      </c>
      <c r="AW176" s="883">
        <v>11617.129718053829</v>
      </c>
      <c r="AX176" s="883">
        <v>74715.401027665983</v>
      </c>
      <c r="AY176" s="883">
        <v>79015.992973719694</v>
      </c>
      <c r="AZ176" s="883">
        <v>0</v>
      </c>
      <c r="BA176" s="883">
        <v>0</v>
      </c>
      <c r="BB176" s="883">
        <v>0.6</v>
      </c>
      <c r="BC176" s="888">
        <v>0</v>
      </c>
      <c r="BD176" s="889">
        <v>1</v>
      </c>
      <c r="BE176" s="889">
        <v>0</v>
      </c>
      <c r="BF176" s="890">
        <v>0</v>
      </c>
      <c r="BG176" s="883">
        <v>0</v>
      </c>
      <c r="BH176" s="883">
        <v>1</v>
      </c>
      <c r="BI176" s="890">
        <v>0</v>
      </c>
      <c r="BJ176" s="883">
        <v>0</v>
      </c>
      <c r="BK176" s="883">
        <v>0</v>
      </c>
      <c r="BL176" s="883">
        <v>1</v>
      </c>
      <c r="BM176" s="890">
        <v>0</v>
      </c>
      <c r="BN176" s="958">
        <v>0</v>
      </c>
      <c r="BO176" s="959">
        <v>18</v>
      </c>
      <c r="BP176" s="1018">
        <f t="shared" ca="1" si="236"/>
        <v>121.5</v>
      </c>
      <c r="BQ176" s="1018">
        <f t="shared" ca="1" si="237"/>
        <v>287.05844999999999</v>
      </c>
      <c r="BR176" s="1018">
        <f t="shared" ca="1" si="238"/>
        <v>88.2</v>
      </c>
      <c r="BS176" s="1018">
        <f t="shared" ca="1" si="239"/>
        <v>110.2144959090909</v>
      </c>
      <c r="BT176" s="1018">
        <f t="shared" ca="1" si="240"/>
        <v>60.75</v>
      </c>
      <c r="BU176" s="1018">
        <f t="shared" ca="1" si="241"/>
        <v>18</v>
      </c>
      <c r="BV176" s="1018">
        <f t="shared" ca="1" si="242"/>
        <v>2.15</v>
      </c>
      <c r="BW176" s="1018">
        <v>0</v>
      </c>
      <c r="BX176" s="1018">
        <f t="shared" ca="1" si="243"/>
        <v>38.331278510664532</v>
      </c>
      <c r="BY176" s="1018">
        <f t="shared" ca="1" si="244"/>
        <v>169.68507434684082</v>
      </c>
      <c r="BZ176" s="1018">
        <f t="shared" ca="1" si="195"/>
        <v>15.457671537484117</v>
      </c>
      <c r="CA176" s="1018">
        <f t="shared" ca="1" si="196"/>
        <v>49.499999972774994</v>
      </c>
      <c r="CB176" s="1018">
        <f t="shared" ca="1" si="245"/>
        <v>4.5133587786259541</v>
      </c>
      <c r="CC176" s="1018">
        <f t="shared" si="197"/>
        <v>0</v>
      </c>
      <c r="CD176" s="1018">
        <f t="shared" ca="1" si="246"/>
        <v>277.48738314639041</v>
      </c>
      <c r="CE176" s="1018">
        <f t="shared" ca="1" si="250"/>
        <v>159.84189954603258</v>
      </c>
      <c r="CF176" s="1018">
        <f t="shared" ca="1" si="198"/>
        <v>13.119878480772691</v>
      </c>
      <c r="CG176" s="1018">
        <f t="shared" ca="1" si="199"/>
        <v>21844.072875347298</v>
      </c>
    </row>
    <row r="177" spans="4:85" x14ac:dyDescent="0.25">
      <c r="D177" s="375"/>
      <c r="E177" s="374"/>
      <c r="F177" s="375"/>
      <c r="G177" s="374"/>
      <c r="H177" s="375"/>
      <c r="I177" s="374"/>
      <c r="J177" s="375"/>
      <c r="K177" s="374"/>
      <c r="L177" s="374"/>
      <c r="M177" s="375" t="s">
        <v>7</v>
      </c>
      <c r="N177" s="377">
        <v>2.1276595999999998E-2</v>
      </c>
      <c r="O177" s="375" t="s">
        <v>23</v>
      </c>
      <c r="P177" s="377">
        <v>1</v>
      </c>
      <c r="Q177" s="375" t="s">
        <v>7</v>
      </c>
      <c r="R177" s="377">
        <v>1</v>
      </c>
      <c r="S177" s="375"/>
      <c r="T177" s="385">
        <v>0</v>
      </c>
      <c r="U177" s="374"/>
      <c r="V177" s="176">
        <f t="shared" si="200"/>
        <v>0</v>
      </c>
      <c r="W177" s="176">
        <f t="shared" si="247"/>
        <v>0</v>
      </c>
      <c r="X177" s="176">
        <f t="shared" si="247"/>
        <v>0</v>
      </c>
      <c r="Y177" s="34">
        <f>X177/Calculation_sheet!M$67</f>
        <v>0</v>
      </c>
      <c r="Z177" s="176">
        <f ca="1">IF(AN177&gt;0,Y177*Calculation_sheet!C$87,0)</f>
        <v>0</v>
      </c>
      <c r="AA177" s="176">
        <f t="shared" ca="1" si="248"/>
        <v>0</v>
      </c>
      <c r="AB177" s="176">
        <f ca="1">IF(AP177&gt;0,AA177*Calculation_sheet!C$94,0)</f>
        <v>0</v>
      </c>
      <c r="AC177" s="176">
        <f t="shared" ca="1" si="235"/>
        <v>0</v>
      </c>
      <c r="AD177" s="958">
        <f ca="1">AC177*Calculation_sheet!C$99</f>
        <v>0</v>
      </c>
      <c r="AE177" s="176">
        <f t="shared" ca="1" si="235"/>
        <v>0</v>
      </c>
      <c r="AF177" s="176">
        <f t="shared" ca="1" si="249"/>
        <v>0</v>
      </c>
      <c r="AG177" s="958">
        <f ca="1">AF177*User_sheet!B$77/100</f>
        <v>0</v>
      </c>
      <c r="AH177" s="313"/>
      <c r="AI177" s="886">
        <v>102</v>
      </c>
      <c r="AJ177" s="985"/>
      <c r="AK177" s="1020">
        <f t="shared" ca="1" si="194"/>
        <v>277.48738314639041</v>
      </c>
      <c r="AL177" s="954">
        <f ca="1">AK177/'102'!I$24</f>
        <v>1.0045355929684896</v>
      </c>
      <c r="AM177" s="954">
        <f ca="1">0.8*(AK177*30+'102'!D$17*0.34*30*1)</f>
        <v>9320.0345642406446</v>
      </c>
      <c r="AN177" s="954">
        <f ca="1">IF(AM177&lt;User_sheet!B$50,Y177,0)</f>
        <v>0</v>
      </c>
      <c r="AO177" s="954">
        <f ca="1">20-(User_sheet!B$57/('Freestanding '!AK177+'102'!D$17*1*0.34))</f>
        <v>5.3219428471995283</v>
      </c>
      <c r="AP177" s="954">
        <f ca="1">IF(AO177&lt;User_sheet!B$59,0,BC177*AA177)</f>
        <v>0</v>
      </c>
      <c r="AQ177" s="985"/>
      <c r="AR177" s="883">
        <v>0.47</v>
      </c>
      <c r="AS177" s="883">
        <v>2.1</v>
      </c>
      <c r="AT177" s="883">
        <v>0.89</v>
      </c>
      <c r="AU177" s="883">
        <v>2.75</v>
      </c>
      <c r="AV177" s="883">
        <v>3.3</v>
      </c>
      <c r="AW177" s="883">
        <v>11617.129718053829</v>
      </c>
      <c r="AX177" s="883">
        <v>74715.401027665983</v>
      </c>
      <c r="AY177" s="883">
        <v>79015.992973719694</v>
      </c>
      <c r="AZ177" s="883">
        <v>0</v>
      </c>
      <c r="BA177" s="883">
        <v>0</v>
      </c>
      <c r="BB177" s="883">
        <v>0.6</v>
      </c>
      <c r="BC177" s="888">
        <v>0</v>
      </c>
      <c r="BD177" s="889">
        <v>0</v>
      </c>
      <c r="BE177" s="889">
        <v>1</v>
      </c>
      <c r="BF177" s="890">
        <v>0</v>
      </c>
      <c r="BG177" s="883">
        <v>0</v>
      </c>
      <c r="BH177" s="883">
        <v>0</v>
      </c>
      <c r="BI177" s="890">
        <v>1</v>
      </c>
      <c r="BJ177" s="883">
        <v>0</v>
      </c>
      <c r="BK177" s="883">
        <v>0</v>
      </c>
      <c r="BL177" s="883">
        <v>1</v>
      </c>
      <c r="BM177" s="890">
        <v>0</v>
      </c>
      <c r="BN177" s="958">
        <v>0</v>
      </c>
      <c r="BO177" s="959">
        <v>18</v>
      </c>
      <c r="BP177" s="1018">
        <f t="shared" ca="1" si="236"/>
        <v>121.5</v>
      </c>
      <c r="BQ177" s="1018">
        <f t="shared" ca="1" si="237"/>
        <v>287.05844999999999</v>
      </c>
      <c r="BR177" s="1018">
        <f t="shared" ca="1" si="238"/>
        <v>88.2</v>
      </c>
      <c r="BS177" s="1018">
        <f t="shared" ca="1" si="239"/>
        <v>110.2144959090909</v>
      </c>
      <c r="BT177" s="1018">
        <f t="shared" ca="1" si="240"/>
        <v>60.75</v>
      </c>
      <c r="BU177" s="1018">
        <f t="shared" ca="1" si="241"/>
        <v>18</v>
      </c>
      <c r="BV177" s="1018">
        <f t="shared" ca="1" si="242"/>
        <v>2.15</v>
      </c>
      <c r="BW177" s="1018">
        <v>0</v>
      </c>
      <c r="BX177" s="1018">
        <f t="shared" ca="1" si="243"/>
        <v>38.331278510664532</v>
      </c>
      <c r="BY177" s="1018">
        <f t="shared" ca="1" si="244"/>
        <v>169.68507434684082</v>
      </c>
      <c r="BZ177" s="1018">
        <f t="shared" ca="1" si="195"/>
        <v>15.457671537484117</v>
      </c>
      <c r="CA177" s="1018">
        <f t="shared" ca="1" si="196"/>
        <v>49.499999972774994</v>
      </c>
      <c r="CB177" s="1018">
        <f t="shared" ca="1" si="245"/>
        <v>4.5133587786259541</v>
      </c>
      <c r="CC177" s="1018">
        <f t="shared" si="197"/>
        <v>0</v>
      </c>
      <c r="CD177" s="1018">
        <f t="shared" ca="1" si="246"/>
        <v>277.48738314639041</v>
      </c>
      <c r="CE177" s="1018">
        <f t="shared" ca="1" si="250"/>
        <v>159.84189954603258</v>
      </c>
      <c r="CF177" s="1018">
        <f t="shared" ca="1" si="198"/>
        <v>13.119878480772691</v>
      </c>
      <c r="CG177" s="1018">
        <f t="shared" ca="1" si="199"/>
        <v>21844.072875347298</v>
      </c>
    </row>
    <row r="178" spans="4:85" x14ac:dyDescent="0.25">
      <c r="D178" s="375"/>
      <c r="E178" s="374"/>
      <c r="F178" s="375"/>
      <c r="G178" s="374"/>
      <c r="H178" s="375"/>
      <c r="I178" s="374"/>
      <c r="J178" s="375"/>
      <c r="K178" s="375"/>
      <c r="L178" s="375"/>
      <c r="M178" s="375"/>
      <c r="N178" s="375"/>
      <c r="O178" s="375" t="s">
        <v>18</v>
      </c>
      <c r="P178" s="377">
        <v>0.15910607099999999</v>
      </c>
      <c r="Q178" s="375" t="s">
        <v>17</v>
      </c>
      <c r="R178" s="377">
        <v>1</v>
      </c>
      <c r="S178" s="375"/>
      <c r="T178" s="385">
        <v>0</v>
      </c>
      <c r="U178" s="374"/>
      <c r="V178" s="176">
        <f t="shared" si="200"/>
        <v>0</v>
      </c>
      <c r="W178" s="176">
        <f t="shared" si="247"/>
        <v>0</v>
      </c>
      <c r="X178" s="176">
        <f t="shared" si="247"/>
        <v>0</v>
      </c>
      <c r="Y178" s="34">
        <f>X178/Calculation_sheet!M$67</f>
        <v>0</v>
      </c>
      <c r="Z178" s="176">
        <f ca="1">IF(AN178&gt;0,Y178*Calculation_sheet!C$87,0)</f>
        <v>0</v>
      </c>
      <c r="AA178" s="176">
        <f t="shared" ca="1" si="248"/>
        <v>0</v>
      </c>
      <c r="AB178" s="176">
        <f ca="1">IF(AP178&gt;0,AA178*Calculation_sheet!C$94,0)</f>
        <v>0</v>
      </c>
      <c r="AC178" s="176">
        <f t="shared" ca="1" si="235"/>
        <v>0</v>
      </c>
      <c r="AD178" s="958">
        <f ca="1">AC178*Calculation_sheet!C$99</f>
        <v>0</v>
      </c>
      <c r="AE178" s="176">
        <f t="shared" ca="1" si="235"/>
        <v>0</v>
      </c>
      <c r="AF178" s="176">
        <f t="shared" ca="1" si="249"/>
        <v>0</v>
      </c>
      <c r="AG178" s="958">
        <f ca="1">AF178*User_sheet!B$77/100</f>
        <v>0</v>
      </c>
      <c r="AH178" s="313"/>
      <c r="AI178" s="886">
        <v>102</v>
      </c>
      <c r="AJ178" s="985"/>
      <c r="AK178" s="1020">
        <f t="shared" ca="1" si="194"/>
        <v>277.48738314639041</v>
      </c>
      <c r="AL178" s="954">
        <f ca="1">AK178/'102'!I$24</f>
        <v>1.0045355929684896</v>
      </c>
      <c r="AM178" s="954">
        <f ca="1">0.8*(AK178*30+'102'!D$17*0.34*30*1)</f>
        <v>9320.0345642406446</v>
      </c>
      <c r="AN178" s="954">
        <f ca="1">IF(AM178&lt;User_sheet!B$50,Y178,0)</f>
        <v>0</v>
      </c>
      <c r="AO178" s="954">
        <f ca="1">20-(User_sheet!B$57/('Freestanding '!AK178+'102'!D$17*1*0.34))</f>
        <v>5.3219428471995283</v>
      </c>
      <c r="AP178" s="954">
        <f ca="1">IF(AO178&lt;User_sheet!B$59,0,BC178*AA178)</f>
        <v>0</v>
      </c>
      <c r="AQ178" s="985"/>
      <c r="AR178" s="883">
        <v>0.47</v>
      </c>
      <c r="AS178" s="883">
        <v>2.1</v>
      </c>
      <c r="AT178" s="883">
        <v>0.89</v>
      </c>
      <c r="AU178" s="883">
        <v>2.75</v>
      </c>
      <c r="AV178" s="883">
        <v>3.3</v>
      </c>
      <c r="AW178" s="883">
        <v>11617.129718053829</v>
      </c>
      <c r="AX178" s="883">
        <v>74715.401027665983</v>
      </c>
      <c r="AY178" s="883">
        <v>79015.992973719694</v>
      </c>
      <c r="AZ178" s="883">
        <v>0</v>
      </c>
      <c r="BA178" s="883">
        <v>0</v>
      </c>
      <c r="BB178" s="883">
        <v>0.6</v>
      </c>
      <c r="BC178" s="888">
        <v>0</v>
      </c>
      <c r="BD178" s="889">
        <v>0</v>
      </c>
      <c r="BE178" s="889">
        <v>0</v>
      </c>
      <c r="BF178" s="890">
        <v>1</v>
      </c>
      <c r="BG178" s="883">
        <v>1</v>
      </c>
      <c r="BH178" s="883">
        <v>0</v>
      </c>
      <c r="BI178" s="890">
        <v>0</v>
      </c>
      <c r="BJ178" s="883">
        <v>0</v>
      </c>
      <c r="BK178" s="883">
        <v>0</v>
      </c>
      <c r="BL178" s="883">
        <v>0</v>
      </c>
      <c r="BM178" s="890">
        <v>1</v>
      </c>
      <c r="BN178" s="958">
        <v>0</v>
      </c>
      <c r="BO178" s="959">
        <v>18</v>
      </c>
      <c r="BP178" s="1018">
        <f t="shared" ca="1" si="236"/>
        <v>121.5</v>
      </c>
      <c r="BQ178" s="1018">
        <f t="shared" ca="1" si="237"/>
        <v>287.05844999999999</v>
      </c>
      <c r="BR178" s="1018">
        <f t="shared" ca="1" si="238"/>
        <v>88.2</v>
      </c>
      <c r="BS178" s="1018">
        <f t="shared" ca="1" si="239"/>
        <v>110.2144959090909</v>
      </c>
      <c r="BT178" s="1018">
        <f t="shared" ca="1" si="240"/>
        <v>60.75</v>
      </c>
      <c r="BU178" s="1018">
        <f t="shared" ca="1" si="241"/>
        <v>18</v>
      </c>
      <c r="BV178" s="1018">
        <f t="shared" ca="1" si="242"/>
        <v>2.15</v>
      </c>
      <c r="BW178" s="1018">
        <v>0</v>
      </c>
      <c r="BX178" s="1018">
        <f t="shared" ca="1" si="243"/>
        <v>38.331278510664532</v>
      </c>
      <c r="BY178" s="1018">
        <f t="shared" ca="1" si="244"/>
        <v>169.68507434684082</v>
      </c>
      <c r="BZ178" s="1018">
        <f t="shared" ca="1" si="195"/>
        <v>15.457671537484117</v>
      </c>
      <c r="CA178" s="1018">
        <f t="shared" ca="1" si="196"/>
        <v>49.499999972774994</v>
      </c>
      <c r="CB178" s="1018">
        <f t="shared" ca="1" si="245"/>
        <v>4.5133587786259541</v>
      </c>
      <c r="CC178" s="1018">
        <f t="shared" si="197"/>
        <v>0</v>
      </c>
      <c r="CD178" s="1018">
        <f t="shared" ca="1" si="246"/>
        <v>277.48738314639041</v>
      </c>
      <c r="CE178" s="1018">
        <f t="shared" ca="1" si="250"/>
        <v>159.84189954603258</v>
      </c>
      <c r="CF178" s="1018">
        <f t="shared" ca="1" si="198"/>
        <v>13.119878480772691</v>
      </c>
      <c r="CG178" s="1018">
        <f t="shared" ca="1" si="199"/>
        <v>21844.072875347298</v>
      </c>
    </row>
    <row r="179" spans="4:85" x14ac:dyDescent="0.25">
      <c r="D179" s="375"/>
      <c r="E179" s="374"/>
      <c r="F179" s="375"/>
      <c r="G179" s="374"/>
      <c r="H179" s="375"/>
      <c r="I179" s="374"/>
      <c r="J179" s="375"/>
      <c r="K179" s="378" t="s">
        <v>12</v>
      </c>
      <c r="L179" s="379">
        <v>0</v>
      </c>
      <c r="M179" s="375" t="s">
        <v>17</v>
      </c>
      <c r="N179" s="377">
        <v>8.5106382999999994E-2</v>
      </c>
      <c r="O179" s="375" t="s">
        <v>19</v>
      </c>
      <c r="P179" s="377">
        <v>0.84089392900000004</v>
      </c>
      <c r="Q179" s="375" t="s">
        <v>17</v>
      </c>
      <c r="R179" s="377">
        <v>1</v>
      </c>
      <c r="S179" s="375"/>
      <c r="T179" s="385">
        <v>0</v>
      </c>
      <c r="U179" s="374"/>
      <c r="V179" s="176">
        <f t="shared" si="200"/>
        <v>0</v>
      </c>
      <c r="W179" s="176">
        <f t="shared" si="247"/>
        <v>0</v>
      </c>
      <c r="X179" s="176">
        <f t="shared" si="247"/>
        <v>0</v>
      </c>
      <c r="Y179" s="34">
        <f>X179/Calculation_sheet!M$67</f>
        <v>0</v>
      </c>
      <c r="Z179" s="176">
        <f ca="1">IF(AN179&gt;0,Y179*Calculation_sheet!C$87,0)</f>
        <v>0</v>
      </c>
      <c r="AA179" s="176">
        <f t="shared" ca="1" si="248"/>
        <v>0</v>
      </c>
      <c r="AB179" s="176">
        <f ca="1">IF(AP179&gt;0,AA179*Calculation_sheet!C$94,0)</f>
        <v>0</v>
      </c>
      <c r="AC179" s="176">
        <f t="shared" ca="1" si="235"/>
        <v>0</v>
      </c>
      <c r="AD179" s="958">
        <f ca="1">AC179*Calculation_sheet!C$99</f>
        <v>0</v>
      </c>
      <c r="AE179" s="176">
        <f t="shared" ca="1" si="235"/>
        <v>0</v>
      </c>
      <c r="AF179" s="176">
        <f t="shared" ca="1" si="249"/>
        <v>0</v>
      </c>
      <c r="AG179" s="958">
        <f ca="1">AF179*User_sheet!B$77/100</f>
        <v>0</v>
      </c>
      <c r="AH179" s="313"/>
      <c r="AI179" s="886">
        <v>102</v>
      </c>
      <c r="AJ179" s="985"/>
      <c r="AK179" s="1020">
        <f t="shared" ca="1" si="194"/>
        <v>277.48738314639041</v>
      </c>
      <c r="AL179" s="954">
        <f ca="1">AK179/'102'!I$24</f>
        <v>1.0045355929684896</v>
      </c>
      <c r="AM179" s="954">
        <f ca="1">0.8*(AK179*30+'102'!D$17*0.34*30*1)</f>
        <v>9320.0345642406446</v>
      </c>
      <c r="AN179" s="954">
        <f ca="1">IF(AM179&lt;User_sheet!B$50,Y179,0)</f>
        <v>0</v>
      </c>
      <c r="AO179" s="954">
        <f ca="1">20-(User_sheet!B$57/('Freestanding '!AK179+'102'!D$17*1*0.34))</f>
        <v>5.3219428471995283</v>
      </c>
      <c r="AP179" s="954">
        <f ca="1">IF(AO179&lt;User_sheet!B$59,0,BC179*AA179)</f>
        <v>0</v>
      </c>
      <c r="AQ179" s="985"/>
      <c r="AR179" s="883">
        <v>0.47</v>
      </c>
      <c r="AS179" s="883">
        <v>2.1</v>
      </c>
      <c r="AT179" s="883">
        <v>0.89</v>
      </c>
      <c r="AU179" s="883">
        <v>2.75</v>
      </c>
      <c r="AV179" s="883">
        <v>3.3</v>
      </c>
      <c r="AW179" s="883">
        <v>11617.129718053829</v>
      </c>
      <c r="AX179" s="883">
        <v>74715.401027665983</v>
      </c>
      <c r="AY179" s="883">
        <v>79015.992973719694</v>
      </c>
      <c r="AZ179" s="883">
        <v>0</v>
      </c>
      <c r="BA179" s="883">
        <v>0</v>
      </c>
      <c r="BB179" s="883">
        <v>0.6</v>
      </c>
      <c r="BC179" s="888">
        <v>0</v>
      </c>
      <c r="BD179" s="889">
        <v>0</v>
      </c>
      <c r="BE179" s="889">
        <v>0</v>
      </c>
      <c r="BF179" s="890">
        <v>1</v>
      </c>
      <c r="BG179" s="883">
        <v>0</v>
      </c>
      <c r="BH179" s="883">
        <v>1</v>
      </c>
      <c r="BI179" s="890">
        <v>0</v>
      </c>
      <c r="BJ179" s="883">
        <v>0</v>
      </c>
      <c r="BK179" s="883">
        <v>0</v>
      </c>
      <c r="BL179" s="883">
        <v>0</v>
      </c>
      <c r="BM179" s="890">
        <v>1</v>
      </c>
      <c r="BN179" s="958">
        <v>0</v>
      </c>
      <c r="BO179" s="959">
        <v>18</v>
      </c>
      <c r="BP179" s="1018">
        <f t="shared" ca="1" si="236"/>
        <v>121.5</v>
      </c>
      <c r="BQ179" s="1018">
        <f t="shared" ca="1" si="237"/>
        <v>287.05844999999999</v>
      </c>
      <c r="BR179" s="1018">
        <f t="shared" ca="1" si="238"/>
        <v>88.2</v>
      </c>
      <c r="BS179" s="1018">
        <f t="shared" ca="1" si="239"/>
        <v>110.2144959090909</v>
      </c>
      <c r="BT179" s="1018">
        <f t="shared" ca="1" si="240"/>
        <v>60.75</v>
      </c>
      <c r="BU179" s="1018">
        <f t="shared" ca="1" si="241"/>
        <v>18</v>
      </c>
      <c r="BV179" s="1018">
        <f t="shared" ca="1" si="242"/>
        <v>2.15</v>
      </c>
      <c r="BW179" s="1018">
        <v>0</v>
      </c>
      <c r="BX179" s="1018">
        <f t="shared" ca="1" si="243"/>
        <v>38.331278510664532</v>
      </c>
      <c r="BY179" s="1018">
        <f t="shared" ca="1" si="244"/>
        <v>169.68507434684082</v>
      </c>
      <c r="BZ179" s="1018">
        <f t="shared" ca="1" si="195"/>
        <v>15.457671537484117</v>
      </c>
      <c r="CA179" s="1018">
        <f t="shared" ca="1" si="196"/>
        <v>49.499999972774994</v>
      </c>
      <c r="CB179" s="1018">
        <f t="shared" ca="1" si="245"/>
        <v>4.5133587786259541</v>
      </c>
      <c r="CC179" s="1018">
        <f t="shared" si="197"/>
        <v>0</v>
      </c>
      <c r="CD179" s="1018">
        <f t="shared" ca="1" si="246"/>
        <v>277.48738314639041</v>
      </c>
      <c r="CE179" s="1018">
        <f t="shared" ca="1" si="250"/>
        <v>159.84189954603258</v>
      </c>
      <c r="CF179" s="1018">
        <f t="shared" ca="1" si="198"/>
        <v>13.119878480772691</v>
      </c>
      <c r="CG179" s="1018">
        <f t="shared" ca="1" si="199"/>
        <v>21844.072875347298</v>
      </c>
    </row>
    <row r="180" spans="4:85" s="14" customFormat="1" x14ac:dyDescent="0.25">
      <c r="D180" s="383"/>
      <c r="E180" s="382"/>
      <c r="F180" s="383"/>
      <c r="G180" s="382"/>
      <c r="H180" s="383"/>
      <c r="I180" s="382"/>
      <c r="J180" s="383"/>
      <c r="K180" s="384"/>
      <c r="L180" s="383"/>
      <c r="M180" s="383"/>
      <c r="N180" s="383"/>
      <c r="O180" s="383"/>
      <c r="P180" s="383"/>
      <c r="Q180" s="383"/>
      <c r="R180" s="383"/>
      <c r="S180" s="383"/>
      <c r="T180" s="386"/>
      <c r="U180" s="382"/>
      <c r="V180" s="292"/>
      <c r="W180" s="292"/>
      <c r="X180" s="292"/>
      <c r="Y180" s="277"/>
      <c r="Z180" s="292"/>
      <c r="AA180" s="292"/>
      <c r="AB180" s="292"/>
      <c r="AC180" s="292"/>
      <c r="AD180" s="277"/>
      <c r="AE180" s="292"/>
      <c r="AF180" s="292"/>
      <c r="AG180" s="277"/>
      <c r="AH180" s="313"/>
      <c r="AI180" s="887"/>
      <c r="AJ180" s="985"/>
      <c r="AK180" s="1020">
        <f t="shared" si="194"/>
        <v>0</v>
      </c>
      <c r="AL180" s="941"/>
      <c r="AM180" s="941"/>
      <c r="AN180" s="941"/>
      <c r="AO180" s="941"/>
      <c r="AP180" s="941"/>
      <c r="AQ180" s="985"/>
      <c r="AR180" s="887"/>
      <c r="AS180" s="887"/>
      <c r="AT180" s="887"/>
      <c r="AU180" s="887"/>
      <c r="AV180" s="887"/>
      <c r="AW180" s="887"/>
      <c r="AX180" s="887"/>
      <c r="AY180" s="887"/>
      <c r="AZ180" s="887"/>
      <c r="BA180" s="887"/>
      <c r="BB180" s="887"/>
      <c r="BC180" s="45"/>
      <c r="BD180" s="277"/>
      <c r="BE180" s="277"/>
      <c r="BF180" s="49"/>
      <c r="BG180" s="887"/>
      <c r="BH180" s="887"/>
      <c r="BI180" s="49"/>
      <c r="BJ180" s="887"/>
      <c r="BK180" s="887"/>
      <c r="BL180" s="887"/>
      <c r="BM180" s="49"/>
      <c r="BN180" s="277"/>
      <c r="BO180" s="49"/>
      <c r="BP180" s="928"/>
      <c r="BQ180" s="928"/>
      <c r="BR180" s="928"/>
      <c r="BS180" s="928"/>
      <c r="BT180" s="928"/>
      <c r="BU180" s="928"/>
      <c r="BV180" s="928"/>
      <c r="BW180" s="928"/>
      <c r="BX180" s="928"/>
      <c r="BY180" s="928"/>
      <c r="BZ180" s="928"/>
      <c r="CA180" s="928"/>
      <c r="CB180" s="928"/>
      <c r="CC180" s="928"/>
      <c r="CD180" s="928"/>
      <c r="CE180" s="928"/>
      <c r="CF180" s="928"/>
      <c r="CG180" s="928"/>
    </row>
    <row r="181" spans="4:85" x14ac:dyDescent="0.25">
      <c r="D181" s="375"/>
      <c r="E181" s="374"/>
      <c r="F181" s="375"/>
      <c r="G181" s="374"/>
      <c r="H181" s="375"/>
      <c r="I181" s="374"/>
      <c r="J181" s="375"/>
      <c r="K181" s="378"/>
      <c r="L181" s="380"/>
      <c r="M181" s="375"/>
      <c r="N181" s="375"/>
      <c r="O181" s="375"/>
      <c r="P181" s="375"/>
      <c r="Q181" s="375" t="s">
        <v>16</v>
      </c>
      <c r="R181" s="377">
        <v>0.73860000000000003</v>
      </c>
      <c r="S181" s="375"/>
      <c r="T181" s="385">
        <v>1.7060351484319881E-3</v>
      </c>
      <c r="U181" s="374"/>
      <c r="V181" s="176">
        <f t="shared" si="200"/>
        <v>1.7060351484319881E-3</v>
      </c>
      <c r="W181" s="176">
        <f>V181</f>
        <v>1.7060351484319881E-3</v>
      </c>
      <c r="X181" s="176">
        <f>W181</f>
        <v>1.7060351484319881E-3</v>
      </c>
      <c r="Y181" s="34">
        <f>X181/Calculation_sheet!M$67</f>
        <v>1.7060700307579397E-3</v>
      </c>
      <c r="Z181" s="176">
        <f ca="1">IF(AN181&gt;0,Y181*Calculation_sheet!C$87,0)</f>
        <v>0</v>
      </c>
      <c r="AA181" s="176">
        <f ca="1">Y181-Z181</f>
        <v>1.7060700307579397E-3</v>
      </c>
      <c r="AB181" s="176">
        <f ca="1">IF(AP181&gt;0,AA181*Calculation_sheet!C$94,0)</f>
        <v>0</v>
      </c>
      <c r="AC181" s="176">
        <f t="shared" ref="AC181:AE191" ca="1" si="251">AA181-AB181</f>
        <v>1.7060700307579397E-3</v>
      </c>
      <c r="AD181" s="958">
        <f ca="1">AC181*Calculation_sheet!C$99</f>
        <v>1.0236420184547637E-3</v>
      </c>
      <c r="AE181" s="176">
        <f t="shared" ca="1" si="251"/>
        <v>6.8242801230317595E-4</v>
      </c>
      <c r="AF181" s="176">
        <f ca="1">Y181-AB181</f>
        <v>1.7060700307579397E-3</v>
      </c>
      <c r="AG181" s="958">
        <f ca="1">AF181*User_sheet!B$77/100</f>
        <v>0</v>
      </c>
      <c r="AH181" s="313"/>
      <c r="AI181" s="886">
        <v>102</v>
      </c>
      <c r="AJ181" s="985"/>
      <c r="AK181" s="1020">
        <f t="shared" ca="1" si="194"/>
        <v>307.81242668865497</v>
      </c>
      <c r="AL181" s="954">
        <f ca="1">AK181/'102'!I$24</f>
        <v>1.1143156674753483</v>
      </c>
      <c r="AM181" s="954">
        <f ca="1">0.8*(AK181*30+'102'!D$17*0.34*30*1)</f>
        <v>10047.835609254993</v>
      </c>
      <c r="AN181" s="954">
        <f ca="1">IF(AM181&lt;User_sheet!B$50,Y181,0)</f>
        <v>0</v>
      </c>
      <c r="AO181" s="954">
        <f ca="1">20-(User_sheet!B$57/('Freestanding '!AK181+'102'!D$17*1*0.34))</f>
        <v>6.3851275717534186</v>
      </c>
      <c r="AP181" s="954">
        <f ca="1">IF(AO181&lt;User_sheet!B$59,0,BC181*AA181)</f>
        <v>0</v>
      </c>
      <c r="AQ181" s="985"/>
      <c r="AR181" s="883">
        <v>0.47</v>
      </c>
      <c r="AS181" s="883">
        <v>2.1</v>
      </c>
      <c r="AT181" s="883">
        <v>3.78</v>
      </c>
      <c r="AU181" s="883">
        <v>2.75</v>
      </c>
      <c r="AV181" s="883">
        <v>3.3</v>
      </c>
      <c r="AW181" s="883">
        <v>11617.129718053829</v>
      </c>
      <c r="AX181" s="883">
        <v>74715.401027665983</v>
      </c>
      <c r="AY181" s="883">
        <v>67352.647733737584</v>
      </c>
      <c r="AZ181" s="883">
        <v>0</v>
      </c>
      <c r="BA181" s="883">
        <v>0</v>
      </c>
      <c r="BB181" s="883">
        <v>0.6</v>
      </c>
      <c r="BC181" s="888">
        <v>1</v>
      </c>
      <c r="BD181" s="889">
        <v>0</v>
      </c>
      <c r="BE181" s="889">
        <v>0</v>
      </c>
      <c r="BF181" s="890">
        <v>0</v>
      </c>
      <c r="BG181" s="883">
        <v>1</v>
      </c>
      <c r="BH181" s="883">
        <v>0</v>
      </c>
      <c r="BI181" s="890">
        <v>0</v>
      </c>
      <c r="BJ181" s="883">
        <v>1</v>
      </c>
      <c r="BK181" s="883">
        <v>0</v>
      </c>
      <c r="BL181" s="883">
        <v>0</v>
      </c>
      <c r="BM181" s="890">
        <v>0</v>
      </c>
      <c r="BN181" s="958">
        <v>0</v>
      </c>
      <c r="BO181" s="959">
        <v>18</v>
      </c>
      <c r="BP181" s="1018">
        <f t="shared" ref="BP181:BP191" ca="1" si="252">INDIRECT("'"&amp;AI181&amp;"'!"&amp;"B2")</f>
        <v>121.5</v>
      </c>
      <c r="BQ181" s="1018">
        <f t="shared" ref="BQ181:BQ191" ca="1" si="253">INDIRECT("'"&amp;AI181&amp;"'!"&amp;"C12")+INDIRECT("'"&amp;AI181&amp;"'!"&amp;"C13")+INDIRECT("'"&amp;AI181&amp;"'!"&amp;"C14")+INDIRECT("'"&amp;AI181&amp;"'!"&amp;"C15")+INDIRECT("'"&amp;AI181&amp;"'!"&amp;"C17")</f>
        <v>287.05844999999999</v>
      </c>
      <c r="BR181" s="1018">
        <f t="shared" ref="BR181:BR191" ca="1" si="254">INDIRECT("'"&amp;AI181&amp;"'!"&amp;"G5")</f>
        <v>88.2</v>
      </c>
      <c r="BS181" s="1018">
        <f t="shared" ref="BS181:BS191" ca="1" si="255">INDIRECT("'"&amp;AI181&amp;"'!"&amp;"G4")</f>
        <v>110.2144959090909</v>
      </c>
      <c r="BT181" s="1018">
        <f t="shared" ref="BT181:BT191" ca="1" si="256">INDIRECT("'"&amp;AI181&amp;"'!"&amp;"G6")</f>
        <v>60.75</v>
      </c>
      <c r="BU181" s="1018">
        <f t="shared" ref="BU181:BU191" ca="1" si="257">INDIRECT("'"&amp;AI181&amp;"'!"&amp;"G2")</f>
        <v>18</v>
      </c>
      <c r="BV181" s="1018">
        <f t="shared" ref="BV181:BV191" ca="1" si="258">INDIRECT("'"&amp;AI181&amp;"'!"&amp;"G3")</f>
        <v>2.15</v>
      </c>
      <c r="BW181" s="1018">
        <v>0</v>
      </c>
      <c r="BX181" s="1018">
        <f t="shared" ref="BX181:BX191" ca="1" si="259">IF(BR181=0,0,1/(1/(BR181*$BY$3)+1/(BR181*AR181)+1/(BR181*$BY$4)))</f>
        <v>38.331278510664532</v>
      </c>
      <c r="BY181" s="1018">
        <f t="shared" ref="BY181:BY191" ca="1" si="260">IF(BS181=0,0,1/(1/(BS181*$BY$3)+1/(BS181*AS181)+1/(BS181*$BY$4)))</f>
        <v>169.68507434684082</v>
      </c>
      <c r="BZ181" s="1018">
        <f t="shared" ca="1" si="195"/>
        <v>45.782715079748669</v>
      </c>
      <c r="CA181" s="1018">
        <f t="shared" ca="1" si="196"/>
        <v>49.499999972774994</v>
      </c>
      <c r="CB181" s="1018">
        <f t="shared" ref="CB181:CB191" ca="1" si="261">IF(BV181=0,0,1/(1/(BV181*$BY$3)+1/(BV181*AV181)+1/(BV181*$BY$4)))</f>
        <v>4.5133587786259541</v>
      </c>
      <c r="CC181" s="1018">
        <f t="shared" si="197"/>
        <v>0</v>
      </c>
      <c r="CD181" s="1018">
        <f t="shared" ref="CD181:CD191" ca="1" si="262">SUM(BX181:CC181)+(BR181+BS181+BT181+BU181+BV181)*BN181</f>
        <v>307.81242668865497</v>
      </c>
      <c r="CE181" s="1018">
        <f ca="1">0.34*BO181*(1/25)^0.66*(BR181+BS181+BU181+BV181)</f>
        <v>159.84189954603258</v>
      </c>
      <c r="CF181" s="1018">
        <f t="shared" ca="1" si="198"/>
        <v>14.029629787040626</v>
      </c>
      <c r="CG181" s="1018">
        <f t="shared" ca="1" si="199"/>
        <v>23358.772410231162</v>
      </c>
    </row>
    <row r="182" spans="4:85" x14ac:dyDescent="0.25">
      <c r="D182" s="375"/>
      <c r="E182" s="374"/>
      <c r="F182" s="375"/>
      <c r="G182" s="374"/>
      <c r="H182" s="375"/>
      <c r="I182" s="374"/>
      <c r="J182" s="375"/>
      <c r="K182" s="378"/>
      <c r="L182" s="380"/>
      <c r="M182" s="375"/>
      <c r="N182" s="375"/>
      <c r="O182" s="375" t="s">
        <v>18</v>
      </c>
      <c r="P182" s="377">
        <v>0.62953995200000001</v>
      </c>
      <c r="Q182" s="375" t="s">
        <v>7</v>
      </c>
      <c r="R182" s="377">
        <v>0.26140000000000002</v>
      </c>
      <c r="S182" s="375"/>
      <c r="T182" s="385">
        <v>6.0378768995413186E-4</v>
      </c>
      <c r="U182" s="374"/>
      <c r="V182" s="176">
        <f t="shared" si="200"/>
        <v>6.0378768995413186E-4</v>
      </c>
      <c r="W182" s="176">
        <f t="shared" ref="W182:X191" si="263">V182</f>
        <v>6.0378768995413186E-4</v>
      </c>
      <c r="X182" s="176">
        <f t="shared" si="263"/>
        <v>6.0378768995413186E-4</v>
      </c>
      <c r="Y182" s="34">
        <f>X182/Calculation_sheet!M$67</f>
        <v>6.038000352560594E-4</v>
      </c>
      <c r="Z182" s="176">
        <f ca="1">IF(AN182&gt;0,Y182*Calculation_sheet!C$87,0)</f>
        <v>0</v>
      </c>
      <c r="AA182" s="176">
        <f t="shared" ref="AA182:AA191" ca="1" si="264">Y182-Z182</f>
        <v>6.038000352560594E-4</v>
      </c>
      <c r="AB182" s="176">
        <f ca="1">IF(AP182&gt;0,AA182*Calculation_sheet!C$94,0)</f>
        <v>0</v>
      </c>
      <c r="AC182" s="176">
        <f t="shared" ca="1" si="251"/>
        <v>6.038000352560594E-4</v>
      </c>
      <c r="AD182" s="958">
        <f ca="1">AC182*Calculation_sheet!C$99</f>
        <v>3.6228002115363563E-4</v>
      </c>
      <c r="AE182" s="176">
        <f t="shared" ca="1" si="251"/>
        <v>2.4152001410242377E-4</v>
      </c>
      <c r="AF182" s="176">
        <f t="shared" ref="AF182:AF191" ca="1" si="265">Y182-AB182</f>
        <v>6.038000352560594E-4</v>
      </c>
      <c r="AG182" s="958">
        <f ca="1">AF182*User_sheet!B$77/100</f>
        <v>0</v>
      </c>
      <c r="AH182" s="313"/>
      <c r="AI182" s="886">
        <v>102</v>
      </c>
      <c r="AJ182" s="985"/>
      <c r="AK182" s="1020">
        <f t="shared" ca="1" si="194"/>
        <v>307.81242668865497</v>
      </c>
      <c r="AL182" s="954">
        <f ca="1">AK182/'102'!I$24</f>
        <v>1.1143156674753483</v>
      </c>
      <c r="AM182" s="954">
        <f ca="1">0.8*(AK182*30+'102'!D$17*0.34*30*1)</f>
        <v>10047.835609254993</v>
      </c>
      <c r="AN182" s="954">
        <f ca="1">IF(AM182&lt;User_sheet!B$50,Y182,0)</f>
        <v>0</v>
      </c>
      <c r="AO182" s="954">
        <f ca="1">20-(User_sheet!B$57/('Freestanding '!AK182+'102'!D$17*1*0.34))</f>
        <v>6.3851275717534186</v>
      </c>
      <c r="AP182" s="954">
        <f ca="1">IF(AO182&lt;User_sheet!B$59,0,BC182*AA182)</f>
        <v>0</v>
      </c>
      <c r="AQ182" s="985"/>
      <c r="AR182" s="883">
        <v>0.47</v>
      </c>
      <c r="AS182" s="883">
        <v>2.1</v>
      </c>
      <c r="AT182" s="883">
        <v>3.78</v>
      </c>
      <c r="AU182" s="883">
        <v>2.75</v>
      </c>
      <c r="AV182" s="883">
        <v>3.3</v>
      </c>
      <c r="AW182" s="883">
        <v>11617.129718053829</v>
      </c>
      <c r="AX182" s="883">
        <v>74715.401027665983</v>
      </c>
      <c r="AY182" s="883">
        <v>67352.647733737584</v>
      </c>
      <c r="AZ182" s="883">
        <v>0</v>
      </c>
      <c r="BA182" s="883">
        <v>0</v>
      </c>
      <c r="BB182" s="883">
        <v>0.6</v>
      </c>
      <c r="BC182" s="888">
        <v>1</v>
      </c>
      <c r="BD182" s="889">
        <v>0</v>
      </c>
      <c r="BE182" s="889">
        <v>0</v>
      </c>
      <c r="BF182" s="890">
        <v>0</v>
      </c>
      <c r="BG182" s="883">
        <v>1</v>
      </c>
      <c r="BH182" s="883">
        <v>0</v>
      </c>
      <c r="BI182" s="890">
        <v>0</v>
      </c>
      <c r="BJ182" s="883">
        <v>0</v>
      </c>
      <c r="BK182" s="883">
        <v>0</v>
      </c>
      <c r="BL182" s="883">
        <v>1</v>
      </c>
      <c r="BM182" s="890">
        <v>0</v>
      </c>
      <c r="BN182" s="958">
        <v>0</v>
      </c>
      <c r="BO182" s="959">
        <v>18</v>
      </c>
      <c r="BP182" s="1018">
        <f t="shared" ca="1" si="252"/>
        <v>121.5</v>
      </c>
      <c r="BQ182" s="1018">
        <f t="shared" ca="1" si="253"/>
        <v>287.05844999999999</v>
      </c>
      <c r="BR182" s="1018">
        <f t="shared" ca="1" si="254"/>
        <v>88.2</v>
      </c>
      <c r="BS182" s="1018">
        <f t="shared" ca="1" si="255"/>
        <v>110.2144959090909</v>
      </c>
      <c r="BT182" s="1018">
        <f t="shared" ca="1" si="256"/>
        <v>60.75</v>
      </c>
      <c r="BU182" s="1018">
        <f t="shared" ca="1" si="257"/>
        <v>18</v>
      </c>
      <c r="BV182" s="1018">
        <f t="shared" ca="1" si="258"/>
        <v>2.15</v>
      </c>
      <c r="BW182" s="1018">
        <v>0</v>
      </c>
      <c r="BX182" s="1018">
        <f t="shared" ca="1" si="259"/>
        <v>38.331278510664532</v>
      </c>
      <c r="BY182" s="1018">
        <f t="shared" ca="1" si="260"/>
        <v>169.68507434684082</v>
      </c>
      <c r="BZ182" s="1018">
        <f t="shared" ca="1" si="195"/>
        <v>45.782715079748669</v>
      </c>
      <c r="CA182" s="1018">
        <f t="shared" ca="1" si="196"/>
        <v>49.499999972774994</v>
      </c>
      <c r="CB182" s="1018">
        <f t="shared" ca="1" si="261"/>
        <v>4.5133587786259541</v>
      </c>
      <c r="CC182" s="1018">
        <f t="shared" si="197"/>
        <v>0</v>
      </c>
      <c r="CD182" s="1018">
        <f t="shared" ca="1" si="262"/>
        <v>307.81242668865497</v>
      </c>
      <c r="CE182" s="1018">
        <f t="shared" ref="CE182:CE191" ca="1" si="266">0.34*BO182*(1/25)^0.66*(BR182+BS182+BU182+BV182)</f>
        <v>159.84189954603258</v>
      </c>
      <c r="CF182" s="1018">
        <f t="shared" ca="1" si="198"/>
        <v>14.029629787040626</v>
      </c>
      <c r="CG182" s="1018">
        <f t="shared" ca="1" si="199"/>
        <v>23358.772410231162</v>
      </c>
    </row>
    <row r="183" spans="4:85" x14ac:dyDescent="0.25">
      <c r="D183" s="375"/>
      <c r="E183" s="374"/>
      <c r="F183" s="375"/>
      <c r="G183" s="374"/>
      <c r="H183" s="375"/>
      <c r="I183" s="374"/>
      <c r="J183" s="375"/>
      <c r="K183" s="378"/>
      <c r="L183" s="380"/>
      <c r="M183" s="375"/>
      <c r="N183" s="375"/>
      <c r="O183" s="375"/>
      <c r="P183" s="375"/>
      <c r="Q183" s="375" t="s">
        <v>16</v>
      </c>
      <c r="R183" s="377">
        <v>0.73860000000000003</v>
      </c>
      <c r="S183" s="375"/>
      <c r="T183" s="385">
        <v>1.0039360662813046E-3</v>
      </c>
      <c r="U183" s="374"/>
      <c r="V183" s="176">
        <f t="shared" si="200"/>
        <v>1.0039360662813046E-3</v>
      </c>
      <c r="W183" s="176">
        <f t="shared" si="263"/>
        <v>1.0039360662813046E-3</v>
      </c>
      <c r="X183" s="176">
        <f t="shared" si="263"/>
        <v>1.0039360662813046E-3</v>
      </c>
      <c r="Y183" s="34">
        <f>X183/Calculation_sheet!M$67</f>
        <v>1.0039565931884615E-3</v>
      </c>
      <c r="Z183" s="176">
        <f ca="1">IF(AN183&gt;0,Y183*Calculation_sheet!C$87,0)</f>
        <v>0</v>
      </c>
      <c r="AA183" s="176">
        <f t="shared" ca="1" si="264"/>
        <v>1.0039565931884615E-3</v>
      </c>
      <c r="AB183" s="176">
        <f ca="1">IF(AP183&gt;0,AA183*Calculation_sheet!C$94,0)</f>
        <v>0</v>
      </c>
      <c r="AC183" s="176">
        <f t="shared" ca="1" si="251"/>
        <v>1.0039565931884615E-3</v>
      </c>
      <c r="AD183" s="958">
        <f ca="1">AC183*Calculation_sheet!C$99</f>
        <v>6.023739559130769E-4</v>
      </c>
      <c r="AE183" s="176">
        <f t="shared" ca="1" si="251"/>
        <v>4.0158263727538464E-4</v>
      </c>
      <c r="AF183" s="176">
        <f t="shared" ca="1" si="265"/>
        <v>1.0039565931884615E-3</v>
      </c>
      <c r="AG183" s="958">
        <f ca="1">AF183*User_sheet!B$77/100</f>
        <v>0</v>
      </c>
      <c r="AH183" s="313"/>
      <c r="AI183" s="886">
        <v>102</v>
      </c>
      <c r="AJ183" s="985"/>
      <c r="AK183" s="1020">
        <f t="shared" ca="1" si="194"/>
        <v>307.81242668865497</v>
      </c>
      <c r="AL183" s="954">
        <f ca="1">AK183/'102'!I$24</f>
        <v>1.1143156674753483</v>
      </c>
      <c r="AM183" s="954">
        <f ca="1">0.8*(AK183*30+'102'!D$17*0.34*30*1)</f>
        <v>10047.835609254993</v>
      </c>
      <c r="AN183" s="954">
        <f ca="1">IF(AM183&lt;User_sheet!B$50,Y183,0)</f>
        <v>0</v>
      </c>
      <c r="AO183" s="954">
        <f ca="1">20-(User_sheet!B$57/('Freestanding '!AK183+'102'!D$17*1*0.34))</f>
        <v>6.3851275717534186</v>
      </c>
      <c r="AP183" s="954">
        <f ca="1">IF(AO183&lt;User_sheet!B$59,0,BC183*AA183)</f>
        <v>0</v>
      </c>
      <c r="AQ183" s="985"/>
      <c r="AR183" s="883">
        <v>0.47</v>
      </c>
      <c r="AS183" s="883">
        <v>2.1</v>
      </c>
      <c r="AT183" s="883">
        <v>3.78</v>
      </c>
      <c r="AU183" s="883">
        <v>2.75</v>
      </c>
      <c r="AV183" s="883">
        <v>3.3</v>
      </c>
      <c r="AW183" s="883">
        <v>11617.129718053829</v>
      </c>
      <c r="AX183" s="883">
        <v>74715.401027665983</v>
      </c>
      <c r="AY183" s="883">
        <v>67352.647733737584</v>
      </c>
      <c r="AZ183" s="883">
        <v>0</v>
      </c>
      <c r="BA183" s="883">
        <v>0</v>
      </c>
      <c r="BB183" s="883">
        <v>0.6</v>
      </c>
      <c r="BC183" s="888">
        <v>1</v>
      </c>
      <c r="BD183" s="889">
        <v>0</v>
      </c>
      <c r="BE183" s="889">
        <v>0</v>
      </c>
      <c r="BF183" s="890">
        <v>0</v>
      </c>
      <c r="BG183" s="883">
        <v>0</v>
      </c>
      <c r="BH183" s="883">
        <v>1</v>
      </c>
      <c r="BI183" s="890">
        <v>0</v>
      </c>
      <c r="BJ183" s="883">
        <v>1</v>
      </c>
      <c r="BK183" s="883">
        <v>0</v>
      </c>
      <c r="BL183" s="883">
        <v>0</v>
      </c>
      <c r="BM183" s="890">
        <v>0</v>
      </c>
      <c r="BN183" s="958">
        <v>0</v>
      </c>
      <c r="BO183" s="959">
        <v>18</v>
      </c>
      <c r="BP183" s="1018">
        <f t="shared" ca="1" si="252"/>
        <v>121.5</v>
      </c>
      <c r="BQ183" s="1018">
        <f t="shared" ca="1" si="253"/>
        <v>287.05844999999999</v>
      </c>
      <c r="BR183" s="1018">
        <f t="shared" ca="1" si="254"/>
        <v>88.2</v>
      </c>
      <c r="BS183" s="1018">
        <f t="shared" ca="1" si="255"/>
        <v>110.2144959090909</v>
      </c>
      <c r="BT183" s="1018">
        <f t="shared" ca="1" si="256"/>
        <v>60.75</v>
      </c>
      <c r="BU183" s="1018">
        <f t="shared" ca="1" si="257"/>
        <v>18</v>
      </c>
      <c r="BV183" s="1018">
        <f t="shared" ca="1" si="258"/>
        <v>2.15</v>
      </c>
      <c r="BW183" s="1018">
        <v>0</v>
      </c>
      <c r="BX183" s="1018">
        <f t="shared" ca="1" si="259"/>
        <v>38.331278510664532</v>
      </c>
      <c r="BY183" s="1018">
        <f t="shared" ca="1" si="260"/>
        <v>169.68507434684082</v>
      </c>
      <c r="BZ183" s="1018">
        <f t="shared" ca="1" si="195"/>
        <v>45.782715079748669</v>
      </c>
      <c r="CA183" s="1018">
        <f t="shared" ca="1" si="196"/>
        <v>49.499999972774994</v>
      </c>
      <c r="CB183" s="1018">
        <f t="shared" ca="1" si="261"/>
        <v>4.5133587786259541</v>
      </c>
      <c r="CC183" s="1018">
        <f t="shared" si="197"/>
        <v>0</v>
      </c>
      <c r="CD183" s="1018">
        <f t="shared" ca="1" si="262"/>
        <v>307.81242668865497</v>
      </c>
      <c r="CE183" s="1018">
        <f t="shared" ca="1" si="266"/>
        <v>159.84189954603258</v>
      </c>
      <c r="CF183" s="1018">
        <f t="shared" ca="1" si="198"/>
        <v>14.029629787040626</v>
      </c>
      <c r="CG183" s="1018">
        <f t="shared" ca="1" si="199"/>
        <v>23358.772410231162</v>
      </c>
    </row>
    <row r="184" spans="4:85" x14ac:dyDescent="0.25">
      <c r="D184" s="375"/>
      <c r="E184" s="374"/>
      <c r="F184" s="375"/>
      <c r="G184" s="374"/>
      <c r="H184" s="375"/>
      <c r="I184" s="374"/>
      <c r="J184" s="375"/>
      <c r="K184" s="378"/>
      <c r="L184" s="380"/>
      <c r="M184" s="375" t="s">
        <v>16</v>
      </c>
      <c r="N184" s="377">
        <v>0.44680851100000002</v>
      </c>
      <c r="O184" s="375" t="s">
        <v>19</v>
      </c>
      <c r="P184" s="377">
        <v>0.37046004799999999</v>
      </c>
      <c r="Q184" s="375" t="s">
        <v>7</v>
      </c>
      <c r="R184" s="377">
        <v>0.26140000000000002</v>
      </c>
      <c r="S184" s="375"/>
      <c r="T184" s="385">
        <v>3.5530583228531422E-4</v>
      </c>
      <c r="U184" s="374"/>
      <c r="V184" s="176">
        <f t="shared" si="200"/>
        <v>3.5530583228531422E-4</v>
      </c>
      <c r="W184" s="176">
        <f t="shared" si="263"/>
        <v>3.5530583228531422E-4</v>
      </c>
      <c r="X184" s="176">
        <f t="shared" si="263"/>
        <v>3.5530583228531422E-4</v>
      </c>
      <c r="Y184" s="34">
        <f>X184/Calculation_sheet!M$67</f>
        <v>3.5531309702066603E-4</v>
      </c>
      <c r="Z184" s="176">
        <f ca="1">IF(AN184&gt;0,Y184*Calculation_sheet!C$87,0)</f>
        <v>0</v>
      </c>
      <c r="AA184" s="176">
        <f t="shared" ca="1" si="264"/>
        <v>3.5531309702066603E-4</v>
      </c>
      <c r="AB184" s="176">
        <f ca="1">IF(AP184&gt;0,AA184*Calculation_sheet!C$94,0)</f>
        <v>0</v>
      </c>
      <c r="AC184" s="176">
        <f t="shared" ca="1" si="251"/>
        <v>3.5531309702066603E-4</v>
      </c>
      <c r="AD184" s="958">
        <f ca="1">AC184*Calculation_sheet!C$99</f>
        <v>2.131878582123996E-4</v>
      </c>
      <c r="AE184" s="176">
        <f t="shared" ca="1" si="251"/>
        <v>1.4212523880826643E-4</v>
      </c>
      <c r="AF184" s="176">
        <f t="shared" ca="1" si="265"/>
        <v>3.5531309702066603E-4</v>
      </c>
      <c r="AG184" s="958">
        <f ca="1">AF184*User_sheet!B$77/100</f>
        <v>0</v>
      </c>
      <c r="AH184" s="313"/>
      <c r="AI184" s="886">
        <v>102</v>
      </c>
      <c r="AJ184" s="985"/>
      <c r="AK184" s="1020">
        <f t="shared" ca="1" si="194"/>
        <v>307.81242668865497</v>
      </c>
      <c r="AL184" s="954">
        <f ca="1">AK184/'102'!I$24</f>
        <v>1.1143156674753483</v>
      </c>
      <c r="AM184" s="954">
        <f ca="1">0.8*(AK184*30+'102'!D$17*0.34*30*1)</f>
        <v>10047.835609254993</v>
      </c>
      <c r="AN184" s="954">
        <f ca="1">IF(AM184&lt;User_sheet!B$50,Y184,0)</f>
        <v>0</v>
      </c>
      <c r="AO184" s="954">
        <f ca="1">20-(User_sheet!B$57/('Freestanding '!AK184+'102'!D$17*1*0.34))</f>
        <v>6.3851275717534186</v>
      </c>
      <c r="AP184" s="954">
        <f ca="1">IF(AO184&lt;User_sheet!B$59,0,BC184*AA184)</f>
        <v>0</v>
      </c>
      <c r="AQ184" s="985"/>
      <c r="AR184" s="883">
        <v>0.47</v>
      </c>
      <c r="AS184" s="883">
        <v>2.1</v>
      </c>
      <c r="AT184" s="883">
        <v>3.78</v>
      </c>
      <c r="AU184" s="883">
        <v>2.75</v>
      </c>
      <c r="AV184" s="883">
        <v>3.3</v>
      </c>
      <c r="AW184" s="883">
        <v>11617.129718053829</v>
      </c>
      <c r="AX184" s="883">
        <v>74715.401027665983</v>
      </c>
      <c r="AY184" s="883">
        <v>67352.647733737584</v>
      </c>
      <c r="AZ184" s="883">
        <v>0</v>
      </c>
      <c r="BA184" s="883">
        <v>0</v>
      </c>
      <c r="BB184" s="883">
        <v>0.6</v>
      </c>
      <c r="BC184" s="888">
        <v>1</v>
      </c>
      <c r="BD184" s="889">
        <v>0</v>
      </c>
      <c r="BE184" s="889">
        <v>0</v>
      </c>
      <c r="BF184" s="890">
        <v>0</v>
      </c>
      <c r="BG184" s="883">
        <v>0</v>
      </c>
      <c r="BH184" s="883">
        <v>1</v>
      </c>
      <c r="BI184" s="890">
        <v>0</v>
      </c>
      <c r="BJ184" s="883">
        <v>0</v>
      </c>
      <c r="BK184" s="883">
        <v>0</v>
      </c>
      <c r="BL184" s="883">
        <v>1</v>
      </c>
      <c r="BM184" s="890">
        <v>0</v>
      </c>
      <c r="BN184" s="958">
        <v>0</v>
      </c>
      <c r="BO184" s="959">
        <v>18</v>
      </c>
      <c r="BP184" s="1018">
        <f t="shared" ca="1" si="252"/>
        <v>121.5</v>
      </c>
      <c r="BQ184" s="1018">
        <f t="shared" ca="1" si="253"/>
        <v>287.05844999999999</v>
      </c>
      <c r="BR184" s="1018">
        <f t="shared" ca="1" si="254"/>
        <v>88.2</v>
      </c>
      <c r="BS184" s="1018">
        <f t="shared" ca="1" si="255"/>
        <v>110.2144959090909</v>
      </c>
      <c r="BT184" s="1018">
        <f t="shared" ca="1" si="256"/>
        <v>60.75</v>
      </c>
      <c r="BU184" s="1018">
        <f t="shared" ca="1" si="257"/>
        <v>18</v>
      </c>
      <c r="BV184" s="1018">
        <f t="shared" ca="1" si="258"/>
        <v>2.15</v>
      </c>
      <c r="BW184" s="1018">
        <v>0</v>
      </c>
      <c r="BX184" s="1018">
        <f t="shared" ca="1" si="259"/>
        <v>38.331278510664532</v>
      </c>
      <c r="BY184" s="1018">
        <f t="shared" ca="1" si="260"/>
        <v>169.68507434684082</v>
      </c>
      <c r="BZ184" s="1018">
        <f t="shared" ca="1" si="195"/>
        <v>45.782715079748669</v>
      </c>
      <c r="CA184" s="1018">
        <f t="shared" ca="1" si="196"/>
        <v>49.499999972774994</v>
      </c>
      <c r="CB184" s="1018">
        <f t="shared" ca="1" si="261"/>
        <v>4.5133587786259541</v>
      </c>
      <c r="CC184" s="1018">
        <f t="shared" si="197"/>
        <v>0</v>
      </c>
      <c r="CD184" s="1018">
        <f t="shared" ca="1" si="262"/>
        <v>307.81242668865497</v>
      </c>
      <c r="CE184" s="1018">
        <f t="shared" ca="1" si="266"/>
        <v>159.84189954603258</v>
      </c>
      <c r="CF184" s="1018">
        <f t="shared" ca="1" si="198"/>
        <v>14.029629787040626</v>
      </c>
      <c r="CG184" s="1018">
        <f t="shared" ca="1" si="199"/>
        <v>23358.772410231162</v>
      </c>
    </row>
    <row r="185" spans="4:85" x14ac:dyDescent="0.25">
      <c r="D185" s="375"/>
      <c r="E185" s="374"/>
      <c r="F185" s="375"/>
      <c r="G185" s="374"/>
      <c r="H185" s="375"/>
      <c r="I185" s="374"/>
      <c r="J185" s="375"/>
      <c r="K185" s="378"/>
      <c r="L185" s="380"/>
      <c r="M185" s="375"/>
      <c r="N185" s="375"/>
      <c r="O185" s="375"/>
      <c r="P185" s="375"/>
      <c r="Q185" s="375" t="s">
        <v>22</v>
      </c>
      <c r="R185" s="377">
        <v>0.53710000000000002</v>
      </c>
      <c r="S185" s="375"/>
      <c r="T185" s="385">
        <v>1.5928223844297617E-3</v>
      </c>
      <c r="U185" s="374"/>
      <c r="V185" s="176">
        <f t="shared" si="200"/>
        <v>1.5928223844297617E-3</v>
      </c>
      <c r="W185" s="176">
        <f t="shared" si="263"/>
        <v>1.5928223844297617E-3</v>
      </c>
      <c r="X185" s="176">
        <f t="shared" si="263"/>
        <v>1.5928223844297617E-3</v>
      </c>
      <c r="Y185" s="34">
        <f>X185/Calculation_sheet!M$67</f>
        <v>1.5928549519590109E-3</v>
      </c>
      <c r="Z185" s="176">
        <f ca="1">IF(AN185&gt;0,Y185*Calculation_sheet!C$87,0)</f>
        <v>0</v>
      </c>
      <c r="AA185" s="176">
        <f t="shared" ca="1" si="264"/>
        <v>1.5928549519590109E-3</v>
      </c>
      <c r="AB185" s="176">
        <f ca="1">IF(AP185&gt;0,AA185*Calculation_sheet!C$94,0)</f>
        <v>0</v>
      </c>
      <c r="AC185" s="176">
        <f t="shared" ca="1" si="251"/>
        <v>1.5928549519590109E-3</v>
      </c>
      <c r="AD185" s="958">
        <f ca="1">AC185*Calculation_sheet!C$99</f>
        <v>9.5571297117540643E-4</v>
      </c>
      <c r="AE185" s="176">
        <f t="shared" ca="1" si="251"/>
        <v>6.3714198078360443E-4</v>
      </c>
      <c r="AF185" s="176">
        <f t="shared" ca="1" si="265"/>
        <v>1.5928549519590109E-3</v>
      </c>
      <c r="AG185" s="958">
        <f ca="1">AF185*User_sheet!B$77/100</f>
        <v>0</v>
      </c>
      <c r="AH185" s="313"/>
      <c r="AI185" s="886">
        <v>102</v>
      </c>
      <c r="AJ185" s="985"/>
      <c r="AK185" s="1020">
        <f t="shared" ca="1" si="194"/>
        <v>307.81242668865497</v>
      </c>
      <c r="AL185" s="954">
        <f ca="1">AK185/'102'!I$24</f>
        <v>1.1143156674753483</v>
      </c>
      <c r="AM185" s="954">
        <f ca="1">0.8*(AK185*30+'102'!D$17*0.34*30*1)</f>
        <v>10047.835609254993</v>
      </c>
      <c r="AN185" s="954">
        <f ca="1">IF(AM185&lt;User_sheet!B$50,Y185,0)</f>
        <v>0</v>
      </c>
      <c r="AO185" s="954">
        <f ca="1">20-(User_sheet!B$57/('Freestanding '!AK185+'102'!D$17*1*0.34))</f>
        <v>6.3851275717534186</v>
      </c>
      <c r="AP185" s="954">
        <f ca="1">IF(AO185&lt;User_sheet!B$59,0,BC185*AA185)</f>
        <v>0</v>
      </c>
      <c r="AQ185" s="985"/>
      <c r="AR185" s="883">
        <v>0.47</v>
      </c>
      <c r="AS185" s="883">
        <v>2.1</v>
      </c>
      <c r="AT185" s="883">
        <v>3.78</v>
      </c>
      <c r="AU185" s="883">
        <v>2.75</v>
      </c>
      <c r="AV185" s="883">
        <v>3.3</v>
      </c>
      <c r="AW185" s="883">
        <v>11617.129718053829</v>
      </c>
      <c r="AX185" s="883">
        <v>74715.401027665983</v>
      </c>
      <c r="AY185" s="883">
        <v>67352.647733737584</v>
      </c>
      <c r="AZ185" s="883">
        <v>0</v>
      </c>
      <c r="BA185" s="883">
        <v>0</v>
      </c>
      <c r="BB185" s="883">
        <v>0.6</v>
      </c>
      <c r="BC185" s="888">
        <v>0</v>
      </c>
      <c r="BD185" s="889">
        <v>1</v>
      </c>
      <c r="BE185" s="889">
        <v>0</v>
      </c>
      <c r="BF185" s="890">
        <v>0</v>
      </c>
      <c r="BG185" s="883">
        <v>1</v>
      </c>
      <c r="BH185" s="883">
        <v>0</v>
      </c>
      <c r="BI185" s="890">
        <v>0</v>
      </c>
      <c r="BJ185" s="883">
        <v>0</v>
      </c>
      <c r="BK185" s="883">
        <v>1</v>
      </c>
      <c r="BL185" s="883">
        <v>0</v>
      </c>
      <c r="BM185" s="890">
        <v>0</v>
      </c>
      <c r="BN185" s="958">
        <v>0</v>
      </c>
      <c r="BO185" s="959">
        <v>18</v>
      </c>
      <c r="BP185" s="1018">
        <f t="shared" ca="1" si="252"/>
        <v>121.5</v>
      </c>
      <c r="BQ185" s="1018">
        <f t="shared" ca="1" si="253"/>
        <v>287.05844999999999</v>
      </c>
      <c r="BR185" s="1018">
        <f t="shared" ca="1" si="254"/>
        <v>88.2</v>
      </c>
      <c r="BS185" s="1018">
        <f t="shared" ca="1" si="255"/>
        <v>110.2144959090909</v>
      </c>
      <c r="BT185" s="1018">
        <f t="shared" ca="1" si="256"/>
        <v>60.75</v>
      </c>
      <c r="BU185" s="1018">
        <f t="shared" ca="1" si="257"/>
        <v>18</v>
      </c>
      <c r="BV185" s="1018">
        <f t="shared" ca="1" si="258"/>
        <v>2.15</v>
      </c>
      <c r="BW185" s="1018">
        <v>0</v>
      </c>
      <c r="BX185" s="1018">
        <f t="shared" ca="1" si="259"/>
        <v>38.331278510664532</v>
      </c>
      <c r="BY185" s="1018">
        <f t="shared" ca="1" si="260"/>
        <v>169.68507434684082</v>
      </c>
      <c r="BZ185" s="1018">
        <f t="shared" ca="1" si="195"/>
        <v>45.782715079748669</v>
      </c>
      <c r="CA185" s="1018">
        <f t="shared" ca="1" si="196"/>
        <v>49.499999972774994</v>
      </c>
      <c r="CB185" s="1018">
        <f t="shared" ca="1" si="261"/>
        <v>4.5133587786259541</v>
      </c>
      <c r="CC185" s="1018">
        <f t="shared" si="197"/>
        <v>0</v>
      </c>
      <c r="CD185" s="1018">
        <f t="shared" ca="1" si="262"/>
        <v>307.81242668865497</v>
      </c>
      <c r="CE185" s="1018">
        <f t="shared" ca="1" si="266"/>
        <v>159.84189954603258</v>
      </c>
      <c r="CF185" s="1018">
        <f t="shared" ca="1" si="198"/>
        <v>14.029629787040626</v>
      </c>
      <c r="CG185" s="1018">
        <f t="shared" ca="1" si="199"/>
        <v>23358.772410231162</v>
      </c>
    </row>
    <row r="186" spans="4:85" x14ac:dyDescent="0.25">
      <c r="D186" s="375"/>
      <c r="E186" s="374"/>
      <c r="F186" s="375"/>
      <c r="G186" s="374"/>
      <c r="H186" s="375"/>
      <c r="I186" s="374"/>
      <c r="J186" s="375"/>
      <c r="K186" s="378"/>
      <c r="L186" s="380"/>
      <c r="M186" s="375"/>
      <c r="N186" s="375"/>
      <c r="O186" s="375" t="s">
        <v>18</v>
      </c>
      <c r="P186" s="377">
        <v>0.80827067699999999</v>
      </c>
      <c r="Q186" s="375" t="s">
        <v>7</v>
      </c>
      <c r="R186" s="377">
        <v>0.46289999999999998</v>
      </c>
      <c r="S186" s="375"/>
      <c r="T186" s="385">
        <v>1.3727750544638556E-3</v>
      </c>
      <c r="U186" s="374"/>
      <c r="V186" s="176">
        <f t="shared" si="200"/>
        <v>1.3727750544638556E-3</v>
      </c>
      <c r="W186" s="176">
        <f t="shared" si="263"/>
        <v>1.3727750544638556E-3</v>
      </c>
      <c r="X186" s="176">
        <f t="shared" si="263"/>
        <v>1.3727750544638556E-3</v>
      </c>
      <c r="Y186" s="34">
        <f>X186/Calculation_sheet!M$67</f>
        <v>1.3728031228110711E-3</v>
      </c>
      <c r="Z186" s="176">
        <f ca="1">IF(AN186&gt;0,Y186*Calculation_sheet!C$87,0)</f>
        <v>0</v>
      </c>
      <c r="AA186" s="176">
        <f t="shared" ca="1" si="264"/>
        <v>1.3728031228110711E-3</v>
      </c>
      <c r="AB186" s="176">
        <f ca="1">IF(AP186&gt;0,AA186*Calculation_sheet!C$94,0)</f>
        <v>0</v>
      </c>
      <c r="AC186" s="176">
        <f t="shared" ca="1" si="251"/>
        <v>1.3728031228110711E-3</v>
      </c>
      <c r="AD186" s="958">
        <f ca="1">AC186*Calculation_sheet!C$99</f>
        <v>8.2368187368664261E-4</v>
      </c>
      <c r="AE186" s="176">
        <f t="shared" ca="1" si="251"/>
        <v>5.4912124912442851E-4</v>
      </c>
      <c r="AF186" s="176">
        <f t="shared" ca="1" si="265"/>
        <v>1.3728031228110711E-3</v>
      </c>
      <c r="AG186" s="958">
        <f ca="1">AF186*User_sheet!B$77/100</f>
        <v>0</v>
      </c>
      <c r="AH186" s="313"/>
      <c r="AI186" s="886">
        <v>102</v>
      </c>
      <c r="AJ186" s="985"/>
      <c r="AK186" s="1020">
        <f t="shared" ca="1" si="194"/>
        <v>307.81242668865497</v>
      </c>
      <c r="AL186" s="954">
        <f ca="1">AK186/'102'!I$24</f>
        <v>1.1143156674753483</v>
      </c>
      <c r="AM186" s="954">
        <f ca="1">0.8*(AK186*30+'102'!D$17*0.34*30*1)</f>
        <v>10047.835609254993</v>
      </c>
      <c r="AN186" s="954">
        <f ca="1">IF(AM186&lt;User_sheet!B$50,Y186,0)</f>
        <v>0</v>
      </c>
      <c r="AO186" s="954">
        <f ca="1">20-(User_sheet!B$57/('Freestanding '!AK186+'102'!D$17*1*0.34))</f>
        <v>6.3851275717534186</v>
      </c>
      <c r="AP186" s="954">
        <f ca="1">IF(AO186&lt;User_sheet!B$59,0,BC186*AA186)</f>
        <v>0</v>
      </c>
      <c r="AQ186" s="985"/>
      <c r="AR186" s="883">
        <v>0.47</v>
      </c>
      <c r="AS186" s="883">
        <v>2.1</v>
      </c>
      <c r="AT186" s="883">
        <v>3.78</v>
      </c>
      <c r="AU186" s="883">
        <v>2.75</v>
      </c>
      <c r="AV186" s="883">
        <v>3.3</v>
      </c>
      <c r="AW186" s="883">
        <v>11617.129718053829</v>
      </c>
      <c r="AX186" s="883">
        <v>74715.401027665983</v>
      </c>
      <c r="AY186" s="883">
        <v>67352.647733737584</v>
      </c>
      <c r="AZ186" s="883">
        <v>0</v>
      </c>
      <c r="BA186" s="883">
        <v>0</v>
      </c>
      <c r="BB186" s="883">
        <v>0.6</v>
      </c>
      <c r="BC186" s="888">
        <v>0</v>
      </c>
      <c r="BD186" s="889">
        <v>1</v>
      </c>
      <c r="BE186" s="889">
        <v>0</v>
      </c>
      <c r="BF186" s="890">
        <v>0</v>
      </c>
      <c r="BG186" s="883">
        <v>1</v>
      </c>
      <c r="BH186" s="883">
        <v>0</v>
      </c>
      <c r="BI186" s="890">
        <v>0</v>
      </c>
      <c r="BJ186" s="883">
        <v>0</v>
      </c>
      <c r="BK186" s="883">
        <v>0</v>
      </c>
      <c r="BL186" s="883">
        <v>1</v>
      </c>
      <c r="BM186" s="890">
        <v>0</v>
      </c>
      <c r="BN186" s="958">
        <v>0</v>
      </c>
      <c r="BO186" s="959">
        <v>18</v>
      </c>
      <c r="BP186" s="1018">
        <f t="shared" ca="1" si="252"/>
        <v>121.5</v>
      </c>
      <c r="BQ186" s="1018">
        <f t="shared" ca="1" si="253"/>
        <v>287.05844999999999</v>
      </c>
      <c r="BR186" s="1018">
        <f t="shared" ca="1" si="254"/>
        <v>88.2</v>
      </c>
      <c r="BS186" s="1018">
        <f t="shared" ca="1" si="255"/>
        <v>110.2144959090909</v>
      </c>
      <c r="BT186" s="1018">
        <f t="shared" ca="1" si="256"/>
        <v>60.75</v>
      </c>
      <c r="BU186" s="1018">
        <f t="shared" ca="1" si="257"/>
        <v>18</v>
      </c>
      <c r="BV186" s="1018">
        <f t="shared" ca="1" si="258"/>
        <v>2.15</v>
      </c>
      <c r="BW186" s="1018">
        <v>0</v>
      </c>
      <c r="BX186" s="1018">
        <f t="shared" ca="1" si="259"/>
        <v>38.331278510664532</v>
      </c>
      <c r="BY186" s="1018">
        <f t="shared" ca="1" si="260"/>
        <v>169.68507434684082</v>
      </c>
      <c r="BZ186" s="1018">
        <f t="shared" ca="1" si="195"/>
        <v>45.782715079748669</v>
      </c>
      <c r="CA186" s="1018">
        <f t="shared" ca="1" si="196"/>
        <v>49.499999972774994</v>
      </c>
      <c r="CB186" s="1018">
        <f t="shared" ca="1" si="261"/>
        <v>4.5133587786259541</v>
      </c>
      <c r="CC186" s="1018">
        <f t="shared" si="197"/>
        <v>0</v>
      </c>
      <c r="CD186" s="1018">
        <f t="shared" ca="1" si="262"/>
        <v>307.81242668865497</v>
      </c>
      <c r="CE186" s="1018">
        <f t="shared" ca="1" si="266"/>
        <v>159.84189954603258</v>
      </c>
      <c r="CF186" s="1018">
        <f t="shared" ca="1" si="198"/>
        <v>14.029629787040626</v>
      </c>
      <c r="CG186" s="1018">
        <f t="shared" ca="1" si="199"/>
        <v>23358.772410231162</v>
      </c>
    </row>
    <row r="187" spans="4:85" x14ac:dyDescent="0.25">
      <c r="D187" s="375"/>
      <c r="E187" s="374"/>
      <c r="F187" s="375"/>
      <c r="G187" s="374"/>
      <c r="H187" s="375"/>
      <c r="I187" s="374"/>
      <c r="J187" s="375"/>
      <c r="K187" s="378"/>
      <c r="L187" s="380"/>
      <c r="M187" s="375"/>
      <c r="N187" s="375"/>
      <c r="O187" s="375"/>
      <c r="P187" s="375"/>
      <c r="Q187" s="375" t="s">
        <v>22</v>
      </c>
      <c r="R187" s="377">
        <v>0.53710000000000002</v>
      </c>
      <c r="S187" s="375"/>
      <c r="T187" s="385">
        <v>3.7783228578755425E-4</v>
      </c>
      <c r="U187" s="374"/>
      <c r="V187" s="176">
        <f t="shared" si="200"/>
        <v>3.7783228578755425E-4</v>
      </c>
      <c r="W187" s="176">
        <f t="shared" si="263"/>
        <v>3.7783228578755425E-4</v>
      </c>
      <c r="X187" s="176">
        <f t="shared" si="263"/>
        <v>3.7783228578755425E-4</v>
      </c>
      <c r="Y187" s="34">
        <f>X187/Calculation_sheet!M$67</f>
        <v>3.7784001110843053E-4</v>
      </c>
      <c r="Z187" s="176">
        <f ca="1">IF(AN187&gt;0,Y187*Calculation_sheet!C$87,0)</f>
        <v>0</v>
      </c>
      <c r="AA187" s="176">
        <f t="shared" ca="1" si="264"/>
        <v>3.7784001110843053E-4</v>
      </c>
      <c r="AB187" s="176">
        <f ca="1">IF(AP187&gt;0,AA187*Calculation_sheet!C$94,0)</f>
        <v>0</v>
      </c>
      <c r="AC187" s="176">
        <f t="shared" ca="1" si="251"/>
        <v>3.7784001110843053E-4</v>
      </c>
      <c r="AD187" s="958">
        <f ca="1">AC187*Calculation_sheet!C$99</f>
        <v>2.2670400666505831E-4</v>
      </c>
      <c r="AE187" s="176">
        <f t="shared" ca="1" si="251"/>
        <v>1.5113600444337222E-4</v>
      </c>
      <c r="AF187" s="176">
        <f t="shared" ca="1" si="265"/>
        <v>3.7784001110843053E-4</v>
      </c>
      <c r="AG187" s="958">
        <f ca="1">AF187*User_sheet!B$77/100</f>
        <v>0</v>
      </c>
      <c r="AH187" s="313"/>
      <c r="AI187" s="886">
        <v>102</v>
      </c>
      <c r="AJ187" s="985"/>
      <c r="AK187" s="1020">
        <f t="shared" ca="1" si="194"/>
        <v>307.81242668865497</v>
      </c>
      <c r="AL187" s="954">
        <f ca="1">AK187/'102'!I$24</f>
        <v>1.1143156674753483</v>
      </c>
      <c r="AM187" s="954">
        <f ca="1">0.8*(AK187*30+'102'!D$17*0.34*30*1)</f>
        <v>10047.835609254993</v>
      </c>
      <c r="AN187" s="954">
        <f ca="1">IF(AM187&lt;User_sheet!B$50,Y187,0)</f>
        <v>0</v>
      </c>
      <c r="AO187" s="954">
        <f ca="1">20-(User_sheet!B$57/('Freestanding '!AK187+'102'!D$17*1*0.34))</f>
        <v>6.3851275717534186</v>
      </c>
      <c r="AP187" s="954">
        <f ca="1">IF(AO187&lt;User_sheet!B$59,0,BC187*AA187)</f>
        <v>0</v>
      </c>
      <c r="AQ187" s="985"/>
      <c r="AR187" s="883">
        <v>0.47</v>
      </c>
      <c r="AS187" s="883">
        <v>2.1</v>
      </c>
      <c r="AT187" s="883">
        <v>3.78</v>
      </c>
      <c r="AU187" s="883">
        <v>2.75</v>
      </c>
      <c r="AV187" s="883">
        <v>3.3</v>
      </c>
      <c r="AW187" s="883">
        <v>11617.129718053829</v>
      </c>
      <c r="AX187" s="883">
        <v>74715.401027665983</v>
      </c>
      <c r="AY187" s="883">
        <v>67352.647733737584</v>
      </c>
      <c r="AZ187" s="883">
        <v>0</v>
      </c>
      <c r="BA187" s="883">
        <v>0</v>
      </c>
      <c r="BB187" s="883">
        <v>0.6</v>
      </c>
      <c r="BC187" s="888">
        <v>0</v>
      </c>
      <c r="BD187" s="889">
        <v>1</v>
      </c>
      <c r="BE187" s="889">
        <v>0</v>
      </c>
      <c r="BF187" s="890">
        <v>0</v>
      </c>
      <c r="BG187" s="883">
        <v>0</v>
      </c>
      <c r="BH187" s="883">
        <v>1</v>
      </c>
      <c r="BI187" s="890">
        <v>0</v>
      </c>
      <c r="BJ187" s="883">
        <v>0</v>
      </c>
      <c r="BK187" s="883">
        <v>1</v>
      </c>
      <c r="BL187" s="883">
        <v>0</v>
      </c>
      <c r="BM187" s="890">
        <v>0</v>
      </c>
      <c r="BN187" s="958">
        <v>0</v>
      </c>
      <c r="BO187" s="959">
        <v>18</v>
      </c>
      <c r="BP187" s="1018">
        <f t="shared" ca="1" si="252"/>
        <v>121.5</v>
      </c>
      <c r="BQ187" s="1018">
        <f t="shared" ca="1" si="253"/>
        <v>287.05844999999999</v>
      </c>
      <c r="BR187" s="1018">
        <f t="shared" ca="1" si="254"/>
        <v>88.2</v>
      </c>
      <c r="BS187" s="1018">
        <f t="shared" ca="1" si="255"/>
        <v>110.2144959090909</v>
      </c>
      <c r="BT187" s="1018">
        <f t="shared" ca="1" si="256"/>
        <v>60.75</v>
      </c>
      <c r="BU187" s="1018">
        <f t="shared" ca="1" si="257"/>
        <v>18</v>
      </c>
      <c r="BV187" s="1018">
        <f t="shared" ca="1" si="258"/>
        <v>2.15</v>
      </c>
      <c r="BW187" s="1018">
        <v>0</v>
      </c>
      <c r="BX187" s="1018">
        <f t="shared" ca="1" si="259"/>
        <v>38.331278510664532</v>
      </c>
      <c r="BY187" s="1018">
        <f t="shared" ca="1" si="260"/>
        <v>169.68507434684082</v>
      </c>
      <c r="BZ187" s="1018">
        <f t="shared" ca="1" si="195"/>
        <v>45.782715079748669</v>
      </c>
      <c r="CA187" s="1018">
        <f t="shared" ca="1" si="196"/>
        <v>49.499999972774994</v>
      </c>
      <c r="CB187" s="1018">
        <f t="shared" ca="1" si="261"/>
        <v>4.5133587786259541</v>
      </c>
      <c r="CC187" s="1018">
        <f t="shared" si="197"/>
        <v>0</v>
      </c>
      <c r="CD187" s="1018">
        <f t="shared" ca="1" si="262"/>
        <v>307.81242668865497</v>
      </c>
      <c r="CE187" s="1018">
        <f t="shared" ca="1" si="266"/>
        <v>159.84189954603258</v>
      </c>
      <c r="CF187" s="1018">
        <f t="shared" ca="1" si="198"/>
        <v>14.029629787040626</v>
      </c>
      <c r="CG187" s="1018">
        <f t="shared" ca="1" si="199"/>
        <v>23358.772410231162</v>
      </c>
    </row>
    <row r="188" spans="4:85" x14ac:dyDescent="0.25">
      <c r="D188" s="375"/>
      <c r="E188" s="374"/>
      <c r="F188" s="375"/>
      <c r="G188" s="374"/>
      <c r="H188" s="375"/>
      <c r="I188" s="374"/>
      <c r="J188" s="375"/>
      <c r="K188" s="375"/>
      <c r="L188" s="375"/>
      <c r="M188" s="375" t="s">
        <v>22</v>
      </c>
      <c r="N188" s="377">
        <v>0.44680851100000002</v>
      </c>
      <c r="O188" s="375" t="s">
        <v>20</v>
      </c>
      <c r="P188" s="377">
        <v>0.19172932300000001</v>
      </c>
      <c r="Q188" s="375" t="s">
        <v>7</v>
      </c>
      <c r="R188" s="377">
        <v>0.46289999999999998</v>
      </c>
      <c r="S188" s="375"/>
      <c r="T188" s="385">
        <v>3.256350122715674E-4</v>
      </c>
      <c r="U188" s="374"/>
      <c r="V188" s="176">
        <f t="shared" si="200"/>
        <v>3.256350122715674E-4</v>
      </c>
      <c r="W188" s="176">
        <f t="shared" si="263"/>
        <v>3.256350122715674E-4</v>
      </c>
      <c r="X188" s="176">
        <f t="shared" si="263"/>
        <v>3.256350122715674E-4</v>
      </c>
      <c r="Y188" s="34">
        <f>X188/Calculation_sheet!M$67</f>
        <v>3.2564167034461456E-4</v>
      </c>
      <c r="Z188" s="176">
        <f ca="1">IF(AN188&gt;0,Y188*Calculation_sheet!C$87,0)</f>
        <v>0</v>
      </c>
      <c r="AA188" s="176">
        <f t="shared" ca="1" si="264"/>
        <v>3.2564167034461456E-4</v>
      </c>
      <c r="AB188" s="176">
        <f ca="1">IF(AP188&gt;0,AA188*Calculation_sheet!C$94,0)</f>
        <v>0</v>
      </c>
      <c r="AC188" s="176">
        <f t="shared" ca="1" si="251"/>
        <v>3.2564167034461456E-4</v>
      </c>
      <c r="AD188" s="958">
        <f ca="1">AC188*Calculation_sheet!C$99</f>
        <v>1.9538500220676872E-4</v>
      </c>
      <c r="AE188" s="176">
        <f t="shared" ca="1" si="251"/>
        <v>1.3025666813784584E-4</v>
      </c>
      <c r="AF188" s="176">
        <f t="shared" ca="1" si="265"/>
        <v>3.2564167034461456E-4</v>
      </c>
      <c r="AG188" s="958">
        <f ca="1">AF188*User_sheet!B$77/100</f>
        <v>0</v>
      </c>
      <c r="AH188" s="313"/>
      <c r="AI188" s="886">
        <v>102</v>
      </c>
      <c r="AJ188" s="985"/>
      <c r="AK188" s="1020">
        <f t="shared" ca="1" si="194"/>
        <v>307.81242668865497</v>
      </c>
      <c r="AL188" s="954">
        <f ca="1">AK188/'102'!I$24</f>
        <v>1.1143156674753483</v>
      </c>
      <c r="AM188" s="954">
        <f ca="1">0.8*(AK188*30+'102'!D$17*0.34*30*1)</f>
        <v>10047.835609254993</v>
      </c>
      <c r="AN188" s="954">
        <f ca="1">IF(AM188&lt;User_sheet!B$50,Y188,0)</f>
        <v>0</v>
      </c>
      <c r="AO188" s="954">
        <f ca="1">20-(User_sheet!B$57/('Freestanding '!AK188+'102'!D$17*1*0.34))</f>
        <v>6.3851275717534186</v>
      </c>
      <c r="AP188" s="954">
        <f ca="1">IF(AO188&lt;User_sheet!B$59,0,BC188*AA188)</f>
        <v>0</v>
      </c>
      <c r="AQ188" s="985"/>
      <c r="AR188" s="883">
        <v>0.47</v>
      </c>
      <c r="AS188" s="883">
        <v>2.1</v>
      </c>
      <c r="AT188" s="883">
        <v>3.78</v>
      </c>
      <c r="AU188" s="883">
        <v>2.75</v>
      </c>
      <c r="AV188" s="883">
        <v>3.3</v>
      </c>
      <c r="AW188" s="883">
        <v>11617.129718053829</v>
      </c>
      <c r="AX188" s="883">
        <v>74715.401027665983</v>
      </c>
      <c r="AY188" s="883">
        <v>67352.647733737584</v>
      </c>
      <c r="AZ188" s="883">
        <v>0</v>
      </c>
      <c r="BA188" s="883">
        <v>0</v>
      </c>
      <c r="BB188" s="883">
        <v>0.6</v>
      </c>
      <c r="BC188" s="888">
        <v>0</v>
      </c>
      <c r="BD188" s="889">
        <v>1</v>
      </c>
      <c r="BE188" s="889">
        <v>0</v>
      </c>
      <c r="BF188" s="890">
        <v>0</v>
      </c>
      <c r="BG188" s="883">
        <v>0</v>
      </c>
      <c r="BH188" s="883">
        <v>1</v>
      </c>
      <c r="BI188" s="890">
        <v>0</v>
      </c>
      <c r="BJ188" s="883">
        <v>0</v>
      </c>
      <c r="BK188" s="883">
        <v>0</v>
      </c>
      <c r="BL188" s="883">
        <v>1</v>
      </c>
      <c r="BM188" s="890">
        <v>0</v>
      </c>
      <c r="BN188" s="958">
        <v>0</v>
      </c>
      <c r="BO188" s="959">
        <v>18</v>
      </c>
      <c r="BP188" s="1018">
        <f t="shared" ca="1" si="252"/>
        <v>121.5</v>
      </c>
      <c r="BQ188" s="1018">
        <f t="shared" ca="1" si="253"/>
        <v>287.05844999999999</v>
      </c>
      <c r="BR188" s="1018">
        <f t="shared" ca="1" si="254"/>
        <v>88.2</v>
      </c>
      <c r="BS188" s="1018">
        <f t="shared" ca="1" si="255"/>
        <v>110.2144959090909</v>
      </c>
      <c r="BT188" s="1018">
        <f t="shared" ca="1" si="256"/>
        <v>60.75</v>
      </c>
      <c r="BU188" s="1018">
        <f t="shared" ca="1" si="257"/>
        <v>18</v>
      </c>
      <c r="BV188" s="1018">
        <f t="shared" ca="1" si="258"/>
        <v>2.15</v>
      </c>
      <c r="BW188" s="1018">
        <v>0</v>
      </c>
      <c r="BX188" s="1018">
        <f t="shared" ca="1" si="259"/>
        <v>38.331278510664532</v>
      </c>
      <c r="BY188" s="1018">
        <f t="shared" ca="1" si="260"/>
        <v>169.68507434684082</v>
      </c>
      <c r="BZ188" s="1018">
        <f t="shared" ca="1" si="195"/>
        <v>45.782715079748669</v>
      </c>
      <c r="CA188" s="1018">
        <f t="shared" ca="1" si="196"/>
        <v>49.499999972774994</v>
      </c>
      <c r="CB188" s="1018">
        <f t="shared" ca="1" si="261"/>
        <v>4.5133587786259541</v>
      </c>
      <c r="CC188" s="1018">
        <f t="shared" si="197"/>
        <v>0</v>
      </c>
      <c r="CD188" s="1018">
        <f t="shared" ca="1" si="262"/>
        <v>307.81242668865497</v>
      </c>
      <c r="CE188" s="1018">
        <f t="shared" ca="1" si="266"/>
        <v>159.84189954603258</v>
      </c>
      <c r="CF188" s="1018">
        <f t="shared" ca="1" si="198"/>
        <v>14.029629787040626</v>
      </c>
      <c r="CG188" s="1018">
        <f t="shared" ca="1" si="199"/>
        <v>23358.772410231162</v>
      </c>
    </row>
    <row r="189" spans="4:85" x14ac:dyDescent="0.25">
      <c r="D189" s="375"/>
      <c r="E189" s="374"/>
      <c r="F189" s="375"/>
      <c r="G189" s="374"/>
      <c r="H189" s="375"/>
      <c r="I189" s="374" t="s">
        <v>6</v>
      </c>
      <c r="J189" s="379">
        <v>0.26470000000000005</v>
      </c>
      <c r="K189" s="375"/>
      <c r="L189" s="375"/>
      <c r="M189" s="375" t="s">
        <v>7</v>
      </c>
      <c r="N189" s="377">
        <v>2.1276595999999998E-2</v>
      </c>
      <c r="O189" s="375" t="s">
        <v>23</v>
      </c>
      <c r="P189" s="377">
        <v>1</v>
      </c>
      <c r="Q189" s="375" t="s">
        <v>7</v>
      </c>
      <c r="R189" s="377">
        <v>1</v>
      </c>
      <c r="S189" s="375"/>
      <c r="T189" s="385">
        <v>1.7471737038149144E-4</v>
      </c>
      <c r="U189" s="374"/>
      <c r="V189" s="176">
        <f t="shared" si="200"/>
        <v>1.7471737038149144E-4</v>
      </c>
      <c r="W189" s="176">
        <f t="shared" si="263"/>
        <v>1.7471737038149144E-4</v>
      </c>
      <c r="X189" s="176">
        <f t="shared" si="263"/>
        <v>1.7471737038149144E-4</v>
      </c>
      <c r="Y189" s="34">
        <f>X189/Calculation_sheet!M$67</f>
        <v>1.7472094272774036E-4</v>
      </c>
      <c r="Z189" s="176">
        <f ca="1">IF(AN189&gt;0,Y189*Calculation_sheet!C$87,0)</f>
        <v>0</v>
      </c>
      <c r="AA189" s="176">
        <f t="shared" ca="1" si="264"/>
        <v>1.7472094272774036E-4</v>
      </c>
      <c r="AB189" s="176">
        <f ca="1">IF(AP189&gt;0,AA189*Calculation_sheet!C$94,0)</f>
        <v>0</v>
      </c>
      <c r="AC189" s="176">
        <f t="shared" ca="1" si="251"/>
        <v>1.7472094272774036E-4</v>
      </c>
      <c r="AD189" s="958">
        <f ca="1">AC189*Calculation_sheet!C$99</f>
        <v>1.0483256563664421E-4</v>
      </c>
      <c r="AE189" s="176">
        <f t="shared" ca="1" si="251"/>
        <v>6.9888377091096147E-5</v>
      </c>
      <c r="AF189" s="176">
        <f t="shared" ca="1" si="265"/>
        <v>1.7472094272774036E-4</v>
      </c>
      <c r="AG189" s="958">
        <f ca="1">AF189*User_sheet!B$77/100</f>
        <v>0</v>
      </c>
      <c r="AH189" s="313"/>
      <c r="AI189" s="886">
        <v>102</v>
      </c>
      <c r="AJ189" s="985"/>
      <c r="AK189" s="1020">
        <f t="shared" ca="1" si="194"/>
        <v>307.81242668865497</v>
      </c>
      <c r="AL189" s="954">
        <f ca="1">AK189/'102'!I$24</f>
        <v>1.1143156674753483</v>
      </c>
      <c r="AM189" s="954">
        <f ca="1">0.8*(AK189*30+'102'!D$17*0.34*30*1)</f>
        <v>10047.835609254993</v>
      </c>
      <c r="AN189" s="954">
        <f ca="1">IF(AM189&lt;User_sheet!B$50,Y189,0)</f>
        <v>0</v>
      </c>
      <c r="AO189" s="954">
        <f ca="1">20-(User_sheet!B$57/('Freestanding '!AK189+'102'!D$17*1*0.34))</f>
        <v>6.3851275717534186</v>
      </c>
      <c r="AP189" s="954">
        <f ca="1">IF(AO189&lt;User_sheet!B$59,0,BC189*AA189)</f>
        <v>0</v>
      </c>
      <c r="AQ189" s="985"/>
      <c r="AR189" s="883">
        <v>0.47</v>
      </c>
      <c r="AS189" s="883">
        <v>2.1</v>
      </c>
      <c r="AT189" s="883">
        <v>3.78</v>
      </c>
      <c r="AU189" s="883">
        <v>2.75</v>
      </c>
      <c r="AV189" s="883">
        <v>3.3</v>
      </c>
      <c r="AW189" s="883">
        <v>11617.129718053829</v>
      </c>
      <c r="AX189" s="883">
        <v>74715.401027665983</v>
      </c>
      <c r="AY189" s="883">
        <v>67352.647733737584</v>
      </c>
      <c r="AZ189" s="883">
        <v>0</v>
      </c>
      <c r="BA189" s="883">
        <v>0</v>
      </c>
      <c r="BB189" s="883">
        <v>0.6</v>
      </c>
      <c r="BC189" s="888">
        <v>0</v>
      </c>
      <c r="BD189" s="889">
        <v>0</v>
      </c>
      <c r="BE189" s="889">
        <v>1</v>
      </c>
      <c r="BF189" s="890">
        <v>0</v>
      </c>
      <c r="BG189" s="883">
        <v>0</v>
      </c>
      <c r="BH189" s="883">
        <v>0</v>
      </c>
      <c r="BI189" s="890">
        <v>1</v>
      </c>
      <c r="BJ189" s="883">
        <v>0</v>
      </c>
      <c r="BK189" s="883">
        <v>0</v>
      </c>
      <c r="BL189" s="883">
        <v>1</v>
      </c>
      <c r="BM189" s="890">
        <v>0</v>
      </c>
      <c r="BN189" s="958">
        <v>0</v>
      </c>
      <c r="BO189" s="959">
        <v>18</v>
      </c>
      <c r="BP189" s="1018">
        <f t="shared" ca="1" si="252"/>
        <v>121.5</v>
      </c>
      <c r="BQ189" s="1018">
        <f t="shared" ca="1" si="253"/>
        <v>287.05844999999999</v>
      </c>
      <c r="BR189" s="1018">
        <f t="shared" ca="1" si="254"/>
        <v>88.2</v>
      </c>
      <c r="BS189" s="1018">
        <f t="shared" ca="1" si="255"/>
        <v>110.2144959090909</v>
      </c>
      <c r="BT189" s="1018">
        <f t="shared" ca="1" si="256"/>
        <v>60.75</v>
      </c>
      <c r="BU189" s="1018">
        <f t="shared" ca="1" si="257"/>
        <v>18</v>
      </c>
      <c r="BV189" s="1018">
        <f t="shared" ca="1" si="258"/>
        <v>2.15</v>
      </c>
      <c r="BW189" s="1018">
        <v>0</v>
      </c>
      <c r="BX189" s="1018">
        <f t="shared" ca="1" si="259"/>
        <v>38.331278510664532</v>
      </c>
      <c r="BY189" s="1018">
        <f t="shared" ca="1" si="260"/>
        <v>169.68507434684082</v>
      </c>
      <c r="BZ189" s="1018">
        <f t="shared" ca="1" si="195"/>
        <v>45.782715079748669</v>
      </c>
      <c r="CA189" s="1018">
        <f t="shared" ca="1" si="196"/>
        <v>49.499999972774994</v>
      </c>
      <c r="CB189" s="1018">
        <f t="shared" ca="1" si="261"/>
        <v>4.5133587786259541</v>
      </c>
      <c r="CC189" s="1018">
        <f t="shared" si="197"/>
        <v>0</v>
      </c>
      <c r="CD189" s="1018">
        <f t="shared" ca="1" si="262"/>
        <v>307.81242668865497</v>
      </c>
      <c r="CE189" s="1018">
        <f t="shared" ca="1" si="266"/>
        <v>159.84189954603258</v>
      </c>
      <c r="CF189" s="1018">
        <f t="shared" ca="1" si="198"/>
        <v>14.029629787040626</v>
      </c>
      <c r="CG189" s="1018">
        <f t="shared" ca="1" si="199"/>
        <v>23358.772410231162</v>
      </c>
    </row>
    <row r="190" spans="4:85" x14ac:dyDescent="0.25">
      <c r="D190" s="375"/>
      <c r="E190" s="374"/>
      <c r="F190" s="375"/>
      <c r="G190" s="374"/>
      <c r="H190" s="375"/>
      <c r="I190" s="374"/>
      <c r="J190" s="375"/>
      <c r="K190" s="375"/>
      <c r="L190" s="375"/>
      <c r="M190" s="375"/>
      <c r="N190" s="375"/>
      <c r="O190" s="375" t="s">
        <v>18</v>
      </c>
      <c r="P190" s="377">
        <v>0.15910607099999999</v>
      </c>
      <c r="Q190" s="375" t="s">
        <v>17</v>
      </c>
      <c r="R190" s="377">
        <v>1</v>
      </c>
      <c r="S190" s="375"/>
      <c r="T190" s="385">
        <v>1.1119437604086958E-4</v>
      </c>
      <c r="U190" s="374"/>
      <c r="V190" s="176">
        <f t="shared" si="200"/>
        <v>1.1119437604086958E-4</v>
      </c>
      <c r="W190" s="176">
        <f t="shared" si="263"/>
        <v>1.1119437604086958E-4</v>
      </c>
      <c r="X190" s="176">
        <f t="shared" si="263"/>
        <v>1.1119437604086958E-4</v>
      </c>
      <c r="Y190" s="34">
        <f>X190/Calculation_sheet!M$67</f>
        <v>1.1119664956874654E-4</v>
      </c>
      <c r="Z190" s="176">
        <f ca="1">IF(AN190&gt;0,Y190*Calculation_sheet!C$87,0)</f>
        <v>0</v>
      </c>
      <c r="AA190" s="176">
        <f t="shared" ca="1" si="264"/>
        <v>1.1119664956874654E-4</v>
      </c>
      <c r="AB190" s="176">
        <f ca="1">IF(AP190&gt;0,AA190*Calculation_sheet!C$94,0)</f>
        <v>0</v>
      </c>
      <c r="AC190" s="176">
        <f t="shared" ca="1" si="251"/>
        <v>1.1119664956874654E-4</v>
      </c>
      <c r="AD190" s="958">
        <f ca="1">AC190*Calculation_sheet!C$99</f>
        <v>6.6717989741247921E-5</v>
      </c>
      <c r="AE190" s="176">
        <f t="shared" ca="1" si="251"/>
        <v>4.4478659827498619E-5</v>
      </c>
      <c r="AF190" s="176">
        <f t="shared" ca="1" si="265"/>
        <v>1.1119664956874654E-4</v>
      </c>
      <c r="AG190" s="958">
        <f ca="1">AF190*User_sheet!B$77/100</f>
        <v>0</v>
      </c>
      <c r="AH190" s="313"/>
      <c r="AI190" s="886">
        <v>102</v>
      </c>
      <c r="AJ190" s="985"/>
      <c r="AK190" s="1020">
        <f t="shared" ca="1" si="194"/>
        <v>307.81242668865497</v>
      </c>
      <c r="AL190" s="954">
        <f ca="1">AK190/'102'!I$24</f>
        <v>1.1143156674753483</v>
      </c>
      <c r="AM190" s="954">
        <f ca="1">0.8*(AK190*30+'102'!D$17*0.34*30*1)</f>
        <v>10047.835609254993</v>
      </c>
      <c r="AN190" s="954">
        <f ca="1">IF(AM190&lt;User_sheet!B$50,Y190,0)</f>
        <v>0</v>
      </c>
      <c r="AO190" s="954">
        <f ca="1">20-(User_sheet!B$57/('Freestanding '!AK190+'102'!D$17*1*0.34))</f>
        <v>6.3851275717534186</v>
      </c>
      <c r="AP190" s="954">
        <f ca="1">IF(AO190&lt;User_sheet!B$59,0,BC190*AA190)</f>
        <v>0</v>
      </c>
      <c r="AQ190" s="985"/>
      <c r="AR190" s="883">
        <v>0.47</v>
      </c>
      <c r="AS190" s="883">
        <v>2.1</v>
      </c>
      <c r="AT190" s="883">
        <v>3.78</v>
      </c>
      <c r="AU190" s="883">
        <v>2.75</v>
      </c>
      <c r="AV190" s="883">
        <v>3.3</v>
      </c>
      <c r="AW190" s="883">
        <v>11617.129718053829</v>
      </c>
      <c r="AX190" s="883">
        <v>74715.401027665983</v>
      </c>
      <c r="AY190" s="883">
        <v>67352.647733737584</v>
      </c>
      <c r="AZ190" s="883">
        <v>0</v>
      </c>
      <c r="BA190" s="883">
        <v>0</v>
      </c>
      <c r="BB190" s="883">
        <v>0.6</v>
      </c>
      <c r="BC190" s="888">
        <v>0</v>
      </c>
      <c r="BD190" s="889">
        <v>0</v>
      </c>
      <c r="BE190" s="889">
        <v>0</v>
      </c>
      <c r="BF190" s="890">
        <v>1</v>
      </c>
      <c r="BG190" s="883">
        <v>1</v>
      </c>
      <c r="BH190" s="883">
        <v>0</v>
      </c>
      <c r="BI190" s="890">
        <v>0</v>
      </c>
      <c r="BJ190" s="883">
        <v>0</v>
      </c>
      <c r="BK190" s="883">
        <v>0</v>
      </c>
      <c r="BL190" s="883">
        <v>0</v>
      </c>
      <c r="BM190" s="890">
        <v>1</v>
      </c>
      <c r="BN190" s="958">
        <v>0</v>
      </c>
      <c r="BO190" s="959">
        <v>18</v>
      </c>
      <c r="BP190" s="1018">
        <f t="shared" ca="1" si="252"/>
        <v>121.5</v>
      </c>
      <c r="BQ190" s="1018">
        <f t="shared" ca="1" si="253"/>
        <v>287.05844999999999</v>
      </c>
      <c r="BR190" s="1018">
        <f t="shared" ca="1" si="254"/>
        <v>88.2</v>
      </c>
      <c r="BS190" s="1018">
        <f t="shared" ca="1" si="255"/>
        <v>110.2144959090909</v>
      </c>
      <c r="BT190" s="1018">
        <f t="shared" ca="1" si="256"/>
        <v>60.75</v>
      </c>
      <c r="BU190" s="1018">
        <f t="shared" ca="1" si="257"/>
        <v>18</v>
      </c>
      <c r="BV190" s="1018">
        <f t="shared" ca="1" si="258"/>
        <v>2.15</v>
      </c>
      <c r="BW190" s="1018">
        <v>0</v>
      </c>
      <c r="BX190" s="1018">
        <f t="shared" ca="1" si="259"/>
        <v>38.331278510664532</v>
      </c>
      <c r="BY190" s="1018">
        <f t="shared" ca="1" si="260"/>
        <v>169.68507434684082</v>
      </c>
      <c r="BZ190" s="1018">
        <f t="shared" ca="1" si="195"/>
        <v>45.782715079748669</v>
      </c>
      <c r="CA190" s="1018">
        <f t="shared" ca="1" si="196"/>
        <v>49.499999972774994</v>
      </c>
      <c r="CB190" s="1018">
        <f t="shared" ca="1" si="261"/>
        <v>4.5133587786259541</v>
      </c>
      <c r="CC190" s="1018">
        <f t="shared" si="197"/>
        <v>0</v>
      </c>
      <c r="CD190" s="1018">
        <f t="shared" ca="1" si="262"/>
        <v>307.81242668865497</v>
      </c>
      <c r="CE190" s="1018">
        <f t="shared" ca="1" si="266"/>
        <v>159.84189954603258</v>
      </c>
      <c r="CF190" s="1018">
        <f t="shared" ca="1" si="198"/>
        <v>14.029629787040626</v>
      </c>
      <c r="CG190" s="1018">
        <f t="shared" ca="1" si="199"/>
        <v>23358.772410231162</v>
      </c>
    </row>
    <row r="191" spans="4:85" x14ac:dyDescent="0.25">
      <c r="D191" s="375"/>
      <c r="E191" s="374"/>
      <c r="F191" s="375"/>
      <c r="G191" s="374"/>
      <c r="H191" s="375"/>
      <c r="I191" s="374"/>
      <c r="J191" s="375"/>
      <c r="K191" s="378" t="s">
        <v>13</v>
      </c>
      <c r="L191" s="379">
        <v>1</v>
      </c>
      <c r="M191" s="375" t="s">
        <v>17</v>
      </c>
      <c r="N191" s="377">
        <v>8.5106382999999994E-2</v>
      </c>
      <c r="O191" s="375" t="s">
        <v>19</v>
      </c>
      <c r="P191" s="377">
        <v>0.84089392900000004</v>
      </c>
      <c r="Q191" s="375" t="s">
        <v>17</v>
      </c>
      <c r="R191" s="377">
        <v>1</v>
      </c>
      <c r="S191" s="375"/>
      <c r="T191" s="385">
        <v>5.8767509727337974E-4</v>
      </c>
      <c r="U191" s="374"/>
      <c r="V191" s="176">
        <f t="shared" si="200"/>
        <v>5.8767509727337974E-4</v>
      </c>
      <c r="W191" s="176">
        <f t="shared" si="263"/>
        <v>5.8767509727337974E-4</v>
      </c>
      <c r="X191" s="176">
        <f t="shared" si="263"/>
        <v>5.8767509727337974E-4</v>
      </c>
      <c r="Y191" s="34">
        <f>X191/Calculation_sheet!M$67</f>
        <v>5.8768711313033056E-4</v>
      </c>
      <c r="Z191" s="176">
        <f ca="1">IF(AN191&gt;0,Y191*Calculation_sheet!C$87,0)</f>
        <v>0</v>
      </c>
      <c r="AA191" s="176">
        <f t="shared" ca="1" si="264"/>
        <v>5.8768711313033056E-4</v>
      </c>
      <c r="AB191" s="176">
        <f ca="1">IF(AP191&gt;0,AA191*Calculation_sheet!C$94,0)</f>
        <v>0</v>
      </c>
      <c r="AC191" s="176">
        <f t="shared" ca="1" si="251"/>
        <v>5.8768711313033056E-4</v>
      </c>
      <c r="AD191" s="958">
        <f ca="1">AC191*Calculation_sheet!C$99</f>
        <v>3.5261226787819833E-4</v>
      </c>
      <c r="AE191" s="176">
        <f t="shared" ca="1" si="251"/>
        <v>2.3507484525213222E-4</v>
      </c>
      <c r="AF191" s="176">
        <f t="shared" ca="1" si="265"/>
        <v>5.8768711313033056E-4</v>
      </c>
      <c r="AG191" s="958">
        <f ca="1">AF191*User_sheet!B$77/100</f>
        <v>0</v>
      </c>
      <c r="AH191" s="313"/>
      <c r="AI191" s="886">
        <v>102</v>
      </c>
      <c r="AJ191" s="985"/>
      <c r="AK191" s="1020">
        <f t="shared" ca="1" si="194"/>
        <v>307.81242668865497</v>
      </c>
      <c r="AL191" s="954">
        <f ca="1">AK191/'102'!I$24</f>
        <v>1.1143156674753483</v>
      </c>
      <c r="AM191" s="954">
        <f ca="1">0.8*(AK191*30+'102'!D$17*0.34*30*1)</f>
        <v>10047.835609254993</v>
      </c>
      <c r="AN191" s="954">
        <f ca="1">IF(AM191&lt;User_sheet!B$50,Y191,0)</f>
        <v>0</v>
      </c>
      <c r="AO191" s="954">
        <f ca="1">20-(User_sheet!B$57/('Freestanding '!AK191+'102'!D$17*1*0.34))</f>
        <v>6.3851275717534186</v>
      </c>
      <c r="AP191" s="954">
        <f ca="1">IF(AO191&lt;User_sheet!B$59,0,BC191*AA191)</f>
        <v>0</v>
      </c>
      <c r="AQ191" s="985"/>
      <c r="AR191" s="883">
        <v>0.47</v>
      </c>
      <c r="AS191" s="883">
        <v>2.1</v>
      </c>
      <c r="AT191" s="883">
        <v>3.78</v>
      </c>
      <c r="AU191" s="883">
        <v>2.75</v>
      </c>
      <c r="AV191" s="883">
        <v>3.3</v>
      </c>
      <c r="AW191" s="883">
        <v>11617.129718053829</v>
      </c>
      <c r="AX191" s="883">
        <v>74715.401027665983</v>
      </c>
      <c r="AY191" s="883">
        <v>67352.647733737584</v>
      </c>
      <c r="AZ191" s="883">
        <v>0</v>
      </c>
      <c r="BA191" s="883">
        <v>0</v>
      </c>
      <c r="BB191" s="883">
        <v>0.6</v>
      </c>
      <c r="BC191" s="888">
        <v>0</v>
      </c>
      <c r="BD191" s="889">
        <v>0</v>
      </c>
      <c r="BE191" s="889">
        <v>0</v>
      </c>
      <c r="BF191" s="890">
        <v>1</v>
      </c>
      <c r="BG191" s="883">
        <v>0</v>
      </c>
      <c r="BH191" s="883">
        <v>1</v>
      </c>
      <c r="BI191" s="890">
        <v>0</v>
      </c>
      <c r="BJ191" s="883">
        <v>0</v>
      </c>
      <c r="BK191" s="883">
        <v>0</v>
      </c>
      <c r="BL191" s="883">
        <v>0</v>
      </c>
      <c r="BM191" s="890">
        <v>1</v>
      </c>
      <c r="BN191" s="958">
        <v>0</v>
      </c>
      <c r="BO191" s="959">
        <v>18</v>
      </c>
      <c r="BP191" s="1018">
        <f t="shared" ca="1" si="252"/>
        <v>121.5</v>
      </c>
      <c r="BQ191" s="1018">
        <f t="shared" ca="1" si="253"/>
        <v>287.05844999999999</v>
      </c>
      <c r="BR191" s="1018">
        <f t="shared" ca="1" si="254"/>
        <v>88.2</v>
      </c>
      <c r="BS191" s="1018">
        <f t="shared" ca="1" si="255"/>
        <v>110.2144959090909</v>
      </c>
      <c r="BT191" s="1018">
        <f t="shared" ca="1" si="256"/>
        <v>60.75</v>
      </c>
      <c r="BU191" s="1018">
        <f t="shared" ca="1" si="257"/>
        <v>18</v>
      </c>
      <c r="BV191" s="1018">
        <f t="shared" ca="1" si="258"/>
        <v>2.15</v>
      </c>
      <c r="BW191" s="1018">
        <v>0</v>
      </c>
      <c r="BX191" s="1018">
        <f t="shared" ca="1" si="259"/>
        <v>38.331278510664532</v>
      </c>
      <c r="BY191" s="1018">
        <f t="shared" ca="1" si="260"/>
        <v>169.68507434684082</v>
      </c>
      <c r="BZ191" s="1018">
        <f t="shared" ca="1" si="195"/>
        <v>45.782715079748669</v>
      </c>
      <c r="CA191" s="1018">
        <f t="shared" ca="1" si="196"/>
        <v>49.499999972774994</v>
      </c>
      <c r="CB191" s="1018">
        <f t="shared" ca="1" si="261"/>
        <v>4.5133587786259541</v>
      </c>
      <c r="CC191" s="1018">
        <f t="shared" si="197"/>
        <v>0</v>
      </c>
      <c r="CD191" s="1018">
        <f t="shared" ca="1" si="262"/>
        <v>307.81242668865497</v>
      </c>
      <c r="CE191" s="1018">
        <f t="shared" ca="1" si="266"/>
        <v>159.84189954603258</v>
      </c>
      <c r="CF191" s="1018">
        <f t="shared" ca="1" si="198"/>
        <v>14.029629787040626</v>
      </c>
      <c r="CG191" s="1018">
        <f t="shared" ca="1" si="199"/>
        <v>23358.772410231162</v>
      </c>
    </row>
    <row r="192" spans="4:85" s="14" customFormat="1" x14ac:dyDescent="0.25">
      <c r="D192" s="383"/>
      <c r="E192" s="382"/>
      <c r="F192" s="383"/>
      <c r="G192" s="382"/>
      <c r="H192" s="383"/>
      <c r="I192" s="382"/>
      <c r="J192" s="383"/>
      <c r="K192" s="384"/>
      <c r="L192" s="383"/>
      <c r="M192" s="383"/>
      <c r="N192" s="383"/>
      <c r="O192" s="383"/>
      <c r="P192" s="383"/>
      <c r="Q192" s="383"/>
      <c r="R192" s="383"/>
      <c r="S192" s="383"/>
      <c r="T192" s="386"/>
      <c r="U192" s="382"/>
      <c r="V192" s="292"/>
      <c r="W192" s="292"/>
      <c r="X192" s="292"/>
      <c r="Y192" s="277"/>
      <c r="Z192" s="292"/>
      <c r="AA192" s="292"/>
      <c r="AB192" s="292"/>
      <c r="AC192" s="292"/>
      <c r="AD192" s="277"/>
      <c r="AE192" s="292"/>
      <c r="AF192" s="292"/>
      <c r="AG192" s="277"/>
      <c r="AH192" s="313"/>
      <c r="AI192" s="887"/>
      <c r="AJ192" s="985"/>
      <c r="AK192" s="1020">
        <f t="shared" si="194"/>
        <v>0</v>
      </c>
      <c r="AL192" s="941"/>
      <c r="AM192" s="941"/>
      <c r="AN192" s="941"/>
      <c r="AO192" s="941"/>
      <c r="AP192" s="941"/>
      <c r="AQ192" s="985"/>
      <c r="AR192" s="887"/>
      <c r="AS192" s="887"/>
      <c r="AT192" s="887"/>
      <c r="AU192" s="887"/>
      <c r="AV192" s="887"/>
      <c r="AW192" s="887"/>
      <c r="AX192" s="887"/>
      <c r="AY192" s="887"/>
      <c r="AZ192" s="887"/>
      <c r="BA192" s="887"/>
      <c r="BB192" s="887"/>
      <c r="BC192" s="45"/>
      <c r="BD192" s="277"/>
      <c r="BE192" s="277"/>
      <c r="BF192" s="49"/>
      <c r="BG192" s="887"/>
      <c r="BH192" s="887"/>
      <c r="BI192" s="49"/>
      <c r="BJ192" s="887"/>
      <c r="BK192" s="887"/>
      <c r="BL192" s="887"/>
      <c r="BM192" s="49"/>
      <c r="BN192" s="277"/>
      <c r="BO192" s="49"/>
      <c r="BP192" s="928"/>
      <c r="BQ192" s="928"/>
      <c r="BR192" s="928"/>
      <c r="BS192" s="928"/>
      <c r="BT192" s="928"/>
      <c r="BU192" s="928"/>
      <c r="BV192" s="928"/>
      <c r="BW192" s="928"/>
      <c r="BX192" s="928"/>
      <c r="BY192" s="928"/>
      <c r="BZ192" s="928"/>
      <c r="CA192" s="928"/>
      <c r="CB192" s="928"/>
      <c r="CC192" s="928"/>
      <c r="CD192" s="928"/>
      <c r="CE192" s="928"/>
      <c r="CF192" s="928"/>
      <c r="CG192" s="928"/>
    </row>
    <row r="193" spans="3:85" s="3" customFormat="1" x14ac:dyDescent="0.25">
      <c r="C193" s="376"/>
      <c r="D193" s="380"/>
      <c r="E193" s="376"/>
      <c r="F193" s="380"/>
      <c r="G193" s="376"/>
      <c r="H193" s="380"/>
      <c r="I193" s="376"/>
      <c r="J193" s="380"/>
      <c r="K193" s="381"/>
      <c r="L193" s="380"/>
      <c r="M193" s="380"/>
      <c r="N193" s="380"/>
      <c r="O193" s="380"/>
      <c r="P193" s="380"/>
      <c r="Q193" s="380" t="s">
        <v>16</v>
      </c>
      <c r="R193" s="377">
        <v>0.73860000000000003</v>
      </c>
      <c r="S193" s="380"/>
      <c r="T193" s="385">
        <v>0</v>
      </c>
      <c r="U193" s="376"/>
      <c r="V193" s="176">
        <f t="shared" si="200"/>
        <v>0</v>
      </c>
      <c r="W193" s="176">
        <f>V193</f>
        <v>0</v>
      </c>
      <c r="X193" s="176">
        <f>W193-W193*Calculation_sheet!O$77</f>
        <v>0</v>
      </c>
      <c r="Y193" s="34">
        <f>X193/Calculation_sheet!M$67</f>
        <v>0</v>
      </c>
      <c r="Z193" s="176">
        <f ca="1">IF(AN193&gt;0,Y193*Calculation_sheet!C$87,0)</f>
        <v>0</v>
      </c>
      <c r="AA193" s="176">
        <f ca="1">Y193-Z193</f>
        <v>0</v>
      </c>
      <c r="AB193" s="176">
        <f ca="1">IF(AP193&gt;0,AA193*Calculation_sheet!C$94,0)</f>
        <v>0</v>
      </c>
      <c r="AC193" s="176">
        <f t="shared" ref="AC193:AE203" ca="1" si="267">AA193-AB193</f>
        <v>0</v>
      </c>
      <c r="AD193" s="958">
        <f ca="1">AC193*Calculation_sheet!C$99</f>
        <v>0</v>
      </c>
      <c r="AE193" s="176">
        <f t="shared" ca="1" si="267"/>
        <v>0</v>
      </c>
      <c r="AF193" s="176">
        <f ca="1">Y193-AB193</f>
        <v>0</v>
      </c>
      <c r="AG193" s="958">
        <f ca="1">AF193*User_sheet!B$77/100</f>
        <v>0</v>
      </c>
      <c r="AH193" s="313"/>
      <c r="AI193" s="886">
        <v>102</v>
      </c>
      <c r="AJ193" s="985"/>
      <c r="AK193" s="1020">
        <f t="shared" ca="1" si="194"/>
        <v>425.37598797328616</v>
      </c>
      <c r="AL193" s="954">
        <f ca="1">AK193/'102'!I$24</f>
        <v>1.5399090058371201</v>
      </c>
      <c r="AM193" s="954">
        <f ca="1">0.8*(AK193*30+'102'!D$17*0.34*30*1)</f>
        <v>12869.361080086142</v>
      </c>
      <c r="AN193" s="954">
        <f ca="1">IF(AM193&lt;User_sheet!B$50,Y193,0)</f>
        <v>0</v>
      </c>
      <c r="AO193" s="954">
        <f ca="1">20-(User_sheet!B$57/('Freestanding '!AK193+'102'!D$17*1*0.34))</f>
        <v>9.3701016586066359</v>
      </c>
      <c r="AP193" s="954">
        <f ca="1">IF(AO193&lt;User_sheet!B$59,0,BC193*AA193)</f>
        <v>0</v>
      </c>
      <c r="AQ193" s="985"/>
      <c r="AR193" s="883">
        <v>3.33</v>
      </c>
      <c r="AS193" s="883">
        <v>2.1</v>
      </c>
      <c r="AT193" s="883">
        <v>0.89</v>
      </c>
      <c r="AU193" s="883">
        <v>2.75</v>
      </c>
      <c r="AV193" s="883">
        <v>3.3</v>
      </c>
      <c r="AW193" s="883">
        <v>11357.186356387729</v>
      </c>
      <c r="AX193" s="883">
        <v>74715.401027665983</v>
      </c>
      <c r="AY193" s="883">
        <v>79015.992973719694</v>
      </c>
      <c r="AZ193" s="883">
        <v>0</v>
      </c>
      <c r="BA193" s="883">
        <v>0</v>
      </c>
      <c r="BB193" s="883">
        <v>0.6</v>
      </c>
      <c r="BC193" s="46">
        <v>1</v>
      </c>
      <c r="BD193" s="199">
        <v>0</v>
      </c>
      <c r="BE193" s="199">
        <v>0</v>
      </c>
      <c r="BF193" s="50">
        <v>0</v>
      </c>
      <c r="BG193" s="886">
        <v>1</v>
      </c>
      <c r="BH193" s="886">
        <v>0</v>
      </c>
      <c r="BI193" s="50">
        <v>0</v>
      </c>
      <c r="BJ193" s="886">
        <v>1</v>
      </c>
      <c r="BK193" s="886">
        <v>0</v>
      </c>
      <c r="BL193" s="886">
        <v>0</v>
      </c>
      <c r="BM193" s="50">
        <v>0</v>
      </c>
      <c r="BN193" s="958">
        <v>0</v>
      </c>
      <c r="BO193" s="959">
        <v>18</v>
      </c>
      <c r="BP193" s="926">
        <f t="shared" ref="BP193:BP203" ca="1" si="268">INDIRECT("'"&amp;AI193&amp;"'!"&amp;"B2")</f>
        <v>121.5</v>
      </c>
      <c r="BQ193" s="926">
        <f t="shared" ref="BQ193:BQ203" ca="1" si="269">INDIRECT("'"&amp;AI193&amp;"'!"&amp;"C12")+INDIRECT("'"&amp;AI193&amp;"'!"&amp;"C13")+INDIRECT("'"&amp;AI193&amp;"'!"&amp;"C14")+INDIRECT("'"&amp;AI193&amp;"'!"&amp;"C15")+INDIRECT("'"&amp;AI193&amp;"'!"&amp;"C17")</f>
        <v>287.05844999999999</v>
      </c>
      <c r="BR193" s="926">
        <f t="shared" ref="BR193:BR203" ca="1" si="270">INDIRECT("'"&amp;AI193&amp;"'!"&amp;"G5")</f>
        <v>88.2</v>
      </c>
      <c r="BS193" s="926">
        <f t="shared" ref="BS193:BS203" ca="1" si="271">INDIRECT("'"&amp;AI193&amp;"'!"&amp;"G4")</f>
        <v>110.2144959090909</v>
      </c>
      <c r="BT193" s="926">
        <f t="shared" ref="BT193:BT203" ca="1" si="272">INDIRECT("'"&amp;AI193&amp;"'!"&amp;"G6")</f>
        <v>60.75</v>
      </c>
      <c r="BU193" s="926">
        <f t="shared" ref="BU193:BU203" ca="1" si="273">INDIRECT("'"&amp;AI193&amp;"'!"&amp;"G2")</f>
        <v>18</v>
      </c>
      <c r="BV193" s="926">
        <f t="shared" ref="BV193:BV203" ca="1" si="274">INDIRECT("'"&amp;AI193&amp;"'!"&amp;"G3")</f>
        <v>2.15</v>
      </c>
      <c r="BW193" s="926">
        <v>0</v>
      </c>
      <c r="BX193" s="926">
        <f t="shared" ref="BX193:BX203" ca="1" si="275">IF(BR193=0,0,1/(1/(BR193*$BY$3)+1/(BR193*AR193)+1/(BR193*$BY$4)))</f>
        <v>186.21988333756025</v>
      </c>
      <c r="BY193" s="926">
        <f t="shared" ref="BY193:BY203" ca="1" si="276">IF(BS193=0,0,1/(1/(BS193*$BY$3)+1/(BS193*AS193)+1/(BS193*$BY$4)))</f>
        <v>169.68507434684082</v>
      </c>
      <c r="BZ193" s="926">
        <f t="shared" ca="1" si="195"/>
        <v>15.457671537484117</v>
      </c>
      <c r="CA193" s="926">
        <f t="shared" ca="1" si="196"/>
        <v>49.499999972774994</v>
      </c>
      <c r="CB193" s="926">
        <f t="shared" ref="CB193:CB203" ca="1" si="277">IF(BV193=0,0,1/(1/(BV193*$BY$3)+1/(BV193*AV193)+1/(BV193*$BY$4)))</f>
        <v>4.5133587786259541</v>
      </c>
      <c r="CC193" s="926">
        <f t="shared" si="197"/>
        <v>0</v>
      </c>
      <c r="CD193" s="1018">
        <f t="shared" ref="CD193:CD203" ca="1" si="278">SUM(BX193:CC193)+(BR193+BS193+BT193+BU193+BV193)*BN193</f>
        <v>425.37598797328616</v>
      </c>
      <c r="CE193" s="1018">
        <f ca="1">0.34*BO193*(1/25)^0.66*(BR193+BS193+BU193+BV193)</f>
        <v>159.84189954603258</v>
      </c>
      <c r="CF193" s="926">
        <f t="shared" ca="1" si="198"/>
        <v>17.556536625579565</v>
      </c>
      <c r="CG193" s="926">
        <f t="shared" ca="1" si="199"/>
        <v>29230.931220124945</v>
      </c>
    </row>
    <row r="194" spans="3:85" x14ac:dyDescent="0.25">
      <c r="C194" s="374"/>
      <c r="D194" s="375"/>
      <c r="E194" s="374"/>
      <c r="F194" s="375"/>
      <c r="G194" s="374"/>
      <c r="H194" s="375"/>
      <c r="I194" s="374"/>
      <c r="J194" s="375"/>
      <c r="K194" s="378"/>
      <c r="L194" s="380"/>
      <c r="M194" s="375"/>
      <c r="N194" s="375"/>
      <c r="O194" s="375" t="s">
        <v>18</v>
      </c>
      <c r="P194" s="377">
        <v>0.62953995200000001</v>
      </c>
      <c r="Q194" s="375" t="s">
        <v>7</v>
      </c>
      <c r="R194" s="377">
        <v>0.26140000000000002</v>
      </c>
      <c r="S194" s="375"/>
      <c r="T194" s="385">
        <v>0</v>
      </c>
      <c r="U194" s="374"/>
      <c r="V194" s="176">
        <f t="shared" si="200"/>
        <v>0</v>
      </c>
      <c r="W194" s="176">
        <f t="shared" ref="W194:W203" si="279">V194</f>
        <v>0</v>
      </c>
      <c r="X194" s="176">
        <f>W194-W194*Calculation_sheet!O$77</f>
        <v>0</v>
      </c>
      <c r="Y194" s="34">
        <f>X194/Calculation_sheet!M$67</f>
        <v>0</v>
      </c>
      <c r="Z194" s="176">
        <f ca="1">IF(AN194&gt;0,Y194*Calculation_sheet!C$87,0)</f>
        <v>0</v>
      </c>
      <c r="AA194" s="176">
        <f t="shared" ref="AA194:AA203" ca="1" si="280">Y194-Z194</f>
        <v>0</v>
      </c>
      <c r="AB194" s="176">
        <f ca="1">IF(AP194&gt;0,AA194*Calculation_sheet!C$94,0)</f>
        <v>0</v>
      </c>
      <c r="AC194" s="176">
        <f t="shared" ca="1" si="267"/>
        <v>0</v>
      </c>
      <c r="AD194" s="958">
        <f ca="1">AC194*Calculation_sheet!C$99</f>
        <v>0</v>
      </c>
      <c r="AE194" s="176">
        <f t="shared" ca="1" si="267"/>
        <v>0</v>
      </c>
      <c r="AF194" s="176">
        <f t="shared" ref="AF194:AF203" ca="1" si="281">Y194-AB194</f>
        <v>0</v>
      </c>
      <c r="AG194" s="958">
        <f ca="1">AF194*User_sheet!B$77/100</f>
        <v>0</v>
      </c>
      <c r="AH194" s="313"/>
      <c r="AI194" s="886">
        <v>102</v>
      </c>
      <c r="AJ194" s="985"/>
      <c r="AK194" s="1020">
        <f t="shared" ca="1" si="194"/>
        <v>425.37598797328616</v>
      </c>
      <c r="AL194" s="954">
        <f ca="1">AK194/'102'!I$24</f>
        <v>1.5399090058371201</v>
      </c>
      <c r="AM194" s="954">
        <f ca="1">0.8*(AK194*30+'102'!D$17*0.34*30*1)</f>
        <v>12869.361080086142</v>
      </c>
      <c r="AN194" s="954">
        <f ca="1">IF(AM194&lt;User_sheet!B$50,Y194,0)</f>
        <v>0</v>
      </c>
      <c r="AO194" s="954">
        <f ca="1">20-(User_sheet!B$57/('Freestanding '!AK194+'102'!D$17*1*0.34))</f>
        <v>9.3701016586066359</v>
      </c>
      <c r="AP194" s="954">
        <f ca="1">IF(AO194&lt;User_sheet!B$59,0,BC194*AA194)</f>
        <v>0</v>
      </c>
      <c r="AQ194" s="985"/>
      <c r="AR194" s="883">
        <v>3.33</v>
      </c>
      <c r="AS194" s="883">
        <v>2.1</v>
      </c>
      <c r="AT194" s="883">
        <v>0.89</v>
      </c>
      <c r="AU194" s="883">
        <v>2.75</v>
      </c>
      <c r="AV194" s="883">
        <v>3.3</v>
      </c>
      <c r="AW194" s="883">
        <v>11357.186356387729</v>
      </c>
      <c r="AX194" s="883">
        <v>74715.401027665983</v>
      </c>
      <c r="AY194" s="883">
        <v>79015.992973719694</v>
      </c>
      <c r="AZ194" s="883">
        <v>0</v>
      </c>
      <c r="BA194" s="883">
        <v>0</v>
      </c>
      <c r="BB194" s="883">
        <v>0.6</v>
      </c>
      <c r="BC194" s="888">
        <v>1</v>
      </c>
      <c r="BD194" s="889">
        <v>0</v>
      </c>
      <c r="BE194" s="889">
        <v>0</v>
      </c>
      <c r="BF194" s="890">
        <v>0</v>
      </c>
      <c r="BG194" s="883">
        <v>1</v>
      </c>
      <c r="BH194" s="883">
        <v>0</v>
      </c>
      <c r="BI194" s="890">
        <v>0</v>
      </c>
      <c r="BJ194" s="883">
        <v>0</v>
      </c>
      <c r="BK194" s="883">
        <v>0</v>
      </c>
      <c r="BL194" s="883">
        <v>1</v>
      </c>
      <c r="BM194" s="890">
        <v>0</v>
      </c>
      <c r="BN194" s="958">
        <v>0</v>
      </c>
      <c r="BO194" s="959">
        <v>18</v>
      </c>
      <c r="BP194" s="1018">
        <f t="shared" ca="1" si="268"/>
        <v>121.5</v>
      </c>
      <c r="BQ194" s="1018">
        <f t="shared" ca="1" si="269"/>
        <v>287.05844999999999</v>
      </c>
      <c r="BR194" s="1018">
        <f t="shared" ca="1" si="270"/>
        <v>88.2</v>
      </c>
      <c r="BS194" s="1018">
        <f t="shared" ca="1" si="271"/>
        <v>110.2144959090909</v>
      </c>
      <c r="BT194" s="1018">
        <f t="shared" ca="1" si="272"/>
        <v>60.75</v>
      </c>
      <c r="BU194" s="1018">
        <f t="shared" ca="1" si="273"/>
        <v>18</v>
      </c>
      <c r="BV194" s="1018">
        <f t="shared" ca="1" si="274"/>
        <v>2.15</v>
      </c>
      <c r="BW194" s="1018">
        <v>0</v>
      </c>
      <c r="BX194" s="1018">
        <f t="shared" ca="1" si="275"/>
        <v>186.21988333756025</v>
      </c>
      <c r="BY194" s="1018">
        <f t="shared" ca="1" si="276"/>
        <v>169.68507434684082</v>
      </c>
      <c r="BZ194" s="1018">
        <f t="shared" ca="1" si="195"/>
        <v>15.457671537484117</v>
      </c>
      <c r="CA194" s="1018">
        <f t="shared" ca="1" si="196"/>
        <v>49.499999972774994</v>
      </c>
      <c r="CB194" s="1018">
        <f t="shared" ca="1" si="277"/>
        <v>4.5133587786259541</v>
      </c>
      <c r="CC194" s="1018">
        <f t="shared" si="197"/>
        <v>0</v>
      </c>
      <c r="CD194" s="1018">
        <f t="shared" ca="1" si="278"/>
        <v>425.37598797328616</v>
      </c>
      <c r="CE194" s="1018">
        <f t="shared" ref="CE194:CE203" ca="1" si="282">0.34*BO194*(1/25)^0.66*(BR194+BS194+BU194+BV194)</f>
        <v>159.84189954603258</v>
      </c>
      <c r="CF194" s="1018">
        <f t="shared" ca="1" si="198"/>
        <v>17.556536625579565</v>
      </c>
      <c r="CG194" s="1018">
        <f t="shared" ca="1" si="199"/>
        <v>29230.931220124945</v>
      </c>
    </row>
    <row r="195" spans="3:85" x14ac:dyDescent="0.25">
      <c r="C195" s="374"/>
      <c r="D195" s="375"/>
      <c r="E195" s="374"/>
      <c r="F195" s="375"/>
      <c r="G195" s="374"/>
      <c r="H195" s="375"/>
      <c r="I195" s="374"/>
      <c r="J195" s="375"/>
      <c r="K195" s="378"/>
      <c r="L195" s="380"/>
      <c r="M195" s="375"/>
      <c r="N195" s="375"/>
      <c r="O195" s="375"/>
      <c r="P195" s="375"/>
      <c r="Q195" s="375" t="s">
        <v>16</v>
      </c>
      <c r="R195" s="377">
        <v>0.73860000000000003</v>
      </c>
      <c r="S195" s="375"/>
      <c r="T195" s="385">
        <v>0</v>
      </c>
      <c r="U195" s="374"/>
      <c r="V195" s="176">
        <f t="shared" si="200"/>
        <v>0</v>
      </c>
      <c r="W195" s="176">
        <f t="shared" si="279"/>
        <v>0</v>
      </c>
      <c r="X195" s="176">
        <f>W195-W195*Calculation_sheet!O$77</f>
        <v>0</v>
      </c>
      <c r="Y195" s="34">
        <f>X195/Calculation_sheet!M$67</f>
        <v>0</v>
      </c>
      <c r="Z195" s="176">
        <f ca="1">IF(AN195&gt;0,Y195*Calculation_sheet!C$87,0)</f>
        <v>0</v>
      </c>
      <c r="AA195" s="176">
        <f t="shared" ca="1" si="280"/>
        <v>0</v>
      </c>
      <c r="AB195" s="176">
        <f ca="1">IF(AP195&gt;0,AA195*Calculation_sheet!C$94,0)</f>
        <v>0</v>
      </c>
      <c r="AC195" s="176">
        <f t="shared" ca="1" si="267"/>
        <v>0</v>
      </c>
      <c r="AD195" s="958">
        <f ca="1">AC195*Calculation_sheet!C$99</f>
        <v>0</v>
      </c>
      <c r="AE195" s="176">
        <f t="shared" ca="1" si="267"/>
        <v>0</v>
      </c>
      <c r="AF195" s="176">
        <f t="shared" ca="1" si="281"/>
        <v>0</v>
      </c>
      <c r="AG195" s="958">
        <f ca="1">AF195*User_sheet!B$77/100</f>
        <v>0</v>
      </c>
      <c r="AH195" s="313"/>
      <c r="AI195" s="886">
        <v>102</v>
      </c>
      <c r="AJ195" s="985"/>
      <c r="AK195" s="1020">
        <f t="shared" ca="1" si="194"/>
        <v>425.37598797328616</v>
      </c>
      <c r="AL195" s="954">
        <f ca="1">AK195/'102'!I$24</f>
        <v>1.5399090058371201</v>
      </c>
      <c r="AM195" s="954">
        <f ca="1">0.8*(AK195*30+'102'!D$17*0.34*30*1)</f>
        <v>12869.361080086142</v>
      </c>
      <c r="AN195" s="954">
        <f ca="1">IF(AM195&lt;User_sheet!B$50,Y195,0)</f>
        <v>0</v>
      </c>
      <c r="AO195" s="954">
        <f ca="1">20-(User_sheet!B$57/('Freestanding '!AK195+'102'!D$17*1*0.34))</f>
        <v>9.3701016586066359</v>
      </c>
      <c r="AP195" s="954">
        <f ca="1">IF(AO195&lt;User_sheet!B$59,0,BC195*AA195)</f>
        <v>0</v>
      </c>
      <c r="AQ195" s="985"/>
      <c r="AR195" s="883">
        <v>3.33</v>
      </c>
      <c r="AS195" s="883">
        <v>2.1</v>
      </c>
      <c r="AT195" s="883">
        <v>0.89</v>
      </c>
      <c r="AU195" s="883">
        <v>2.75</v>
      </c>
      <c r="AV195" s="883">
        <v>3.3</v>
      </c>
      <c r="AW195" s="883">
        <v>11357.186356387729</v>
      </c>
      <c r="AX195" s="883">
        <v>74715.401027665983</v>
      </c>
      <c r="AY195" s="883">
        <v>79015.992973719694</v>
      </c>
      <c r="AZ195" s="883">
        <v>0</v>
      </c>
      <c r="BA195" s="883">
        <v>0</v>
      </c>
      <c r="BB195" s="883">
        <v>0.6</v>
      </c>
      <c r="BC195" s="888">
        <v>1</v>
      </c>
      <c r="BD195" s="889">
        <v>0</v>
      </c>
      <c r="BE195" s="889">
        <v>0</v>
      </c>
      <c r="BF195" s="890">
        <v>0</v>
      </c>
      <c r="BG195" s="883">
        <v>0</v>
      </c>
      <c r="BH195" s="883">
        <v>1</v>
      </c>
      <c r="BI195" s="890">
        <v>0</v>
      </c>
      <c r="BJ195" s="883">
        <v>1</v>
      </c>
      <c r="BK195" s="883">
        <v>0</v>
      </c>
      <c r="BL195" s="883">
        <v>0</v>
      </c>
      <c r="BM195" s="890">
        <v>0</v>
      </c>
      <c r="BN195" s="958">
        <v>0</v>
      </c>
      <c r="BO195" s="959">
        <v>18</v>
      </c>
      <c r="BP195" s="1018">
        <f t="shared" ca="1" si="268"/>
        <v>121.5</v>
      </c>
      <c r="BQ195" s="1018">
        <f t="shared" ca="1" si="269"/>
        <v>287.05844999999999</v>
      </c>
      <c r="BR195" s="1018">
        <f t="shared" ca="1" si="270"/>
        <v>88.2</v>
      </c>
      <c r="BS195" s="1018">
        <f t="shared" ca="1" si="271"/>
        <v>110.2144959090909</v>
      </c>
      <c r="BT195" s="1018">
        <f t="shared" ca="1" si="272"/>
        <v>60.75</v>
      </c>
      <c r="BU195" s="1018">
        <f t="shared" ca="1" si="273"/>
        <v>18</v>
      </c>
      <c r="BV195" s="1018">
        <f t="shared" ca="1" si="274"/>
        <v>2.15</v>
      </c>
      <c r="BW195" s="1018">
        <v>0</v>
      </c>
      <c r="BX195" s="1018">
        <f t="shared" ca="1" si="275"/>
        <v>186.21988333756025</v>
      </c>
      <c r="BY195" s="1018">
        <f t="shared" ca="1" si="276"/>
        <v>169.68507434684082</v>
      </c>
      <c r="BZ195" s="1018">
        <f t="shared" ca="1" si="195"/>
        <v>15.457671537484117</v>
      </c>
      <c r="CA195" s="1018">
        <f t="shared" ca="1" si="196"/>
        <v>49.499999972774994</v>
      </c>
      <c r="CB195" s="1018">
        <f t="shared" ca="1" si="277"/>
        <v>4.5133587786259541</v>
      </c>
      <c r="CC195" s="1018">
        <f t="shared" si="197"/>
        <v>0</v>
      </c>
      <c r="CD195" s="1018">
        <f t="shared" ca="1" si="278"/>
        <v>425.37598797328616</v>
      </c>
      <c r="CE195" s="1018">
        <f t="shared" ca="1" si="282"/>
        <v>159.84189954603258</v>
      </c>
      <c r="CF195" s="1018">
        <f t="shared" ca="1" si="198"/>
        <v>17.556536625579565</v>
      </c>
      <c r="CG195" s="1018">
        <f t="shared" ca="1" si="199"/>
        <v>29230.931220124945</v>
      </c>
    </row>
    <row r="196" spans="3:85" x14ac:dyDescent="0.25">
      <c r="C196" s="374"/>
      <c r="D196" s="375"/>
      <c r="E196" s="374"/>
      <c r="F196" s="375"/>
      <c r="G196" s="374"/>
      <c r="H196" s="375"/>
      <c r="I196" s="374"/>
      <c r="J196" s="375"/>
      <c r="K196" s="378"/>
      <c r="L196" s="380"/>
      <c r="M196" s="375" t="s">
        <v>16</v>
      </c>
      <c r="N196" s="377">
        <v>0.44680851100000002</v>
      </c>
      <c r="O196" s="375" t="s">
        <v>19</v>
      </c>
      <c r="P196" s="377">
        <v>0.37046004799999999</v>
      </c>
      <c r="Q196" s="375" t="s">
        <v>7</v>
      </c>
      <c r="R196" s="377">
        <v>0.26140000000000002</v>
      </c>
      <c r="S196" s="375"/>
      <c r="T196" s="385">
        <v>0</v>
      </c>
      <c r="U196" s="374"/>
      <c r="V196" s="176">
        <f t="shared" si="200"/>
        <v>0</v>
      </c>
      <c r="W196" s="176">
        <f t="shared" si="279"/>
        <v>0</v>
      </c>
      <c r="X196" s="176">
        <f>W196-W196*Calculation_sheet!O$77</f>
        <v>0</v>
      </c>
      <c r="Y196" s="34">
        <f>X196/Calculation_sheet!M$67</f>
        <v>0</v>
      </c>
      <c r="Z196" s="176">
        <f ca="1">IF(AN196&gt;0,Y196*Calculation_sheet!C$87,0)</f>
        <v>0</v>
      </c>
      <c r="AA196" s="176">
        <f t="shared" ca="1" si="280"/>
        <v>0</v>
      </c>
      <c r="AB196" s="176">
        <f ca="1">IF(AP196&gt;0,AA196*Calculation_sheet!C$94,0)</f>
        <v>0</v>
      </c>
      <c r="AC196" s="176">
        <f t="shared" ca="1" si="267"/>
        <v>0</v>
      </c>
      <c r="AD196" s="958">
        <f ca="1">AC196*Calculation_sheet!C$99</f>
        <v>0</v>
      </c>
      <c r="AE196" s="176">
        <f t="shared" ca="1" si="267"/>
        <v>0</v>
      </c>
      <c r="AF196" s="176">
        <f t="shared" ca="1" si="281"/>
        <v>0</v>
      </c>
      <c r="AG196" s="958">
        <f ca="1">AF196*User_sheet!B$77/100</f>
        <v>0</v>
      </c>
      <c r="AH196" s="313"/>
      <c r="AI196" s="886">
        <v>102</v>
      </c>
      <c r="AJ196" s="985"/>
      <c r="AK196" s="1020">
        <f t="shared" ca="1" si="194"/>
        <v>425.37598797328616</v>
      </c>
      <c r="AL196" s="954">
        <f ca="1">AK196/'102'!I$24</f>
        <v>1.5399090058371201</v>
      </c>
      <c r="AM196" s="954">
        <f ca="1">0.8*(AK196*30+'102'!D$17*0.34*30*1)</f>
        <v>12869.361080086142</v>
      </c>
      <c r="AN196" s="954">
        <f ca="1">IF(AM196&lt;User_sheet!B$50,Y196,0)</f>
        <v>0</v>
      </c>
      <c r="AO196" s="954">
        <f ca="1">20-(User_sheet!B$57/('Freestanding '!AK196+'102'!D$17*1*0.34))</f>
        <v>9.3701016586066359</v>
      </c>
      <c r="AP196" s="954">
        <f ca="1">IF(AO196&lt;User_sheet!B$59,0,BC196*AA196)</f>
        <v>0</v>
      </c>
      <c r="AQ196" s="985"/>
      <c r="AR196" s="883">
        <v>3.33</v>
      </c>
      <c r="AS196" s="883">
        <v>2.1</v>
      </c>
      <c r="AT196" s="883">
        <v>0.89</v>
      </c>
      <c r="AU196" s="883">
        <v>2.75</v>
      </c>
      <c r="AV196" s="883">
        <v>3.3</v>
      </c>
      <c r="AW196" s="883">
        <v>11357.186356387729</v>
      </c>
      <c r="AX196" s="883">
        <v>74715.401027665983</v>
      </c>
      <c r="AY196" s="883">
        <v>79015.992973719694</v>
      </c>
      <c r="AZ196" s="883">
        <v>0</v>
      </c>
      <c r="BA196" s="883">
        <v>0</v>
      </c>
      <c r="BB196" s="883">
        <v>0.6</v>
      </c>
      <c r="BC196" s="888">
        <v>1</v>
      </c>
      <c r="BD196" s="889">
        <v>0</v>
      </c>
      <c r="BE196" s="889">
        <v>0</v>
      </c>
      <c r="BF196" s="890">
        <v>0</v>
      </c>
      <c r="BG196" s="883">
        <v>0</v>
      </c>
      <c r="BH196" s="883">
        <v>1</v>
      </c>
      <c r="BI196" s="890">
        <v>0</v>
      </c>
      <c r="BJ196" s="883">
        <v>0</v>
      </c>
      <c r="BK196" s="883">
        <v>0</v>
      </c>
      <c r="BL196" s="883">
        <v>1</v>
      </c>
      <c r="BM196" s="890">
        <v>0</v>
      </c>
      <c r="BN196" s="958">
        <v>0</v>
      </c>
      <c r="BO196" s="959">
        <v>18</v>
      </c>
      <c r="BP196" s="1018">
        <f t="shared" ca="1" si="268"/>
        <v>121.5</v>
      </c>
      <c r="BQ196" s="1018">
        <f t="shared" ca="1" si="269"/>
        <v>287.05844999999999</v>
      </c>
      <c r="BR196" s="1018">
        <f t="shared" ca="1" si="270"/>
        <v>88.2</v>
      </c>
      <c r="BS196" s="1018">
        <f t="shared" ca="1" si="271"/>
        <v>110.2144959090909</v>
      </c>
      <c r="BT196" s="1018">
        <f t="shared" ca="1" si="272"/>
        <v>60.75</v>
      </c>
      <c r="BU196" s="1018">
        <f t="shared" ca="1" si="273"/>
        <v>18</v>
      </c>
      <c r="BV196" s="1018">
        <f t="shared" ca="1" si="274"/>
        <v>2.15</v>
      </c>
      <c r="BW196" s="1018">
        <v>0</v>
      </c>
      <c r="BX196" s="1018">
        <f t="shared" ca="1" si="275"/>
        <v>186.21988333756025</v>
      </c>
      <c r="BY196" s="1018">
        <f t="shared" ca="1" si="276"/>
        <v>169.68507434684082</v>
      </c>
      <c r="BZ196" s="1018">
        <f t="shared" ca="1" si="195"/>
        <v>15.457671537484117</v>
      </c>
      <c r="CA196" s="1018">
        <f t="shared" ca="1" si="196"/>
        <v>49.499999972774994</v>
      </c>
      <c r="CB196" s="1018">
        <f t="shared" ca="1" si="277"/>
        <v>4.5133587786259541</v>
      </c>
      <c r="CC196" s="1018">
        <f t="shared" si="197"/>
        <v>0</v>
      </c>
      <c r="CD196" s="1018">
        <f t="shared" ca="1" si="278"/>
        <v>425.37598797328616</v>
      </c>
      <c r="CE196" s="1018">
        <f t="shared" ca="1" si="282"/>
        <v>159.84189954603258</v>
      </c>
      <c r="CF196" s="1018">
        <f t="shared" ca="1" si="198"/>
        <v>17.556536625579565</v>
      </c>
      <c r="CG196" s="1018">
        <f t="shared" ca="1" si="199"/>
        <v>29230.931220124945</v>
      </c>
    </row>
    <row r="197" spans="3:85" x14ac:dyDescent="0.25">
      <c r="C197" s="374"/>
      <c r="D197" s="375"/>
      <c r="E197" s="374"/>
      <c r="F197" s="375"/>
      <c r="G197" s="374"/>
      <c r="H197" s="375"/>
      <c r="I197" s="374"/>
      <c r="J197" s="375"/>
      <c r="K197" s="378"/>
      <c r="L197" s="380"/>
      <c r="M197" s="375"/>
      <c r="N197" s="375"/>
      <c r="O197" s="375"/>
      <c r="P197" s="375"/>
      <c r="Q197" s="375" t="s">
        <v>22</v>
      </c>
      <c r="R197" s="377">
        <v>0.53710000000000002</v>
      </c>
      <c r="S197" s="375"/>
      <c r="T197" s="385">
        <v>0</v>
      </c>
      <c r="U197" s="374"/>
      <c r="V197" s="176">
        <f t="shared" si="200"/>
        <v>0</v>
      </c>
      <c r="W197" s="176">
        <f t="shared" si="279"/>
        <v>0</v>
      </c>
      <c r="X197" s="176">
        <f>W197-W197*Calculation_sheet!O$77</f>
        <v>0</v>
      </c>
      <c r="Y197" s="34">
        <f>X197/Calculation_sheet!M$67</f>
        <v>0</v>
      </c>
      <c r="Z197" s="176">
        <f ca="1">IF(AN197&gt;0,Y197*Calculation_sheet!C$87,0)</f>
        <v>0</v>
      </c>
      <c r="AA197" s="176">
        <f t="shared" ca="1" si="280"/>
        <v>0</v>
      </c>
      <c r="AB197" s="176">
        <f ca="1">IF(AP197&gt;0,AA197*Calculation_sheet!C$94,0)</f>
        <v>0</v>
      </c>
      <c r="AC197" s="176">
        <f t="shared" ca="1" si="267"/>
        <v>0</v>
      </c>
      <c r="AD197" s="958">
        <f ca="1">AC197*Calculation_sheet!C$99</f>
        <v>0</v>
      </c>
      <c r="AE197" s="176">
        <f t="shared" ca="1" si="267"/>
        <v>0</v>
      </c>
      <c r="AF197" s="176">
        <f t="shared" ca="1" si="281"/>
        <v>0</v>
      </c>
      <c r="AG197" s="958">
        <f ca="1">AF197*User_sheet!B$77/100</f>
        <v>0</v>
      </c>
      <c r="AH197" s="313"/>
      <c r="AI197" s="886">
        <v>102</v>
      </c>
      <c r="AJ197" s="985"/>
      <c r="AK197" s="1020">
        <f t="shared" ca="1" si="194"/>
        <v>425.37598797328616</v>
      </c>
      <c r="AL197" s="954">
        <f ca="1">AK197/'102'!I$24</f>
        <v>1.5399090058371201</v>
      </c>
      <c r="AM197" s="954">
        <f ca="1">0.8*(AK197*30+'102'!D$17*0.34*30*1)</f>
        <v>12869.361080086142</v>
      </c>
      <c r="AN197" s="954">
        <f ca="1">IF(AM197&lt;User_sheet!B$50,Y197,0)</f>
        <v>0</v>
      </c>
      <c r="AO197" s="954">
        <f ca="1">20-(User_sheet!B$57/('Freestanding '!AK197+'102'!D$17*1*0.34))</f>
        <v>9.3701016586066359</v>
      </c>
      <c r="AP197" s="954">
        <f ca="1">IF(AO197&lt;User_sheet!B$59,0,BC197*AA197)</f>
        <v>0</v>
      </c>
      <c r="AQ197" s="985"/>
      <c r="AR197" s="883">
        <v>3.33</v>
      </c>
      <c r="AS197" s="883">
        <v>2.1</v>
      </c>
      <c r="AT197" s="883">
        <v>0.89</v>
      </c>
      <c r="AU197" s="883">
        <v>2.75</v>
      </c>
      <c r="AV197" s="883">
        <v>3.3</v>
      </c>
      <c r="AW197" s="883">
        <v>11357.186356387729</v>
      </c>
      <c r="AX197" s="883">
        <v>74715.401027665983</v>
      </c>
      <c r="AY197" s="883">
        <v>79015.992973719694</v>
      </c>
      <c r="AZ197" s="883">
        <v>0</v>
      </c>
      <c r="BA197" s="883">
        <v>0</v>
      </c>
      <c r="BB197" s="883">
        <v>0.6</v>
      </c>
      <c r="BC197" s="888">
        <v>0</v>
      </c>
      <c r="BD197" s="889">
        <v>1</v>
      </c>
      <c r="BE197" s="889">
        <v>0</v>
      </c>
      <c r="BF197" s="890">
        <v>0</v>
      </c>
      <c r="BG197" s="883">
        <v>1</v>
      </c>
      <c r="BH197" s="883">
        <v>0</v>
      </c>
      <c r="BI197" s="890">
        <v>0</v>
      </c>
      <c r="BJ197" s="883">
        <v>0</v>
      </c>
      <c r="BK197" s="883">
        <v>1</v>
      </c>
      <c r="BL197" s="883">
        <v>0</v>
      </c>
      <c r="BM197" s="890">
        <v>0</v>
      </c>
      <c r="BN197" s="958">
        <v>0</v>
      </c>
      <c r="BO197" s="959">
        <v>18</v>
      </c>
      <c r="BP197" s="1018">
        <f t="shared" ca="1" si="268"/>
        <v>121.5</v>
      </c>
      <c r="BQ197" s="1018">
        <f t="shared" ca="1" si="269"/>
        <v>287.05844999999999</v>
      </c>
      <c r="BR197" s="1018">
        <f t="shared" ca="1" si="270"/>
        <v>88.2</v>
      </c>
      <c r="BS197" s="1018">
        <f t="shared" ca="1" si="271"/>
        <v>110.2144959090909</v>
      </c>
      <c r="BT197" s="1018">
        <f t="shared" ca="1" si="272"/>
        <v>60.75</v>
      </c>
      <c r="BU197" s="1018">
        <f t="shared" ca="1" si="273"/>
        <v>18</v>
      </c>
      <c r="BV197" s="1018">
        <f t="shared" ca="1" si="274"/>
        <v>2.15</v>
      </c>
      <c r="BW197" s="1018">
        <v>0</v>
      </c>
      <c r="BX197" s="1018">
        <f t="shared" ca="1" si="275"/>
        <v>186.21988333756025</v>
      </c>
      <c r="BY197" s="1018">
        <f t="shared" ca="1" si="276"/>
        <v>169.68507434684082</v>
      </c>
      <c r="BZ197" s="1018">
        <f t="shared" ca="1" si="195"/>
        <v>15.457671537484117</v>
      </c>
      <c r="CA197" s="1018">
        <f t="shared" ca="1" si="196"/>
        <v>49.499999972774994</v>
      </c>
      <c r="CB197" s="1018">
        <f t="shared" ca="1" si="277"/>
        <v>4.5133587786259541</v>
      </c>
      <c r="CC197" s="1018">
        <f t="shared" si="197"/>
        <v>0</v>
      </c>
      <c r="CD197" s="1018">
        <f t="shared" ca="1" si="278"/>
        <v>425.37598797328616</v>
      </c>
      <c r="CE197" s="1018">
        <f t="shared" ca="1" si="282"/>
        <v>159.84189954603258</v>
      </c>
      <c r="CF197" s="1018">
        <f t="shared" ca="1" si="198"/>
        <v>17.556536625579565</v>
      </c>
      <c r="CG197" s="1018">
        <f t="shared" ca="1" si="199"/>
        <v>29230.931220124945</v>
      </c>
    </row>
    <row r="198" spans="3:85" x14ac:dyDescent="0.25">
      <c r="C198" s="374"/>
      <c r="D198" s="375"/>
      <c r="E198" s="374"/>
      <c r="F198" s="375"/>
      <c r="G198" s="374"/>
      <c r="H198" s="375"/>
      <c r="I198" s="374"/>
      <c r="J198" s="375"/>
      <c r="K198" s="378"/>
      <c r="L198" s="380"/>
      <c r="M198" s="375"/>
      <c r="N198" s="375"/>
      <c r="O198" s="375" t="s">
        <v>18</v>
      </c>
      <c r="P198" s="377">
        <v>0.80827067699999999</v>
      </c>
      <c r="Q198" s="375" t="s">
        <v>7</v>
      </c>
      <c r="R198" s="377">
        <v>0.46289999999999998</v>
      </c>
      <c r="S198" s="375"/>
      <c r="T198" s="385">
        <v>0</v>
      </c>
      <c r="U198" s="374"/>
      <c r="V198" s="176">
        <f t="shared" si="200"/>
        <v>0</v>
      </c>
      <c r="W198" s="176">
        <f t="shared" si="279"/>
        <v>0</v>
      </c>
      <c r="X198" s="176">
        <f>W198-W198*Calculation_sheet!O$77</f>
        <v>0</v>
      </c>
      <c r="Y198" s="34">
        <f>X198/Calculation_sheet!M$67</f>
        <v>0</v>
      </c>
      <c r="Z198" s="176">
        <f ca="1">IF(AN198&gt;0,Y198*Calculation_sheet!C$87,0)</f>
        <v>0</v>
      </c>
      <c r="AA198" s="176">
        <f t="shared" ca="1" si="280"/>
        <v>0</v>
      </c>
      <c r="AB198" s="176">
        <f ca="1">IF(AP198&gt;0,AA198*Calculation_sheet!C$94,0)</f>
        <v>0</v>
      </c>
      <c r="AC198" s="176">
        <f t="shared" ca="1" si="267"/>
        <v>0</v>
      </c>
      <c r="AD198" s="958">
        <f ca="1">AC198*Calculation_sheet!C$99</f>
        <v>0</v>
      </c>
      <c r="AE198" s="176">
        <f t="shared" ca="1" si="267"/>
        <v>0</v>
      </c>
      <c r="AF198" s="176">
        <f t="shared" ca="1" si="281"/>
        <v>0</v>
      </c>
      <c r="AG198" s="958">
        <f ca="1">AF198*User_sheet!B$77/100</f>
        <v>0</v>
      </c>
      <c r="AH198" s="313"/>
      <c r="AI198" s="886">
        <v>102</v>
      </c>
      <c r="AJ198" s="985"/>
      <c r="AK198" s="1020">
        <f t="shared" ca="1" si="194"/>
        <v>425.37598797328616</v>
      </c>
      <c r="AL198" s="954">
        <f ca="1">AK198/'102'!I$24</f>
        <v>1.5399090058371201</v>
      </c>
      <c r="AM198" s="954">
        <f ca="1">0.8*(AK198*30+'102'!D$17*0.34*30*1)</f>
        <v>12869.361080086142</v>
      </c>
      <c r="AN198" s="954">
        <f ca="1">IF(AM198&lt;User_sheet!B$50,Y198,0)</f>
        <v>0</v>
      </c>
      <c r="AO198" s="954">
        <f ca="1">20-(User_sheet!B$57/('Freestanding '!AK198+'102'!D$17*1*0.34))</f>
        <v>9.3701016586066359</v>
      </c>
      <c r="AP198" s="954">
        <f ca="1">IF(AO198&lt;User_sheet!B$59,0,BC198*AA198)</f>
        <v>0</v>
      </c>
      <c r="AQ198" s="985"/>
      <c r="AR198" s="883">
        <v>3.33</v>
      </c>
      <c r="AS198" s="883">
        <v>2.1</v>
      </c>
      <c r="AT198" s="883">
        <v>0.89</v>
      </c>
      <c r="AU198" s="883">
        <v>2.75</v>
      </c>
      <c r="AV198" s="883">
        <v>3.3</v>
      </c>
      <c r="AW198" s="883">
        <v>11357.186356387729</v>
      </c>
      <c r="AX198" s="883">
        <v>74715.401027665983</v>
      </c>
      <c r="AY198" s="883">
        <v>79015.992973719694</v>
      </c>
      <c r="AZ198" s="883">
        <v>0</v>
      </c>
      <c r="BA198" s="883">
        <v>0</v>
      </c>
      <c r="BB198" s="883">
        <v>0.6</v>
      </c>
      <c r="BC198" s="888">
        <v>0</v>
      </c>
      <c r="BD198" s="889">
        <v>1</v>
      </c>
      <c r="BE198" s="889">
        <v>0</v>
      </c>
      <c r="BF198" s="890">
        <v>0</v>
      </c>
      <c r="BG198" s="883">
        <v>1</v>
      </c>
      <c r="BH198" s="883">
        <v>0</v>
      </c>
      <c r="BI198" s="890">
        <v>0</v>
      </c>
      <c r="BJ198" s="883">
        <v>0</v>
      </c>
      <c r="BK198" s="883">
        <v>0</v>
      </c>
      <c r="BL198" s="883">
        <v>1</v>
      </c>
      <c r="BM198" s="890">
        <v>0</v>
      </c>
      <c r="BN198" s="958">
        <v>0</v>
      </c>
      <c r="BO198" s="959">
        <v>18</v>
      </c>
      <c r="BP198" s="1018">
        <f t="shared" ca="1" si="268"/>
        <v>121.5</v>
      </c>
      <c r="BQ198" s="1018">
        <f t="shared" ca="1" si="269"/>
        <v>287.05844999999999</v>
      </c>
      <c r="BR198" s="1018">
        <f t="shared" ca="1" si="270"/>
        <v>88.2</v>
      </c>
      <c r="BS198" s="1018">
        <f t="shared" ca="1" si="271"/>
        <v>110.2144959090909</v>
      </c>
      <c r="BT198" s="1018">
        <f t="shared" ca="1" si="272"/>
        <v>60.75</v>
      </c>
      <c r="BU198" s="1018">
        <f t="shared" ca="1" si="273"/>
        <v>18</v>
      </c>
      <c r="BV198" s="1018">
        <f t="shared" ca="1" si="274"/>
        <v>2.15</v>
      </c>
      <c r="BW198" s="1018">
        <v>0</v>
      </c>
      <c r="BX198" s="1018">
        <f t="shared" ca="1" si="275"/>
        <v>186.21988333756025</v>
      </c>
      <c r="BY198" s="1018">
        <f t="shared" ca="1" si="276"/>
        <v>169.68507434684082</v>
      </c>
      <c r="BZ198" s="1018">
        <f t="shared" ca="1" si="195"/>
        <v>15.457671537484117</v>
      </c>
      <c r="CA198" s="1018">
        <f t="shared" ca="1" si="196"/>
        <v>49.499999972774994</v>
      </c>
      <c r="CB198" s="1018">
        <f t="shared" ca="1" si="277"/>
        <v>4.5133587786259541</v>
      </c>
      <c r="CC198" s="1018">
        <f t="shared" si="197"/>
        <v>0</v>
      </c>
      <c r="CD198" s="1018">
        <f t="shared" ca="1" si="278"/>
        <v>425.37598797328616</v>
      </c>
      <c r="CE198" s="1018">
        <f t="shared" ca="1" si="282"/>
        <v>159.84189954603258</v>
      </c>
      <c r="CF198" s="1018">
        <f t="shared" ca="1" si="198"/>
        <v>17.556536625579565</v>
      </c>
      <c r="CG198" s="1018">
        <f t="shared" ca="1" si="199"/>
        <v>29230.931220124945</v>
      </c>
    </row>
    <row r="199" spans="3:85" x14ac:dyDescent="0.25">
      <c r="C199" s="374"/>
      <c r="D199" s="375"/>
      <c r="E199" s="374"/>
      <c r="F199" s="375"/>
      <c r="G199" s="374"/>
      <c r="H199" s="375"/>
      <c r="I199" s="374"/>
      <c r="J199" s="375"/>
      <c r="K199" s="378"/>
      <c r="L199" s="380"/>
      <c r="M199" s="375"/>
      <c r="N199" s="375"/>
      <c r="O199" s="375"/>
      <c r="P199" s="375"/>
      <c r="Q199" s="375" t="s">
        <v>22</v>
      </c>
      <c r="R199" s="377">
        <v>0.53710000000000002</v>
      </c>
      <c r="S199" s="375"/>
      <c r="T199" s="385">
        <v>0</v>
      </c>
      <c r="U199" s="374"/>
      <c r="V199" s="176">
        <f t="shared" si="200"/>
        <v>0</v>
      </c>
      <c r="W199" s="176">
        <f t="shared" si="279"/>
        <v>0</v>
      </c>
      <c r="X199" s="176">
        <f>W199-W199*Calculation_sheet!O$77</f>
        <v>0</v>
      </c>
      <c r="Y199" s="34">
        <f>X199/Calculation_sheet!M$67</f>
        <v>0</v>
      </c>
      <c r="Z199" s="176">
        <f ca="1">IF(AN199&gt;0,Y199*Calculation_sheet!C$87,0)</f>
        <v>0</v>
      </c>
      <c r="AA199" s="176">
        <f t="shared" ca="1" si="280"/>
        <v>0</v>
      </c>
      <c r="AB199" s="176">
        <f ca="1">IF(AP199&gt;0,AA199*Calculation_sheet!C$94,0)</f>
        <v>0</v>
      </c>
      <c r="AC199" s="176">
        <f t="shared" ca="1" si="267"/>
        <v>0</v>
      </c>
      <c r="AD199" s="958">
        <f ca="1">AC199*Calculation_sheet!C$99</f>
        <v>0</v>
      </c>
      <c r="AE199" s="176">
        <f t="shared" ca="1" si="267"/>
        <v>0</v>
      </c>
      <c r="AF199" s="176">
        <f t="shared" ca="1" si="281"/>
        <v>0</v>
      </c>
      <c r="AG199" s="958">
        <f ca="1">AF199*User_sheet!B$77/100</f>
        <v>0</v>
      </c>
      <c r="AH199" s="313"/>
      <c r="AI199" s="886">
        <v>102</v>
      </c>
      <c r="AJ199" s="985"/>
      <c r="AK199" s="1020">
        <f t="shared" ca="1" si="194"/>
        <v>425.37598797328616</v>
      </c>
      <c r="AL199" s="954">
        <f ca="1">AK199/'102'!I$24</f>
        <v>1.5399090058371201</v>
      </c>
      <c r="AM199" s="954">
        <f ca="1">0.8*(AK199*30+'102'!D$17*0.34*30*1)</f>
        <v>12869.361080086142</v>
      </c>
      <c r="AN199" s="954">
        <f ca="1">IF(AM199&lt;User_sheet!B$50,Y199,0)</f>
        <v>0</v>
      </c>
      <c r="AO199" s="954">
        <f ca="1">20-(User_sheet!B$57/('Freestanding '!AK199+'102'!D$17*1*0.34))</f>
        <v>9.3701016586066359</v>
      </c>
      <c r="AP199" s="954">
        <f ca="1">IF(AO199&lt;User_sheet!B$59,0,BC199*AA199)</f>
        <v>0</v>
      </c>
      <c r="AQ199" s="985"/>
      <c r="AR199" s="883">
        <v>3.33</v>
      </c>
      <c r="AS199" s="883">
        <v>2.1</v>
      </c>
      <c r="AT199" s="883">
        <v>0.89</v>
      </c>
      <c r="AU199" s="883">
        <v>2.75</v>
      </c>
      <c r="AV199" s="883">
        <v>3.3</v>
      </c>
      <c r="AW199" s="883">
        <v>11357.186356387729</v>
      </c>
      <c r="AX199" s="883">
        <v>74715.401027665983</v>
      </c>
      <c r="AY199" s="883">
        <v>79015.992973719694</v>
      </c>
      <c r="AZ199" s="883">
        <v>0</v>
      </c>
      <c r="BA199" s="883">
        <v>0</v>
      </c>
      <c r="BB199" s="883">
        <v>0.6</v>
      </c>
      <c r="BC199" s="888">
        <v>0</v>
      </c>
      <c r="BD199" s="889">
        <v>1</v>
      </c>
      <c r="BE199" s="889">
        <v>0</v>
      </c>
      <c r="BF199" s="890">
        <v>0</v>
      </c>
      <c r="BG199" s="883">
        <v>0</v>
      </c>
      <c r="BH199" s="883">
        <v>1</v>
      </c>
      <c r="BI199" s="890">
        <v>0</v>
      </c>
      <c r="BJ199" s="883">
        <v>0</v>
      </c>
      <c r="BK199" s="883">
        <v>1</v>
      </c>
      <c r="BL199" s="883">
        <v>0</v>
      </c>
      <c r="BM199" s="890">
        <v>0</v>
      </c>
      <c r="BN199" s="958">
        <v>0</v>
      </c>
      <c r="BO199" s="959">
        <v>18</v>
      </c>
      <c r="BP199" s="1018">
        <f t="shared" ca="1" si="268"/>
        <v>121.5</v>
      </c>
      <c r="BQ199" s="1018">
        <f t="shared" ca="1" si="269"/>
        <v>287.05844999999999</v>
      </c>
      <c r="BR199" s="1018">
        <f t="shared" ca="1" si="270"/>
        <v>88.2</v>
      </c>
      <c r="BS199" s="1018">
        <f t="shared" ca="1" si="271"/>
        <v>110.2144959090909</v>
      </c>
      <c r="BT199" s="1018">
        <f t="shared" ca="1" si="272"/>
        <v>60.75</v>
      </c>
      <c r="BU199" s="1018">
        <f t="shared" ca="1" si="273"/>
        <v>18</v>
      </c>
      <c r="BV199" s="1018">
        <f t="shared" ca="1" si="274"/>
        <v>2.15</v>
      </c>
      <c r="BW199" s="1018">
        <v>0</v>
      </c>
      <c r="BX199" s="1018">
        <f t="shared" ca="1" si="275"/>
        <v>186.21988333756025</v>
      </c>
      <c r="BY199" s="1018">
        <f t="shared" ca="1" si="276"/>
        <v>169.68507434684082</v>
      </c>
      <c r="BZ199" s="1018">
        <f t="shared" ca="1" si="195"/>
        <v>15.457671537484117</v>
      </c>
      <c r="CA199" s="1018">
        <f t="shared" ca="1" si="196"/>
        <v>49.499999972774994</v>
      </c>
      <c r="CB199" s="1018">
        <f t="shared" ca="1" si="277"/>
        <v>4.5133587786259541</v>
      </c>
      <c r="CC199" s="1018">
        <f t="shared" si="197"/>
        <v>0</v>
      </c>
      <c r="CD199" s="1018">
        <f t="shared" ca="1" si="278"/>
        <v>425.37598797328616</v>
      </c>
      <c r="CE199" s="1018">
        <f t="shared" ca="1" si="282"/>
        <v>159.84189954603258</v>
      </c>
      <c r="CF199" s="1018">
        <f t="shared" ca="1" si="198"/>
        <v>17.556536625579565</v>
      </c>
      <c r="CG199" s="1018">
        <f t="shared" ca="1" si="199"/>
        <v>29230.931220124945</v>
      </c>
    </row>
    <row r="200" spans="3:85" x14ac:dyDescent="0.25">
      <c r="C200" s="374"/>
      <c r="D200" s="375"/>
      <c r="E200" s="374"/>
      <c r="F200" s="375"/>
      <c r="G200" s="374"/>
      <c r="H200" s="375"/>
      <c r="I200" s="374"/>
      <c r="J200" s="375"/>
      <c r="K200" s="378"/>
      <c r="L200" s="380"/>
      <c r="M200" s="375" t="s">
        <v>22</v>
      </c>
      <c r="N200" s="377">
        <v>0.44680851100000002</v>
      </c>
      <c r="O200" s="375" t="s">
        <v>20</v>
      </c>
      <c r="P200" s="377">
        <v>0.19172932300000001</v>
      </c>
      <c r="Q200" s="375" t="s">
        <v>7</v>
      </c>
      <c r="R200" s="377">
        <v>0.46289999999999998</v>
      </c>
      <c r="S200" s="375"/>
      <c r="T200" s="385">
        <v>0</v>
      </c>
      <c r="U200" s="374"/>
      <c r="V200" s="176">
        <f t="shared" si="200"/>
        <v>0</v>
      </c>
      <c r="W200" s="176">
        <f t="shared" si="279"/>
        <v>0</v>
      </c>
      <c r="X200" s="176">
        <f>W200-W200*Calculation_sheet!O$77</f>
        <v>0</v>
      </c>
      <c r="Y200" s="34">
        <f>X200/Calculation_sheet!M$67</f>
        <v>0</v>
      </c>
      <c r="Z200" s="176">
        <f ca="1">IF(AN200&gt;0,Y200*Calculation_sheet!C$87,0)</f>
        <v>0</v>
      </c>
      <c r="AA200" s="176">
        <f t="shared" ca="1" si="280"/>
        <v>0</v>
      </c>
      <c r="AB200" s="176">
        <f ca="1">IF(AP200&gt;0,AA200*Calculation_sheet!C$94,0)</f>
        <v>0</v>
      </c>
      <c r="AC200" s="176">
        <f t="shared" ca="1" si="267"/>
        <v>0</v>
      </c>
      <c r="AD200" s="958">
        <f ca="1">AC200*Calculation_sheet!C$99</f>
        <v>0</v>
      </c>
      <c r="AE200" s="176">
        <f t="shared" ca="1" si="267"/>
        <v>0</v>
      </c>
      <c r="AF200" s="176">
        <f t="shared" ca="1" si="281"/>
        <v>0</v>
      </c>
      <c r="AG200" s="958">
        <f ca="1">AF200*User_sheet!B$77/100</f>
        <v>0</v>
      </c>
      <c r="AH200" s="313"/>
      <c r="AI200" s="886">
        <v>102</v>
      </c>
      <c r="AJ200" s="985"/>
      <c r="AK200" s="1020">
        <f t="shared" ca="1" si="194"/>
        <v>425.37598797328616</v>
      </c>
      <c r="AL200" s="954">
        <f ca="1">AK200/'102'!I$24</f>
        <v>1.5399090058371201</v>
      </c>
      <c r="AM200" s="954">
        <f ca="1">0.8*(AK200*30+'102'!D$17*0.34*30*1)</f>
        <v>12869.361080086142</v>
      </c>
      <c r="AN200" s="954">
        <f ca="1">IF(AM200&lt;User_sheet!B$50,Y200,0)</f>
        <v>0</v>
      </c>
      <c r="AO200" s="954">
        <f ca="1">20-(User_sheet!B$57/('Freestanding '!AK200+'102'!D$17*1*0.34))</f>
        <v>9.3701016586066359</v>
      </c>
      <c r="AP200" s="954">
        <f ca="1">IF(AO200&lt;User_sheet!B$59,0,BC200*AA200)</f>
        <v>0</v>
      </c>
      <c r="AQ200" s="985"/>
      <c r="AR200" s="883">
        <v>3.33</v>
      </c>
      <c r="AS200" s="883">
        <v>2.1</v>
      </c>
      <c r="AT200" s="883">
        <v>0.89</v>
      </c>
      <c r="AU200" s="883">
        <v>2.75</v>
      </c>
      <c r="AV200" s="883">
        <v>3.3</v>
      </c>
      <c r="AW200" s="883">
        <v>11357.186356387729</v>
      </c>
      <c r="AX200" s="883">
        <v>74715.401027665983</v>
      </c>
      <c r="AY200" s="883">
        <v>79015.992973719694</v>
      </c>
      <c r="AZ200" s="883">
        <v>0</v>
      </c>
      <c r="BA200" s="883">
        <v>0</v>
      </c>
      <c r="BB200" s="883">
        <v>0.6</v>
      </c>
      <c r="BC200" s="888">
        <v>0</v>
      </c>
      <c r="BD200" s="889">
        <v>1</v>
      </c>
      <c r="BE200" s="889">
        <v>0</v>
      </c>
      <c r="BF200" s="890">
        <v>0</v>
      </c>
      <c r="BG200" s="883">
        <v>0</v>
      </c>
      <c r="BH200" s="883">
        <v>1</v>
      </c>
      <c r="BI200" s="890">
        <v>0</v>
      </c>
      <c r="BJ200" s="883">
        <v>0</v>
      </c>
      <c r="BK200" s="883">
        <v>0</v>
      </c>
      <c r="BL200" s="883">
        <v>1</v>
      </c>
      <c r="BM200" s="890">
        <v>0</v>
      </c>
      <c r="BN200" s="958">
        <v>0</v>
      </c>
      <c r="BO200" s="959">
        <v>18</v>
      </c>
      <c r="BP200" s="1018">
        <f t="shared" ca="1" si="268"/>
        <v>121.5</v>
      </c>
      <c r="BQ200" s="1018">
        <f t="shared" ca="1" si="269"/>
        <v>287.05844999999999</v>
      </c>
      <c r="BR200" s="1018">
        <f t="shared" ca="1" si="270"/>
        <v>88.2</v>
      </c>
      <c r="BS200" s="1018">
        <f t="shared" ca="1" si="271"/>
        <v>110.2144959090909</v>
      </c>
      <c r="BT200" s="1018">
        <f t="shared" ca="1" si="272"/>
        <v>60.75</v>
      </c>
      <c r="BU200" s="1018">
        <f t="shared" ca="1" si="273"/>
        <v>18</v>
      </c>
      <c r="BV200" s="1018">
        <f t="shared" ca="1" si="274"/>
        <v>2.15</v>
      </c>
      <c r="BW200" s="1018">
        <v>0</v>
      </c>
      <c r="BX200" s="1018">
        <f t="shared" ca="1" si="275"/>
        <v>186.21988333756025</v>
      </c>
      <c r="BY200" s="1018">
        <f t="shared" ca="1" si="276"/>
        <v>169.68507434684082</v>
      </c>
      <c r="BZ200" s="1018">
        <f t="shared" ca="1" si="195"/>
        <v>15.457671537484117</v>
      </c>
      <c r="CA200" s="1018">
        <f t="shared" ca="1" si="196"/>
        <v>49.499999972774994</v>
      </c>
      <c r="CB200" s="1018">
        <f t="shared" ca="1" si="277"/>
        <v>4.5133587786259541</v>
      </c>
      <c r="CC200" s="1018">
        <f t="shared" si="197"/>
        <v>0</v>
      </c>
      <c r="CD200" s="1018">
        <f t="shared" ca="1" si="278"/>
        <v>425.37598797328616</v>
      </c>
      <c r="CE200" s="1018">
        <f t="shared" ca="1" si="282"/>
        <v>159.84189954603258</v>
      </c>
      <c r="CF200" s="1018">
        <f t="shared" ca="1" si="198"/>
        <v>17.556536625579565</v>
      </c>
      <c r="CG200" s="1018">
        <f t="shared" ca="1" si="199"/>
        <v>29230.931220124945</v>
      </c>
    </row>
    <row r="201" spans="3:85" x14ac:dyDescent="0.25">
      <c r="C201" s="374"/>
      <c r="D201" s="375"/>
      <c r="E201" s="374"/>
      <c r="F201" s="375"/>
      <c r="G201" s="374"/>
      <c r="H201" s="375"/>
      <c r="I201" s="374"/>
      <c r="J201" s="375"/>
      <c r="K201" s="378"/>
      <c r="L201" s="380"/>
      <c r="M201" s="375" t="s">
        <v>7</v>
      </c>
      <c r="N201" s="377">
        <v>2.1276595999999998E-2</v>
      </c>
      <c r="O201" s="375" t="s">
        <v>23</v>
      </c>
      <c r="P201" s="377">
        <v>1</v>
      </c>
      <c r="Q201" s="375" t="s">
        <v>7</v>
      </c>
      <c r="R201" s="377">
        <v>1</v>
      </c>
      <c r="S201" s="375"/>
      <c r="T201" s="385">
        <v>0</v>
      </c>
      <c r="U201" s="374"/>
      <c r="V201" s="176">
        <f t="shared" si="200"/>
        <v>0</v>
      </c>
      <c r="W201" s="176">
        <f t="shared" si="279"/>
        <v>0</v>
      </c>
      <c r="X201" s="176">
        <f>W201-W201*Calculation_sheet!O$77</f>
        <v>0</v>
      </c>
      <c r="Y201" s="34">
        <f>X201/Calculation_sheet!M$67</f>
        <v>0</v>
      </c>
      <c r="Z201" s="176">
        <f ca="1">IF(AN201&gt;0,Y201*Calculation_sheet!C$87,0)</f>
        <v>0</v>
      </c>
      <c r="AA201" s="176">
        <f t="shared" ca="1" si="280"/>
        <v>0</v>
      </c>
      <c r="AB201" s="176">
        <f ca="1">IF(AP201&gt;0,AA201*Calculation_sheet!C$94,0)</f>
        <v>0</v>
      </c>
      <c r="AC201" s="176">
        <f t="shared" ca="1" si="267"/>
        <v>0</v>
      </c>
      <c r="AD201" s="958">
        <f ca="1">AC201*Calculation_sheet!C$99</f>
        <v>0</v>
      </c>
      <c r="AE201" s="176">
        <f t="shared" ca="1" si="267"/>
        <v>0</v>
      </c>
      <c r="AF201" s="176">
        <f t="shared" ca="1" si="281"/>
        <v>0</v>
      </c>
      <c r="AG201" s="958">
        <f ca="1">AF201*User_sheet!B$77/100</f>
        <v>0</v>
      </c>
      <c r="AH201" s="313"/>
      <c r="AI201" s="886">
        <v>102</v>
      </c>
      <c r="AJ201" s="985"/>
      <c r="AK201" s="1020">
        <f t="shared" ca="1" si="194"/>
        <v>425.37598797328616</v>
      </c>
      <c r="AL201" s="954">
        <f ca="1">AK201/'102'!I$24</f>
        <v>1.5399090058371201</v>
      </c>
      <c r="AM201" s="954">
        <f ca="1">0.8*(AK201*30+'102'!D$17*0.34*30*1)</f>
        <v>12869.361080086142</v>
      </c>
      <c r="AN201" s="954">
        <f ca="1">IF(AM201&lt;User_sheet!B$50,Y201,0)</f>
        <v>0</v>
      </c>
      <c r="AO201" s="954">
        <f ca="1">20-(User_sheet!B$57/('Freestanding '!AK201+'102'!D$17*1*0.34))</f>
        <v>9.3701016586066359</v>
      </c>
      <c r="AP201" s="954">
        <f ca="1">IF(AO201&lt;User_sheet!B$59,0,BC201*AA201)</f>
        <v>0</v>
      </c>
      <c r="AQ201" s="985"/>
      <c r="AR201" s="883">
        <v>3.33</v>
      </c>
      <c r="AS201" s="883">
        <v>2.1</v>
      </c>
      <c r="AT201" s="883">
        <v>0.89</v>
      </c>
      <c r="AU201" s="883">
        <v>2.75</v>
      </c>
      <c r="AV201" s="883">
        <v>3.3</v>
      </c>
      <c r="AW201" s="883">
        <v>11357.186356387729</v>
      </c>
      <c r="AX201" s="883">
        <v>74715.401027665983</v>
      </c>
      <c r="AY201" s="883">
        <v>79015.992973719694</v>
      </c>
      <c r="AZ201" s="883">
        <v>0</v>
      </c>
      <c r="BA201" s="883">
        <v>0</v>
      </c>
      <c r="BB201" s="883">
        <v>0.6</v>
      </c>
      <c r="BC201" s="888">
        <v>0</v>
      </c>
      <c r="BD201" s="889">
        <v>0</v>
      </c>
      <c r="BE201" s="889">
        <v>1</v>
      </c>
      <c r="BF201" s="890">
        <v>0</v>
      </c>
      <c r="BG201" s="883">
        <v>0</v>
      </c>
      <c r="BH201" s="883">
        <v>0</v>
      </c>
      <c r="BI201" s="890">
        <v>1</v>
      </c>
      <c r="BJ201" s="883">
        <v>0</v>
      </c>
      <c r="BK201" s="883">
        <v>0</v>
      </c>
      <c r="BL201" s="883">
        <v>1</v>
      </c>
      <c r="BM201" s="890">
        <v>0</v>
      </c>
      <c r="BN201" s="958">
        <v>0</v>
      </c>
      <c r="BO201" s="959">
        <v>18</v>
      </c>
      <c r="BP201" s="1018">
        <f t="shared" ca="1" si="268"/>
        <v>121.5</v>
      </c>
      <c r="BQ201" s="1018">
        <f t="shared" ca="1" si="269"/>
        <v>287.05844999999999</v>
      </c>
      <c r="BR201" s="1018">
        <f t="shared" ca="1" si="270"/>
        <v>88.2</v>
      </c>
      <c r="BS201" s="1018">
        <f t="shared" ca="1" si="271"/>
        <v>110.2144959090909</v>
      </c>
      <c r="BT201" s="1018">
        <f t="shared" ca="1" si="272"/>
        <v>60.75</v>
      </c>
      <c r="BU201" s="1018">
        <f t="shared" ca="1" si="273"/>
        <v>18</v>
      </c>
      <c r="BV201" s="1018">
        <f t="shared" ca="1" si="274"/>
        <v>2.15</v>
      </c>
      <c r="BW201" s="1018">
        <v>0</v>
      </c>
      <c r="BX201" s="1018">
        <f t="shared" ca="1" si="275"/>
        <v>186.21988333756025</v>
      </c>
      <c r="BY201" s="1018">
        <f t="shared" ca="1" si="276"/>
        <v>169.68507434684082</v>
      </c>
      <c r="BZ201" s="1018">
        <f t="shared" ca="1" si="195"/>
        <v>15.457671537484117</v>
      </c>
      <c r="CA201" s="1018">
        <f t="shared" ca="1" si="196"/>
        <v>49.499999972774994</v>
      </c>
      <c r="CB201" s="1018">
        <f t="shared" ca="1" si="277"/>
        <v>4.5133587786259541</v>
      </c>
      <c r="CC201" s="1018">
        <f t="shared" si="197"/>
        <v>0</v>
      </c>
      <c r="CD201" s="1018">
        <f t="shared" ca="1" si="278"/>
        <v>425.37598797328616</v>
      </c>
      <c r="CE201" s="1018">
        <f t="shared" ca="1" si="282"/>
        <v>159.84189954603258</v>
      </c>
      <c r="CF201" s="1018">
        <f t="shared" ca="1" si="198"/>
        <v>17.556536625579565</v>
      </c>
      <c r="CG201" s="1018">
        <f t="shared" ca="1" si="199"/>
        <v>29230.931220124945</v>
      </c>
    </row>
    <row r="202" spans="3:85" x14ac:dyDescent="0.25">
      <c r="C202" s="374" t="s">
        <v>2</v>
      </c>
      <c r="D202" s="377">
        <v>0.22650000000000001</v>
      </c>
      <c r="E202" s="374"/>
      <c r="F202" s="375"/>
      <c r="G202" s="374"/>
      <c r="H202" s="375"/>
      <c r="I202" s="374"/>
      <c r="J202" s="375"/>
      <c r="K202" s="374"/>
      <c r="L202" s="376"/>
      <c r="M202" s="375"/>
      <c r="N202" s="375"/>
      <c r="O202" s="375" t="s">
        <v>18</v>
      </c>
      <c r="P202" s="377">
        <v>0.15910607099999999</v>
      </c>
      <c r="Q202" s="375" t="s">
        <v>17</v>
      </c>
      <c r="R202" s="377">
        <v>1</v>
      </c>
      <c r="S202" s="375"/>
      <c r="T202" s="385">
        <v>0</v>
      </c>
      <c r="U202" s="374"/>
      <c r="V202" s="176">
        <f t="shared" si="200"/>
        <v>0</v>
      </c>
      <c r="W202" s="176">
        <f t="shared" si="279"/>
        <v>0</v>
      </c>
      <c r="X202" s="176">
        <f>W202-W202*Calculation_sheet!O$77</f>
        <v>0</v>
      </c>
      <c r="Y202" s="34">
        <f>X202/Calculation_sheet!M$67</f>
        <v>0</v>
      </c>
      <c r="Z202" s="176">
        <f ca="1">IF(AN202&gt;0,Y202*Calculation_sheet!C$87,0)</f>
        <v>0</v>
      </c>
      <c r="AA202" s="176">
        <f t="shared" ca="1" si="280"/>
        <v>0</v>
      </c>
      <c r="AB202" s="176">
        <f ca="1">IF(AP202&gt;0,AA202*Calculation_sheet!C$94,0)</f>
        <v>0</v>
      </c>
      <c r="AC202" s="176">
        <f t="shared" ca="1" si="267"/>
        <v>0</v>
      </c>
      <c r="AD202" s="958">
        <f ca="1">AC202*Calculation_sheet!C$99</f>
        <v>0</v>
      </c>
      <c r="AE202" s="176">
        <f t="shared" ca="1" si="267"/>
        <v>0</v>
      </c>
      <c r="AF202" s="176">
        <f t="shared" ca="1" si="281"/>
        <v>0</v>
      </c>
      <c r="AG202" s="958">
        <f ca="1">AF202*User_sheet!B$77/100</f>
        <v>0</v>
      </c>
      <c r="AH202" s="313"/>
      <c r="AI202" s="886">
        <v>102</v>
      </c>
      <c r="AJ202" s="985"/>
      <c r="AK202" s="1020">
        <f t="shared" ca="1" si="194"/>
        <v>425.37598797328616</v>
      </c>
      <c r="AL202" s="954">
        <f ca="1">AK202/'102'!I$24</f>
        <v>1.5399090058371201</v>
      </c>
      <c r="AM202" s="954">
        <f ca="1">0.8*(AK202*30+'102'!D$17*0.34*30*1)</f>
        <v>12869.361080086142</v>
      </c>
      <c r="AN202" s="954">
        <f ca="1">IF(AM202&lt;User_sheet!B$50,Y202,0)</f>
        <v>0</v>
      </c>
      <c r="AO202" s="954">
        <f ca="1">20-(User_sheet!B$57/('Freestanding '!AK202+'102'!D$17*1*0.34))</f>
        <v>9.3701016586066359</v>
      </c>
      <c r="AP202" s="954">
        <f ca="1">IF(AO202&lt;User_sheet!B$59,0,BC202*AA202)</f>
        <v>0</v>
      </c>
      <c r="AQ202" s="985"/>
      <c r="AR202" s="883">
        <v>3.33</v>
      </c>
      <c r="AS202" s="883">
        <v>2.1</v>
      </c>
      <c r="AT202" s="883">
        <v>0.89</v>
      </c>
      <c r="AU202" s="883">
        <v>2.75</v>
      </c>
      <c r="AV202" s="883">
        <v>3.3</v>
      </c>
      <c r="AW202" s="883">
        <v>11357.186356387729</v>
      </c>
      <c r="AX202" s="883">
        <v>74715.401027665983</v>
      </c>
      <c r="AY202" s="883">
        <v>79015.992973719694</v>
      </c>
      <c r="AZ202" s="883">
        <v>0</v>
      </c>
      <c r="BA202" s="883">
        <v>0</v>
      </c>
      <c r="BB202" s="883">
        <v>0.6</v>
      </c>
      <c r="BC202" s="888">
        <v>0</v>
      </c>
      <c r="BD202" s="889">
        <v>0</v>
      </c>
      <c r="BE202" s="889">
        <v>0</v>
      </c>
      <c r="BF202" s="890">
        <v>1</v>
      </c>
      <c r="BG202" s="883">
        <v>1</v>
      </c>
      <c r="BH202" s="883">
        <v>0</v>
      </c>
      <c r="BI202" s="890">
        <v>0</v>
      </c>
      <c r="BJ202" s="883">
        <v>0</v>
      </c>
      <c r="BK202" s="883">
        <v>0</v>
      </c>
      <c r="BL202" s="883">
        <v>0</v>
      </c>
      <c r="BM202" s="890">
        <v>1</v>
      </c>
      <c r="BN202" s="958">
        <v>0</v>
      </c>
      <c r="BO202" s="959">
        <v>18</v>
      </c>
      <c r="BP202" s="1018">
        <f t="shared" ca="1" si="268"/>
        <v>121.5</v>
      </c>
      <c r="BQ202" s="1018">
        <f t="shared" ca="1" si="269"/>
        <v>287.05844999999999</v>
      </c>
      <c r="BR202" s="1018">
        <f t="shared" ca="1" si="270"/>
        <v>88.2</v>
      </c>
      <c r="BS202" s="1018">
        <f t="shared" ca="1" si="271"/>
        <v>110.2144959090909</v>
      </c>
      <c r="BT202" s="1018">
        <f t="shared" ca="1" si="272"/>
        <v>60.75</v>
      </c>
      <c r="BU202" s="1018">
        <f t="shared" ca="1" si="273"/>
        <v>18</v>
      </c>
      <c r="BV202" s="1018">
        <f t="shared" ca="1" si="274"/>
        <v>2.15</v>
      </c>
      <c r="BW202" s="1018">
        <v>0</v>
      </c>
      <c r="BX202" s="1018">
        <f t="shared" ca="1" si="275"/>
        <v>186.21988333756025</v>
      </c>
      <c r="BY202" s="1018">
        <f t="shared" ca="1" si="276"/>
        <v>169.68507434684082</v>
      </c>
      <c r="BZ202" s="1018">
        <f t="shared" ca="1" si="195"/>
        <v>15.457671537484117</v>
      </c>
      <c r="CA202" s="1018">
        <f t="shared" ca="1" si="196"/>
        <v>49.499999972774994</v>
      </c>
      <c r="CB202" s="1018">
        <f t="shared" ca="1" si="277"/>
        <v>4.5133587786259541</v>
      </c>
      <c r="CC202" s="1018">
        <f t="shared" si="197"/>
        <v>0</v>
      </c>
      <c r="CD202" s="1018">
        <f t="shared" ca="1" si="278"/>
        <v>425.37598797328616</v>
      </c>
      <c r="CE202" s="1018">
        <f t="shared" ca="1" si="282"/>
        <v>159.84189954603258</v>
      </c>
      <c r="CF202" s="1018">
        <f t="shared" ca="1" si="198"/>
        <v>17.556536625579565</v>
      </c>
      <c r="CG202" s="1018">
        <f t="shared" ca="1" si="199"/>
        <v>29230.931220124945</v>
      </c>
    </row>
    <row r="203" spans="3:85" x14ac:dyDescent="0.25">
      <c r="C203" s="374"/>
      <c r="D203" s="375"/>
      <c r="E203" s="374"/>
      <c r="F203" s="375"/>
      <c r="G203" s="374" t="s">
        <v>9</v>
      </c>
      <c r="H203" s="379">
        <v>0.62519999999999998</v>
      </c>
      <c r="I203" s="374"/>
      <c r="J203" s="375"/>
      <c r="K203" s="378" t="s">
        <v>12</v>
      </c>
      <c r="L203" s="379">
        <v>0</v>
      </c>
      <c r="M203" s="375" t="s">
        <v>17</v>
      </c>
      <c r="N203" s="377">
        <v>8.5106382999999994E-2</v>
      </c>
      <c r="O203" s="375" t="s">
        <v>19</v>
      </c>
      <c r="P203" s="377">
        <v>0.84089392900000004</v>
      </c>
      <c r="Q203" s="375" t="s">
        <v>17</v>
      </c>
      <c r="R203" s="377">
        <v>1</v>
      </c>
      <c r="S203" s="375"/>
      <c r="T203" s="385">
        <v>0</v>
      </c>
      <c r="U203" s="374"/>
      <c r="V203" s="176">
        <f t="shared" si="200"/>
        <v>0</v>
      </c>
      <c r="W203" s="176">
        <f t="shared" si="279"/>
        <v>0</v>
      </c>
      <c r="X203" s="176">
        <f>W203-W203*Calculation_sheet!O$77</f>
        <v>0</v>
      </c>
      <c r="Y203" s="34">
        <f>X203/Calculation_sheet!M$67</f>
        <v>0</v>
      </c>
      <c r="Z203" s="176">
        <f ca="1">IF(AN203&gt;0,Y203*Calculation_sheet!C$87,0)</f>
        <v>0</v>
      </c>
      <c r="AA203" s="176">
        <f t="shared" ca="1" si="280"/>
        <v>0</v>
      </c>
      <c r="AB203" s="176">
        <f ca="1">IF(AP203&gt;0,AA203*Calculation_sheet!C$94,0)</f>
        <v>0</v>
      </c>
      <c r="AC203" s="176">
        <f t="shared" ca="1" si="267"/>
        <v>0</v>
      </c>
      <c r="AD203" s="958">
        <f ca="1">AC203*Calculation_sheet!C$99</f>
        <v>0</v>
      </c>
      <c r="AE203" s="176">
        <f t="shared" ca="1" si="267"/>
        <v>0</v>
      </c>
      <c r="AF203" s="176">
        <f t="shared" ca="1" si="281"/>
        <v>0</v>
      </c>
      <c r="AG203" s="958">
        <f ca="1">AF203*User_sheet!B$77/100</f>
        <v>0</v>
      </c>
      <c r="AH203" s="313"/>
      <c r="AI203" s="886">
        <v>102</v>
      </c>
      <c r="AJ203" s="985"/>
      <c r="AK203" s="1020">
        <f t="shared" ca="1" si="194"/>
        <v>425.37598797328616</v>
      </c>
      <c r="AL203" s="954">
        <f ca="1">AK203/'102'!I$24</f>
        <v>1.5399090058371201</v>
      </c>
      <c r="AM203" s="954">
        <f ca="1">0.8*(AK203*30+'102'!D$17*0.34*30*1)</f>
        <v>12869.361080086142</v>
      </c>
      <c r="AN203" s="954">
        <f ca="1">IF(AM203&lt;User_sheet!B$50,Y203,0)</f>
        <v>0</v>
      </c>
      <c r="AO203" s="954">
        <f ca="1">20-(User_sheet!B$57/('Freestanding '!AK203+'102'!D$17*1*0.34))</f>
        <v>9.3701016586066359</v>
      </c>
      <c r="AP203" s="954">
        <f ca="1">IF(AO203&lt;User_sheet!B$59,0,BC203*AA203)</f>
        <v>0</v>
      </c>
      <c r="AQ203" s="985"/>
      <c r="AR203" s="883">
        <v>3.33</v>
      </c>
      <c r="AS203" s="883">
        <v>2.1</v>
      </c>
      <c r="AT203" s="883">
        <v>0.89</v>
      </c>
      <c r="AU203" s="883">
        <v>2.75</v>
      </c>
      <c r="AV203" s="883">
        <v>3.3</v>
      </c>
      <c r="AW203" s="883">
        <v>11357.186356387729</v>
      </c>
      <c r="AX203" s="883">
        <v>74715.401027665983</v>
      </c>
      <c r="AY203" s="883">
        <v>79015.992973719694</v>
      </c>
      <c r="AZ203" s="883">
        <v>0</v>
      </c>
      <c r="BA203" s="883">
        <v>0</v>
      </c>
      <c r="BB203" s="883">
        <v>0.6</v>
      </c>
      <c r="BC203" s="888">
        <v>0</v>
      </c>
      <c r="BD203" s="889">
        <v>0</v>
      </c>
      <c r="BE203" s="889">
        <v>0</v>
      </c>
      <c r="BF203" s="890">
        <v>1</v>
      </c>
      <c r="BG203" s="883">
        <v>0</v>
      </c>
      <c r="BH203" s="883">
        <v>1</v>
      </c>
      <c r="BI203" s="890">
        <v>0</v>
      </c>
      <c r="BJ203" s="883">
        <v>0</v>
      </c>
      <c r="BK203" s="883">
        <v>0</v>
      </c>
      <c r="BL203" s="883">
        <v>0</v>
      </c>
      <c r="BM203" s="890">
        <v>1</v>
      </c>
      <c r="BN203" s="958">
        <v>0</v>
      </c>
      <c r="BO203" s="959">
        <v>18</v>
      </c>
      <c r="BP203" s="1018">
        <f t="shared" ca="1" si="268"/>
        <v>121.5</v>
      </c>
      <c r="BQ203" s="1018">
        <f t="shared" ca="1" si="269"/>
        <v>287.05844999999999</v>
      </c>
      <c r="BR203" s="1018">
        <f t="shared" ca="1" si="270"/>
        <v>88.2</v>
      </c>
      <c r="BS203" s="1018">
        <f t="shared" ca="1" si="271"/>
        <v>110.2144959090909</v>
      </c>
      <c r="BT203" s="1018">
        <f t="shared" ca="1" si="272"/>
        <v>60.75</v>
      </c>
      <c r="BU203" s="1018">
        <f t="shared" ca="1" si="273"/>
        <v>18</v>
      </c>
      <c r="BV203" s="1018">
        <f t="shared" ca="1" si="274"/>
        <v>2.15</v>
      </c>
      <c r="BW203" s="1018">
        <v>0</v>
      </c>
      <c r="BX203" s="1018">
        <f t="shared" ca="1" si="275"/>
        <v>186.21988333756025</v>
      </c>
      <c r="BY203" s="1018">
        <f t="shared" ca="1" si="276"/>
        <v>169.68507434684082</v>
      </c>
      <c r="BZ203" s="1018">
        <f t="shared" ca="1" si="195"/>
        <v>15.457671537484117</v>
      </c>
      <c r="CA203" s="1018">
        <f t="shared" ca="1" si="196"/>
        <v>49.499999972774994</v>
      </c>
      <c r="CB203" s="1018">
        <f t="shared" ca="1" si="277"/>
        <v>4.5133587786259541</v>
      </c>
      <c r="CC203" s="1018">
        <f t="shared" si="197"/>
        <v>0</v>
      </c>
      <c r="CD203" s="1018">
        <f t="shared" ca="1" si="278"/>
        <v>425.37598797328616</v>
      </c>
      <c r="CE203" s="1018">
        <f t="shared" ca="1" si="282"/>
        <v>159.84189954603258</v>
      </c>
      <c r="CF203" s="1018">
        <f t="shared" ca="1" si="198"/>
        <v>17.556536625579565</v>
      </c>
      <c r="CG203" s="1018">
        <f t="shared" ca="1" si="199"/>
        <v>29230.931220124945</v>
      </c>
    </row>
    <row r="204" spans="3:85" s="14" customFormat="1" x14ac:dyDescent="0.25">
      <c r="C204" s="382"/>
      <c r="D204" s="383"/>
      <c r="E204" s="382"/>
      <c r="F204" s="383"/>
      <c r="G204" s="382"/>
      <c r="H204" s="383"/>
      <c r="I204" s="382"/>
      <c r="J204" s="383"/>
      <c r="K204" s="384"/>
      <c r="L204" s="383"/>
      <c r="M204" s="383"/>
      <c r="N204" s="383"/>
      <c r="O204" s="383"/>
      <c r="P204" s="383"/>
      <c r="Q204" s="383"/>
      <c r="R204" s="383"/>
      <c r="S204" s="383"/>
      <c r="T204" s="386"/>
      <c r="U204" s="382"/>
      <c r="V204" s="292"/>
      <c r="W204" s="292"/>
      <c r="X204" s="292"/>
      <c r="Y204" s="277"/>
      <c r="Z204" s="292"/>
      <c r="AA204" s="292"/>
      <c r="AB204" s="292"/>
      <c r="AC204" s="292"/>
      <c r="AD204" s="277"/>
      <c r="AE204" s="292"/>
      <c r="AF204" s="292"/>
      <c r="AG204" s="277"/>
      <c r="AH204" s="313"/>
      <c r="AI204" s="887"/>
      <c r="AJ204" s="985"/>
      <c r="AK204" s="1020">
        <f t="shared" si="194"/>
        <v>0</v>
      </c>
      <c r="AL204" s="941"/>
      <c r="AM204" s="941"/>
      <c r="AN204" s="941"/>
      <c r="AO204" s="941"/>
      <c r="AP204" s="941"/>
      <c r="AQ204" s="985"/>
      <c r="AR204" s="887"/>
      <c r="AS204" s="887"/>
      <c r="AT204" s="887"/>
      <c r="AU204" s="887"/>
      <c r="AV204" s="887"/>
      <c r="AW204" s="887"/>
      <c r="AX204" s="887"/>
      <c r="AY204" s="887"/>
      <c r="AZ204" s="887"/>
      <c r="BA204" s="887"/>
      <c r="BB204" s="887"/>
      <c r="BC204" s="45"/>
      <c r="BD204" s="277"/>
      <c r="BE204" s="277"/>
      <c r="BF204" s="49"/>
      <c r="BG204" s="887"/>
      <c r="BH204" s="887"/>
      <c r="BI204" s="49"/>
      <c r="BJ204" s="887"/>
      <c r="BK204" s="887"/>
      <c r="BL204" s="887"/>
      <c r="BM204" s="49"/>
      <c r="BN204" s="277"/>
      <c r="BO204" s="49"/>
      <c r="BP204" s="928"/>
      <c r="BQ204" s="928"/>
      <c r="BR204" s="928"/>
      <c r="BS204" s="928"/>
      <c r="BT204" s="928"/>
      <c r="BU204" s="928"/>
      <c r="BV204" s="928"/>
      <c r="BW204" s="928"/>
      <c r="BX204" s="928"/>
      <c r="BY204" s="928"/>
      <c r="BZ204" s="928"/>
      <c r="CA204" s="928"/>
      <c r="CB204" s="928"/>
      <c r="CC204" s="928"/>
      <c r="CD204" s="928"/>
      <c r="CE204" s="928"/>
      <c r="CF204" s="928"/>
      <c r="CG204" s="928"/>
    </row>
    <row r="205" spans="3:85" x14ac:dyDescent="0.25">
      <c r="D205" s="1"/>
      <c r="F205" s="1"/>
      <c r="G205" s="3"/>
      <c r="H205" s="6"/>
      <c r="I205" s="3"/>
      <c r="J205" s="6"/>
      <c r="K205" s="8"/>
      <c r="L205" s="6"/>
      <c r="M205" s="1"/>
      <c r="N205" s="1"/>
      <c r="O205" s="1"/>
      <c r="P205" s="1"/>
      <c r="Q205" s="1" t="s">
        <v>16</v>
      </c>
      <c r="R205" s="4"/>
      <c r="S205" s="1"/>
      <c r="T205" s="77"/>
      <c r="U205" s="294"/>
      <c r="X205" s="176">
        <f>W193-X193</f>
        <v>0</v>
      </c>
      <c r="Y205" s="34">
        <f>X205/Calculation_sheet!M$67</f>
        <v>0</v>
      </c>
      <c r="Z205" s="176">
        <f ca="1">IF(AN205&gt;0,Y205*Calculation_sheet!C$87,0)</f>
        <v>0</v>
      </c>
      <c r="AA205" s="176">
        <f ca="1">Y205-Z205</f>
        <v>0</v>
      </c>
      <c r="AB205" s="176">
        <f ca="1">IF(AP205&gt;0,AA205*Calculation_sheet!C$94,0)</f>
        <v>0</v>
      </c>
      <c r="AC205" s="176">
        <f t="shared" ref="AC205:AE215" ca="1" si="283">AA205-AB205</f>
        <v>0</v>
      </c>
      <c r="AD205" s="958">
        <f ca="1">AC205*Calculation_sheet!C$99</f>
        <v>0</v>
      </c>
      <c r="AE205" s="176">
        <f t="shared" ca="1" si="283"/>
        <v>0</v>
      </c>
      <c r="AF205" s="176">
        <f ca="1">Y205-AB205</f>
        <v>0</v>
      </c>
      <c r="AG205" s="958">
        <f ca="1">AF205*User_sheet!B$77/100</f>
        <v>0</v>
      </c>
      <c r="AH205" s="313"/>
      <c r="AI205" s="886">
        <v>102</v>
      </c>
      <c r="AJ205" s="985"/>
      <c r="AK205" s="1020">
        <f t="shared" ca="1" si="194"/>
        <v>252.39688281934423</v>
      </c>
      <c r="AL205" s="954">
        <f ca="1">AK205/'102'!I$24</f>
        <v>0.91370515470453184</v>
      </c>
      <c r="AM205" s="954">
        <f ca="1">0.8*(AK205*30+'102'!D$17*0.34*30*1)</f>
        <v>8717.8625563915357</v>
      </c>
      <c r="AN205" s="954">
        <f ca="1">IF(AM205&lt;User_sheet!B$50,Y205,0)</f>
        <v>0</v>
      </c>
      <c r="AO205" s="954">
        <f ca="1">20-(User_sheet!B$57/('Freestanding '!AK205+'102'!D$17*1*0.34))</f>
        <v>4.3080802071484179</v>
      </c>
      <c r="AP205" s="954">
        <f ca="1">IF(AO205&lt;User_sheet!B$59,0,BC205*AA205)</f>
        <v>0</v>
      </c>
      <c r="AQ205" s="985"/>
      <c r="AR205" s="883">
        <v>0.32</v>
      </c>
      <c r="AS205" s="883">
        <v>2.1</v>
      </c>
      <c r="AT205" s="883">
        <v>0.89</v>
      </c>
      <c r="AU205" s="883">
        <v>2</v>
      </c>
      <c r="AV205" s="883">
        <v>3.3</v>
      </c>
      <c r="AW205" s="883">
        <v>14356</v>
      </c>
      <c r="AX205" s="883">
        <v>74715.401027665983</v>
      </c>
      <c r="AY205" s="883">
        <v>79015.992973719694</v>
      </c>
      <c r="AZ205" s="886">
        <v>0</v>
      </c>
      <c r="BA205" s="886">
        <v>0</v>
      </c>
      <c r="BB205" s="883">
        <v>0.6</v>
      </c>
      <c r="BC205" s="888">
        <v>1</v>
      </c>
      <c r="BD205" s="889">
        <v>0</v>
      </c>
      <c r="BE205" s="889">
        <v>0</v>
      </c>
      <c r="BF205" s="890">
        <v>0</v>
      </c>
      <c r="BG205" s="889">
        <v>1</v>
      </c>
      <c r="BH205" s="889">
        <v>0</v>
      </c>
      <c r="BI205" s="890">
        <v>0</v>
      </c>
      <c r="BJ205" s="889">
        <v>1</v>
      </c>
      <c r="BK205" s="889">
        <v>0</v>
      </c>
      <c r="BL205" s="889">
        <v>0</v>
      </c>
      <c r="BM205" s="890">
        <v>0</v>
      </c>
      <c r="BN205" s="958">
        <v>0</v>
      </c>
      <c r="BO205" s="959">
        <v>18</v>
      </c>
      <c r="BP205" s="1018">
        <f t="shared" ref="BP205:BP215" ca="1" si="284">INDIRECT("'"&amp;AI205&amp;"'!"&amp;"B2")</f>
        <v>121.5</v>
      </c>
      <c r="BQ205" s="1018">
        <f t="shared" ref="BQ205:BQ215" ca="1" si="285">INDIRECT("'"&amp;AI205&amp;"'!"&amp;"C12")+INDIRECT("'"&amp;AI205&amp;"'!"&amp;"C13")+INDIRECT("'"&amp;AI205&amp;"'!"&amp;"C14")+INDIRECT("'"&amp;AI205&amp;"'!"&amp;"C15")+INDIRECT("'"&amp;AI205&amp;"'!"&amp;"C17")</f>
        <v>287.05844999999999</v>
      </c>
      <c r="BR205" s="1018">
        <f t="shared" ref="BR205:BR215" ca="1" si="286">INDIRECT("'"&amp;AI205&amp;"'!"&amp;"G5")</f>
        <v>88.2</v>
      </c>
      <c r="BS205" s="1018">
        <f t="shared" ref="BS205:BS215" ca="1" si="287">INDIRECT("'"&amp;AI205&amp;"'!"&amp;"G4")</f>
        <v>110.2144959090909</v>
      </c>
      <c r="BT205" s="1018">
        <f t="shared" ref="BT205:BT215" ca="1" si="288">INDIRECT("'"&amp;AI205&amp;"'!"&amp;"G6")</f>
        <v>60.75</v>
      </c>
      <c r="BU205" s="1018">
        <f t="shared" ref="BU205:BU215" ca="1" si="289">INDIRECT("'"&amp;AI205&amp;"'!"&amp;"G2")</f>
        <v>18</v>
      </c>
      <c r="BV205" s="1018">
        <f t="shared" ref="BV205:BV215" ca="1" si="290">INDIRECT("'"&amp;AI205&amp;"'!"&amp;"G3")</f>
        <v>2.15</v>
      </c>
      <c r="BW205" s="1018">
        <v>0</v>
      </c>
      <c r="BX205" s="1018">
        <f t="shared" ref="BX205:BX215" ca="1" si="291">IF(BR205=0,0,1/(1/(BR205*$BY$3)+1/(BR205*AR205)+1/(BR205*$BY$4)))</f>
        <v>26.740778170793327</v>
      </c>
      <c r="BY205" s="1018">
        <f t="shared" ref="BY205:BY215" ca="1" si="292">IF(BS205=0,0,1/(1/(BS205*$BY$3)+1/(BS205*AS205)+1/(BS205*$BY$4)))</f>
        <v>169.68507434684082</v>
      </c>
      <c r="BZ205" s="1018">
        <f t="shared" ca="1" si="195"/>
        <v>15.457671537484117</v>
      </c>
      <c r="CA205" s="1018">
        <f t="shared" ca="1" si="196"/>
        <v>35.999999985599999</v>
      </c>
      <c r="CB205" s="1018">
        <f t="shared" ref="CB205:CB215" ca="1" si="293">IF(BV205=0,0,1/(1/(BV205*$BY$3)+1/(BV205*AV205)+1/(BV205*$BY$4)))</f>
        <v>4.5133587786259541</v>
      </c>
      <c r="CC205" s="1018">
        <f t="shared" si="197"/>
        <v>0</v>
      </c>
      <c r="CD205" s="1018">
        <f t="shared" ref="CD205:CD215" ca="1" si="294">SUM(BX205:CC205)+(BR205+BS205+BT205+BU205+BV205)*BN205</f>
        <v>252.39688281934423</v>
      </c>
      <c r="CE205" s="1018">
        <f ca="1">0.34*BO205*(1/25)^0.66*(BR205+BS205+BU205+BV205)</f>
        <v>159.84189954603258</v>
      </c>
      <c r="CF205" s="1018">
        <f t="shared" ca="1" si="198"/>
        <v>12.367163470961303</v>
      </c>
      <c r="CG205" s="1018">
        <f t="shared" ca="1" si="199"/>
        <v>20590.832492611728</v>
      </c>
    </row>
    <row r="206" spans="3:85" x14ac:dyDescent="0.25">
      <c r="D206" s="1"/>
      <c r="F206" s="1"/>
      <c r="G206" s="3"/>
      <c r="H206" s="6"/>
      <c r="I206" s="3"/>
      <c r="J206" s="6"/>
      <c r="K206" s="8"/>
      <c r="L206" s="6"/>
      <c r="M206" s="1"/>
      <c r="N206" s="1"/>
      <c r="O206" s="1" t="s">
        <v>18</v>
      </c>
      <c r="P206" s="4"/>
      <c r="Q206" s="1" t="s">
        <v>7</v>
      </c>
      <c r="R206" s="4"/>
      <c r="S206" s="1"/>
      <c r="T206" s="77"/>
      <c r="U206" s="294"/>
      <c r="X206" s="176">
        <f t="shared" ref="X206:X215" si="295">W194-X194</f>
        <v>0</v>
      </c>
      <c r="Y206" s="34">
        <f>X206/Calculation_sheet!M$67</f>
        <v>0</v>
      </c>
      <c r="Z206" s="176">
        <f ca="1">IF(AN206&gt;0,Y206*Calculation_sheet!C$87,0)</f>
        <v>0</v>
      </c>
      <c r="AA206" s="176">
        <f t="shared" ref="AA206:AA215" ca="1" si="296">Y206-Z206</f>
        <v>0</v>
      </c>
      <c r="AB206" s="176">
        <f ca="1">IF(AP206&gt;0,AA206*Calculation_sheet!C$94,0)</f>
        <v>0</v>
      </c>
      <c r="AC206" s="176">
        <f t="shared" ca="1" si="283"/>
        <v>0</v>
      </c>
      <c r="AD206" s="958">
        <f ca="1">AC206*Calculation_sheet!C$99</f>
        <v>0</v>
      </c>
      <c r="AE206" s="176">
        <f t="shared" ca="1" si="283"/>
        <v>0</v>
      </c>
      <c r="AF206" s="176">
        <f t="shared" ref="AF206:AF215" ca="1" si="297">Y206-AB206</f>
        <v>0</v>
      </c>
      <c r="AG206" s="958">
        <f ca="1">AF206*User_sheet!B$77/100</f>
        <v>0</v>
      </c>
      <c r="AH206" s="313"/>
      <c r="AI206" s="886">
        <v>102</v>
      </c>
      <c r="AJ206" s="985"/>
      <c r="AK206" s="1020">
        <f t="shared" ref="AK206:AK269" ca="1" si="298">CD206</f>
        <v>252.39688281934423</v>
      </c>
      <c r="AL206" s="954">
        <f ca="1">AK206/'102'!I$24</f>
        <v>0.91370515470453184</v>
      </c>
      <c r="AM206" s="954">
        <f ca="1">0.8*(AK206*30+'102'!D$17*0.34*30*1)</f>
        <v>8717.8625563915357</v>
      </c>
      <c r="AN206" s="954">
        <f ca="1">IF(AM206&lt;User_sheet!B$50,Y206,0)</f>
        <v>0</v>
      </c>
      <c r="AO206" s="954">
        <f ca="1">20-(User_sheet!B$57/('Freestanding '!AK206+'102'!D$17*1*0.34))</f>
        <v>4.3080802071484179</v>
      </c>
      <c r="AP206" s="954">
        <f ca="1">IF(AO206&lt;User_sheet!B$59,0,BC206*AA206)</f>
        <v>0</v>
      </c>
      <c r="AQ206" s="985"/>
      <c r="AR206" s="883">
        <v>0.32</v>
      </c>
      <c r="AS206" s="883">
        <v>2.1</v>
      </c>
      <c r="AT206" s="883">
        <v>0.89</v>
      </c>
      <c r="AU206" s="883">
        <v>2</v>
      </c>
      <c r="AV206" s="883">
        <v>3.3</v>
      </c>
      <c r="AW206" s="883">
        <v>14356</v>
      </c>
      <c r="AX206" s="883">
        <v>74715.401027665983</v>
      </c>
      <c r="AY206" s="883">
        <v>79015.992973719694</v>
      </c>
      <c r="AZ206" s="886">
        <v>0</v>
      </c>
      <c r="BA206" s="886">
        <v>0</v>
      </c>
      <c r="BB206" s="883">
        <v>0.6</v>
      </c>
      <c r="BC206" s="888">
        <v>1</v>
      </c>
      <c r="BD206" s="889">
        <v>0</v>
      </c>
      <c r="BE206" s="889">
        <v>0</v>
      </c>
      <c r="BF206" s="890">
        <v>0</v>
      </c>
      <c r="BG206" s="889">
        <v>1</v>
      </c>
      <c r="BH206" s="889">
        <v>0</v>
      </c>
      <c r="BI206" s="890">
        <v>0</v>
      </c>
      <c r="BJ206" s="889">
        <v>0</v>
      </c>
      <c r="BK206" s="889">
        <v>0</v>
      </c>
      <c r="BL206" s="889">
        <v>1</v>
      </c>
      <c r="BM206" s="890">
        <v>0</v>
      </c>
      <c r="BN206" s="958">
        <v>0</v>
      </c>
      <c r="BO206" s="959">
        <v>18</v>
      </c>
      <c r="BP206" s="1018">
        <f t="shared" ca="1" si="284"/>
        <v>121.5</v>
      </c>
      <c r="BQ206" s="1018">
        <f t="shared" ca="1" si="285"/>
        <v>287.05844999999999</v>
      </c>
      <c r="BR206" s="1018">
        <f t="shared" ca="1" si="286"/>
        <v>88.2</v>
      </c>
      <c r="BS206" s="1018">
        <f t="shared" ca="1" si="287"/>
        <v>110.2144959090909</v>
      </c>
      <c r="BT206" s="1018">
        <f t="shared" ca="1" si="288"/>
        <v>60.75</v>
      </c>
      <c r="BU206" s="1018">
        <f t="shared" ca="1" si="289"/>
        <v>18</v>
      </c>
      <c r="BV206" s="1018">
        <f t="shared" ca="1" si="290"/>
        <v>2.15</v>
      </c>
      <c r="BW206" s="1018">
        <v>0</v>
      </c>
      <c r="BX206" s="1018">
        <f t="shared" ca="1" si="291"/>
        <v>26.740778170793327</v>
      </c>
      <c r="BY206" s="1018">
        <f t="shared" ca="1" si="292"/>
        <v>169.68507434684082</v>
      </c>
      <c r="BZ206" s="1018">
        <f t="shared" ref="BZ206:BZ269" ca="1" si="299">IF(BT206=0,0,1/(1/(BT206*$BY$3)+1/(BT206*AT206)+1/(BT206*$BY$4)))*0.33</f>
        <v>15.457671537484117</v>
      </c>
      <c r="CA206" s="1018">
        <f t="shared" ref="CA206:CA269" ca="1" si="300">IF(BU206=0,0,1/(1/(BU206*$BY$5)+1/(BU206*AU206)+1/(BU206*$BY$6)))</f>
        <v>35.999999985599999</v>
      </c>
      <c r="CB206" s="1018">
        <f t="shared" ca="1" si="293"/>
        <v>4.5133587786259541</v>
      </c>
      <c r="CC206" s="1018">
        <f t="shared" ref="CC206:CC269" si="301">0.67*IF(BW206=0,0,1/(1/(BW206*$BY$3)+1/(BW206*AS206)+1/(BW206*$BY$4)))</f>
        <v>0</v>
      </c>
      <c r="CD206" s="1018">
        <f t="shared" ca="1" si="294"/>
        <v>252.39688281934423</v>
      </c>
      <c r="CE206" s="1018">
        <f t="shared" ref="CE206:CE215" ca="1" si="302">0.34*BO206*(1/25)^0.66*(BR206+BS206+BU206+BV206)</f>
        <v>159.84189954603258</v>
      </c>
      <c r="CF206" s="1018">
        <f t="shared" ref="CF206:CF269" ca="1" si="303">(CD206+CE206)*($BY$7-$BV$5)/1000</f>
        <v>12.367163470961303</v>
      </c>
      <c r="CG206" s="1018">
        <f t="shared" ref="CG206:CG269" ca="1" si="304">$BV$8*(CD206+CE206)*($BY$10-$BV$7)*24/1000</f>
        <v>20590.832492611728</v>
      </c>
    </row>
    <row r="207" spans="3:85" x14ac:dyDescent="0.25">
      <c r="D207" s="1"/>
      <c r="F207" s="1"/>
      <c r="G207" s="3"/>
      <c r="H207" s="6"/>
      <c r="I207" s="3"/>
      <c r="J207" s="6"/>
      <c r="K207" s="8"/>
      <c r="L207" s="6"/>
      <c r="M207" s="1"/>
      <c r="N207" s="1"/>
      <c r="O207" s="1"/>
      <c r="P207" s="1"/>
      <c r="Q207" s="1" t="s">
        <v>16</v>
      </c>
      <c r="R207" s="4"/>
      <c r="S207" s="1"/>
      <c r="T207" s="77"/>
      <c r="U207" s="294"/>
      <c r="X207" s="176">
        <f t="shared" si="295"/>
        <v>0</v>
      </c>
      <c r="Y207" s="34">
        <f>X207/Calculation_sheet!M$67</f>
        <v>0</v>
      </c>
      <c r="Z207" s="176">
        <f ca="1">IF(AN207&gt;0,Y207*Calculation_sheet!C$87,0)</f>
        <v>0</v>
      </c>
      <c r="AA207" s="176">
        <f t="shared" ca="1" si="296"/>
        <v>0</v>
      </c>
      <c r="AB207" s="176">
        <f ca="1">IF(AP207&gt;0,AA207*Calculation_sheet!C$94,0)</f>
        <v>0</v>
      </c>
      <c r="AC207" s="176">
        <f t="shared" ca="1" si="283"/>
        <v>0</v>
      </c>
      <c r="AD207" s="958">
        <f ca="1">AC207*Calculation_sheet!C$99</f>
        <v>0</v>
      </c>
      <c r="AE207" s="176">
        <f t="shared" ca="1" si="283"/>
        <v>0</v>
      </c>
      <c r="AF207" s="176">
        <f t="shared" ca="1" si="297"/>
        <v>0</v>
      </c>
      <c r="AG207" s="958">
        <f ca="1">AF207*User_sheet!B$77/100</f>
        <v>0</v>
      </c>
      <c r="AH207" s="313"/>
      <c r="AI207" s="886">
        <v>102</v>
      </c>
      <c r="AJ207" s="985"/>
      <c r="AK207" s="1020">
        <f t="shared" ca="1" si="298"/>
        <v>252.39688281934423</v>
      </c>
      <c r="AL207" s="954">
        <f ca="1">AK207/'102'!I$24</f>
        <v>0.91370515470453184</v>
      </c>
      <c r="AM207" s="954">
        <f ca="1">0.8*(AK207*30+'102'!D$17*0.34*30*1)</f>
        <v>8717.8625563915357</v>
      </c>
      <c r="AN207" s="954">
        <f ca="1">IF(AM207&lt;User_sheet!B$50,Y207,0)</f>
        <v>0</v>
      </c>
      <c r="AO207" s="954">
        <f ca="1">20-(User_sheet!B$57/('Freestanding '!AK207+'102'!D$17*1*0.34))</f>
        <v>4.3080802071484179</v>
      </c>
      <c r="AP207" s="954">
        <f ca="1">IF(AO207&lt;User_sheet!B$59,0,BC207*AA207)</f>
        <v>0</v>
      </c>
      <c r="AQ207" s="985"/>
      <c r="AR207" s="883">
        <v>0.32</v>
      </c>
      <c r="AS207" s="883">
        <v>2.1</v>
      </c>
      <c r="AT207" s="883">
        <v>0.89</v>
      </c>
      <c r="AU207" s="883">
        <v>2</v>
      </c>
      <c r="AV207" s="883">
        <v>3.3</v>
      </c>
      <c r="AW207" s="883">
        <v>14356</v>
      </c>
      <c r="AX207" s="883">
        <v>74715.401027665983</v>
      </c>
      <c r="AY207" s="883">
        <v>79015.992973719694</v>
      </c>
      <c r="AZ207" s="886">
        <v>0</v>
      </c>
      <c r="BA207" s="886">
        <v>0</v>
      </c>
      <c r="BB207" s="883">
        <v>0.6</v>
      </c>
      <c r="BC207" s="888">
        <v>1</v>
      </c>
      <c r="BD207" s="889">
        <v>0</v>
      </c>
      <c r="BE207" s="889">
        <v>0</v>
      </c>
      <c r="BF207" s="890">
        <v>0</v>
      </c>
      <c r="BG207" s="889">
        <v>0</v>
      </c>
      <c r="BH207" s="889">
        <v>1</v>
      </c>
      <c r="BI207" s="890">
        <v>0</v>
      </c>
      <c r="BJ207" s="889">
        <v>1</v>
      </c>
      <c r="BK207" s="889">
        <v>0</v>
      </c>
      <c r="BL207" s="889">
        <v>0</v>
      </c>
      <c r="BM207" s="890">
        <v>0</v>
      </c>
      <c r="BN207" s="958">
        <v>0</v>
      </c>
      <c r="BO207" s="959">
        <v>18</v>
      </c>
      <c r="BP207" s="1018">
        <f t="shared" ca="1" si="284"/>
        <v>121.5</v>
      </c>
      <c r="BQ207" s="1018">
        <f t="shared" ca="1" si="285"/>
        <v>287.05844999999999</v>
      </c>
      <c r="BR207" s="1018">
        <f t="shared" ca="1" si="286"/>
        <v>88.2</v>
      </c>
      <c r="BS207" s="1018">
        <f t="shared" ca="1" si="287"/>
        <v>110.2144959090909</v>
      </c>
      <c r="BT207" s="1018">
        <f t="shared" ca="1" si="288"/>
        <v>60.75</v>
      </c>
      <c r="BU207" s="1018">
        <f t="shared" ca="1" si="289"/>
        <v>18</v>
      </c>
      <c r="BV207" s="1018">
        <f t="shared" ca="1" si="290"/>
        <v>2.15</v>
      </c>
      <c r="BW207" s="1018">
        <v>0</v>
      </c>
      <c r="BX207" s="1018">
        <f t="shared" ca="1" si="291"/>
        <v>26.740778170793327</v>
      </c>
      <c r="BY207" s="1018">
        <f t="shared" ca="1" si="292"/>
        <v>169.68507434684082</v>
      </c>
      <c r="BZ207" s="1018">
        <f t="shared" ca="1" si="299"/>
        <v>15.457671537484117</v>
      </c>
      <c r="CA207" s="1018">
        <f t="shared" ca="1" si="300"/>
        <v>35.999999985599999</v>
      </c>
      <c r="CB207" s="1018">
        <f t="shared" ca="1" si="293"/>
        <v>4.5133587786259541</v>
      </c>
      <c r="CC207" s="1018">
        <f t="shared" si="301"/>
        <v>0</v>
      </c>
      <c r="CD207" s="1018">
        <f t="shared" ca="1" si="294"/>
        <v>252.39688281934423</v>
      </c>
      <c r="CE207" s="1018">
        <f t="shared" ca="1" si="302"/>
        <v>159.84189954603258</v>
      </c>
      <c r="CF207" s="1018">
        <f t="shared" ca="1" si="303"/>
        <v>12.367163470961303</v>
      </c>
      <c r="CG207" s="1018">
        <f t="shared" ca="1" si="304"/>
        <v>20590.832492611728</v>
      </c>
    </row>
    <row r="208" spans="3:85" x14ac:dyDescent="0.25">
      <c r="D208" s="1"/>
      <c r="F208" s="1"/>
      <c r="G208" s="3"/>
      <c r="H208" s="6"/>
      <c r="I208" s="3"/>
      <c r="J208" s="6"/>
      <c r="K208" s="8"/>
      <c r="L208" s="6"/>
      <c r="M208" s="1" t="s">
        <v>16</v>
      </c>
      <c r="N208" s="4"/>
      <c r="O208" s="1" t="s">
        <v>19</v>
      </c>
      <c r="P208" s="4"/>
      <c r="Q208" s="1" t="s">
        <v>7</v>
      </c>
      <c r="R208" s="4"/>
      <c r="S208" s="1"/>
      <c r="T208" s="77"/>
      <c r="U208" s="294"/>
      <c r="X208" s="176">
        <f t="shared" si="295"/>
        <v>0</v>
      </c>
      <c r="Y208" s="34">
        <f>X208/Calculation_sheet!M$67</f>
        <v>0</v>
      </c>
      <c r="Z208" s="176">
        <f ca="1">IF(AN208&gt;0,Y208*Calculation_sheet!C$87,0)</f>
        <v>0</v>
      </c>
      <c r="AA208" s="176">
        <f t="shared" ca="1" si="296"/>
        <v>0</v>
      </c>
      <c r="AB208" s="176">
        <f ca="1">IF(AP208&gt;0,AA208*Calculation_sheet!C$94,0)</f>
        <v>0</v>
      </c>
      <c r="AC208" s="176">
        <f t="shared" ca="1" si="283"/>
        <v>0</v>
      </c>
      <c r="AD208" s="958">
        <f ca="1">AC208*Calculation_sheet!C$99</f>
        <v>0</v>
      </c>
      <c r="AE208" s="176">
        <f t="shared" ca="1" si="283"/>
        <v>0</v>
      </c>
      <c r="AF208" s="176">
        <f t="shared" ca="1" si="297"/>
        <v>0</v>
      </c>
      <c r="AG208" s="958">
        <f ca="1">AF208*User_sheet!B$77/100</f>
        <v>0</v>
      </c>
      <c r="AH208" s="313"/>
      <c r="AI208" s="886">
        <v>102</v>
      </c>
      <c r="AJ208" s="985"/>
      <c r="AK208" s="1020">
        <f t="shared" ca="1" si="298"/>
        <v>252.39688281934423</v>
      </c>
      <c r="AL208" s="954">
        <f ca="1">AK208/'102'!I$24</f>
        <v>0.91370515470453184</v>
      </c>
      <c r="AM208" s="954">
        <f ca="1">0.8*(AK208*30+'102'!D$17*0.34*30*1)</f>
        <v>8717.8625563915357</v>
      </c>
      <c r="AN208" s="954">
        <f ca="1">IF(AM208&lt;User_sheet!B$50,Y208,0)</f>
        <v>0</v>
      </c>
      <c r="AO208" s="954">
        <f ca="1">20-(User_sheet!B$57/('Freestanding '!AK208+'102'!D$17*1*0.34))</f>
        <v>4.3080802071484179</v>
      </c>
      <c r="AP208" s="954">
        <f ca="1">IF(AO208&lt;User_sheet!B$59,0,BC208*AA208)</f>
        <v>0</v>
      </c>
      <c r="AQ208" s="985"/>
      <c r="AR208" s="883">
        <v>0.32</v>
      </c>
      <c r="AS208" s="883">
        <v>2.1</v>
      </c>
      <c r="AT208" s="883">
        <v>0.89</v>
      </c>
      <c r="AU208" s="883">
        <v>2</v>
      </c>
      <c r="AV208" s="883">
        <v>3.3</v>
      </c>
      <c r="AW208" s="883">
        <v>14356</v>
      </c>
      <c r="AX208" s="883">
        <v>74715.401027665983</v>
      </c>
      <c r="AY208" s="883">
        <v>79015.992973719694</v>
      </c>
      <c r="AZ208" s="886">
        <v>0</v>
      </c>
      <c r="BA208" s="886">
        <v>0</v>
      </c>
      <c r="BB208" s="883">
        <v>0.6</v>
      </c>
      <c r="BC208" s="888">
        <v>1</v>
      </c>
      <c r="BD208" s="889">
        <v>0</v>
      </c>
      <c r="BE208" s="889">
        <v>0</v>
      </c>
      <c r="BF208" s="890">
        <v>0</v>
      </c>
      <c r="BG208" s="889">
        <v>0</v>
      </c>
      <c r="BH208" s="889">
        <v>1</v>
      </c>
      <c r="BI208" s="890">
        <v>0</v>
      </c>
      <c r="BJ208" s="889">
        <v>0</v>
      </c>
      <c r="BK208" s="889">
        <v>0</v>
      </c>
      <c r="BL208" s="889">
        <v>1</v>
      </c>
      <c r="BM208" s="890">
        <v>0</v>
      </c>
      <c r="BN208" s="958">
        <v>0</v>
      </c>
      <c r="BO208" s="959">
        <v>18</v>
      </c>
      <c r="BP208" s="1018">
        <f t="shared" ca="1" si="284"/>
        <v>121.5</v>
      </c>
      <c r="BQ208" s="1018">
        <f t="shared" ca="1" si="285"/>
        <v>287.05844999999999</v>
      </c>
      <c r="BR208" s="1018">
        <f t="shared" ca="1" si="286"/>
        <v>88.2</v>
      </c>
      <c r="BS208" s="1018">
        <f t="shared" ca="1" si="287"/>
        <v>110.2144959090909</v>
      </c>
      <c r="BT208" s="1018">
        <f t="shared" ca="1" si="288"/>
        <v>60.75</v>
      </c>
      <c r="BU208" s="1018">
        <f t="shared" ca="1" si="289"/>
        <v>18</v>
      </c>
      <c r="BV208" s="1018">
        <f t="shared" ca="1" si="290"/>
        <v>2.15</v>
      </c>
      <c r="BW208" s="1018">
        <v>0</v>
      </c>
      <c r="BX208" s="1018">
        <f t="shared" ca="1" si="291"/>
        <v>26.740778170793327</v>
      </c>
      <c r="BY208" s="1018">
        <f t="shared" ca="1" si="292"/>
        <v>169.68507434684082</v>
      </c>
      <c r="BZ208" s="1018">
        <f t="shared" ca="1" si="299"/>
        <v>15.457671537484117</v>
      </c>
      <c r="CA208" s="1018">
        <f t="shared" ca="1" si="300"/>
        <v>35.999999985599999</v>
      </c>
      <c r="CB208" s="1018">
        <f t="shared" ca="1" si="293"/>
        <v>4.5133587786259541</v>
      </c>
      <c r="CC208" s="1018">
        <f t="shared" si="301"/>
        <v>0</v>
      </c>
      <c r="CD208" s="1018">
        <f t="shared" ca="1" si="294"/>
        <v>252.39688281934423</v>
      </c>
      <c r="CE208" s="1018">
        <f t="shared" ca="1" si="302"/>
        <v>159.84189954603258</v>
      </c>
      <c r="CF208" s="1018">
        <f t="shared" ca="1" si="303"/>
        <v>12.367163470961303</v>
      </c>
      <c r="CG208" s="1018">
        <f t="shared" ca="1" si="304"/>
        <v>20590.832492611728</v>
      </c>
    </row>
    <row r="209" spans="3:85" x14ac:dyDescent="0.25">
      <c r="D209" s="1"/>
      <c r="F209" s="1"/>
      <c r="G209" s="3"/>
      <c r="H209" s="6"/>
      <c r="I209" s="3"/>
      <c r="J209" s="6"/>
      <c r="K209" s="8"/>
      <c r="L209" s="6"/>
      <c r="M209" s="1"/>
      <c r="N209" s="1"/>
      <c r="O209" s="1"/>
      <c r="P209" s="1"/>
      <c r="Q209" s="1" t="s">
        <v>22</v>
      </c>
      <c r="R209" s="4"/>
      <c r="S209" s="1"/>
      <c r="T209" s="77"/>
      <c r="U209" s="294"/>
      <c r="X209" s="176">
        <f t="shared" si="295"/>
        <v>0</v>
      </c>
      <c r="Y209" s="34">
        <f>X209/Calculation_sheet!M$67</f>
        <v>0</v>
      </c>
      <c r="Z209" s="176">
        <f ca="1">IF(AN209&gt;0,Y209*Calculation_sheet!C$87,0)</f>
        <v>0</v>
      </c>
      <c r="AA209" s="176">
        <f t="shared" ca="1" si="296"/>
        <v>0</v>
      </c>
      <c r="AB209" s="176">
        <f ca="1">IF(AP209&gt;0,AA209*Calculation_sheet!C$94,0)</f>
        <v>0</v>
      </c>
      <c r="AC209" s="176">
        <f t="shared" ca="1" si="283"/>
        <v>0</v>
      </c>
      <c r="AD209" s="958">
        <f ca="1">AC209*Calculation_sheet!C$99</f>
        <v>0</v>
      </c>
      <c r="AE209" s="176">
        <f t="shared" ca="1" si="283"/>
        <v>0</v>
      </c>
      <c r="AF209" s="176">
        <f t="shared" ca="1" si="297"/>
        <v>0</v>
      </c>
      <c r="AG209" s="958">
        <f ca="1">AF209*User_sheet!B$77/100</f>
        <v>0</v>
      </c>
      <c r="AH209" s="313"/>
      <c r="AI209" s="886">
        <v>102</v>
      </c>
      <c r="AJ209" s="985"/>
      <c r="AK209" s="1020">
        <f t="shared" ca="1" si="298"/>
        <v>252.39688281934423</v>
      </c>
      <c r="AL209" s="954">
        <f ca="1">AK209/'102'!I$24</f>
        <v>0.91370515470453184</v>
      </c>
      <c r="AM209" s="954">
        <f ca="1">0.8*(AK209*30+'102'!D$17*0.34*30*1)</f>
        <v>8717.8625563915357</v>
      </c>
      <c r="AN209" s="954">
        <f ca="1">IF(AM209&lt;User_sheet!B$50,Y209,0)</f>
        <v>0</v>
      </c>
      <c r="AO209" s="954">
        <f ca="1">20-(User_sheet!B$57/('Freestanding '!AK209+'102'!D$17*1*0.34))</f>
        <v>4.3080802071484179</v>
      </c>
      <c r="AP209" s="954">
        <f ca="1">IF(AO209&lt;User_sheet!B$59,0,BC209*AA209)</f>
        <v>0</v>
      </c>
      <c r="AQ209" s="985"/>
      <c r="AR209" s="883">
        <v>0.32</v>
      </c>
      <c r="AS209" s="883">
        <v>2.1</v>
      </c>
      <c r="AT209" s="883">
        <v>0.89</v>
      </c>
      <c r="AU209" s="883">
        <v>2</v>
      </c>
      <c r="AV209" s="883">
        <v>3.3</v>
      </c>
      <c r="AW209" s="883">
        <v>14356</v>
      </c>
      <c r="AX209" s="883">
        <v>74715.401027665983</v>
      </c>
      <c r="AY209" s="883">
        <v>79015.992973719694</v>
      </c>
      <c r="AZ209" s="886">
        <v>0</v>
      </c>
      <c r="BA209" s="886">
        <v>0</v>
      </c>
      <c r="BB209" s="883">
        <v>0.6</v>
      </c>
      <c r="BC209" s="888">
        <v>0</v>
      </c>
      <c r="BD209" s="889">
        <v>1</v>
      </c>
      <c r="BE209" s="889">
        <v>0</v>
      </c>
      <c r="BF209" s="890">
        <v>0</v>
      </c>
      <c r="BG209" s="889">
        <v>1</v>
      </c>
      <c r="BH209" s="889">
        <v>0</v>
      </c>
      <c r="BI209" s="890">
        <v>0</v>
      </c>
      <c r="BJ209" s="889">
        <v>0</v>
      </c>
      <c r="BK209" s="889">
        <v>1</v>
      </c>
      <c r="BL209" s="889">
        <v>0</v>
      </c>
      <c r="BM209" s="890">
        <v>0</v>
      </c>
      <c r="BN209" s="958">
        <v>0</v>
      </c>
      <c r="BO209" s="959">
        <v>18</v>
      </c>
      <c r="BP209" s="1018">
        <f t="shared" ca="1" si="284"/>
        <v>121.5</v>
      </c>
      <c r="BQ209" s="1018">
        <f t="shared" ca="1" si="285"/>
        <v>287.05844999999999</v>
      </c>
      <c r="BR209" s="1018">
        <f t="shared" ca="1" si="286"/>
        <v>88.2</v>
      </c>
      <c r="BS209" s="1018">
        <f t="shared" ca="1" si="287"/>
        <v>110.2144959090909</v>
      </c>
      <c r="BT209" s="1018">
        <f t="shared" ca="1" si="288"/>
        <v>60.75</v>
      </c>
      <c r="BU209" s="1018">
        <f t="shared" ca="1" si="289"/>
        <v>18</v>
      </c>
      <c r="BV209" s="1018">
        <f t="shared" ca="1" si="290"/>
        <v>2.15</v>
      </c>
      <c r="BW209" s="1018">
        <v>0</v>
      </c>
      <c r="BX209" s="1018">
        <f t="shared" ca="1" si="291"/>
        <v>26.740778170793327</v>
      </c>
      <c r="BY209" s="1018">
        <f t="shared" ca="1" si="292"/>
        <v>169.68507434684082</v>
      </c>
      <c r="BZ209" s="1018">
        <f t="shared" ca="1" si="299"/>
        <v>15.457671537484117</v>
      </c>
      <c r="CA209" s="1018">
        <f t="shared" ca="1" si="300"/>
        <v>35.999999985599999</v>
      </c>
      <c r="CB209" s="1018">
        <f t="shared" ca="1" si="293"/>
        <v>4.5133587786259541</v>
      </c>
      <c r="CC209" s="1018">
        <f t="shared" si="301"/>
        <v>0</v>
      </c>
      <c r="CD209" s="1018">
        <f t="shared" ca="1" si="294"/>
        <v>252.39688281934423</v>
      </c>
      <c r="CE209" s="1018">
        <f t="shared" ca="1" si="302"/>
        <v>159.84189954603258</v>
      </c>
      <c r="CF209" s="1018">
        <f t="shared" ca="1" si="303"/>
        <v>12.367163470961303</v>
      </c>
      <c r="CG209" s="1018">
        <f t="shared" ca="1" si="304"/>
        <v>20590.832492611728</v>
      </c>
    </row>
    <row r="210" spans="3:85" x14ac:dyDescent="0.25">
      <c r="D210" s="1"/>
      <c r="F210" s="1"/>
      <c r="G210" s="3"/>
      <c r="H210" s="6"/>
      <c r="I210" s="3"/>
      <c r="J210" s="3" t="s">
        <v>144</v>
      </c>
      <c r="K210" s="8"/>
      <c r="L210" s="6"/>
      <c r="M210" s="1"/>
      <c r="N210" s="1"/>
      <c r="O210" s="1" t="s">
        <v>18</v>
      </c>
      <c r="P210" s="4"/>
      <c r="Q210" s="1" t="s">
        <v>7</v>
      </c>
      <c r="R210" s="4"/>
      <c r="S210" s="1"/>
      <c r="T210" s="77"/>
      <c r="U210" s="294"/>
      <c r="X210" s="176">
        <f t="shared" si="295"/>
        <v>0</v>
      </c>
      <c r="Y210" s="34">
        <f>X210/Calculation_sheet!M$67</f>
        <v>0</v>
      </c>
      <c r="Z210" s="176">
        <f ca="1">IF(AN210&gt;0,Y210*Calculation_sheet!C$87,0)</f>
        <v>0</v>
      </c>
      <c r="AA210" s="176">
        <f t="shared" ca="1" si="296"/>
        <v>0</v>
      </c>
      <c r="AB210" s="176">
        <f ca="1">IF(AP210&gt;0,AA210*Calculation_sheet!C$94,0)</f>
        <v>0</v>
      </c>
      <c r="AC210" s="176">
        <f t="shared" ca="1" si="283"/>
        <v>0</v>
      </c>
      <c r="AD210" s="958">
        <f ca="1">AC210*Calculation_sheet!C$99</f>
        <v>0</v>
      </c>
      <c r="AE210" s="176">
        <f t="shared" ca="1" si="283"/>
        <v>0</v>
      </c>
      <c r="AF210" s="176">
        <f t="shared" ca="1" si="297"/>
        <v>0</v>
      </c>
      <c r="AG210" s="958">
        <f ca="1">AF210*User_sheet!B$77/100</f>
        <v>0</v>
      </c>
      <c r="AH210" s="313"/>
      <c r="AI210" s="886">
        <v>102</v>
      </c>
      <c r="AJ210" s="985"/>
      <c r="AK210" s="1020">
        <f t="shared" ca="1" si="298"/>
        <v>252.39688281934423</v>
      </c>
      <c r="AL210" s="954">
        <f ca="1">AK210/'102'!I$24</f>
        <v>0.91370515470453184</v>
      </c>
      <c r="AM210" s="954">
        <f ca="1">0.8*(AK210*30+'102'!D$17*0.34*30*1)</f>
        <v>8717.8625563915357</v>
      </c>
      <c r="AN210" s="954">
        <f ca="1">IF(AM210&lt;User_sheet!B$50,Y210,0)</f>
        <v>0</v>
      </c>
      <c r="AO210" s="954">
        <f ca="1">20-(User_sheet!B$57/('Freestanding '!AK210+'102'!D$17*1*0.34))</f>
        <v>4.3080802071484179</v>
      </c>
      <c r="AP210" s="954">
        <f ca="1">IF(AO210&lt;User_sheet!B$59,0,BC210*AA210)</f>
        <v>0</v>
      </c>
      <c r="AQ210" s="985"/>
      <c r="AR210" s="883">
        <v>0.32</v>
      </c>
      <c r="AS210" s="883">
        <v>2.1</v>
      </c>
      <c r="AT210" s="883">
        <v>0.89</v>
      </c>
      <c r="AU210" s="883">
        <v>2</v>
      </c>
      <c r="AV210" s="883">
        <v>3.3</v>
      </c>
      <c r="AW210" s="883">
        <v>14356</v>
      </c>
      <c r="AX210" s="883">
        <v>74715.401027665983</v>
      </c>
      <c r="AY210" s="883">
        <v>79015.992973719694</v>
      </c>
      <c r="AZ210" s="886">
        <v>0</v>
      </c>
      <c r="BA210" s="886">
        <v>0</v>
      </c>
      <c r="BB210" s="883">
        <v>0.6</v>
      </c>
      <c r="BC210" s="888">
        <v>0</v>
      </c>
      <c r="BD210" s="889">
        <v>1</v>
      </c>
      <c r="BE210" s="889">
        <v>0</v>
      </c>
      <c r="BF210" s="890">
        <v>0</v>
      </c>
      <c r="BG210" s="889">
        <v>1</v>
      </c>
      <c r="BH210" s="889">
        <v>0</v>
      </c>
      <c r="BI210" s="890">
        <v>0</v>
      </c>
      <c r="BJ210" s="889">
        <v>0</v>
      </c>
      <c r="BK210" s="889">
        <v>0</v>
      </c>
      <c r="BL210" s="889">
        <v>1</v>
      </c>
      <c r="BM210" s="890">
        <v>0</v>
      </c>
      <c r="BN210" s="958">
        <v>0</v>
      </c>
      <c r="BO210" s="959">
        <v>18</v>
      </c>
      <c r="BP210" s="1018">
        <f t="shared" ca="1" si="284"/>
        <v>121.5</v>
      </c>
      <c r="BQ210" s="1018">
        <f t="shared" ca="1" si="285"/>
        <v>287.05844999999999</v>
      </c>
      <c r="BR210" s="1018">
        <f t="shared" ca="1" si="286"/>
        <v>88.2</v>
      </c>
      <c r="BS210" s="1018">
        <f t="shared" ca="1" si="287"/>
        <v>110.2144959090909</v>
      </c>
      <c r="BT210" s="1018">
        <f t="shared" ca="1" si="288"/>
        <v>60.75</v>
      </c>
      <c r="BU210" s="1018">
        <f t="shared" ca="1" si="289"/>
        <v>18</v>
      </c>
      <c r="BV210" s="1018">
        <f t="shared" ca="1" si="290"/>
        <v>2.15</v>
      </c>
      <c r="BW210" s="1018">
        <v>0</v>
      </c>
      <c r="BX210" s="1018">
        <f t="shared" ca="1" si="291"/>
        <v>26.740778170793327</v>
      </c>
      <c r="BY210" s="1018">
        <f t="shared" ca="1" si="292"/>
        <v>169.68507434684082</v>
      </c>
      <c r="BZ210" s="1018">
        <f t="shared" ca="1" si="299"/>
        <v>15.457671537484117</v>
      </c>
      <c r="CA210" s="1018">
        <f t="shared" ca="1" si="300"/>
        <v>35.999999985599999</v>
      </c>
      <c r="CB210" s="1018">
        <f t="shared" ca="1" si="293"/>
        <v>4.5133587786259541</v>
      </c>
      <c r="CC210" s="1018">
        <f t="shared" si="301"/>
        <v>0</v>
      </c>
      <c r="CD210" s="1018">
        <f t="shared" ca="1" si="294"/>
        <v>252.39688281934423</v>
      </c>
      <c r="CE210" s="1018">
        <f t="shared" ca="1" si="302"/>
        <v>159.84189954603258</v>
      </c>
      <c r="CF210" s="1018">
        <f t="shared" ca="1" si="303"/>
        <v>12.367163470961303</v>
      </c>
      <c r="CG210" s="1018">
        <f t="shared" ca="1" si="304"/>
        <v>20590.832492611728</v>
      </c>
    </row>
    <row r="211" spans="3:85" x14ac:dyDescent="0.25">
      <c r="D211" s="1"/>
      <c r="F211" s="1"/>
      <c r="G211" s="3"/>
      <c r="H211" s="6"/>
      <c r="I211" s="3"/>
      <c r="J211" s="6" t="s">
        <v>190</v>
      </c>
      <c r="K211" s="8"/>
      <c r="L211" s="6"/>
      <c r="M211" s="1"/>
      <c r="N211" s="1"/>
      <c r="O211" s="1"/>
      <c r="P211" s="1"/>
      <c r="Q211" s="1" t="s">
        <v>22</v>
      </c>
      <c r="R211" s="4"/>
      <c r="S211" s="1"/>
      <c r="T211" s="77"/>
      <c r="U211" s="294"/>
      <c r="X211" s="176">
        <f t="shared" si="295"/>
        <v>0</v>
      </c>
      <c r="Y211" s="34">
        <f>X211/Calculation_sheet!M$67</f>
        <v>0</v>
      </c>
      <c r="Z211" s="176">
        <f ca="1">IF(AN211&gt;0,Y211*Calculation_sheet!C$87,0)</f>
        <v>0</v>
      </c>
      <c r="AA211" s="176">
        <f t="shared" ca="1" si="296"/>
        <v>0</v>
      </c>
      <c r="AB211" s="176">
        <f ca="1">IF(AP211&gt;0,AA211*Calculation_sheet!C$94,0)</f>
        <v>0</v>
      </c>
      <c r="AC211" s="176">
        <f t="shared" ca="1" si="283"/>
        <v>0</v>
      </c>
      <c r="AD211" s="958">
        <f ca="1">AC211*Calculation_sheet!C$99</f>
        <v>0</v>
      </c>
      <c r="AE211" s="176">
        <f t="shared" ca="1" si="283"/>
        <v>0</v>
      </c>
      <c r="AF211" s="176">
        <f t="shared" ca="1" si="297"/>
        <v>0</v>
      </c>
      <c r="AG211" s="958">
        <f ca="1">AF211*User_sheet!B$77/100</f>
        <v>0</v>
      </c>
      <c r="AH211" s="313"/>
      <c r="AI211" s="886">
        <v>102</v>
      </c>
      <c r="AJ211" s="985"/>
      <c r="AK211" s="1020">
        <f t="shared" ca="1" si="298"/>
        <v>252.39688281934423</v>
      </c>
      <c r="AL211" s="954">
        <f ca="1">AK211/'102'!I$24</f>
        <v>0.91370515470453184</v>
      </c>
      <c r="AM211" s="954">
        <f ca="1">0.8*(AK211*30+'102'!D$17*0.34*30*1)</f>
        <v>8717.8625563915357</v>
      </c>
      <c r="AN211" s="954">
        <f ca="1">IF(AM211&lt;User_sheet!B$50,Y211,0)</f>
        <v>0</v>
      </c>
      <c r="AO211" s="954">
        <f ca="1">20-(User_sheet!B$57/('Freestanding '!AK211+'102'!D$17*1*0.34))</f>
        <v>4.3080802071484179</v>
      </c>
      <c r="AP211" s="954">
        <f ca="1">IF(AO211&lt;User_sheet!B$59,0,BC211*AA211)</f>
        <v>0</v>
      </c>
      <c r="AQ211" s="985"/>
      <c r="AR211" s="883">
        <v>0.32</v>
      </c>
      <c r="AS211" s="883">
        <v>2.1</v>
      </c>
      <c r="AT211" s="883">
        <v>0.89</v>
      </c>
      <c r="AU211" s="883">
        <v>2</v>
      </c>
      <c r="AV211" s="883">
        <v>3.3</v>
      </c>
      <c r="AW211" s="883">
        <v>14356</v>
      </c>
      <c r="AX211" s="883">
        <v>74715.401027665983</v>
      </c>
      <c r="AY211" s="883">
        <v>79015.992973719694</v>
      </c>
      <c r="AZ211" s="886">
        <v>0</v>
      </c>
      <c r="BA211" s="886">
        <v>0</v>
      </c>
      <c r="BB211" s="883">
        <v>0.6</v>
      </c>
      <c r="BC211" s="888">
        <v>0</v>
      </c>
      <c r="BD211" s="889">
        <v>1</v>
      </c>
      <c r="BE211" s="889">
        <v>0</v>
      </c>
      <c r="BF211" s="890">
        <v>0</v>
      </c>
      <c r="BG211" s="889">
        <v>0</v>
      </c>
      <c r="BH211" s="889">
        <v>1</v>
      </c>
      <c r="BI211" s="890">
        <v>0</v>
      </c>
      <c r="BJ211" s="889">
        <v>0</v>
      </c>
      <c r="BK211" s="889">
        <v>1</v>
      </c>
      <c r="BL211" s="889">
        <v>0</v>
      </c>
      <c r="BM211" s="890">
        <v>0</v>
      </c>
      <c r="BN211" s="958">
        <v>0</v>
      </c>
      <c r="BO211" s="959">
        <v>18</v>
      </c>
      <c r="BP211" s="1018">
        <f t="shared" ca="1" si="284"/>
        <v>121.5</v>
      </c>
      <c r="BQ211" s="1018">
        <f t="shared" ca="1" si="285"/>
        <v>287.05844999999999</v>
      </c>
      <c r="BR211" s="1018">
        <f t="shared" ca="1" si="286"/>
        <v>88.2</v>
      </c>
      <c r="BS211" s="1018">
        <f t="shared" ca="1" si="287"/>
        <v>110.2144959090909</v>
      </c>
      <c r="BT211" s="1018">
        <f t="shared" ca="1" si="288"/>
        <v>60.75</v>
      </c>
      <c r="BU211" s="1018">
        <f t="shared" ca="1" si="289"/>
        <v>18</v>
      </c>
      <c r="BV211" s="1018">
        <f t="shared" ca="1" si="290"/>
        <v>2.15</v>
      </c>
      <c r="BW211" s="1018">
        <v>0</v>
      </c>
      <c r="BX211" s="1018">
        <f t="shared" ca="1" si="291"/>
        <v>26.740778170793327</v>
      </c>
      <c r="BY211" s="1018">
        <f t="shared" ca="1" si="292"/>
        <v>169.68507434684082</v>
      </c>
      <c r="BZ211" s="1018">
        <f t="shared" ca="1" si="299"/>
        <v>15.457671537484117</v>
      </c>
      <c r="CA211" s="1018">
        <f t="shared" ca="1" si="300"/>
        <v>35.999999985599999</v>
      </c>
      <c r="CB211" s="1018">
        <f t="shared" ca="1" si="293"/>
        <v>4.5133587786259541</v>
      </c>
      <c r="CC211" s="1018">
        <f t="shared" si="301"/>
        <v>0</v>
      </c>
      <c r="CD211" s="1018">
        <f t="shared" ca="1" si="294"/>
        <v>252.39688281934423</v>
      </c>
      <c r="CE211" s="1018">
        <f t="shared" ca="1" si="302"/>
        <v>159.84189954603258</v>
      </c>
      <c r="CF211" s="1018">
        <f t="shared" ca="1" si="303"/>
        <v>12.367163470961303</v>
      </c>
      <c r="CG211" s="1018">
        <f t="shared" ca="1" si="304"/>
        <v>20590.832492611728</v>
      </c>
    </row>
    <row r="212" spans="3:85" x14ac:dyDescent="0.25">
      <c r="D212" s="1"/>
      <c r="F212" s="1"/>
      <c r="G212" s="3"/>
      <c r="H212" s="6"/>
      <c r="I212" s="3"/>
      <c r="J212" s="6"/>
      <c r="K212" s="8"/>
      <c r="L212" s="6"/>
      <c r="M212" s="1" t="s">
        <v>22</v>
      </c>
      <c r="N212" s="4"/>
      <c r="O212" s="1" t="s">
        <v>20</v>
      </c>
      <c r="P212" s="4"/>
      <c r="Q212" s="1" t="s">
        <v>7</v>
      </c>
      <c r="R212" s="4"/>
      <c r="S212" s="1"/>
      <c r="T212" s="77"/>
      <c r="U212" s="294"/>
      <c r="X212" s="176">
        <f t="shared" si="295"/>
        <v>0</v>
      </c>
      <c r="Y212" s="34">
        <f>X212/Calculation_sheet!M$67</f>
        <v>0</v>
      </c>
      <c r="Z212" s="176">
        <f ca="1">IF(AN212&gt;0,Y212*Calculation_sheet!C$87,0)</f>
        <v>0</v>
      </c>
      <c r="AA212" s="176">
        <f t="shared" ca="1" si="296"/>
        <v>0</v>
      </c>
      <c r="AB212" s="176">
        <f ca="1">IF(AP212&gt;0,AA212*Calculation_sheet!C$94,0)</f>
        <v>0</v>
      </c>
      <c r="AC212" s="176">
        <f t="shared" ca="1" si="283"/>
        <v>0</v>
      </c>
      <c r="AD212" s="958">
        <f ca="1">AC212*Calculation_sheet!C$99</f>
        <v>0</v>
      </c>
      <c r="AE212" s="176">
        <f t="shared" ca="1" si="283"/>
        <v>0</v>
      </c>
      <c r="AF212" s="176">
        <f t="shared" ca="1" si="297"/>
        <v>0</v>
      </c>
      <c r="AG212" s="958">
        <f ca="1">AF212*User_sheet!B$77/100</f>
        <v>0</v>
      </c>
      <c r="AH212" s="313"/>
      <c r="AI212" s="886">
        <v>102</v>
      </c>
      <c r="AJ212" s="985"/>
      <c r="AK212" s="1020">
        <f t="shared" ca="1" si="298"/>
        <v>252.39688281934423</v>
      </c>
      <c r="AL212" s="954">
        <f ca="1">AK212/'102'!I$24</f>
        <v>0.91370515470453184</v>
      </c>
      <c r="AM212" s="954">
        <f ca="1">0.8*(AK212*30+'102'!D$17*0.34*30*1)</f>
        <v>8717.8625563915357</v>
      </c>
      <c r="AN212" s="954">
        <f ca="1">IF(AM212&lt;User_sheet!B$50,Y212,0)</f>
        <v>0</v>
      </c>
      <c r="AO212" s="954">
        <f ca="1">20-(User_sheet!B$57/('Freestanding '!AK212+'102'!D$17*1*0.34))</f>
        <v>4.3080802071484179</v>
      </c>
      <c r="AP212" s="954">
        <f ca="1">IF(AO212&lt;User_sheet!B$59,0,BC212*AA212)</f>
        <v>0</v>
      </c>
      <c r="AQ212" s="985"/>
      <c r="AR212" s="883">
        <v>0.32</v>
      </c>
      <c r="AS212" s="883">
        <v>2.1</v>
      </c>
      <c r="AT212" s="883">
        <v>0.89</v>
      </c>
      <c r="AU212" s="883">
        <v>2</v>
      </c>
      <c r="AV212" s="883">
        <v>3.3</v>
      </c>
      <c r="AW212" s="883">
        <v>14356</v>
      </c>
      <c r="AX212" s="883">
        <v>74715.401027665983</v>
      </c>
      <c r="AY212" s="883">
        <v>79015.992973719694</v>
      </c>
      <c r="AZ212" s="886">
        <v>0</v>
      </c>
      <c r="BA212" s="886">
        <v>0</v>
      </c>
      <c r="BB212" s="883">
        <v>0.6</v>
      </c>
      <c r="BC212" s="888">
        <v>0</v>
      </c>
      <c r="BD212" s="889">
        <v>1</v>
      </c>
      <c r="BE212" s="889">
        <v>0</v>
      </c>
      <c r="BF212" s="890">
        <v>0</v>
      </c>
      <c r="BG212" s="889">
        <v>0</v>
      </c>
      <c r="BH212" s="889">
        <v>1</v>
      </c>
      <c r="BI212" s="890">
        <v>0</v>
      </c>
      <c r="BJ212" s="889">
        <v>0</v>
      </c>
      <c r="BK212" s="889">
        <v>0</v>
      </c>
      <c r="BL212" s="889">
        <v>1</v>
      </c>
      <c r="BM212" s="890">
        <v>0</v>
      </c>
      <c r="BN212" s="958">
        <v>0</v>
      </c>
      <c r="BO212" s="959">
        <v>18</v>
      </c>
      <c r="BP212" s="1018">
        <f t="shared" ca="1" si="284"/>
        <v>121.5</v>
      </c>
      <c r="BQ212" s="1018">
        <f t="shared" ca="1" si="285"/>
        <v>287.05844999999999</v>
      </c>
      <c r="BR212" s="1018">
        <f t="shared" ca="1" si="286"/>
        <v>88.2</v>
      </c>
      <c r="BS212" s="1018">
        <f t="shared" ca="1" si="287"/>
        <v>110.2144959090909</v>
      </c>
      <c r="BT212" s="1018">
        <f t="shared" ca="1" si="288"/>
        <v>60.75</v>
      </c>
      <c r="BU212" s="1018">
        <f t="shared" ca="1" si="289"/>
        <v>18</v>
      </c>
      <c r="BV212" s="1018">
        <f t="shared" ca="1" si="290"/>
        <v>2.15</v>
      </c>
      <c r="BW212" s="1018">
        <v>0</v>
      </c>
      <c r="BX212" s="1018">
        <f t="shared" ca="1" si="291"/>
        <v>26.740778170793327</v>
      </c>
      <c r="BY212" s="1018">
        <f t="shared" ca="1" si="292"/>
        <v>169.68507434684082</v>
      </c>
      <c r="BZ212" s="1018">
        <f t="shared" ca="1" si="299"/>
        <v>15.457671537484117</v>
      </c>
      <c r="CA212" s="1018">
        <f t="shared" ca="1" si="300"/>
        <v>35.999999985599999</v>
      </c>
      <c r="CB212" s="1018">
        <f t="shared" ca="1" si="293"/>
        <v>4.5133587786259541</v>
      </c>
      <c r="CC212" s="1018">
        <f t="shared" si="301"/>
        <v>0</v>
      </c>
      <c r="CD212" s="1018">
        <f t="shared" ca="1" si="294"/>
        <v>252.39688281934423</v>
      </c>
      <c r="CE212" s="1018">
        <f t="shared" ca="1" si="302"/>
        <v>159.84189954603258</v>
      </c>
      <c r="CF212" s="1018">
        <f t="shared" ca="1" si="303"/>
        <v>12.367163470961303</v>
      </c>
      <c r="CG212" s="1018">
        <f t="shared" ca="1" si="304"/>
        <v>20590.832492611728</v>
      </c>
    </row>
    <row r="213" spans="3:85" x14ac:dyDescent="0.25">
      <c r="D213" s="1"/>
      <c r="F213" s="1"/>
      <c r="G213" s="3"/>
      <c r="H213" s="6"/>
      <c r="I213" s="3"/>
      <c r="J213" s="6"/>
      <c r="K213" s="8"/>
      <c r="L213" s="6"/>
      <c r="M213" s="1" t="s">
        <v>7</v>
      </c>
      <c r="N213" s="4"/>
      <c r="O213" s="1" t="s">
        <v>23</v>
      </c>
      <c r="P213" s="4"/>
      <c r="Q213" s="1" t="s">
        <v>7</v>
      </c>
      <c r="R213" s="4"/>
      <c r="S213" s="1"/>
      <c r="T213" s="77"/>
      <c r="U213" s="294"/>
      <c r="X213" s="176">
        <f t="shared" si="295"/>
        <v>0</v>
      </c>
      <c r="Y213" s="34">
        <f>X213/Calculation_sheet!M$67</f>
        <v>0</v>
      </c>
      <c r="Z213" s="176">
        <f ca="1">IF(AN213&gt;0,Y213*Calculation_sheet!C$87,0)</f>
        <v>0</v>
      </c>
      <c r="AA213" s="176">
        <f t="shared" ca="1" si="296"/>
        <v>0</v>
      </c>
      <c r="AB213" s="176">
        <f ca="1">IF(AP213&gt;0,AA213*Calculation_sheet!C$94,0)</f>
        <v>0</v>
      </c>
      <c r="AC213" s="176">
        <f t="shared" ca="1" si="283"/>
        <v>0</v>
      </c>
      <c r="AD213" s="958">
        <f ca="1">AC213*Calculation_sheet!C$99</f>
        <v>0</v>
      </c>
      <c r="AE213" s="176">
        <f t="shared" ca="1" si="283"/>
        <v>0</v>
      </c>
      <c r="AF213" s="176">
        <f t="shared" ca="1" si="297"/>
        <v>0</v>
      </c>
      <c r="AG213" s="958">
        <f ca="1">AF213*User_sheet!B$77/100</f>
        <v>0</v>
      </c>
      <c r="AH213" s="313"/>
      <c r="AI213" s="886">
        <v>102</v>
      </c>
      <c r="AJ213" s="985"/>
      <c r="AK213" s="1020">
        <f t="shared" ca="1" si="298"/>
        <v>252.39688281934423</v>
      </c>
      <c r="AL213" s="954">
        <f ca="1">AK213/'102'!I$24</f>
        <v>0.91370515470453184</v>
      </c>
      <c r="AM213" s="954">
        <f ca="1">0.8*(AK213*30+'102'!D$17*0.34*30*1)</f>
        <v>8717.8625563915357</v>
      </c>
      <c r="AN213" s="954">
        <f ca="1">IF(AM213&lt;User_sheet!B$50,Y213,0)</f>
        <v>0</v>
      </c>
      <c r="AO213" s="954">
        <f ca="1">20-(User_sheet!B$57/('Freestanding '!AK213+'102'!D$17*1*0.34))</f>
        <v>4.3080802071484179</v>
      </c>
      <c r="AP213" s="954">
        <f ca="1">IF(AO213&lt;User_sheet!B$59,0,BC213*AA213)</f>
        <v>0</v>
      </c>
      <c r="AQ213" s="985"/>
      <c r="AR213" s="883">
        <v>0.32</v>
      </c>
      <c r="AS213" s="883">
        <v>2.1</v>
      </c>
      <c r="AT213" s="883">
        <v>0.89</v>
      </c>
      <c r="AU213" s="883">
        <v>2</v>
      </c>
      <c r="AV213" s="883">
        <v>3.3</v>
      </c>
      <c r="AW213" s="883">
        <v>14356</v>
      </c>
      <c r="AX213" s="883">
        <v>74715.401027665983</v>
      </c>
      <c r="AY213" s="883">
        <v>79015.992973719694</v>
      </c>
      <c r="AZ213" s="886">
        <v>0</v>
      </c>
      <c r="BA213" s="886">
        <v>0</v>
      </c>
      <c r="BB213" s="883">
        <v>0.6</v>
      </c>
      <c r="BC213" s="888">
        <v>0</v>
      </c>
      <c r="BD213" s="889">
        <v>0</v>
      </c>
      <c r="BE213" s="889">
        <v>1</v>
      </c>
      <c r="BF213" s="890">
        <v>0</v>
      </c>
      <c r="BG213" s="889">
        <v>0</v>
      </c>
      <c r="BH213" s="889">
        <v>0</v>
      </c>
      <c r="BI213" s="890">
        <v>1</v>
      </c>
      <c r="BJ213" s="889">
        <v>0</v>
      </c>
      <c r="BK213" s="889">
        <v>0</v>
      </c>
      <c r="BL213" s="889">
        <v>1</v>
      </c>
      <c r="BM213" s="890">
        <v>0</v>
      </c>
      <c r="BN213" s="958">
        <v>0</v>
      </c>
      <c r="BO213" s="959">
        <v>18</v>
      </c>
      <c r="BP213" s="1018">
        <f t="shared" ca="1" si="284"/>
        <v>121.5</v>
      </c>
      <c r="BQ213" s="1018">
        <f t="shared" ca="1" si="285"/>
        <v>287.05844999999999</v>
      </c>
      <c r="BR213" s="1018">
        <f t="shared" ca="1" si="286"/>
        <v>88.2</v>
      </c>
      <c r="BS213" s="1018">
        <f t="shared" ca="1" si="287"/>
        <v>110.2144959090909</v>
      </c>
      <c r="BT213" s="1018">
        <f t="shared" ca="1" si="288"/>
        <v>60.75</v>
      </c>
      <c r="BU213" s="1018">
        <f t="shared" ca="1" si="289"/>
        <v>18</v>
      </c>
      <c r="BV213" s="1018">
        <f t="shared" ca="1" si="290"/>
        <v>2.15</v>
      </c>
      <c r="BW213" s="1018">
        <v>0</v>
      </c>
      <c r="BX213" s="1018">
        <f t="shared" ca="1" si="291"/>
        <v>26.740778170793327</v>
      </c>
      <c r="BY213" s="1018">
        <f t="shared" ca="1" si="292"/>
        <v>169.68507434684082</v>
      </c>
      <c r="BZ213" s="1018">
        <f t="shared" ca="1" si="299"/>
        <v>15.457671537484117</v>
      </c>
      <c r="CA213" s="1018">
        <f t="shared" ca="1" si="300"/>
        <v>35.999999985599999</v>
      </c>
      <c r="CB213" s="1018">
        <f t="shared" ca="1" si="293"/>
        <v>4.5133587786259541</v>
      </c>
      <c r="CC213" s="1018">
        <f t="shared" si="301"/>
        <v>0</v>
      </c>
      <c r="CD213" s="1018">
        <f t="shared" ca="1" si="294"/>
        <v>252.39688281934423</v>
      </c>
      <c r="CE213" s="1018">
        <f t="shared" ca="1" si="302"/>
        <v>159.84189954603258</v>
      </c>
      <c r="CF213" s="1018">
        <f t="shared" ca="1" si="303"/>
        <v>12.367163470961303</v>
      </c>
      <c r="CG213" s="1018">
        <f t="shared" ca="1" si="304"/>
        <v>20590.832492611728</v>
      </c>
    </row>
    <row r="214" spans="3:85" x14ac:dyDescent="0.25">
      <c r="D214" s="1"/>
      <c r="F214" s="1"/>
      <c r="G214" s="3"/>
      <c r="H214" s="6"/>
      <c r="I214" s="3"/>
      <c r="J214" s="6"/>
      <c r="K214" s="8"/>
      <c r="L214" s="6"/>
      <c r="M214" s="1"/>
      <c r="N214" s="1"/>
      <c r="O214" s="1" t="s">
        <v>18</v>
      </c>
      <c r="P214" s="4"/>
      <c r="Q214" s="1" t="s">
        <v>17</v>
      </c>
      <c r="R214" s="4"/>
      <c r="S214" s="1"/>
      <c r="T214" s="77"/>
      <c r="U214" s="294"/>
      <c r="X214" s="176">
        <f t="shared" si="295"/>
        <v>0</v>
      </c>
      <c r="Y214" s="34">
        <f>X214/Calculation_sheet!M$67</f>
        <v>0</v>
      </c>
      <c r="Z214" s="176">
        <f ca="1">IF(AN214&gt;0,Y214*Calculation_sheet!C$87,0)</f>
        <v>0</v>
      </c>
      <c r="AA214" s="176">
        <f t="shared" ca="1" si="296"/>
        <v>0</v>
      </c>
      <c r="AB214" s="176">
        <f ca="1">IF(AP214&gt;0,AA214*Calculation_sheet!C$94,0)</f>
        <v>0</v>
      </c>
      <c r="AC214" s="176">
        <f t="shared" ca="1" si="283"/>
        <v>0</v>
      </c>
      <c r="AD214" s="958">
        <f ca="1">AC214*Calculation_sheet!C$99</f>
        <v>0</v>
      </c>
      <c r="AE214" s="176">
        <f t="shared" ca="1" si="283"/>
        <v>0</v>
      </c>
      <c r="AF214" s="176">
        <f t="shared" ca="1" si="297"/>
        <v>0</v>
      </c>
      <c r="AG214" s="958">
        <f ca="1">AF214*User_sheet!B$77/100</f>
        <v>0</v>
      </c>
      <c r="AH214" s="313"/>
      <c r="AI214" s="886">
        <v>102</v>
      </c>
      <c r="AJ214" s="985"/>
      <c r="AK214" s="1020">
        <f t="shared" ca="1" si="298"/>
        <v>252.39688281934423</v>
      </c>
      <c r="AL214" s="954">
        <f ca="1">AK214/'102'!I$24</f>
        <v>0.91370515470453184</v>
      </c>
      <c r="AM214" s="954">
        <f ca="1">0.8*(AK214*30+'102'!D$17*0.34*30*1)</f>
        <v>8717.8625563915357</v>
      </c>
      <c r="AN214" s="954">
        <f ca="1">IF(AM214&lt;User_sheet!B$50,Y214,0)</f>
        <v>0</v>
      </c>
      <c r="AO214" s="954">
        <f ca="1">20-(User_sheet!B$57/('Freestanding '!AK214+'102'!D$17*1*0.34))</f>
        <v>4.3080802071484179</v>
      </c>
      <c r="AP214" s="954">
        <f ca="1">IF(AO214&lt;User_sheet!B$59,0,BC214*AA214)</f>
        <v>0</v>
      </c>
      <c r="AQ214" s="985"/>
      <c r="AR214" s="883">
        <v>0.32</v>
      </c>
      <c r="AS214" s="883">
        <v>2.1</v>
      </c>
      <c r="AT214" s="883">
        <v>0.89</v>
      </c>
      <c r="AU214" s="883">
        <v>2</v>
      </c>
      <c r="AV214" s="883">
        <v>3.3</v>
      </c>
      <c r="AW214" s="883">
        <v>14356</v>
      </c>
      <c r="AX214" s="883">
        <v>74715.401027665983</v>
      </c>
      <c r="AY214" s="883">
        <v>79015.992973719694</v>
      </c>
      <c r="AZ214" s="886">
        <v>0</v>
      </c>
      <c r="BA214" s="886">
        <v>0</v>
      </c>
      <c r="BB214" s="883">
        <v>0.6</v>
      </c>
      <c r="BC214" s="888">
        <v>0</v>
      </c>
      <c r="BD214" s="889">
        <v>0</v>
      </c>
      <c r="BE214" s="889">
        <v>0</v>
      </c>
      <c r="BF214" s="890">
        <v>1</v>
      </c>
      <c r="BG214" s="889">
        <v>1</v>
      </c>
      <c r="BH214" s="889">
        <v>0</v>
      </c>
      <c r="BI214" s="890">
        <v>0</v>
      </c>
      <c r="BJ214" s="889">
        <v>0</v>
      </c>
      <c r="BK214" s="889">
        <v>0</v>
      </c>
      <c r="BL214" s="889">
        <v>0</v>
      </c>
      <c r="BM214" s="890">
        <v>1</v>
      </c>
      <c r="BN214" s="958">
        <v>0</v>
      </c>
      <c r="BO214" s="959">
        <v>18</v>
      </c>
      <c r="BP214" s="1018">
        <f t="shared" ca="1" si="284"/>
        <v>121.5</v>
      </c>
      <c r="BQ214" s="1018">
        <f t="shared" ca="1" si="285"/>
        <v>287.05844999999999</v>
      </c>
      <c r="BR214" s="1018">
        <f t="shared" ca="1" si="286"/>
        <v>88.2</v>
      </c>
      <c r="BS214" s="1018">
        <f t="shared" ca="1" si="287"/>
        <v>110.2144959090909</v>
      </c>
      <c r="BT214" s="1018">
        <f t="shared" ca="1" si="288"/>
        <v>60.75</v>
      </c>
      <c r="BU214" s="1018">
        <f t="shared" ca="1" si="289"/>
        <v>18</v>
      </c>
      <c r="BV214" s="1018">
        <f t="shared" ca="1" si="290"/>
        <v>2.15</v>
      </c>
      <c r="BW214" s="1018">
        <v>0</v>
      </c>
      <c r="BX214" s="1018">
        <f t="shared" ca="1" si="291"/>
        <v>26.740778170793327</v>
      </c>
      <c r="BY214" s="1018">
        <f t="shared" ca="1" si="292"/>
        <v>169.68507434684082</v>
      </c>
      <c r="BZ214" s="1018">
        <f t="shared" ca="1" si="299"/>
        <v>15.457671537484117</v>
      </c>
      <c r="CA214" s="1018">
        <f t="shared" ca="1" si="300"/>
        <v>35.999999985599999</v>
      </c>
      <c r="CB214" s="1018">
        <f t="shared" ca="1" si="293"/>
        <v>4.5133587786259541</v>
      </c>
      <c r="CC214" s="1018">
        <f t="shared" si="301"/>
        <v>0</v>
      </c>
      <c r="CD214" s="1018">
        <f t="shared" ca="1" si="294"/>
        <v>252.39688281934423</v>
      </c>
      <c r="CE214" s="1018">
        <f t="shared" ca="1" si="302"/>
        <v>159.84189954603258</v>
      </c>
      <c r="CF214" s="1018">
        <f t="shared" ca="1" si="303"/>
        <v>12.367163470961303</v>
      </c>
      <c r="CG214" s="1018">
        <f t="shared" ca="1" si="304"/>
        <v>20590.832492611728</v>
      </c>
    </row>
    <row r="215" spans="3:85" x14ac:dyDescent="0.25">
      <c r="D215" s="1"/>
      <c r="F215" s="1"/>
      <c r="G215" s="3"/>
      <c r="H215" s="6"/>
      <c r="I215" s="3"/>
      <c r="J215" s="6"/>
      <c r="K215" s="8"/>
      <c r="L215" s="6"/>
      <c r="M215" s="1" t="s">
        <v>17</v>
      </c>
      <c r="N215" s="4"/>
      <c r="O215" s="1" t="s">
        <v>19</v>
      </c>
      <c r="P215" s="4"/>
      <c r="Q215" s="1" t="s">
        <v>17</v>
      </c>
      <c r="R215" s="4"/>
      <c r="S215" s="1"/>
      <c r="T215" s="77"/>
      <c r="U215" s="294"/>
      <c r="X215" s="176">
        <f t="shared" si="295"/>
        <v>0</v>
      </c>
      <c r="Y215" s="34">
        <f>X215/Calculation_sheet!M$67</f>
        <v>0</v>
      </c>
      <c r="Z215" s="176">
        <f ca="1">IF(AN215&gt;0,Y215*Calculation_sheet!C$87,0)</f>
        <v>0</v>
      </c>
      <c r="AA215" s="176">
        <f t="shared" ca="1" si="296"/>
        <v>0</v>
      </c>
      <c r="AB215" s="176">
        <f ca="1">IF(AP215&gt;0,AA215*Calculation_sheet!C$94,0)</f>
        <v>0</v>
      </c>
      <c r="AC215" s="176">
        <f t="shared" ca="1" si="283"/>
        <v>0</v>
      </c>
      <c r="AD215" s="958">
        <f ca="1">AC215*Calculation_sheet!C$99</f>
        <v>0</v>
      </c>
      <c r="AE215" s="176">
        <f t="shared" ca="1" si="283"/>
        <v>0</v>
      </c>
      <c r="AF215" s="176">
        <f t="shared" ca="1" si="297"/>
        <v>0</v>
      </c>
      <c r="AG215" s="958">
        <f ca="1">AF215*User_sheet!B$77/100</f>
        <v>0</v>
      </c>
      <c r="AH215" s="313"/>
      <c r="AI215" s="886">
        <v>102</v>
      </c>
      <c r="AJ215" s="985"/>
      <c r="AK215" s="1020">
        <f t="shared" ca="1" si="298"/>
        <v>252.39688281934423</v>
      </c>
      <c r="AL215" s="954">
        <f ca="1">AK215/'102'!I$24</f>
        <v>0.91370515470453184</v>
      </c>
      <c r="AM215" s="954">
        <f ca="1">0.8*(AK215*30+'102'!D$17*0.34*30*1)</f>
        <v>8717.8625563915357</v>
      </c>
      <c r="AN215" s="954">
        <f ca="1">IF(AM215&lt;User_sheet!B$50,Y215,0)</f>
        <v>0</v>
      </c>
      <c r="AO215" s="954">
        <f ca="1">20-(User_sheet!B$57/('Freestanding '!AK215+'102'!D$17*1*0.34))</f>
        <v>4.3080802071484179</v>
      </c>
      <c r="AP215" s="954">
        <f ca="1">IF(AO215&lt;User_sheet!B$59,0,BC215*AA215)</f>
        <v>0</v>
      </c>
      <c r="AQ215" s="985"/>
      <c r="AR215" s="883">
        <v>0.32</v>
      </c>
      <c r="AS215" s="883">
        <v>2.1</v>
      </c>
      <c r="AT215" s="883">
        <v>0.89</v>
      </c>
      <c r="AU215" s="883">
        <v>2</v>
      </c>
      <c r="AV215" s="883">
        <v>3.3</v>
      </c>
      <c r="AW215" s="883">
        <v>14356</v>
      </c>
      <c r="AX215" s="883">
        <v>74715.401027665983</v>
      </c>
      <c r="AY215" s="883">
        <v>79015.992973719694</v>
      </c>
      <c r="AZ215" s="886">
        <v>0</v>
      </c>
      <c r="BA215" s="886">
        <v>0</v>
      </c>
      <c r="BB215" s="883">
        <v>0.6</v>
      </c>
      <c r="BC215" s="888">
        <v>0</v>
      </c>
      <c r="BD215" s="889">
        <v>0</v>
      </c>
      <c r="BE215" s="889">
        <v>0</v>
      </c>
      <c r="BF215" s="890">
        <v>1</v>
      </c>
      <c r="BG215" s="889">
        <v>0</v>
      </c>
      <c r="BH215" s="889">
        <v>1</v>
      </c>
      <c r="BI215" s="890">
        <v>0</v>
      </c>
      <c r="BJ215" s="889">
        <v>0</v>
      </c>
      <c r="BK215" s="889">
        <v>0</v>
      </c>
      <c r="BL215" s="889">
        <v>0</v>
      </c>
      <c r="BM215" s="890">
        <v>1</v>
      </c>
      <c r="BN215" s="958">
        <v>0</v>
      </c>
      <c r="BO215" s="959">
        <v>18</v>
      </c>
      <c r="BP215" s="1018">
        <f t="shared" ca="1" si="284"/>
        <v>121.5</v>
      </c>
      <c r="BQ215" s="1018">
        <f t="shared" ca="1" si="285"/>
        <v>287.05844999999999</v>
      </c>
      <c r="BR215" s="1018">
        <f t="shared" ca="1" si="286"/>
        <v>88.2</v>
      </c>
      <c r="BS215" s="1018">
        <f t="shared" ca="1" si="287"/>
        <v>110.2144959090909</v>
      </c>
      <c r="BT215" s="1018">
        <f t="shared" ca="1" si="288"/>
        <v>60.75</v>
      </c>
      <c r="BU215" s="1018">
        <f t="shared" ca="1" si="289"/>
        <v>18</v>
      </c>
      <c r="BV215" s="1018">
        <f t="shared" ca="1" si="290"/>
        <v>2.15</v>
      </c>
      <c r="BW215" s="1018">
        <v>0</v>
      </c>
      <c r="BX215" s="1018">
        <f t="shared" ca="1" si="291"/>
        <v>26.740778170793327</v>
      </c>
      <c r="BY215" s="1018">
        <f t="shared" ca="1" si="292"/>
        <v>169.68507434684082</v>
      </c>
      <c r="BZ215" s="1018">
        <f t="shared" ca="1" si="299"/>
        <v>15.457671537484117</v>
      </c>
      <c r="CA215" s="1018">
        <f t="shared" ca="1" si="300"/>
        <v>35.999999985599999</v>
      </c>
      <c r="CB215" s="1018">
        <f t="shared" ca="1" si="293"/>
        <v>4.5133587786259541</v>
      </c>
      <c r="CC215" s="1018">
        <f t="shared" si="301"/>
        <v>0</v>
      </c>
      <c r="CD215" s="1018">
        <f t="shared" ca="1" si="294"/>
        <v>252.39688281934423</v>
      </c>
      <c r="CE215" s="1018">
        <f t="shared" ca="1" si="302"/>
        <v>159.84189954603258</v>
      </c>
      <c r="CF215" s="1018">
        <f t="shared" ca="1" si="303"/>
        <v>12.367163470961303</v>
      </c>
      <c r="CG215" s="1018">
        <f t="shared" ca="1" si="304"/>
        <v>20590.832492611728</v>
      </c>
    </row>
    <row r="216" spans="3:85" s="14" customFormat="1" x14ac:dyDescent="0.25">
      <c r="D216" s="15"/>
      <c r="F216" s="15"/>
      <c r="H216" s="15"/>
      <c r="J216" s="15"/>
      <c r="K216" s="16"/>
      <c r="L216" s="15"/>
      <c r="M216" s="15"/>
      <c r="N216" s="15"/>
      <c r="O216" s="15"/>
      <c r="P216" s="15"/>
      <c r="Q216" s="15"/>
      <c r="R216" s="15"/>
      <c r="S216" s="15"/>
      <c r="T216" s="80"/>
      <c r="U216" s="273"/>
      <c r="V216" s="292"/>
      <c r="W216" s="292"/>
      <c r="X216" s="292"/>
      <c r="Y216" s="277"/>
      <c r="Z216" s="292"/>
      <c r="AA216" s="292"/>
      <c r="AB216" s="292"/>
      <c r="AC216" s="292"/>
      <c r="AD216" s="277"/>
      <c r="AE216" s="292"/>
      <c r="AF216" s="292"/>
      <c r="AG216" s="277"/>
      <c r="AH216" s="313"/>
      <c r="AI216" s="887"/>
      <c r="AJ216" s="985"/>
      <c r="AK216" s="1020">
        <f t="shared" si="298"/>
        <v>0</v>
      </c>
      <c r="AL216" s="941"/>
      <c r="AM216" s="941"/>
      <c r="AN216" s="941"/>
      <c r="AO216" s="941"/>
      <c r="AP216" s="941"/>
      <c r="AQ216" s="985"/>
      <c r="AR216" s="887"/>
      <c r="AS216" s="887"/>
      <c r="AT216" s="887"/>
      <c r="AU216" s="887"/>
      <c r="AV216" s="887"/>
      <c r="AW216" s="887"/>
      <c r="AX216" s="887"/>
      <c r="AY216" s="887"/>
      <c r="AZ216" s="887"/>
      <c r="BA216" s="887"/>
      <c r="BB216" s="887"/>
      <c r="BC216" s="45"/>
      <c r="BD216" s="277"/>
      <c r="BE216" s="277"/>
      <c r="BF216" s="49"/>
      <c r="BG216" s="887"/>
      <c r="BH216" s="887"/>
      <c r="BI216" s="49"/>
      <c r="BJ216" s="887"/>
      <c r="BK216" s="887"/>
      <c r="BL216" s="887"/>
      <c r="BM216" s="49"/>
      <c r="BN216" s="277"/>
      <c r="BO216" s="49"/>
      <c r="BP216" s="928"/>
      <c r="BQ216" s="928"/>
      <c r="BR216" s="928"/>
      <c r="BS216" s="928"/>
      <c r="BT216" s="928"/>
      <c r="BU216" s="928"/>
      <c r="BV216" s="928"/>
      <c r="BW216" s="928"/>
      <c r="BX216" s="928"/>
      <c r="BY216" s="928"/>
      <c r="BZ216" s="928"/>
      <c r="CA216" s="928"/>
      <c r="CB216" s="928"/>
      <c r="CC216" s="928"/>
      <c r="CD216" s="928"/>
      <c r="CE216" s="928"/>
      <c r="CF216" s="928"/>
      <c r="CG216" s="928"/>
    </row>
    <row r="217" spans="3:85" x14ac:dyDescent="0.25">
      <c r="C217" s="387"/>
      <c r="D217" s="388"/>
      <c r="E217" s="387"/>
      <c r="F217" s="388"/>
      <c r="G217" s="387"/>
      <c r="H217" s="393"/>
      <c r="I217" s="389"/>
      <c r="J217" s="393"/>
      <c r="K217" s="394"/>
      <c r="L217" s="393"/>
      <c r="M217" s="388"/>
      <c r="N217" s="388"/>
      <c r="O217" s="388"/>
      <c r="P217" s="388"/>
      <c r="Q217" s="388" t="s">
        <v>16</v>
      </c>
      <c r="R217" s="390">
        <v>0.73860000000000003</v>
      </c>
      <c r="S217" s="388"/>
      <c r="T217" s="398">
        <v>4.7391297493088042E-3</v>
      </c>
      <c r="U217" s="387"/>
      <c r="V217" s="176">
        <f t="shared" si="200"/>
        <v>4.7391297493088042E-3</v>
      </c>
      <c r="W217" s="176">
        <f>V217-V217*Calculation_sheet!J$67</f>
        <v>4.7391297493088042E-3</v>
      </c>
      <c r="X217" s="176">
        <f>W217-W217*Calculation_sheet!J$77</f>
        <v>4.7391297493088042E-3</v>
      </c>
      <c r="Y217" s="34">
        <f>X217/Calculation_sheet!M$67</f>
        <v>4.7392266475871272E-3</v>
      </c>
      <c r="Z217" s="176">
        <f ca="1">IF(AN217&gt;0,Y217*Calculation_sheet!C$87,0)</f>
        <v>0</v>
      </c>
      <c r="AA217" s="176">
        <f ca="1">Y217-Z217</f>
        <v>4.7392266475871272E-3</v>
      </c>
      <c r="AB217" s="176">
        <f ca="1">IF(AP217&gt;0,AA217*Calculation_sheet!C$94,0)</f>
        <v>0</v>
      </c>
      <c r="AC217" s="176">
        <f t="shared" ref="AC217:AE227" ca="1" si="305">AA217-AB217</f>
        <v>4.7392266475871272E-3</v>
      </c>
      <c r="AD217" s="958">
        <f ca="1">AC217*Calculation_sheet!C$99</f>
        <v>2.8435359885522764E-3</v>
      </c>
      <c r="AE217" s="176">
        <f t="shared" ca="1" si="305"/>
        <v>1.8956906590348508E-3</v>
      </c>
      <c r="AF217" s="176">
        <f ca="1">Y217-AB217</f>
        <v>4.7392266475871272E-3</v>
      </c>
      <c r="AG217" s="958">
        <f ca="1">AF217*User_sheet!B$77/100</f>
        <v>0</v>
      </c>
      <c r="AH217" s="313"/>
      <c r="AI217" s="886">
        <v>102</v>
      </c>
      <c r="AJ217" s="985"/>
      <c r="AK217" s="1020">
        <f t="shared" ca="1" si="298"/>
        <v>581.43601084142051</v>
      </c>
      <c r="AL217" s="954">
        <f ca="1">AK217/'102'!I$24</f>
        <v>2.1048638727321438</v>
      </c>
      <c r="AM217" s="954">
        <f ca="1">0.8*(AK217*30+'102'!D$17*0.34*30*1)</f>
        <v>16614.801628921367</v>
      </c>
      <c r="AN217" s="954">
        <f ca="1">IF(AM217&lt;User_sheet!B$50,Y217,0)</f>
        <v>0</v>
      </c>
      <c r="AO217" s="954">
        <f ca="1">20-(User_sheet!B$57/('Freestanding '!AK217+'102'!D$17*1*0.34))</f>
        <v>11.766377772342921</v>
      </c>
      <c r="AP217" s="954">
        <f ca="1">IF(AO217&lt;User_sheet!B$59,0,BC217*AA217)</f>
        <v>4.7392266475871272E-3</v>
      </c>
      <c r="AQ217" s="985"/>
      <c r="AR217" s="883">
        <v>7.7</v>
      </c>
      <c r="AS217" s="883">
        <v>2.1</v>
      </c>
      <c r="AT217" s="883">
        <v>7.9</v>
      </c>
      <c r="AU217" s="883">
        <v>2.75</v>
      </c>
      <c r="AV217" s="883">
        <v>3.3</v>
      </c>
      <c r="AW217" s="883">
        <v>11357.186356387729</v>
      </c>
      <c r="AX217" s="883">
        <v>74715.401027665983</v>
      </c>
      <c r="AY217" s="883">
        <v>67352.647733737584</v>
      </c>
      <c r="AZ217" s="883">
        <v>0</v>
      </c>
      <c r="BA217" s="883">
        <v>0</v>
      </c>
      <c r="BB217" s="883">
        <v>0.6</v>
      </c>
      <c r="BC217" s="888">
        <v>1</v>
      </c>
      <c r="BD217" s="889">
        <v>0</v>
      </c>
      <c r="BE217" s="889">
        <v>0</v>
      </c>
      <c r="BF217" s="890">
        <v>0</v>
      </c>
      <c r="BG217" s="883">
        <v>1</v>
      </c>
      <c r="BH217" s="883">
        <v>0</v>
      </c>
      <c r="BI217" s="890">
        <v>0</v>
      </c>
      <c r="BJ217" s="883">
        <v>1</v>
      </c>
      <c r="BK217" s="883">
        <v>0</v>
      </c>
      <c r="BL217" s="883">
        <v>0</v>
      </c>
      <c r="BM217" s="890">
        <v>0</v>
      </c>
      <c r="BN217" s="958">
        <v>0</v>
      </c>
      <c r="BO217" s="959">
        <v>18</v>
      </c>
      <c r="BP217" s="1018">
        <f t="shared" ref="BP217:BP227" ca="1" si="306">INDIRECT("'"&amp;AI217&amp;"'!"&amp;"B2")</f>
        <v>121.5</v>
      </c>
      <c r="BQ217" s="1018">
        <f t="shared" ref="BQ217:BQ227" ca="1" si="307">INDIRECT("'"&amp;AI217&amp;"'!"&amp;"C12")+INDIRECT("'"&amp;AI217&amp;"'!"&amp;"C13")+INDIRECT("'"&amp;AI217&amp;"'!"&amp;"C14")+INDIRECT("'"&amp;AI217&amp;"'!"&amp;"C15")+INDIRECT("'"&amp;AI217&amp;"'!"&amp;"C17")</f>
        <v>287.05844999999999</v>
      </c>
      <c r="BR217" s="1018">
        <f t="shared" ref="BR217:BR227" ca="1" si="308">INDIRECT("'"&amp;AI217&amp;"'!"&amp;"G5")</f>
        <v>88.2</v>
      </c>
      <c r="BS217" s="1018">
        <f t="shared" ref="BS217:BS227" ca="1" si="309">INDIRECT("'"&amp;AI217&amp;"'!"&amp;"G4")</f>
        <v>110.2144959090909</v>
      </c>
      <c r="BT217" s="1018">
        <f t="shared" ref="BT217:BT227" ca="1" si="310">INDIRECT("'"&amp;AI217&amp;"'!"&amp;"G6")</f>
        <v>60.75</v>
      </c>
      <c r="BU217" s="1018">
        <f t="shared" ref="BU217:BU227" ca="1" si="311">INDIRECT("'"&amp;AI217&amp;"'!"&amp;"G2")</f>
        <v>18</v>
      </c>
      <c r="BV217" s="1018">
        <f t="shared" ref="BV217:BV227" ca="1" si="312">INDIRECT("'"&amp;AI217&amp;"'!"&amp;"G3")</f>
        <v>2.15</v>
      </c>
      <c r="BW217" s="1018">
        <v>0</v>
      </c>
      <c r="BX217" s="1018">
        <f t="shared" ref="BX217:BX227" ca="1" si="313">IF(BR217=0,0,1/(1/(BR217*$BY$3)+1/(BR217*AR217)+1/(BR217*$BY$4)))</f>
        <v>290.89377498572242</v>
      </c>
      <c r="BY217" s="1018">
        <f t="shared" ref="BY217:BY227" ca="1" si="314">IF(BS217=0,0,1/(1/(BS217*$BY$3)+1/(BS217*AS217)+1/(BS217*$BY$4)))</f>
        <v>169.68507434684082</v>
      </c>
      <c r="BZ217" s="1018">
        <f t="shared" ca="1" si="299"/>
        <v>66.843802757456388</v>
      </c>
      <c r="CA217" s="1018">
        <f t="shared" ca="1" si="300"/>
        <v>49.499999972774994</v>
      </c>
      <c r="CB217" s="1018">
        <f t="shared" ref="CB217:CB227" ca="1" si="315">IF(BV217=0,0,1/(1/(BV217*$BY$3)+1/(BV217*AV217)+1/(BV217*$BY$4)))</f>
        <v>4.5133587786259541</v>
      </c>
      <c r="CC217" s="1018">
        <f t="shared" si="301"/>
        <v>0</v>
      </c>
      <c r="CD217" s="1018">
        <f t="shared" ref="CD217:CD227" ca="1" si="316">SUM(BX217:CC217)+(BR217+BS217+BT217+BU217+BV217)*BN217</f>
        <v>581.43601084142051</v>
      </c>
      <c r="CE217" s="1018">
        <f ca="1">0.34*BO217*(1/25)^0.66*(BR217+BS217+BU217+BV217)</f>
        <v>159.84189954603258</v>
      </c>
      <c r="CF217" s="1018">
        <f t="shared" ca="1" si="303"/>
        <v>22.238337311623592</v>
      </c>
      <c r="CG217" s="1018">
        <f t="shared" ca="1" si="304"/>
        <v>37025.942090360812</v>
      </c>
    </row>
    <row r="218" spans="3:85" x14ac:dyDescent="0.25">
      <c r="C218" s="387"/>
      <c r="D218" s="388"/>
      <c r="E218" s="387"/>
      <c r="F218" s="388"/>
      <c r="G218" s="387"/>
      <c r="H218" s="393"/>
      <c r="I218" s="389"/>
      <c r="J218" s="393"/>
      <c r="K218" s="394"/>
      <c r="L218" s="393"/>
      <c r="M218" s="388"/>
      <c r="N218" s="388"/>
      <c r="O218" s="388" t="s">
        <v>18</v>
      </c>
      <c r="P218" s="390">
        <v>0.62953995200000001</v>
      </c>
      <c r="Q218" s="388" t="s">
        <v>7</v>
      </c>
      <c r="R218" s="390">
        <v>0.26140000000000002</v>
      </c>
      <c r="S218" s="388"/>
      <c r="T218" s="398">
        <v>1.6772387171260785E-3</v>
      </c>
      <c r="U218" s="387"/>
      <c r="V218" s="176">
        <f t="shared" si="200"/>
        <v>1.6772387171260785E-3</v>
      </c>
      <c r="W218" s="176">
        <f>V218-V218*Calculation_sheet!J$67</f>
        <v>1.6772387171260785E-3</v>
      </c>
      <c r="X218" s="176">
        <f>W218-W218*Calculation_sheet!J$77</f>
        <v>1.6772387171260785E-3</v>
      </c>
      <c r="Y218" s="34">
        <f>X218/Calculation_sheet!M$67</f>
        <v>1.6772730106678518E-3</v>
      </c>
      <c r="Z218" s="176">
        <f ca="1">IF(AN218&gt;0,Y218*Calculation_sheet!C$87,0)</f>
        <v>0</v>
      </c>
      <c r="AA218" s="176">
        <f t="shared" ref="AA218:AA227" ca="1" si="317">Y218-Z218</f>
        <v>1.6772730106678518E-3</v>
      </c>
      <c r="AB218" s="176">
        <f ca="1">IF(AP218&gt;0,AA218*Calculation_sheet!C$94,0)</f>
        <v>0</v>
      </c>
      <c r="AC218" s="176">
        <f t="shared" ca="1" si="305"/>
        <v>1.6772730106678518E-3</v>
      </c>
      <c r="AD218" s="958">
        <f ca="1">AC218*Calculation_sheet!C$99</f>
        <v>1.0063638064007111E-3</v>
      </c>
      <c r="AE218" s="176">
        <f t="shared" ca="1" si="305"/>
        <v>6.7090920426714066E-4</v>
      </c>
      <c r="AF218" s="176">
        <f t="shared" ref="AF218:AF227" ca="1" si="318">Y218-AB218</f>
        <v>1.6772730106678518E-3</v>
      </c>
      <c r="AG218" s="958">
        <f ca="1">AF218*User_sheet!B$77/100</f>
        <v>0</v>
      </c>
      <c r="AH218" s="313"/>
      <c r="AI218" s="886">
        <v>102</v>
      </c>
      <c r="AJ218" s="985"/>
      <c r="AK218" s="1020">
        <f t="shared" ca="1" si="298"/>
        <v>581.43601084142051</v>
      </c>
      <c r="AL218" s="954">
        <f ca="1">AK218/'102'!I$24</f>
        <v>2.1048638727321438</v>
      </c>
      <c r="AM218" s="954">
        <f ca="1">0.8*(AK218*30+'102'!D$17*0.34*30*1)</f>
        <v>16614.801628921367</v>
      </c>
      <c r="AN218" s="954">
        <f ca="1">IF(AM218&lt;User_sheet!B$50,Y218,0)</f>
        <v>0</v>
      </c>
      <c r="AO218" s="954">
        <f ca="1">20-(User_sheet!B$57/('Freestanding '!AK218+'102'!D$17*1*0.34))</f>
        <v>11.766377772342921</v>
      </c>
      <c r="AP218" s="954">
        <f ca="1">IF(AO218&lt;User_sheet!B$59,0,BC218*AA218)</f>
        <v>1.6772730106678518E-3</v>
      </c>
      <c r="AQ218" s="985"/>
      <c r="AR218" s="883">
        <v>7.7</v>
      </c>
      <c r="AS218" s="883">
        <v>2.1</v>
      </c>
      <c r="AT218" s="883">
        <v>7.9</v>
      </c>
      <c r="AU218" s="883">
        <v>2.75</v>
      </c>
      <c r="AV218" s="883">
        <v>3.3</v>
      </c>
      <c r="AW218" s="883">
        <v>11357.186356387729</v>
      </c>
      <c r="AX218" s="883">
        <v>74715.401027665983</v>
      </c>
      <c r="AY218" s="883">
        <v>67352.647733737584</v>
      </c>
      <c r="AZ218" s="883">
        <v>0</v>
      </c>
      <c r="BA218" s="883">
        <v>0</v>
      </c>
      <c r="BB218" s="883">
        <v>0.6</v>
      </c>
      <c r="BC218" s="888">
        <v>1</v>
      </c>
      <c r="BD218" s="889">
        <v>0</v>
      </c>
      <c r="BE218" s="889">
        <v>0</v>
      </c>
      <c r="BF218" s="890">
        <v>0</v>
      </c>
      <c r="BG218" s="883">
        <v>1</v>
      </c>
      <c r="BH218" s="883">
        <v>0</v>
      </c>
      <c r="BI218" s="890">
        <v>0</v>
      </c>
      <c r="BJ218" s="883">
        <v>0</v>
      </c>
      <c r="BK218" s="883">
        <v>0</v>
      </c>
      <c r="BL218" s="883">
        <v>1</v>
      </c>
      <c r="BM218" s="890">
        <v>0</v>
      </c>
      <c r="BN218" s="958">
        <v>0</v>
      </c>
      <c r="BO218" s="959">
        <v>18</v>
      </c>
      <c r="BP218" s="1018">
        <f t="shared" ca="1" si="306"/>
        <v>121.5</v>
      </c>
      <c r="BQ218" s="1018">
        <f t="shared" ca="1" si="307"/>
        <v>287.05844999999999</v>
      </c>
      <c r="BR218" s="1018">
        <f t="shared" ca="1" si="308"/>
        <v>88.2</v>
      </c>
      <c r="BS218" s="1018">
        <f t="shared" ca="1" si="309"/>
        <v>110.2144959090909</v>
      </c>
      <c r="BT218" s="1018">
        <f t="shared" ca="1" si="310"/>
        <v>60.75</v>
      </c>
      <c r="BU218" s="1018">
        <f t="shared" ca="1" si="311"/>
        <v>18</v>
      </c>
      <c r="BV218" s="1018">
        <f t="shared" ca="1" si="312"/>
        <v>2.15</v>
      </c>
      <c r="BW218" s="1018">
        <v>0</v>
      </c>
      <c r="BX218" s="1018">
        <f t="shared" ca="1" si="313"/>
        <v>290.89377498572242</v>
      </c>
      <c r="BY218" s="1018">
        <f t="shared" ca="1" si="314"/>
        <v>169.68507434684082</v>
      </c>
      <c r="BZ218" s="1018">
        <f t="shared" ca="1" si="299"/>
        <v>66.843802757456388</v>
      </c>
      <c r="CA218" s="1018">
        <f t="shared" ca="1" si="300"/>
        <v>49.499999972774994</v>
      </c>
      <c r="CB218" s="1018">
        <f t="shared" ca="1" si="315"/>
        <v>4.5133587786259541</v>
      </c>
      <c r="CC218" s="1018">
        <f t="shared" si="301"/>
        <v>0</v>
      </c>
      <c r="CD218" s="1018">
        <f t="shared" ca="1" si="316"/>
        <v>581.43601084142051</v>
      </c>
      <c r="CE218" s="1018">
        <f t="shared" ref="CE218:CE227" ca="1" si="319">0.34*BO218*(1/25)^0.66*(BR218+BS218+BU218+BV218)</f>
        <v>159.84189954603258</v>
      </c>
      <c r="CF218" s="1018">
        <f t="shared" ca="1" si="303"/>
        <v>22.238337311623592</v>
      </c>
      <c r="CG218" s="1018">
        <f t="shared" ca="1" si="304"/>
        <v>37025.942090360812</v>
      </c>
    </row>
    <row r="219" spans="3:85" x14ac:dyDescent="0.25">
      <c r="C219" s="387"/>
      <c r="D219" s="388"/>
      <c r="E219" s="387"/>
      <c r="F219" s="388"/>
      <c r="G219" s="387"/>
      <c r="H219" s="393"/>
      <c r="I219" s="389"/>
      <c r="J219" s="393"/>
      <c r="K219" s="394"/>
      <c r="L219" s="393"/>
      <c r="M219" s="388"/>
      <c r="N219" s="388"/>
      <c r="O219" s="388"/>
      <c r="P219" s="388"/>
      <c r="Q219" s="388" t="s">
        <v>16</v>
      </c>
      <c r="R219" s="390">
        <v>0.73860000000000003</v>
      </c>
      <c r="S219" s="388"/>
      <c r="T219" s="398">
        <v>2.7887955781512783E-3</v>
      </c>
      <c r="U219" s="387"/>
      <c r="V219" s="176">
        <f t="shared" si="200"/>
        <v>2.7887955781512783E-3</v>
      </c>
      <c r="W219" s="176">
        <f>V219-V219*Calculation_sheet!J$67</f>
        <v>2.7887955781512783E-3</v>
      </c>
      <c r="X219" s="176">
        <f>W219-W219*Calculation_sheet!J$77</f>
        <v>2.7887955781512783E-3</v>
      </c>
      <c r="Y219" s="34">
        <f>X219/Calculation_sheet!M$67</f>
        <v>2.7888525990611103E-3</v>
      </c>
      <c r="Z219" s="176">
        <f ca="1">IF(AN219&gt;0,Y219*Calculation_sheet!C$87,0)</f>
        <v>0</v>
      </c>
      <c r="AA219" s="176">
        <f t="shared" ca="1" si="317"/>
        <v>2.7888525990611103E-3</v>
      </c>
      <c r="AB219" s="176">
        <f ca="1">IF(AP219&gt;0,AA219*Calculation_sheet!C$94,0)</f>
        <v>0</v>
      </c>
      <c r="AC219" s="176">
        <f t="shared" ca="1" si="305"/>
        <v>2.7888525990611103E-3</v>
      </c>
      <c r="AD219" s="958">
        <f ca="1">AC219*Calculation_sheet!C$99</f>
        <v>1.6733115594366661E-3</v>
      </c>
      <c r="AE219" s="176">
        <f t="shared" ca="1" si="305"/>
        <v>1.1155410396244442E-3</v>
      </c>
      <c r="AF219" s="176">
        <f t="shared" ca="1" si="318"/>
        <v>2.7888525990611103E-3</v>
      </c>
      <c r="AG219" s="958">
        <f ca="1">AF219*User_sheet!B$77/100</f>
        <v>0</v>
      </c>
      <c r="AH219" s="313"/>
      <c r="AI219" s="886">
        <v>102</v>
      </c>
      <c r="AJ219" s="985"/>
      <c r="AK219" s="1020">
        <f t="shared" ca="1" si="298"/>
        <v>581.43601084142051</v>
      </c>
      <c r="AL219" s="954">
        <f ca="1">AK219/'102'!I$24</f>
        <v>2.1048638727321438</v>
      </c>
      <c r="AM219" s="954">
        <f ca="1">0.8*(AK219*30+'102'!D$17*0.34*30*1)</f>
        <v>16614.801628921367</v>
      </c>
      <c r="AN219" s="954">
        <f ca="1">IF(AM219&lt;User_sheet!B$50,Y219,0)</f>
        <v>0</v>
      </c>
      <c r="AO219" s="954">
        <f ca="1">20-(User_sheet!B$57/('Freestanding '!AK219+'102'!D$17*1*0.34))</f>
        <v>11.766377772342921</v>
      </c>
      <c r="AP219" s="954">
        <f ca="1">IF(AO219&lt;User_sheet!B$59,0,BC219*AA219)</f>
        <v>2.7888525990611103E-3</v>
      </c>
      <c r="AQ219" s="985"/>
      <c r="AR219" s="883">
        <v>7.7</v>
      </c>
      <c r="AS219" s="883">
        <v>2.1</v>
      </c>
      <c r="AT219" s="883">
        <v>7.9</v>
      </c>
      <c r="AU219" s="883">
        <v>2.75</v>
      </c>
      <c r="AV219" s="883">
        <v>3.3</v>
      </c>
      <c r="AW219" s="883">
        <v>11357.186356387729</v>
      </c>
      <c r="AX219" s="883">
        <v>74715.401027665983</v>
      </c>
      <c r="AY219" s="883">
        <v>67352.647733737584</v>
      </c>
      <c r="AZ219" s="883">
        <v>0</v>
      </c>
      <c r="BA219" s="883">
        <v>0</v>
      </c>
      <c r="BB219" s="883">
        <v>0.6</v>
      </c>
      <c r="BC219" s="888">
        <v>1</v>
      </c>
      <c r="BD219" s="889">
        <v>0</v>
      </c>
      <c r="BE219" s="889">
        <v>0</v>
      </c>
      <c r="BF219" s="890">
        <v>0</v>
      </c>
      <c r="BG219" s="883">
        <v>0</v>
      </c>
      <c r="BH219" s="883">
        <v>1</v>
      </c>
      <c r="BI219" s="890">
        <v>0</v>
      </c>
      <c r="BJ219" s="883">
        <v>1</v>
      </c>
      <c r="BK219" s="883">
        <v>0</v>
      </c>
      <c r="BL219" s="883">
        <v>0</v>
      </c>
      <c r="BM219" s="890">
        <v>0</v>
      </c>
      <c r="BN219" s="958">
        <v>0</v>
      </c>
      <c r="BO219" s="959">
        <v>18</v>
      </c>
      <c r="BP219" s="1018">
        <f t="shared" ca="1" si="306"/>
        <v>121.5</v>
      </c>
      <c r="BQ219" s="1018">
        <f t="shared" ca="1" si="307"/>
        <v>287.05844999999999</v>
      </c>
      <c r="BR219" s="1018">
        <f t="shared" ca="1" si="308"/>
        <v>88.2</v>
      </c>
      <c r="BS219" s="1018">
        <f t="shared" ca="1" si="309"/>
        <v>110.2144959090909</v>
      </c>
      <c r="BT219" s="1018">
        <f t="shared" ca="1" si="310"/>
        <v>60.75</v>
      </c>
      <c r="BU219" s="1018">
        <f t="shared" ca="1" si="311"/>
        <v>18</v>
      </c>
      <c r="BV219" s="1018">
        <f t="shared" ca="1" si="312"/>
        <v>2.15</v>
      </c>
      <c r="BW219" s="1018">
        <v>0</v>
      </c>
      <c r="BX219" s="1018">
        <f t="shared" ca="1" si="313"/>
        <v>290.89377498572242</v>
      </c>
      <c r="BY219" s="1018">
        <f t="shared" ca="1" si="314"/>
        <v>169.68507434684082</v>
      </c>
      <c r="BZ219" s="1018">
        <f t="shared" ca="1" si="299"/>
        <v>66.843802757456388</v>
      </c>
      <c r="CA219" s="1018">
        <f t="shared" ca="1" si="300"/>
        <v>49.499999972774994</v>
      </c>
      <c r="CB219" s="1018">
        <f t="shared" ca="1" si="315"/>
        <v>4.5133587786259541</v>
      </c>
      <c r="CC219" s="1018">
        <f t="shared" si="301"/>
        <v>0</v>
      </c>
      <c r="CD219" s="1018">
        <f t="shared" ca="1" si="316"/>
        <v>581.43601084142051</v>
      </c>
      <c r="CE219" s="1018">
        <f t="shared" ca="1" si="319"/>
        <v>159.84189954603258</v>
      </c>
      <c r="CF219" s="1018">
        <f t="shared" ca="1" si="303"/>
        <v>22.238337311623592</v>
      </c>
      <c r="CG219" s="1018">
        <f t="shared" ca="1" si="304"/>
        <v>37025.942090360812</v>
      </c>
    </row>
    <row r="220" spans="3:85" x14ac:dyDescent="0.25">
      <c r="C220" s="387"/>
      <c r="D220" s="388"/>
      <c r="E220" s="387"/>
      <c r="F220" s="388"/>
      <c r="G220" s="387"/>
      <c r="H220" s="393"/>
      <c r="I220" s="389"/>
      <c r="J220" s="393"/>
      <c r="K220" s="394"/>
      <c r="L220" s="393"/>
      <c r="M220" s="388" t="s">
        <v>16</v>
      </c>
      <c r="N220" s="390">
        <v>0.44680851100000002</v>
      </c>
      <c r="O220" s="388" t="s">
        <v>19</v>
      </c>
      <c r="P220" s="390">
        <v>0.37046004799999999</v>
      </c>
      <c r="Q220" s="388" t="s">
        <v>7</v>
      </c>
      <c r="R220" s="390">
        <v>0.26140000000000002</v>
      </c>
      <c r="S220" s="388"/>
      <c r="T220" s="398">
        <v>9.8699047404379107E-4</v>
      </c>
      <c r="U220" s="387"/>
      <c r="V220" s="176">
        <f t="shared" si="200"/>
        <v>9.8699047404379107E-4</v>
      </c>
      <c r="W220" s="176">
        <f>V220-V220*Calculation_sheet!J$67</f>
        <v>9.8699047404379107E-4</v>
      </c>
      <c r="X220" s="176">
        <f>W220-W220*Calculation_sheet!J$77</f>
        <v>9.8699047404379107E-4</v>
      </c>
      <c r="Y220" s="34">
        <f>X220/Calculation_sheet!M$67</f>
        <v>9.8701065447410531E-4</v>
      </c>
      <c r="Z220" s="176">
        <f ca="1">IF(AN220&gt;0,Y220*Calculation_sheet!C$87,0)</f>
        <v>0</v>
      </c>
      <c r="AA220" s="176">
        <f t="shared" ca="1" si="317"/>
        <v>9.8701065447410531E-4</v>
      </c>
      <c r="AB220" s="176">
        <f ca="1">IF(AP220&gt;0,AA220*Calculation_sheet!C$94,0)</f>
        <v>0</v>
      </c>
      <c r="AC220" s="176">
        <f t="shared" ca="1" si="305"/>
        <v>9.8701065447410531E-4</v>
      </c>
      <c r="AD220" s="958">
        <f ca="1">AC220*Calculation_sheet!C$99</f>
        <v>5.9220639268446314E-4</v>
      </c>
      <c r="AE220" s="176">
        <f t="shared" ca="1" si="305"/>
        <v>3.9480426178964217E-4</v>
      </c>
      <c r="AF220" s="176">
        <f t="shared" ca="1" si="318"/>
        <v>9.8701065447410531E-4</v>
      </c>
      <c r="AG220" s="958">
        <f ca="1">AF220*User_sheet!B$77/100</f>
        <v>0</v>
      </c>
      <c r="AH220" s="313"/>
      <c r="AI220" s="886">
        <v>102</v>
      </c>
      <c r="AJ220" s="985"/>
      <c r="AK220" s="1020">
        <f t="shared" ca="1" si="298"/>
        <v>581.43601084142051</v>
      </c>
      <c r="AL220" s="954">
        <f ca="1">AK220/'102'!I$24</f>
        <v>2.1048638727321438</v>
      </c>
      <c r="AM220" s="954">
        <f ca="1">0.8*(AK220*30+'102'!D$17*0.34*30*1)</f>
        <v>16614.801628921367</v>
      </c>
      <c r="AN220" s="954">
        <f ca="1">IF(AM220&lt;User_sheet!B$50,Y220,0)</f>
        <v>0</v>
      </c>
      <c r="AO220" s="954">
        <f ca="1">20-(User_sheet!B$57/('Freestanding '!AK220+'102'!D$17*1*0.34))</f>
        <v>11.766377772342921</v>
      </c>
      <c r="AP220" s="954">
        <f ca="1">IF(AO220&lt;User_sheet!B$59,0,BC220*AA220)</f>
        <v>9.8701065447410531E-4</v>
      </c>
      <c r="AQ220" s="985"/>
      <c r="AR220" s="883">
        <v>7.7</v>
      </c>
      <c r="AS220" s="883">
        <v>2.1</v>
      </c>
      <c r="AT220" s="883">
        <v>7.9</v>
      </c>
      <c r="AU220" s="883">
        <v>2.75</v>
      </c>
      <c r="AV220" s="883">
        <v>3.3</v>
      </c>
      <c r="AW220" s="883">
        <v>11357.186356387729</v>
      </c>
      <c r="AX220" s="883">
        <v>74715.401027665983</v>
      </c>
      <c r="AY220" s="883">
        <v>67352.647733737584</v>
      </c>
      <c r="AZ220" s="883">
        <v>0</v>
      </c>
      <c r="BA220" s="883">
        <v>0</v>
      </c>
      <c r="BB220" s="883">
        <v>0.6</v>
      </c>
      <c r="BC220" s="888">
        <v>1</v>
      </c>
      <c r="BD220" s="889">
        <v>0</v>
      </c>
      <c r="BE220" s="889">
        <v>0</v>
      </c>
      <c r="BF220" s="890">
        <v>0</v>
      </c>
      <c r="BG220" s="883">
        <v>0</v>
      </c>
      <c r="BH220" s="883">
        <v>1</v>
      </c>
      <c r="BI220" s="890">
        <v>0</v>
      </c>
      <c r="BJ220" s="883">
        <v>0</v>
      </c>
      <c r="BK220" s="883">
        <v>0</v>
      </c>
      <c r="BL220" s="883">
        <v>1</v>
      </c>
      <c r="BM220" s="890">
        <v>0</v>
      </c>
      <c r="BN220" s="958">
        <v>0</v>
      </c>
      <c r="BO220" s="959">
        <v>18</v>
      </c>
      <c r="BP220" s="1018">
        <f t="shared" ca="1" si="306"/>
        <v>121.5</v>
      </c>
      <c r="BQ220" s="1018">
        <f t="shared" ca="1" si="307"/>
        <v>287.05844999999999</v>
      </c>
      <c r="BR220" s="1018">
        <f t="shared" ca="1" si="308"/>
        <v>88.2</v>
      </c>
      <c r="BS220" s="1018">
        <f t="shared" ca="1" si="309"/>
        <v>110.2144959090909</v>
      </c>
      <c r="BT220" s="1018">
        <f t="shared" ca="1" si="310"/>
        <v>60.75</v>
      </c>
      <c r="BU220" s="1018">
        <f t="shared" ca="1" si="311"/>
        <v>18</v>
      </c>
      <c r="BV220" s="1018">
        <f t="shared" ca="1" si="312"/>
        <v>2.15</v>
      </c>
      <c r="BW220" s="1018">
        <v>0</v>
      </c>
      <c r="BX220" s="1018">
        <f t="shared" ca="1" si="313"/>
        <v>290.89377498572242</v>
      </c>
      <c r="BY220" s="1018">
        <f t="shared" ca="1" si="314"/>
        <v>169.68507434684082</v>
      </c>
      <c r="BZ220" s="1018">
        <f t="shared" ca="1" si="299"/>
        <v>66.843802757456388</v>
      </c>
      <c r="CA220" s="1018">
        <f t="shared" ca="1" si="300"/>
        <v>49.499999972774994</v>
      </c>
      <c r="CB220" s="1018">
        <f t="shared" ca="1" si="315"/>
        <v>4.5133587786259541</v>
      </c>
      <c r="CC220" s="1018">
        <f t="shared" si="301"/>
        <v>0</v>
      </c>
      <c r="CD220" s="1018">
        <f t="shared" ca="1" si="316"/>
        <v>581.43601084142051</v>
      </c>
      <c r="CE220" s="1018">
        <f t="shared" ca="1" si="319"/>
        <v>159.84189954603258</v>
      </c>
      <c r="CF220" s="1018">
        <f t="shared" ca="1" si="303"/>
        <v>22.238337311623592</v>
      </c>
      <c r="CG220" s="1018">
        <f t="shared" ca="1" si="304"/>
        <v>37025.942090360812</v>
      </c>
    </row>
    <row r="221" spans="3:85" x14ac:dyDescent="0.25">
      <c r="D221" s="388"/>
      <c r="E221" s="387"/>
      <c r="F221" s="388"/>
      <c r="G221" s="387"/>
      <c r="H221" s="393"/>
      <c r="I221" s="389"/>
      <c r="J221" s="393"/>
      <c r="K221" s="394"/>
      <c r="L221" s="393"/>
      <c r="M221" s="388"/>
      <c r="N221" s="388"/>
      <c r="O221" s="388"/>
      <c r="P221" s="388"/>
      <c r="Q221" s="388" t="s">
        <v>22</v>
      </c>
      <c r="R221" s="390">
        <v>0.53710000000000002</v>
      </c>
      <c r="S221" s="388"/>
      <c r="T221" s="398">
        <v>4.4246403448099866E-3</v>
      </c>
      <c r="U221" s="387"/>
      <c r="V221" s="176">
        <f t="shared" si="200"/>
        <v>4.4246403448099866E-3</v>
      </c>
      <c r="W221" s="176">
        <f>V221-V221*Calculation_sheet!J$67</f>
        <v>4.4246403448099866E-3</v>
      </c>
      <c r="X221" s="176">
        <f>W221-W221*Calculation_sheet!J$77</f>
        <v>4.4246403448099866E-3</v>
      </c>
      <c r="Y221" s="34">
        <f>X221/Calculation_sheet!M$67</f>
        <v>4.4247308129031363E-3</v>
      </c>
      <c r="Z221" s="176">
        <f ca="1">IF(AN221&gt;0,Y221*Calculation_sheet!C$87,0)</f>
        <v>0</v>
      </c>
      <c r="AA221" s="176">
        <f t="shared" ca="1" si="317"/>
        <v>4.4247308129031363E-3</v>
      </c>
      <c r="AB221" s="176">
        <f ca="1">IF(AP221&gt;0,AA221*Calculation_sheet!C$94,0)</f>
        <v>0</v>
      </c>
      <c r="AC221" s="176">
        <f t="shared" ca="1" si="305"/>
        <v>4.4247308129031363E-3</v>
      </c>
      <c r="AD221" s="958">
        <f ca="1">AC221*Calculation_sheet!C$99</f>
        <v>2.6548384877418817E-3</v>
      </c>
      <c r="AE221" s="176">
        <f t="shared" ca="1" si="305"/>
        <v>1.7698923251612546E-3</v>
      </c>
      <c r="AF221" s="176">
        <f t="shared" ca="1" si="318"/>
        <v>4.4247308129031363E-3</v>
      </c>
      <c r="AG221" s="958">
        <f ca="1">AF221*User_sheet!B$77/100</f>
        <v>0</v>
      </c>
      <c r="AH221" s="313"/>
      <c r="AI221" s="886">
        <v>102</v>
      </c>
      <c r="AJ221" s="985"/>
      <c r="AK221" s="1020">
        <f t="shared" ca="1" si="298"/>
        <v>581.43601084142051</v>
      </c>
      <c r="AL221" s="954">
        <f ca="1">AK221/'102'!I$24</f>
        <v>2.1048638727321438</v>
      </c>
      <c r="AM221" s="954">
        <f ca="1">0.8*(AK221*30+'102'!D$17*0.34*30*1)</f>
        <v>16614.801628921367</v>
      </c>
      <c r="AN221" s="954">
        <f ca="1">IF(AM221&lt;User_sheet!B$50,Y221,0)</f>
        <v>0</v>
      </c>
      <c r="AO221" s="954">
        <f ca="1">20-(User_sheet!B$57/('Freestanding '!AK221+'102'!D$17*1*0.34))</f>
        <v>11.766377772342921</v>
      </c>
      <c r="AP221" s="954">
        <f ca="1">IF(AO221&lt;User_sheet!B$59,0,BC221*AA221)</f>
        <v>0</v>
      </c>
      <c r="AQ221" s="985"/>
      <c r="AR221" s="883">
        <v>7.7</v>
      </c>
      <c r="AS221" s="883">
        <v>2.1</v>
      </c>
      <c r="AT221" s="883">
        <v>7.9</v>
      </c>
      <c r="AU221" s="883">
        <v>2.75</v>
      </c>
      <c r="AV221" s="883">
        <v>3.3</v>
      </c>
      <c r="AW221" s="883">
        <v>11357.186356387729</v>
      </c>
      <c r="AX221" s="883">
        <v>74715.401027665983</v>
      </c>
      <c r="AY221" s="883">
        <v>67352.647733737584</v>
      </c>
      <c r="AZ221" s="883">
        <v>0</v>
      </c>
      <c r="BA221" s="883">
        <v>0</v>
      </c>
      <c r="BB221" s="883">
        <v>0.6</v>
      </c>
      <c r="BC221" s="888">
        <v>0</v>
      </c>
      <c r="BD221" s="889">
        <v>1</v>
      </c>
      <c r="BE221" s="889">
        <v>0</v>
      </c>
      <c r="BF221" s="890">
        <v>0</v>
      </c>
      <c r="BG221" s="883">
        <v>1</v>
      </c>
      <c r="BH221" s="883">
        <v>0</v>
      </c>
      <c r="BI221" s="890">
        <v>0</v>
      </c>
      <c r="BJ221" s="883">
        <v>0</v>
      </c>
      <c r="BK221" s="883">
        <v>1</v>
      </c>
      <c r="BL221" s="883">
        <v>0</v>
      </c>
      <c r="BM221" s="890">
        <v>0</v>
      </c>
      <c r="BN221" s="958">
        <v>0</v>
      </c>
      <c r="BO221" s="959">
        <v>18</v>
      </c>
      <c r="BP221" s="1018">
        <f t="shared" ca="1" si="306"/>
        <v>121.5</v>
      </c>
      <c r="BQ221" s="1018">
        <f t="shared" ca="1" si="307"/>
        <v>287.05844999999999</v>
      </c>
      <c r="BR221" s="1018">
        <f t="shared" ca="1" si="308"/>
        <v>88.2</v>
      </c>
      <c r="BS221" s="1018">
        <f t="shared" ca="1" si="309"/>
        <v>110.2144959090909</v>
      </c>
      <c r="BT221" s="1018">
        <f t="shared" ca="1" si="310"/>
        <v>60.75</v>
      </c>
      <c r="BU221" s="1018">
        <f t="shared" ca="1" si="311"/>
        <v>18</v>
      </c>
      <c r="BV221" s="1018">
        <f t="shared" ca="1" si="312"/>
        <v>2.15</v>
      </c>
      <c r="BW221" s="1018">
        <v>0</v>
      </c>
      <c r="BX221" s="1018">
        <f t="shared" ca="1" si="313"/>
        <v>290.89377498572242</v>
      </c>
      <c r="BY221" s="1018">
        <f t="shared" ca="1" si="314"/>
        <v>169.68507434684082</v>
      </c>
      <c r="BZ221" s="1018">
        <f t="shared" ca="1" si="299"/>
        <v>66.843802757456388</v>
      </c>
      <c r="CA221" s="1018">
        <f t="shared" ca="1" si="300"/>
        <v>49.499999972774994</v>
      </c>
      <c r="CB221" s="1018">
        <f t="shared" ca="1" si="315"/>
        <v>4.5133587786259541</v>
      </c>
      <c r="CC221" s="1018">
        <f t="shared" si="301"/>
        <v>0</v>
      </c>
      <c r="CD221" s="1018">
        <f t="shared" ca="1" si="316"/>
        <v>581.43601084142051</v>
      </c>
      <c r="CE221" s="1018">
        <f t="shared" ca="1" si="319"/>
        <v>159.84189954603258</v>
      </c>
      <c r="CF221" s="1018">
        <f t="shared" ca="1" si="303"/>
        <v>22.238337311623592</v>
      </c>
      <c r="CG221" s="1018">
        <f t="shared" ca="1" si="304"/>
        <v>37025.942090360812</v>
      </c>
    </row>
    <row r="222" spans="3:85" x14ac:dyDescent="0.25">
      <c r="D222" s="388"/>
      <c r="E222" s="387"/>
      <c r="F222" s="388"/>
      <c r="G222" s="387"/>
      <c r="H222" s="393"/>
      <c r="I222" s="389"/>
      <c r="J222" s="393"/>
      <c r="K222" s="394"/>
      <c r="L222" s="393"/>
      <c r="M222" s="388"/>
      <c r="N222" s="388"/>
      <c r="O222" s="388" t="s">
        <v>18</v>
      </c>
      <c r="P222" s="390">
        <v>0.80827067699999999</v>
      </c>
      <c r="Q222" s="388" t="s">
        <v>7</v>
      </c>
      <c r="R222" s="390">
        <v>0.46289999999999998</v>
      </c>
      <c r="S222" s="388"/>
      <c r="T222" s="398">
        <v>3.8133792880516528E-3</v>
      </c>
      <c r="U222" s="387"/>
      <c r="V222" s="176">
        <f t="shared" si="200"/>
        <v>3.8133792880516528E-3</v>
      </c>
      <c r="W222" s="176">
        <f>V222-V222*Calculation_sheet!J$67</f>
        <v>3.8133792880516528E-3</v>
      </c>
      <c r="X222" s="176">
        <f>W222-W222*Calculation_sheet!J$77</f>
        <v>3.8133792880516528E-3</v>
      </c>
      <c r="Y222" s="34">
        <f>X222/Calculation_sheet!M$67</f>
        <v>3.8134572580392143E-3</v>
      </c>
      <c r="Z222" s="176">
        <f ca="1">IF(AN222&gt;0,Y222*Calculation_sheet!C$87,0)</f>
        <v>0</v>
      </c>
      <c r="AA222" s="176">
        <f t="shared" ca="1" si="317"/>
        <v>3.8134572580392143E-3</v>
      </c>
      <c r="AB222" s="176">
        <f ca="1">IF(AP222&gt;0,AA222*Calculation_sheet!C$94,0)</f>
        <v>0</v>
      </c>
      <c r="AC222" s="176">
        <f t="shared" ca="1" si="305"/>
        <v>3.8134572580392143E-3</v>
      </c>
      <c r="AD222" s="958">
        <f ca="1">AC222*Calculation_sheet!C$99</f>
        <v>2.2880743548235284E-3</v>
      </c>
      <c r="AE222" s="176">
        <f t="shared" ca="1" si="305"/>
        <v>1.5253829032156859E-3</v>
      </c>
      <c r="AF222" s="176">
        <f t="shared" ca="1" si="318"/>
        <v>3.8134572580392143E-3</v>
      </c>
      <c r="AG222" s="958">
        <f ca="1">AF222*User_sheet!B$77/100</f>
        <v>0</v>
      </c>
      <c r="AH222" s="313"/>
      <c r="AI222" s="886">
        <v>102</v>
      </c>
      <c r="AJ222" s="985"/>
      <c r="AK222" s="1020">
        <f t="shared" ca="1" si="298"/>
        <v>581.43601084142051</v>
      </c>
      <c r="AL222" s="954">
        <f ca="1">AK222/'102'!I$24</f>
        <v>2.1048638727321438</v>
      </c>
      <c r="AM222" s="954">
        <f ca="1">0.8*(AK222*30+'102'!D$17*0.34*30*1)</f>
        <v>16614.801628921367</v>
      </c>
      <c r="AN222" s="954">
        <f ca="1">IF(AM222&lt;User_sheet!B$50,Y222,0)</f>
        <v>0</v>
      </c>
      <c r="AO222" s="954">
        <f ca="1">20-(User_sheet!B$57/('Freestanding '!AK222+'102'!D$17*1*0.34))</f>
        <v>11.766377772342921</v>
      </c>
      <c r="AP222" s="954">
        <f ca="1">IF(AO222&lt;User_sheet!B$59,0,BC222*AA222)</f>
        <v>0</v>
      </c>
      <c r="AQ222" s="985"/>
      <c r="AR222" s="883">
        <v>7.7</v>
      </c>
      <c r="AS222" s="883">
        <v>2.1</v>
      </c>
      <c r="AT222" s="883">
        <v>7.9</v>
      </c>
      <c r="AU222" s="883">
        <v>2.75</v>
      </c>
      <c r="AV222" s="883">
        <v>3.3</v>
      </c>
      <c r="AW222" s="883">
        <v>11357.186356387729</v>
      </c>
      <c r="AX222" s="883">
        <v>74715.401027665983</v>
      </c>
      <c r="AY222" s="883">
        <v>67352.647733737584</v>
      </c>
      <c r="AZ222" s="883">
        <v>0</v>
      </c>
      <c r="BA222" s="883">
        <v>0</v>
      </c>
      <c r="BB222" s="883">
        <v>0.6</v>
      </c>
      <c r="BC222" s="888">
        <v>0</v>
      </c>
      <c r="BD222" s="889">
        <v>1</v>
      </c>
      <c r="BE222" s="889">
        <v>0</v>
      </c>
      <c r="BF222" s="890">
        <v>0</v>
      </c>
      <c r="BG222" s="883">
        <v>1</v>
      </c>
      <c r="BH222" s="883">
        <v>0</v>
      </c>
      <c r="BI222" s="890">
        <v>0</v>
      </c>
      <c r="BJ222" s="883">
        <v>0</v>
      </c>
      <c r="BK222" s="883">
        <v>0</v>
      </c>
      <c r="BL222" s="883">
        <v>1</v>
      </c>
      <c r="BM222" s="890">
        <v>0</v>
      </c>
      <c r="BN222" s="958">
        <v>0</v>
      </c>
      <c r="BO222" s="959">
        <v>18</v>
      </c>
      <c r="BP222" s="1018">
        <f t="shared" ca="1" si="306"/>
        <v>121.5</v>
      </c>
      <c r="BQ222" s="1018">
        <f t="shared" ca="1" si="307"/>
        <v>287.05844999999999</v>
      </c>
      <c r="BR222" s="1018">
        <f t="shared" ca="1" si="308"/>
        <v>88.2</v>
      </c>
      <c r="BS222" s="1018">
        <f t="shared" ca="1" si="309"/>
        <v>110.2144959090909</v>
      </c>
      <c r="BT222" s="1018">
        <f t="shared" ca="1" si="310"/>
        <v>60.75</v>
      </c>
      <c r="BU222" s="1018">
        <f t="shared" ca="1" si="311"/>
        <v>18</v>
      </c>
      <c r="BV222" s="1018">
        <f t="shared" ca="1" si="312"/>
        <v>2.15</v>
      </c>
      <c r="BW222" s="1018">
        <v>0</v>
      </c>
      <c r="BX222" s="1018">
        <f t="shared" ca="1" si="313"/>
        <v>290.89377498572242</v>
      </c>
      <c r="BY222" s="1018">
        <f t="shared" ca="1" si="314"/>
        <v>169.68507434684082</v>
      </c>
      <c r="BZ222" s="1018">
        <f t="shared" ca="1" si="299"/>
        <v>66.843802757456388</v>
      </c>
      <c r="CA222" s="1018">
        <f t="shared" ca="1" si="300"/>
        <v>49.499999972774994</v>
      </c>
      <c r="CB222" s="1018">
        <f t="shared" ca="1" si="315"/>
        <v>4.5133587786259541</v>
      </c>
      <c r="CC222" s="1018">
        <f t="shared" si="301"/>
        <v>0</v>
      </c>
      <c r="CD222" s="1018">
        <f t="shared" ca="1" si="316"/>
        <v>581.43601084142051</v>
      </c>
      <c r="CE222" s="1018">
        <f t="shared" ca="1" si="319"/>
        <v>159.84189954603258</v>
      </c>
      <c r="CF222" s="1018">
        <f t="shared" ca="1" si="303"/>
        <v>22.238337311623592</v>
      </c>
      <c r="CG222" s="1018">
        <f t="shared" ca="1" si="304"/>
        <v>37025.942090360812</v>
      </c>
    </row>
    <row r="223" spans="3:85" x14ac:dyDescent="0.25">
      <c r="D223" s="388"/>
      <c r="E223" s="387"/>
      <c r="F223" s="388"/>
      <c r="G223" s="387"/>
      <c r="H223" s="393"/>
      <c r="I223" s="389"/>
      <c r="J223" s="393"/>
      <c r="K223" s="394"/>
      <c r="L223" s="393"/>
      <c r="M223" s="388"/>
      <c r="N223" s="388"/>
      <c r="O223" s="388"/>
      <c r="P223" s="388"/>
      <c r="Q223" s="388" t="s">
        <v>22</v>
      </c>
      <c r="R223" s="390">
        <v>0.53710000000000002</v>
      </c>
      <c r="S223" s="388"/>
      <c r="T223" s="398">
        <v>1.04956584714616E-3</v>
      </c>
      <c r="U223" s="387"/>
      <c r="V223" s="176">
        <f t="shared" si="200"/>
        <v>1.04956584714616E-3</v>
      </c>
      <c r="W223" s="176">
        <f>V223-V223*Calculation_sheet!J$67</f>
        <v>1.04956584714616E-3</v>
      </c>
      <c r="X223" s="176">
        <f>W223-W223*Calculation_sheet!J$77</f>
        <v>1.04956584714616E-3</v>
      </c>
      <c r="Y223" s="34">
        <f>X223/Calculation_sheet!M$67</f>
        <v>1.0495873070193761E-3</v>
      </c>
      <c r="Z223" s="176">
        <f ca="1">IF(AN223&gt;0,Y223*Calculation_sheet!C$87,0)</f>
        <v>0</v>
      </c>
      <c r="AA223" s="176">
        <f t="shared" ca="1" si="317"/>
        <v>1.0495873070193761E-3</v>
      </c>
      <c r="AB223" s="176">
        <f ca="1">IF(AP223&gt;0,AA223*Calculation_sheet!C$94,0)</f>
        <v>0</v>
      </c>
      <c r="AC223" s="176">
        <f t="shared" ca="1" si="305"/>
        <v>1.0495873070193761E-3</v>
      </c>
      <c r="AD223" s="958">
        <f ca="1">AC223*Calculation_sheet!C$99</f>
        <v>6.2975238421162565E-4</v>
      </c>
      <c r="AE223" s="176">
        <f t="shared" ca="1" si="305"/>
        <v>4.1983492280775047E-4</v>
      </c>
      <c r="AF223" s="176">
        <f t="shared" ca="1" si="318"/>
        <v>1.0495873070193761E-3</v>
      </c>
      <c r="AG223" s="958">
        <f ca="1">AF223*User_sheet!B$77/100</f>
        <v>0</v>
      </c>
      <c r="AH223" s="313"/>
      <c r="AI223" s="886">
        <v>102</v>
      </c>
      <c r="AJ223" s="985"/>
      <c r="AK223" s="1020">
        <f t="shared" ca="1" si="298"/>
        <v>581.43601084142051</v>
      </c>
      <c r="AL223" s="954">
        <f ca="1">AK223/'102'!I$24</f>
        <v>2.1048638727321438</v>
      </c>
      <c r="AM223" s="954">
        <f ca="1">0.8*(AK223*30+'102'!D$17*0.34*30*1)</f>
        <v>16614.801628921367</v>
      </c>
      <c r="AN223" s="954">
        <f ca="1">IF(AM223&lt;User_sheet!B$50,Y223,0)</f>
        <v>0</v>
      </c>
      <c r="AO223" s="954">
        <f ca="1">20-(User_sheet!B$57/('Freestanding '!AK223+'102'!D$17*1*0.34))</f>
        <v>11.766377772342921</v>
      </c>
      <c r="AP223" s="954">
        <f ca="1">IF(AO223&lt;User_sheet!B$59,0,BC223*AA223)</f>
        <v>0</v>
      </c>
      <c r="AQ223" s="985"/>
      <c r="AR223" s="883">
        <v>7.7</v>
      </c>
      <c r="AS223" s="883">
        <v>2.1</v>
      </c>
      <c r="AT223" s="883">
        <v>7.9</v>
      </c>
      <c r="AU223" s="883">
        <v>2.75</v>
      </c>
      <c r="AV223" s="883">
        <v>3.3</v>
      </c>
      <c r="AW223" s="883">
        <v>11357.186356387729</v>
      </c>
      <c r="AX223" s="883">
        <v>74715.401027665983</v>
      </c>
      <c r="AY223" s="883">
        <v>67352.647733737584</v>
      </c>
      <c r="AZ223" s="883">
        <v>0</v>
      </c>
      <c r="BA223" s="883">
        <v>0</v>
      </c>
      <c r="BB223" s="883">
        <v>0.6</v>
      </c>
      <c r="BC223" s="888">
        <v>0</v>
      </c>
      <c r="BD223" s="889">
        <v>1</v>
      </c>
      <c r="BE223" s="889">
        <v>0</v>
      </c>
      <c r="BF223" s="890">
        <v>0</v>
      </c>
      <c r="BG223" s="883">
        <v>0</v>
      </c>
      <c r="BH223" s="883">
        <v>1</v>
      </c>
      <c r="BI223" s="890">
        <v>0</v>
      </c>
      <c r="BJ223" s="883">
        <v>0</v>
      </c>
      <c r="BK223" s="883">
        <v>1</v>
      </c>
      <c r="BL223" s="883">
        <v>0</v>
      </c>
      <c r="BM223" s="890">
        <v>0</v>
      </c>
      <c r="BN223" s="958">
        <v>0</v>
      </c>
      <c r="BO223" s="959">
        <v>18</v>
      </c>
      <c r="BP223" s="1018">
        <f t="shared" ca="1" si="306"/>
        <v>121.5</v>
      </c>
      <c r="BQ223" s="1018">
        <f t="shared" ca="1" si="307"/>
        <v>287.05844999999999</v>
      </c>
      <c r="BR223" s="1018">
        <f t="shared" ca="1" si="308"/>
        <v>88.2</v>
      </c>
      <c r="BS223" s="1018">
        <f t="shared" ca="1" si="309"/>
        <v>110.2144959090909</v>
      </c>
      <c r="BT223" s="1018">
        <f t="shared" ca="1" si="310"/>
        <v>60.75</v>
      </c>
      <c r="BU223" s="1018">
        <f t="shared" ca="1" si="311"/>
        <v>18</v>
      </c>
      <c r="BV223" s="1018">
        <f t="shared" ca="1" si="312"/>
        <v>2.15</v>
      </c>
      <c r="BW223" s="1018">
        <v>0</v>
      </c>
      <c r="BX223" s="1018">
        <f t="shared" ca="1" si="313"/>
        <v>290.89377498572242</v>
      </c>
      <c r="BY223" s="1018">
        <f t="shared" ca="1" si="314"/>
        <v>169.68507434684082</v>
      </c>
      <c r="BZ223" s="1018">
        <f t="shared" ca="1" si="299"/>
        <v>66.843802757456388</v>
      </c>
      <c r="CA223" s="1018">
        <f t="shared" ca="1" si="300"/>
        <v>49.499999972774994</v>
      </c>
      <c r="CB223" s="1018">
        <f t="shared" ca="1" si="315"/>
        <v>4.5133587786259541</v>
      </c>
      <c r="CC223" s="1018">
        <f t="shared" si="301"/>
        <v>0</v>
      </c>
      <c r="CD223" s="1018">
        <f t="shared" ca="1" si="316"/>
        <v>581.43601084142051</v>
      </c>
      <c r="CE223" s="1018">
        <f t="shared" ca="1" si="319"/>
        <v>159.84189954603258</v>
      </c>
      <c r="CF223" s="1018">
        <f t="shared" ca="1" si="303"/>
        <v>22.238337311623592</v>
      </c>
      <c r="CG223" s="1018">
        <f t="shared" ca="1" si="304"/>
        <v>37025.942090360812</v>
      </c>
    </row>
    <row r="224" spans="3:85" x14ac:dyDescent="0.25">
      <c r="D224" s="388"/>
      <c r="E224" s="387"/>
      <c r="F224" s="388"/>
      <c r="G224" s="387"/>
      <c r="H224" s="388"/>
      <c r="I224" s="387"/>
      <c r="J224" s="388"/>
      <c r="K224" s="388"/>
      <c r="L224" s="388"/>
      <c r="M224" s="388" t="s">
        <v>22</v>
      </c>
      <c r="N224" s="390">
        <v>0.44680851100000002</v>
      </c>
      <c r="O224" s="388" t="s">
        <v>20</v>
      </c>
      <c r="P224" s="390">
        <v>0.19172932300000001</v>
      </c>
      <c r="Q224" s="388" t="s">
        <v>7</v>
      </c>
      <c r="R224" s="390">
        <v>0.46289999999999998</v>
      </c>
      <c r="S224" s="388"/>
      <c r="T224" s="398">
        <v>9.045690386221513E-4</v>
      </c>
      <c r="U224" s="387"/>
      <c r="V224" s="176">
        <f t="shared" si="200"/>
        <v>9.045690386221513E-4</v>
      </c>
      <c r="W224" s="176">
        <f>V224-V224*Calculation_sheet!J$67</f>
        <v>9.045690386221513E-4</v>
      </c>
      <c r="X224" s="176">
        <f>W224-W224*Calculation_sheet!J$77</f>
        <v>9.045690386221513E-4</v>
      </c>
      <c r="Y224" s="34">
        <f>X224/Calculation_sheet!M$67</f>
        <v>9.0458753382846623E-4</v>
      </c>
      <c r="Z224" s="176">
        <f ca="1">IF(AN224&gt;0,Y224*Calculation_sheet!C$87,0)</f>
        <v>0</v>
      </c>
      <c r="AA224" s="176">
        <f t="shared" ca="1" si="317"/>
        <v>9.0458753382846623E-4</v>
      </c>
      <c r="AB224" s="176">
        <f ca="1">IF(AP224&gt;0,AA224*Calculation_sheet!C$94,0)</f>
        <v>0</v>
      </c>
      <c r="AC224" s="176">
        <f t="shared" ca="1" si="305"/>
        <v>9.0458753382846623E-4</v>
      </c>
      <c r="AD224" s="958">
        <f ca="1">AC224*Calculation_sheet!C$99</f>
        <v>5.427525202970797E-4</v>
      </c>
      <c r="AE224" s="176">
        <f t="shared" ca="1" si="305"/>
        <v>3.6183501353138654E-4</v>
      </c>
      <c r="AF224" s="176">
        <f t="shared" ca="1" si="318"/>
        <v>9.0458753382846623E-4</v>
      </c>
      <c r="AG224" s="958">
        <f ca="1">AF224*User_sheet!B$77/100</f>
        <v>0</v>
      </c>
      <c r="AH224" s="313"/>
      <c r="AI224" s="886">
        <v>102</v>
      </c>
      <c r="AJ224" s="985"/>
      <c r="AK224" s="1020">
        <f t="shared" ca="1" si="298"/>
        <v>581.43601084142051</v>
      </c>
      <c r="AL224" s="954">
        <f ca="1">AK224/'102'!I$24</f>
        <v>2.1048638727321438</v>
      </c>
      <c r="AM224" s="954">
        <f ca="1">0.8*(AK224*30+'102'!D$17*0.34*30*1)</f>
        <v>16614.801628921367</v>
      </c>
      <c r="AN224" s="954">
        <f ca="1">IF(AM224&lt;User_sheet!B$50,Y224,0)</f>
        <v>0</v>
      </c>
      <c r="AO224" s="954">
        <f ca="1">20-(User_sheet!B$57/('Freestanding '!AK224+'102'!D$17*1*0.34))</f>
        <v>11.766377772342921</v>
      </c>
      <c r="AP224" s="954">
        <f ca="1">IF(AO224&lt;User_sheet!B$59,0,BC224*AA224)</f>
        <v>0</v>
      </c>
      <c r="AQ224" s="985"/>
      <c r="AR224" s="883">
        <v>7.7</v>
      </c>
      <c r="AS224" s="883">
        <v>2.1</v>
      </c>
      <c r="AT224" s="883">
        <v>7.9</v>
      </c>
      <c r="AU224" s="883">
        <v>2.75</v>
      </c>
      <c r="AV224" s="883">
        <v>3.3</v>
      </c>
      <c r="AW224" s="883">
        <v>11357.186356387729</v>
      </c>
      <c r="AX224" s="883">
        <v>74715.401027665983</v>
      </c>
      <c r="AY224" s="883">
        <v>67352.647733737584</v>
      </c>
      <c r="AZ224" s="883">
        <v>0</v>
      </c>
      <c r="BA224" s="883">
        <v>0</v>
      </c>
      <c r="BB224" s="883">
        <v>0.6</v>
      </c>
      <c r="BC224" s="888">
        <v>0</v>
      </c>
      <c r="BD224" s="889">
        <v>1</v>
      </c>
      <c r="BE224" s="889">
        <v>0</v>
      </c>
      <c r="BF224" s="890">
        <v>0</v>
      </c>
      <c r="BG224" s="883">
        <v>0</v>
      </c>
      <c r="BH224" s="883">
        <v>1</v>
      </c>
      <c r="BI224" s="890">
        <v>0</v>
      </c>
      <c r="BJ224" s="883">
        <v>0</v>
      </c>
      <c r="BK224" s="883">
        <v>0</v>
      </c>
      <c r="BL224" s="883">
        <v>1</v>
      </c>
      <c r="BM224" s="890">
        <v>0</v>
      </c>
      <c r="BN224" s="958">
        <v>0</v>
      </c>
      <c r="BO224" s="959">
        <v>18</v>
      </c>
      <c r="BP224" s="1018">
        <f t="shared" ca="1" si="306"/>
        <v>121.5</v>
      </c>
      <c r="BQ224" s="1018">
        <f t="shared" ca="1" si="307"/>
        <v>287.05844999999999</v>
      </c>
      <c r="BR224" s="1018">
        <f t="shared" ca="1" si="308"/>
        <v>88.2</v>
      </c>
      <c r="BS224" s="1018">
        <f t="shared" ca="1" si="309"/>
        <v>110.2144959090909</v>
      </c>
      <c r="BT224" s="1018">
        <f t="shared" ca="1" si="310"/>
        <v>60.75</v>
      </c>
      <c r="BU224" s="1018">
        <f t="shared" ca="1" si="311"/>
        <v>18</v>
      </c>
      <c r="BV224" s="1018">
        <f t="shared" ca="1" si="312"/>
        <v>2.15</v>
      </c>
      <c r="BW224" s="1018">
        <v>0</v>
      </c>
      <c r="BX224" s="1018">
        <f t="shared" ca="1" si="313"/>
        <v>290.89377498572242</v>
      </c>
      <c r="BY224" s="1018">
        <f t="shared" ca="1" si="314"/>
        <v>169.68507434684082</v>
      </c>
      <c r="BZ224" s="1018">
        <f t="shared" ca="1" si="299"/>
        <v>66.843802757456388</v>
      </c>
      <c r="CA224" s="1018">
        <f t="shared" ca="1" si="300"/>
        <v>49.499999972774994</v>
      </c>
      <c r="CB224" s="1018">
        <f t="shared" ca="1" si="315"/>
        <v>4.5133587786259541</v>
      </c>
      <c r="CC224" s="1018">
        <f t="shared" si="301"/>
        <v>0</v>
      </c>
      <c r="CD224" s="1018">
        <f t="shared" ca="1" si="316"/>
        <v>581.43601084142051</v>
      </c>
      <c r="CE224" s="1018">
        <f t="shared" ca="1" si="319"/>
        <v>159.84189954603258</v>
      </c>
      <c r="CF224" s="1018">
        <f t="shared" ca="1" si="303"/>
        <v>22.238337311623592</v>
      </c>
      <c r="CG224" s="1018">
        <f t="shared" ca="1" si="304"/>
        <v>37025.942090360812</v>
      </c>
    </row>
    <row r="225" spans="4:85" x14ac:dyDescent="0.25">
      <c r="D225" s="388"/>
      <c r="E225" s="387" t="s">
        <v>8</v>
      </c>
      <c r="F225" s="392">
        <v>0.75</v>
      </c>
      <c r="G225" s="387"/>
      <c r="H225" s="388"/>
      <c r="I225" s="387" t="s">
        <v>10</v>
      </c>
      <c r="J225" s="392">
        <v>0.73529999999999995</v>
      </c>
      <c r="K225" s="388"/>
      <c r="L225" s="388"/>
      <c r="M225" s="388" t="s">
        <v>7</v>
      </c>
      <c r="N225" s="390">
        <v>2.1276595999999998E-2</v>
      </c>
      <c r="O225" s="388" t="s">
        <v>23</v>
      </c>
      <c r="P225" s="390">
        <v>1</v>
      </c>
      <c r="Q225" s="388" t="s">
        <v>7</v>
      </c>
      <c r="R225" s="390">
        <v>1</v>
      </c>
      <c r="S225" s="388"/>
      <c r="T225" s="398">
        <v>4.8534069679452449E-4</v>
      </c>
      <c r="U225" s="387"/>
      <c r="V225" s="176">
        <f t="shared" si="200"/>
        <v>4.8534069679452449E-4</v>
      </c>
      <c r="W225" s="176">
        <f>V225-V225*Calculation_sheet!J$67</f>
        <v>4.8534069679452449E-4</v>
      </c>
      <c r="X225" s="176">
        <f>W225-W225*Calculation_sheet!J$77</f>
        <v>4.8534069679452449E-4</v>
      </c>
      <c r="Y225" s="34">
        <f>X225/Calculation_sheet!M$67</f>
        <v>4.8535062027845659E-4</v>
      </c>
      <c r="Z225" s="176">
        <f ca="1">IF(AN225&gt;0,Y225*Calculation_sheet!C$87,0)</f>
        <v>0</v>
      </c>
      <c r="AA225" s="176">
        <f t="shared" ca="1" si="317"/>
        <v>4.8535062027845659E-4</v>
      </c>
      <c r="AB225" s="176">
        <f ca="1">IF(AP225&gt;0,AA225*Calculation_sheet!C$94,0)</f>
        <v>0</v>
      </c>
      <c r="AC225" s="176">
        <f t="shared" ca="1" si="305"/>
        <v>4.8535062027845659E-4</v>
      </c>
      <c r="AD225" s="958">
        <f ca="1">AC225*Calculation_sheet!C$99</f>
        <v>2.9121037216707393E-4</v>
      </c>
      <c r="AE225" s="176">
        <f t="shared" ca="1" si="305"/>
        <v>1.9414024811138266E-4</v>
      </c>
      <c r="AF225" s="176">
        <f t="shared" ca="1" si="318"/>
        <v>4.8535062027845659E-4</v>
      </c>
      <c r="AG225" s="958">
        <f ca="1">AF225*User_sheet!B$77/100</f>
        <v>0</v>
      </c>
      <c r="AH225" s="313"/>
      <c r="AI225" s="886">
        <v>102</v>
      </c>
      <c r="AJ225" s="985"/>
      <c r="AK225" s="1020">
        <f t="shared" ca="1" si="298"/>
        <v>581.43601084142051</v>
      </c>
      <c r="AL225" s="954">
        <f ca="1">AK225/'102'!I$24</f>
        <v>2.1048638727321438</v>
      </c>
      <c r="AM225" s="954">
        <f ca="1">0.8*(AK225*30+'102'!D$17*0.34*30*1)</f>
        <v>16614.801628921367</v>
      </c>
      <c r="AN225" s="954">
        <f ca="1">IF(AM225&lt;User_sheet!B$50,Y225,0)</f>
        <v>0</v>
      </c>
      <c r="AO225" s="954">
        <f ca="1">20-(User_sheet!B$57/('Freestanding '!AK225+'102'!D$17*1*0.34))</f>
        <v>11.766377772342921</v>
      </c>
      <c r="AP225" s="954">
        <f ca="1">IF(AO225&lt;User_sheet!B$59,0,BC225*AA225)</f>
        <v>0</v>
      </c>
      <c r="AQ225" s="985"/>
      <c r="AR225" s="883">
        <v>7.7</v>
      </c>
      <c r="AS225" s="883">
        <v>2.1</v>
      </c>
      <c r="AT225" s="883">
        <v>7.9</v>
      </c>
      <c r="AU225" s="883">
        <v>2.75</v>
      </c>
      <c r="AV225" s="883">
        <v>3.3</v>
      </c>
      <c r="AW225" s="883">
        <v>11357.186356387729</v>
      </c>
      <c r="AX225" s="883">
        <v>74715.401027665983</v>
      </c>
      <c r="AY225" s="883">
        <v>67352.647733737584</v>
      </c>
      <c r="AZ225" s="883">
        <v>0</v>
      </c>
      <c r="BA225" s="883">
        <v>0</v>
      </c>
      <c r="BB225" s="883">
        <v>0.6</v>
      </c>
      <c r="BC225" s="888">
        <v>0</v>
      </c>
      <c r="BD225" s="889">
        <v>0</v>
      </c>
      <c r="BE225" s="889">
        <v>1</v>
      </c>
      <c r="BF225" s="890">
        <v>0</v>
      </c>
      <c r="BG225" s="883">
        <v>0</v>
      </c>
      <c r="BH225" s="883">
        <v>0</v>
      </c>
      <c r="BI225" s="890">
        <v>1</v>
      </c>
      <c r="BJ225" s="883">
        <v>0</v>
      </c>
      <c r="BK225" s="883">
        <v>0</v>
      </c>
      <c r="BL225" s="883">
        <v>1</v>
      </c>
      <c r="BM225" s="890">
        <v>0</v>
      </c>
      <c r="BN225" s="958">
        <v>0</v>
      </c>
      <c r="BO225" s="959">
        <v>18</v>
      </c>
      <c r="BP225" s="1018">
        <f t="shared" ca="1" si="306"/>
        <v>121.5</v>
      </c>
      <c r="BQ225" s="1018">
        <f t="shared" ca="1" si="307"/>
        <v>287.05844999999999</v>
      </c>
      <c r="BR225" s="1018">
        <f t="shared" ca="1" si="308"/>
        <v>88.2</v>
      </c>
      <c r="BS225" s="1018">
        <f t="shared" ca="1" si="309"/>
        <v>110.2144959090909</v>
      </c>
      <c r="BT225" s="1018">
        <f t="shared" ca="1" si="310"/>
        <v>60.75</v>
      </c>
      <c r="BU225" s="1018">
        <f t="shared" ca="1" si="311"/>
        <v>18</v>
      </c>
      <c r="BV225" s="1018">
        <f t="shared" ca="1" si="312"/>
        <v>2.15</v>
      </c>
      <c r="BW225" s="1018">
        <v>0</v>
      </c>
      <c r="BX225" s="1018">
        <f t="shared" ca="1" si="313"/>
        <v>290.89377498572242</v>
      </c>
      <c r="BY225" s="1018">
        <f t="shared" ca="1" si="314"/>
        <v>169.68507434684082</v>
      </c>
      <c r="BZ225" s="1018">
        <f t="shared" ca="1" si="299"/>
        <v>66.843802757456388</v>
      </c>
      <c r="CA225" s="1018">
        <f t="shared" ca="1" si="300"/>
        <v>49.499999972774994</v>
      </c>
      <c r="CB225" s="1018">
        <f t="shared" ca="1" si="315"/>
        <v>4.5133587786259541</v>
      </c>
      <c r="CC225" s="1018">
        <f t="shared" si="301"/>
        <v>0</v>
      </c>
      <c r="CD225" s="1018">
        <f t="shared" ca="1" si="316"/>
        <v>581.43601084142051</v>
      </c>
      <c r="CE225" s="1018">
        <f t="shared" ca="1" si="319"/>
        <v>159.84189954603258</v>
      </c>
      <c r="CF225" s="1018">
        <f t="shared" ca="1" si="303"/>
        <v>22.238337311623592</v>
      </c>
      <c r="CG225" s="1018">
        <f t="shared" ca="1" si="304"/>
        <v>37025.942090360812</v>
      </c>
    </row>
    <row r="226" spans="4:85" x14ac:dyDescent="0.25">
      <c r="D226" s="388"/>
      <c r="E226" s="387"/>
      <c r="F226" s="388"/>
      <c r="G226" s="387"/>
      <c r="H226" s="388"/>
      <c r="I226" s="387"/>
      <c r="J226" s="388"/>
      <c r="K226" s="388"/>
      <c r="L226" s="388"/>
      <c r="M226" s="388"/>
      <c r="N226" s="388"/>
      <c r="O226" s="388" t="s">
        <v>18</v>
      </c>
      <c r="P226" s="390">
        <v>0.15910607099999999</v>
      </c>
      <c r="Q226" s="388" t="s">
        <v>17</v>
      </c>
      <c r="R226" s="390">
        <v>1</v>
      </c>
      <c r="S226" s="388"/>
      <c r="T226" s="398">
        <v>3.0888260182414576E-4</v>
      </c>
      <c r="U226" s="387"/>
      <c r="V226" s="176">
        <f>T226</f>
        <v>3.0888260182414576E-4</v>
      </c>
      <c r="W226" s="176">
        <f>V226-V226*Calculation_sheet!J$67</f>
        <v>3.0888260182414576E-4</v>
      </c>
      <c r="X226" s="176">
        <f>W226-W226*Calculation_sheet!J$77</f>
        <v>3.0888260182414576E-4</v>
      </c>
      <c r="Y226" s="34">
        <f>X226/Calculation_sheet!M$67</f>
        <v>3.0888891737022785E-4</v>
      </c>
      <c r="Z226" s="176">
        <f ca="1">IF(AN226&gt;0,Y226*Calculation_sheet!C$87,0)</f>
        <v>0</v>
      </c>
      <c r="AA226" s="176">
        <f t="shared" ca="1" si="317"/>
        <v>3.0888891737022785E-4</v>
      </c>
      <c r="AB226" s="176">
        <f ca="1">IF(AP226&gt;0,AA226*Calculation_sheet!C$94,0)</f>
        <v>0</v>
      </c>
      <c r="AC226" s="176">
        <f t="shared" ca="1" si="305"/>
        <v>3.0888891737022785E-4</v>
      </c>
      <c r="AD226" s="958">
        <f ca="1">AC226*Calculation_sheet!C$99</f>
        <v>1.8533335042213671E-4</v>
      </c>
      <c r="AE226" s="176">
        <f t="shared" ca="1" si="305"/>
        <v>1.2355556694809114E-4</v>
      </c>
      <c r="AF226" s="176">
        <f t="shared" ca="1" si="318"/>
        <v>3.0888891737022785E-4</v>
      </c>
      <c r="AG226" s="958">
        <f ca="1">AF226*User_sheet!B$77/100</f>
        <v>0</v>
      </c>
      <c r="AH226" s="313"/>
      <c r="AI226" s="886">
        <v>102</v>
      </c>
      <c r="AJ226" s="985"/>
      <c r="AK226" s="1020">
        <f t="shared" ca="1" si="298"/>
        <v>581.43601084142051</v>
      </c>
      <c r="AL226" s="954">
        <f ca="1">AK226/'102'!I$24</f>
        <v>2.1048638727321438</v>
      </c>
      <c r="AM226" s="954">
        <f ca="1">0.8*(AK226*30+'102'!D$17*0.34*30*1)</f>
        <v>16614.801628921367</v>
      </c>
      <c r="AN226" s="954">
        <f ca="1">IF(AM226&lt;User_sheet!B$50,Y226,0)</f>
        <v>0</v>
      </c>
      <c r="AO226" s="954">
        <f ca="1">20-(User_sheet!B$57/('Freestanding '!AK226+'102'!D$17*1*0.34))</f>
        <v>11.766377772342921</v>
      </c>
      <c r="AP226" s="954">
        <f ca="1">IF(AO226&lt;User_sheet!B$59,0,BC226*AA226)</f>
        <v>0</v>
      </c>
      <c r="AQ226" s="985"/>
      <c r="AR226" s="883">
        <v>7.7</v>
      </c>
      <c r="AS226" s="883">
        <v>2.1</v>
      </c>
      <c r="AT226" s="883">
        <v>7.9</v>
      </c>
      <c r="AU226" s="883">
        <v>2.75</v>
      </c>
      <c r="AV226" s="883">
        <v>3.3</v>
      </c>
      <c r="AW226" s="883">
        <v>11357.186356387729</v>
      </c>
      <c r="AX226" s="883">
        <v>74715.401027665983</v>
      </c>
      <c r="AY226" s="883">
        <v>67352.647733737584</v>
      </c>
      <c r="AZ226" s="883">
        <v>0</v>
      </c>
      <c r="BA226" s="883">
        <v>0</v>
      </c>
      <c r="BB226" s="883">
        <v>0.6</v>
      </c>
      <c r="BC226" s="888">
        <v>0</v>
      </c>
      <c r="BD226" s="889">
        <v>0</v>
      </c>
      <c r="BE226" s="889">
        <v>0</v>
      </c>
      <c r="BF226" s="890">
        <v>1</v>
      </c>
      <c r="BG226" s="883">
        <v>1</v>
      </c>
      <c r="BH226" s="883">
        <v>0</v>
      </c>
      <c r="BI226" s="890">
        <v>0</v>
      </c>
      <c r="BJ226" s="883">
        <v>0</v>
      </c>
      <c r="BK226" s="883">
        <v>0</v>
      </c>
      <c r="BL226" s="883">
        <v>0</v>
      </c>
      <c r="BM226" s="890">
        <v>1</v>
      </c>
      <c r="BN226" s="958">
        <v>0</v>
      </c>
      <c r="BO226" s="959">
        <v>18</v>
      </c>
      <c r="BP226" s="1018">
        <f t="shared" ca="1" si="306"/>
        <v>121.5</v>
      </c>
      <c r="BQ226" s="1018">
        <f t="shared" ca="1" si="307"/>
        <v>287.05844999999999</v>
      </c>
      <c r="BR226" s="1018">
        <f t="shared" ca="1" si="308"/>
        <v>88.2</v>
      </c>
      <c r="BS226" s="1018">
        <f t="shared" ca="1" si="309"/>
        <v>110.2144959090909</v>
      </c>
      <c r="BT226" s="1018">
        <f t="shared" ca="1" si="310"/>
        <v>60.75</v>
      </c>
      <c r="BU226" s="1018">
        <f t="shared" ca="1" si="311"/>
        <v>18</v>
      </c>
      <c r="BV226" s="1018">
        <f t="shared" ca="1" si="312"/>
        <v>2.15</v>
      </c>
      <c r="BW226" s="1018">
        <v>0</v>
      </c>
      <c r="BX226" s="1018">
        <f t="shared" ca="1" si="313"/>
        <v>290.89377498572242</v>
      </c>
      <c r="BY226" s="1018">
        <f t="shared" ca="1" si="314"/>
        <v>169.68507434684082</v>
      </c>
      <c r="BZ226" s="1018">
        <f t="shared" ca="1" si="299"/>
        <v>66.843802757456388</v>
      </c>
      <c r="CA226" s="1018">
        <f t="shared" ca="1" si="300"/>
        <v>49.499999972774994</v>
      </c>
      <c r="CB226" s="1018">
        <f t="shared" ca="1" si="315"/>
        <v>4.5133587786259541</v>
      </c>
      <c r="CC226" s="1018">
        <f t="shared" si="301"/>
        <v>0</v>
      </c>
      <c r="CD226" s="1018">
        <f t="shared" ca="1" si="316"/>
        <v>581.43601084142051</v>
      </c>
      <c r="CE226" s="1018">
        <f t="shared" ca="1" si="319"/>
        <v>159.84189954603258</v>
      </c>
      <c r="CF226" s="1018">
        <f t="shared" ca="1" si="303"/>
        <v>22.238337311623592</v>
      </c>
      <c r="CG226" s="1018">
        <f t="shared" ca="1" si="304"/>
        <v>37025.942090360812</v>
      </c>
    </row>
    <row r="227" spans="4:85" x14ac:dyDescent="0.25">
      <c r="D227" s="388"/>
      <c r="E227" s="387"/>
      <c r="F227" s="388"/>
      <c r="G227" s="387"/>
      <c r="H227" s="388"/>
      <c r="I227" s="387"/>
      <c r="J227" s="388"/>
      <c r="K227" s="391" t="s">
        <v>13</v>
      </c>
      <c r="L227" s="392">
        <v>1</v>
      </c>
      <c r="M227" s="388" t="s">
        <v>17</v>
      </c>
      <c r="N227" s="390">
        <v>8.5106382999999994E-2</v>
      </c>
      <c r="O227" s="388" t="s">
        <v>19</v>
      </c>
      <c r="P227" s="390">
        <v>0.84089392900000004</v>
      </c>
      <c r="Q227" s="388" t="s">
        <v>17</v>
      </c>
      <c r="R227" s="390">
        <v>1</v>
      </c>
      <c r="S227" s="388"/>
      <c r="T227" s="398">
        <v>1.6324801625429393E-3</v>
      </c>
      <c r="U227" s="387"/>
      <c r="V227" s="176">
        <f>T227</f>
        <v>1.6324801625429393E-3</v>
      </c>
      <c r="W227" s="176">
        <f>V227-V227*Calculation_sheet!J$67</f>
        <v>1.6324801625429393E-3</v>
      </c>
      <c r="X227" s="176">
        <f>W227-W227*Calculation_sheet!J$77</f>
        <v>1.6324801625429393E-3</v>
      </c>
      <c r="Y227" s="34">
        <f>X227/Calculation_sheet!M$67</f>
        <v>1.6325135409321193E-3</v>
      </c>
      <c r="Z227" s="176">
        <f ca="1">IF(AN227&gt;0,Y227*Calculation_sheet!C$87,0)</f>
        <v>0</v>
      </c>
      <c r="AA227" s="176">
        <f t="shared" ca="1" si="317"/>
        <v>1.6325135409321193E-3</v>
      </c>
      <c r="AB227" s="176">
        <f ca="1">IF(AP227&gt;0,AA227*Calculation_sheet!C$94,0)</f>
        <v>0</v>
      </c>
      <c r="AC227" s="176">
        <f t="shared" ca="1" si="305"/>
        <v>1.6325135409321193E-3</v>
      </c>
      <c r="AD227" s="958">
        <f ca="1">AC227*Calculation_sheet!C$99</f>
        <v>9.7950812455927156E-4</v>
      </c>
      <c r="AE227" s="176">
        <f t="shared" ca="1" si="305"/>
        <v>6.5300541637284778E-4</v>
      </c>
      <c r="AF227" s="176">
        <f t="shared" ca="1" si="318"/>
        <v>1.6325135409321193E-3</v>
      </c>
      <c r="AG227" s="958">
        <f ca="1">AF227*User_sheet!B$77/100</f>
        <v>0</v>
      </c>
      <c r="AH227" s="313"/>
      <c r="AI227" s="886">
        <v>102</v>
      </c>
      <c r="AJ227" s="985"/>
      <c r="AK227" s="1020">
        <f t="shared" ca="1" si="298"/>
        <v>581.43601084142051</v>
      </c>
      <c r="AL227" s="954">
        <f ca="1">AK227/'102'!I$24</f>
        <v>2.1048638727321438</v>
      </c>
      <c r="AM227" s="954">
        <f ca="1">0.8*(AK227*30+'102'!D$17*0.34*30*1)</f>
        <v>16614.801628921367</v>
      </c>
      <c r="AN227" s="954">
        <f ca="1">IF(AM227&lt;User_sheet!B$50,Y227,0)</f>
        <v>0</v>
      </c>
      <c r="AO227" s="954">
        <f ca="1">20-(User_sheet!B$57/('Freestanding '!AK227+'102'!D$17*1*0.34))</f>
        <v>11.766377772342921</v>
      </c>
      <c r="AP227" s="954">
        <f ca="1">IF(AO227&lt;User_sheet!B$59,0,BC227*AA227)</f>
        <v>0</v>
      </c>
      <c r="AQ227" s="985"/>
      <c r="AR227" s="883">
        <v>7.7</v>
      </c>
      <c r="AS227" s="883">
        <v>2.1</v>
      </c>
      <c r="AT227" s="883">
        <v>7.9</v>
      </c>
      <c r="AU227" s="883">
        <v>2.75</v>
      </c>
      <c r="AV227" s="883">
        <v>3.3</v>
      </c>
      <c r="AW227" s="883">
        <v>11357.186356387729</v>
      </c>
      <c r="AX227" s="883">
        <v>74715.401027665983</v>
      </c>
      <c r="AY227" s="883">
        <v>67352.647733737584</v>
      </c>
      <c r="AZ227" s="883">
        <v>0</v>
      </c>
      <c r="BA227" s="883">
        <v>0</v>
      </c>
      <c r="BB227" s="883">
        <v>0.6</v>
      </c>
      <c r="BC227" s="888">
        <v>0</v>
      </c>
      <c r="BD227" s="889">
        <v>0</v>
      </c>
      <c r="BE227" s="889">
        <v>0</v>
      </c>
      <c r="BF227" s="890">
        <v>1</v>
      </c>
      <c r="BG227" s="883">
        <v>0</v>
      </c>
      <c r="BH227" s="883">
        <v>1</v>
      </c>
      <c r="BI227" s="890">
        <v>0</v>
      </c>
      <c r="BJ227" s="883">
        <v>0</v>
      </c>
      <c r="BK227" s="883">
        <v>0</v>
      </c>
      <c r="BL227" s="883">
        <v>0</v>
      </c>
      <c r="BM227" s="890">
        <v>1</v>
      </c>
      <c r="BN227" s="958">
        <v>0</v>
      </c>
      <c r="BO227" s="959">
        <v>18</v>
      </c>
      <c r="BP227" s="1018">
        <f t="shared" ca="1" si="306"/>
        <v>121.5</v>
      </c>
      <c r="BQ227" s="1018">
        <f t="shared" ca="1" si="307"/>
        <v>287.05844999999999</v>
      </c>
      <c r="BR227" s="1018">
        <f t="shared" ca="1" si="308"/>
        <v>88.2</v>
      </c>
      <c r="BS227" s="1018">
        <f t="shared" ca="1" si="309"/>
        <v>110.2144959090909</v>
      </c>
      <c r="BT227" s="1018">
        <f t="shared" ca="1" si="310"/>
        <v>60.75</v>
      </c>
      <c r="BU227" s="1018">
        <f t="shared" ca="1" si="311"/>
        <v>18</v>
      </c>
      <c r="BV227" s="1018">
        <f t="shared" ca="1" si="312"/>
        <v>2.15</v>
      </c>
      <c r="BW227" s="1018">
        <v>0</v>
      </c>
      <c r="BX227" s="1018">
        <f t="shared" ca="1" si="313"/>
        <v>290.89377498572242</v>
      </c>
      <c r="BY227" s="1018">
        <f t="shared" ca="1" si="314"/>
        <v>169.68507434684082</v>
      </c>
      <c r="BZ227" s="1018">
        <f t="shared" ca="1" si="299"/>
        <v>66.843802757456388</v>
      </c>
      <c r="CA227" s="1018">
        <f t="shared" ca="1" si="300"/>
        <v>49.499999972774994</v>
      </c>
      <c r="CB227" s="1018">
        <f t="shared" ca="1" si="315"/>
        <v>4.5133587786259541</v>
      </c>
      <c r="CC227" s="1018">
        <f t="shared" si="301"/>
        <v>0</v>
      </c>
      <c r="CD227" s="1018">
        <f t="shared" ca="1" si="316"/>
        <v>581.43601084142051</v>
      </c>
      <c r="CE227" s="1018">
        <f t="shared" ca="1" si="319"/>
        <v>159.84189954603258</v>
      </c>
      <c r="CF227" s="1018">
        <f t="shared" ca="1" si="303"/>
        <v>22.238337311623592</v>
      </c>
      <c r="CG227" s="1018">
        <f t="shared" ca="1" si="304"/>
        <v>37025.942090360812</v>
      </c>
    </row>
    <row r="228" spans="4:85" s="14" customFormat="1" x14ac:dyDescent="0.25">
      <c r="D228" s="396"/>
      <c r="E228" s="395"/>
      <c r="F228" s="396"/>
      <c r="G228" s="395"/>
      <c r="H228" s="396"/>
      <c r="I228" s="395"/>
      <c r="J228" s="396"/>
      <c r="K228" s="397"/>
      <c r="L228" s="396"/>
      <c r="M228" s="396"/>
      <c r="N228" s="396"/>
      <c r="O228" s="396"/>
      <c r="P228" s="396"/>
      <c r="Q228" s="396"/>
      <c r="R228" s="396"/>
      <c r="S228" s="396"/>
      <c r="T228" s="399"/>
      <c r="U228" s="395"/>
      <c r="V228" s="292"/>
      <c r="W228" s="292"/>
      <c r="X228" s="292"/>
      <c r="Y228" s="277"/>
      <c r="Z228" s="292"/>
      <c r="AA228" s="292"/>
      <c r="AB228" s="292"/>
      <c r="AC228" s="292"/>
      <c r="AD228" s="277"/>
      <c r="AE228" s="292"/>
      <c r="AF228" s="292"/>
      <c r="AG228" s="277"/>
      <c r="AH228" s="313"/>
      <c r="AI228" s="887"/>
      <c r="AJ228" s="985"/>
      <c r="AK228" s="1020">
        <f t="shared" si="298"/>
        <v>0</v>
      </c>
      <c r="AL228" s="941"/>
      <c r="AM228" s="941"/>
      <c r="AN228" s="941"/>
      <c r="AO228" s="941"/>
      <c r="AP228" s="941"/>
      <c r="AQ228" s="985"/>
      <c r="AR228" s="887"/>
      <c r="AS228" s="887"/>
      <c r="AT228" s="887"/>
      <c r="AU228" s="887"/>
      <c r="AV228" s="887"/>
      <c r="AW228" s="887"/>
      <c r="AX228" s="887"/>
      <c r="AY228" s="887"/>
      <c r="AZ228" s="887"/>
      <c r="BA228" s="887"/>
      <c r="BB228" s="887"/>
      <c r="BC228" s="45"/>
      <c r="BD228" s="277"/>
      <c r="BE228" s="277"/>
      <c r="BF228" s="49"/>
      <c r="BG228" s="887"/>
      <c r="BH228" s="887"/>
      <c r="BI228" s="49"/>
      <c r="BJ228" s="887"/>
      <c r="BK228" s="887"/>
      <c r="BL228" s="887"/>
      <c r="BM228" s="49"/>
      <c r="BN228" s="277"/>
      <c r="BO228" s="49"/>
      <c r="BP228" s="928"/>
      <c r="BQ228" s="928"/>
      <c r="BR228" s="928"/>
      <c r="BS228" s="928"/>
      <c r="BT228" s="928"/>
      <c r="BU228" s="928"/>
      <c r="BV228" s="928"/>
      <c r="BW228" s="928"/>
      <c r="BX228" s="928"/>
      <c r="BY228" s="928"/>
      <c r="BZ228" s="928"/>
      <c r="CA228" s="928"/>
      <c r="CB228" s="928"/>
      <c r="CC228" s="928"/>
      <c r="CD228" s="928"/>
      <c r="CE228" s="928"/>
      <c r="CF228" s="928"/>
      <c r="CG228" s="928"/>
    </row>
    <row r="229" spans="4:85" x14ac:dyDescent="0.25">
      <c r="D229" s="1"/>
      <c r="F229" s="1"/>
      <c r="G229" s="3"/>
      <c r="H229" s="6"/>
      <c r="I229" s="3"/>
      <c r="J229" s="6"/>
      <c r="K229" s="8"/>
      <c r="L229" s="6"/>
      <c r="M229" s="1"/>
      <c r="N229" s="1"/>
      <c r="O229" s="1"/>
      <c r="P229" s="1"/>
      <c r="Q229" s="1" t="s">
        <v>16</v>
      </c>
      <c r="R229" s="4"/>
      <c r="S229" s="1"/>
      <c r="T229" s="77"/>
      <c r="U229" s="294"/>
      <c r="X229" s="176">
        <f>W217-X217</f>
        <v>0</v>
      </c>
      <c r="Y229" s="34">
        <f>X229/Calculation_sheet!M$67</f>
        <v>0</v>
      </c>
      <c r="Z229" s="176">
        <f ca="1">IF(AN229&gt;0,Y229*Calculation_sheet!C$87,0)</f>
        <v>0</v>
      </c>
      <c r="AA229" s="176">
        <f ca="1">Y229-Z229</f>
        <v>0</v>
      </c>
      <c r="AB229" s="176">
        <f ca="1">IF(AP229&gt;0,AA229*Calculation_sheet!C$94,0)</f>
        <v>0</v>
      </c>
      <c r="AC229" s="176">
        <f t="shared" ref="AC229:AE239" ca="1" si="320">AA229-AB229</f>
        <v>0</v>
      </c>
      <c r="AD229" s="958">
        <f ca="1">AC229*Calculation_sheet!C$99</f>
        <v>0</v>
      </c>
      <c r="AE229" s="176">
        <f t="shared" ca="1" si="320"/>
        <v>0</v>
      </c>
      <c r="AF229" s="176">
        <f ca="1">Y229-AB229</f>
        <v>0</v>
      </c>
      <c r="AG229" s="958">
        <f ca="1">AF229*User_sheet!B$77/100</f>
        <v>0</v>
      </c>
      <c r="AH229" s="313"/>
      <c r="AI229" s="886">
        <v>102</v>
      </c>
      <c r="AJ229" s="985"/>
      <c r="AK229" s="1020">
        <f t="shared" ca="1" si="298"/>
        <v>303.78301403931653</v>
      </c>
      <c r="AL229" s="954">
        <f ca="1">AK229/'102'!I$24</f>
        <v>1.0997287396694</v>
      </c>
      <c r="AM229" s="954">
        <f ca="1">0.8*(AK229*30+'102'!D$17*0.34*30*1)</f>
        <v>9951.1297056708718</v>
      </c>
      <c r="AN229" s="954">
        <f ca="1">IF(AM229&lt;User_sheet!B$50,Y229,0)</f>
        <v>0</v>
      </c>
      <c r="AO229" s="954">
        <f ca="1">20-(User_sheet!B$57/('Freestanding '!AK229+'102'!D$17*1*0.34))</f>
        <v>6.2528171126096836</v>
      </c>
      <c r="AP229" s="954">
        <f ca="1">IF(AO229&lt;User_sheet!B$59,0,BC229*AA229)</f>
        <v>0</v>
      </c>
      <c r="AQ229" s="985"/>
      <c r="AR229" s="883">
        <v>0.32</v>
      </c>
      <c r="AS229" s="883">
        <v>2.1</v>
      </c>
      <c r="AT229" s="883">
        <v>7.9</v>
      </c>
      <c r="AU229" s="883">
        <v>2</v>
      </c>
      <c r="AV229" s="883">
        <v>3.3</v>
      </c>
      <c r="AW229" s="883">
        <v>14356</v>
      </c>
      <c r="AX229" s="883">
        <v>74715.401027665983</v>
      </c>
      <c r="AY229" s="883">
        <v>67352.647733737584</v>
      </c>
      <c r="AZ229" s="886">
        <v>0</v>
      </c>
      <c r="BA229" s="886">
        <v>0</v>
      </c>
      <c r="BB229" s="883">
        <v>0.6</v>
      </c>
      <c r="BC229" s="888">
        <v>1</v>
      </c>
      <c r="BD229" s="889">
        <v>0</v>
      </c>
      <c r="BE229" s="889">
        <v>0</v>
      </c>
      <c r="BF229" s="890">
        <v>0</v>
      </c>
      <c r="BG229" s="889">
        <v>1</v>
      </c>
      <c r="BH229" s="889">
        <v>0</v>
      </c>
      <c r="BI229" s="890">
        <v>0</v>
      </c>
      <c r="BJ229" s="889">
        <v>1</v>
      </c>
      <c r="BK229" s="889">
        <v>0</v>
      </c>
      <c r="BL229" s="889">
        <v>0</v>
      </c>
      <c r="BM229" s="890">
        <v>0</v>
      </c>
      <c r="BN229" s="958">
        <v>0</v>
      </c>
      <c r="BO229" s="959">
        <v>18</v>
      </c>
      <c r="BP229" s="1018">
        <f t="shared" ref="BP229:BP239" ca="1" si="321">INDIRECT("'"&amp;AI229&amp;"'!"&amp;"B2")</f>
        <v>121.5</v>
      </c>
      <c r="BQ229" s="1018">
        <f t="shared" ref="BQ229:BQ239" ca="1" si="322">INDIRECT("'"&amp;AI229&amp;"'!"&amp;"C12")+INDIRECT("'"&amp;AI229&amp;"'!"&amp;"C13")+INDIRECT("'"&amp;AI229&amp;"'!"&amp;"C14")+INDIRECT("'"&amp;AI229&amp;"'!"&amp;"C15")+INDIRECT("'"&amp;AI229&amp;"'!"&amp;"C17")</f>
        <v>287.05844999999999</v>
      </c>
      <c r="BR229" s="1018">
        <f t="shared" ref="BR229:BR239" ca="1" si="323">INDIRECT("'"&amp;AI229&amp;"'!"&amp;"G5")</f>
        <v>88.2</v>
      </c>
      <c r="BS229" s="1018">
        <f t="shared" ref="BS229:BS239" ca="1" si="324">INDIRECT("'"&amp;AI229&amp;"'!"&amp;"G4")</f>
        <v>110.2144959090909</v>
      </c>
      <c r="BT229" s="1018">
        <f t="shared" ref="BT229:BT239" ca="1" si="325">INDIRECT("'"&amp;AI229&amp;"'!"&amp;"G6")</f>
        <v>60.75</v>
      </c>
      <c r="BU229" s="1018">
        <f t="shared" ref="BU229:BU239" ca="1" si="326">INDIRECT("'"&amp;AI229&amp;"'!"&amp;"G2")</f>
        <v>18</v>
      </c>
      <c r="BV229" s="1018">
        <f t="shared" ref="BV229:BV239" ca="1" si="327">INDIRECT("'"&amp;AI229&amp;"'!"&amp;"G3")</f>
        <v>2.15</v>
      </c>
      <c r="BW229" s="1018">
        <v>0</v>
      </c>
      <c r="BX229" s="1018">
        <f t="shared" ref="BX229:BX239" ca="1" si="328">IF(BR229=0,0,1/(1/(BR229*$BY$3)+1/(BR229*AR229)+1/(BR229*$BY$4)))</f>
        <v>26.740778170793327</v>
      </c>
      <c r="BY229" s="1018">
        <f t="shared" ref="BY229:BY239" ca="1" si="329">IF(BS229=0,0,1/(1/(BS229*$BY$3)+1/(BS229*AS229)+1/(BS229*$BY$4)))</f>
        <v>169.68507434684082</v>
      </c>
      <c r="BZ229" s="1018">
        <f t="shared" ca="1" si="299"/>
        <v>66.843802757456388</v>
      </c>
      <c r="CA229" s="1018">
        <f t="shared" ca="1" si="300"/>
        <v>35.999999985599999</v>
      </c>
      <c r="CB229" s="1018">
        <f t="shared" ref="CB229:CB239" ca="1" si="330">IF(BV229=0,0,1/(1/(BV229*$BY$3)+1/(BV229*AV229)+1/(BV229*$BY$4)))</f>
        <v>4.5133587786259541</v>
      </c>
      <c r="CC229" s="1018">
        <f t="shared" si="301"/>
        <v>0</v>
      </c>
      <c r="CD229" s="1018">
        <f t="shared" ref="CD229:CD239" ca="1" si="331">SUM(BX229:CC229)+(BR229+BS229+BT229+BU229+BV229)*BN229</f>
        <v>303.78301403931653</v>
      </c>
      <c r="CE229" s="1018">
        <f ca="1">0.34*BO229*(1/25)^0.66*(BR229+BS229+BU229+BV229)</f>
        <v>159.84189954603258</v>
      </c>
      <c r="CF229" s="1018">
        <f t="shared" ca="1" si="303"/>
        <v>13.908747407560472</v>
      </c>
      <c r="CG229" s="1018">
        <f t="shared" ca="1" si="304"/>
        <v>23157.508083691882</v>
      </c>
    </row>
    <row r="230" spans="4:85" x14ac:dyDescent="0.25">
      <c r="D230" s="1"/>
      <c r="F230" s="1"/>
      <c r="G230" s="3"/>
      <c r="H230" s="6"/>
      <c r="I230" s="3"/>
      <c r="J230" s="6"/>
      <c r="K230" s="8"/>
      <c r="L230" s="6"/>
      <c r="M230" s="1"/>
      <c r="N230" s="1"/>
      <c r="O230" s="1" t="s">
        <v>18</v>
      </c>
      <c r="P230" s="4"/>
      <c r="Q230" s="1" t="s">
        <v>7</v>
      </c>
      <c r="R230" s="4"/>
      <c r="S230" s="1"/>
      <c r="T230" s="77"/>
      <c r="U230" s="294"/>
      <c r="X230" s="176">
        <f t="shared" ref="X230:X239" si="332">W218-X218</f>
        <v>0</v>
      </c>
      <c r="Y230" s="34">
        <f>X230/Calculation_sheet!M$67</f>
        <v>0</v>
      </c>
      <c r="Z230" s="176">
        <f ca="1">IF(AN230&gt;0,Y230*Calculation_sheet!C$87,0)</f>
        <v>0</v>
      </c>
      <c r="AA230" s="176">
        <f t="shared" ref="AA230:AA239" ca="1" si="333">Y230-Z230</f>
        <v>0</v>
      </c>
      <c r="AB230" s="176">
        <f ca="1">IF(AP230&gt;0,AA230*Calculation_sheet!C$94,0)</f>
        <v>0</v>
      </c>
      <c r="AC230" s="176">
        <f t="shared" ca="1" si="320"/>
        <v>0</v>
      </c>
      <c r="AD230" s="958">
        <f ca="1">AC230*Calculation_sheet!C$99</f>
        <v>0</v>
      </c>
      <c r="AE230" s="176">
        <f t="shared" ca="1" si="320"/>
        <v>0</v>
      </c>
      <c r="AF230" s="176">
        <f t="shared" ref="AF230:AF239" ca="1" si="334">Y230-AB230</f>
        <v>0</v>
      </c>
      <c r="AG230" s="958">
        <f ca="1">AF230*User_sheet!B$77/100</f>
        <v>0</v>
      </c>
      <c r="AH230" s="313"/>
      <c r="AI230" s="886">
        <v>102</v>
      </c>
      <c r="AJ230" s="985"/>
      <c r="AK230" s="1020">
        <f t="shared" ca="1" si="298"/>
        <v>303.78301403931653</v>
      </c>
      <c r="AL230" s="954">
        <f ca="1">AK230/'102'!I$24</f>
        <v>1.0997287396694</v>
      </c>
      <c r="AM230" s="954">
        <f ca="1">0.8*(AK230*30+'102'!D$17*0.34*30*1)</f>
        <v>9951.1297056708718</v>
      </c>
      <c r="AN230" s="954">
        <f ca="1">IF(AM230&lt;User_sheet!B$50,Y230,0)</f>
        <v>0</v>
      </c>
      <c r="AO230" s="954">
        <f ca="1">20-(User_sheet!B$57/('Freestanding '!AK230+'102'!D$17*1*0.34))</f>
        <v>6.2528171126096836</v>
      </c>
      <c r="AP230" s="954">
        <f ca="1">IF(AO230&lt;User_sheet!B$59,0,BC230*AA230)</f>
        <v>0</v>
      </c>
      <c r="AQ230" s="985"/>
      <c r="AR230" s="883">
        <v>0.32</v>
      </c>
      <c r="AS230" s="883">
        <v>2.1</v>
      </c>
      <c r="AT230" s="883">
        <v>7.9</v>
      </c>
      <c r="AU230" s="883">
        <v>2</v>
      </c>
      <c r="AV230" s="883">
        <v>3.3</v>
      </c>
      <c r="AW230" s="883">
        <v>14356</v>
      </c>
      <c r="AX230" s="883">
        <v>74715.401027665983</v>
      </c>
      <c r="AY230" s="883">
        <v>67352.647733737584</v>
      </c>
      <c r="AZ230" s="886">
        <v>0</v>
      </c>
      <c r="BA230" s="886">
        <v>0</v>
      </c>
      <c r="BB230" s="883">
        <v>0.6</v>
      </c>
      <c r="BC230" s="888">
        <v>1</v>
      </c>
      <c r="BD230" s="889">
        <v>0</v>
      </c>
      <c r="BE230" s="889">
        <v>0</v>
      </c>
      <c r="BF230" s="890">
        <v>0</v>
      </c>
      <c r="BG230" s="889">
        <v>1</v>
      </c>
      <c r="BH230" s="889">
        <v>0</v>
      </c>
      <c r="BI230" s="890">
        <v>0</v>
      </c>
      <c r="BJ230" s="889">
        <v>0</v>
      </c>
      <c r="BK230" s="889">
        <v>0</v>
      </c>
      <c r="BL230" s="889">
        <v>1</v>
      </c>
      <c r="BM230" s="890">
        <v>0</v>
      </c>
      <c r="BN230" s="958">
        <v>0</v>
      </c>
      <c r="BO230" s="959">
        <v>18</v>
      </c>
      <c r="BP230" s="1018">
        <f t="shared" ca="1" si="321"/>
        <v>121.5</v>
      </c>
      <c r="BQ230" s="1018">
        <f t="shared" ca="1" si="322"/>
        <v>287.05844999999999</v>
      </c>
      <c r="BR230" s="1018">
        <f t="shared" ca="1" si="323"/>
        <v>88.2</v>
      </c>
      <c r="BS230" s="1018">
        <f t="shared" ca="1" si="324"/>
        <v>110.2144959090909</v>
      </c>
      <c r="BT230" s="1018">
        <f t="shared" ca="1" si="325"/>
        <v>60.75</v>
      </c>
      <c r="BU230" s="1018">
        <f t="shared" ca="1" si="326"/>
        <v>18</v>
      </c>
      <c r="BV230" s="1018">
        <f t="shared" ca="1" si="327"/>
        <v>2.15</v>
      </c>
      <c r="BW230" s="1018">
        <v>0</v>
      </c>
      <c r="BX230" s="1018">
        <f t="shared" ca="1" si="328"/>
        <v>26.740778170793327</v>
      </c>
      <c r="BY230" s="1018">
        <f t="shared" ca="1" si="329"/>
        <v>169.68507434684082</v>
      </c>
      <c r="BZ230" s="1018">
        <f t="shared" ca="1" si="299"/>
        <v>66.843802757456388</v>
      </c>
      <c r="CA230" s="1018">
        <f t="shared" ca="1" si="300"/>
        <v>35.999999985599999</v>
      </c>
      <c r="CB230" s="1018">
        <f t="shared" ca="1" si="330"/>
        <v>4.5133587786259541</v>
      </c>
      <c r="CC230" s="1018">
        <f t="shared" si="301"/>
        <v>0</v>
      </c>
      <c r="CD230" s="1018">
        <f t="shared" ca="1" si="331"/>
        <v>303.78301403931653</v>
      </c>
      <c r="CE230" s="1018">
        <f t="shared" ref="CE230:CE239" ca="1" si="335">0.34*BO230*(1/25)^0.66*(BR230+BS230+BU230+BV230)</f>
        <v>159.84189954603258</v>
      </c>
      <c r="CF230" s="1018">
        <f t="shared" ca="1" si="303"/>
        <v>13.908747407560472</v>
      </c>
      <c r="CG230" s="1018">
        <f t="shared" ca="1" si="304"/>
        <v>23157.508083691882</v>
      </c>
    </row>
    <row r="231" spans="4:85" x14ac:dyDescent="0.25">
      <c r="D231" s="1"/>
      <c r="F231" s="1"/>
      <c r="G231" s="3"/>
      <c r="H231" s="6"/>
      <c r="I231" s="3"/>
      <c r="J231" s="6"/>
      <c r="K231" s="8"/>
      <c r="L231" s="6"/>
      <c r="M231" s="1"/>
      <c r="N231" s="1"/>
      <c r="O231" s="1"/>
      <c r="P231" s="1"/>
      <c r="Q231" s="1" t="s">
        <v>16</v>
      </c>
      <c r="R231" s="4"/>
      <c r="S231" s="1"/>
      <c r="T231" s="77"/>
      <c r="U231" s="294"/>
      <c r="X231" s="176">
        <f t="shared" si="332"/>
        <v>0</v>
      </c>
      <c r="Y231" s="34">
        <f>X231/Calculation_sheet!M$67</f>
        <v>0</v>
      </c>
      <c r="Z231" s="176">
        <f ca="1">IF(AN231&gt;0,Y231*Calculation_sheet!C$87,0)</f>
        <v>0</v>
      </c>
      <c r="AA231" s="176">
        <f t="shared" ca="1" si="333"/>
        <v>0</v>
      </c>
      <c r="AB231" s="176">
        <f ca="1">IF(AP231&gt;0,AA231*Calculation_sheet!C$94,0)</f>
        <v>0</v>
      </c>
      <c r="AC231" s="176">
        <f t="shared" ca="1" si="320"/>
        <v>0</v>
      </c>
      <c r="AD231" s="958">
        <f ca="1">AC231*Calculation_sheet!C$99</f>
        <v>0</v>
      </c>
      <c r="AE231" s="176">
        <f t="shared" ca="1" si="320"/>
        <v>0</v>
      </c>
      <c r="AF231" s="176">
        <f t="shared" ca="1" si="334"/>
        <v>0</v>
      </c>
      <c r="AG231" s="958">
        <f ca="1">AF231*User_sheet!B$77/100</f>
        <v>0</v>
      </c>
      <c r="AH231" s="313"/>
      <c r="AI231" s="886">
        <v>102</v>
      </c>
      <c r="AJ231" s="985"/>
      <c r="AK231" s="1020">
        <f t="shared" ca="1" si="298"/>
        <v>303.78301403931653</v>
      </c>
      <c r="AL231" s="954">
        <f ca="1">AK231/'102'!I$24</f>
        <v>1.0997287396694</v>
      </c>
      <c r="AM231" s="954">
        <f ca="1">0.8*(AK231*30+'102'!D$17*0.34*30*1)</f>
        <v>9951.1297056708718</v>
      </c>
      <c r="AN231" s="954">
        <f ca="1">IF(AM231&lt;User_sheet!B$50,Y231,0)</f>
        <v>0</v>
      </c>
      <c r="AO231" s="954">
        <f ca="1">20-(User_sheet!B$57/('Freestanding '!AK231+'102'!D$17*1*0.34))</f>
        <v>6.2528171126096836</v>
      </c>
      <c r="AP231" s="954">
        <f ca="1">IF(AO231&lt;User_sheet!B$59,0,BC231*AA231)</f>
        <v>0</v>
      </c>
      <c r="AQ231" s="985"/>
      <c r="AR231" s="883">
        <v>0.32</v>
      </c>
      <c r="AS231" s="883">
        <v>2.1</v>
      </c>
      <c r="AT231" s="883">
        <v>7.9</v>
      </c>
      <c r="AU231" s="883">
        <v>2</v>
      </c>
      <c r="AV231" s="883">
        <v>3.3</v>
      </c>
      <c r="AW231" s="883">
        <v>14356</v>
      </c>
      <c r="AX231" s="883">
        <v>74715.401027665983</v>
      </c>
      <c r="AY231" s="883">
        <v>67352.647733737584</v>
      </c>
      <c r="AZ231" s="886">
        <v>0</v>
      </c>
      <c r="BA231" s="886">
        <v>0</v>
      </c>
      <c r="BB231" s="883">
        <v>0.6</v>
      </c>
      <c r="BC231" s="888">
        <v>1</v>
      </c>
      <c r="BD231" s="889">
        <v>0</v>
      </c>
      <c r="BE231" s="889">
        <v>0</v>
      </c>
      <c r="BF231" s="890">
        <v>0</v>
      </c>
      <c r="BG231" s="889">
        <v>0</v>
      </c>
      <c r="BH231" s="889">
        <v>1</v>
      </c>
      <c r="BI231" s="890">
        <v>0</v>
      </c>
      <c r="BJ231" s="889">
        <v>1</v>
      </c>
      <c r="BK231" s="889">
        <v>0</v>
      </c>
      <c r="BL231" s="889">
        <v>0</v>
      </c>
      <c r="BM231" s="890">
        <v>0</v>
      </c>
      <c r="BN231" s="958">
        <v>0</v>
      </c>
      <c r="BO231" s="959">
        <v>18</v>
      </c>
      <c r="BP231" s="1018">
        <f t="shared" ca="1" si="321"/>
        <v>121.5</v>
      </c>
      <c r="BQ231" s="1018">
        <f t="shared" ca="1" si="322"/>
        <v>287.05844999999999</v>
      </c>
      <c r="BR231" s="1018">
        <f t="shared" ca="1" si="323"/>
        <v>88.2</v>
      </c>
      <c r="BS231" s="1018">
        <f t="shared" ca="1" si="324"/>
        <v>110.2144959090909</v>
      </c>
      <c r="BT231" s="1018">
        <f t="shared" ca="1" si="325"/>
        <v>60.75</v>
      </c>
      <c r="BU231" s="1018">
        <f t="shared" ca="1" si="326"/>
        <v>18</v>
      </c>
      <c r="BV231" s="1018">
        <f t="shared" ca="1" si="327"/>
        <v>2.15</v>
      </c>
      <c r="BW231" s="1018">
        <v>0</v>
      </c>
      <c r="BX231" s="1018">
        <f t="shared" ca="1" si="328"/>
        <v>26.740778170793327</v>
      </c>
      <c r="BY231" s="1018">
        <f t="shared" ca="1" si="329"/>
        <v>169.68507434684082</v>
      </c>
      <c r="BZ231" s="1018">
        <f t="shared" ca="1" si="299"/>
        <v>66.843802757456388</v>
      </c>
      <c r="CA231" s="1018">
        <f t="shared" ca="1" si="300"/>
        <v>35.999999985599999</v>
      </c>
      <c r="CB231" s="1018">
        <f t="shared" ca="1" si="330"/>
        <v>4.5133587786259541</v>
      </c>
      <c r="CC231" s="1018">
        <f t="shared" si="301"/>
        <v>0</v>
      </c>
      <c r="CD231" s="1018">
        <f t="shared" ca="1" si="331"/>
        <v>303.78301403931653</v>
      </c>
      <c r="CE231" s="1018">
        <f t="shared" ca="1" si="335"/>
        <v>159.84189954603258</v>
      </c>
      <c r="CF231" s="1018">
        <f t="shared" ca="1" si="303"/>
        <v>13.908747407560472</v>
      </c>
      <c r="CG231" s="1018">
        <f t="shared" ca="1" si="304"/>
        <v>23157.508083691882</v>
      </c>
    </row>
    <row r="232" spans="4:85" x14ac:dyDescent="0.25">
      <c r="D232" s="1"/>
      <c r="F232" s="1"/>
      <c r="G232" s="3"/>
      <c r="H232" s="6"/>
      <c r="I232" s="3"/>
      <c r="J232" s="6"/>
      <c r="K232" s="8"/>
      <c r="L232" s="6"/>
      <c r="M232" s="1" t="s">
        <v>16</v>
      </c>
      <c r="N232" s="4"/>
      <c r="O232" s="1" t="s">
        <v>19</v>
      </c>
      <c r="P232" s="4"/>
      <c r="Q232" s="1" t="s">
        <v>7</v>
      </c>
      <c r="R232" s="4"/>
      <c r="S232" s="1"/>
      <c r="T232" s="77"/>
      <c r="U232" s="294"/>
      <c r="X232" s="176">
        <f t="shared" si="332"/>
        <v>0</v>
      </c>
      <c r="Y232" s="34">
        <f>X232/Calculation_sheet!M$67</f>
        <v>0</v>
      </c>
      <c r="Z232" s="176">
        <f ca="1">IF(AN232&gt;0,Y232*Calculation_sheet!C$87,0)</f>
        <v>0</v>
      </c>
      <c r="AA232" s="176">
        <f t="shared" ca="1" si="333"/>
        <v>0</v>
      </c>
      <c r="AB232" s="176">
        <f ca="1">IF(AP232&gt;0,AA232*Calculation_sheet!C$94,0)</f>
        <v>0</v>
      </c>
      <c r="AC232" s="176">
        <f t="shared" ca="1" si="320"/>
        <v>0</v>
      </c>
      <c r="AD232" s="958">
        <f ca="1">AC232*Calculation_sheet!C$99</f>
        <v>0</v>
      </c>
      <c r="AE232" s="176">
        <f t="shared" ca="1" si="320"/>
        <v>0</v>
      </c>
      <c r="AF232" s="176">
        <f t="shared" ca="1" si="334"/>
        <v>0</v>
      </c>
      <c r="AG232" s="958">
        <f ca="1">AF232*User_sheet!B$77/100</f>
        <v>0</v>
      </c>
      <c r="AH232" s="313"/>
      <c r="AI232" s="886">
        <v>102</v>
      </c>
      <c r="AJ232" s="985"/>
      <c r="AK232" s="1020">
        <f t="shared" ca="1" si="298"/>
        <v>303.78301403931653</v>
      </c>
      <c r="AL232" s="954">
        <f ca="1">AK232/'102'!I$24</f>
        <v>1.0997287396694</v>
      </c>
      <c r="AM232" s="954">
        <f ca="1">0.8*(AK232*30+'102'!D$17*0.34*30*1)</f>
        <v>9951.1297056708718</v>
      </c>
      <c r="AN232" s="954">
        <f ca="1">IF(AM232&lt;User_sheet!B$50,Y232,0)</f>
        <v>0</v>
      </c>
      <c r="AO232" s="954">
        <f ca="1">20-(User_sheet!B$57/('Freestanding '!AK232+'102'!D$17*1*0.34))</f>
        <v>6.2528171126096836</v>
      </c>
      <c r="AP232" s="954">
        <f ca="1">IF(AO232&lt;User_sheet!B$59,0,BC232*AA232)</f>
        <v>0</v>
      </c>
      <c r="AQ232" s="985"/>
      <c r="AR232" s="883">
        <v>0.32</v>
      </c>
      <c r="AS232" s="883">
        <v>2.1</v>
      </c>
      <c r="AT232" s="883">
        <v>7.9</v>
      </c>
      <c r="AU232" s="883">
        <v>2</v>
      </c>
      <c r="AV232" s="883">
        <v>3.3</v>
      </c>
      <c r="AW232" s="883">
        <v>14356</v>
      </c>
      <c r="AX232" s="883">
        <v>74715.401027665983</v>
      </c>
      <c r="AY232" s="883">
        <v>67352.647733737584</v>
      </c>
      <c r="AZ232" s="886">
        <v>0</v>
      </c>
      <c r="BA232" s="886">
        <v>0</v>
      </c>
      <c r="BB232" s="883">
        <v>0.6</v>
      </c>
      <c r="BC232" s="888">
        <v>1</v>
      </c>
      <c r="BD232" s="889">
        <v>0</v>
      </c>
      <c r="BE232" s="889">
        <v>0</v>
      </c>
      <c r="BF232" s="890">
        <v>0</v>
      </c>
      <c r="BG232" s="889">
        <v>0</v>
      </c>
      <c r="BH232" s="889">
        <v>1</v>
      </c>
      <c r="BI232" s="890">
        <v>0</v>
      </c>
      <c r="BJ232" s="889">
        <v>0</v>
      </c>
      <c r="BK232" s="889">
        <v>0</v>
      </c>
      <c r="BL232" s="889">
        <v>1</v>
      </c>
      <c r="BM232" s="890">
        <v>0</v>
      </c>
      <c r="BN232" s="958">
        <v>0</v>
      </c>
      <c r="BO232" s="959">
        <v>18</v>
      </c>
      <c r="BP232" s="1018">
        <f t="shared" ca="1" si="321"/>
        <v>121.5</v>
      </c>
      <c r="BQ232" s="1018">
        <f t="shared" ca="1" si="322"/>
        <v>287.05844999999999</v>
      </c>
      <c r="BR232" s="1018">
        <f t="shared" ca="1" si="323"/>
        <v>88.2</v>
      </c>
      <c r="BS232" s="1018">
        <f t="shared" ca="1" si="324"/>
        <v>110.2144959090909</v>
      </c>
      <c r="BT232" s="1018">
        <f t="shared" ca="1" si="325"/>
        <v>60.75</v>
      </c>
      <c r="BU232" s="1018">
        <f t="shared" ca="1" si="326"/>
        <v>18</v>
      </c>
      <c r="BV232" s="1018">
        <f t="shared" ca="1" si="327"/>
        <v>2.15</v>
      </c>
      <c r="BW232" s="1018">
        <v>0</v>
      </c>
      <c r="BX232" s="1018">
        <f t="shared" ca="1" si="328"/>
        <v>26.740778170793327</v>
      </c>
      <c r="BY232" s="1018">
        <f t="shared" ca="1" si="329"/>
        <v>169.68507434684082</v>
      </c>
      <c r="BZ232" s="1018">
        <f t="shared" ca="1" si="299"/>
        <v>66.843802757456388</v>
      </c>
      <c r="CA232" s="1018">
        <f t="shared" ca="1" si="300"/>
        <v>35.999999985599999</v>
      </c>
      <c r="CB232" s="1018">
        <f t="shared" ca="1" si="330"/>
        <v>4.5133587786259541</v>
      </c>
      <c r="CC232" s="1018">
        <f t="shared" si="301"/>
        <v>0</v>
      </c>
      <c r="CD232" s="1018">
        <f t="shared" ca="1" si="331"/>
        <v>303.78301403931653</v>
      </c>
      <c r="CE232" s="1018">
        <f t="shared" ca="1" si="335"/>
        <v>159.84189954603258</v>
      </c>
      <c r="CF232" s="1018">
        <f t="shared" ca="1" si="303"/>
        <v>13.908747407560472</v>
      </c>
      <c r="CG232" s="1018">
        <f t="shared" ca="1" si="304"/>
        <v>23157.508083691882</v>
      </c>
    </row>
    <row r="233" spans="4:85" x14ac:dyDescent="0.25">
      <c r="D233" s="1"/>
      <c r="F233" s="1"/>
      <c r="G233" s="3"/>
      <c r="H233" s="6"/>
      <c r="I233" s="3"/>
      <c r="J233" s="6"/>
      <c r="K233" s="8"/>
      <c r="L233" s="6"/>
      <c r="M233" s="1"/>
      <c r="N233" s="1"/>
      <c r="O233" s="1"/>
      <c r="P233" s="1"/>
      <c r="Q233" s="1" t="s">
        <v>22</v>
      </c>
      <c r="R233" s="4"/>
      <c r="S233" s="1"/>
      <c r="T233" s="77"/>
      <c r="U233" s="294"/>
      <c r="X233" s="176">
        <f t="shared" si="332"/>
        <v>0</v>
      </c>
      <c r="Y233" s="34">
        <f>X233/Calculation_sheet!M$67</f>
        <v>0</v>
      </c>
      <c r="Z233" s="176">
        <f ca="1">IF(AN233&gt;0,Y233*Calculation_sheet!C$87,0)</f>
        <v>0</v>
      </c>
      <c r="AA233" s="176">
        <f t="shared" ca="1" si="333"/>
        <v>0</v>
      </c>
      <c r="AB233" s="176">
        <f ca="1">IF(AP233&gt;0,AA233*Calculation_sheet!C$94,0)</f>
        <v>0</v>
      </c>
      <c r="AC233" s="176">
        <f t="shared" ca="1" si="320"/>
        <v>0</v>
      </c>
      <c r="AD233" s="958">
        <f ca="1">AC233*Calculation_sheet!C$99</f>
        <v>0</v>
      </c>
      <c r="AE233" s="176">
        <f t="shared" ca="1" si="320"/>
        <v>0</v>
      </c>
      <c r="AF233" s="176">
        <f t="shared" ca="1" si="334"/>
        <v>0</v>
      </c>
      <c r="AG233" s="958">
        <f ca="1">AF233*User_sheet!B$77/100</f>
        <v>0</v>
      </c>
      <c r="AH233" s="313"/>
      <c r="AI233" s="886">
        <v>102</v>
      </c>
      <c r="AJ233" s="985"/>
      <c r="AK233" s="1020">
        <f t="shared" ca="1" si="298"/>
        <v>303.78301403931653</v>
      </c>
      <c r="AL233" s="954">
        <f ca="1">AK233/'102'!I$24</f>
        <v>1.0997287396694</v>
      </c>
      <c r="AM233" s="954">
        <f ca="1">0.8*(AK233*30+'102'!D$17*0.34*30*1)</f>
        <v>9951.1297056708718</v>
      </c>
      <c r="AN233" s="954">
        <f ca="1">IF(AM233&lt;User_sheet!B$50,Y233,0)</f>
        <v>0</v>
      </c>
      <c r="AO233" s="954">
        <f ca="1">20-(User_sheet!B$57/('Freestanding '!AK233+'102'!D$17*1*0.34))</f>
        <v>6.2528171126096836</v>
      </c>
      <c r="AP233" s="954">
        <f ca="1">IF(AO233&lt;User_sheet!B$59,0,BC233*AA233)</f>
        <v>0</v>
      </c>
      <c r="AQ233" s="985"/>
      <c r="AR233" s="883">
        <v>0.32</v>
      </c>
      <c r="AS233" s="883">
        <v>2.1</v>
      </c>
      <c r="AT233" s="883">
        <v>7.9</v>
      </c>
      <c r="AU233" s="883">
        <v>2</v>
      </c>
      <c r="AV233" s="883">
        <v>3.3</v>
      </c>
      <c r="AW233" s="883">
        <v>14356</v>
      </c>
      <c r="AX233" s="883">
        <v>74715.401027665983</v>
      </c>
      <c r="AY233" s="883">
        <v>67352.647733737584</v>
      </c>
      <c r="AZ233" s="886">
        <v>0</v>
      </c>
      <c r="BA233" s="886">
        <v>0</v>
      </c>
      <c r="BB233" s="883">
        <v>0.6</v>
      </c>
      <c r="BC233" s="888">
        <v>0</v>
      </c>
      <c r="BD233" s="889">
        <v>1</v>
      </c>
      <c r="BE233" s="889">
        <v>0</v>
      </c>
      <c r="BF233" s="890">
        <v>0</v>
      </c>
      <c r="BG233" s="889">
        <v>1</v>
      </c>
      <c r="BH233" s="889">
        <v>0</v>
      </c>
      <c r="BI233" s="890">
        <v>0</v>
      </c>
      <c r="BJ233" s="889">
        <v>0</v>
      </c>
      <c r="BK233" s="889">
        <v>1</v>
      </c>
      <c r="BL233" s="889">
        <v>0</v>
      </c>
      <c r="BM233" s="890">
        <v>0</v>
      </c>
      <c r="BN233" s="958">
        <v>0</v>
      </c>
      <c r="BO233" s="959">
        <v>18</v>
      </c>
      <c r="BP233" s="1018">
        <f t="shared" ca="1" si="321"/>
        <v>121.5</v>
      </c>
      <c r="BQ233" s="1018">
        <f t="shared" ca="1" si="322"/>
        <v>287.05844999999999</v>
      </c>
      <c r="BR233" s="1018">
        <f t="shared" ca="1" si="323"/>
        <v>88.2</v>
      </c>
      <c r="BS233" s="1018">
        <f t="shared" ca="1" si="324"/>
        <v>110.2144959090909</v>
      </c>
      <c r="BT233" s="1018">
        <f t="shared" ca="1" si="325"/>
        <v>60.75</v>
      </c>
      <c r="BU233" s="1018">
        <f t="shared" ca="1" si="326"/>
        <v>18</v>
      </c>
      <c r="BV233" s="1018">
        <f t="shared" ca="1" si="327"/>
        <v>2.15</v>
      </c>
      <c r="BW233" s="1018">
        <v>0</v>
      </c>
      <c r="BX233" s="1018">
        <f t="shared" ca="1" si="328"/>
        <v>26.740778170793327</v>
      </c>
      <c r="BY233" s="1018">
        <f t="shared" ca="1" si="329"/>
        <v>169.68507434684082</v>
      </c>
      <c r="BZ233" s="1018">
        <f t="shared" ca="1" si="299"/>
        <v>66.843802757456388</v>
      </c>
      <c r="CA233" s="1018">
        <f t="shared" ca="1" si="300"/>
        <v>35.999999985599999</v>
      </c>
      <c r="CB233" s="1018">
        <f t="shared" ca="1" si="330"/>
        <v>4.5133587786259541</v>
      </c>
      <c r="CC233" s="1018">
        <f t="shared" si="301"/>
        <v>0</v>
      </c>
      <c r="CD233" s="1018">
        <f t="shared" ca="1" si="331"/>
        <v>303.78301403931653</v>
      </c>
      <c r="CE233" s="1018">
        <f t="shared" ca="1" si="335"/>
        <v>159.84189954603258</v>
      </c>
      <c r="CF233" s="1018">
        <f t="shared" ca="1" si="303"/>
        <v>13.908747407560472</v>
      </c>
      <c r="CG233" s="1018">
        <f t="shared" ca="1" si="304"/>
        <v>23157.508083691882</v>
      </c>
    </row>
    <row r="234" spans="4:85" x14ac:dyDescent="0.25">
      <c r="D234" s="1"/>
      <c r="F234" s="1"/>
      <c r="G234" s="3"/>
      <c r="H234" s="6"/>
      <c r="I234" s="3"/>
      <c r="J234" s="3" t="s">
        <v>144</v>
      </c>
      <c r="K234" s="8"/>
      <c r="L234" s="6"/>
      <c r="M234" s="1"/>
      <c r="N234" s="1"/>
      <c r="O234" s="1" t="s">
        <v>18</v>
      </c>
      <c r="P234" s="4"/>
      <c r="Q234" s="1" t="s">
        <v>7</v>
      </c>
      <c r="R234" s="4"/>
      <c r="S234" s="1"/>
      <c r="T234" s="77"/>
      <c r="U234" s="294"/>
      <c r="X234" s="176">
        <f t="shared" si="332"/>
        <v>0</v>
      </c>
      <c r="Y234" s="34">
        <f>X234/Calculation_sheet!M$67</f>
        <v>0</v>
      </c>
      <c r="Z234" s="176">
        <f ca="1">IF(AN234&gt;0,Y234*Calculation_sheet!C$87,0)</f>
        <v>0</v>
      </c>
      <c r="AA234" s="176">
        <f t="shared" ca="1" si="333"/>
        <v>0</v>
      </c>
      <c r="AB234" s="176">
        <f ca="1">IF(AP234&gt;0,AA234*Calculation_sheet!C$94,0)</f>
        <v>0</v>
      </c>
      <c r="AC234" s="176">
        <f t="shared" ca="1" si="320"/>
        <v>0</v>
      </c>
      <c r="AD234" s="958">
        <f ca="1">AC234*Calculation_sheet!C$99</f>
        <v>0</v>
      </c>
      <c r="AE234" s="176">
        <f t="shared" ca="1" si="320"/>
        <v>0</v>
      </c>
      <c r="AF234" s="176">
        <f t="shared" ca="1" si="334"/>
        <v>0</v>
      </c>
      <c r="AG234" s="958">
        <f ca="1">AF234*User_sheet!B$77/100</f>
        <v>0</v>
      </c>
      <c r="AH234" s="313"/>
      <c r="AI234" s="886">
        <v>102</v>
      </c>
      <c r="AJ234" s="985"/>
      <c r="AK234" s="1020">
        <f t="shared" ca="1" si="298"/>
        <v>303.78301403931653</v>
      </c>
      <c r="AL234" s="954">
        <f ca="1">AK234/'102'!I$24</f>
        <v>1.0997287396694</v>
      </c>
      <c r="AM234" s="954">
        <f ca="1">0.8*(AK234*30+'102'!D$17*0.34*30*1)</f>
        <v>9951.1297056708718</v>
      </c>
      <c r="AN234" s="954">
        <f ca="1">IF(AM234&lt;User_sheet!B$50,Y234,0)</f>
        <v>0</v>
      </c>
      <c r="AO234" s="954">
        <f ca="1">20-(User_sheet!B$57/('Freestanding '!AK234+'102'!D$17*1*0.34))</f>
        <v>6.2528171126096836</v>
      </c>
      <c r="AP234" s="954">
        <f ca="1">IF(AO234&lt;User_sheet!B$59,0,BC234*AA234)</f>
        <v>0</v>
      </c>
      <c r="AQ234" s="985"/>
      <c r="AR234" s="883">
        <v>0.32</v>
      </c>
      <c r="AS234" s="883">
        <v>2.1</v>
      </c>
      <c r="AT234" s="883">
        <v>7.9</v>
      </c>
      <c r="AU234" s="883">
        <v>2</v>
      </c>
      <c r="AV234" s="883">
        <v>3.3</v>
      </c>
      <c r="AW234" s="883">
        <v>14356</v>
      </c>
      <c r="AX234" s="883">
        <v>74715.401027665983</v>
      </c>
      <c r="AY234" s="883">
        <v>67352.647733737584</v>
      </c>
      <c r="AZ234" s="886">
        <v>0</v>
      </c>
      <c r="BA234" s="886">
        <v>0</v>
      </c>
      <c r="BB234" s="883">
        <v>0.6</v>
      </c>
      <c r="BC234" s="888">
        <v>0</v>
      </c>
      <c r="BD234" s="889">
        <v>1</v>
      </c>
      <c r="BE234" s="889">
        <v>0</v>
      </c>
      <c r="BF234" s="890">
        <v>0</v>
      </c>
      <c r="BG234" s="889">
        <v>1</v>
      </c>
      <c r="BH234" s="889">
        <v>0</v>
      </c>
      <c r="BI234" s="890">
        <v>0</v>
      </c>
      <c r="BJ234" s="889">
        <v>0</v>
      </c>
      <c r="BK234" s="889">
        <v>0</v>
      </c>
      <c r="BL234" s="889">
        <v>1</v>
      </c>
      <c r="BM234" s="890">
        <v>0</v>
      </c>
      <c r="BN234" s="958">
        <v>0</v>
      </c>
      <c r="BO234" s="959">
        <v>18</v>
      </c>
      <c r="BP234" s="1018">
        <f t="shared" ca="1" si="321"/>
        <v>121.5</v>
      </c>
      <c r="BQ234" s="1018">
        <f t="shared" ca="1" si="322"/>
        <v>287.05844999999999</v>
      </c>
      <c r="BR234" s="1018">
        <f t="shared" ca="1" si="323"/>
        <v>88.2</v>
      </c>
      <c r="BS234" s="1018">
        <f t="shared" ca="1" si="324"/>
        <v>110.2144959090909</v>
      </c>
      <c r="BT234" s="1018">
        <f t="shared" ca="1" si="325"/>
        <v>60.75</v>
      </c>
      <c r="BU234" s="1018">
        <f t="shared" ca="1" si="326"/>
        <v>18</v>
      </c>
      <c r="BV234" s="1018">
        <f t="shared" ca="1" si="327"/>
        <v>2.15</v>
      </c>
      <c r="BW234" s="1018">
        <v>0</v>
      </c>
      <c r="BX234" s="1018">
        <f t="shared" ca="1" si="328"/>
        <v>26.740778170793327</v>
      </c>
      <c r="BY234" s="1018">
        <f t="shared" ca="1" si="329"/>
        <v>169.68507434684082</v>
      </c>
      <c r="BZ234" s="1018">
        <f t="shared" ca="1" si="299"/>
        <v>66.843802757456388</v>
      </c>
      <c r="CA234" s="1018">
        <f t="shared" ca="1" si="300"/>
        <v>35.999999985599999</v>
      </c>
      <c r="CB234" s="1018">
        <f t="shared" ca="1" si="330"/>
        <v>4.5133587786259541</v>
      </c>
      <c r="CC234" s="1018">
        <f t="shared" si="301"/>
        <v>0</v>
      </c>
      <c r="CD234" s="1018">
        <f t="shared" ca="1" si="331"/>
        <v>303.78301403931653</v>
      </c>
      <c r="CE234" s="1018">
        <f t="shared" ca="1" si="335"/>
        <v>159.84189954603258</v>
      </c>
      <c r="CF234" s="1018">
        <f t="shared" ca="1" si="303"/>
        <v>13.908747407560472</v>
      </c>
      <c r="CG234" s="1018">
        <f t="shared" ca="1" si="304"/>
        <v>23157.508083691882</v>
      </c>
    </row>
    <row r="235" spans="4:85" x14ac:dyDescent="0.25">
      <c r="D235" s="1"/>
      <c r="F235" s="1"/>
      <c r="G235" s="3"/>
      <c r="H235" s="6"/>
      <c r="I235" s="3"/>
      <c r="J235" s="6" t="s">
        <v>190</v>
      </c>
      <c r="K235" s="8"/>
      <c r="L235" s="6"/>
      <c r="M235" s="1"/>
      <c r="N235" s="1"/>
      <c r="O235" s="1"/>
      <c r="P235" s="1"/>
      <c r="Q235" s="1" t="s">
        <v>22</v>
      </c>
      <c r="R235" s="4"/>
      <c r="S235" s="1"/>
      <c r="T235" s="77"/>
      <c r="U235" s="294"/>
      <c r="X235" s="176">
        <f t="shared" si="332"/>
        <v>0</v>
      </c>
      <c r="Y235" s="34">
        <f>X235/Calculation_sheet!M$67</f>
        <v>0</v>
      </c>
      <c r="Z235" s="176">
        <f ca="1">IF(AN235&gt;0,Y235*Calculation_sheet!C$87,0)</f>
        <v>0</v>
      </c>
      <c r="AA235" s="176">
        <f t="shared" ca="1" si="333"/>
        <v>0</v>
      </c>
      <c r="AB235" s="176">
        <f ca="1">IF(AP235&gt;0,AA235*Calculation_sheet!C$94,0)</f>
        <v>0</v>
      </c>
      <c r="AC235" s="176">
        <f t="shared" ca="1" si="320"/>
        <v>0</v>
      </c>
      <c r="AD235" s="958">
        <f ca="1">AC235*Calculation_sheet!C$99</f>
        <v>0</v>
      </c>
      <c r="AE235" s="176">
        <f t="shared" ca="1" si="320"/>
        <v>0</v>
      </c>
      <c r="AF235" s="176">
        <f t="shared" ca="1" si="334"/>
        <v>0</v>
      </c>
      <c r="AG235" s="958">
        <f ca="1">AF235*User_sheet!B$77/100</f>
        <v>0</v>
      </c>
      <c r="AH235" s="313"/>
      <c r="AI235" s="886">
        <v>102</v>
      </c>
      <c r="AJ235" s="985"/>
      <c r="AK235" s="1020">
        <f t="shared" ca="1" si="298"/>
        <v>303.78301403931653</v>
      </c>
      <c r="AL235" s="954">
        <f ca="1">AK235/'102'!I$24</f>
        <v>1.0997287396694</v>
      </c>
      <c r="AM235" s="954">
        <f ca="1">0.8*(AK235*30+'102'!D$17*0.34*30*1)</f>
        <v>9951.1297056708718</v>
      </c>
      <c r="AN235" s="954">
        <f ca="1">IF(AM235&lt;User_sheet!B$50,Y235,0)</f>
        <v>0</v>
      </c>
      <c r="AO235" s="954">
        <f ca="1">20-(User_sheet!B$57/('Freestanding '!AK235+'102'!D$17*1*0.34))</f>
        <v>6.2528171126096836</v>
      </c>
      <c r="AP235" s="954">
        <f ca="1">IF(AO235&lt;User_sheet!B$59,0,BC235*AA235)</f>
        <v>0</v>
      </c>
      <c r="AQ235" s="985"/>
      <c r="AR235" s="883">
        <v>0.32</v>
      </c>
      <c r="AS235" s="883">
        <v>2.1</v>
      </c>
      <c r="AT235" s="883">
        <v>7.9</v>
      </c>
      <c r="AU235" s="883">
        <v>2</v>
      </c>
      <c r="AV235" s="883">
        <v>3.3</v>
      </c>
      <c r="AW235" s="883">
        <v>14356</v>
      </c>
      <c r="AX235" s="883">
        <v>74715.401027665983</v>
      </c>
      <c r="AY235" s="883">
        <v>67352.647733737584</v>
      </c>
      <c r="AZ235" s="886">
        <v>0</v>
      </c>
      <c r="BA235" s="886">
        <v>0</v>
      </c>
      <c r="BB235" s="883">
        <v>0.6</v>
      </c>
      <c r="BC235" s="888">
        <v>0</v>
      </c>
      <c r="BD235" s="889">
        <v>1</v>
      </c>
      <c r="BE235" s="889">
        <v>0</v>
      </c>
      <c r="BF235" s="890">
        <v>0</v>
      </c>
      <c r="BG235" s="889">
        <v>0</v>
      </c>
      <c r="BH235" s="889">
        <v>1</v>
      </c>
      <c r="BI235" s="890">
        <v>0</v>
      </c>
      <c r="BJ235" s="889">
        <v>0</v>
      </c>
      <c r="BK235" s="889">
        <v>1</v>
      </c>
      <c r="BL235" s="889">
        <v>0</v>
      </c>
      <c r="BM235" s="890">
        <v>0</v>
      </c>
      <c r="BN235" s="958">
        <v>0</v>
      </c>
      <c r="BO235" s="959">
        <v>18</v>
      </c>
      <c r="BP235" s="1018">
        <f t="shared" ca="1" si="321"/>
        <v>121.5</v>
      </c>
      <c r="BQ235" s="1018">
        <f t="shared" ca="1" si="322"/>
        <v>287.05844999999999</v>
      </c>
      <c r="BR235" s="1018">
        <f t="shared" ca="1" si="323"/>
        <v>88.2</v>
      </c>
      <c r="BS235" s="1018">
        <f t="shared" ca="1" si="324"/>
        <v>110.2144959090909</v>
      </c>
      <c r="BT235" s="1018">
        <f t="shared" ca="1" si="325"/>
        <v>60.75</v>
      </c>
      <c r="BU235" s="1018">
        <f t="shared" ca="1" si="326"/>
        <v>18</v>
      </c>
      <c r="BV235" s="1018">
        <f t="shared" ca="1" si="327"/>
        <v>2.15</v>
      </c>
      <c r="BW235" s="1018">
        <v>0</v>
      </c>
      <c r="BX235" s="1018">
        <f t="shared" ca="1" si="328"/>
        <v>26.740778170793327</v>
      </c>
      <c r="BY235" s="1018">
        <f t="shared" ca="1" si="329"/>
        <v>169.68507434684082</v>
      </c>
      <c r="BZ235" s="1018">
        <f t="shared" ca="1" si="299"/>
        <v>66.843802757456388</v>
      </c>
      <c r="CA235" s="1018">
        <f t="shared" ca="1" si="300"/>
        <v>35.999999985599999</v>
      </c>
      <c r="CB235" s="1018">
        <f t="shared" ca="1" si="330"/>
        <v>4.5133587786259541</v>
      </c>
      <c r="CC235" s="1018">
        <f t="shared" si="301"/>
        <v>0</v>
      </c>
      <c r="CD235" s="1018">
        <f t="shared" ca="1" si="331"/>
        <v>303.78301403931653</v>
      </c>
      <c r="CE235" s="1018">
        <f t="shared" ca="1" si="335"/>
        <v>159.84189954603258</v>
      </c>
      <c r="CF235" s="1018">
        <f t="shared" ca="1" si="303"/>
        <v>13.908747407560472</v>
      </c>
      <c r="CG235" s="1018">
        <f t="shared" ca="1" si="304"/>
        <v>23157.508083691882</v>
      </c>
    </row>
    <row r="236" spans="4:85" x14ac:dyDescent="0.25">
      <c r="D236" s="1"/>
      <c r="F236" s="1"/>
      <c r="G236" s="3"/>
      <c r="H236" s="6"/>
      <c r="I236" s="3"/>
      <c r="J236" s="6"/>
      <c r="K236" s="8"/>
      <c r="L236" s="6"/>
      <c r="M236" s="1" t="s">
        <v>22</v>
      </c>
      <c r="N236" s="4"/>
      <c r="O236" s="1" t="s">
        <v>20</v>
      </c>
      <c r="P236" s="4"/>
      <c r="Q236" s="1" t="s">
        <v>7</v>
      </c>
      <c r="R236" s="4"/>
      <c r="S236" s="1"/>
      <c r="T236" s="77"/>
      <c r="U236" s="294"/>
      <c r="X236" s="176">
        <f t="shared" si="332"/>
        <v>0</v>
      </c>
      <c r="Y236" s="34">
        <f>X236/Calculation_sheet!M$67</f>
        <v>0</v>
      </c>
      <c r="Z236" s="176">
        <f ca="1">IF(AN236&gt;0,Y236*Calculation_sheet!C$87,0)</f>
        <v>0</v>
      </c>
      <c r="AA236" s="176">
        <f t="shared" ca="1" si="333"/>
        <v>0</v>
      </c>
      <c r="AB236" s="176">
        <f ca="1">IF(AP236&gt;0,AA236*Calculation_sheet!C$94,0)</f>
        <v>0</v>
      </c>
      <c r="AC236" s="176">
        <f t="shared" ca="1" si="320"/>
        <v>0</v>
      </c>
      <c r="AD236" s="958">
        <f ca="1">AC236*Calculation_sheet!C$99</f>
        <v>0</v>
      </c>
      <c r="AE236" s="176">
        <f t="shared" ca="1" si="320"/>
        <v>0</v>
      </c>
      <c r="AF236" s="176">
        <f t="shared" ca="1" si="334"/>
        <v>0</v>
      </c>
      <c r="AG236" s="958">
        <f ca="1">AF236*User_sheet!B$77/100</f>
        <v>0</v>
      </c>
      <c r="AH236" s="313"/>
      <c r="AI236" s="886">
        <v>102</v>
      </c>
      <c r="AJ236" s="985"/>
      <c r="AK236" s="1020">
        <f t="shared" ca="1" si="298"/>
        <v>303.78301403931653</v>
      </c>
      <c r="AL236" s="954">
        <f ca="1">AK236/'102'!I$24</f>
        <v>1.0997287396694</v>
      </c>
      <c r="AM236" s="954">
        <f ca="1">0.8*(AK236*30+'102'!D$17*0.34*30*1)</f>
        <v>9951.1297056708718</v>
      </c>
      <c r="AN236" s="954">
        <f ca="1">IF(AM236&lt;User_sheet!B$50,Y236,0)</f>
        <v>0</v>
      </c>
      <c r="AO236" s="954">
        <f ca="1">20-(User_sheet!B$57/('Freestanding '!AK236+'102'!D$17*1*0.34))</f>
        <v>6.2528171126096836</v>
      </c>
      <c r="AP236" s="954">
        <f ca="1">IF(AO236&lt;User_sheet!B$59,0,BC236*AA236)</f>
        <v>0</v>
      </c>
      <c r="AQ236" s="985"/>
      <c r="AR236" s="883">
        <v>0.32</v>
      </c>
      <c r="AS236" s="883">
        <v>2.1</v>
      </c>
      <c r="AT236" s="883">
        <v>7.9</v>
      </c>
      <c r="AU236" s="883">
        <v>2</v>
      </c>
      <c r="AV236" s="883">
        <v>3.3</v>
      </c>
      <c r="AW236" s="883">
        <v>14356</v>
      </c>
      <c r="AX236" s="883">
        <v>74715.401027665983</v>
      </c>
      <c r="AY236" s="883">
        <v>67352.647733737584</v>
      </c>
      <c r="AZ236" s="886">
        <v>0</v>
      </c>
      <c r="BA236" s="886">
        <v>0</v>
      </c>
      <c r="BB236" s="883">
        <v>0.6</v>
      </c>
      <c r="BC236" s="888">
        <v>0</v>
      </c>
      <c r="BD236" s="889">
        <v>1</v>
      </c>
      <c r="BE236" s="889">
        <v>0</v>
      </c>
      <c r="BF236" s="890">
        <v>0</v>
      </c>
      <c r="BG236" s="889">
        <v>0</v>
      </c>
      <c r="BH236" s="889">
        <v>1</v>
      </c>
      <c r="BI236" s="890">
        <v>0</v>
      </c>
      <c r="BJ236" s="889">
        <v>0</v>
      </c>
      <c r="BK236" s="889">
        <v>0</v>
      </c>
      <c r="BL236" s="889">
        <v>1</v>
      </c>
      <c r="BM236" s="890">
        <v>0</v>
      </c>
      <c r="BN236" s="958">
        <v>0</v>
      </c>
      <c r="BO236" s="959">
        <v>18</v>
      </c>
      <c r="BP236" s="1018">
        <f t="shared" ca="1" si="321"/>
        <v>121.5</v>
      </c>
      <c r="BQ236" s="1018">
        <f t="shared" ca="1" si="322"/>
        <v>287.05844999999999</v>
      </c>
      <c r="BR236" s="1018">
        <f t="shared" ca="1" si="323"/>
        <v>88.2</v>
      </c>
      <c r="BS236" s="1018">
        <f t="shared" ca="1" si="324"/>
        <v>110.2144959090909</v>
      </c>
      <c r="BT236" s="1018">
        <f t="shared" ca="1" si="325"/>
        <v>60.75</v>
      </c>
      <c r="BU236" s="1018">
        <f t="shared" ca="1" si="326"/>
        <v>18</v>
      </c>
      <c r="BV236" s="1018">
        <f t="shared" ca="1" si="327"/>
        <v>2.15</v>
      </c>
      <c r="BW236" s="1018">
        <v>0</v>
      </c>
      <c r="BX236" s="1018">
        <f t="shared" ca="1" si="328"/>
        <v>26.740778170793327</v>
      </c>
      <c r="BY236" s="1018">
        <f t="shared" ca="1" si="329"/>
        <v>169.68507434684082</v>
      </c>
      <c r="BZ236" s="1018">
        <f t="shared" ca="1" si="299"/>
        <v>66.843802757456388</v>
      </c>
      <c r="CA236" s="1018">
        <f t="shared" ca="1" si="300"/>
        <v>35.999999985599999</v>
      </c>
      <c r="CB236" s="1018">
        <f t="shared" ca="1" si="330"/>
        <v>4.5133587786259541</v>
      </c>
      <c r="CC236" s="1018">
        <f t="shared" si="301"/>
        <v>0</v>
      </c>
      <c r="CD236" s="1018">
        <f t="shared" ca="1" si="331"/>
        <v>303.78301403931653</v>
      </c>
      <c r="CE236" s="1018">
        <f t="shared" ca="1" si="335"/>
        <v>159.84189954603258</v>
      </c>
      <c r="CF236" s="1018">
        <f t="shared" ca="1" si="303"/>
        <v>13.908747407560472</v>
      </c>
      <c r="CG236" s="1018">
        <f t="shared" ca="1" si="304"/>
        <v>23157.508083691882</v>
      </c>
    </row>
    <row r="237" spans="4:85" x14ac:dyDescent="0.25">
      <c r="D237" s="1"/>
      <c r="F237" s="1"/>
      <c r="G237" s="3"/>
      <c r="H237" s="6"/>
      <c r="I237" s="3"/>
      <c r="J237" s="6"/>
      <c r="K237" s="8"/>
      <c r="L237" s="6"/>
      <c r="M237" s="1" t="s">
        <v>7</v>
      </c>
      <c r="N237" s="4"/>
      <c r="O237" s="1" t="s">
        <v>23</v>
      </c>
      <c r="P237" s="4"/>
      <c r="Q237" s="1" t="s">
        <v>7</v>
      </c>
      <c r="R237" s="4"/>
      <c r="S237" s="1"/>
      <c r="T237" s="77"/>
      <c r="U237" s="294"/>
      <c r="X237" s="176">
        <f t="shared" si="332"/>
        <v>0</v>
      </c>
      <c r="Y237" s="34">
        <f>X237/Calculation_sheet!M$67</f>
        <v>0</v>
      </c>
      <c r="Z237" s="176">
        <f ca="1">IF(AN237&gt;0,Y237*Calculation_sheet!C$87,0)</f>
        <v>0</v>
      </c>
      <c r="AA237" s="176">
        <f t="shared" ca="1" si="333"/>
        <v>0</v>
      </c>
      <c r="AB237" s="176">
        <f ca="1">IF(AP237&gt;0,AA237*Calculation_sheet!C$94,0)</f>
        <v>0</v>
      </c>
      <c r="AC237" s="176">
        <f t="shared" ca="1" si="320"/>
        <v>0</v>
      </c>
      <c r="AD237" s="958">
        <f ca="1">AC237*Calculation_sheet!C$99</f>
        <v>0</v>
      </c>
      <c r="AE237" s="176">
        <f t="shared" ca="1" si="320"/>
        <v>0</v>
      </c>
      <c r="AF237" s="176">
        <f t="shared" ca="1" si="334"/>
        <v>0</v>
      </c>
      <c r="AG237" s="958">
        <f ca="1">AF237*User_sheet!B$77/100</f>
        <v>0</v>
      </c>
      <c r="AH237" s="313"/>
      <c r="AI237" s="886">
        <v>102</v>
      </c>
      <c r="AJ237" s="985"/>
      <c r="AK237" s="1020">
        <f t="shared" ca="1" si="298"/>
        <v>303.78301403931653</v>
      </c>
      <c r="AL237" s="954">
        <f ca="1">AK237/'102'!I$24</f>
        <v>1.0997287396694</v>
      </c>
      <c r="AM237" s="954">
        <f ca="1">0.8*(AK237*30+'102'!D$17*0.34*30*1)</f>
        <v>9951.1297056708718</v>
      </c>
      <c r="AN237" s="954">
        <f ca="1">IF(AM237&lt;User_sheet!B$50,Y237,0)</f>
        <v>0</v>
      </c>
      <c r="AO237" s="954">
        <f ca="1">20-(User_sheet!B$57/('Freestanding '!AK237+'102'!D$17*1*0.34))</f>
        <v>6.2528171126096836</v>
      </c>
      <c r="AP237" s="954">
        <f ca="1">IF(AO237&lt;User_sheet!B$59,0,BC237*AA237)</f>
        <v>0</v>
      </c>
      <c r="AQ237" s="985"/>
      <c r="AR237" s="883">
        <v>0.32</v>
      </c>
      <c r="AS237" s="883">
        <v>2.1</v>
      </c>
      <c r="AT237" s="883">
        <v>7.9</v>
      </c>
      <c r="AU237" s="883">
        <v>2</v>
      </c>
      <c r="AV237" s="883">
        <v>3.3</v>
      </c>
      <c r="AW237" s="883">
        <v>14356</v>
      </c>
      <c r="AX237" s="883">
        <v>74715.401027665983</v>
      </c>
      <c r="AY237" s="883">
        <v>67352.647733737584</v>
      </c>
      <c r="AZ237" s="886">
        <v>0</v>
      </c>
      <c r="BA237" s="886">
        <v>0</v>
      </c>
      <c r="BB237" s="883">
        <v>0.6</v>
      </c>
      <c r="BC237" s="888">
        <v>0</v>
      </c>
      <c r="BD237" s="889">
        <v>0</v>
      </c>
      <c r="BE237" s="889">
        <v>1</v>
      </c>
      <c r="BF237" s="890">
        <v>0</v>
      </c>
      <c r="BG237" s="889">
        <v>0</v>
      </c>
      <c r="BH237" s="889">
        <v>0</v>
      </c>
      <c r="BI237" s="890">
        <v>1</v>
      </c>
      <c r="BJ237" s="889">
        <v>0</v>
      </c>
      <c r="BK237" s="889">
        <v>0</v>
      </c>
      <c r="BL237" s="889">
        <v>1</v>
      </c>
      <c r="BM237" s="890">
        <v>0</v>
      </c>
      <c r="BN237" s="958">
        <v>0</v>
      </c>
      <c r="BO237" s="959">
        <v>18</v>
      </c>
      <c r="BP237" s="1018">
        <f t="shared" ca="1" si="321"/>
        <v>121.5</v>
      </c>
      <c r="BQ237" s="1018">
        <f t="shared" ca="1" si="322"/>
        <v>287.05844999999999</v>
      </c>
      <c r="BR237" s="1018">
        <f t="shared" ca="1" si="323"/>
        <v>88.2</v>
      </c>
      <c r="BS237" s="1018">
        <f t="shared" ca="1" si="324"/>
        <v>110.2144959090909</v>
      </c>
      <c r="BT237" s="1018">
        <f t="shared" ca="1" si="325"/>
        <v>60.75</v>
      </c>
      <c r="BU237" s="1018">
        <f t="shared" ca="1" si="326"/>
        <v>18</v>
      </c>
      <c r="BV237" s="1018">
        <f t="shared" ca="1" si="327"/>
        <v>2.15</v>
      </c>
      <c r="BW237" s="1018">
        <v>0</v>
      </c>
      <c r="BX237" s="1018">
        <f t="shared" ca="1" si="328"/>
        <v>26.740778170793327</v>
      </c>
      <c r="BY237" s="1018">
        <f t="shared" ca="1" si="329"/>
        <v>169.68507434684082</v>
      </c>
      <c r="BZ237" s="1018">
        <f t="shared" ca="1" si="299"/>
        <v>66.843802757456388</v>
      </c>
      <c r="CA237" s="1018">
        <f t="shared" ca="1" si="300"/>
        <v>35.999999985599999</v>
      </c>
      <c r="CB237" s="1018">
        <f t="shared" ca="1" si="330"/>
        <v>4.5133587786259541</v>
      </c>
      <c r="CC237" s="1018">
        <f t="shared" si="301"/>
        <v>0</v>
      </c>
      <c r="CD237" s="1018">
        <f t="shared" ca="1" si="331"/>
        <v>303.78301403931653</v>
      </c>
      <c r="CE237" s="1018">
        <f t="shared" ca="1" si="335"/>
        <v>159.84189954603258</v>
      </c>
      <c r="CF237" s="1018">
        <f t="shared" ca="1" si="303"/>
        <v>13.908747407560472</v>
      </c>
      <c r="CG237" s="1018">
        <f t="shared" ca="1" si="304"/>
        <v>23157.508083691882</v>
      </c>
    </row>
    <row r="238" spans="4:85" x14ac:dyDescent="0.25">
      <c r="D238" s="1"/>
      <c r="F238" s="1"/>
      <c r="G238" s="3"/>
      <c r="H238" s="6"/>
      <c r="I238" s="3"/>
      <c r="J238" s="6"/>
      <c r="K238" s="8"/>
      <c r="L238" s="6"/>
      <c r="M238" s="1"/>
      <c r="N238" s="1"/>
      <c r="O238" s="1" t="s">
        <v>18</v>
      </c>
      <c r="P238" s="4"/>
      <c r="Q238" s="1" t="s">
        <v>17</v>
      </c>
      <c r="R238" s="4"/>
      <c r="S238" s="1"/>
      <c r="T238" s="77"/>
      <c r="U238" s="294"/>
      <c r="X238" s="176">
        <f t="shared" si="332"/>
        <v>0</v>
      </c>
      <c r="Y238" s="34">
        <f>X238/Calculation_sheet!M$67</f>
        <v>0</v>
      </c>
      <c r="Z238" s="176">
        <f ca="1">IF(AN238&gt;0,Y238*Calculation_sheet!C$87,0)</f>
        <v>0</v>
      </c>
      <c r="AA238" s="176">
        <f t="shared" ca="1" si="333"/>
        <v>0</v>
      </c>
      <c r="AB238" s="176">
        <f ca="1">IF(AP238&gt;0,AA238*Calculation_sheet!C$94,0)</f>
        <v>0</v>
      </c>
      <c r="AC238" s="176">
        <f t="shared" ca="1" si="320"/>
        <v>0</v>
      </c>
      <c r="AD238" s="958">
        <f ca="1">AC238*Calculation_sheet!C$99</f>
        <v>0</v>
      </c>
      <c r="AE238" s="176">
        <f t="shared" ca="1" si="320"/>
        <v>0</v>
      </c>
      <c r="AF238" s="176">
        <f t="shared" ca="1" si="334"/>
        <v>0</v>
      </c>
      <c r="AG238" s="958">
        <f ca="1">AF238*User_sheet!B$77/100</f>
        <v>0</v>
      </c>
      <c r="AH238" s="313"/>
      <c r="AI238" s="886">
        <v>102</v>
      </c>
      <c r="AJ238" s="985"/>
      <c r="AK238" s="1020">
        <f t="shared" ca="1" si="298"/>
        <v>303.78301403931653</v>
      </c>
      <c r="AL238" s="954">
        <f ca="1">AK238/'102'!I$24</f>
        <v>1.0997287396694</v>
      </c>
      <c r="AM238" s="954">
        <f ca="1">0.8*(AK238*30+'102'!D$17*0.34*30*1)</f>
        <v>9951.1297056708718</v>
      </c>
      <c r="AN238" s="954">
        <f ca="1">IF(AM238&lt;User_sheet!B$50,Y238,0)</f>
        <v>0</v>
      </c>
      <c r="AO238" s="954">
        <f ca="1">20-(User_sheet!B$57/('Freestanding '!AK238+'102'!D$17*1*0.34))</f>
        <v>6.2528171126096836</v>
      </c>
      <c r="AP238" s="954">
        <f ca="1">IF(AO238&lt;User_sheet!B$59,0,BC238*AA238)</f>
        <v>0</v>
      </c>
      <c r="AQ238" s="985"/>
      <c r="AR238" s="883">
        <v>0.32</v>
      </c>
      <c r="AS238" s="883">
        <v>2.1</v>
      </c>
      <c r="AT238" s="883">
        <v>7.9</v>
      </c>
      <c r="AU238" s="883">
        <v>2</v>
      </c>
      <c r="AV238" s="883">
        <v>3.3</v>
      </c>
      <c r="AW238" s="883">
        <v>14356</v>
      </c>
      <c r="AX238" s="883">
        <v>74715.401027665983</v>
      </c>
      <c r="AY238" s="883">
        <v>67352.647733737584</v>
      </c>
      <c r="AZ238" s="886">
        <v>0</v>
      </c>
      <c r="BA238" s="886">
        <v>0</v>
      </c>
      <c r="BB238" s="883">
        <v>0.6</v>
      </c>
      <c r="BC238" s="888">
        <v>0</v>
      </c>
      <c r="BD238" s="889">
        <v>0</v>
      </c>
      <c r="BE238" s="889">
        <v>0</v>
      </c>
      <c r="BF238" s="890">
        <v>1</v>
      </c>
      <c r="BG238" s="889">
        <v>1</v>
      </c>
      <c r="BH238" s="889">
        <v>0</v>
      </c>
      <c r="BI238" s="890">
        <v>0</v>
      </c>
      <c r="BJ238" s="889">
        <v>0</v>
      </c>
      <c r="BK238" s="889">
        <v>0</v>
      </c>
      <c r="BL238" s="889">
        <v>0</v>
      </c>
      <c r="BM238" s="890">
        <v>1</v>
      </c>
      <c r="BN238" s="958">
        <v>0</v>
      </c>
      <c r="BO238" s="959">
        <v>18</v>
      </c>
      <c r="BP238" s="1018">
        <f t="shared" ca="1" si="321"/>
        <v>121.5</v>
      </c>
      <c r="BQ238" s="1018">
        <f t="shared" ca="1" si="322"/>
        <v>287.05844999999999</v>
      </c>
      <c r="BR238" s="1018">
        <f t="shared" ca="1" si="323"/>
        <v>88.2</v>
      </c>
      <c r="BS238" s="1018">
        <f t="shared" ca="1" si="324"/>
        <v>110.2144959090909</v>
      </c>
      <c r="BT238" s="1018">
        <f t="shared" ca="1" si="325"/>
        <v>60.75</v>
      </c>
      <c r="BU238" s="1018">
        <f t="shared" ca="1" si="326"/>
        <v>18</v>
      </c>
      <c r="BV238" s="1018">
        <f t="shared" ca="1" si="327"/>
        <v>2.15</v>
      </c>
      <c r="BW238" s="1018">
        <v>0</v>
      </c>
      <c r="BX238" s="1018">
        <f t="shared" ca="1" si="328"/>
        <v>26.740778170793327</v>
      </c>
      <c r="BY238" s="1018">
        <f t="shared" ca="1" si="329"/>
        <v>169.68507434684082</v>
      </c>
      <c r="BZ238" s="1018">
        <f t="shared" ca="1" si="299"/>
        <v>66.843802757456388</v>
      </c>
      <c r="CA238" s="1018">
        <f t="shared" ca="1" si="300"/>
        <v>35.999999985599999</v>
      </c>
      <c r="CB238" s="1018">
        <f t="shared" ca="1" si="330"/>
        <v>4.5133587786259541</v>
      </c>
      <c r="CC238" s="1018">
        <f t="shared" si="301"/>
        <v>0</v>
      </c>
      <c r="CD238" s="1018">
        <f t="shared" ca="1" si="331"/>
        <v>303.78301403931653</v>
      </c>
      <c r="CE238" s="1018">
        <f t="shared" ca="1" si="335"/>
        <v>159.84189954603258</v>
      </c>
      <c r="CF238" s="1018">
        <f t="shared" ca="1" si="303"/>
        <v>13.908747407560472</v>
      </c>
      <c r="CG238" s="1018">
        <f t="shared" ca="1" si="304"/>
        <v>23157.508083691882</v>
      </c>
    </row>
    <row r="239" spans="4:85" x14ac:dyDescent="0.25">
      <c r="D239" s="1"/>
      <c r="F239" s="1"/>
      <c r="G239" s="3"/>
      <c r="H239" s="6"/>
      <c r="I239" s="3"/>
      <c r="J239" s="6"/>
      <c r="K239" s="8"/>
      <c r="L239" s="6"/>
      <c r="M239" s="1" t="s">
        <v>17</v>
      </c>
      <c r="N239" s="4"/>
      <c r="O239" s="1" t="s">
        <v>19</v>
      </c>
      <c r="P239" s="4"/>
      <c r="Q239" s="1" t="s">
        <v>17</v>
      </c>
      <c r="R239" s="4"/>
      <c r="S239" s="1"/>
      <c r="T239" s="77"/>
      <c r="U239" s="294"/>
      <c r="X239" s="176">
        <f t="shared" si="332"/>
        <v>0</v>
      </c>
      <c r="Y239" s="34">
        <f>X239/Calculation_sheet!M$67</f>
        <v>0</v>
      </c>
      <c r="Z239" s="176">
        <f ca="1">IF(AN239&gt;0,Y239*Calculation_sheet!C$87,0)</f>
        <v>0</v>
      </c>
      <c r="AA239" s="176">
        <f t="shared" ca="1" si="333"/>
        <v>0</v>
      </c>
      <c r="AB239" s="176">
        <f ca="1">IF(AP239&gt;0,AA239*Calculation_sheet!C$94,0)</f>
        <v>0</v>
      </c>
      <c r="AC239" s="176">
        <f t="shared" ca="1" si="320"/>
        <v>0</v>
      </c>
      <c r="AD239" s="958">
        <f ca="1">AC239*Calculation_sheet!C$99</f>
        <v>0</v>
      </c>
      <c r="AE239" s="176">
        <f t="shared" ca="1" si="320"/>
        <v>0</v>
      </c>
      <c r="AF239" s="176">
        <f t="shared" ca="1" si="334"/>
        <v>0</v>
      </c>
      <c r="AG239" s="958">
        <f ca="1">AF239*User_sheet!B$77/100</f>
        <v>0</v>
      </c>
      <c r="AH239" s="313"/>
      <c r="AI239" s="886">
        <v>102</v>
      </c>
      <c r="AJ239" s="985"/>
      <c r="AK239" s="1020">
        <f t="shared" ca="1" si="298"/>
        <v>303.78301403931653</v>
      </c>
      <c r="AL239" s="954">
        <f ca="1">AK239/'102'!I$24</f>
        <v>1.0997287396694</v>
      </c>
      <c r="AM239" s="954">
        <f ca="1">0.8*(AK239*30+'102'!D$17*0.34*30*1)</f>
        <v>9951.1297056708718</v>
      </c>
      <c r="AN239" s="954">
        <f ca="1">IF(AM239&lt;User_sheet!B$50,Y239,0)</f>
        <v>0</v>
      </c>
      <c r="AO239" s="954">
        <f ca="1">20-(User_sheet!B$57/('Freestanding '!AK239+'102'!D$17*1*0.34))</f>
        <v>6.2528171126096836</v>
      </c>
      <c r="AP239" s="954">
        <f ca="1">IF(AO239&lt;User_sheet!B$59,0,BC239*AA239)</f>
        <v>0</v>
      </c>
      <c r="AQ239" s="985"/>
      <c r="AR239" s="883">
        <v>0.32</v>
      </c>
      <c r="AS239" s="883">
        <v>2.1</v>
      </c>
      <c r="AT239" s="883">
        <v>7.9</v>
      </c>
      <c r="AU239" s="883">
        <v>2</v>
      </c>
      <c r="AV239" s="883">
        <v>3.3</v>
      </c>
      <c r="AW239" s="883">
        <v>14356</v>
      </c>
      <c r="AX239" s="883">
        <v>74715.401027665983</v>
      </c>
      <c r="AY239" s="883">
        <v>67352.647733737584</v>
      </c>
      <c r="AZ239" s="886">
        <v>0</v>
      </c>
      <c r="BA239" s="886">
        <v>0</v>
      </c>
      <c r="BB239" s="883">
        <v>0.6</v>
      </c>
      <c r="BC239" s="888">
        <v>0</v>
      </c>
      <c r="BD239" s="889">
        <v>0</v>
      </c>
      <c r="BE239" s="889">
        <v>0</v>
      </c>
      <c r="BF239" s="890">
        <v>1</v>
      </c>
      <c r="BG239" s="889">
        <v>0</v>
      </c>
      <c r="BH239" s="889">
        <v>1</v>
      </c>
      <c r="BI239" s="890">
        <v>0</v>
      </c>
      <c r="BJ239" s="889">
        <v>0</v>
      </c>
      <c r="BK239" s="889">
        <v>0</v>
      </c>
      <c r="BL239" s="889">
        <v>0</v>
      </c>
      <c r="BM239" s="890">
        <v>1</v>
      </c>
      <c r="BN239" s="958">
        <v>0</v>
      </c>
      <c r="BO239" s="959">
        <v>18</v>
      </c>
      <c r="BP239" s="1018">
        <f t="shared" ca="1" si="321"/>
        <v>121.5</v>
      </c>
      <c r="BQ239" s="1018">
        <f t="shared" ca="1" si="322"/>
        <v>287.05844999999999</v>
      </c>
      <c r="BR239" s="1018">
        <f t="shared" ca="1" si="323"/>
        <v>88.2</v>
      </c>
      <c r="BS239" s="1018">
        <f t="shared" ca="1" si="324"/>
        <v>110.2144959090909</v>
      </c>
      <c r="BT239" s="1018">
        <f t="shared" ca="1" si="325"/>
        <v>60.75</v>
      </c>
      <c r="BU239" s="1018">
        <f t="shared" ca="1" si="326"/>
        <v>18</v>
      </c>
      <c r="BV239" s="1018">
        <f t="shared" ca="1" si="327"/>
        <v>2.15</v>
      </c>
      <c r="BW239" s="1018">
        <v>0</v>
      </c>
      <c r="BX239" s="1018">
        <f t="shared" ca="1" si="328"/>
        <v>26.740778170793327</v>
      </c>
      <c r="BY239" s="1018">
        <f t="shared" ca="1" si="329"/>
        <v>169.68507434684082</v>
      </c>
      <c r="BZ239" s="1018">
        <f t="shared" ca="1" si="299"/>
        <v>66.843802757456388</v>
      </c>
      <c r="CA239" s="1018">
        <f t="shared" ca="1" si="300"/>
        <v>35.999999985599999</v>
      </c>
      <c r="CB239" s="1018">
        <f t="shared" ca="1" si="330"/>
        <v>4.5133587786259541</v>
      </c>
      <c r="CC239" s="1018">
        <f t="shared" si="301"/>
        <v>0</v>
      </c>
      <c r="CD239" s="1018">
        <f t="shared" ca="1" si="331"/>
        <v>303.78301403931653</v>
      </c>
      <c r="CE239" s="1018">
        <f t="shared" ca="1" si="335"/>
        <v>159.84189954603258</v>
      </c>
      <c r="CF239" s="1018">
        <f t="shared" ca="1" si="303"/>
        <v>13.908747407560472</v>
      </c>
      <c r="CG239" s="1018">
        <f t="shared" ca="1" si="304"/>
        <v>23157.508083691882</v>
      </c>
    </row>
    <row r="240" spans="4:85" s="14" customFormat="1" x14ac:dyDescent="0.25">
      <c r="D240" s="15"/>
      <c r="F240" s="15"/>
      <c r="H240" s="15"/>
      <c r="J240" s="15"/>
      <c r="K240" s="16"/>
      <c r="L240" s="15"/>
      <c r="M240" s="15"/>
      <c r="N240" s="15"/>
      <c r="O240" s="15"/>
      <c r="P240" s="15"/>
      <c r="Q240" s="15"/>
      <c r="R240" s="15"/>
      <c r="S240" s="15"/>
      <c r="T240" s="80"/>
      <c r="U240" s="273"/>
      <c r="V240" s="292"/>
      <c r="W240" s="292"/>
      <c r="X240" s="292"/>
      <c r="Y240" s="277"/>
      <c r="Z240" s="292"/>
      <c r="AA240" s="292"/>
      <c r="AB240" s="292"/>
      <c r="AC240" s="292"/>
      <c r="AD240" s="277"/>
      <c r="AE240" s="292"/>
      <c r="AF240" s="292"/>
      <c r="AG240" s="277"/>
      <c r="AH240" s="313"/>
      <c r="AI240" s="887"/>
      <c r="AJ240" s="985"/>
      <c r="AK240" s="1020">
        <f t="shared" si="298"/>
        <v>0</v>
      </c>
      <c r="AL240" s="941"/>
      <c r="AM240" s="941"/>
      <c r="AN240" s="941"/>
      <c r="AO240" s="941"/>
      <c r="AP240" s="941"/>
      <c r="AQ240" s="985"/>
      <c r="AR240" s="887"/>
      <c r="AS240" s="887"/>
      <c r="AT240" s="887"/>
      <c r="AU240" s="887"/>
      <c r="AV240" s="887"/>
      <c r="AW240" s="887"/>
      <c r="AX240" s="887"/>
      <c r="AY240" s="887"/>
      <c r="AZ240" s="887"/>
      <c r="BA240" s="887"/>
      <c r="BB240" s="887"/>
      <c r="BC240" s="45"/>
      <c r="BD240" s="277"/>
      <c r="BE240" s="277"/>
      <c r="BF240" s="49"/>
      <c r="BG240" s="887"/>
      <c r="BH240" s="887"/>
      <c r="BI240" s="49"/>
      <c r="BJ240" s="887"/>
      <c r="BK240" s="887"/>
      <c r="BL240" s="887"/>
      <c r="BM240" s="49"/>
      <c r="BN240" s="277"/>
      <c r="BO240" s="49"/>
      <c r="BP240" s="928"/>
      <c r="BQ240" s="928"/>
      <c r="BR240" s="928"/>
      <c r="BS240" s="928"/>
      <c r="BT240" s="928"/>
      <c r="BU240" s="928"/>
      <c r="BV240" s="928"/>
      <c r="BW240" s="928"/>
      <c r="BX240" s="928"/>
      <c r="BY240" s="928"/>
      <c r="BZ240" s="928"/>
      <c r="CA240" s="928"/>
      <c r="CB240" s="928"/>
      <c r="CC240" s="928"/>
      <c r="CD240" s="928"/>
      <c r="CE240" s="928"/>
      <c r="CF240" s="928"/>
      <c r="CG240" s="928"/>
    </row>
    <row r="241" spans="1:85" x14ac:dyDescent="0.25">
      <c r="D241" s="401"/>
      <c r="E241" s="400"/>
      <c r="F241" s="401"/>
      <c r="G241" s="400"/>
      <c r="H241" s="401"/>
      <c r="I241" s="400"/>
      <c r="J241" s="401"/>
      <c r="K241" s="403"/>
      <c r="L241" s="405"/>
      <c r="M241" s="401"/>
      <c r="N241" s="401"/>
      <c r="O241" s="401"/>
      <c r="P241" s="401"/>
      <c r="Q241" s="401" t="s">
        <v>16</v>
      </c>
      <c r="R241" s="402">
        <v>0.73860000000000003</v>
      </c>
      <c r="S241" s="401"/>
      <c r="T241" s="409">
        <v>3.8638000698548456E-3</v>
      </c>
      <c r="U241" s="400"/>
      <c r="V241" s="176">
        <f>T241-T241*Calculation_sheet!F$59</f>
        <v>3.8638000698548456E-3</v>
      </c>
      <c r="W241" s="176">
        <f>V241-V241*Calculation_sheet!E$67</f>
        <v>3.8638000698548456E-3</v>
      </c>
      <c r="X241" s="176">
        <f>W241-W241*Calculation_sheet!E$77</f>
        <v>3.8638000698548456E-3</v>
      </c>
      <c r="Y241" s="34">
        <f>X241/Calculation_sheet!M$67</f>
        <v>3.8638790707673249E-3</v>
      </c>
      <c r="Z241" s="176">
        <f ca="1">IF(AN241&gt;0,Y241*Calculation_sheet!C$87,0)</f>
        <v>0</v>
      </c>
      <c r="AA241" s="176">
        <f ca="1">Y241-Z241</f>
        <v>3.8638790707673249E-3</v>
      </c>
      <c r="AB241" s="176">
        <f ca="1">IF(AP241&gt;0,AA241*Calculation_sheet!C$94,0)</f>
        <v>0</v>
      </c>
      <c r="AC241" s="176">
        <f t="shared" ref="AC241:AE251" ca="1" si="336">AA241-AB241</f>
        <v>3.8638790707673249E-3</v>
      </c>
      <c r="AD241" s="958">
        <f ca="1">AC241*Calculation_sheet!C$99</f>
        <v>2.3183274424603949E-3</v>
      </c>
      <c r="AE241" s="176">
        <f t="shared" ca="1" si="336"/>
        <v>1.54555162830693E-3</v>
      </c>
      <c r="AF241" s="176">
        <f ca="1">Y241-AB241</f>
        <v>3.8638790707673249E-3</v>
      </c>
      <c r="AG241" s="958">
        <f ca="1">AF241*User_sheet!B$77/100</f>
        <v>0</v>
      </c>
      <c r="AH241" s="313"/>
      <c r="AI241" s="886">
        <v>102</v>
      </c>
      <c r="AJ241" s="985"/>
      <c r="AK241" s="1020">
        <f t="shared" ca="1" si="298"/>
        <v>621.93601077864548</v>
      </c>
      <c r="AL241" s="954">
        <f ca="1">AK241/'102'!I$24</f>
        <v>2.2514784358551854</v>
      </c>
      <c r="AM241" s="954">
        <f ca="1">0.8*(AK241*30+'102'!D$17*0.34*30*1)</f>
        <v>17586.801627414767</v>
      </c>
      <c r="AN241" s="954">
        <f ca="1">IF(AM241&lt;User_sheet!B$50,Y241,0)</f>
        <v>0</v>
      </c>
      <c r="AO241" s="954">
        <f ca="1">20-(User_sheet!B$57/('Freestanding '!AK241+'102'!D$17*1*0.34))</f>
        <v>12.22143952617555</v>
      </c>
      <c r="AP241" s="954">
        <f ca="1">IF(AO241&lt;User_sheet!B$59,0,BC241*AA241)</f>
        <v>3.8638790707673249E-3</v>
      </c>
      <c r="AQ241" s="985"/>
      <c r="AR241" s="883">
        <v>7.7</v>
      </c>
      <c r="AS241" s="883">
        <v>2.1</v>
      </c>
      <c r="AT241" s="883">
        <v>7.9</v>
      </c>
      <c r="AU241" s="883">
        <v>5</v>
      </c>
      <c r="AV241" s="883">
        <v>3.3</v>
      </c>
      <c r="AW241" s="883">
        <v>11357.186356387729</v>
      </c>
      <c r="AX241" s="883">
        <v>74715.401027665983</v>
      </c>
      <c r="AY241" s="883">
        <v>67352.647733737584</v>
      </c>
      <c r="AZ241" s="883">
        <v>0</v>
      </c>
      <c r="BA241" s="883">
        <v>0</v>
      </c>
      <c r="BB241" s="886">
        <v>0.87</v>
      </c>
      <c r="BC241" s="888">
        <v>1</v>
      </c>
      <c r="BD241" s="889">
        <v>0</v>
      </c>
      <c r="BE241" s="889">
        <v>0</v>
      </c>
      <c r="BF241" s="890">
        <v>0</v>
      </c>
      <c r="BG241" s="883">
        <v>1</v>
      </c>
      <c r="BH241" s="883">
        <v>0</v>
      </c>
      <c r="BI241" s="890">
        <v>0</v>
      </c>
      <c r="BJ241" s="883">
        <v>1</v>
      </c>
      <c r="BK241" s="883">
        <v>0</v>
      </c>
      <c r="BL241" s="883">
        <v>0</v>
      </c>
      <c r="BM241" s="890">
        <v>0</v>
      </c>
      <c r="BN241" s="958">
        <v>0</v>
      </c>
      <c r="BO241" s="959">
        <v>18</v>
      </c>
      <c r="BP241" s="1018">
        <f t="shared" ref="BP241:BP251" ca="1" si="337">INDIRECT("'"&amp;AI241&amp;"'!"&amp;"B2")</f>
        <v>121.5</v>
      </c>
      <c r="BQ241" s="1018">
        <f t="shared" ref="BQ241:BQ251" ca="1" si="338">INDIRECT("'"&amp;AI241&amp;"'!"&amp;"C12")+INDIRECT("'"&amp;AI241&amp;"'!"&amp;"C13")+INDIRECT("'"&amp;AI241&amp;"'!"&amp;"C14")+INDIRECT("'"&amp;AI241&amp;"'!"&amp;"C15")+INDIRECT("'"&amp;AI241&amp;"'!"&amp;"C17")</f>
        <v>287.05844999999999</v>
      </c>
      <c r="BR241" s="1018">
        <f t="shared" ref="BR241:BR251" ca="1" si="339">INDIRECT("'"&amp;AI241&amp;"'!"&amp;"G5")</f>
        <v>88.2</v>
      </c>
      <c r="BS241" s="1018">
        <f t="shared" ref="BS241:BS251" ca="1" si="340">INDIRECT("'"&amp;AI241&amp;"'!"&amp;"G4")</f>
        <v>110.2144959090909</v>
      </c>
      <c r="BT241" s="1018">
        <f t="shared" ref="BT241:BT251" ca="1" si="341">INDIRECT("'"&amp;AI241&amp;"'!"&amp;"G6")</f>
        <v>60.75</v>
      </c>
      <c r="BU241" s="1018">
        <f t="shared" ref="BU241:BU251" ca="1" si="342">INDIRECT("'"&amp;AI241&amp;"'!"&amp;"G2")</f>
        <v>18</v>
      </c>
      <c r="BV241" s="1018">
        <f t="shared" ref="BV241:BV251" ca="1" si="343">INDIRECT("'"&amp;AI241&amp;"'!"&amp;"G3")</f>
        <v>2.15</v>
      </c>
      <c r="BW241" s="1018">
        <v>0</v>
      </c>
      <c r="BX241" s="1018">
        <f t="shared" ref="BX241:BX251" ca="1" si="344">IF(BR241=0,0,1/(1/(BR241*$BY$3)+1/(BR241*AR241)+1/(BR241*$BY$4)))</f>
        <v>290.89377498572242</v>
      </c>
      <c r="BY241" s="1018">
        <f t="shared" ref="BY241:BY251" ca="1" si="345">IF(BS241=0,0,1/(1/(BS241*$BY$3)+1/(BS241*AS241)+1/(BS241*$BY$4)))</f>
        <v>169.68507434684082</v>
      </c>
      <c r="BZ241" s="1018">
        <f t="shared" ca="1" si="299"/>
        <v>66.843802757456388</v>
      </c>
      <c r="CA241" s="1018">
        <f t="shared" ca="1" si="300"/>
        <v>89.999999909999985</v>
      </c>
      <c r="CB241" s="1018">
        <f t="shared" ref="CB241:CB251" ca="1" si="346">IF(BV241=0,0,1/(1/(BV241*$BY$3)+1/(BV241*AV241)+1/(BV241*$BY$4)))</f>
        <v>4.5133587786259541</v>
      </c>
      <c r="CC241" s="1018">
        <f t="shared" si="301"/>
        <v>0</v>
      </c>
      <c r="CD241" s="1018">
        <f t="shared" ref="CD241:CD251" ca="1" si="347">SUM(BX241:CC241)+(BR241+BS241+BT241+BU241+BV241)*BN241</f>
        <v>621.93601077864548</v>
      </c>
      <c r="CE241" s="1018">
        <f ca="1">0.34*BO241*(1/25)^0.66*(BR241+BS241+BU241+BV241)</f>
        <v>159.84189954603258</v>
      </c>
      <c r="CF241" s="1018">
        <f t="shared" ca="1" si="303"/>
        <v>23.453337309740341</v>
      </c>
      <c r="CG241" s="1018">
        <f t="shared" ca="1" si="304"/>
        <v>39048.868487225278</v>
      </c>
    </row>
    <row r="242" spans="1:85" x14ac:dyDescent="0.25">
      <c r="D242" s="401"/>
      <c r="E242" s="400"/>
      <c r="F242" s="401"/>
      <c r="G242" s="400"/>
      <c r="H242" s="401"/>
      <c r="I242" s="400"/>
      <c r="J242" s="401"/>
      <c r="K242" s="403"/>
      <c r="L242" s="405"/>
      <c r="M242" s="401"/>
      <c r="N242" s="401"/>
      <c r="O242" s="401" t="s">
        <v>18</v>
      </c>
      <c r="P242" s="402">
        <v>0.62953995200000001</v>
      </c>
      <c r="Q242" s="401" t="s">
        <v>7</v>
      </c>
      <c r="R242" s="402">
        <v>0.26140000000000002</v>
      </c>
      <c r="S242" s="401"/>
      <c r="T242" s="409">
        <v>1.3674483323315148E-3</v>
      </c>
      <c r="U242" s="400"/>
      <c r="V242" s="176">
        <f>T242-T242*Calculation_sheet!F$59</f>
        <v>1.3674483323315148E-3</v>
      </c>
      <c r="W242" s="176">
        <f>V242-V242*Calculation_sheet!E$67</f>
        <v>1.3674483323315148E-3</v>
      </c>
      <c r="X242" s="176">
        <f>W242-W242*Calculation_sheet!E$77</f>
        <v>1.3674483323315148E-3</v>
      </c>
      <c r="Y242" s="34">
        <f>X242/Calculation_sheet!M$67</f>
        <v>1.3674762917662861E-3</v>
      </c>
      <c r="Z242" s="176">
        <f ca="1">IF(AN242&gt;0,Y242*Calculation_sheet!C$87,0)</f>
        <v>0</v>
      </c>
      <c r="AA242" s="176">
        <f t="shared" ref="AA242:AA251" ca="1" si="348">Y242-Z242</f>
        <v>1.3674762917662861E-3</v>
      </c>
      <c r="AB242" s="176">
        <f ca="1">IF(AP242&gt;0,AA242*Calculation_sheet!C$94,0)</f>
        <v>0</v>
      </c>
      <c r="AC242" s="176">
        <f t="shared" ca="1" si="336"/>
        <v>1.3674762917662861E-3</v>
      </c>
      <c r="AD242" s="958">
        <f ca="1">AC242*Calculation_sheet!C$99</f>
        <v>8.204857750597716E-4</v>
      </c>
      <c r="AE242" s="176">
        <f t="shared" ca="1" si="336"/>
        <v>5.4699051670651451E-4</v>
      </c>
      <c r="AF242" s="176">
        <f t="shared" ref="AF242:AF251" ca="1" si="349">Y242-AB242</f>
        <v>1.3674762917662861E-3</v>
      </c>
      <c r="AG242" s="958">
        <f ca="1">AF242*User_sheet!B$77/100</f>
        <v>0</v>
      </c>
      <c r="AH242" s="313"/>
      <c r="AI242" s="886">
        <v>102</v>
      </c>
      <c r="AJ242" s="985"/>
      <c r="AK242" s="1020">
        <f t="shared" ca="1" si="298"/>
        <v>621.93601077864548</v>
      </c>
      <c r="AL242" s="954">
        <f ca="1">AK242/'102'!I$24</f>
        <v>2.2514784358551854</v>
      </c>
      <c r="AM242" s="954">
        <f ca="1">0.8*(AK242*30+'102'!D$17*0.34*30*1)</f>
        <v>17586.801627414767</v>
      </c>
      <c r="AN242" s="954">
        <f ca="1">IF(AM242&lt;User_sheet!B$50,Y242,0)</f>
        <v>0</v>
      </c>
      <c r="AO242" s="954">
        <f ca="1">20-(User_sheet!B$57/('Freestanding '!AK242+'102'!D$17*1*0.34))</f>
        <v>12.22143952617555</v>
      </c>
      <c r="AP242" s="954">
        <f ca="1">IF(AO242&lt;User_sheet!B$59,0,BC242*AA242)</f>
        <v>1.3674762917662861E-3</v>
      </c>
      <c r="AQ242" s="985"/>
      <c r="AR242" s="883">
        <v>7.7</v>
      </c>
      <c r="AS242" s="883">
        <v>2.1</v>
      </c>
      <c r="AT242" s="883">
        <v>7.9</v>
      </c>
      <c r="AU242" s="883">
        <v>5</v>
      </c>
      <c r="AV242" s="883">
        <v>3.3</v>
      </c>
      <c r="AW242" s="883">
        <v>11357.186356387729</v>
      </c>
      <c r="AX242" s="883">
        <v>74715.401027665983</v>
      </c>
      <c r="AY242" s="883">
        <v>67352.647733737584</v>
      </c>
      <c r="AZ242" s="883">
        <v>0</v>
      </c>
      <c r="BA242" s="883">
        <v>0</v>
      </c>
      <c r="BB242" s="886">
        <v>0.87</v>
      </c>
      <c r="BC242" s="888">
        <v>1</v>
      </c>
      <c r="BD242" s="889">
        <v>0</v>
      </c>
      <c r="BE242" s="889">
        <v>0</v>
      </c>
      <c r="BF242" s="890">
        <v>0</v>
      </c>
      <c r="BG242" s="883">
        <v>1</v>
      </c>
      <c r="BH242" s="883">
        <v>0</v>
      </c>
      <c r="BI242" s="890">
        <v>0</v>
      </c>
      <c r="BJ242" s="883">
        <v>0</v>
      </c>
      <c r="BK242" s="883">
        <v>0</v>
      </c>
      <c r="BL242" s="883">
        <v>1</v>
      </c>
      <c r="BM242" s="890">
        <v>0</v>
      </c>
      <c r="BN242" s="958">
        <v>0</v>
      </c>
      <c r="BO242" s="959">
        <v>18</v>
      </c>
      <c r="BP242" s="1018">
        <f t="shared" ca="1" si="337"/>
        <v>121.5</v>
      </c>
      <c r="BQ242" s="1018">
        <f t="shared" ca="1" si="338"/>
        <v>287.05844999999999</v>
      </c>
      <c r="BR242" s="1018">
        <f t="shared" ca="1" si="339"/>
        <v>88.2</v>
      </c>
      <c r="BS242" s="1018">
        <f t="shared" ca="1" si="340"/>
        <v>110.2144959090909</v>
      </c>
      <c r="BT242" s="1018">
        <f t="shared" ca="1" si="341"/>
        <v>60.75</v>
      </c>
      <c r="BU242" s="1018">
        <f t="shared" ca="1" si="342"/>
        <v>18</v>
      </c>
      <c r="BV242" s="1018">
        <f t="shared" ca="1" si="343"/>
        <v>2.15</v>
      </c>
      <c r="BW242" s="1018">
        <v>0</v>
      </c>
      <c r="BX242" s="1018">
        <f t="shared" ca="1" si="344"/>
        <v>290.89377498572242</v>
      </c>
      <c r="BY242" s="1018">
        <f t="shared" ca="1" si="345"/>
        <v>169.68507434684082</v>
      </c>
      <c r="BZ242" s="1018">
        <f t="shared" ca="1" si="299"/>
        <v>66.843802757456388</v>
      </c>
      <c r="CA242" s="1018">
        <f t="shared" ca="1" si="300"/>
        <v>89.999999909999985</v>
      </c>
      <c r="CB242" s="1018">
        <f t="shared" ca="1" si="346"/>
        <v>4.5133587786259541</v>
      </c>
      <c r="CC242" s="1018">
        <f t="shared" si="301"/>
        <v>0</v>
      </c>
      <c r="CD242" s="1018">
        <f t="shared" ca="1" si="347"/>
        <v>621.93601077864548</v>
      </c>
      <c r="CE242" s="1018">
        <f t="shared" ref="CE242:CE251" ca="1" si="350">0.34*BO242*(1/25)^0.66*(BR242+BS242+BU242+BV242)</f>
        <v>159.84189954603258</v>
      </c>
      <c r="CF242" s="1018">
        <f t="shared" ca="1" si="303"/>
        <v>23.453337309740341</v>
      </c>
      <c r="CG242" s="1018">
        <f t="shared" ca="1" si="304"/>
        <v>39048.868487225278</v>
      </c>
    </row>
    <row r="243" spans="1:85" x14ac:dyDescent="0.25">
      <c r="D243" s="401"/>
      <c r="E243" s="400"/>
      <c r="F243" s="401"/>
      <c r="G243" s="400"/>
      <c r="H243" s="401"/>
      <c r="I243" s="400"/>
      <c r="J243" s="401"/>
      <c r="K243" s="403"/>
      <c r="L243" s="405"/>
      <c r="M243" s="401"/>
      <c r="N243" s="401"/>
      <c r="O243" s="401"/>
      <c r="P243" s="401"/>
      <c r="Q243" s="401" t="s">
        <v>16</v>
      </c>
      <c r="R243" s="402">
        <v>0.73860000000000003</v>
      </c>
      <c r="S243" s="401"/>
      <c r="T243" s="409">
        <v>2.2736977292599687E-3</v>
      </c>
      <c r="U243" s="400"/>
      <c r="V243" s="176">
        <f>T243-T243*Calculation_sheet!F$59</f>
        <v>2.2736977292599687E-3</v>
      </c>
      <c r="W243" s="176">
        <f>V243-V243*Calculation_sheet!E$67</f>
        <v>2.2736977292599687E-3</v>
      </c>
      <c r="X243" s="176">
        <f>W243-W243*Calculation_sheet!E$77</f>
        <v>2.2736977292599687E-3</v>
      </c>
      <c r="Y243" s="34">
        <f>X243/Calculation_sheet!M$67</f>
        <v>2.2737442182583813E-3</v>
      </c>
      <c r="Z243" s="176">
        <f ca="1">IF(AN243&gt;0,Y243*Calculation_sheet!C$87,0)</f>
        <v>0</v>
      </c>
      <c r="AA243" s="176">
        <f t="shared" ca="1" si="348"/>
        <v>2.2737442182583813E-3</v>
      </c>
      <c r="AB243" s="176">
        <f ca="1">IF(AP243&gt;0,AA243*Calculation_sheet!C$94,0)</f>
        <v>0</v>
      </c>
      <c r="AC243" s="176">
        <f t="shared" ca="1" si="336"/>
        <v>2.2737442182583813E-3</v>
      </c>
      <c r="AD243" s="958">
        <f ca="1">AC243*Calculation_sheet!C$99</f>
        <v>1.3642465309550288E-3</v>
      </c>
      <c r="AE243" s="176">
        <f t="shared" ca="1" si="336"/>
        <v>9.0949768730335247E-4</v>
      </c>
      <c r="AF243" s="176">
        <f t="shared" ca="1" si="349"/>
        <v>2.2737442182583813E-3</v>
      </c>
      <c r="AG243" s="958">
        <f ca="1">AF243*User_sheet!B$77/100</f>
        <v>0</v>
      </c>
      <c r="AH243" s="313"/>
      <c r="AI243" s="886">
        <v>102</v>
      </c>
      <c r="AJ243" s="985"/>
      <c r="AK243" s="1020">
        <f t="shared" ca="1" si="298"/>
        <v>621.93601077864548</v>
      </c>
      <c r="AL243" s="954">
        <f ca="1">AK243/'102'!I$24</f>
        <v>2.2514784358551854</v>
      </c>
      <c r="AM243" s="954">
        <f ca="1">0.8*(AK243*30+'102'!D$17*0.34*30*1)</f>
        <v>17586.801627414767</v>
      </c>
      <c r="AN243" s="954">
        <f ca="1">IF(AM243&lt;User_sheet!B$50,Y243,0)</f>
        <v>0</v>
      </c>
      <c r="AO243" s="954">
        <f ca="1">20-(User_sheet!B$57/('Freestanding '!AK243+'102'!D$17*1*0.34))</f>
        <v>12.22143952617555</v>
      </c>
      <c r="AP243" s="954">
        <f ca="1">IF(AO243&lt;User_sheet!B$59,0,BC243*AA243)</f>
        <v>2.2737442182583813E-3</v>
      </c>
      <c r="AQ243" s="985"/>
      <c r="AR243" s="883">
        <v>7.7</v>
      </c>
      <c r="AS243" s="883">
        <v>2.1</v>
      </c>
      <c r="AT243" s="883">
        <v>7.9</v>
      </c>
      <c r="AU243" s="883">
        <v>5</v>
      </c>
      <c r="AV243" s="883">
        <v>3.3</v>
      </c>
      <c r="AW243" s="883">
        <v>11357.186356387729</v>
      </c>
      <c r="AX243" s="883">
        <v>74715.401027665983</v>
      </c>
      <c r="AY243" s="883">
        <v>67352.647733737584</v>
      </c>
      <c r="AZ243" s="883">
        <v>0</v>
      </c>
      <c r="BA243" s="883">
        <v>0</v>
      </c>
      <c r="BB243" s="886">
        <v>0.87</v>
      </c>
      <c r="BC243" s="888">
        <v>1</v>
      </c>
      <c r="BD243" s="889">
        <v>0</v>
      </c>
      <c r="BE243" s="889">
        <v>0</v>
      </c>
      <c r="BF243" s="890">
        <v>0</v>
      </c>
      <c r="BG243" s="883">
        <v>0</v>
      </c>
      <c r="BH243" s="883">
        <v>1</v>
      </c>
      <c r="BI243" s="890">
        <v>0</v>
      </c>
      <c r="BJ243" s="883">
        <v>1</v>
      </c>
      <c r="BK243" s="883">
        <v>0</v>
      </c>
      <c r="BL243" s="883">
        <v>0</v>
      </c>
      <c r="BM243" s="890">
        <v>0</v>
      </c>
      <c r="BN243" s="958">
        <v>0</v>
      </c>
      <c r="BO243" s="959">
        <v>18</v>
      </c>
      <c r="BP243" s="1018">
        <f t="shared" ca="1" si="337"/>
        <v>121.5</v>
      </c>
      <c r="BQ243" s="1018">
        <f t="shared" ca="1" si="338"/>
        <v>287.05844999999999</v>
      </c>
      <c r="BR243" s="1018">
        <f t="shared" ca="1" si="339"/>
        <v>88.2</v>
      </c>
      <c r="BS243" s="1018">
        <f t="shared" ca="1" si="340"/>
        <v>110.2144959090909</v>
      </c>
      <c r="BT243" s="1018">
        <f t="shared" ca="1" si="341"/>
        <v>60.75</v>
      </c>
      <c r="BU243" s="1018">
        <f t="shared" ca="1" si="342"/>
        <v>18</v>
      </c>
      <c r="BV243" s="1018">
        <f t="shared" ca="1" si="343"/>
        <v>2.15</v>
      </c>
      <c r="BW243" s="1018">
        <v>0</v>
      </c>
      <c r="BX243" s="1018">
        <f t="shared" ca="1" si="344"/>
        <v>290.89377498572242</v>
      </c>
      <c r="BY243" s="1018">
        <f t="shared" ca="1" si="345"/>
        <v>169.68507434684082</v>
      </c>
      <c r="BZ243" s="1018">
        <f t="shared" ca="1" si="299"/>
        <v>66.843802757456388</v>
      </c>
      <c r="CA243" s="1018">
        <f t="shared" ca="1" si="300"/>
        <v>89.999999909999985</v>
      </c>
      <c r="CB243" s="1018">
        <f t="shared" ca="1" si="346"/>
        <v>4.5133587786259541</v>
      </c>
      <c r="CC243" s="1018">
        <f t="shared" si="301"/>
        <v>0</v>
      </c>
      <c r="CD243" s="1018">
        <f t="shared" ca="1" si="347"/>
        <v>621.93601077864548</v>
      </c>
      <c r="CE243" s="1018">
        <f t="shared" ca="1" si="350"/>
        <v>159.84189954603258</v>
      </c>
      <c r="CF243" s="1018">
        <f t="shared" ca="1" si="303"/>
        <v>23.453337309740341</v>
      </c>
      <c r="CG243" s="1018">
        <f t="shared" ca="1" si="304"/>
        <v>39048.868487225278</v>
      </c>
    </row>
    <row r="244" spans="1:85" x14ac:dyDescent="0.25">
      <c r="D244" s="401"/>
      <c r="E244" s="400"/>
      <c r="F244" s="401"/>
      <c r="G244" s="400"/>
      <c r="H244" s="401"/>
      <c r="I244" s="400"/>
      <c r="J244" s="401"/>
      <c r="K244" s="403"/>
      <c r="L244" s="405"/>
      <c r="M244" s="401" t="s">
        <v>16</v>
      </c>
      <c r="N244" s="402">
        <v>0.44680851100000002</v>
      </c>
      <c r="O244" s="401" t="s">
        <v>19</v>
      </c>
      <c r="P244" s="402">
        <v>0.37046004799999999</v>
      </c>
      <c r="Q244" s="401" t="s">
        <v>7</v>
      </c>
      <c r="R244" s="402">
        <v>0.26140000000000002</v>
      </c>
      <c r="S244" s="401"/>
      <c r="T244" s="409">
        <v>8.0469074794009706E-4</v>
      </c>
      <c r="U244" s="400"/>
      <c r="V244" s="176">
        <f>T244-T244*Calculation_sheet!F$59</f>
        <v>8.0469074794009706E-4</v>
      </c>
      <c r="W244" s="176">
        <f>V244-V244*Calculation_sheet!E$67</f>
        <v>8.0469074794009706E-4</v>
      </c>
      <c r="X244" s="176">
        <f>W244-W244*Calculation_sheet!E$77</f>
        <v>8.0469074794009706E-4</v>
      </c>
      <c r="Y244" s="34">
        <f>X244/Calculation_sheet!M$67</f>
        <v>8.0470720099206706E-4</v>
      </c>
      <c r="Z244" s="176">
        <f ca="1">IF(AN244&gt;0,Y244*Calculation_sheet!C$87,0)</f>
        <v>0</v>
      </c>
      <c r="AA244" s="176">
        <f t="shared" ca="1" si="348"/>
        <v>8.0470720099206706E-4</v>
      </c>
      <c r="AB244" s="176">
        <f ca="1">IF(AP244&gt;0,AA244*Calculation_sheet!C$94,0)</f>
        <v>0</v>
      </c>
      <c r="AC244" s="176">
        <f t="shared" ca="1" si="336"/>
        <v>8.0470720099206706E-4</v>
      </c>
      <c r="AD244" s="958">
        <f ca="1">AC244*Calculation_sheet!C$99</f>
        <v>4.8282432059524021E-4</v>
      </c>
      <c r="AE244" s="176">
        <f t="shared" ca="1" si="336"/>
        <v>3.2188288039682684E-4</v>
      </c>
      <c r="AF244" s="176">
        <f t="shared" ca="1" si="349"/>
        <v>8.0470720099206706E-4</v>
      </c>
      <c r="AG244" s="958">
        <f ca="1">AF244*User_sheet!B$77/100</f>
        <v>0</v>
      </c>
      <c r="AH244" s="313"/>
      <c r="AI244" s="886">
        <v>102</v>
      </c>
      <c r="AJ244" s="985"/>
      <c r="AK244" s="1020">
        <f t="shared" ca="1" si="298"/>
        <v>621.93601077864548</v>
      </c>
      <c r="AL244" s="954">
        <f ca="1">AK244/'102'!I$24</f>
        <v>2.2514784358551854</v>
      </c>
      <c r="AM244" s="954">
        <f ca="1">0.8*(AK244*30+'102'!D$17*0.34*30*1)</f>
        <v>17586.801627414767</v>
      </c>
      <c r="AN244" s="954">
        <f ca="1">IF(AM244&lt;User_sheet!B$50,Y244,0)</f>
        <v>0</v>
      </c>
      <c r="AO244" s="954">
        <f ca="1">20-(User_sheet!B$57/('Freestanding '!AK244+'102'!D$17*1*0.34))</f>
        <v>12.22143952617555</v>
      </c>
      <c r="AP244" s="954">
        <f ca="1">IF(AO244&lt;User_sheet!B$59,0,BC244*AA244)</f>
        <v>8.0470720099206706E-4</v>
      </c>
      <c r="AQ244" s="985"/>
      <c r="AR244" s="883">
        <v>7.7</v>
      </c>
      <c r="AS244" s="883">
        <v>2.1</v>
      </c>
      <c r="AT244" s="883">
        <v>7.9</v>
      </c>
      <c r="AU244" s="883">
        <v>5</v>
      </c>
      <c r="AV244" s="883">
        <v>3.3</v>
      </c>
      <c r="AW244" s="883">
        <v>11357.186356387729</v>
      </c>
      <c r="AX244" s="883">
        <v>74715.401027665983</v>
      </c>
      <c r="AY244" s="883">
        <v>67352.647733737584</v>
      </c>
      <c r="AZ244" s="883">
        <v>0</v>
      </c>
      <c r="BA244" s="883">
        <v>0</v>
      </c>
      <c r="BB244" s="886">
        <v>0.87</v>
      </c>
      <c r="BC244" s="888">
        <v>1</v>
      </c>
      <c r="BD244" s="889">
        <v>0</v>
      </c>
      <c r="BE244" s="889">
        <v>0</v>
      </c>
      <c r="BF244" s="890">
        <v>0</v>
      </c>
      <c r="BG244" s="883">
        <v>0</v>
      </c>
      <c r="BH244" s="883">
        <v>1</v>
      </c>
      <c r="BI244" s="890">
        <v>0</v>
      </c>
      <c r="BJ244" s="883">
        <v>0</v>
      </c>
      <c r="BK244" s="883">
        <v>0</v>
      </c>
      <c r="BL244" s="883">
        <v>1</v>
      </c>
      <c r="BM244" s="890">
        <v>0</v>
      </c>
      <c r="BN244" s="958">
        <v>0</v>
      </c>
      <c r="BO244" s="959">
        <v>18</v>
      </c>
      <c r="BP244" s="1018">
        <f t="shared" ca="1" si="337"/>
        <v>121.5</v>
      </c>
      <c r="BQ244" s="1018">
        <f t="shared" ca="1" si="338"/>
        <v>287.05844999999999</v>
      </c>
      <c r="BR244" s="1018">
        <f t="shared" ca="1" si="339"/>
        <v>88.2</v>
      </c>
      <c r="BS244" s="1018">
        <f t="shared" ca="1" si="340"/>
        <v>110.2144959090909</v>
      </c>
      <c r="BT244" s="1018">
        <f t="shared" ca="1" si="341"/>
        <v>60.75</v>
      </c>
      <c r="BU244" s="1018">
        <f t="shared" ca="1" si="342"/>
        <v>18</v>
      </c>
      <c r="BV244" s="1018">
        <f t="shared" ca="1" si="343"/>
        <v>2.15</v>
      </c>
      <c r="BW244" s="1018">
        <v>0</v>
      </c>
      <c r="BX244" s="1018">
        <f t="shared" ca="1" si="344"/>
        <v>290.89377498572242</v>
      </c>
      <c r="BY244" s="1018">
        <f t="shared" ca="1" si="345"/>
        <v>169.68507434684082</v>
      </c>
      <c r="BZ244" s="1018">
        <f t="shared" ca="1" si="299"/>
        <v>66.843802757456388</v>
      </c>
      <c r="CA244" s="1018">
        <f t="shared" ca="1" si="300"/>
        <v>89.999999909999985</v>
      </c>
      <c r="CB244" s="1018">
        <f t="shared" ca="1" si="346"/>
        <v>4.5133587786259541</v>
      </c>
      <c r="CC244" s="1018">
        <f t="shared" si="301"/>
        <v>0</v>
      </c>
      <c r="CD244" s="1018">
        <f t="shared" ca="1" si="347"/>
        <v>621.93601077864548</v>
      </c>
      <c r="CE244" s="1018">
        <f t="shared" ca="1" si="350"/>
        <v>159.84189954603258</v>
      </c>
      <c r="CF244" s="1018">
        <f t="shared" ca="1" si="303"/>
        <v>23.453337309740341</v>
      </c>
      <c r="CG244" s="1018">
        <f t="shared" ca="1" si="304"/>
        <v>39048.868487225278</v>
      </c>
    </row>
    <row r="245" spans="1:85" x14ac:dyDescent="0.25">
      <c r="D245" s="401"/>
      <c r="E245" s="400"/>
      <c r="F245" s="401"/>
      <c r="G245" s="400"/>
      <c r="H245" s="401"/>
      <c r="I245" s="400"/>
      <c r="J245" s="401"/>
      <c r="K245" s="403"/>
      <c r="L245" s="405"/>
      <c r="M245" s="401"/>
      <c r="N245" s="401"/>
      <c r="O245" s="401"/>
      <c r="P245" s="401"/>
      <c r="Q245" s="401" t="s">
        <v>22</v>
      </c>
      <c r="R245" s="402">
        <v>0.53710000000000002</v>
      </c>
      <c r="S245" s="401"/>
      <c r="T245" s="409">
        <v>3.6073976822121852E-3</v>
      </c>
      <c r="U245" s="400"/>
      <c r="V245" s="176">
        <f>T245-T245*Calculation_sheet!F$59</f>
        <v>3.6073976822121852E-3</v>
      </c>
      <c r="W245" s="176">
        <f>V245-V245*Calculation_sheet!E$67</f>
        <v>3.6073976822121852E-3</v>
      </c>
      <c r="X245" s="176">
        <f>W245-W245*Calculation_sheet!E$77</f>
        <v>3.6073976822121852E-3</v>
      </c>
      <c r="Y245" s="34">
        <f>X245/Calculation_sheet!M$67</f>
        <v>3.6074714406115378E-3</v>
      </c>
      <c r="Z245" s="176">
        <f ca="1">IF(AN245&gt;0,Y245*Calculation_sheet!C$87,0)</f>
        <v>0</v>
      </c>
      <c r="AA245" s="176">
        <f t="shared" ca="1" si="348"/>
        <v>3.6074714406115378E-3</v>
      </c>
      <c r="AB245" s="176">
        <f ca="1">IF(AP245&gt;0,AA245*Calculation_sheet!C$94,0)</f>
        <v>0</v>
      </c>
      <c r="AC245" s="176">
        <f t="shared" ca="1" si="336"/>
        <v>3.6074714406115378E-3</v>
      </c>
      <c r="AD245" s="958">
        <f ca="1">AC245*Calculation_sheet!C$99</f>
        <v>2.1644828643669228E-3</v>
      </c>
      <c r="AE245" s="176">
        <f t="shared" ca="1" si="336"/>
        <v>1.442988576244615E-3</v>
      </c>
      <c r="AF245" s="176">
        <f t="shared" ca="1" si="349"/>
        <v>3.6074714406115378E-3</v>
      </c>
      <c r="AG245" s="958">
        <f ca="1">AF245*User_sheet!B$77/100</f>
        <v>0</v>
      </c>
      <c r="AH245" s="313"/>
      <c r="AI245" s="886">
        <v>102</v>
      </c>
      <c r="AJ245" s="985"/>
      <c r="AK245" s="1020">
        <f t="shared" ca="1" si="298"/>
        <v>621.93601077864548</v>
      </c>
      <c r="AL245" s="954">
        <f ca="1">AK245/'102'!I$24</f>
        <v>2.2514784358551854</v>
      </c>
      <c r="AM245" s="954">
        <f ca="1">0.8*(AK245*30+'102'!D$17*0.34*30*1)</f>
        <v>17586.801627414767</v>
      </c>
      <c r="AN245" s="954">
        <f ca="1">IF(AM245&lt;User_sheet!B$50,Y245,0)</f>
        <v>0</v>
      </c>
      <c r="AO245" s="954">
        <f ca="1">20-(User_sheet!B$57/('Freestanding '!AK245+'102'!D$17*1*0.34))</f>
        <v>12.22143952617555</v>
      </c>
      <c r="AP245" s="954">
        <f ca="1">IF(AO245&lt;User_sheet!B$59,0,BC245*AA245)</f>
        <v>0</v>
      </c>
      <c r="AQ245" s="985"/>
      <c r="AR245" s="883">
        <v>7.7</v>
      </c>
      <c r="AS245" s="883">
        <v>2.1</v>
      </c>
      <c r="AT245" s="883">
        <v>7.9</v>
      </c>
      <c r="AU245" s="883">
        <v>5</v>
      </c>
      <c r="AV245" s="883">
        <v>3.3</v>
      </c>
      <c r="AW245" s="883">
        <v>11357.186356387729</v>
      </c>
      <c r="AX245" s="883">
        <v>74715.401027665983</v>
      </c>
      <c r="AY245" s="883">
        <v>67352.647733737584</v>
      </c>
      <c r="AZ245" s="883">
        <v>0</v>
      </c>
      <c r="BA245" s="883">
        <v>0</v>
      </c>
      <c r="BB245" s="886">
        <v>0.87</v>
      </c>
      <c r="BC245" s="888">
        <v>0</v>
      </c>
      <c r="BD245" s="889">
        <v>1</v>
      </c>
      <c r="BE245" s="889">
        <v>0</v>
      </c>
      <c r="BF245" s="890">
        <v>0</v>
      </c>
      <c r="BG245" s="883">
        <v>1</v>
      </c>
      <c r="BH245" s="883">
        <v>0</v>
      </c>
      <c r="BI245" s="890">
        <v>0</v>
      </c>
      <c r="BJ245" s="883">
        <v>0</v>
      </c>
      <c r="BK245" s="883">
        <v>1</v>
      </c>
      <c r="BL245" s="883">
        <v>0</v>
      </c>
      <c r="BM245" s="890">
        <v>0</v>
      </c>
      <c r="BN245" s="958">
        <v>0</v>
      </c>
      <c r="BO245" s="959">
        <v>18</v>
      </c>
      <c r="BP245" s="1018">
        <f t="shared" ca="1" si="337"/>
        <v>121.5</v>
      </c>
      <c r="BQ245" s="1018">
        <f t="shared" ca="1" si="338"/>
        <v>287.05844999999999</v>
      </c>
      <c r="BR245" s="1018">
        <f t="shared" ca="1" si="339"/>
        <v>88.2</v>
      </c>
      <c r="BS245" s="1018">
        <f t="shared" ca="1" si="340"/>
        <v>110.2144959090909</v>
      </c>
      <c r="BT245" s="1018">
        <f t="shared" ca="1" si="341"/>
        <v>60.75</v>
      </c>
      <c r="BU245" s="1018">
        <f t="shared" ca="1" si="342"/>
        <v>18</v>
      </c>
      <c r="BV245" s="1018">
        <f t="shared" ca="1" si="343"/>
        <v>2.15</v>
      </c>
      <c r="BW245" s="1018">
        <v>0</v>
      </c>
      <c r="BX245" s="1018">
        <f t="shared" ca="1" si="344"/>
        <v>290.89377498572242</v>
      </c>
      <c r="BY245" s="1018">
        <f t="shared" ca="1" si="345"/>
        <v>169.68507434684082</v>
      </c>
      <c r="BZ245" s="1018">
        <f t="shared" ca="1" si="299"/>
        <v>66.843802757456388</v>
      </c>
      <c r="CA245" s="1018">
        <f t="shared" ca="1" si="300"/>
        <v>89.999999909999985</v>
      </c>
      <c r="CB245" s="1018">
        <f t="shared" ca="1" si="346"/>
        <v>4.5133587786259541</v>
      </c>
      <c r="CC245" s="1018">
        <f t="shared" si="301"/>
        <v>0</v>
      </c>
      <c r="CD245" s="1018">
        <f t="shared" ca="1" si="347"/>
        <v>621.93601077864548</v>
      </c>
      <c r="CE245" s="1018">
        <f t="shared" ca="1" si="350"/>
        <v>159.84189954603258</v>
      </c>
      <c r="CF245" s="1018">
        <f t="shared" ca="1" si="303"/>
        <v>23.453337309740341</v>
      </c>
      <c r="CG245" s="1018">
        <f t="shared" ca="1" si="304"/>
        <v>39048.868487225278</v>
      </c>
    </row>
    <row r="246" spans="1:85" x14ac:dyDescent="0.25">
      <c r="D246" s="401"/>
      <c r="E246" s="400"/>
      <c r="F246" s="401"/>
      <c r="G246" s="400"/>
      <c r="H246" s="401"/>
      <c r="I246" s="400"/>
      <c r="J246" s="401"/>
      <c r="K246" s="403"/>
      <c r="L246" s="405"/>
      <c r="M246" s="401"/>
      <c r="N246" s="401"/>
      <c r="O246" s="401" t="s">
        <v>18</v>
      </c>
      <c r="P246" s="402">
        <v>0.80827067699999999</v>
      </c>
      <c r="Q246" s="401" t="s">
        <v>7</v>
      </c>
      <c r="R246" s="402">
        <v>0.46289999999999998</v>
      </c>
      <c r="S246" s="401"/>
      <c r="T246" s="409">
        <v>3.1090381439136485E-3</v>
      </c>
      <c r="U246" s="400"/>
      <c r="V246" s="176">
        <f>T246-T246*Calculation_sheet!F$59</f>
        <v>3.1090381439136485E-3</v>
      </c>
      <c r="W246" s="176">
        <f>V246-V246*Calculation_sheet!E$67</f>
        <v>3.1090381439136485E-3</v>
      </c>
      <c r="X246" s="176">
        <f>W246-W246*Calculation_sheet!E$77</f>
        <v>3.1090381439136485E-3</v>
      </c>
      <c r="Y246" s="34">
        <f>X246/Calculation_sheet!M$67</f>
        <v>3.1091017126402549E-3</v>
      </c>
      <c r="Z246" s="176">
        <f ca="1">IF(AN246&gt;0,Y246*Calculation_sheet!C$87,0)</f>
        <v>0</v>
      </c>
      <c r="AA246" s="176">
        <f t="shared" ca="1" si="348"/>
        <v>3.1091017126402549E-3</v>
      </c>
      <c r="AB246" s="176">
        <f ca="1">IF(AP246&gt;0,AA246*Calculation_sheet!C$94,0)</f>
        <v>0</v>
      </c>
      <c r="AC246" s="176">
        <f t="shared" ca="1" si="336"/>
        <v>3.1091017126402549E-3</v>
      </c>
      <c r="AD246" s="958">
        <f ca="1">AC246*Calculation_sheet!C$99</f>
        <v>1.865461027584153E-3</v>
      </c>
      <c r="AE246" s="176">
        <f t="shared" ca="1" si="336"/>
        <v>1.243640685056102E-3</v>
      </c>
      <c r="AF246" s="176">
        <f t="shared" ca="1" si="349"/>
        <v>3.1091017126402549E-3</v>
      </c>
      <c r="AG246" s="958">
        <f ca="1">AF246*User_sheet!B$77/100</f>
        <v>0</v>
      </c>
      <c r="AH246" s="313"/>
      <c r="AI246" s="886">
        <v>102</v>
      </c>
      <c r="AJ246" s="985"/>
      <c r="AK246" s="1020">
        <f t="shared" ca="1" si="298"/>
        <v>621.93601077864548</v>
      </c>
      <c r="AL246" s="954">
        <f ca="1">AK246/'102'!I$24</f>
        <v>2.2514784358551854</v>
      </c>
      <c r="AM246" s="954">
        <f ca="1">0.8*(AK246*30+'102'!D$17*0.34*30*1)</f>
        <v>17586.801627414767</v>
      </c>
      <c r="AN246" s="954">
        <f ca="1">IF(AM246&lt;User_sheet!B$50,Y246,0)</f>
        <v>0</v>
      </c>
      <c r="AO246" s="954">
        <f ca="1">20-(User_sheet!B$57/('Freestanding '!AK246+'102'!D$17*1*0.34))</f>
        <v>12.22143952617555</v>
      </c>
      <c r="AP246" s="954">
        <f ca="1">IF(AO246&lt;User_sheet!B$59,0,BC246*AA246)</f>
        <v>0</v>
      </c>
      <c r="AQ246" s="985"/>
      <c r="AR246" s="883">
        <v>7.7</v>
      </c>
      <c r="AS246" s="883">
        <v>2.1</v>
      </c>
      <c r="AT246" s="883">
        <v>7.9</v>
      </c>
      <c r="AU246" s="883">
        <v>5</v>
      </c>
      <c r="AV246" s="883">
        <v>3.3</v>
      </c>
      <c r="AW246" s="883">
        <v>11357.186356387729</v>
      </c>
      <c r="AX246" s="883">
        <v>74715.401027665983</v>
      </c>
      <c r="AY246" s="883">
        <v>67352.647733737584</v>
      </c>
      <c r="AZ246" s="883">
        <v>0</v>
      </c>
      <c r="BA246" s="883">
        <v>0</v>
      </c>
      <c r="BB246" s="886">
        <v>0.87</v>
      </c>
      <c r="BC246" s="888">
        <v>0</v>
      </c>
      <c r="BD246" s="889">
        <v>1</v>
      </c>
      <c r="BE246" s="889">
        <v>0</v>
      </c>
      <c r="BF246" s="890">
        <v>0</v>
      </c>
      <c r="BG246" s="883">
        <v>1</v>
      </c>
      <c r="BH246" s="883">
        <v>0</v>
      </c>
      <c r="BI246" s="890">
        <v>0</v>
      </c>
      <c r="BJ246" s="883">
        <v>0</v>
      </c>
      <c r="BK246" s="883">
        <v>0</v>
      </c>
      <c r="BL246" s="883">
        <v>1</v>
      </c>
      <c r="BM246" s="890">
        <v>0</v>
      </c>
      <c r="BN246" s="958">
        <v>0</v>
      </c>
      <c r="BO246" s="959">
        <v>18</v>
      </c>
      <c r="BP246" s="1018">
        <f t="shared" ca="1" si="337"/>
        <v>121.5</v>
      </c>
      <c r="BQ246" s="1018">
        <f t="shared" ca="1" si="338"/>
        <v>287.05844999999999</v>
      </c>
      <c r="BR246" s="1018">
        <f t="shared" ca="1" si="339"/>
        <v>88.2</v>
      </c>
      <c r="BS246" s="1018">
        <f t="shared" ca="1" si="340"/>
        <v>110.2144959090909</v>
      </c>
      <c r="BT246" s="1018">
        <f t="shared" ca="1" si="341"/>
        <v>60.75</v>
      </c>
      <c r="BU246" s="1018">
        <f t="shared" ca="1" si="342"/>
        <v>18</v>
      </c>
      <c r="BV246" s="1018">
        <f t="shared" ca="1" si="343"/>
        <v>2.15</v>
      </c>
      <c r="BW246" s="1018">
        <v>0</v>
      </c>
      <c r="BX246" s="1018">
        <f t="shared" ca="1" si="344"/>
        <v>290.89377498572242</v>
      </c>
      <c r="BY246" s="1018">
        <f t="shared" ca="1" si="345"/>
        <v>169.68507434684082</v>
      </c>
      <c r="BZ246" s="1018">
        <f t="shared" ca="1" si="299"/>
        <v>66.843802757456388</v>
      </c>
      <c r="CA246" s="1018">
        <f t="shared" ca="1" si="300"/>
        <v>89.999999909999985</v>
      </c>
      <c r="CB246" s="1018">
        <f t="shared" ca="1" si="346"/>
        <v>4.5133587786259541</v>
      </c>
      <c r="CC246" s="1018">
        <f t="shared" si="301"/>
        <v>0</v>
      </c>
      <c r="CD246" s="1018">
        <f t="shared" ca="1" si="347"/>
        <v>621.93601077864548</v>
      </c>
      <c r="CE246" s="1018">
        <f t="shared" ca="1" si="350"/>
        <v>159.84189954603258</v>
      </c>
      <c r="CF246" s="1018">
        <f t="shared" ca="1" si="303"/>
        <v>23.453337309740341</v>
      </c>
      <c r="CG246" s="1018">
        <f t="shared" ca="1" si="304"/>
        <v>39048.868487225278</v>
      </c>
    </row>
    <row r="247" spans="1:85" x14ac:dyDescent="0.25">
      <c r="D247" s="401"/>
      <c r="E247" s="400"/>
      <c r="F247" s="401"/>
      <c r="G247" s="400"/>
      <c r="H247" s="401"/>
      <c r="I247" s="400"/>
      <c r="J247" s="401"/>
      <c r="K247" s="403"/>
      <c r="L247" s="405"/>
      <c r="M247" s="401"/>
      <c r="N247" s="401"/>
      <c r="O247" s="401"/>
      <c r="P247" s="401"/>
      <c r="Q247" s="401" t="s">
        <v>22</v>
      </c>
      <c r="R247" s="402">
        <v>0.53710000000000002</v>
      </c>
      <c r="S247" s="401"/>
      <c r="T247" s="409">
        <v>8.5570828570626382E-4</v>
      </c>
      <c r="U247" s="400"/>
      <c r="V247" s="176">
        <f>T247-T247*Calculation_sheet!F$59</f>
        <v>8.5570828570626382E-4</v>
      </c>
      <c r="W247" s="176">
        <f>V247-V247*Calculation_sheet!E$67</f>
        <v>8.5570828570626382E-4</v>
      </c>
      <c r="X247" s="176">
        <f>W247-W247*Calculation_sheet!E$77</f>
        <v>8.5570828570626382E-4</v>
      </c>
      <c r="Y247" s="34">
        <f>X247/Calculation_sheet!M$67</f>
        <v>8.5572578188468004E-4</v>
      </c>
      <c r="Z247" s="176">
        <f ca="1">IF(AN247&gt;0,Y247*Calculation_sheet!C$87,0)</f>
        <v>0</v>
      </c>
      <c r="AA247" s="176">
        <f t="shared" ca="1" si="348"/>
        <v>8.5572578188468004E-4</v>
      </c>
      <c r="AB247" s="176">
        <f ca="1">IF(AP247&gt;0,AA247*Calculation_sheet!C$94,0)</f>
        <v>0</v>
      </c>
      <c r="AC247" s="176">
        <f t="shared" ca="1" si="336"/>
        <v>8.5572578188468004E-4</v>
      </c>
      <c r="AD247" s="958">
        <f ca="1">AC247*Calculation_sheet!C$99</f>
        <v>5.1343546913080801E-4</v>
      </c>
      <c r="AE247" s="176">
        <f t="shared" ca="1" si="336"/>
        <v>3.4229031275387204E-4</v>
      </c>
      <c r="AF247" s="176">
        <f t="shared" ca="1" si="349"/>
        <v>8.5572578188468004E-4</v>
      </c>
      <c r="AG247" s="958">
        <f ca="1">AF247*User_sheet!B$77/100</f>
        <v>0</v>
      </c>
      <c r="AH247" s="313"/>
      <c r="AI247" s="886">
        <v>102</v>
      </c>
      <c r="AJ247" s="985"/>
      <c r="AK247" s="1020">
        <f t="shared" ca="1" si="298"/>
        <v>621.93601077864548</v>
      </c>
      <c r="AL247" s="954">
        <f ca="1">AK247/'102'!I$24</f>
        <v>2.2514784358551854</v>
      </c>
      <c r="AM247" s="954">
        <f ca="1">0.8*(AK247*30+'102'!D$17*0.34*30*1)</f>
        <v>17586.801627414767</v>
      </c>
      <c r="AN247" s="954">
        <f ca="1">IF(AM247&lt;User_sheet!B$50,Y247,0)</f>
        <v>0</v>
      </c>
      <c r="AO247" s="954">
        <f ca="1">20-(User_sheet!B$57/('Freestanding '!AK247+'102'!D$17*1*0.34))</f>
        <v>12.22143952617555</v>
      </c>
      <c r="AP247" s="954">
        <f ca="1">IF(AO247&lt;User_sheet!B$59,0,BC247*AA247)</f>
        <v>0</v>
      </c>
      <c r="AQ247" s="985"/>
      <c r="AR247" s="883">
        <v>7.7</v>
      </c>
      <c r="AS247" s="883">
        <v>2.1</v>
      </c>
      <c r="AT247" s="883">
        <v>7.9</v>
      </c>
      <c r="AU247" s="883">
        <v>5</v>
      </c>
      <c r="AV247" s="883">
        <v>3.3</v>
      </c>
      <c r="AW247" s="883">
        <v>11357.186356387729</v>
      </c>
      <c r="AX247" s="883">
        <v>74715.401027665983</v>
      </c>
      <c r="AY247" s="883">
        <v>67352.647733737584</v>
      </c>
      <c r="AZ247" s="883">
        <v>0</v>
      </c>
      <c r="BA247" s="883">
        <v>0</v>
      </c>
      <c r="BB247" s="886">
        <v>0.87</v>
      </c>
      <c r="BC247" s="888">
        <v>0</v>
      </c>
      <c r="BD247" s="889">
        <v>1</v>
      </c>
      <c r="BE247" s="889">
        <v>0</v>
      </c>
      <c r="BF247" s="890">
        <v>0</v>
      </c>
      <c r="BG247" s="883">
        <v>0</v>
      </c>
      <c r="BH247" s="883">
        <v>1</v>
      </c>
      <c r="BI247" s="890">
        <v>0</v>
      </c>
      <c r="BJ247" s="883">
        <v>0</v>
      </c>
      <c r="BK247" s="883">
        <v>1</v>
      </c>
      <c r="BL247" s="883">
        <v>0</v>
      </c>
      <c r="BM247" s="890">
        <v>0</v>
      </c>
      <c r="BN247" s="958">
        <v>0</v>
      </c>
      <c r="BO247" s="959">
        <v>18</v>
      </c>
      <c r="BP247" s="1018">
        <f t="shared" ca="1" si="337"/>
        <v>121.5</v>
      </c>
      <c r="BQ247" s="1018">
        <f t="shared" ca="1" si="338"/>
        <v>287.05844999999999</v>
      </c>
      <c r="BR247" s="1018">
        <f t="shared" ca="1" si="339"/>
        <v>88.2</v>
      </c>
      <c r="BS247" s="1018">
        <f t="shared" ca="1" si="340"/>
        <v>110.2144959090909</v>
      </c>
      <c r="BT247" s="1018">
        <f t="shared" ca="1" si="341"/>
        <v>60.75</v>
      </c>
      <c r="BU247" s="1018">
        <f t="shared" ca="1" si="342"/>
        <v>18</v>
      </c>
      <c r="BV247" s="1018">
        <f t="shared" ca="1" si="343"/>
        <v>2.15</v>
      </c>
      <c r="BW247" s="1018">
        <v>0</v>
      </c>
      <c r="BX247" s="1018">
        <f t="shared" ca="1" si="344"/>
        <v>290.89377498572242</v>
      </c>
      <c r="BY247" s="1018">
        <f t="shared" ca="1" si="345"/>
        <v>169.68507434684082</v>
      </c>
      <c r="BZ247" s="1018">
        <f t="shared" ca="1" si="299"/>
        <v>66.843802757456388</v>
      </c>
      <c r="CA247" s="1018">
        <f t="shared" ca="1" si="300"/>
        <v>89.999999909999985</v>
      </c>
      <c r="CB247" s="1018">
        <f t="shared" ca="1" si="346"/>
        <v>4.5133587786259541</v>
      </c>
      <c r="CC247" s="1018">
        <f t="shared" si="301"/>
        <v>0</v>
      </c>
      <c r="CD247" s="1018">
        <f t="shared" ca="1" si="347"/>
        <v>621.93601077864548</v>
      </c>
      <c r="CE247" s="1018">
        <f t="shared" ca="1" si="350"/>
        <v>159.84189954603258</v>
      </c>
      <c r="CF247" s="1018">
        <f t="shared" ca="1" si="303"/>
        <v>23.453337309740341</v>
      </c>
      <c r="CG247" s="1018">
        <f t="shared" ca="1" si="304"/>
        <v>39048.868487225278</v>
      </c>
    </row>
    <row r="248" spans="1:85" x14ac:dyDescent="0.25">
      <c r="D248" s="401"/>
      <c r="E248" s="400"/>
      <c r="F248" s="401"/>
      <c r="G248" s="400"/>
      <c r="H248" s="401"/>
      <c r="I248" s="400"/>
      <c r="J248" s="401"/>
      <c r="K248" s="403"/>
      <c r="L248" s="405"/>
      <c r="M248" s="401" t="s">
        <v>22</v>
      </c>
      <c r="N248" s="402">
        <v>0.44680851100000002</v>
      </c>
      <c r="O248" s="401" t="s">
        <v>20</v>
      </c>
      <c r="P248" s="402">
        <v>0.19172932300000001</v>
      </c>
      <c r="Q248" s="401" t="s">
        <v>7</v>
      </c>
      <c r="R248" s="402">
        <v>0.46289999999999998</v>
      </c>
      <c r="S248" s="401"/>
      <c r="T248" s="409">
        <v>7.37492767554328E-4</v>
      </c>
      <c r="U248" s="400"/>
      <c r="V248" s="176">
        <f>T248-T248*Calculation_sheet!F$59</f>
        <v>7.37492767554328E-4</v>
      </c>
      <c r="W248" s="176">
        <f>V248-V248*Calculation_sheet!E$67</f>
        <v>7.37492767554328E-4</v>
      </c>
      <c r="X248" s="176">
        <f>W248-W248*Calculation_sheet!E$77</f>
        <v>7.37492767554328E-4</v>
      </c>
      <c r="Y248" s="34">
        <f>X248/Calculation_sheet!M$67</f>
        <v>7.3750784664758601E-4</v>
      </c>
      <c r="Z248" s="176">
        <f ca="1">IF(AN248&gt;0,Y248*Calculation_sheet!C$87,0)</f>
        <v>0</v>
      </c>
      <c r="AA248" s="176">
        <f t="shared" ca="1" si="348"/>
        <v>7.3750784664758601E-4</v>
      </c>
      <c r="AB248" s="176">
        <f ca="1">IF(AP248&gt;0,AA248*Calculation_sheet!C$94,0)</f>
        <v>0</v>
      </c>
      <c r="AC248" s="176">
        <f t="shared" ca="1" si="336"/>
        <v>7.3750784664758601E-4</v>
      </c>
      <c r="AD248" s="958">
        <f ca="1">AC248*Calculation_sheet!C$99</f>
        <v>4.425047079885516E-4</v>
      </c>
      <c r="AE248" s="176">
        <f t="shared" ca="1" si="336"/>
        <v>2.950031386590344E-4</v>
      </c>
      <c r="AF248" s="176">
        <f t="shared" ca="1" si="349"/>
        <v>7.3750784664758601E-4</v>
      </c>
      <c r="AG248" s="958">
        <f ca="1">AF248*User_sheet!B$77/100</f>
        <v>0</v>
      </c>
      <c r="AH248" s="313"/>
      <c r="AI248" s="886">
        <v>102</v>
      </c>
      <c r="AJ248" s="985"/>
      <c r="AK248" s="1020">
        <f t="shared" ca="1" si="298"/>
        <v>621.93601077864548</v>
      </c>
      <c r="AL248" s="954">
        <f ca="1">AK248/'102'!I$24</f>
        <v>2.2514784358551854</v>
      </c>
      <c r="AM248" s="954">
        <f ca="1">0.8*(AK248*30+'102'!D$17*0.34*30*1)</f>
        <v>17586.801627414767</v>
      </c>
      <c r="AN248" s="954">
        <f ca="1">IF(AM248&lt;User_sheet!B$50,Y248,0)</f>
        <v>0</v>
      </c>
      <c r="AO248" s="954">
        <f ca="1">20-(User_sheet!B$57/('Freestanding '!AK248+'102'!D$17*1*0.34))</f>
        <v>12.22143952617555</v>
      </c>
      <c r="AP248" s="954">
        <f ca="1">IF(AO248&lt;User_sheet!B$59,0,BC248*AA248)</f>
        <v>0</v>
      </c>
      <c r="AQ248" s="985"/>
      <c r="AR248" s="883">
        <v>7.7</v>
      </c>
      <c r="AS248" s="883">
        <v>2.1</v>
      </c>
      <c r="AT248" s="883">
        <v>7.9</v>
      </c>
      <c r="AU248" s="883">
        <v>5</v>
      </c>
      <c r="AV248" s="883">
        <v>3.3</v>
      </c>
      <c r="AW248" s="883">
        <v>11357.186356387729</v>
      </c>
      <c r="AX248" s="883">
        <v>74715.401027665983</v>
      </c>
      <c r="AY248" s="883">
        <v>67352.647733737584</v>
      </c>
      <c r="AZ248" s="883">
        <v>0</v>
      </c>
      <c r="BA248" s="883">
        <v>0</v>
      </c>
      <c r="BB248" s="886">
        <v>0.87</v>
      </c>
      <c r="BC248" s="888">
        <v>0</v>
      </c>
      <c r="BD248" s="889">
        <v>1</v>
      </c>
      <c r="BE248" s="889">
        <v>0</v>
      </c>
      <c r="BF248" s="890">
        <v>0</v>
      </c>
      <c r="BG248" s="883">
        <v>0</v>
      </c>
      <c r="BH248" s="883">
        <v>1</v>
      </c>
      <c r="BI248" s="890">
        <v>0</v>
      </c>
      <c r="BJ248" s="883">
        <v>0</v>
      </c>
      <c r="BK248" s="883">
        <v>0</v>
      </c>
      <c r="BL248" s="883">
        <v>1</v>
      </c>
      <c r="BM248" s="890">
        <v>0</v>
      </c>
      <c r="BN248" s="958">
        <v>0</v>
      </c>
      <c r="BO248" s="959">
        <v>18</v>
      </c>
      <c r="BP248" s="1018">
        <f t="shared" ca="1" si="337"/>
        <v>121.5</v>
      </c>
      <c r="BQ248" s="1018">
        <f t="shared" ca="1" si="338"/>
        <v>287.05844999999999</v>
      </c>
      <c r="BR248" s="1018">
        <f t="shared" ca="1" si="339"/>
        <v>88.2</v>
      </c>
      <c r="BS248" s="1018">
        <f t="shared" ca="1" si="340"/>
        <v>110.2144959090909</v>
      </c>
      <c r="BT248" s="1018">
        <f t="shared" ca="1" si="341"/>
        <v>60.75</v>
      </c>
      <c r="BU248" s="1018">
        <f t="shared" ca="1" si="342"/>
        <v>18</v>
      </c>
      <c r="BV248" s="1018">
        <f t="shared" ca="1" si="343"/>
        <v>2.15</v>
      </c>
      <c r="BW248" s="1018">
        <v>0</v>
      </c>
      <c r="BX248" s="1018">
        <f t="shared" ca="1" si="344"/>
        <v>290.89377498572242</v>
      </c>
      <c r="BY248" s="1018">
        <f t="shared" ca="1" si="345"/>
        <v>169.68507434684082</v>
      </c>
      <c r="BZ248" s="1018">
        <f t="shared" ca="1" si="299"/>
        <v>66.843802757456388</v>
      </c>
      <c r="CA248" s="1018">
        <f t="shared" ca="1" si="300"/>
        <v>89.999999909999985</v>
      </c>
      <c r="CB248" s="1018">
        <f t="shared" ca="1" si="346"/>
        <v>4.5133587786259541</v>
      </c>
      <c r="CC248" s="1018">
        <f t="shared" si="301"/>
        <v>0</v>
      </c>
      <c r="CD248" s="1018">
        <f t="shared" ca="1" si="347"/>
        <v>621.93601077864548</v>
      </c>
      <c r="CE248" s="1018">
        <f t="shared" ca="1" si="350"/>
        <v>159.84189954603258</v>
      </c>
      <c r="CF248" s="1018">
        <f t="shared" ca="1" si="303"/>
        <v>23.453337309740341</v>
      </c>
      <c r="CG248" s="1018">
        <f t="shared" ca="1" si="304"/>
        <v>39048.868487225278</v>
      </c>
    </row>
    <row r="249" spans="1:85" x14ac:dyDescent="0.25">
      <c r="A249" s="400"/>
      <c r="B249" s="400"/>
      <c r="C249" s="400"/>
      <c r="D249" s="401"/>
      <c r="E249" s="400"/>
      <c r="F249" s="401"/>
      <c r="G249" s="400"/>
      <c r="H249" s="401"/>
      <c r="I249" s="400"/>
      <c r="J249" s="401"/>
      <c r="K249" s="401"/>
      <c r="L249" s="401"/>
      <c r="M249" s="401" t="s">
        <v>7</v>
      </c>
      <c r="N249" s="402">
        <v>2.1276595999999998E-2</v>
      </c>
      <c r="O249" s="401" t="s">
        <v>23</v>
      </c>
      <c r="P249" s="402">
        <v>1</v>
      </c>
      <c r="Q249" s="401" t="s">
        <v>7</v>
      </c>
      <c r="R249" s="402">
        <v>1</v>
      </c>
      <c r="S249" s="401"/>
      <c r="T249" s="409">
        <v>3.9569699868453423E-4</v>
      </c>
      <c r="U249" s="400"/>
      <c r="V249" s="176">
        <f>T249-T249*Calculation_sheet!F$59</f>
        <v>3.9569699868453423E-4</v>
      </c>
      <c r="W249" s="176">
        <f>V249-V249*Calculation_sheet!E$67</f>
        <v>3.9569699868453423E-4</v>
      </c>
      <c r="X249" s="176">
        <f>W249-W249*Calculation_sheet!E$77</f>
        <v>3.9569699868453423E-4</v>
      </c>
      <c r="Y249" s="34">
        <f>X249/Calculation_sheet!M$67</f>
        <v>3.9570508927498822E-4</v>
      </c>
      <c r="Z249" s="176">
        <f ca="1">IF(AN249&gt;0,Y249*Calculation_sheet!C$87,0)</f>
        <v>0</v>
      </c>
      <c r="AA249" s="176">
        <f t="shared" ca="1" si="348"/>
        <v>3.9570508927498822E-4</v>
      </c>
      <c r="AB249" s="176">
        <f ca="1">IF(AP249&gt;0,AA249*Calculation_sheet!C$94,0)</f>
        <v>0</v>
      </c>
      <c r="AC249" s="176">
        <f t="shared" ca="1" si="336"/>
        <v>3.9570508927498822E-4</v>
      </c>
      <c r="AD249" s="958">
        <f ca="1">AC249*Calculation_sheet!C$99</f>
        <v>2.3742305356499292E-4</v>
      </c>
      <c r="AE249" s="176">
        <f t="shared" ca="1" si="336"/>
        <v>1.582820357099953E-4</v>
      </c>
      <c r="AF249" s="176">
        <f t="shared" ca="1" si="349"/>
        <v>3.9570508927498822E-4</v>
      </c>
      <c r="AG249" s="958">
        <f ca="1">AF249*User_sheet!B$77/100</f>
        <v>0</v>
      </c>
      <c r="AH249" s="313"/>
      <c r="AI249" s="886">
        <v>102</v>
      </c>
      <c r="AJ249" s="985"/>
      <c r="AK249" s="1020">
        <f t="shared" ca="1" si="298"/>
        <v>621.93601077864548</v>
      </c>
      <c r="AL249" s="954">
        <f ca="1">AK249/'102'!I$24</f>
        <v>2.2514784358551854</v>
      </c>
      <c r="AM249" s="954">
        <f ca="1">0.8*(AK249*30+'102'!D$17*0.34*30*1)</f>
        <v>17586.801627414767</v>
      </c>
      <c r="AN249" s="954">
        <f ca="1">IF(AM249&lt;User_sheet!B$50,Y249,0)</f>
        <v>0</v>
      </c>
      <c r="AO249" s="954">
        <f ca="1">20-(User_sheet!B$57/('Freestanding '!AK249+'102'!D$17*1*0.34))</f>
        <v>12.22143952617555</v>
      </c>
      <c r="AP249" s="954">
        <f ca="1">IF(AO249&lt;User_sheet!B$59,0,BC249*AA249)</f>
        <v>0</v>
      </c>
      <c r="AQ249" s="985"/>
      <c r="AR249" s="883">
        <v>7.7</v>
      </c>
      <c r="AS249" s="883">
        <v>2.1</v>
      </c>
      <c r="AT249" s="883">
        <v>7.9</v>
      </c>
      <c r="AU249" s="883">
        <v>5</v>
      </c>
      <c r="AV249" s="883">
        <v>3.3</v>
      </c>
      <c r="AW249" s="883">
        <v>11357.186356387729</v>
      </c>
      <c r="AX249" s="883">
        <v>74715.401027665983</v>
      </c>
      <c r="AY249" s="883">
        <v>67352.647733737584</v>
      </c>
      <c r="AZ249" s="883">
        <v>0</v>
      </c>
      <c r="BA249" s="883">
        <v>0</v>
      </c>
      <c r="BB249" s="886">
        <v>0.87</v>
      </c>
      <c r="BC249" s="888">
        <v>0</v>
      </c>
      <c r="BD249" s="889">
        <v>0</v>
      </c>
      <c r="BE249" s="889">
        <v>1</v>
      </c>
      <c r="BF249" s="890">
        <v>0</v>
      </c>
      <c r="BG249" s="883">
        <v>0</v>
      </c>
      <c r="BH249" s="883">
        <v>0</v>
      </c>
      <c r="BI249" s="890">
        <v>1</v>
      </c>
      <c r="BJ249" s="883">
        <v>0</v>
      </c>
      <c r="BK249" s="883">
        <v>0</v>
      </c>
      <c r="BL249" s="883">
        <v>1</v>
      </c>
      <c r="BM249" s="890">
        <v>0</v>
      </c>
      <c r="BN249" s="958">
        <v>0</v>
      </c>
      <c r="BO249" s="959">
        <v>18</v>
      </c>
      <c r="BP249" s="1018">
        <f t="shared" ca="1" si="337"/>
        <v>121.5</v>
      </c>
      <c r="BQ249" s="1018">
        <f t="shared" ca="1" si="338"/>
        <v>287.05844999999999</v>
      </c>
      <c r="BR249" s="1018">
        <f t="shared" ca="1" si="339"/>
        <v>88.2</v>
      </c>
      <c r="BS249" s="1018">
        <f t="shared" ca="1" si="340"/>
        <v>110.2144959090909</v>
      </c>
      <c r="BT249" s="1018">
        <f t="shared" ca="1" si="341"/>
        <v>60.75</v>
      </c>
      <c r="BU249" s="1018">
        <f t="shared" ca="1" si="342"/>
        <v>18</v>
      </c>
      <c r="BV249" s="1018">
        <f t="shared" ca="1" si="343"/>
        <v>2.15</v>
      </c>
      <c r="BW249" s="1018">
        <v>0</v>
      </c>
      <c r="BX249" s="1018">
        <f t="shared" ca="1" si="344"/>
        <v>290.89377498572242</v>
      </c>
      <c r="BY249" s="1018">
        <f t="shared" ca="1" si="345"/>
        <v>169.68507434684082</v>
      </c>
      <c r="BZ249" s="1018">
        <f t="shared" ca="1" si="299"/>
        <v>66.843802757456388</v>
      </c>
      <c r="CA249" s="1018">
        <f t="shared" ca="1" si="300"/>
        <v>89.999999909999985</v>
      </c>
      <c r="CB249" s="1018">
        <f t="shared" ca="1" si="346"/>
        <v>4.5133587786259541</v>
      </c>
      <c r="CC249" s="1018">
        <f t="shared" si="301"/>
        <v>0</v>
      </c>
      <c r="CD249" s="1018">
        <f t="shared" ca="1" si="347"/>
        <v>621.93601077864548</v>
      </c>
      <c r="CE249" s="1018">
        <f t="shared" ca="1" si="350"/>
        <v>159.84189954603258</v>
      </c>
      <c r="CF249" s="1018">
        <f t="shared" ca="1" si="303"/>
        <v>23.453337309740341</v>
      </c>
      <c r="CG249" s="1018">
        <f t="shared" ca="1" si="304"/>
        <v>39048.868487225278</v>
      </c>
    </row>
    <row r="250" spans="1:85" x14ac:dyDescent="0.25">
      <c r="A250" s="400"/>
      <c r="B250" s="400"/>
      <c r="C250" s="400"/>
      <c r="D250" s="401"/>
      <c r="E250" s="400"/>
      <c r="F250" s="401"/>
      <c r="G250" s="400"/>
      <c r="H250" s="401"/>
      <c r="I250" s="400"/>
      <c r="J250" s="401"/>
      <c r="K250" s="401"/>
      <c r="L250" s="401"/>
      <c r="M250" s="401"/>
      <c r="N250" s="401"/>
      <c r="O250" s="401" t="s">
        <v>18</v>
      </c>
      <c r="P250" s="402">
        <v>0.15910607099999999</v>
      </c>
      <c r="Q250" s="401" t="s">
        <v>17</v>
      </c>
      <c r="R250" s="402">
        <v>1</v>
      </c>
      <c r="S250" s="401"/>
      <c r="T250" s="409">
        <v>2.518311761097373E-4</v>
      </c>
      <c r="U250" s="400"/>
      <c r="V250" s="176">
        <f>T250-T250*Calculation_sheet!F$59</f>
        <v>2.518311761097373E-4</v>
      </c>
      <c r="W250" s="176">
        <f>V250-V250*Calculation_sheet!E$67</f>
        <v>2.518311761097373E-4</v>
      </c>
      <c r="X250" s="176">
        <f>W250-W250*Calculation_sheet!E$77</f>
        <v>2.518311761097373E-4</v>
      </c>
      <c r="Y250" s="34">
        <f>X250/Calculation_sheet!M$67</f>
        <v>2.5183632515791363E-4</v>
      </c>
      <c r="Z250" s="176">
        <f ca="1">IF(AN250&gt;0,Y250*Calculation_sheet!C$87,0)</f>
        <v>0</v>
      </c>
      <c r="AA250" s="176">
        <f t="shared" ca="1" si="348"/>
        <v>2.5183632515791363E-4</v>
      </c>
      <c r="AB250" s="176">
        <f ca="1">IF(AP250&gt;0,AA250*Calculation_sheet!C$94,0)</f>
        <v>0</v>
      </c>
      <c r="AC250" s="176">
        <f t="shared" ca="1" si="336"/>
        <v>2.5183632515791363E-4</v>
      </c>
      <c r="AD250" s="958">
        <f ca="1">AC250*Calculation_sheet!C$99</f>
        <v>1.5110179509474818E-4</v>
      </c>
      <c r="AE250" s="176">
        <f t="shared" ca="1" si="336"/>
        <v>1.0073453006316545E-4</v>
      </c>
      <c r="AF250" s="176">
        <f t="shared" ca="1" si="349"/>
        <v>2.5183632515791363E-4</v>
      </c>
      <c r="AG250" s="958">
        <f ca="1">AF250*User_sheet!B$77/100</f>
        <v>0</v>
      </c>
      <c r="AH250" s="313"/>
      <c r="AI250" s="886">
        <v>102</v>
      </c>
      <c r="AJ250" s="985"/>
      <c r="AK250" s="1020">
        <f t="shared" ca="1" si="298"/>
        <v>621.93601077864548</v>
      </c>
      <c r="AL250" s="954">
        <f ca="1">AK250/'102'!I$24</f>
        <v>2.2514784358551854</v>
      </c>
      <c r="AM250" s="954">
        <f ca="1">0.8*(AK250*30+'102'!D$17*0.34*30*1)</f>
        <v>17586.801627414767</v>
      </c>
      <c r="AN250" s="954">
        <f ca="1">IF(AM250&lt;User_sheet!B$50,Y250,0)</f>
        <v>0</v>
      </c>
      <c r="AO250" s="954">
        <f ca="1">20-(User_sheet!B$57/('Freestanding '!AK250+'102'!D$17*1*0.34))</f>
        <v>12.22143952617555</v>
      </c>
      <c r="AP250" s="954">
        <f ca="1">IF(AO250&lt;User_sheet!B$59,0,BC250*AA250)</f>
        <v>0</v>
      </c>
      <c r="AQ250" s="985"/>
      <c r="AR250" s="883">
        <v>7.7</v>
      </c>
      <c r="AS250" s="883">
        <v>2.1</v>
      </c>
      <c r="AT250" s="883">
        <v>7.9</v>
      </c>
      <c r="AU250" s="883">
        <v>5</v>
      </c>
      <c r="AV250" s="883">
        <v>3.3</v>
      </c>
      <c r="AW250" s="883">
        <v>11357.186356387729</v>
      </c>
      <c r="AX250" s="883">
        <v>74715.401027665983</v>
      </c>
      <c r="AY250" s="883">
        <v>67352.647733737584</v>
      </c>
      <c r="AZ250" s="883">
        <v>0</v>
      </c>
      <c r="BA250" s="883">
        <v>0</v>
      </c>
      <c r="BB250" s="886">
        <v>0.87</v>
      </c>
      <c r="BC250" s="888">
        <v>0</v>
      </c>
      <c r="BD250" s="889">
        <v>0</v>
      </c>
      <c r="BE250" s="889">
        <v>0</v>
      </c>
      <c r="BF250" s="890">
        <v>1</v>
      </c>
      <c r="BG250" s="883">
        <v>1</v>
      </c>
      <c r="BH250" s="883">
        <v>0</v>
      </c>
      <c r="BI250" s="890">
        <v>0</v>
      </c>
      <c r="BJ250" s="883">
        <v>0</v>
      </c>
      <c r="BK250" s="883">
        <v>0</v>
      </c>
      <c r="BL250" s="883">
        <v>0</v>
      </c>
      <c r="BM250" s="890">
        <v>1</v>
      </c>
      <c r="BN250" s="958">
        <v>0</v>
      </c>
      <c r="BO250" s="959">
        <v>18</v>
      </c>
      <c r="BP250" s="1018">
        <f t="shared" ca="1" si="337"/>
        <v>121.5</v>
      </c>
      <c r="BQ250" s="1018">
        <f t="shared" ca="1" si="338"/>
        <v>287.05844999999999</v>
      </c>
      <c r="BR250" s="1018">
        <f t="shared" ca="1" si="339"/>
        <v>88.2</v>
      </c>
      <c r="BS250" s="1018">
        <f t="shared" ca="1" si="340"/>
        <v>110.2144959090909</v>
      </c>
      <c r="BT250" s="1018">
        <f t="shared" ca="1" si="341"/>
        <v>60.75</v>
      </c>
      <c r="BU250" s="1018">
        <f t="shared" ca="1" si="342"/>
        <v>18</v>
      </c>
      <c r="BV250" s="1018">
        <f t="shared" ca="1" si="343"/>
        <v>2.15</v>
      </c>
      <c r="BW250" s="1018">
        <v>0</v>
      </c>
      <c r="BX250" s="1018">
        <f t="shared" ca="1" si="344"/>
        <v>290.89377498572242</v>
      </c>
      <c r="BY250" s="1018">
        <f t="shared" ca="1" si="345"/>
        <v>169.68507434684082</v>
      </c>
      <c r="BZ250" s="1018">
        <f t="shared" ca="1" si="299"/>
        <v>66.843802757456388</v>
      </c>
      <c r="CA250" s="1018">
        <f t="shared" ca="1" si="300"/>
        <v>89.999999909999985</v>
      </c>
      <c r="CB250" s="1018">
        <f t="shared" ca="1" si="346"/>
        <v>4.5133587786259541</v>
      </c>
      <c r="CC250" s="1018">
        <f t="shared" si="301"/>
        <v>0</v>
      </c>
      <c r="CD250" s="1018">
        <f t="shared" ca="1" si="347"/>
        <v>621.93601077864548</v>
      </c>
      <c r="CE250" s="1018">
        <f t="shared" ca="1" si="350"/>
        <v>159.84189954603258</v>
      </c>
      <c r="CF250" s="1018">
        <f t="shared" ca="1" si="303"/>
        <v>23.453337309740341</v>
      </c>
      <c r="CG250" s="1018">
        <f t="shared" ca="1" si="304"/>
        <v>39048.868487225278</v>
      </c>
    </row>
    <row r="251" spans="1:85" x14ac:dyDescent="0.25">
      <c r="A251" s="400"/>
      <c r="B251" s="400"/>
      <c r="C251" s="400"/>
      <c r="D251" s="401"/>
      <c r="E251" s="400"/>
      <c r="F251" s="401"/>
      <c r="G251" s="400" t="s">
        <v>11</v>
      </c>
      <c r="H251" s="404">
        <v>0.37480000000000002</v>
      </c>
      <c r="I251" s="400" t="s">
        <v>10</v>
      </c>
      <c r="J251" s="404">
        <v>1</v>
      </c>
      <c r="K251" s="403" t="s">
        <v>13</v>
      </c>
      <c r="L251" s="404">
        <v>1</v>
      </c>
      <c r="M251" s="401" t="s">
        <v>17</v>
      </c>
      <c r="N251" s="402">
        <v>8.5106382999999994E-2</v>
      </c>
      <c r="O251" s="401" t="s">
        <v>19</v>
      </c>
      <c r="P251" s="402">
        <v>0.84089392900000004</v>
      </c>
      <c r="Q251" s="401" t="s">
        <v>17</v>
      </c>
      <c r="R251" s="402">
        <v>1</v>
      </c>
      <c r="S251" s="401"/>
      <c r="T251" s="409">
        <v>1.3309568000306408E-3</v>
      </c>
      <c r="U251" s="408" t="s">
        <v>49</v>
      </c>
      <c r="V251" s="176">
        <f>T251-T251*Calculation_sheet!F$59</f>
        <v>1.3309568000306408E-3</v>
      </c>
      <c r="W251" s="176">
        <f>V251-V251*Calculation_sheet!E$67</f>
        <v>1.3309568000306408E-3</v>
      </c>
      <c r="X251" s="176">
        <f>W251-W251*Calculation_sheet!E$77</f>
        <v>1.3309568000306408E-3</v>
      </c>
      <c r="Y251" s="34">
        <f>X251/Calculation_sheet!M$67</f>
        <v>1.3309840133439003E-3</v>
      </c>
      <c r="Z251" s="176">
        <f ca="1">IF(AN251&gt;0,Y251*Calculation_sheet!C$87,0)</f>
        <v>0</v>
      </c>
      <c r="AA251" s="176">
        <f t="shared" ca="1" si="348"/>
        <v>1.3309840133439003E-3</v>
      </c>
      <c r="AB251" s="176">
        <f ca="1">IF(AP251&gt;0,AA251*Calculation_sheet!C$94,0)</f>
        <v>0</v>
      </c>
      <c r="AC251" s="176">
        <f t="shared" ca="1" si="336"/>
        <v>1.3309840133439003E-3</v>
      </c>
      <c r="AD251" s="958">
        <f ca="1">AC251*Calculation_sheet!C$99</f>
        <v>7.9859040800634015E-4</v>
      </c>
      <c r="AE251" s="176">
        <f t="shared" ca="1" si="336"/>
        <v>5.3239360533756017E-4</v>
      </c>
      <c r="AF251" s="176">
        <f t="shared" ca="1" si="349"/>
        <v>1.3309840133439003E-3</v>
      </c>
      <c r="AG251" s="958">
        <f ca="1">AF251*User_sheet!B$77/100</f>
        <v>0</v>
      </c>
      <c r="AH251" s="313"/>
      <c r="AI251" s="886">
        <v>102</v>
      </c>
      <c r="AJ251" s="985"/>
      <c r="AK251" s="1020">
        <f t="shared" ca="1" si="298"/>
        <v>621.93601077864548</v>
      </c>
      <c r="AL251" s="954">
        <f ca="1">AK251/'102'!I$24</f>
        <v>2.2514784358551854</v>
      </c>
      <c r="AM251" s="954">
        <f ca="1">0.8*(AK251*30+'102'!D$17*0.34*30*1)</f>
        <v>17586.801627414767</v>
      </c>
      <c r="AN251" s="954">
        <f ca="1">IF(AM251&lt;User_sheet!B$50,Y251,0)</f>
        <v>0</v>
      </c>
      <c r="AO251" s="954">
        <f ca="1">20-(User_sheet!B$57/('Freestanding '!AK251+'102'!D$17*1*0.34))</f>
        <v>12.22143952617555</v>
      </c>
      <c r="AP251" s="954">
        <f ca="1">IF(AO251&lt;User_sheet!B$59,0,BC251*AA251)</f>
        <v>0</v>
      </c>
      <c r="AQ251" s="985"/>
      <c r="AR251" s="883">
        <v>7.7</v>
      </c>
      <c r="AS251" s="883">
        <v>2.1</v>
      </c>
      <c r="AT251" s="883">
        <v>7.9</v>
      </c>
      <c r="AU251" s="883">
        <v>5</v>
      </c>
      <c r="AV251" s="883">
        <v>3.3</v>
      </c>
      <c r="AW251" s="883">
        <v>11357.186356387729</v>
      </c>
      <c r="AX251" s="883">
        <v>74715.401027665983</v>
      </c>
      <c r="AY251" s="883">
        <v>67352.647733737584</v>
      </c>
      <c r="AZ251" s="883">
        <v>0</v>
      </c>
      <c r="BA251" s="883">
        <v>0</v>
      </c>
      <c r="BB251" s="886">
        <v>0.87</v>
      </c>
      <c r="BC251" s="888">
        <v>0</v>
      </c>
      <c r="BD251" s="889">
        <v>0</v>
      </c>
      <c r="BE251" s="889">
        <v>0</v>
      </c>
      <c r="BF251" s="890">
        <v>1</v>
      </c>
      <c r="BG251" s="883">
        <v>0</v>
      </c>
      <c r="BH251" s="883">
        <v>1</v>
      </c>
      <c r="BI251" s="890">
        <v>0</v>
      </c>
      <c r="BJ251" s="883">
        <v>0</v>
      </c>
      <c r="BK251" s="883">
        <v>0</v>
      </c>
      <c r="BL251" s="883">
        <v>0</v>
      </c>
      <c r="BM251" s="890">
        <v>1</v>
      </c>
      <c r="BN251" s="958">
        <v>0</v>
      </c>
      <c r="BO251" s="959">
        <v>18</v>
      </c>
      <c r="BP251" s="1018">
        <f t="shared" ca="1" si="337"/>
        <v>121.5</v>
      </c>
      <c r="BQ251" s="1018">
        <f t="shared" ca="1" si="338"/>
        <v>287.05844999999999</v>
      </c>
      <c r="BR251" s="1018">
        <f t="shared" ca="1" si="339"/>
        <v>88.2</v>
      </c>
      <c r="BS251" s="1018">
        <f t="shared" ca="1" si="340"/>
        <v>110.2144959090909</v>
      </c>
      <c r="BT251" s="1018">
        <f t="shared" ca="1" si="341"/>
        <v>60.75</v>
      </c>
      <c r="BU251" s="1018">
        <f t="shared" ca="1" si="342"/>
        <v>18</v>
      </c>
      <c r="BV251" s="1018">
        <f t="shared" ca="1" si="343"/>
        <v>2.15</v>
      </c>
      <c r="BW251" s="1018">
        <v>0</v>
      </c>
      <c r="BX251" s="1018">
        <f t="shared" ca="1" si="344"/>
        <v>290.89377498572242</v>
      </c>
      <c r="BY251" s="1018">
        <f t="shared" ca="1" si="345"/>
        <v>169.68507434684082</v>
      </c>
      <c r="BZ251" s="1018">
        <f t="shared" ca="1" si="299"/>
        <v>66.843802757456388</v>
      </c>
      <c r="CA251" s="1018">
        <f t="shared" ca="1" si="300"/>
        <v>89.999999909999985</v>
      </c>
      <c r="CB251" s="1018">
        <f t="shared" ca="1" si="346"/>
        <v>4.5133587786259541</v>
      </c>
      <c r="CC251" s="1018">
        <f t="shared" si="301"/>
        <v>0</v>
      </c>
      <c r="CD251" s="1018">
        <f t="shared" ca="1" si="347"/>
        <v>621.93601077864548</v>
      </c>
      <c r="CE251" s="1018">
        <f t="shared" ca="1" si="350"/>
        <v>159.84189954603258</v>
      </c>
      <c r="CF251" s="1018">
        <f t="shared" ca="1" si="303"/>
        <v>23.453337309740341</v>
      </c>
      <c r="CG251" s="1018">
        <f t="shared" ca="1" si="304"/>
        <v>39048.868487225278</v>
      </c>
    </row>
    <row r="252" spans="1:85" s="406" customFormat="1" x14ac:dyDescent="0.25">
      <c r="B252" s="407"/>
      <c r="D252" s="407"/>
      <c r="F252" s="407"/>
      <c r="H252" s="407"/>
      <c r="J252" s="407"/>
      <c r="K252" s="407"/>
      <c r="L252" s="407"/>
      <c r="M252" s="407"/>
      <c r="N252" s="407"/>
      <c r="O252" s="407"/>
      <c r="P252" s="407"/>
      <c r="Q252" s="407"/>
      <c r="R252" s="407"/>
      <c r="S252" s="407"/>
      <c r="T252" s="410"/>
      <c r="U252" s="407"/>
      <c r="V252" s="292"/>
      <c r="W252" s="292"/>
      <c r="X252" s="292"/>
      <c r="Y252" s="277"/>
      <c r="Z252" s="292"/>
      <c r="AA252" s="292"/>
      <c r="AB252" s="292"/>
      <c r="AC252" s="292"/>
      <c r="AD252" s="277"/>
      <c r="AE252" s="292"/>
      <c r="AF252" s="292"/>
      <c r="AG252" s="277"/>
      <c r="AH252" s="313"/>
      <c r="AI252" s="887"/>
      <c r="AJ252" s="985"/>
      <c r="AK252" s="1020">
        <f t="shared" si="298"/>
        <v>0</v>
      </c>
      <c r="AL252" s="941"/>
      <c r="AM252" s="941"/>
      <c r="AN252" s="941"/>
      <c r="AO252" s="941"/>
      <c r="AP252" s="941"/>
      <c r="AQ252" s="985"/>
      <c r="AR252" s="887"/>
      <c r="AS252" s="887"/>
      <c r="AT252" s="887"/>
      <c r="AU252" s="887"/>
      <c r="AV252" s="887"/>
      <c r="AW252" s="887"/>
      <c r="AX252" s="887"/>
      <c r="AY252" s="887"/>
      <c r="AZ252" s="887"/>
      <c r="BA252" s="887"/>
      <c r="BB252" s="887"/>
      <c r="BC252" s="45"/>
      <c r="BD252" s="277"/>
      <c r="BE252" s="277"/>
      <c r="BF252" s="49"/>
      <c r="BG252" s="887"/>
      <c r="BH252" s="887"/>
      <c r="BI252" s="49"/>
      <c r="BJ252" s="887"/>
      <c r="BK252" s="887"/>
      <c r="BL252" s="887"/>
      <c r="BM252" s="49"/>
      <c r="BN252" s="277"/>
      <c r="BO252" s="49"/>
      <c r="BP252" s="928"/>
      <c r="BQ252" s="928"/>
      <c r="BR252" s="928"/>
      <c r="BS252" s="928"/>
      <c r="BT252" s="928"/>
      <c r="BU252" s="928"/>
      <c r="BV252" s="928"/>
      <c r="BW252" s="928"/>
      <c r="BX252" s="928"/>
      <c r="BY252" s="928"/>
      <c r="BZ252" s="928"/>
      <c r="CA252" s="928"/>
      <c r="CB252" s="928"/>
      <c r="CC252" s="928"/>
      <c r="CD252" s="928"/>
      <c r="CE252" s="928"/>
      <c r="CF252" s="928"/>
      <c r="CG252" s="928"/>
    </row>
    <row r="253" spans="1:85" x14ac:dyDescent="0.25">
      <c r="D253" s="1"/>
      <c r="F253" s="1"/>
      <c r="G253" s="3"/>
      <c r="H253" s="6"/>
      <c r="I253" s="3"/>
      <c r="J253" s="6"/>
      <c r="K253" s="8"/>
      <c r="L253" s="6"/>
      <c r="M253" s="1"/>
      <c r="N253" s="1"/>
      <c r="O253" s="1"/>
      <c r="P253" s="1"/>
      <c r="Q253" s="1" t="s">
        <v>16</v>
      </c>
      <c r="R253" s="4"/>
      <c r="S253" s="1"/>
      <c r="T253" s="77"/>
      <c r="U253" s="294"/>
      <c r="X253" s="176">
        <f>W241-X241</f>
        <v>0</v>
      </c>
      <c r="Y253" s="34">
        <f>X253/Calculation_sheet!M$67</f>
        <v>0</v>
      </c>
      <c r="Z253" s="176">
        <f ca="1">IF(AN253&gt;0,Y253*Calculation_sheet!C$87,0)</f>
        <v>0</v>
      </c>
      <c r="AA253" s="176">
        <f ca="1">Y253-Z253</f>
        <v>0</v>
      </c>
      <c r="AB253" s="176">
        <f ca="1">IF(AP253&gt;0,AA253*Calculation_sheet!C$94,0)</f>
        <v>0</v>
      </c>
      <c r="AC253" s="176">
        <f t="shared" ref="AC253:AE263" ca="1" si="351">AA253-AB253</f>
        <v>0</v>
      </c>
      <c r="AD253" s="958">
        <f ca="1">AC253*Calculation_sheet!C$99</f>
        <v>0</v>
      </c>
      <c r="AE253" s="176">
        <f t="shared" ca="1" si="351"/>
        <v>0</v>
      </c>
      <c r="AF253" s="176">
        <f ca="1">Y253-AB253</f>
        <v>0</v>
      </c>
      <c r="AG253" s="958">
        <f ca="1">AF253*User_sheet!B$77/100</f>
        <v>0</v>
      </c>
      <c r="AH253" s="313"/>
      <c r="AI253" s="886">
        <v>102</v>
      </c>
      <c r="AJ253" s="985"/>
      <c r="AK253" s="1020">
        <f t="shared" ca="1" si="298"/>
        <v>303.78301403931653</v>
      </c>
      <c r="AL253" s="954">
        <f ca="1">AK253/'102'!I$24</f>
        <v>1.0997287396694</v>
      </c>
      <c r="AM253" s="954">
        <f ca="1">0.8*(AK253*30+'102'!D$17*0.34*30*1)</f>
        <v>9951.1297056708718</v>
      </c>
      <c r="AN253" s="954">
        <f ca="1">IF(AM253&lt;User_sheet!B$50,Y253,0)</f>
        <v>0</v>
      </c>
      <c r="AO253" s="954">
        <f ca="1">20-(User_sheet!B$57/('Freestanding '!AK253+'102'!D$17*1*0.34))</f>
        <v>6.2528171126096836</v>
      </c>
      <c r="AP253" s="954">
        <f ca="1">IF(AO253&lt;User_sheet!B$59,0,BC253*AA253)</f>
        <v>0</v>
      </c>
      <c r="AQ253" s="985"/>
      <c r="AR253" s="883">
        <v>0.32</v>
      </c>
      <c r="AS253" s="883">
        <v>2.1</v>
      </c>
      <c r="AT253" s="883">
        <v>7.9</v>
      </c>
      <c r="AU253" s="883">
        <v>2</v>
      </c>
      <c r="AV253" s="883">
        <v>3.3</v>
      </c>
      <c r="AW253" s="883">
        <v>14356</v>
      </c>
      <c r="AX253" s="883">
        <v>74715.401027665983</v>
      </c>
      <c r="AY253" s="883">
        <v>67352.647733737584</v>
      </c>
      <c r="AZ253" s="886">
        <v>0</v>
      </c>
      <c r="BA253" s="886">
        <v>0</v>
      </c>
      <c r="BB253" s="883">
        <v>0.6</v>
      </c>
      <c r="BC253" s="888">
        <v>1</v>
      </c>
      <c r="BD253" s="889">
        <v>0</v>
      </c>
      <c r="BE253" s="889">
        <v>0</v>
      </c>
      <c r="BF253" s="890">
        <v>0</v>
      </c>
      <c r="BG253" s="889">
        <v>1</v>
      </c>
      <c r="BH253" s="889">
        <v>0</v>
      </c>
      <c r="BI253" s="890">
        <v>0</v>
      </c>
      <c r="BJ253" s="889">
        <v>1</v>
      </c>
      <c r="BK253" s="889">
        <v>0</v>
      </c>
      <c r="BL253" s="889">
        <v>0</v>
      </c>
      <c r="BM253" s="890">
        <v>0</v>
      </c>
      <c r="BN253" s="958">
        <v>0</v>
      </c>
      <c r="BO253" s="959">
        <v>18</v>
      </c>
      <c r="BP253" s="1018">
        <f t="shared" ref="BP253:BP263" ca="1" si="352">INDIRECT("'"&amp;AI253&amp;"'!"&amp;"B2")</f>
        <v>121.5</v>
      </c>
      <c r="BQ253" s="1018">
        <f t="shared" ref="BQ253:BQ263" ca="1" si="353">INDIRECT("'"&amp;AI253&amp;"'!"&amp;"C12")+INDIRECT("'"&amp;AI253&amp;"'!"&amp;"C13")+INDIRECT("'"&amp;AI253&amp;"'!"&amp;"C14")+INDIRECT("'"&amp;AI253&amp;"'!"&amp;"C15")+INDIRECT("'"&amp;AI253&amp;"'!"&amp;"C17")</f>
        <v>287.05844999999999</v>
      </c>
      <c r="BR253" s="1018">
        <f t="shared" ref="BR253:BR263" ca="1" si="354">INDIRECT("'"&amp;AI253&amp;"'!"&amp;"G5")</f>
        <v>88.2</v>
      </c>
      <c r="BS253" s="1018">
        <f t="shared" ref="BS253:BS263" ca="1" si="355">INDIRECT("'"&amp;AI253&amp;"'!"&amp;"G4")</f>
        <v>110.2144959090909</v>
      </c>
      <c r="BT253" s="1018">
        <f t="shared" ref="BT253:BT263" ca="1" si="356">INDIRECT("'"&amp;AI253&amp;"'!"&amp;"G6")</f>
        <v>60.75</v>
      </c>
      <c r="BU253" s="1018">
        <f t="shared" ref="BU253:BU263" ca="1" si="357">INDIRECT("'"&amp;AI253&amp;"'!"&amp;"G2")</f>
        <v>18</v>
      </c>
      <c r="BV253" s="1018">
        <f t="shared" ref="BV253:BV263" ca="1" si="358">INDIRECT("'"&amp;AI253&amp;"'!"&amp;"G3")</f>
        <v>2.15</v>
      </c>
      <c r="BW253" s="1018">
        <v>0</v>
      </c>
      <c r="BX253" s="1018">
        <f t="shared" ref="BX253:BX263" ca="1" si="359">IF(BR253=0,0,1/(1/(BR253*$BY$3)+1/(BR253*AR253)+1/(BR253*$BY$4)))</f>
        <v>26.740778170793327</v>
      </c>
      <c r="BY253" s="1018">
        <f t="shared" ref="BY253:BY263" ca="1" si="360">IF(BS253=0,0,1/(1/(BS253*$BY$3)+1/(BS253*AS253)+1/(BS253*$BY$4)))</f>
        <v>169.68507434684082</v>
      </c>
      <c r="BZ253" s="1018">
        <f t="shared" ca="1" si="299"/>
        <v>66.843802757456388</v>
      </c>
      <c r="CA253" s="1018">
        <f t="shared" ca="1" si="300"/>
        <v>35.999999985599999</v>
      </c>
      <c r="CB253" s="1018">
        <f t="shared" ref="CB253:CB263" ca="1" si="361">IF(BV253=0,0,1/(1/(BV253*$BY$3)+1/(BV253*AV253)+1/(BV253*$BY$4)))</f>
        <v>4.5133587786259541</v>
      </c>
      <c r="CC253" s="1018">
        <f t="shared" si="301"/>
        <v>0</v>
      </c>
      <c r="CD253" s="1018">
        <f t="shared" ref="CD253:CD263" ca="1" si="362">SUM(BX253:CC253)+(BR253+BS253+BT253+BU253+BV253)*BN253</f>
        <v>303.78301403931653</v>
      </c>
      <c r="CE253" s="1018">
        <f ca="1">0.34*BO253*(1/25)^0.66*(BR253+BS253+BU253+BV253)</f>
        <v>159.84189954603258</v>
      </c>
      <c r="CF253" s="1018">
        <f t="shared" ca="1" si="303"/>
        <v>13.908747407560472</v>
      </c>
      <c r="CG253" s="1018">
        <f t="shared" ca="1" si="304"/>
        <v>23157.508083691882</v>
      </c>
    </row>
    <row r="254" spans="1:85" x14ac:dyDescent="0.25">
      <c r="D254" s="1"/>
      <c r="F254" s="1"/>
      <c r="G254" s="3"/>
      <c r="H254" s="6"/>
      <c r="I254" s="3"/>
      <c r="J254" s="6"/>
      <c r="K254" s="8"/>
      <c r="L254" s="6"/>
      <c r="M254" s="1"/>
      <c r="N254" s="1"/>
      <c r="O254" s="1" t="s">
        <v>18</v>
      </c>
      <c r="P254" s="4"/>
      <c r="Q254" s="1" t="s">
        <v>7</v>
      </c>
      <c r="R254" s="4"/>
      <c r="S254" s="1"/>
      <c r="T254" s="77"/>
      <c r="U254" s="294"/>
      <c r="X254" s="176">
        <f t="shared" ref="X254:X263" si="363">W242-X242</f>
        <v>0</v>
      </c>
      <c r="Y254" s="34">
        <f>X254/Calculation_sheet!M$67</f>
        <v>0</v>
      </c>
      <c r="Z254" s="176">
        <f ca="1">IF(AN254&gt;0,Y254*Calculation_sheet!C$87,0)</f>
        <v>0</v>
      </c>
      <c r="AA254" s="176">
        <f t="shared" ref="AA254:AA263" ca="1" si="364">Y254-Z254</f>
        <v>0</v>
      </c>
      <c r="AB254" s="176">
        <f ca="1">IF(AP254&gt;0,AA254*Calculation_sheet!C$94,0)</f>
        <v>0</v>
      </c>
      <c r="AC254" s="176">
        <f t="shared" ca="1" si="351"/>
        <v>0</v>
      </c>
      <c r="AD254" s="958">
        <f ca="1">AC254*Calculation_sheet!C$99</f>
        <v>0</v>
      </c>
      <c r="AE254" s="176">
        <f t="shared" ca="1" si="351"/>
        <v>0</v>
      </c>
      <c r="AF254" s="176">
        <f t="shared" ref="AF254:AF263" ca="1" si="365">Y254-AB254</f>
        <v>0</v>
      </c>
      <c r="AG254" s="958">
        <f ca="1">AF254*User_sheet!B$77/100</f>
        <v>0</v>
      </c>
      <c r="AH254" s="313"/>
      <c r="AI254" s="886">
        <v>102</v>
      </c>
      <c r="AJ254" s="985"/>
      <c r="AK254" s="1020">
        <f t="shared" ca="1" si="298"/>
        <v>303.78301403931653</v>
      </c>
      <c r="AL254" s="954">
        <f ca="1">AK254/'102'!I$24</f>
        <v>1.0997287396694</v>
      </c>
      <c r="AM254" s="954">
        <f ca="1">0.8*(AK254*30+'102'!D$17*0.34*30*1)</f>
        <v>9951.1297056708718</v>
      </c>
      <c r="AN254" s="954">
        <f ca="1">IF(AM254&lt;User_sheet!B$50,Y254,0)</f>
        <v>0</v>
      </c>
      <c r="AO254" s="954">
        <f ca="1">20-(User_sheet!B$57/('Freestanding '!AK254+'102'!D$17*1*0.34))</f>
        <v>6.2528171126096836</v>
      </c>
      <c r="AP254" s="954">
        <f ca="1">IF(AO254&lt;User_sheet!B$59,0,BC254*AA254)</f>
        <v>0</v>
      </c>
      <c r="AQ254" s="985"/>
      <c r="AR254" s="883">
        <v>0.32</v>
      </c>
      <c r="AS254" s="883">
        <v>2.1</v>
      </c>
      <c r="AT254" s="883">
        <v>7.9</v>
      </c>
      <c r="AU254" s="883">
        <v>2</v>
      </c>
      <c r="AV254" s="883">
        <v>3.3</v>
      </c>
      <c r="AW254" s="883">
        <v>14356</v>
      </c>
      <c r="AX254" s="883">
        <v>74715.401027665983</v>
      </c>
      <c r="AY254" s="883">
        <v>67352.647733737584</v>
      </c>
      <c r="AZ254" s="886">
        <v>0</v>
      </c>
      <c r="BA254" s="886">
        <v>0</v>
      </c>
      <c r="BB254" s="883">
        <v>0.6</v>
      </c>
      <c r="BC254" s="888">
        <v>1</v>
      </c>
      <c r="BD254" s="889">
        <v>0</v>
      </c>
      <c r="BE254" s="889">
        <v>0</v>
      </c>
      <c r="BF254" s="890">
        <v>0</v>
      </c>
      <c r="BG254" s="889">
        <v>1</v>
      </c>
      <c r="BH254" s="889">
        <v>0</v>
      </c>
      <c r="BI254" s="890">
        <v>0</v>
      </c>
      <c r="BJ254" s="889">
        <v>0</v>
      </c>
      <c r="BK254" s="889">
        <v>0</v>
      </c>
      <c r="BL254" s="889">
        <v>1</v>
      </c>
      <c r="BM254" s="890">
        <v>0</v>
      </c>
      <c r="BN254" s="958">
        <v>0</v>
      </c>
      <c r="BO254" s="959">
        <v>18</v>
      </c>
      <c r="BP254" s="1018">
        <f t="shared" ca="1" si="352"/>
        <v>121.5</v>
      </c>
      <c r="BQ254" s="1018">
        <f t="shared" ca="1" si="353"/>
        <v>287.05844999999999</v>
      </c>
      <c r="BR254" s="1018">
        <f t="shared" ca="1" si="354"/>
        <v>88.2</v>
      </c>
      <c r="BS254" s="1018">
        <f t="shared" ca="1" si="355"/>
        <v>110.2144959090909</v>
      </c>
      <c r="BT254" s="1018">
        <f t="shared" ca="1" si="356"/>
        <v>60.75</v>
      </c>
      <c r="BU254" s="1018">
        <f t="shared" ca="1" si="357"/>
        <v>18</v>
      </c>
      <c r="BV254" s="1018">
        <f t="shared" ca="1" si="358"/>
        <v>2.15</v>
      </c>
      <c r="BW254" s="1018">
        <v>0</v>
      </c>
      <c r="BX254" s="1018">
        <f t="shared" ca="1" si="359"/>
        <v>26.740778170793327</v>
      </c>
      <c r="BY254" s="1018">
        <f t="shared" ca="1" si="360"/>
        <v>169.68507434684082</v>
      </c>
      <c r="BZ254" s="1018">
        <f t="shared" ca="1" si="299"/>
        <v>66.843802757456388</v>
      </c>
      <c r="CA254" s="1018">
        <f t="shared" ca="1" si="300"/>
        <v>35.999999985599999</v>
      </c>
      <c r="CB254" s="1018">
        <f t="shared" ca="1" si="361"/>
        <v>4.5133587786259541</v>
      </c>
      <c r="CC254" s="1018">
        <f t="shared" si="301"/>
        <v>0</v>
      </c>
      <c r="CD254" s="1018">
        <f t="shared" ca="1" si="362"/>
        <v>303.78301403931653</v>
      </c>
      <c r="CE254" s="1018">
        <f t="shared" ref="CE254:CE263" ca="1" si="366">0.34*BO254*(1/25)^0.66*(BR254+BS254+BU254+BV254)</f>
        <v>159.84189954603258</v>
      </c>
      <c r="CF254" s="1018">
        <f t="shared" ca="1" si="303"/>
        <v>13.908747407560472</v>
      </c>
      <c r="CG254" s="1018">
        <f t="shared" ca="1" si="304"/>
        <v>23157.508083691882</v>
      </c>
    </row>
    <row r="255" spans="1:85" x14ac:dyDescent="0.25">
      <c r="D255" s="1"/>
      <c r="F255" s="1"/>
      <c r="G255" s="3"/>
      <c r="H255" s="6"/>
      <c r="I255" s="3"/>
      <c r="J255" s="6"/>
      <c r="K255" s="8"/>
      <c r="L255" s="6"/>
      <c r="M255" s="1"/>
      <c r="N255" s="1"/>
      <c r="O255" s="1"/>
      <c r="P255" s="1"/>
      <c r="Q255" s="1" t="s">
        <v>16</v>
      </c>
      <c r="R255" s="4"/>
      <c r="S255" s="1"/>
      <c r="T255" s="77"/>
      <c r="U255" s="294"/>
      <c r="X255" s="176">
        <f t="shared" si="363"/>
        <v>0</v>
      </c>
      <c r="Y255" s="34">
        <f>X255/Calculation_sheet!M$67</f>
        <v>0</v>
      </c>
      <c r="Z255" s="176">
        <f ca="1">IF(AN255&gt;0,Y255*Calculation_sheet!C$87,0)</f>
        <v>0</v>
      </c>
      <c r="AA255" s="176">
        <f t="shared" ca="1" si="364"/>
        <v>0</v>
      </c>
      <c r="AB255" s="176">
        <f ca="1">IF(AP255&gt;0,AA255*Calculation_sheet!C$94,0)</f>
        <v>0</v>
      </c>
      <c r="AC255" s="176">
        <f t="shared" ca="1" si="351"/>
        <v>0</v>
      </c>
      <c r="AD255" s="958">
        <f ca="1">AC255*Calculation_sheet!C$99</f>
        <v>0</v>
      </c>
      <c r="AE255" s="176">
        <f t="shared" ca="1" si="351"/>
        <v>0</v>
      </c>
      <c r="AF255" s="176">
        <f t="shared" ca="1" si="365"/>
        <v>0</v>
      </c>
      <c r="AG255" s="958">
        <f ca="1">AF255*User_sheet!B$77/100</f>
        <v>0</v>
      </c>
      <c r="AH255" s="313"/>
      <c r="AI255" s="886">
        <v>102</v>
      </c>
      <c r="AJ255" s="985"/>
      <c r="AK255" s="1020">
        <f t="shared" ca="1" si="298"/>
        <v>303.78301403931653</v>
      </c>
      <c r="AL255" s="954">
        <f ca="1">AK255/'102'!I$24</f>
        <v>1.0997287396694</v>
      </c>
      <c r="AM255" s="954">
        <f ca="1">0.8*(AK255*30+'102'!D$17*0.34*30*1)</f>
        <v>9951.1297056708718</v>
      </c>
      <c r="AN255" s="954">
        <f ca="1">IF(AM255&lt;User_sheet!B$50,Y255,0)</f>
        <v>0</v>
      </c>
      <c r="AO255" s="954">
        <f ca="1">20-(User_sheet!B$57/('Freestanding '!AK255+'102'!D$17*1*0.34))</f>
        <v>6.2528171126096836</v>
      </c>
      <c r="AP255" s="954">
        <f ca="1">IF(AO255&lt;User_sheet!B$59,0,BC255*AA255)</f>
        <v>0</v>
      </c>
      <c r="AQ255" s="985"/>
      <c r="AR255" s="883">
        <v>0.32</v>
      </c>
      <c r="AS255" s="883">
        <v>2.1</v>
      </c>
      <c r="AT255" s="883">
        <v>7.9</v>
      </c>
      <c r="AU255" s="883">
        <v>2</v>
      </c>
      <c r="AV255" s="883">
        <v>3.3</v>
      </c>
      <c r="AW255" s="883">
        <v>14356</v>
      </c>
      <c r="AX255" s="883">
        <v>74715.401027665983</v>
      </c>
      <c r="AY255" s="883">
        <v>67352.647733737584</v>
      </c>
      <c r="AZ255" s="886">
        <v>0</v>
      </c>
      <c r="BA255" s="886">
        <v>0</v>
      </c>
      <c r="BB255" s="883">
        <v>0.6</v>
      </c>
      <c r="BC255" s="888">
        <v>1</v>
      </c>
      <c r="BD255" s="889">
        <v>0</v>
      </c>
      <c r="BE255" s="889">
        <v>0</v>
      </c>
      <c r="BF255" s="890">
        <v>0</v>
      </c>
      <c r="BG255" s="889">
        <v>0</v>
      </c>
      <c r="BH255" s="889">
        <v>1</v>
      </c>
      <c r="BI255" s="890">
        <v>0</v>
      </c>
      <c r="BJ255" s="889">
        <v>1</v>
      </c>
      <c r="BK255" s="889">
        <v>0</v>
      </c>
      <c r="BL255" s="889">
        <v>0</v>
      </c>
      <c r="BM255" s="890">
        <v>0</v>
      </c>
      <c r="BN255" s="958">
        <v>0</v>
      </c>
      <c r="BO255" s="959">
        <v>18</v>
      </c>
      <c r="BP255" s="1018">
        <f t="shared" ca="1" si="352"/>
        <v>121.5</v>
      </c>
      <c r="BQ255" s="1018">
        <f t="shared" ca="1" si="353"/>
        <v>287.05844999999999</v>
      </c>
      <c r="BR255" s="1018">
        <f t="shared" ca="1" si="354"/>
        <v>88.2</v>
      </c>
      <c r="BS255" s="1018">
        <f t="shared" ca="1" si="355"/>
        <v>110.2144959090909</v>
      </c>
      <c r="BT255" s="1018">
        <f t="shared" ca="1" si="356"/>
        <v>60.75</v>
      </c>
      <c r="BU255" s="1018">
        <f t="shared" ca="1" si="357"/>
        <v>18</v>
      </c>
      <c r="BV255" s="1018">
        <f t="shared" ca="1" si="358"/>
        <v>2.15</v>
      </c>
      <c r="BW255" s="1018">
        <v>0</v>
      </c>
      <c r="BX255" s="1018">
        <f t="shared" ca="1" si="359"/>
        <v>26.740778170793327</v>
      </c>
      <c r="BY255" s="1018">
        <f t="shared" ca="1" si="360"/>
        <v>169.68507434684082</v>
      </c>
      <c r="BZ255" s="1018">
        <f t="shared" ca="1" si="299"/>
        <v>66.843802757456388</v>
      </c>
      <c r="CA255" s="1018">
        <f t="shared" ca="1" si="300"/>
        <v>35.999999985599999</v>
      </c>
      <c r="CB255" s="1018">
        <f t="shared" ca="1" si="361"/>
        <v>4.5133587786259541</v>
      </c>
      <c r="CC255" s="1018">
        <f t="shared" si="301"/>
        <v>0</v>
      </c>
      <c r="CD255" s="1018">
        <f t="shared" ca="1" si="362"/>
        <v>303.78301403931653</v>
      </c>
      <c r="CE255" s="1018">
        <f t="shared" ca="1" si="366"/>
        <v>159.84189954603258</v>
      </c>
      <c r="CF255" s="1018">
        <f t="shared" ca="1" si="303"/>
        <v>13.908747407560472</v>
      </c>
      <c r="CG255" s="1018">
        <f t="shared" ca="1" si="304"/>
        <v>23157.508083691882</v>
      </c>
    </row>
    <row r="256" spans="1:85" x14ac:dyDescent="0.25">
      <c r="D256" s="1"/>
      <c r="F256" s="1"/>
      <c r="G256" s="3"/>
      <c r="H256" s="6"/>
      <c r="I256" s="3"/>
      <c r="J256" s="6"/>
      <c r="K256" s="8"/>
      <c r="L256" s="6"/>
      <c r="M256" s="1" t="s">
        <v>16</v>
      </c>
      <c r="N256" s="4"/>
      <c r="O256" s="1" t="s">
        <v>19</v>
      </c>
      <c r="P256" s="4"/>
      <c r="Q256" s="1" t="s">
        <v>7</v>
      </c>
      <c r="R256" s="4"/>
      <c r="S256" s="1"/>
      <c r="T256" s="77"/>
      <c r="U256" s="294"/>
      <c r="X256" s="176">
        <f t="shared" si="363"/>
        <v>0</v>
      </c>
      <c r="Y256" s="34">
        <f>X256/Calculation_sheet!M$67</f>
        <v>0</v>
      </c>
      <c r="Z256" s="176">
        <f ca="1">IF(AN256&gt;0,Y256*Calculation_sheet!C$87,0)</f>
        <v>0</v>
      </c>
      <c r="AA256" s="176">
        <f t="shared" ca="1" si="364"/>
        <v>0</v>
      </c>
      <c r="AB256" s="176">
        <f ca="1">IF(AP256&gt;0,AA256*Calculation_sheet!C$94,0)</f>
        <v>0</v>
      </c>
      <c r="AC256" s="176">
        <f t="shared" ca="1" si="351"/>
        <v>0</v>
      </c>
      <c r="AD256" s="958">
        <f ca="1">AC256*Calculation_sheet!C$99</f>
        <v>0</v>
      </c>
      <c r="AE256" s="176">
        <f t="shared" ca="1" si="351"/>
        <v>0</v>
      </c>
      <c r="AF256" s="176">
        <f t="shared" ca="1" si="365"/>
        <v>0</v>
      </c>
      <c r="AG256" s="958">
        <f ca="1">AF256*User_sheet!B$77/100</f>
        <v>0</v>
      </c>
      <c r="AH256" s="313"/>
      <c r="AI256" s="886">
        <v>102</v>
      </c>
      <c r="AJ256" s="985"/>
      <c r="AK256" s="1020">
        <f t="shared" ca="1" si="298"/>
        <v>303.78301403931653</v>
      </c>
      <c r="AL256" s="954">
        <f ca="1">AK256/'102'!I$24</f>
        <v>1.0997287396694</v>
      </c>
      <c r="AM256" s="954">
        <f ca="1">0.8*(AK256*30+'102'!D$17*0.34*30*1)</f>
        <v>9951.1297056708718</v>
      </c>
      <c r="AN256" s="954">
        <f ca="1">IF(AM256&lt;User_sheet!B$50,Y256,0)</f>
        <v>0</v>
      </c>
      <c r="AO256" s="954">
        <f ca="1">20-(User_sheet!B$57/('Freestanding '!AK256+'102'!D$17*1*0.34))</f>
        <v>6.2528171126096836</v>
      </c>
      <c r="AP256" s="954">
        <f ca="1">IF(AO256&lt;User_sheet!B$59,0,BC256*AA256)</f>
        <v>0</v>
      </c>
      <c r="AQ256" s="985"/>
      <c r="AR256" s="883">
        <v>0.32</v>
      </c>
      <c r="AS256" s="883">
        <v>2.1</v>
      </c>
      <c r="AT256" s="883">
        <v>7.9</v>
      </c>
      <c r="AU256" s="883">
        <v>2</v>
      </c>
      <c r="AV256" s="883">
        <v>3.3</v>
      </c>
      <c r="AW256" s="883">
        <v>14356</v>
      </c>
      <c r="AX256" s="883">
        <v>74715.401027665983</v>
      </c>
      <c r="AY256" s="883">
        <v>67352.647733737584</v>
      </c>
      <c r="AZ256" s="886">
        <v>0</v>
      </c>
      <c r="BA256" s="886">
        <v>0</v>
      </c>
      <c r="BB256" s="883">
        <v>0.6</v>
      </c>
      <c r="BC256" s="888">
        <v>1</v>
      </c>
      <c r="BD256" s="889">
        <v>0</v>
      </c>
      <c r="BE256" s="889">
        <v>0</v>
      </c>
      <c r="BF256" s="890">
        <v>0</v>
      </c>
      <c r="BG256" s="889">
        <v>0</v>
      </c>
      <c r="BH256" s="889">
        <v>1</v>
      </c>
      <c r="BI256" s="890">
        <v>0</v>
      </c>
      <c r="BJ256" s="889">
        <v>0</v>
      </c>
      <c r="BK256" s="889">
        <v>0</v>
      </c>
      <c r="BL256" s="889">
        <v>1</v>
      </c>
      <c r="BM256" s="890">
        <v>0</v>
      </c>
      <c r="BN256" s="958">
        <v>0</v>
      </c>
      <c r="BO256" s="959">
        <v>18</v>
      </c>
      <c r="BP256" s="1018">
        <f t="shared" ca="1" si="352"/>
        <v>121.5</v>
      </c>
      <c r="BQ256" s="1018">
        <f t="shared" ca="1" si="353"/>
        <v>287.05844999999999</v>
      </c>
      <c r="BR256" s="1018">
        <f t="shared" ca="1" si="354"/>
        <v>88.2</v>
      </c>
      <c r="BS256" s="1018">
        <f t="shared" ca="1" si="355"/>
        <v>110.2144959090909</v>
      </c>
      <c r="BT256" s="1018">
        <f t="shared" ca="1" si="356"/>
        <v>60.75</v>
      </c>
      <c r="BU256" s="1018">
        <f t="shared" ca="1" si="357"/>
        <v>18</v>
      </c>
      <c r="BV256" s="1018">
        <f t="shared" ca="1" si="358"/>
        <v>2.15</v>
      </c>
      <c r="BW256" s="1018">
        <v>0</v>
      </c>
      <c r="BX256" s="1018">
        <f t="shared" ca="1" si="359"/>
        <v>26.740778170793327</v>
      </c>
      <c r="BY256" s="1018">
        <f t="shared" ca="1" si="360"/>
        <v>169.68507434684082</v>
      </c>
      <c r="BZ256" s="1018">
        <f t="shared" ca="1" si="299"/>
        <v>66.843802757456388</v>
      </c>
      <c r="CA256" s="1018">
        <f t="shared" ca="1" si="300"/>
        <v>35.999999985599999</v>
      </c>
      <c r="CB256" s="1018">
        <f t="shared" ca="1" si="361"/>
        <v>4.5133587786259541</v>
      </c>
      <c r="CC256" s="1018">
        <f t="shared" si="301"/>
        <v>0</v>
      </c>
      <c r="CD256" s="1018">
        <f t="shared" ca="1" si="362"/>
        <v>303.78301403931653</v>
      </c>
      <c r="CE256" s="1018">
        <f t="shared" ca="1" si="366"/>
        <v>159.84189954603258</v>
      </c>
      <c r="CF256" s="1018">
        <f t="shared" ca="1" si="303"/>
        <v>13.908747407560472</v>
      </c>
      <c r="CG256" s="1018">
        <f t="shared" ca="1" si="304"/>
        <v>23157.508083691882</v>
      </c>
    </row>
    <row r="257" spans="4:85" x14ac:dyDescent="0.25">
      <c r="D257" s="1"/>
      <c r="F257" s="1"/>
      <c r="G257" s="3"/>
      <c r="H257" s="6"/>
      <c r="I257" s="3"/>
      <c r="J257" s="6"/>
      <c r="K257" s="8"/>
      <c r="L257" s="6"/>
      <c r="M257" s="1"/>
      <c r="N257" s="1"/>
      <c r="O257" s="1"/>
      <c r="P257" s="1"/>
      <c r="Q257" s="1" t="s">
        <v>22</v>
      </c>
      <c r="R257" s="4"/>
      <c r="S257" s="1"/>
      <c r="T257" s="77"/>
      <c r="U257" s="294"/>
      <c r="X257" s="176">
        <f t="shared" si="363"/>
        <v>0</v>
      </c>
      <c r="Y257" s="34">
        <f>X257/Calculation_sheet!M$67</f>
        <v>0</v>
      </c>
      <c r="Z257" s="176">
        <f ca="1">IF(AN257&gt;0,Y257*Calculation_sheet!C$87,0)</f>
        <v>0</v>
      </c>
      <c r="AA257" s="176">
        <f t="shared" ca="1" si="364"/>
        <v>0</v>
      </c>
      <c r="AB257" s="176">
        <f ca="1">IF(AP257&gt;0,AA257*Calculation_sheet!C$94,0)</f>
        <v>0</v>
      </c>
      <c r="AC257" s="176">
        <f t="shared" ca="1" si="351"/>
        <v>0</v>
      </c>
      <c r="AD257" s="958">
        <f ca="1">AC257*Calculation_sheet!C$99</f>
        <v>0</v>
      </c>
      <c r="AE257" s="176">
        <f t="shared" ca="1" si="351"/>
        <v>0</v>
      </c>
      <c r="AF257" s="176">
        <f t="shared" ca="1" si="365"/>
        <v>0</v>
      </c>
      <c r="AG257" s="958">
        <f ca="1">AF257*User_sheet!B$77/100</f>
        <v>0</v>
      </c>
      <c r="AH257" s="313"/>
      <c r="AI257" s="886">
        <v>102</v>
      </c>
      <c r="AJ257" s="985"/>
      <c r="AK257" s="1020">
        <f t="shared" ca="1" si="298"/>
        <v>303.78301403931653</v>
      </c>
      <c r="AL257" s="954">
        <f ca="1">AK257/'102'!I$24</f>
        <v>1.0997287396694</v>
      </c>
      <c r="AM257" s="954">
        <f ca="1">0.8*(AK257*30+'102'!D$17*0.34*30*1)</f>
        <v>9951.1297056708718</v>
      </c>
      <c r="AN257" s="954">
        <f ca="1">IF(AM257&lt;User_sheet!B$50,Y257,0)</f>
        <v>0</v>
      </c>
      <c r="AO257" s="954">
        <f ca="1">20-(User_sheet!B$57/('Freestanding '!AK257+'102'!D$17*1*0.34))</f>
        <v>6.2528171126096836</v>
      </c>
      <c r="AP257" s="954">
        <f ca="1">IF(AO257&lt;User_sheet!B$59,0,BC257*AA257)</f>
        <v>0</v>
      </c>
      <c r="AQ257" s="985"/>
      <c r="AR257" s="883">
        <v>0.32</v>
      </c>
      <c r="AS257" s="883">
        <v>2.1</v>
      </c>
      <c r="AT257" s="883">
        <v>7.9</v>
      </c>
      <c r="AU257" s="883">
        <v>2</v>
      </c>
      <c r="AV257" s="883">
        <v>3.3</v>
      </c>
      <c r="AW257" s="883">
        <v>14356</v>
      </c>
      <c r="AX257" s="883">
        <v>74715.401027665983</v>
      </c>
      <c r="AY257" s="883">
        <v>67352.647733737584</v>
      </c>
      <c r="AZ257" s="886">
        <v>0</v>
      </c>
      <c r="BA257" s="886">
        <v>0</v>
      </c>
      <c r="BB257" s="883">
        <v>0.6</v>
      </c>
      <c r="BC257" s="888">
        <v>0</v>
      </c>
      <c r="BD257" s="889">
        <v>1</v>
      </c>
      <c r="BE257" s="889">
        <v>0</v>
      </c>
      <c r="BF257" s="890">
        <v>0</v>
      </c>
      <c r="BG257" s="889">
        <v>1</v>
      </c>
      <c r="BH257" s="889">
        <v>0</v>
      </c>
      <c r="BI257" s="890">
        <v>0</v>
      </c>
      <c r="BJ257" s="889">
        <v>0</v>
      </c>
      <c r="BK257" s="889">
        <v>1</v>
      </c>
      <c r="BL257" s="889">
        <v>0</v>
      </c>
      <c r="BM257" s="890">
        <v>0</v>
      </c>
      <c r="BN257" s="958">
        <v>0</v>
      </c>
      <c r="BO257" s="959">
        <v>18</v>
      </c>
      <c r="BP257" s="1018">
        <f t="shared" ca="1" si="352"/>
        <v>121.5</v>
      </c>
      <c r="BQ257" s="1018">
        <f t="shared" ca="1" si="353"/>
        <v>287.05844999999999</v>
      </c>
      <c r="BR257" s="1018">
        <f t="shared" ca="1" si="354"/>
        <v>88.2</v>
      </c>
      <c r="BS257" s="1018">
        <f t="shared" ca="1" si="355"/>
        <v>110.2144959090909</v>
      </c>
      <c r="BT257" s="1018">
        <f t="shared" ca="1" si="356"/>
        <v>60.75</v>
      </c>
      <c r="BU257" s="1018">
        <f t="shared" ca="1" si="357"/>
        <v>18</v>
      </c>
      <c r="BV257" s="1018">
        <f t="shared" ca="1" si="358"/>
        <v>2.15</v>
      </c>
      <c r="BW257" s="1018">
        <v>0</v>
      </c>
      <c r="BX257" s="1018">
        <f t="shared" ca="1" si="359"/>
        <v>26.740778170793327</v>
      </c>
      <c r="BY257" s="1018">
        <f t="shared" ca="1" si="360"/>
        <v>169.68507434684082</v>
      </c>
      <c r="BZ257" s="1018">
        <f t="shared" ca="1" si="299"/>
        <v>66.843802757456388</v>
      </c>
      <c r="CA257" s="1018">
        <f t="shared" ca="1" si="300"/>
        <v>35.999999985599999</v>
      </c>
      <c r="CB257" s="1018">
        <f t="shared" ca="1" si="361"/>
        <v>4.5133587786259541</v>
      </c>
      <c r="CC257" s="1018">
        <f t="shared" si="301"/>
        <v>0</v>
      </c>
      <c r="CD257" s="1018">
        <f t="shared" ca="1" si="362"/>
        <v>303.78301403931653</v>
      </c>
      <c r="CE257" s="1018">
        <f t="shared" ca="1" si="366"/>
        <v>159.84189954603258</v>
      </c>
      <c r="CF257" s="1018">
        <f t="shared" ca="1" si="303"/>
        <v>13.908747407560472</v>
      </c>
      <c r="CG257" s="1018">
        <f t="shared" ca="1" si="304"/>
        <v>23157.508083691882</v>
      </c>
    </row>
    <row r="258" spans="4:85" x14ac:dyDescent="0.25">
      <c r="D258" s="1"/>
      <c r="F258" s="1"/>
      <c r="G258" s="3"/>
      <c r="H258" s="6"/>
      <c r="I258" s="3"/>
      <c r="J258" s="3" t="s">
        <v>144</v>
      </c>
      <c r="K258" s="8"/>
      <c r="L258" s="6"/>
      <c r="M258" s="1"/>
      <c r="N258" s="1"/>
      <c r="O258" s="1" t="s">
        <v>18</v>
      </c>
      <c r="P258" s="4"/>
      <c r="Q258" s="1" t="s">
        <v>7</v>
      </c>
      <c r="R258" s="4"/>
      <c r="S258" s="1"/>
      <c r="T258" s="77"/>
      <c r="U258" s="294"/>
      <c r="X258" s="176">
        <f t="shared" si="363"/>
        <v>0</v>
      </c>
      <c r="Y258" s="34">
        <f>X258/Calculation_sheet!M$67</f>
        <v>0</v>
      </c>
      <c r="Z258" s="176">
        <f ca="1">IF(AN258&gt;0,Y258*Calculation_sheet!C$87,0)</f>
        <v>0</v>
      </c>
      <c r="AA258" s="176">
        <f t="shared" ca="1" si="364"/>
        <v>0</v>
      </c>
      <c r="AB258" s="176">
        <f ca="1">IF(AP258&gt;0,AA258*Calculation_sheet!C$94,0)</f>
        <v>0</v>
      </c>
      <c r="AC258" s="176">
        <f t="shared" ca="1" si="351"/>
        <v>0</v>
      </c>
      <c r="AD258" s="958">
        <f ca="1">AC258*Calculation_sheet!C$99</f>
        <v>0</v>
      </c>
      <c r="AE258" s="176">
        <f t="shared" ca="1" si="351"/>
        <v>0</v>
      </c>
      <c r="AF258" s="176">
        <f t="shared" ca="1" si="365"/>
        <v>0</v>
      </c>
      <c r="AG258" s="958">
        <f ca="1">AF258*User_sheet!B$77/100</f>
        <v>0</v>
      </c>
      <c r="AH258" s="313"/>
      <c r="AI258" s="886">
        <v>102</v>
      </c>
      <c r="AJ258" s="985"/>
      <c r="AK258" s="1020">
        <f t="shared" ca="1" si="298"/>
        <v>303.78301403931653</v>
      </c>
      <c r="AL258" s="954">
        <f ca="1">AK258/'102'!I$24</f>
        <v>1.0997287396694</v>
      </c>
      <c r="AM258" s="954">
        <f ca="1">0.8*(AK258*30+'102'!D$17*0.34*30*1)</f>
        <v>9951.1297056708718</v>
      </c>
      <c r="AN258" s="954">
        <f ca="1">IF(AM258&lt;User_sheet!B$50,Y258,0)</f>
        <v>0</v>
      </c>
      <c r="AO258" s="954">
        <f ca="1">20-(User_sheet!B$57/('Freestanding '!AK258+'102'!D$17*1*0.34))</f>
        <v>6.2528171126096836</v>
      </c>
      <c r="AP258" s="954">
        <f ca="1">IF(AO258&lt;User_sheet!B$59,0,BC258*AA258)</f>
        <v>0</v>
      </c>
      <c r="AQ258" s="985"/>
      <c r="AR258" s="883">
        <v>0.32</v>
      </c>
      <c r="AS258" s="883">
        <v>2.1</v>
      </c>
      <c r="AT258" s="883">
        <v>7.9</v>
      </c>
      <c r="AU258" s="883">
        <v>2</v>
      </c>
      <c r="AV258" s="883">
        <v>3.3</v>
      </c>
      <c r="AW258" s="883">
        <v>14356</v>
      </c>
      <c r="AX258" s="883">
        <v>74715.401027665983</v>
      </c>
      <c r="AY258" s="883">
        <v>67352.647733737584</v>
      </c>
      <c r="AZ258" s="886">
        <v>0</v>
      </c>
      <c r="BA258" s="886">
        <v>0</v>
      </c>
      <c r="BB258" s="883">
        <v>0.6</v>
      </c>
      <c r="BC258" s="888">
        <v>0</v>
      </c>
      <c r="BD258" s="889">
        <v>1</v>
      </c>
      <c r="BE258" s="889">
        <v>0</v>
      </c>
      <c r="BF258" s="890">
        <v>0</v>
      </c>
      <c r="BG258" s="889">
        <v>1</v>
      </c>
      <c r="BH258" s="889">
        <v>0</v>
      </c>
      <c r="BI258" s="890">
        <v>0</v>
      </c>
      <c r="BJ258" s="889">
        <v>0</v>
      </c>
      <c r="BK258" s="889">
        <v>0</v>
      </c>
      <c r="BL258" s="889">
        <v>1</v>
      </c>
      <c r="BM258" s="890">
        <v>0</v>
      </c>
      <c r="BN258" s="958">
        <v>0</v>
      </c>
      <c r="BO258" s="959">
        <v>18</v>
      </c>
      <c r="BP258" s="1018">
        <f t="shared" ca="1" si="352"/>
        <v>121.5</v>
      </c>
      <c r="BQ258" s="1018">
        <f t="shared" ca="1" si="353"/>
        <v>287.05844999999999</v>
      </c>
      <c r="BR258" s="1018">
        <f t="shared" ca="1" si="354"/>
        <v>88.2</v>
      </c>
      <c r="BS258" s="1018">
        <f t="shared" ca="1" si="355"/>
        <v>110.2144959090909</v>
      </c>
      <c r="BT258" s="1018">
        <f t="shared" ca="1" si="356"/>
        <v>60.75</v>
      </c>
      <c r="BU258" s="1018">
        <f t="shared" ca="1" si="357"/>
        <v>18</v>
      </c>
      <c r="BV258" s="1018">
        <f t="shared" ca="1" si="358"/>
        <v>2.15</v>
      </c>
      <c r="BW258" s="1018">
        <v>0</v>
      </c>
      <c r="BX258" s="1018">
        <f t="shared" ca="1" si="359"/>
        <v>26.740778170793327</v>
      </c>
      <c r="BY258" s="1018">
        <f t="shared" ca="1" si="360"/>
        <v>169.68507434684082</v>
      </c>
      <c r="BZ258" s="1018">
        <f t="shared" ca="1" si="299"/>
        <v>66.843802757456388</v>
      </c>
      <c r="CA258" s="1018">
        <f t="shared" ca="1" si="300"/>
        <v>35.999999985599999</v>
      </c>
      <c r="CB258" s="1018">
        <f t="shared" ca="1" si="361"/>
        <v>4.5133587786259541</v>
      </c>
      <c r="CC258" s="1018">
        <f t="shared" si="301"/>
        <v>0</v>
      </c>
      <c r="CD258" s="1018">
        <f t="shared" ca="1" si="362"/>
        <v>303.78301403931653</v>
      </c>
      <c r="CE258" s="1018">
        <f t="shared" ca="1" si="366"/>
        <v>159.84189954603258</v>
      </c>
      <c r="CF258" s="1018">
        <f t="shared" ca="1" si="303"/>
        <v>13.908747407560472</v>
      </c>
      <c r="CG258" s="1018">
        <f t="shared" ca="1" si="304"/>
        <v>23157.508083691882</v>
      </c>
    </row>
    <row r="259" spans="4:85" x14ac:dyDescent="0.25">
      <c r="D259" s="1"/>
      <c r="F259" s="1"/>
      <c r="G259" s="3"/>
      <c r="H259" s="6"/>
      <c r="I259" s="3"/>
      <c r="J259" s="6" t="s">
        <v>190</v>
      </c>
      <c r="K259" s="8"/>
      <c r="L259" s="6"/>
      <c r="M259" s="1"/>
      <c r="N259" s="1"/>
      <c r="O259" s="1"/>
      <c r="P259" s="1"/>
      <c r="Q259" s="1" t="s">
        <v>22</v>
      </c>
      <c r="R259" s="4"/>
      <c r="S259" s="1"/>
      <c r="T259" s="77"/>
      <c r="U259" s="294"/>
      <c r="X259" s="176">
        <f t="shared" si="363"/>
        <v>0</v>
      </c>
      <c r="Y259" s="34">
        <f>X259/Calculation_sheet!M$67</f>
        <v>0</v>
      </c>
      <c r="Z259" s="176">
        <f ca="1">IF(AN259&gt;0,Y259*Calculation_sheet!C$87,0)</f>
        <v>0</v>
      </c>
      <c r="AA259" s="176">
        <f t="shared" ca="1" si="364"/>
        <v>0</v>
      </c>
      <c r="AB259" s="176">
        <f ca="1">IF(AP259&gt;0,AA259*Calculation_sheet!C$94,0)</f>
        <v>0</v>
      </c>
      <c r="AC259" s="176">
        <f t="shared" ca="1" si="351"/>
        <v>0</v>
      </c>
      <c r="AD259" s="958">
        <f ca="1">AC259*Calculation_sheet!C$99</f>
        <v>0</v>
      </c>
      <c r="AE259" s="176">
        <f t="shared" ca="1" si="351"/>
        <v>0</v>
      </c>
      <c r="AF259" s="176">
        <f t="shared" ca="1" si="365"/>
        <v>0</v>
      </c>
      <c r="AG259" s="958">
        <f ca="1">AF259*User_sheet!B$77/100</f>
        <v>0</v>
      </c>
      <c r="AH259" s="313"/>
      <c r="AI259" s="886">
        <v>102</v>
      </c>
      <c r="AJ259" s="985"/>
      <c r="AK259" s="1020">
        <f t="shared" ca="1" si="298"/>
        <v>303.78301403931653</v>
      </c>
      <c r="AL259" s="954">
        <f ca="1">AK259/'102'!I$24</f>
        <v>1.0997287396694</v>
      </c>
      <c r="AM259" s="954">
        <f ca="1">0.8*(AK259*30+'102'!D$17*0.34*30*1)</f>
        <v>9951.1297056708718</v>
      </c>
      <c r="AN259" s="954">
        <f ca="1">IF(AM259&lt;User_sheet!B$50,Y259,0)</f>
        <v>0</v>
      </c>
      <c r="AO259" s="954">
        <f ca="1">20-(User_sheet!B$57/('Freestanding '!AK259+'102'!D$17*1*0.34))</f>
        <v>6.2528171126096836</v>
      </c>
      <c r="AP259" s="954">
        <f ca="1">IF(AO259&lt;User_sheet!B$59,0,BC259*AA259)</f>
        <v>0</v>
      </c>
      <c r="AQ259" s="985"/>
      <c r="AR259" s="883">
        <v>0.32</v>
      </c>
      <c r="AS259" s="883">
        <v>2.1</v>
      </c>
      <c r="AT259" s="883">
        <v>7.9</v>
      </c>
      <c r="AU259" s="883">
        <v>2</v>
      </c>
      <c r="AV259" s="883">
        <v>3.3</v>
      </c>
      <c r="AW259" s="883">
        <v>14356</v>
      </c>
      <c r="AX259" s="883">
        <v>74715.401027665983</v>
      </c>
      <c r="AY259" s="883">
        <v>67352.647733737584</v>
      </c>
      <c r="AZ259" s="886">
        <v>0</v>
      </c>
      <c r="BA259" s="886">
        <v>0</v>
      </c>
      <c r="BB259" s="883">
        <v>0.6</v>
      </c>
      <c r="BC259" s="888">
        <v>0</v>
      </c>
      <c r="BD259" s="889">
        <v>1</v>
      </c>
      <c r="BE259" s="889">
        <v>0</v>
      </c>
      <c r="BF259" s="890">
        <v>0</v>
      </c>
      <c r="BG259" s="889">
        <v>0</v>
      </c>
      <c r="BH259" s="889">
        <v>1</v>
      </c>
      <c r="BI259" s="890">
        <v>0</v>
      </c>
      <c r="BJ259" s="889">
        <v>0</v>
      </c>
      <c r="BK259" s="889">
        <v>1</v>
      </c>
      <c r="BL259" s="889">
        <v>0</v>
      </c>
      <c r="BM259" s="890">
        <v>0</v>
      </c>
      <c r="BN259" s="958">
        <v>0</v>
      </c>
      <c r="BO259" s="959">
        <v>18</v>
      </c>
      <c r="BP259" s="1018">
        <f t="shared" ca="1" si="352"/>
        <v>121.5</v>
      </c>
      <c r="BQ259" s="1018">
        <f t="shared" ca="1" si="353"/>
        <v>287.05844999999999</v>
      </c>
      <c r="BR259" s="1018">
        <f t="shared" ca="1" si="354"/>
        <v>88.2</v>
      </c>
      <c r="BS259" s="1018">
        <f t="shared" ca="1" si="355"/>
        <v>110.2144959090909</v>
      </c>
      <c r="BT259" s="1018">
        <f t="shared" ca="1" si="356"/>
        <v>60.75</v>
      </c>
      <c r="BU259" s="1018">
        <f t="shared" ca="1" si="357"/>
        <v>18</v>
      </c>
      <c r="BV259" s="1018">
        <f t="shared" ca="1" si="358"/>
        <v>2.15</v>
      </c>
      <c r="BW259" s="1018">
        <v>0</v>
      </c>
      <c r="BX259" s="1018">
        <f t="shared" ca="1" si="359"/>
        <v>26.740778170793327</v>
      </c>
      <c r="BY259" s="1018">
        <f t="shared" ca="1" si="360"/>
        <v>169.68507434684082</v>
      </c>
      <c r="BZ259" s="1018">
        <f t="shared" ca="1" si="299"/>
        <v>66.843802757456388</v>
      </c>
      <c r="CA259" s="1018">
        <f t="shared" ca="1" si="300"/>
        <v>35.999999985599999</v>
      </c>
      <c r="CB259" s="1018">
        <f t="shared" ca="1" si="361"/>
        <v>4.5133587786259541</v>
      </c>
      <c r="CC259" s="1018">
        <f t="shared" si="301"/>
        <v>0</v>
      </c>
      <c r="CD259" s="1018">
        <f t="shared" ca="1" si="362"/>
        <v>303.78301403931653</v>
      </c>
      <c r="CE259" s="1018">
        <f t="shared" ca="1" si="366"/>
        <v>159.84189954603258</v>
      </c>
      <c r="CF259" s="1018">
        <f t="shared" ca="1" si="303"/>
        <v>13.908747407560472</v>
      </c>
      <c r="CG259" s="1018">
        <f t="shared" ca="1" si="304"/>
        <v>23157.508083691882</v>
      </c>
    </row>
    <row r="260" spans="4:85" x14ac:dyDescent="0.25">
      <c r="D260" s="1"/>
      <c r="F260" s="1"/>
      <c r="G260" s="3"/>
      <c r="H260" s="6"/>
      <c r="I260" s="3"/>
      <c r="J260" s="6"/>
      <c r="K260" s="8"/>
      <c r="L260" s="6"/>
      <c r="M260" s="1" t="s">
        <v>22</v>
      </c>
      <c r="N260" s="4"/>
      <c r="O260" s="1" t="s">
        <v>20</v>
      </c>
      <c r="P260" s="4"/>
      <c r="Q260" s="1" t="s">
        <v>7</v>
      </c>
      <c r="R260" s="4"/>
      <c r="S260" s="1"/>
      <c r="T260" s="77"/>
      <c r="U260" s="294"/>
      <c r="X260" s="176">
        <f t="shared" si="363"/>
        <v>0</v>
      </c>
      <c r="Y260" s="34">
        <f>X260/Calculation_sheet!M$67</f>
        <v>0</v>
      </c>
      <c r="Z260" s="176">
        <f ca="1">IF(AN260&gt;0,Y260*Calculation_sheet!C$87,0)</f>
        <v>0</v>
      </c>
      <c r="AA260" s="176">
        <f t="shared" ca="1" si="364"/>
        <v>0</v>
      </c>
      <c r="AB260" s="176">
        <f ca="1">IF(AP260&gt;0,AA260*Calculation_sheet!C$94,0)</f>
        <v>0</v>
      </c>
      <c r="AC260" s="176">
        <f t="shared" ca="1" si="351"/>
        <v>0</v>
      </c>
      <c r="AD260" s="958">
        <f ca="1">AC260*Calculation_sheet!C$99</f>
        <v>0</v>
      </c>
      <c r="AE260" s="176">
        <f t="shared" ca="1" si="351"/>
        <v>0</v>
      </c>
      <c r="AF260" s="176">
        <f t="shared" ca="1" si="365"/>
        <v>0</v>
      </c>
      <c r="AG260" s="958">
        <f ca="1">AF260*User_sheet!B$77/100</f>
        <v>0</v>
      </c>
      <c r="AH260" s="313"/>
      <c r="AI260" s="886">
        <v>102</v>
      </c>
      <c r="AJ260" s="985"/>
      <c r="AK260" s="1020">
        <f t="shared" ca="1" si="298"/>
        <v>303.78301403931653</v>
      </c>
      <c r="AL260" s="954">
        <f ca="1">AK260/'102'!I$24</f>
        <v>1.0997287396694</v>
      </c>
      <c r="AM260" s="954">
        <f ca="1">0.8*(AK260*30+'102'!D$17*0.34*30*1)</f>
        <v>9951.1297056708718</v>
      </c>
      <c r="AN260" s="954">
        <f ca="1">IF(AM260&lt;User_sheet!B$50,Y260,0)</f>
        <v>0</v>
      </c>
      <c r="AO260" s="954">
        <f ca="1">20-(User_sheet!B$57/('Freestanding '!AK260+'102'!D$17*1*0.34))</f>
        <v>6.2528171126096836</v>
      </c>
      <c r="AP260" s="954">
        <f ca="1">IF(AO260&lt;User_sheet!B$59,0,BC260*AA260)</f>
        <v>0</v>
      </c>
      <c r="AQ260" s="985"/>
      <c r="AR260" s="883">
        <v>0.32</v>
      </c>
      <c r="AS260" s="883">
        <v>2.1</v>
      </c>
      <c r="AT260" s="883">
        <v>7.9</v>
      </c>
      <c r="AU260" s="883">
        <v>2</v>
      </c>
      <c r="AV260" s="883">
        <v>3.3</v>
      </c>
      <c r="AW260" s="883">
        <v>14356</v>
      </c>
      <c r="AX260" s="883">
        <v>74715.401027665983</v>
      </c>
      <c r="AY260" s="883">
        <v>67352.647733737584</v>
      </c>
      <c r="AZ260" s="886">
        <v>0</v>
      </c>
      <c r="BA260" s="886">
        <v>0</v>
      </c>
      <c r="BB260" s="883">
        <v>0.6</v>
      </c>
      <c r="BC260" s="888">
        <v>0</v>
      </c>
      <c r="BD260" s="889">
        <v>1</v>
      </c>
      <c r="BE260" s="889">
        <v>0</v>
      </c>
      <c r="BF260" s="890">
        <v>0</v>
      </c>
      <c r="BG260" s="889">
        <v>0</v>
      </c>
      <c r="BH260" s="889">
        <v>1</v>
      </c>
      <c r="BI260" s="890">
        <v>0</v>
      </c>
      <c r="BJ260" s="889">
        <v>0</v>
      </c>
      <c r="BK260" s="889">
        <v>0</v>
      </c>
      <c r="BL260" s="889">
        <v>1</v>
      </c>
      <c r="BM260" s="890">
        <v>0</v>
      </c>
      <c r="BN260" s="958">
        <v>0</v>
      </c>
      <c r="BO260" s="959">
        <v>18</v>
      </c>
      <c r="BP260" s="1018">
        <f t="shared" ca="1" si="352"/>
        <v>121.5</v>
      </c>
      <c r="BQ260" s="1018">
        <f t="shared" ca="1" si="353"/>
        <v>287.05844999999999</v>
      </c>
      <c r="BR260" s="1018">
        <f t="shared" ca="1" si="354"/>
        <v>88.2</v>
      </c>
      <c r="BS260" s="1018">
        <f t="shared" ca="1" si="355"/>
        <v>110.2144959090909</v>
      </c>
      <c r="BT260" s="1018">
        <f t="shared" ca="1" si="356"/>
        <v>60.75</v>
      </c>
      <c r="BU260" s="1018">
        <f t="shared" ca="1" si="357"/>
        <v>18</v>
      </c>
      <c r="BV260" s="1018">
        <f t="shared" ca="1" si="358"/>
        <v>2.15</v>
      </c>
      <c r="BW260" s="1018">
        <v>0</v>
      </c>
      <c r="BX260" s="1018">
        <f t="shared" ca="1" si="359"/>
        <v>26.740778170793327</v>
      </c>
      <c r="BY260" s="1018">
        <f t="shared" ca="1" si="360"/>
        <v>169.68507434684082</v>
      </c>
      <c r="BZ260" s="1018">
        <f t="shared" ca="1" si="299"/>
        <v>66.843802757456388</v>
      </c>
      <c r="CA260" s="1018">
        <f t="shared" ca="1" si="300"/>
        <v>35.999999985599999</v>
      </c>
      <c r="CB260" s="1018">
        <f t="shared" ca="1" si="361"/>
        <v>4.5133587786259541</v>
      </c>
      <c r="CC260" s="1018">
        <f t="shared" si="301"/>
        <v>0</v>
      </c>
      <c r="CD260" s="1018">
        <f t="shared" ca="1" si="362"/>
        <v>303.78301403931653</v>
      </c>
      <c r="CE260" s="1018">
        <f t="shared" ca="1" si="366"/>
        <v>159.84189954603258</v>
      </c>
      <c r="CF260" s="1018">
        <f t="shared" ca="1" si="303"/>
        <v>13.908747407560472</v>
      </c>
      <c r="CG260" s="1018">
        <f t="shared" ca="1" si="304"/>
        <v>23157.508083691882</v>
      </c>
    </row>
    <row r="261" spans="4:85" x14ac:dyDescent="0.25">
      <c r="D261" s="1"/>
      <c r="F261" s="1"/>
      <c r="G261" s="3"/>
      <c r="H261" s="6"/>
      <c r="I261" s="3"/>
      <c r="J261" s="6"/>
      <c r="K261" s="8"/>
      <c r="L261" s="6"/>
      <c r="M261" s="1" t="s">
        <v>7</v>
      </c>
      <c r="N261" s="4"/>
      <c r="O261" s="1" t="s">
        <v>23</v>
      </c>
      <c r="P261" s="4"/>
      <c r="Q261" s="1" t="s">
        <v>7</v>
      </c>
      <c r="R261" s="4"/>
      <c r="S261" s="1"/>
      <c r="T261" s="77"/>
      <c r="U261" s="294"/>
      <c r="X261" s="176">
        <f t="shared" si="363"/>
        <v>0</v>
      </c>
      <c r="Y261" s="34">
        <f>X261/Calculation_sheet!M$67</f>
        <v>0</v>
      </c>
      <c r="Z261" s="176">
        <f ca="1">IF(AN261&gt;0,Y261*Calculation_sheet!C$87,0)</f>
        <v>0</v>
      </c>
      <c r="AA261" s="176">
        <f t="shared" ca="1" si="364"/>
        <v>0</v>
      </c>
      <c r="AB261" s="176">
        <f ca="1">IF(AP261&gt;0,AA261*Calculation_sheet!C$94,0)</f>
        <v>0</v>
      </c>
      <c r="AC261" s="176">
        <f t="shared" ca="1" si="351"/>
        <v>0</v>
      </c>
      <c r="AD261" s="958">
        <f ca="1">AC261*Calculation_sheet!C$99</f>
        <v>0</v>
      </c>
      <c r="AE261" s="176">
        <f t="shared" ca="1" si="351"/>
        <v>0</v>
      </c>
      <c r="AF261" s="176">
        <f t="shared" ca="1" si="365"/>
        <v>0</v>
      </c>
      <c r="AG261" s="958">
        <f ca="1">AF261*User_sheet!B$77/100</f>
        <v>0</v>
      </c>
      <c r="AH261" s="313"/>
      <c r="AI261" s="886">
        <v>102</v>
      </c>
      <c r="AJ261" s="985"/>
      <c r="AK261" s="1020">
        <f t="shared" ca="1" si="298"/>
        <v>303.78301403931653</v>
      </c>
      <c r="AL261" s="954">
        <f ca="1">AK261/'102'!I$24</f>
        <v>1.0997287396694</v>
      </c>
      <c r="AM261" s="954">
        <f ca="1">0.8*(AK261*30+'102'!D$17*0.34*30*1)</f>
        <v>9951.1297056708718</v>
      </c>
      <c r="AN261" s="954">
        <f ca="1">IF(AM261&lt;User_sheet!B$50,Y261,0)</f>
        <v>0</v>
      </c>
      <c r="AO261" s="954">
        <f ca="1">20-(User_sheet!B$57/('Freestanding '!AK261+'102'!D$17*1*0.34))</f>
        <v>6.2528171126096836</v>
      </c>
      <c r="AP261" s="954">
        <f ca="1">IF(AO261&lt;User_sheet!B$59,0,BC261*AA261)</f>
        <v>0</v>
      </c>
      <c r="AQ261" s="985"/>
      <c r="AR261" s="883">
        <v>0.32</v>
      </c>
      <c r="AS261" s="883">
        <v>2.1</v>
      </c>
      <c r="AT261" s="883">
        <v>7.9</v>
      </c>
      <c r="AU261" s="883">
        <v>2</v>
      </c>
      <c r="AV261" s="883">
        <v>3.3</v>
      </c>
      <c r="AW261" s="883">
        <v>14356</v>
      </c>
      <c r="AX261" s="883">
        <v>74715.401027665983</v>
      </c>
      <c r="AY261" s="883">
        <v>67352.647733737584</v>
      </c>
      <c r="AZ261" s="886">
        <v>0</v>
      </c>
      <c r="BA261" s="886">
        <v>0</v>
      </c>
      <c r="BB261" s="883">
        <v>0.6</v>
      </c>
      <c r="BC261" s="888">
        <v>0</v>
      </c>
      <c r="BD261" s="889">
        <v>0</v>
      </c>
      <c r="BE261" s="889">
        <v>1</v>
      </c>
      <c r="BF261" s="890">
        <v>0</v>
      </c>
      <c r="BG261" s="889">
        <v>0</v>
      </c>
      <c r="BH261" s="889">
        <v>0</v>
      </c>
      <c r="BI261" s="890">
        <v>1</v>
      </c>
      <c r="BJ261" s="889">
        <v>0</v>
      </c>
      <c r="BK261" s="889">
        <v>0</v>
      </c>
      <c r="BL261" s="889">
        <v>1</v>
      </c>
      <c r="BM261" s="890">
        <v>0</v>
      </c>
      <c r="BN261" s="958">
        <v>0</v>
      </c>
      <c r="BO261" s="959">
        <v>18</v>
      </c>
      <c r="BP261" s="1018">
        <f t="shared" ca="1" si="352"/>
        <v>121.5</v>
      </c>
      <c r="BQ261" s="1018">
        <f t="shared" ca="1" si="353"/>
        <v>287.05844999999999</v>
      </c>
      <c r="BR261" s="1018">
        <f t="shared" ca="1" si="354"/>
        <v>88.2</v>
      </c>
      <c r="BS261" s="1018">
        <f t="shared" ca="1" si="355"/>
        <v>110.2144959090909</v>
      </c>
      <c r="BT261" s="1018">
        <f t="shared" ca="1" si="356"/>
        <v>60.75</v>
      </c>
      <c r="BU261" s="1018">
        <f t="shared" ca="1" si="357"/>
        <v>18</v>
      </c>
      <c r="BV261" s="1018">
        <f t="shared" ca="1" si="358"/>
        <v>2.15</v>
      </c>
      <c r="BW261" s="1018">
        <v>0</v>
      </c>
      <c r="BX261" s="1018">
        <f t="shared" ca="1" si="359"/>
        <v>26.740778170793327</v>
      </c>
      <c r="BY261" s="1018">
        <f t="shared" ca="1" si="360"/>
        <v>169.68507434684082</v>
      </c>
      <c r="BZ261" s="1018">
        <f t="shared" ca="1" si="299"/>
        <v>66.843802757456388</v>
      </c>
      <c r="CA261" s="1018">
        <f t="shared" ca="1" si="300"/>
        <v>35.999999985599999</v>
      </c>
      <c r="CB261" s="1018">
        <f t="shared" ca="1" si="361"/>
        <v>4.5133587786259541</v>
      </c>
      <c r="CC261" s="1018">
        <f t="shared" si="301"/>
        <v>0</v>
      </c>
      <c r="CD261" s="1018">
        <f t="shared" ca="1" si="362"/>
        <v>303.78301403931653</v>
      </c>
      <c r="CE261" s="1018">
        <f t="shared" ca="1" si="366"/>
        <v>159.84189954603258</v>
      </c>
      <c r="CF261" s="1018">
        <f t="shared" ca="1" si="303"/>
        <v>13.908747407560472</v>
      </c>
      <c r="CG261" s="1018">
        <f t="shared" ca="1" si="304"/>
        <v>23157.508083691882</v>
      </c>
    </row>
    <row r="262" spans="4:85" x14ac:dyDescent="0.25">
      <c r="D262" s="1"/>
      <c r="F262" s="1"/>
      <c r="G262" s="3"/>
      <c r="H262" s="6"/>
      <c r="I262" s="3"/>
      <c r="J262" s="6"/>
      <c r="K262" s="8"/>
      <c r="L262" s="6"/>
      <c r="M262" s="1"/>
      <c r="N262" s="1"/>
      <c r="O262" s="1" t="s">
        <v>18</v>
      </c>
      <c r="P262" s="4"/>
      <c r="Q262" s="1" t="s">
        <v>17</v>
      </c>
      <c r="R262" s="4"/>
      <c r="S262" s="1"/>
      <c r="T262" s="77"/>
      <c r="U262" s="294"/>
      <c r="X262" s="176">
        <f t="shared" si="363"/>
        <v>0</v>
      </c>
      <c r="Y262" s="34">
        <f>X262/Calculation_sheet!M$67</f>
        <v>0</v>
      </c>
      <c r="Z262" s="176">
        <f ca="1">IF(AN262&gt;0,Y262*Calculation_sheet!C$87,0)</f>
        <v>0</v>
      </c>
      <c r="AA262" s="176">
        <f t="shared" ca="1" si="364"/>
        <v>0</v>
      </c>
      <c r="AB262" s="176">
        <f ca="1">IF(AP262&gt;0,AA262*Calculation_sheet!C$94,0)</f>
        <v>0</v>
      </c>
      <c r="AC262" s="176">
        <f t="shared" ca="1" si="351"/>
        <v>0</v>
      </c>
      <c r="AD262" s="958">
        <f ca="1">AC262*Calculation_sheet!C$99</f>
        <v>0</v>
      </c>
      <c r="AE262" s="176">
        <f t="shared" ca="1" si="351"/>
        <v>0</v>
      </c>
      <c r="AF262" s="176">
        <f t="shared" ca="1" si="365"/>
        <v>0</v>
      </c>
      <c r="AG262" s="958">
        <f ca="1">AF262*User_sheet!B$77/100</f>
        <v>0</v>
      </c>
      <c r="AH262" s="313"/>
      <c r="AI262" s="886">
        <v>102</v>
      </c>
      <c r="AJ262" s="985"/>
      <c r="AK262" s="1020">
        <f t="shared" ca="1" si="298"/>
        <v>303.78301403931653</v>
      </c>
      <c r="AL262" s="954">
        <f ca="1">AK262/'102'!I$24</f>
        <v>1.0997287396694</v>
      </c>
      <c r="AM262" s="954">
        <f ca="1">0.8*(AK262*30+'102'!D$17*0.34*30*1)</f>
        <v>9951.1297056708718</v>
      </c>
      <c r="AN262" s="954">
        <f ca="1">IF(AM262&lt;User_sheet!B$50,Y262,0)</f>
        <v>0</v>
      </c>
      <c r="AO262" s="954">
        <f ca="1">20-(User_sheet!B$57/('Freestanding '!AK262+'102'!D$17*1*0.34))</f>
        <v>6.2528171126096836</v>
      </c>
      <c r="AP262" s="954">
        <f ca="1">IF(AO262&lt;User_sheet!B$59,0,BC262*AA262)</f>
        <v>0</v>
      </c>
      <c r="AQ262" s="985"/>
      <c r="AR262" s="883">
        <v>0.32</v>
      </c>
      <c r="AS262" s="883">
        <v>2.1</v>
      </c>
      <c r="AT262" s="883">
        <v>7.9</v>
      </c>
      <c r="AU262" s="883">
        <v>2</v>
      </c>
      <c r="AV262" s="883">
        <v>3.3</v>
      </c>
      <c r="AW262" s="883">
        <v>14356</v>
      </c>
      <c r="AX262" s="883">
        <v>74715.401027665983</v>
      </c>
      <c r="AY262" s="883">
        <v>67352.647733737584</v>
      </c>
      <c r="AZ262" s="886">
        <v>0</v>
      </c>
      <c r="BA262" s="886">
        <v>0</v>
      </c>
      <c r="BB262" s="883">
        <v>0.6</v>
      </c>
      <c r="BC262" s="888">
        <v>0</v>
      </c>
      <c r="BD262" s="889">
        <v>0</v>
      </c>
      <c r="BE262" s="889">
        <v>0</v>
      </c>
      <c r="BF262" s="890">
        <v>1</v>
      </c>
      <c r="BG262" s="889">
        <v>1</v>
      </c>
      <c r="BH262" s="889">
        <v>0</v>
      </c>
      <c r="BI262" s="890">
        <v>0</v>
      </c>
      <c r="BJ262" s="889">
        <v>0</v>
      </c>
      <c r="BK262" s="889">
        <v>0</v>
      </c>
      <c r="BL262" s="889">
        <v>0</v>
      </c>
      <c r="BM262" s="890">
        <v>1</v>
      </c>
      <c r="BN262" s="958">
        <v>0</v>
      </c>
      <c r="BO262" s="959">
        <v>18</v>
      </c>
      <c r="BP262" s="1018">
        <f t="shared" ca="1" si="352"/>
        <v>121.5</v>
      </c>
      <c r="BQ262" s="1018">
        <f t="shared" ca="1" si="353"/>
        <v>287.05844999999999</v>
      </c>
      <c r="BR262" s="1018">
        <f t="shared" ca="1" si="354"/>
        <v>88.2</v>
      </c>
      <c r="BS262" s="1018">
        <f t="shared" ca="1" si="355"/>
        <v>110.2144959090909</v>
      </c>
      <c r="BT262" s="1018">
        <f t="shared" ca="1" si="356"/>
        <v>60.75</v>
      </c>
      <c r="BU262" s="1018">
        <f t="shared" ca="1" si="357"/>
        <v>18</v>
      </c>
      <c r="BV262" s="1018">
        <f t="shared" ca="1" si="358"/>
        <v>2.15</v>
      </c>
      <c r="BW262" s="1018">
        <v>0</v>
      </c>
      <c r="BX262" s="1018">
        <f t="shared" ca="1" si="359"/>
        <v>26.740778170793327</v>
      </c>
      <c r="BY262" s="1018">
        <f t="shared" ca="1" si="360"/>
        <v>169.68507434684082</v>
      </c>
      <c r="BZ262" s="1018">
        <f t="shared" ca="1" si="299"/>
        <v>66.843802757456388</v>
      </c>
      <c r="CA262" s="1018">
        <f t="shared" ca="1" si="300"/>
        <v>35.999999985599999</v>
      </c>
      <c r="CB262" s="1018">
        <f t="shared" ca="1" si="361"/>
        <v>4.5133587786259541</v>
      </c>
      <c r="CC262" s="1018">
        <f t="shared" si="301"/>
        <v>0</v>
      </c>
      <c r="CD262" s="1018">
        <f t="shared" ca="1" si="362"/>
        <v>303.78301403931653</v>
      </c>
      <c r="CE262" s="1018">
        <f t="shared" ca="1" si="366"/>
        <v>159.84189954603258</v>
      </c>
      <c r="CF262" s="1018">
        <f t="shared" ca="1" si="303"/>
        <v>13.908747407560472</v>
      </c>
      <c r="CG262" s="1018">
        <f t="shared" ca="1" si="304"/>
        <v>23157.508083691882</v>
      </c>
    </row>
    <row r="263" spans="4:85" x14ac:dyDescent="0.25">
      <c r="D263" s="1"/>
      <c r="F263" s="1"/>
      <c r="G263" s="3"/>
      <c r="H263" s="6"/>
      <c r="I263" s="3"/>
      <c r="J263" s="6"/>
      <c r="K263" s="8"/>
      <c r="L263" s="6"/>
      <c r="M263" s="1" t="s">
        <v>17</v>
      </c>
      <c r="N263" s="4"/>
      <c r="O263" s="1" t="s">
        <v>19</v>
      </c>
      <c r="P263" s="4"/>
      <c r="Q263" s="1" t="s">
        <v>17</v>
      </c>
      <c r="R263" s="4"/>
      <c r="S263" s="1"/>
      <c r="T263" s="77"/>
      <c r="U263" s="294"/>
      <c r="X263" s="176">
        <f t="shared" si="363"/>
        <v>0</v>
      </c>
      <c r="Y263" s="34">
        <f>X263/Calculation_sheet!M$67</f>
        <v>0</v>
      </c>
      <c r="Z263" s="176">
        <f ca="1">IF(AN263&gt;0,Y263*Calculation_sheet!C$87,0)</f>
        <v>0</v>
      </c>
      <c r="AA263" s="176">
        <f t="shared" ca="1" si="364"/>
        <v>0</v>
      </c>
      <c r="AB263" s="176">
        <f ca="1">IF(AP263&gt;0,AA263*Calculation_sheet!C$94,0)</f>
        <v>0</v>
      </c>
      <c r="AC263" s="176">
        <f t="shared" ca="1" si="351"/>
        <v>0</v>
      </c>
      <c r="AD263" s="958">
        <f ca="1">AC263*Calculation_sheet!C$99</f>
        <v>0</v>
      </c>
      <c r="AE263" s="176">
        <f t="shared" ca="1" si="351"/>
        <v>0</v>
      </c>
      <c r="AF263" s="176">
        <f t="shared" ca="1" si="365"/>
        <v>0</v>
      </c>
      <c r="AG263" s="958">
        <f ca="1">AF263*User_sheet!B$77/100</f>
        <v>0</v>
      </c>
      <c r="AH263" s="313"/>
      <c r="AI263" s="886">
        <v>102</v>
      </c>
      <c r="AJ263" s="985"/>
      <c r="AK263" s="1020">
        <f t="shared" ca="1" si="298"/>
        <v>303.78301403931653</v>
      </c>
      <c r="AL263" s="954">
        <f ca="1">AK263/'102'!I$24</f>
        <v>1.0997287396694</v>
      </c>
      <c r="AM263" s="954">
        <f ca="1">0.8*(AK263*30+'102'!D$17*0.34*30*1)</f>
        <v>9951.1297056708718</v>
      </c>
      <c r="AN263" s="954">
        <f ca="1">IF(AM263&lt;User_sheet!B$50,Y263,0)</f>
        <v>0</v>
      </c>
      <c r="AO263" s="954">
        <f ca="1">20-(User_sheet!B$57/('Freestanding '!AK263+'102'!D$17*1*0.34))</f>
        <v>6.2528171126096836</v>
      </c>
      <c r="AP263" s="954">
        <f ca="1">IF(AO263&lt;User_sheet!B$59,0,BC263*AA263)</f>
        <v>0</v>
      </c>
      <c r="AQ263" s="985"/>
      <c r="AR263" s="883">
        <v>0.32</v>
      </c>
      <c r="AS263" s="883">
        <v>2.1</v>
      </c>
      <c r="AT263" s="883">
        <v>7.9</v>
      </c>
      <c r="AU263" s="883">
        <v>2</v>
      </c>
      <c r="AV263" s="883">
        <v>3.3</v>
      </c>
      <c r="AW263" s="883">
        <v>14356</v>
      </c>
      <c r="AX263" s="883">
        <v>74715.401027665983</v>
      </c>
      <c r="AY263" s="883">
        <v>67352.647733737584</v>
      </c>
      <c r="AZ263" s="886">
        <v>0</v>
      </c>
      <c r="BA263" s="886">
        <v>0</v>
      </c>
      <c r="BB263" s="883">
        <v>0.6</v>
      </c>
      <c r="BC263" s="888">
        <v>0</v>
      </c>
      <c r="BD263" s="889">
        <v>0</v>
      </c>
      <c r="BE263" s="889">
        <v>0</v>
      </c>
      <c r="BF263" s="890">
        <v>1</v>
      </c>
      <c r="BG263" s="889">
        <v>0</v>
      </c>
      <c r="BH263" s="889">
        <v>1</v>
      </c>
      <c r="BI263" s="890">
        <v>0</v>
      </c>
      <c r="BJ263" s="889">
        <v>0</v>
      </c>
      <c r="BK263" s="889">
        <v>0</v>
      </c>
      <c r="BL263" s="889">
        <v>0</v>
      </c>
      <c r="BM263" s="890">
        <v>1</v>
      </c>
      <c r="BN263" s="958">
        <v>0</v>
      </c>
      <c r="BO263" s="959">
        <v>18</v>
      </c>
      <c r="BP263" s="1018">
        <f t="shared" ca="1" si="352"/>
        <v>121.5</v>
      </c>
      <c r="BQ263" s="1018">
        <f t="shared" ca="1" si="353"/>
        <v>287.05844999999999</v>
      </c>
      <c r="BR263" s="1018">
        <f t="shared" ca="1" si="354"/>
        <v>88.2</v>
      </c>
      <c r="BS263" s="1018">
        <f t="shared" ca="1" si="355"/>
        <v>110.2144959090909</v>
      </c>
      <c r="BT263" s="1018">
        <f t="shared" ca="1" si="356"/>
        <v>60.75</v>
      </c>
      <c r="BU263" s="1018">
        <f t="shared" ca="1" si="357"/>
        <v>18</v>
      </c>
      <c r="BV263" s="1018">
        <f t="shared" ca="1" si="358"/>
        <v>2.15</v>
      </c>
      <c r="BW263" s="1018">
        <v>0</v>
      </c>
      <c r="BX263" s="1018">
        <f t="shared" ca="1" si="359"/>
        <v>26.740778170793327</v>
      </c>
      <c r="BY263" s="1018">
        <f t="shared" ca="1" si="360"/>
        <v>169.68507434684082</v>
      </c>
      <c r="BZ263" s="1018">
        <f t="shared" ca="1" si="299"/>
        <v>66.843802757456388</v>
      </c>
      <c r="CA263" s="1018">
        <f t="shared" ca="1" si="300"/>
        <v>35.999999985599999</v>
      </c>
      <c r="CB263" s="1018">
        <f t="shared" ca="1" si="361"/>
        <v>4.5133587786259541</v>
      </c>
      <c r="CC263" s="1018">
        <f t="shared" si="301"/>
        <v>0</v>
      </c>
      <c r="CD263" s="1018">
        <f t="shared" ca="1" si="362"/>
        <v>303.78301403931653</v>
      </c>
      <c r="CE263" s="1018">
        <f t="shared" ca="1" si="366"/>
        <v>159.84189954603258</v>
      </c>
      <c r="CF263" s="1018">
        <f t="shared" ca="1" si="303"/>
        <v>13.908747407560472</v>
      </c>
      <c r="CG263" s="1018">
        <f t="shared" ca="1" si="304"/>
        <v>23157.508083691882</v>
      </c>
    </row>
    <row r="264" spans="4:85" s="14" customFormat="1" x14ac:dyDescent="0.25">
      <c r="D264" s="15"/>
      <c r="F264" s="15"/>
      <c r="H264" s="15"/>
      <c r="J264" s="15"/>
      <c r="K264" s="16"/>
      <c r="L264" s="15"/>
      <c r="M264" s="15"/>
      <c r="N264" s="15"/>
      <c r="O264" s="15"/>
      <c r="P264" s="15"/>
      <c r="Q264" s="15"/>
      <c r="R264" s="15"/>
      <c r="S264" s="15"/>
      <c r="T264" s="80"/>
      <c r="U264" s="295"/>
      <c r="V264" s="292"/>
      <c r="W264" s="292"/>
      <c r="X264" s="292"/>
      <c r="Y264" s="277"/>
      <c r="Z264" s="292"/>
      <c r="AA264" s="292"/>
      <c r="AB264" s="292"/>
      <c r="AC264" s="292"/>
      <c r="AD264" s="277"/>
      <c r="AE264" s="292"/>
      <c r="AF264" s="292"/>
      <c r="AG264" s="277"/>
      <c r="AH264" s="313"/>
      <c r="AI264" s="887"/>
      <c r="AJ264" s="985"/>
      <c r="AK264" s="1020">
        <f t="shared" si="298"/>
        <v>0</v>
      </c>
      <c r="AL264" s="941"/>
      <c r="AM264" s="941"/>
      <c r="AN264" s="941"/>
      <c r="AO264" s="941"/>
      <c r="AP264" s="941"/>
      <c r="AQ264" s="985"/>
      <c r="AR264" s="887"/>
      <c r="AS264" s="887"/>
      <c r="AT264" s="887"/>
      <c r="AU264" s="887"/>
      <c r="AV264" s="887"/>
      <c r="AW264" s="887"/>
      <c r="AX264" s="887"/>
      <c r="AY264" s="887"/>
      <c r="AZ264" s="887"/>
      <c r="BA264" s="887"/>
      <c r="BB264" s="887"/>
      <c r="BC264" s="45"/>
      <c r="BD264" s="277"/>
      <c r="BE264" s="277"/>
      <c r="BF264" s="49"/>
      <c r="BG264" s="887"/>
      <c r="BH264" s="887"/>
      <c r="BI264" s="49"/>
      <c r="BJ264" s="887"/>
      <c r="BK264" s="887"/>
      <c r="BL264" s="887"/>
      <c r="BM264" s="49"/>
      <c r="BN264" s="277"/>
      <c r="BO264" s="49"/>
      <c r="BP264" s="928"/>
      <c r="BQ264" s="928"/>
      <c r="BR264" s="928"/>
      <c r="BS264" s="928"/>
      <c r="BT264" s="928"/>
      <c r="BU264" s="928"/>
      <c r="BV264" s="928"/>
      <c r="BW264" s="928"/>
      <c r="BX264" s="928"/>
      <c r="BY264" s="928"/>
      <c r="BZ264" s="928"/>
      <c r="CA264" s="928"/>
      <c r="CB264" s="928"/>
      <c r="CC264" s="928"/>
      <c r="CD264" s="928"/>
      <c r="CE264" s="928"/>
      <c r="CF264" s="928"/>
      <c r="CG264" s="928"/>
    </row>
    <row r="265" spans="4:85" x14ac:dyDescent="0.25">
      <c r="D265" s="1"/>
      <c r="F265" s="1"/>
      <c r="G265" s="3"/>
      <c r="H265" s="6"/>
      <c r="I265" s="3"/>
      <c r="J265" s="6"/>
      <c r="K265" s="8"/>
      <c r="L265" s="6"/>
      <c r="M265" s="1"/>
      <c r="N265" s="1"/>
      <c r="O265" s="1"/>
      <c r="P265" s="1"/>
      <c r="Q265" s="1" t="s">
        <v>16</v>
      </c>
      <c r="R265" s="4"/>
      <c r="S265" s="1"/>
      <c r="T265" s="77"/>
      <c r="U265" s="294"/>
      <c r="W265" s="176">
        <f t="shared" ref="W265:W275" si="367">(V241-W241)+(V217-W217)</f>
        <v>0</v>
      </c>
      <c r="X265" s="176">
        <f>W265</f>
        <v>0</v>
      </c>
      <c r="Y265" s="34">
        <f>X265/Calculation_sheet!M$67</f>
        <v>0</v>
      </c>
      <c r="Z265" s="176">
        <f ca="1">IF(AN265&gt;0,Y265*Calculation_sheet!C$87,0)</f>
        <v>0</v>
      </c>
      <c r="AA265" s="176">
        <f ca="1">Y265-Z265</f>
        <v>0</v>
      </c>
      <c r="AB265" s="176">
        <f ca="1">IF(AP265&gt;0,AA265*Calculation_sheet!C$94,0)</f>
        <v>0</v>
      </c>
      <c r="AC265" s="176">
        <f t="shared" ref="AC265:AE275" ca="1" si="368">AA265-AB265</f>
        <v>0</v>
      </c>
      <c r="AD265" s="958">
        <f ca="1">AC265*Calculation_sheet!C$99</f>
        <v>0</v>
      </c>
      <c r="AE265" s="176">
        <f t="shared" ca="1" si="368"/>
        <v>0</v>
      </c>
      <c r="AF265" s="176">
        <f ca="1">Y265-AB265</f>
        <v>0</v>
      </c>
      <c r="AG265" s="958">
        <f ca="1">AF265*User_sheet!B$77/100</f>
        <v>0</v>
      </c>
      <c r="AH265" s="313"/>
      <c r="AI265" s="886">
        <v>102</v>
      </c>
      <c r="AJ265" s="985"/>
      <c r="AK265" s="1020">
        <f t="shared" ca="1" si="298"/>
        <v>120.77813673890005</v>
      </c>
      <c r="AL265" s="954">
        <f ca="1">AK265/'102'!I$24</f>
        <v>0.43723046370952989</v>
      </c>
      <c r="AM265" s="954">
        <f ca="1">0.8*(AK265*30+'102'!D$17*0.34*30*1)</f>
        <v>5559.0126504608743</v>
      </c>
      <c r="AN265" s="954">
        <f ca="1">IF(AM265&lt;User_sheet!B$50,Y265,0)</f>
        <v>0</v>
      </c>
      <c r="AO265" s="954">
        <f ca="1">20-(User_sheet!B$57/('Freestanding '!AK265+'102'!D$17*1*0.34))</f>
        <v>-4.6086865783006452</v>
      </c>
      <c r="AP265" s="954">
        <f ca="1">IF(AO265&lt;User_sheet!B$59,0,BC265*AA265)</f>
        <v>0</v>
      </c>
      <c r="AQ265" s="985"/>
      <c r="AR265" s="883">
        <v>0.32</v>
      </c>
      <c r="AS265" s="883">
        <v>0.43</v>
      </c>
      <c r="AT265" s="883">
        <v>0.43</v>
      </c>
      <c r="AU265" s="883">
        <v>2</v>
      </c>
      <c r="AV265" s="883">
        <v>3.3</v>
      </c>
      <c r="AW265" s="883">
        <v>14356</v>
      </c>
      <c r="AX265" s="883">
        <v>74834</v>
      </c>
      <c r="AY265" s="883">
        <v>69246</v>
      </c>
      <c r="AZ265" s="886">
        <v>0</v>
      </c>
      <c r="BA265" s="886">
        <v>0</v>
      </c>
      <c r="BB265" s="883">
        <v>0.6</v>
      </c>
      <c r="BC265" s="888">
        <v>1</v>
      </c>
      <c r="BD265" s="889">
        <v>0</v>
      </c>
      <c r="BE265" s="889">
        <v>0</v>
      </c>
      <c r="BF265" s="890">
        <v>0</v>
      </c>
      <c r="BG265" s="889">
        <v>1</v>
      </c>
      <c r="BH265" s="889">
        <v>0</v>
      </c>
      <c r="BI265" s="890">
        <v>0</v>
      </c>
      <c r="BJ265" s="889">
        <v>1</v>
      </c>
      <c r="BK265" s="889">
        <v>0</v>
      </c>
      <c r="BL265" s="889">
        <v>0</v>
      </c>
      <c r="BM265" s="890">
        <v>0</v>
      </c>
      <c r="BN265" s="958">
        <v>5.0000000000000001E-3</v>
      </c>
      <c r="BO265" s="959">
        <v>2.5</v>
      </c>
      <c r="BP265" s="1018">
        <f t="shared" ref="BP265:BP275" ca="1" si="369">INDIRECT("'"&amp;AI265&amp;"'!"&amp;"B2")</f>
        <v>121.5</v>
      </c>
      <c r="BQ265" s="1018">
        <f t="shared" ref="BQ265:BQ275" ca="1" si="370">INDIRECT("'"&amp;AI265&amp;"'!"&amp;"C12")+INDIRECT("'"&amp;AI265&amp;"'!"&amp;"C13")+INDIRECT("'"&amp;AI265&amp;"'!"&amp;"C14")+INDIRECT("'"&amp;AI265&amp;"'!"&amp;"C15")+INDIRECT("'"&amp;AI265&amp;"'!"&amp;"C17")</f>
        <v>287.05844999999999</v>
      </c>
      <c r="BR265" s="1018">
        <f t="shared" ref="BR265:BR275" ca="1" si="371">INDIRECT("'"&amp;AI265&amp;"'!"&amp;"G5")</f>
        <v>88.2</v>
      </c>
      <c r="BS265" s="1018">
        <f t="shared" ref="BS265:BS275" ca="1" si="372">INDIRECT("'"&amp;AI265&amp;"'!"&amp;"G4")</f>
        <v>110.2144959090909</v>
      </c>
      <c r="BT265" s="1018">
        <f t="shared" ref="BT265:BT275" ca="1" si="373">INDIRECT("'"&amp;AI265&amp;"'!"&amp;"G6")</f>
        <v>60.75</v>
      </c>
      <c r="BU265" s="1018">
        <f t="shared" ref="BU265:BU275" ca="1" si="374">INDIRECT("'"&amp;AI265&amp;"'!"&amp;"G2")</f>
        <v>18</v>
      </c>
      <c r="BV265" s="1018">
        <f t="shared" ref="BV265:BV275" ca="1" si="375">INDIRECT("'"&amp;AI265&amp;"'!"&amp;"G3")</f>
        <v>2.15</v>
      </c>
      <c r="BW265" s="1018">
        <v>0</v>
      </c>
      <c r="BX265" s="1018">
        <f t="shared" ref="BX265:BX275" ca="1" si="376">IF(BR265=0,0,1/(1/(BR265*$BY$3)+1/(BR265*AR265)+1/(BR265*$BY$4)))</f>
        <v>26.740778170793327</v>
      </c>
      <c r="BY265" s="1018">
        <f t="shared" ref="BY265:BY275" ca="1" si="377">IF(BS265=0,0,1/(1/(BS265*$BY$3)+1/(BS265*AS265)+1/(BS265*$BY$4)))</f>
        <v>44.104944696217672</v>
      </c>
      <c r="BZ265" s="1018">
        <f t="shared" ca="1" si="299"/>
        <v>8.0224826281176327</v>
      </c>
      <c r="CA265" s="1018">
        <f t="shared" ca="1" si="300"/>
        <v>35.999999985599999</v>
      </c>
      <c r="CB265" s="1018">
        <f t="shared" ref="CB265:CB275" ca="1" si="378">IF(BV265=0,0,1/(1/(BV265*$BY$3)+1/(BV265*AV265)+1/(BV265*$BY$4)))</f>
        <v>4.5133587786259541</v>
      </c>
      <c r="CC265" s="1018">
        <f t="shared" si="301"/>
        <v>0</v>
      </c>
      <c r="CD265" s="1018">
        <f t="shared" ref="CD265:CD275" ca="1" si="379">SUM(BX265:CC265)+(BR265+BS265+BT265+BU265+BV265)*BN265</f>
        <v>120.77813673890005</v>
      </c>
      <c r="CE265" s="1018">
        <f ca="1">0.34*BO265*(1/25)^0.66*(BR265+BS265+BU265+BV265)+0.6*BQ265*0.34</f>
        <v>80.760187625837858</v>
      </c>
      <c r="CF265" s="1018">
        <f t="shared" ca="1" si="303"/>
        <v>6.0461497309421368</v>
      </c>
      <c r="CG265" s="1018">
        <f t="shared" ca="1" si="304"/>
        <v>10066.597456029418</v>
      </c>
    </row>
    <row r="266" spans="4:85" x14ac:dyDescent="0.25">
      <c r="D266" s="1"/>
      <c r="F266" s="1"/>
      <c r="G266" s="3"/>
      <c r="H266" s="6"/>
      <c r="I266" s="3"/>
      <c r="J266" s="6"/>
      <c r="K266" s="8"/>
      <c r="L266" s="6"/>
      <c r="M266" s="1"/>
      <c r="N266" s="1"/>
      <c r="O266" s="1" t="s">
        <v>18</v>
      </c>
      <c r="P266" s="4"/>
      <c r="Q266" s="1" t="s">
        <v>7</v>
      </c>
      <c r="R266" s="4"/>
      <c r="S266" s="1"/>
      <c r="T266" s="77"/>
      <c r="U266" s="294"/>
      <c r="W266" s="176">
        <f t="shared" si="367"/>
        <v>0</v>
      </c>
      <c r="X266" s="176">
        <f t="shared" ref="X266:X275" si="380">W266</f>
        <v>0</v>
      </c>
      <c r="Y266" s="34">
        <f>X266/Calculation_sheet!M$67</f>
        <v>0</v>
      </c>
      <c r="Z266" s="176">
        <f ca="1">IF(AN266&gt;0,Y266*Calculation_sheet!C$87,0)</f>
        <v>0</v>
      </c>
      <c r="AA266" s="176">
        <f t="shared" ref="AA266:AA329" ca="1" si="381">Y266-Z266</f>
        <v>0</v>
      </c>
      <c r="AB266" s="176">
        <f ca="1">IF(AP266&gt;0,AA266*Calculation_sheet!C$94,0)</f>
        <v>0</v>
      </c>
      <c r="AC266" s="176">
        <f t="shared" ca="1" si="368"/>
        <v>0</v>
      </c>
      <c r="AD266" s="958">
        <f ca="1">AC266*Calculation_sheet!C$99</f>
        <v>0</v>
      </c>
      <c r="AE266" s="176">
        <f t="shared" ca="1" si="368"/>
        <v>0</v>
      </c>
      <c r="AF266" s="176">
        <f t="shared" ref="AF266:AF275" ca="1" si="382">Y266-AB266</f>
        <v>0</v>
      </c>
      <c r="AG266" s="958">
        <f ca="1">AF266*User_sheet!B$77/100</f>
        <v>0</v>
      </c>
      <c r="AH266" s="313"/>
      <c r="AI266" s="886">
        <v>102</v>
      </c>
      <c r="AJ266" s="985"/>
      <c r="AK266" s="1020">
        <f t="shared" ca="1" si="298"/>
        <v>120.77813673890005</v>
      </c>
      <c r="AL266" s="954">
        <f ca="1">AK266/'102'!I$24</f>
        <v>0.43723046370952989</v>
      </c>
      <c r="AM266" s="954">
        <f ca="1">0.8*(AK266*30+'102'!D$17*0.34*30*1)</f>
        <v>5559.0126504608743</v>
      </c>
      <c r="AN266" s="954">
        <f ca="1">IF(AM266&lt;User_sheet!B$50,Y266,0)</f>
        <v>0</v>
      </c>
      <c r="AO266" s="954">
        <f ca="1">20-(User_sheet!B$57/('Freestanding '!AK266+'102'!D$17*1*0.34))</f>
        <v>-4.6086865783006452</v>
      </c>
      <c r="AP266" s="954">
        <f ca="1">IF(AO266&lt;User_sheet!B$59,0,BC266*AA266)</f>
        <v>0</v>
      </c>
      <c r="AQ266" s="985"/>
      <c r="AR266" s="883">
        <v>0.32</v>
      </c>
      <c r="AS266" s="883">
        <v>0.43</v>
      </c>
      <c r="AT266" s="883">
        <v>0.43</v>
      </c>
      <c r="AU266" s="883">
        <v>2</v>
      </c>
      <c r="AV266" s="883">
        <v>3.3</v>
      </c>
      <c r="AW266" s="883">
        <v>14356</v>
      </c>
      <c r="AX266" s="883">
        <v>74834</v>
      </c>
      <c r="AY266" s="883">
        <v>69246</v>
      </c>
      <c r="AZ266" s="886">
        <v>0</v>
      </c>
      <c r="BA266" s="886">
        <v>0</v>
      </c>
      <c r="BB266" s="883">
        <v>0.6</v>
      </c>
      <c r="BC266" s="888">
        <v>1</v>
      </c>
      <c r="BD266" s="889">
        <v>0</v>
      </c>
      <c r="BE266" s="889">
        <v>0</v>
      </c>
      <c r="BF266" s="890">
        <v>0</v>
      </c>
      <c r="BG266" s="889">
        <v>1</v>
      </c>
      <c r="BH266" s="889">
        <v>0</v>
      </c>
      <c r="BI266" s="890">
        <v>0</v>
      </c>
      <c r="BJ266" s="889">
        <v>0</v>
      </c>
      <c r="BK266" s="889">
        <v>0</v>
      </c>
      <c r="BL266" s="889">
        <v>1</v>
      </c>
      <c r="BM266" s="890">
        <v>0</v>
      </c>
      <c r="BN266" s="958">
        <v>5.0000000000000001E-3</v>
      </c>
      <c r="BO266" s="959">
        <v>2.5</v>
      </c>
      <c r="BP266" s="1018">
        <f t="shared" ca="1" si="369"/>
        <v>121.5</v>
      </c>
      <c r="BQ266" s="1018">
        <f t="shared" ca="1" si="370"/>
        <v>287.05844999999999</v>
      </c>
      <c r="BR266" s="1018">
        <f t="shared" ca="1" si="371"/>
        <v>88.2</v>
      </c>
      <c r="BS266" s="1018">
        <f t="shared" ca="1" si="372"/>
        <v>110.2144959090909</v>
      </c>
      <c r="BT266" s="1018">
        <f t="shared" ca="1" si="373"/>
        <v>60.75</v>
      </c>
      <c r="BU266" s="1018">
        <f t="shared" ca="1" si="374"/>
        <v>18</v>
      </c>
      <c r="BV266" s="1018">
        <f t="shared" ca="1" si="375"/>
        <v>2.15</v>
      </c>
      <c r="BW266" s="1018">
        <v>0</v>
      </c>
      <c r="BX266" s="1018">
        <f t="shared" ca="1" si="376"/>
        <v>26.740778170793327</v>
      </c>
      <c r="BY266" s="1018">
        <f t="shared" ca="1" si="377"/>
        <v>44.104944696217672</v>
      </c>
      <c r="BZ266" s="1018">
        <f t="shared" ca="1" si="299"/>
        <v>8.0224826281176327</v>
      </c>
      <c r="CA266" s="1018">
        <f t="shared" ca="1" si="300"/>
        <v>35.999999985599999</v>
      </c>
      <c r="CB266" s="1018">
        <f t="shared" ca="1" si="378"/>
        <v>4.5133587786259541</v>
      </c>
      <c r="CC266" s="1018">
        <f t="shared" si="301"/>
        <v>0</v>
      </c>
      <c r="CD266" s="1018">
        <f t="shared" ca="1" si="379"/>
        <v>120.77813673890005</v>
      </c>
      <c r="CE266" s="1018">
        <f t="shared" ref="CE266:CE275" ca="1" si="383">0.34*BO266*(1/25)^0.66*(BR266+BS266+BU266+BV266)+0.6*BQ266*0.34</f>
        <v>80.760187625837858</v>
      </c>
      <c r="CF266" s="1018">
        <f t="shared" ca="1" si="303"/>
        <v>6.0461497309421368</v>
      </c>
      <c r="CG266" s="1018">
        <f t="shared" ca="1" si="304"/>
        <v>10066.597456029418</v>
      </c>
    </row>
    <row r="267" spans="4:85" x14ac:dyDescent="0.25">
      <c r="D267" s="1"/>
      <c r="F267" s="1"/>
      <c r="G267" s="3"/>
      <c r="H267" s="6"/>
      <c r="I267" s="3"/>
      <c r="J267" s="6"/>
      <c r="K267" s="8"/>
      <c r="L267" s="6"/>
      <c r="M267" s="1"/>
      <c r="N267" s="1"/>
      <c r="O267" s="1"/>
      <c r="P267" s="1"/>
      <c r="Q267" s="1" t="s">
        <v>16</v>
      </c>
      <c r="R267" s="4"/>
      <c r="S267" s="1"/>
      <c r="T267" s="77"/>
      <c r="U267" s="294"/>
      <c r="W267" s="176">
        <f t="shared" si="367"/>
        <v>0</v>
      </c>
      <c r="X267" s="176">
        <f t="shared" si="380"/>
        <v>0</v>
      </c>
      <c r="Y267" s="34">
        <f>X267/Calculation_sheet!M$67</f>
        <v>0</v>
      </c>
      <c r="Z267" s="176">
        <f ca="1">IF(AN267&gt;0,Y267*Calculation_sheet!C$87,0)</f>
        <v>0</v>
      </c>
      <c r="AA267" s="176">
        <f t="shared" ca="1" si="381"/>
        <v>0</v>
      </c>
      <c r="AB267" s="176">
        <f ca="1">IF(AP267&gt;0,AA267*Calculation_sheet!C$94,0)</f>
        <v>0</v>
      </c>
      <c r="AC267" s="176">
        <f t="shared" ca="1" si="368"/>
        <v>0</v>
      </c>
      <c r="AD267" s="958">
        <f ca="1">AC267*Calculation_sheet!C$99</f>
        <v>0</v>
      </c>
      <c r="AE267" s="176">
        <f t="shared" ca="1" si="368"/>
        <v>0</v>
      </c>
      <c r="AF267" s="176">
        <f t="shared" ca="1" si="382"/>
        <v>0</v>
      </c>
      <c r="AG267" s="958">
        <f ca="1">AF267*User_sheet!B$77/100</f>
        <v>0</v>
      </c>
      <c r="AH267" s="313"/>
      <c r="AI267" s="886">
        <v>102</v>
      </c>
      <c r="AJ267" s="985"/>
      <c r="AK267" s="1020">
        <f t="shared" ca="1" si="298"/>
        <v>120.77813673890005</v>
      </c>
      <c r="AL267" s="954">
        <f ca="1">AK267/'102'!I$24</f>
        <v>0.43723046370952989</v>
      </c>
      <c r="AM267" s="954">
        <f ca="1">0.8*(AK267*30+'102'!D$17*0.34*30*1)</f>
        <v>5559.0126504608743</v>
      </c>
      <c r="AN267" s="954">
        <f ca="1">IF(AM267&lt;User_sheet!B$50,Y267,0)</f>
        <v>0</v>
      </c>
      <c r="AO267" s="954">
        <f ca="1">20-(User_sheet!B$57/('Freestanding '!AK267+'102'!D$17*1*0.34))</f>
        <v>-4.6086865783006452</v>
      </c>
      <c r="AP267" s="954">
        <f ca="1">IF(AO267&lt;User_sheet!B$59,0,BC267*AA267)</f>
        <v>0</v>
      </c>
      <c r="AQ267" s="985"/>
      <c r="AR267" s="883">
        <v>0.32</v>
      </c>
      <c r="AS267" s="883">
        <v>0.43</v>
      </c>
      <c r="AT267" s="883">
        <v>0.43</v>
      </c>
      <c r="AU267" s="883">
        <v>2</v>
      </c>
      <c r="AV267" s="883">
        <v>3.3</v>
      </c>
      <c r="AW267" s="883">
        <v>14356</v>
      </c>
      <c r="AX267" s="883">
        <v>74834</v>
      </c>
      <c r="AY267" s="883">
        <v>69246</v>
      </c>
      <c r="AZ267" s="886">
        <v>0</v>
      </c>
      <c r="BA267" s="886">
        <v>0</v>
      </c>
      <c r="BB267" s="883">
        <v>0.6</v>
      </c>
      <c r="BC267" s="888">
        <v>1</v>
      </c>
      <c r="BD267" s="889">
        <v>0</v>
      </c>
      <c r="BE267" s="889">
        <v>0</v>
      </c>
      <c r="BF267" s="890">
        <v>0</v>
      </c>
      <c r="BG267" s="889">
        <v>0</v>
      </c>
      <c r="BH267" s="889">
        <v>1</v>
      </c>
      <c r="BI267" s="890">
        <v>0</v>
      </c>
      <c r="BJ267" s="889">
        <v>1</v>
      </c>
      <c r="BK267" s="889">
        <v>0</v>
      </c>
      <c r="BL267" s="889">
        <v>0</v>
      </c>
      <c r="BM267" s="890">
        <v>0</v>
      </c>
      <c r="BN267" s="958">
        <v>5.0000000000000001E-3</v>
      </c>
      <c r="BO267" s="959">
        <v>2.5</v>
      </c>
      <c r="BP267" s="1018">
        <f t="shared" ca="1" si="369"/>
        <v>121.5</v>
      </c>
      <c r="BQ267" s="1018">
        <f t="shared" ca="1" si="370"/>
        <v>287.05844999999999</v>
      </c>
      <c r="BR267" s="1018">
        <f t="shared" ca="1" si="371"/>
        <v>88.2</v>
      </c>
      <c r="BS267" s="1018">
        <f t="shared" ca="1" si="372"/>
        <v>110.2144959090909</v>
      </c>
      <c r="BT267" s="1018">
        <f t="shared" ca="1" si="373"/>
        <v>60.75</v>
      </c>
      <c r="BU267" s="1018">
        <f t="shared" ca="1" si="374"/>
        <v>18</v>
      </c>
      <c r="BV267" s="1018">
        <f t="shared" ca="1" si="375"/>
        <v>2.15</v>
      </c>
      <c r="BW267" s="1018">
        <v>0</v>
      </c>
      <c r="BX267" s="1018">
        <f t="shared" ca="1" si="376"/>
        <v>26.740778170793327</v>
      </c>
      <c r="BY267" s="1018">
        <f t="shared" ca="1" si="377"/>
        <v>44.104944696217672</v>
      </c>
      <c r="BZ267" s="1018">
        <f t="shared" ca="1" si="299"/>
        <v>8.0224826281176327</v>
      </c>
      <c r="CA267" s="1018">
        <f t="shared" ca="1" si="300"/>
        <v>35.999999985599999</v>
      </c>
      <c r="CB267" s="1018">
        <f t="shared" ca="1" si="378"/>
        <v>4.5133587786259541</v>
      </c>
      <c r="CC267" s="1018">
        <f t="shared" si="301"/>
        <v>0</v>
      </c>
      <c r="CD267" s="1018">
        <f t="shared" ca="1" si="379"/>
        <v>120.77813673890005</v>
      </c>
      <c r="CE267" s="1018">
        <f t="shared" ca="1" si="383"/>
        <v>80.760187625837858</v>
      </c>
      <c r="CF267" s="1018">
        <f t="shared" ca="1" si="303"/>
        <v>6.0461497309421368</v>
      </c>
      <c r="CG267" s="1018">
        <f t="shared" ca="1" si="304"/>
        <v>10066.597456029418</v>
      </c>
    </row>
    <row r="268" spans="4:85" x14ac:dyDescent="0.25">
      <c r="D268" s="1"/>
      <c r="F268" s="1"/>
      <c r="G268" s="3"/>
      <c r="H268" s="6"/>
      <c r="I268" s="3"/>
      <c r="J268" s="6"/>
      <c r="K268" s="8"/>
      <c r="L268" s="6"/>
      <c r="M268" s="1" t="s">
        <v>16</v>
      </c>
      <c r="N268" s="4"/>
      <c r="O268" s="1" t="s">
        <v>19</v>
      </c>
      <c r="P268" s="4"/>
      <c r="Q268" s="1" t="s">
        <v>7</v>
      </c>
      <c r="R268" s="4"/>
      <c r="S268" s="1"/>
      <c r="T268" s="77"/>
      <c r="U268" s="294"/>
      <c r="W268" s="176">
        <f t="shared" si="367"/>
        <v>0</v>
      </c>
      <c r="X268" s="176">
        <f t="shared" si="380"/>
        <v>0</v>
      </c>
      <c r="Y268" s="34">
        <f>X268/Calculation_sheet!M$67</f>
        <v>0</v>
      </c>
      <c r="Z268" s="176">
        <f ca="1">IF(AN268&gt;0,Y268*Calculation_sheet!C$87,0)</f>
        <v>0</v>
      </c>
      <c r="AA268" s="176">
        <f t="shared" ca="1" si="381"/>
        <v>0</v>
      </c>
      <c r="AB268" s="176">
        <f ca="1">IF(AP268&gt;0,AA268*Calculation_sheet!C$94,0)</f>
        <v>0</v>
      </c>
      <c r="AC268" s="176">
        <f t="shared" ca="1" si="368"/>
        <v>0</v>
      </c>
      <c r="AD268" s="958">
        <f ca="1">AC268*Calculation_sheet!C$99</f>
        <v>0</v>
      </c>
      <c r="AE268" s="176">
        <f t="shared" ca="1" si="368"/>
        <v>0</v>
      </c>
      <c r="AF268" s="176">
        <f t="shared" ca="1" si="382"/>
        <v>0</v>
      </c>
      <c r="AG268" s="958">
        <f ca="1">AF268*User_sheet!B$77/100</f>
        <v>0</v>
      </c>
      <c r="AH268" s="313"/>
      <c r="AI268" s="886">
        <v>102</v>
      </c>
      <c r="AJ268" s="985"/>
      <c r="AK268" s="1020">
        <f t="shared" ca="1" si="298"/>
        <v>120.77813673890005</v>
      </c>
      <c r="AL268" s="954">
        <f ca="1">AK268/'102'!I$24</f>
        <v>0.43723046370952989</v>
      </c>
      <c r="AM268" s="954">
        <f ca="1">0.8*(AK268*30+'102'!D$17*0.34*30*1)</f>
        <v>5559.0126504608743</v>
      </c>
      <c r="AN268" s="954">
        <f ca="1">IF(AM268&lt;User_sheet!B$50,Y268,0)</f>
        <v>0</v>
      </c>
      <c r="AO268" s="954">
        <f ca="1">20-(User_sheet!B$57/('Freestanding '!AK268+'102'!D$17*1*0.34))</f>
        <v>-4.6086865783006452</v>
      </c>
      <c r="AP268" s="954">
        <f ca="1">IF(AO268&lt;User_sheet!B$59,0,BC268*AA268)</f>
        <v>0</v>
      </c>
      <c r="AQ268" s="985"/>
      <c r="AR268" s="883">
        <v>0.32</v>
      </c>
      <c r="AS268" s="883">
        <v>0.43</v>
      </c>
      <c r="AT268" s="883">
        <v>0.43</v>
      </c>
      <c r="AU268" s="883">
        <v>2</v>
      </c>
      <c r="AV268" s="883">
        <v>3.3</v>
      </c>
      <c r="AW268" s="883">
        <v>14356</v>
      </c>
      <c r="AX268" s="883">
        <v>74834</v>
      </c>
      <c r="AY268" s="883">
        <v>69246</v>
      </c>
      <c r="AZ268" s="886">
        <v>0</v>
      </c>
      <c r="BA268" s="886">
        <v>0</v>
      </c>
      <c r="BB268" s="883">
        <v>0.6</v>
      </c>
      <c r="BC268" s="888">
        <v>1</v>
      </c>
      <c r="BD268" s="889">
        <v>0</v>
      </c>
      <c r="BE268" s="889">
        <v>0</v>
      </c>
      <c r="BF268" s="890">
        <v>0</v>
      </c>
      <c r="BG268" s="889">
        <v>0</v>
      </c>
      <c r="BH268" s="889">
        <v>1</v>
      </c>
      <c r="BI268" s="890">
        <v>0</v>
      </c>
      <c r="BJ268" s="889">
        <v>0</v>
      </c>
      <c r="BK268" s="889">
        <v>0</v>
      </c>
      <c r="BL268" s="889">
        <v>1</v>
      </c>
      <c r="BM268" s="890">
        <v>0</v>
      </c>
      <c r="BN268" s="958">
        <v>5.0000000000000001E-3</v>
      </c>
      <c r="BO268" s="959">
        <v>2.5</v>
      </c>
      <c r="BP268" s="1018">
        <f t="shared" ca="1" si="369"/>
        <v>121.5</v>
      </c>
      <c r="BQ268" s="1018">
        <f t="shared" ca="1" si="370"/>
        <v>287.05844999999999</v>
      </c>
      <c r="BR268" s="1018">
        <f t="shared" ca="1" si="371"/>
        <v>88.2</v>
      </c>
      <c r="BS268" s="1018">
        <f t="shared" ca="1" si="372"/>
        <v>110.2144959090909</v>
      </c>
      <c r="BT268" s="1018">
        <f t="shared" ca="1" si="373"/>
        <v>60.75</v>
      </c>
      <c r="BU268" s="1018">
        <f t="shared" ca="1" si="374"/>
        <v>18</v>
      </c>
      <c r="BV268" s="1018">
        <f t="shared" ca="1" si="375"/>
        <v>2.15</v>
      </c>
      <c r="BW268" s="1018">
        <v>0</v>
      </c>
      <c r="BX268" s="1018">
        <f t="shared" ca="1" si="376"/>
        <v>26.740778170793327</v>
      </c>
      <c r="BY268" s="1018">
        <f t="shared" ca="1" si="377"/>
        <v>44.104944696217672</v>
      </c>
      <c r="BZ268" s="1018">
        <f t="shared" ca="1" si="299"/>
        <v>8.0224826281176327</v>
      </c>
      <c r="CA268" s="1018">
        <f t="shared" ca="1" si="300"/>
        <v>35.999999985599999</v>
      </c>
      <c r="CB268" s="1018">
        <f t="shared" ca="1" si="378"/>
        <v>4.5133587786259541</v>
      </c>
      <c r="CC268" s="1018">
        <f t="shared" si="301"/>
        <v>0</v>
      </c>
      <c r="CD268" s="1018">
        <f t="shared" ca="1" si="379"/>
        <v>120.77813673890005</v>
      </c>
      <c r="CE268" s="1018">
        <f t="shared" ca="1" si="383"/>
        <v>80.760187625837858</v>
      </c>
      <c r="CF268" s="1018">
        <f t="shared" ca="1" si="303"/>
        <v>6.0461497309421368</v>
      </c>
      <c r="CG268" s="1018">
        <f t="shared" ca="1" si="304"/>
        <v>10066.597456029418</v>
      </c>
    </row>
    <row r="269" spans="4:85" x14ac:dyDescent="0.25">
      <c r="D269" s="1"/>
      <c r="F269" s="1"/>
      <c r="G269" s="3"/>
      <c r="H269" s="6"/>
      <c r="I269" s="3"/>
      <c r="J269" s="6"/>
      <c r="K269" s="8"/>
      <c r="L269" s="6"/>
      <c r="M269" s="1"/>
      <c r="N269" s="1"/>
      <c r="O269" s="1"/>
      <c r="P269" s="1"/>
      <c r="Q269" s="1" t="s">
        <v>22</v>
      </c>
      <c r="R269" s="4"/>
      <c r="S269" s="1"/>
      <c r="T269" s="77"/>
      <c r="U269" s="294"/>
      <c r="W269" s="176">
        <f t="shared" si="367"/>
        <v>0</v>
      </c>
      <c r="X269" s="176">
        <f t="shared" si="380"/>
        <v>0</v>
      </c>
      <c r="Y269" s="34">
        <f>X269/Calculation_sheet!M$67</f>
        <v>0</v>
      </c>
      <c r="Z269" s="176">
        <f ca="1">IF(AN269&gt;0,Y269*Calculation_sheet!C$87,0)</f>
        <v>0</v>
      </c>
      <c r="AA269" s="176">
        <f t="shared" ca="1" si="381"/>
        <v>0</v>
      </c>
      <c r="AB269" s="176">
        <f ca="1">IF(AP269&gt;0,AA269*Calculation_sheet!C$94,0)</f>
        <v>0</v>
      </c>
      <c r="AC269" s="176">
        <f t="shared" ca="1" si="368"/>
        <v>0</v>
      </c>
      <c r="AD269" s="958">
        <f ca="1">AC269*Calculation_sheet!C$99</f>
        <v>0</v>
      </c>
      <c r="AE269" s="176">
        <f t="shared" ca="1" si="368"/>
        <v>0</v>
      </c>
      <c r="AF269" s="176">
        <f t="shared" ca="1" si="382"/>
        <v>0</v>
      </c>
      <c r="AG269" s="958">
        <f ca="1">AF269*User_sheet!B$77/100</f>
        <v>0</v>
      </c>
      <c r="AH269" s="313"/>
      <c r="AI269" s="886">
        <v>102</v>
      </c>
      <c r="AJ269" s="985"/>
      <c r="AK269" s="1020">
        <f t="shared" ca="1" si="298"/>
        <v>120.77813673890005</v>
      </c>
      <c r="AL269" s="954">
        <f ca="1">AK269/'102'!I$24</f>
        <v>0.43723046370952989</v>
      </c>
      <c r="AM269" s="954">
        <f ca="1">0.8*(AK269*30+'102'!D$17*0.34*30*1)</f>
        <v>5559.0126504608743</v>
      </c>
      <c r="AN269" s="954">
        <f ca="1">IF(AM269&lt;User_sheet!B$50,Y269,0)</f>
        <v>0</v>
      </c>
      <c r="AO269" s="954">
        <f ca="1">20-(User_sheet!B$57/('Freestanding '!AK269+'102'!D$17*1*0.34))</f>
        <v>-4.6086865783006452</v>
      </c>
      <c r="AP269" s="954">
        <f ca="1">IF(AO269&lt;User_sheet!B$59,0,BC269*AA269)</f>
        <v>0</v>
      </c>
      <c r="AQ269" s="985"/>
      <c r="AR269" s="883">
        <v>0.32</v>
      </c>
      <c r="AS269" s="883">
        <v>0.43</v>
      </c>
      <c r="AT269" s="883">
        <v>0.43</v>
      </c>
      <c r="AU269" s="883">
        <v>2</v>
      </c>
      <c r="AV269" s="883">
        <v>3.3</v>
      </c>
      <c r="AW269" s="883">
        <v>14356</v>
      </c>
      <c r="AX269" s="883">
        <v>74834</v>
      </c>
      <c r="AY269" s="883">
        <v>69246</v>
      </c>
      <c r="AZ269" s="886">
        <v>0</v>
      </c>
      <c r="BA269" s="886">
        <v>0</v>
      </c>
      <c r="BB269" s="883">
        <v>0.6</v>
      </c>
      <c r="BC269" s="888">
        <v>0</v>
      </c>
      <c r="BD269" s="889">
        <v>1</v>
      </c>
      <c r="BE269" s="889">
        <v>0</v>
      </c>
      <c r="BF269" s="890">
        <v>0</v>
      </c>
      <c r="BG269" s="889">
        <v>1</v>
      </c>
      <c r="BH269" s="889">
        <v>0</v>
      </c>
      <c r="BI269" s="890">
        <v>0</v>
      </c>
      <c r="BJ269" s="889">
        <v>0</v>
      </c>
      <c r="BK269" s="889">
        <v>1</v>
      </c>
      <c r="BL269" s="889">
        <v>0</v>
      </c>
      <c r="BM269" s="890">
        <v>0</v>
      </c>
      <c r="BN269" s="958">
        <v>5.0000000000000001E-3</v>
      </c>
      <c r="BO269" s="959">
        <v>2.5</v>
      </c>
      <c r="BP269" s="1018">
        <f t="shared" ca="1" si="369"/>
        <v>121.5</v>
      </c>
      <c r="BQ269" s="1018">
        <f t="shared" ca="1" si="370"/>
        <v>287.05844999999999</v>
      </c>
      <c r="BR269" s="1018">
        <f t="shared" ca="1" si="371"/>
        <v>88.2</v>
      </c>
      <c r="BS269" s="1018">
        <f t="shared" ca="1" si="372"/>
        <v>110.2144959090909</v>
      </c>
      <c r="BT269" s="1018">
        <f t="shared" ca="1" si="373"/>
        <v>60.75</v>
      </c>
      <c r="BU269" s="1018">
        <f t="shared" ca="1" si="374"/>
        <v>18</v>
      </c>
      <c r="BV269" s="1018">
        <f t="shared" ca="1" si="375"/>
        <v>2.15</v>
      </c>
      <c r="BW269" s="1018">
        <v>0</v>
      </c>
      <c r="BX269" s="1018">
        <f t="shared" ca="1" si="376"/>
        <v>26.740778170793327</v>
      </c>
      <c r="BY269" s="1018">
        <f t="shared" ca="1" si="377"/>
        <v>44.104944696217672</v>
      </c>
      <c r="BZ269" s="1018">
        <f t="shared" ca="1" si="299"/>
        <v>8.0224826281176327</v>
      </c>
      <c r="CA269" s="1018">
        <f t="shared" ca="1" si="300"/>
        <v>35.999999985599999</v>
      </c>
      <c r="CB269" s="1018">
        <f t="shared" ca="1" si="378"/>
        <v>4.5133587786259541</v>
      </c>
      <c r="CC269" s="1018">
        <f t="shared" si="301"/>
        <v>0</v>
      </c>
      <c r="CD269" s="1018">
        <f t="shared" ca="1" si="379"/>
        <v>120.77813673890005</v>
      </c>
      <c r="CE269" s="1018">
        <f t="shared" ca="1" si="383"/>
        <v>80.760187625837858</v>
      </c>
      <c r="CF269" s="1018">
        <f t="shared" ca="1" si="303"/>
        <v>6.0461497309421368</v>
      </c>
      <c r="CG269" s="1018">
        <f t="shared" ca="1" si="304"/>
        <v>10066.597456029418</v>
      </c>
    </row>
    <row r="270" spans="4:85" x14ac:dyDescent="0.25">
      <c r="D270" s="1"/>
      <c r="F270" s="1"/>
      <c r="G270" s="3"/>
      <c r="H270" s="6"/>
      <c r="I270" s="3"/>
      <c r="J270" s="3" t="s">
        <v>143</v>
      </c>
      <c r="K270" s="8"/>
      <c r="L270" s="6"/>
      <c r="M270" s="1"/>
      <c r="N270" s="1"/>
      <c r="O270" s="1" t="s">
        <v>18</v>
      </c>
      <c r="P270" s="4"/>
      <c r="Q270" s="1" t="s">
        <v>7</v>
      </c>
      <c r="R270" s="4"/>
      <c r="S270" s="1"/>
      <c r="T270" s="77"/>
      <c r="U270" s="294"/>
      <c r="W270" s="176">
        <f t="shared" si="367"/>
        <v>0</v>
      </c>
      <c r="X270" s="176">
        <f t="shared" si="380"/>
        <v>0</v>
      </c>
      <c r="Y270" s="34">
        <f>X270/Calculation_sheet!M$67</f>
        <v>0</v>
      </c>
      <c r="Z270" s="176">
        <f ca="1">IF(AN270&gt;0,Y270*Calculation_sheet!C$87,0)</f>
        <v>0</v>
      </c>
      <c r="AA270" s="176">
        <f t="shared" ca="1" si="381"/>
        <v>0</v>
      </c>
      <c r="AB270" s="176">
        <f ca="1">IF(AP270&gt;0,AA270*Calculation_sheet!C$94,0)</f>
        <v>0</v>
      </c>
      <c r="AC270" s="176">
        <f t="shared" ca="1" si="368"/>
        <v>0</v>
      </c>
      <c r="AD270" s="958">
        <f ca="1">AC270*Calculation_sheet!C$99</f>
        <v>0</v>
      </c>
      <c r="AE270" s="176">
        <f t="shared" ca="1" si="368"/>
        <v>0</v>
      </c>
      <c r="AF270" s="176">
        <f t="shared" ca="1" si="382"/>
        <v>0</v>
      </c>
      <c r="AG270" s="958">
        <f ca="1">AF270*User_sheet!B$77/100</f>
        <v>0</v>
      </c>
      <c r="AH270" s="313"/>
      <c r="AI270" s="886">
        <v>102</v>
      </c>
      <c r="AJ270" s="985"/>
      <c r="AK270" s="1020">
        <f t="shared" ref="AK270:AK333" ca="1" si="384">CD270</f>
        <v>120.77813673890005</v>
      </c>
      <c r="AL270" s="954">
        <f ca="1">AK270/'102'!I$24</f>
        <v>0.43723046370952989</v>
      </c>
      <c r="AM270" s="954">
        <f ca="1">0.8*(AK270*30+'102'!D$17*0.34*30*1)</f>
        <v>5559.0126504608743</v>
      </c>
      <c r="AN270" s="954">
        <f ca="1">IF(AM270&lt;User_sheet!B$50,Y270,0)</f>
        <v>0</v>
      </c>
      <c r="AO270" s="954">
        <f ca="1">20-(User_sheet!B$57/('Freestanding '!AK270+'102'!D$17*1*0.34))</f>
        <v>-4.6086865783006452</v>
      </c>
      <c r="AP270" s="954">
        <f ca="1">IF(AO270&lt;User_sheet!B$59,0,BC270*AA270)</f>
        <v>0</v>
      </c>
      <c r="AQ270" s="985"/>
      <c r="AR270" s="883">
        <v>0.32</v>
      </c>
      <c r="AS270" s="883">
        <v>0.43</v>
      </c>
      <c r="AT270" s="883">
        <v>0.43</v>
      </c>
      <c r="AU270" s="883">
        <v>2</v>
      </c>
      <c r="AV270" s="883">
        <v>3.3</v>
      </c>
      <c r="AW270" s="883">
        <v>14356</v>
      </c>
      <c r="AX270" s="883">
        <v>74834</v>
      </c>
      <c r="AY270" s="883">
        <v>69246</v>
      </c>
      <c r="AZ270" s="886">
        <v>0</v>
      </c>
      <c r="BA270" s="886">
        <v>0</v>
      </c>
      <c r="BB270" s="883">
        <v>0.6</v>
      </c>
      <c r="BC270" s="888">
        <v>0</v>
      </c>
      <c r="BD270" s="889">
        <v>1</v>
      </c>
      <c r="BE270" s="889">
        <v>0</v>
      </c>
      <c r="BF270" s="890">
        <v>0</v>
      </c>
      <c r="BG270" s="889">
        <v>1</v>
      </c>
      <c r="BH270" s="889">
        <v>0</v>
      </c>
      <c r="BI270" s="890">
        <v>0</v>
      </c>
      <c r="BJ270" s="889">
        <v>0</v>
      </c>
      <c r="BK270" s="889">
        <v>0</v>
      </c>
      <c r="BL270" s="889">
        <v>1</v>
      </c>
      <c r="BM270" s="890">
        <v>0</v>
      </c>
      <c r="BN270" s="958">
        <v>5.0000000000000001E-3</v>
      </c>
      <c r="BO270" s="959">
        <v>2.5</v>
      </c>
      <c r="BP270" s="1018">
        <f t="shared" ca="1" si="369"/>
        <v>121.5</v>
      </c>
      <c r="BQ270" s="1018">
        <f t="shared" ca="1" si="370"/>
        <v>287.05844999999999</v>
      </c>
      <c r="BR270" s="1018">
        <f t="shared" ca="1" si="371"/>
        <v>88.2</v>
      </c>
      <c r="BS270" s="1018">
        <f t="shared" ca="1" si="372"/>
        <v>110.2144959090909</v>
      </c>
      <c r="BT270" s="1018">
        <f t="shared" ca="1" si="373"/>
        <v>60.75</v>
      </c>
      <c r="BU270" s="1018">
        <f t="shared" ca="1" si="374"/>
        <v>18</v>
      </c>
      <c r="BV270" s="1018">
        <f t="shared" ca="1" si="375"/>
        <v>2.15</v>
      </c>
      <c r="BW270" s="1018">
        <v>0</v>
      </c>
      <c r="BX270" s="1018">
        <f t="shared" ca="1" si="376"/>
        <v>26.740778170793327</v>
      </c>
      <c r="BY270" s="1018">
        <f t="shared" ca="1" si="377"/>
        <v>44.104944696217672</v>
      </c>
      <c r="BZ270" s="1018">
        <f t="shared" ref="BZ270:BZ333" ca="1" si="385">IF(BT270=0,0,1/(1/(BT270*$BY$3)+1/(BT270*AT270)+1/(BT270*$BY$4)))*0.33</f>
        <v>8.0224826281176327</v>
      </c>
      <c r="CA270" s="1018">
        <f t="shared" ref="CA270:CA333" ca="1" si="386">IF(BU270=0,0,1/(1/(BU270*$BY$5)+1/(BU270*AU270)+1/(BU270*$BY$6)))</f>
        <v>35.999999985599999</v>
      </c>
      <c r="CB270" s="1018">
        <f t="shared" ca="1" si="378"/>
        <v>4.5133587786259541</v>
      </c>
      <c r="CC270" s="1018">
        <f t="shared" ref="CC270:CC333" si="387">0.67*IF(BW270=0,0,1/(1/(BW270*$BY$3)+1/(BW270*AS270)+1/(BW270*$BY$4)))</f>
        <v>0</v>
      </c>
      <c r="CD270" s="1018">
        <f t="shared" ca="1" si="379"/>
        <v>120.77813673890005</v>
      </c>
      <c r="CE270" s="1018">
        <f t="shared" ca="1" si="383"/>
        <v>80.760187625837858</v>
      </c>
      <c r="CF270" s="1018">
        <f t="shared" ref="CF270:CF333" ca="1" si="388">(CD270+CE270)*($BY$7-$BV$5)/1000</f>
        <v>6.0461497309421368</v>
      </c>
      <c r="CG270" s="1018">
        <f t="shared" ref="CG270:CG333" ca="1" si="389">$BV$8*(CD270+CE270)*($BY$10-$BV$7)*24/1000</f>
        <v>10066.597456029418</v>
      </c>
    </row>
    <row r="271" spans="4:85" x14ac:dyDescent="0.25">
      <c r="D271" s="1"/>
      <c r="F271" s="1"/>
      <c r="G271" s="3"/>
      <c r="H271" s="6"/>
      <c r="I271" s="3"/>
      <c r="J271" s="6" t="s">
        <v>190</v>
      </c>
      <c r="K271" s="8"/>
      <c r="L271" s="6"/>
      <c r="M271" s="1"/>
      <c r="N271" s="1"/>
      <c r="O271" s="1"/>
      <c r="P271" s="1"/>
      <c r="Q271" s="1" t="s">
        <v>22</v>
      </c>
      <c r="R271" s="4"/>
      <c r="S271" s="1"/>
      <c r="T271" s="77"/>
      <c r="U271" s="294"/>
      <c r="W271" s="176">
        <f t="shared" si="367"/>
        <v>0</v>
      </c>
      <c r="X271" s="176">
        <f t="shared" si="380"/>
        <v>0</v>
      </c>
      <c r="Y271" s="34">
        <f>X271/Calculation_sheet!M$67</f>
        <v>0</v>
      </c>
      <c r="Z271" s="176">
        <f ca="1">IF(AN271&gt;0,Y271*Calculation_sheet!C$87,0)</f>
        <v>0</v>
      </c>
      <c r="AA271" s="176">
        <f t="shared" ca="1" si="381"/>
        <v>0</v>
      </c>
      <c r="AB271" s="176">
        <f ca="1">IF(AP271&gt;0,AA271*Calculation_sheet!C$94,0)</f>
        <v>0</v>
      </c>
      <c r="AC271" s="176">
        <f t="shared" ca="1" si="368"/>
        <v>0</v>
      </c>
      <c r="AD271" s="958">
        <f ca="1">AC271*Calculation_sheet!C$99</f>
        <v>0</v>
      </c>
      <c r="AE271" s="176">
        <f t="shared" ca="1" si="368"/>
        <v>0</v>
      </c>
      <c r="AF271" s="176">
        <f t="shared" ca="1" si="382"/>
        <v>0</v>
      </c>
      <c r="AG271" s="958">
        <f ca="1">AF271*User_sheet!B$77/100</f>
        <v>0</v>
      </c>
      <c r="AH271" s="313"/>
      <c r="AI271" s="886">
        <v>102</v>
      </c>
      <c r="AJ271" s="985"/>
      <c r="AK271" s="1020">
        <f t="shared" ca="1" si="384"/>
        <v>120.77813673890005</v>
      </c>
      <c r="AL271" s="954">
        <f ca="1">AK271/'102'!I$24</f>
        <v>0.43723046370952989</v>
      </c>
      <c r="AM271" s="954">
        <f ca="1">0.8*(AK271*30+'102'!D$17*0.34*30*1)</f>
        <v>5559.0126504608743</v>
      </c>
      <c r="AN271" s="954">
        <f ca="1">IF(AM271&lt;User_sheet!B$50,Y271,0)</f>
        <v>0</v>
      </c>
      <c r="AO271" s="954">
        <f ca="1">20-(User_sheet!B$57/('Freestanding '!AK271+'102'!D$17*1*0.34))</f>
        <v>-4.6086865783006452</v>
      </c>
      <c r="AP271" s="954">
        <f ca="1">IF(AO271&lt;User_sheet!B$59,0,BC271*AA271)</f>
        <v>0</v>
      </c>
      <c r="AQ271" s="985"/>
      <c r="AR271" s="883">
        <v>0.32</v>
      </c>
      <c r="AS271" s="883">
        <v>0.43</v>
      </c>
      <c r="AT271" s="883">
        <v>0.43</v>
      </c>
      <c r="AU271" s="883">
        <v>2</v>
      </c>
      <c r="AV271" s="883">
        <v>3.3</v>
      </c>
      <c r="AW271" s="883">
        <v>14356</v>
      </c>
      <c r="AX271" s="883">
        <v>74834</v>
      </c>
      <c r="AY271" s="883">
        <v>69246</v>
      </c>
      <c r="AZ271" s="886">
        <v>0</v>
      </c>
      <c r="BA271" s="886">
        <v>0</v>
      </c>
      <c r="BB271" s="883">
        <v>0.6</v>
      </c>
      <c r="BC271" s="888">
        <v>0</v>
      </c>
      <c r="BD271" s="889">
        <v>1</v>
      </c>
      <c r="BE271" s="889">
        <v>0</v>
      </c>
      <c r="BF271" s="890">
        <v>0</v>
      </c>
      <c r="BG271" s="889">
        <v>0</v>
      </c>
      <c r="BH271" s="889">
        <v>1</v>
      </c>
      <c r="BI271" s="890">
        <v>0</v>
      </c>
      <c r="BJ271" s="889">
        <v>0</v>
      </c>
      <c r="BK271" s="889">
        <v>1</v>
      </c>
      <c r="BL271" s="889">
        <v>0</v>
      </c>
      <c r="BM271" s="890">
        <v>0</v>
      </c>
      <c r="BN271" s="958">
        <v>5.0000000000000001E-3</v>
      </c>
      <c r="BO271" s="959">
        <v>2.5</v>
      </c>
      <c r="BP271" s="1018">
        <f t="shared" ca="1" si="369"/>
        <v>121.5</v>
      </c>
      <c r="BQ271" s="1018">
        <f t="shared" ca="1" si="370"/>
        <v>287.05844999999999</v>
      </c>
      <c r="BR271" s="1018">
        <f t="shared" ca="1" si="371"/>
        <v>88.2</v>
      </c>
      <c r="BS271" s="1018">
        <f t="shared" ca="1" si="372"/>
        <v>110.2144959090909</v>
      </c>
      <c r="BT271" s="1018">
        <f t="shared" ca="1" si="373"/>
        <v>60.75</v>
      </c>
      <c r="BU271" s="1018">
        <f t="shared" ca="1" si="374"/>
        <v>18</v>
      </c>
      <c r="BV271" s="1018">
        <f t="shared" ca="1" si="375"/>
        <v>2.15</v>
      </c>
      <c r="BW271" s="1018">
        <v>0</v>
      </c>
      <c r="BX271" s="1018">
        <f t="shared" ca="1" si="376"/>
        <v>26.740778170793327</v>
      </c>
      <c r="BY271" s="1018">
        <f t="shared" ca="1" si="377"/>
        <v>44.104944696217672</v>
      </c>
      <c r="BZ271" s="1018">
        <f t="shared" ca="1" si="385"/>
        <v>8.0224826281176327</v>
      </c>
      <c r="CA271" s="1018">
        <f t="shared" ca="1" si="386"/>
        <v>35.999999985599999</v>
      </c>
      <c r="CB271" s="1018">
        <f t="shared" ca="1" si="378"/>
        <v>4.5133587786259541</v>
      </c>
      <c r="CC271" s="1018">
        <f t="shared" si="387"/>
        <v>0</v>
      </c>
      <c r="CD271" s="1018">
        <f t="shared" ca="1" si="379"/>
        <v>120.77813673890005</v>
      </c>
      <c r="CE271" s="1018">
        <f t="shared" ca="1" si="383"/>
        <v>80.760187625837858</v>
      </c>
      <c r="CF271" s="1018">
        <f t="shared" ca="1" si="388"/>
        <v>6.0461497309421368</v>
      </c>
      <c r="CG271" s="1018">
        <f t="shared" ca="1" si="389"/>
        <v>10066.597456029418</v>
      </c>
    </row>
    <row r="272" spans="4:85" x14ac:dyDescent="0.25">
      <c r="D272" s="1"/>
      <c r="F272" s="1"/>
      <c r="G272" s="3"/>
      <c r="H272" s="6"/>
      <c r="I272" s="3"/>
      <c r="J272" s="6"/>
      <c r="K272" s="8"/>
      <c r="L272" s="6"/>
      <c r="M272" s="1" t="s">
        <v>22</v>
      </c>
      <c r="N272" s="4"/>
      <c r="O272" s="1" t="s">
        <v>20</v>
      </c>
      <c r="P272" s="4"/>
      <c r="Q272" s="1" t="s">
        <v>7</v>
      </c>
      <c r="R272" s="4"/>
      <c r="S272" s="1"/>
      <c r="T272" s="77"/>
      <c r="U272" s="294"/>
      <c r="W272" s="176">
        <f t="shared" si="367"/>
        <v>0</v>
      </c>
      <c r="X272" s="176">
        <f t="shared" si="380"/>
        <v>0</v>
      </c>
      <c r="Y272" s="34">
        <f>X272/Calculation_sheet!M$67</f>
        <v>0</v>
      </c>
      <c r="Z272" s="176">
        <f ca="1">IF(AN272&gt;0,Y272*Calculation_sheet!C$87,0)</f>
        <v>0</v>
      </c>
      <c r="AA272" s="176">
        <f t="shared" ca="1" si="381"/>
        <v>0</v>
      </c>
      <c r="AB272" s="176">
        <f ca="1">IF(AP272&gt;0,AA272*Calculation_sheet!C$94,0)</f>
        <v>0</v>
      </c>
      <c r="AC272" s="176">
        <f t="shared" ca="1" si="368"/>
        <v>0</v>
      </c>
      <c r="AD272" s="958">
        <f ca="1">AC272*Calculation_sheet!C$99</f>
        <v>0</v>
      </c>
      <c r="AE272" s="176">
        <f t="shared" ca="1" si="368"/>
        <v>0</v>
      </c>
      <c r="AF272" s="176">
        <f t="shared" ca="1" si="382"/>
        <v>0</v>
      </c>
      <c r="AG272" s="958">
        <f ca="1">AF272*User_sheet!B$77/100</f>
        <v>0</v>
      </c>
      <c r="AH272" s="313"/>
      <c r="AI272" s="886">
        <v>102</v>
      </c>
      <c r="AJ272" s="985"/>
      <c r="AK272" s="1020">
        <f t="shared" ca="1" si="384"/>
        <v>120.77813673890005</v>
      </c>
      <c r="AL272" s="954">
        <f ca="1">AK272/'102'!I$24</f>
        <v>0.43723046370952989</v>
      </c>
      <c r="AM272" s="954">
        <f ca="1">0.8*(AK272*30+'102'!D$17*0.34*30*1)</f>
        <v>5559.0126504608743</v>
      </c>
      <c r="AN272" s="954">
        <f ca="1">IF(AM272&lt;User_sheet!B$50,Y272,0)</f>
        <v>0</v>
      </c>
      <c r="AO272" s="954">
        <f ca="1">20-(User_sheet!B$57/('Freestanding '!AK272+'102'!D$17*1*0.34))</f>
        <v>-4.6086865783006452</v>
      </c>
      <c r="AP272" s="954">
        <f ca="1">IF(AO272&lt;User_sheet!B$59,0,BC272*AA272)</f>
        <v>0</v>
      </c>
      <c r="AQ272" s="985"/>
      <c r="AR272" s="883">
        <v>0.32</v>
      </c>
      <c r="AS272" s="883">
        <v>0.43</v>
      </c>
      <c r="AT272" s="883">
        <v>0.43</v>
      </c>
      <c r="AU272" s="883">
        <v>2</v>
      </c>
      <c r="AV272" s="883">
        <v>3.3</v>
      </c>
      <c r="AW272" s="883">
        <v>14356</v>
      </c>
      <c r="AX272" s="883">
        <v>74834</v>
      </c>
      <c r="AY272" s="883">
        <v>69246</v>
      </c>
      <c r="AZ272" s="886">
        <v>0</v>
      </c>
      <c r="BA272" s="886">
        <v>0</v>
      </c>
      <c r="BB272" s="883">
        <v>0.6</v>
      </c>
      <c r="BC272" s="888">
        <v>0</v>
      </c>
      <c r="BD272" s="889">
        <v>1</v>
      </c>
      <c r="BE272" s="889">
        <v>0</v>
      </c>
      <c r="BF272" s="890">
        <v>0</v>
      </c>
      <c r="BG272" s="889">
        <v>0</v>
      </c>
      <c r="BH272" s="889">
        <v>1</v>
      </c>
      <c r="BI272" s="890">
        <v>0</v>
      </c>
      <c r="BJ272" s="889">
        <v>0</v>
      </c>
      <c r="BK272" s="889">
        <v>0</v>
      </c>
      <c r="BL272" s="889">
        <v>1</v>
      </c>
      <c r="BM272" s="890">
        <v>0</v>
      </c>
      <c r="BN272" s="958">
        <v>5.0000000000000001E-3</v>
      </c>
      <c r="BO272" s="959">
        <v>2.5</v>
      </c>
      <c r="BP272" s="1018">
        <f t="shared" ca="1" si="369"/>
        <v>121.5</v>
      </c>
      <c r="BQ272" s="1018">
        <f t="shared" ca="1" si="370"/>
        <v>287.05844999999999</v>
      </c>
      <c r="BR272" s="1018">
        <f t="shared" ca="1" si="371"/>
        <v>88.2</v>
      </c>
      <c r="BS272" s="1018">
        <f t="shared" ca="1" si="372"/>
        <v>110.2144959090909</v>
      </c>
      <c r="BT272" s="1018">
        <f t="shared" ca="1" si="373"/>
        <v>60.75</v>
      </c>
      <c r="BU272" s="1018">
        <f t="shared" ca="1" si="374"/>
        <v>18</v>
      </c>
      <c r="BV272" s="1018">
        <f t="shared" ca="1" si="375"/>
        <v>2.15</v>
      </c>
      <c r="BW272" s="1018">
        <v>0</v>
      </c>
      <c r="BX272" s="1018">
        <f t="shared" ca="1" si="376"/>
        <v>26.740778170793327</v>
      </c>
      <c r="BY272" s="1018">
        <f t="shared" ca="1" si="377"/>
        <v>44.104944696217672</v>
      </c>
      <c r="BZ272" s="1018">
        <f t="shared" ca="1" si="385"/>
        <v>8.0224826281176327</v>
      </c>
      <c r="CA272" s="1018">
        <f t="shared" ca="1" si="386"/>
        <v>35.999999985599999</v>
      </c>
      <c r="CB272" s="1018">
        <f t="shared" ca="1" si="378"/>
        <v>4.5133587786259541</v>
      </c>
      <c r="CC272" s="1018">
        <f t="shared" si="387"/>
        <v>0</v>
      </c>
      <c r="CD272" s="1018">
        <f t="shared" ca="1" si="379"/>
        <v>120.77813673890005</v>
      </c>
      <c r="CE272" s="1018">
        <f t="shared" ca="1" si="383"/>
        <v>80.760187625837858</v>
      </c>
      <c r="CF272" s="1018">
        <f t="shared" ca="1" si="388"/>
        <v>6.0461497309421368</v>
      </c>
      <c r="CG272" s="1018">
        <f t="shared" ca="1" si="389"/>
        <v>10066.597456029418</v>
      </c>
    </row>
    <row r="273" spans="1:85" x14ac:dyDescent="0.25">
      <c r="D273" s="1"/>
      <c r="F273" s="1"/>
      <c r="G273" s="3"/>
      <c r="H273" s="6"/>
      <c r="I273" s="3"/>
      <c r="J273" s="6"/>
      <c r="K273" s="8"/>
      <c r="L273" s="6"/>
      <c r="M273" s="1" t="s">
        <v>7</v>
      </c>
      <c r="N273" s="4"/>
      <c r="O273" s="1" t="s">
        <v>23</v>
      </c>
      <c r="P273" s="4"/>
      <c r="Q273" s="1" t="s">
        <v>7</v>
      </c>
      <c r="R273" s="4"/>
      <c r="S273" s="1"/>
      <c r="T273" s="77"/>
      <c r="U273" s="294"/>
      <c r="W273" s="176">
        <f t="shared" si="367"/>
        <v>0</v>
      </c>
      <c r="X273" s="176">
        <f t="shared" si="380"/>
        <v>0</v>
      </c>
      <c r="Y273" s="34">
        <f>X273/Calculation_sheet!M$67</f>
        <v>0</v>
      </c>
      <c r="Z273" s="176">
        <f ca="1">IF(AN273&gt;0,Y273*Calculation_sheet!C$87,0)</f>
        <v>0</v>
      </c>
      <c r="AA273" s="176">
        <f t="shared" ca="1" si="381"/>
        <v>0</v>
      </c>
      <c r="AB273" s="176">
        <f ca="1">IF(AP273&gt;0,AA273*Calculation_sheet!C$94,0)</f>
        <v>0</v>
      </c>
      <c r="AC273" s="176">
        <f t="shared" ca="1" si="368"/>
        <v>0</v>
      </c>
      <c r="AD273" s="958">
        <f ca="1">AC273*Calculation_sheet!C$99</f>
        <v>0</v>
      </c>
      <c r="AE273" s="176">
        <f t="shared" ca="1" si="368"/>
        <v>0</v>
      </c>
      <c r="AF273" s="176">
        <f t="shared" ca="1" si="382"/>
        <v>0</v>
      </c>
      <c r="AG273" s="958">
        <f ca="1">AF273*User_sheet!B$77/100</f>
        <v>0</v>
      </c>
      <c r="AH273" s="313"/>
      <c r="AI273" s="886">
        <v>102</v>
      </c>
      <c r="AJ273" s="985"/>
      <c r="AK273" s="1020">
        <f t="shared" ca="1" si="384"/>
        <v>120.77813673890005</v>
      </c>
      <c r="AL273" s="954">
        <f ca="1">AK273/'102'!I$24</f>
        <v>0.43723046370952989</v>
      </c>
      <c r="AM273" s="954">
        <f ca="1">0.8*(AK273*30+'102'!D$17*0.34*30*1)</f>
        <v>5559.0126504608743</v>
      </c>
      <c r="AN273" s="954">
        <f ca="1">IF(AM273&lt;User_sheet!B$50,Y273,0)</f>
        <v>0</v>
      </c>
      <c r="AO273" s="954">
        <f ca="1">20-(User_sheet!B$57/('Freestanding '!AK273+'102'!D$17*1*0.34))</f>
        <v>-4.6086865783006452</v>
      </c>
      <c r="AP273" s="954">
        <f ca="1">IF(AO273&lt;User_sheet!B$59,0,BC273*AA273)</f>
        <v>0</v>
      </c>
      <c r="AQ273" s="985"/>
      <c r="AR273" s="883">
        <v>0.32</v>
      </c>
      <c r="AS273" s="883">
        <v>0.43</v>
      </c>
      <c r="AT273" s="883">
        <v>0.43</v>
      </c>
      <c r="AU273" s="883">
        <v>2</v>
      </c>
      <c r="AV273" s="883">
        <v>3.3</v>
      </c>
      <c r="AW273" s="883">
        <v>14356</v>
      </c>
      <c r="AX273" s="883">
        <v>74834</v>
      </c>
      <c r="AY273" s="883">
        <v>69246</v>
      </c>
      <c r="AZ273" s="886">
        <v>0</v>
      </c>
      <c r="BA273" s="886">
        <v>0</v>
      </c>
      <c r="BB273" s="883">
        <v>0.6</v>
      </c>
      <c r="BC273" s="888">
        <v>0</v>
      </c>
      <c r="BD273" s="889">
        <v>0</v>
      </c>
      <c r="BE273" s="889">
        <v>1</v>
      </c>
      <c r="BF273" s="890">
        <v>0</v>
      </c>
      <c r="BG273" s="889">
        <v>0</v>
      </c>
      <c r="BH273" s="889">
        <v>0</v>
      </c>
      <c r="BI273" s="890">
        <v>1</v>
      </c>
      <c r="BJ273" s="889">
        <v>0</v>
      </c>
      <c r="BK273" s="889">
        <v>0</v>
      </c>
      <c r="BL273" s="889">
        <v>1</v>
      </c>
      <c r="BM273" s="890">
        <v>0</v>
      </c>
      <c r="BN273" s="958">
        <v>5.0000000000000001E-3</v>
      </c>
      <c r="BO273" s="959">
        <v>2.5</v>
      </c>
      <c r="BP273" s="1018">
        <f t="shared" ca="1" si="369"/>
        <v>121.5</v>
      </c>
      <c r="BQ273" s="1018">
        <f t="shared" ca="1" si="370"/>
        <v>287.05844999999999</v>
      </c>
      <c r="BR273" s="1018">
        <f t="shared" ca="1" si="371"/>
        <v>88.2</v>
      </c>
      <c r="BS273" s="1018">
        <f t="shared" ca="1" si="372"/>
        <v>110.2144959090909</v>
      </c>
      <c r="BT273" s="1018">
        <f t="shared" ca="1" si="373"/>
        <v>60.75</v>
      </c>
      <c r="BU273" s="1018">
        <f t="shared" ca="1" si="374"/>
        <v>18</v>
      </c>
      <c r="BV273" s="1018">
        <f t="shared" ca="1" si="375"/>
        <v>2.15</v>
      </c>
      <c r="BW273" s="1018">
        <v>0</v>
      </c>
      <c r="BX273" s="1018">
        <f t="shared" ca="1" si="376"/>
        <v>26.740778170793327</v>
      </c>
      <c r="BY273" s="1018">
        <f t="shared" ca="1" si="377"/>
        <v>44.104944696217672</v>
      </c>
      <c r="BZ273" s="1018">
        <f t="shared" ca="1" si="385"/>
        <v>8.0224826281176327</v>
      </c>
      <c r="CA273" s="1018">
        <f t="shared" ca="1" si="386"/>
        <v>35.999999985599999</v>
      </c>
      <c r="CB273" s="1018">
        <f t="shared" ca="1" si="378"/>
        <v>4.5133587786259541</v>
      </c>
      <c r="CC273" s="1018">
        <f t="shared" si="387"/>
        <v>0</v>
      </c>
      <c r="CD273" s="1018">
        <f t="shared" ca="1" si="379"/>
        <v>120.77813673890005</v>
      </c>
      <c r="CE273" s="1018">
        <f t="shared" ca="1" si="383"/>
        <v>80.760187625837858</v>
      </c>
      <c r="CF273" s="1018">
        <f t="shared" ca="1" si="388"/>
        <v>6.0461497309421368</v>
      </c>
      <c r="CG273" s="1018">
        <f t="shared" ca="1" si="389"/>
        <v>10066.597456029418</v>
      </c>
    </row>
    <row r="274" spans="1:85" x14ac:dyDescent="0.25">
      <c r="D274" s="1"/>
      <c r="F274" s="1"/>
      <c r="G274" s="3"/>
      <c r="H274" s="6"/>
      <c r="I274" s="3"/>
      <c r="J274" s="6"/>
      <c r="K274" s="8"/>
      <c r="L274" s="6"/>
      <c r="M274" s="1"/>
      <c r="N274" s="1"/>
      <c r="O274" s="1" t="s">
        <v>18</v>
      </c>
      <c r="P274" s="4"/>
      <c r="Q274" s="1" t="s">
        <v>17</v>
      </c>
      <c r="R274" s="4"/>
      <c r="S274" s="1"/>
      <c r="T274" s="77"/>
      <c r="U274" s="294"/>
      <c r="W274" s="176">
        <f t="shared" si="367"/>
        <v>0</v>
      </c>
      <c r="X274" s="176">
        <f t="shared" si="380"/>
        <v>0</v>
      </c>
      <c r="Y274" s="34">
        <f>X274/Calculation_sheet!M$67</f>
        <v>0</v>
      </c>
      <c r="Z274" s="176">
        <f ca="1">IF(AN274&gt;0,Y274*Calculation_sheet!C$87,0)</f>
        <v>0</v>
      </c>
      <c r="AA274" s="176">
        <f t="shared" ca="1" si="381"/>
        <v>0</v>
      </c>
      <c r="AB274" s="176">
        <f ca="1">IF(AP274&gt;0,AA274*Calculation_sheet!C$94,0)</f>
        <v>0</v>
      </c>
      <c r="AC274" s="176">
        <f t="shared" ca="1" si="368"/>
        <v>0</v>
      </c>
      <c r="AD274" s="958">
        <f ca="1">AC274*Calculation_sheet!C$99</f>
        <v>0</v>
      </c>
      <c r="AE274" s="176">
        <f t="shared" ca="1" si="368"/>
        <v>0</v>
      </c>
      <c r="AF274" s="176">
        <f t="shared" ca="1" si="382"/>
        <v>0</v>
      </c>
      <c r="AG274" s="958">
        <f ca="1">AF274*User_sheet!B$77/100</f>
        <v>0</v>
      </c>
      <c r="AH274" s="313"/>
      <c r="AI274" s="886">
        <v>102</v>
      </c>
      <c r="AJ274" s="985"/>
      <c r="AK274" s="1020">
        <f t="shared" ca="1" si="384"/>
        <v>120.77813673890005</v>
      </c>
      <c r="AL274" s="954">
        <f ca="1">AK274/'102'!I$24</f>
        <v>0.43723046370952989</v>
      </c>
      <c r="AM274" s="954">
        <f ca="1">0.8*(AK274*30+'102'!D$17*0.34*30*1)</f>
        <v>5559.0126504608743</v>
      </c>
      <c r="AN274" s="954">
        <f ca="1">IF(AM274&lt;User_sheet!B$50,Y274,0)</f>
        <v>0</v>
      </c>
      <c r="AO274" s="954">
        <f ca="1">20-(User_sheet!B$57/('Freestanding '!AK274+'102'!D$17*1*0.34))</f>
        <v>-4.6086865783006452</v>
      </c>
      <c r="AP274" s="954">
        <f ca="1">IF(AO274&lt;User_sheet!B$59,0,BC274*AA274)</f>
        <v>0</v>
      </c>
      <c r="AQ274" s="985"/>
      <c r="AR274" s="883">
        <v>0.32</v>
      </c>
      <c r="AS274" s="883">
        <v>0.43</v>
      </c>
      <c r="AT274" s="883">
        <v>0.43</v>
      </c>
      <c r="AU274" s="883">
        <v>2</v>
      </c>
      <c r="AV274" s="883">
        <v>3.3</v>
      </c>
      <c r="AW274" s="883">
        <v>14356</v>
      </c>
      <c r="AX274" s="883">
        <v>74834</v>
      </c>
      <c r="AY274" s="883">
        <v>69246</v>
      </c>
      <c r="AZ274" s="886">
        <v>0</v>
      </c>
      <c r="BA274" s="886">
        <v>0</v>
      </c>
      <c r="BB274" s="883">
        <v>0.6</v>
      </c>
      <c r="BC274" s="888">
        <v>0</v>
      </c>
      <c r="BD274" s="889">
        <v>0</v>
      </c>
      <c r="BE274" s="889">
        <v>0</v>
      </c>
      <c r="BF274" s="890">
        <v>1</v>
      </c>
      <c r="BG274" s="889">
        <v>1</v>
      </c>
      <c r="BH274" s="889">
        <v>0</v>
      </c>
      <c r="BI274" s="890">
        <v>0</v>
      </c>
      <c r="BJ274" s="889">
        <v>0</v>
      </c>
      <c r="BK274" s="889">
        <v>0</v>
      </c>
      <c r="BL274" s="889">
        <v>0</v>
      </c>
      <c r="BM274" s="890">
        <v>1</v>
      </c>
      <c r="BN274" s="958">
        <v>5.0000000000000001E-3</v>
      </c>
      <c r="BO274" s="959">
        <v>2.5</v>
      </c>
      <c r="BP274" s="1018">
        <f t="shared" ca="1" si="369"/>
        <v>121.5</v>
      </c>
      <c r="BQ274" s="1018">
        <f t="shared" ca="1" si="370"/>
        <v>287.05844999999999</v>
      </c>
      <c r="BR274" s="1018">
        <f t="shared" ca="1" si="371"/>
        <v>88.2</v>
      </c>
      <c r="BS274" s="1018">
        <f t="shared" ca="1" si="372"/>
        <v>110.2144959090909</v>
      </c>
      <c r="BT274" s="1018">
        <f t="shared" ca="1" si="373"/>
        <v>60.75</v>
      </c>
      <c r="BU274" s="1018">
        <f t="shared" ca="1" si="374"/>
        <v>18</v>
      </c>
      <c r="BV274" s="1018">
        <f t="shared" ca="1" si="375"/>
        <v>2.15</v>
      </c>
      <c r="BW274" s="1018">
        <v>0</v>
      </c>
      <c r="BX274" s="1018">
        <f t="shared" ca="1" si="376"/>
        <v>26.740778170793327</v>
      </c>
      <c r="BY274" s="1018">
        <f t="shared" ca="1" si="377"/>
        <v>44.104944696217672</v>
      </c>
      <c r="BZ274" s="1018">
        <f t="shared" ca="1" si="385"/>
        <v>8.0224826281176327</v>
      </c>
      <c r="CA274" s="1018">
        <f t="shared" ca="1" si="386"/>
        <v>35.999999985599999</v>
      </c>
      <c r="CB274" s="1018">
        <f t="shared" ca="1" si="378"/>
        <v>4.5133587786259541</v>
      </c>
      <c r="CC274" s="1018">
        <f t="shared" si="387"/>
        <v>0</v>
      </c>
      <c r="CD274" s="1018">
        <f t="shared" ca="1" si="379"/>
        <v>120.77813673890005</v>
      </c>
      <c r="CE274" s="1018">
        <f t="shared" ca="1" si="383"/>
        <v>80.760187625837858</v>
      </c>
      <c r="CF274" s="1018">
        <f t="shared" ca="1" si="388"/>
        <v>6.0461497309421368</v>
      </c>
      <c r="CG274" s="1018">
        <f t="shared" ca="1" si="389"/>
        <v>10066.597456029418</v>
      </c>
    </row>
    <row r="275" spans="1:85" x14ac:dyDescent="0.25">
      <c r="D275" s="1"/>
      <c r="F275" s="1"/>
      <c r="G275" s="3"/>
      <c r="H275" s="6"/>
      <c r="I275" s="3"/>
      <c r="J275" s="6"/>
      <c r="K275" s="8"/>
      <c r="L275" s="6"/>
      <c r="M275" s="1" t="s">
        <v>17</v>
      </c>
      <c r="N275" s="4"/>
      <c r="O275" s="1" t="s">
        <v>19</v>
      </c>
      <c r="P275" s="4"/>
      <c r="Q275" s="1" t="s">
        <v>17</v>
      </c>
      <c r="R275" s="4"/>
      <c r="S275" s="1"/>
      <c r="T275" s="77"/>
      <c r="U275" s="294"/>
      <c r="W275" s="176">
        <f t="shared" si="367"/>
        <v>0</v>
      </c>
      <c r="X275" s="176">
        <f t="shared" si="380"/>
        <v>0</v>
      </c>
      <c r="Y275" s="34">
        <f>X275/Calculation_sheet!M$67</f>
        <v>0</v>
      </c>
      <c r="Z275" s="176">
        <f ca="1">IF(AN275&gt;0,Y275*Calculation_sheet!C$87,0)</f>
        <v>0</v>
      </c>
      <c r="AA275" s="176">
        <f t="shared" ca="1" si="381"/>
        <v>0</v>
      </c>
      <c r="AB275" s="176">
        <f ca="1">IF(AP275&gt;0,AA275*Calculation_sheet!C$94,0)</f>
        <v>0</v>
      </c>
      <c r="AC275" s="176">
        <f t="shared" ca="1" si="368"/>
        <v>0</v>
      </c>
      <c r="AD275" s="958">
        <f ca="1">AC275*Calculation_sheet!C$99</f>
        <v>0</v>
      </c>
      <c r="AE275" s="176">
        <f t="shared" ca="1" si="368"/>
        <v>0</v>
      </c>
      <c r="AF275" s="176">
        <f t="shared" ca="1" si="382"/>
        <v>0</v>
      </c>
      <c r="AG275" s="958">
        <f ca="1">AF275*User_sheet!B$77/100</f>
        <v>0</v>
      </c>
      <c r="AH275" s="313"/>
      <c r="AI275" s="886">
        <v>102</v>
      </c>
      <c r="AJ275" s="985"/>
      <c r="AK275" s="1020">
        <f t="shared" ca="1" si="384"/>
        <v>120.77813673890005</v>
      </c>
      <c r="AL275" s="954">
        <f ca="1">AK275/'102'!I$24</f>
        <v>0.43723046370952989</v>
      </c>
      <c r="AM275" s="954">
        <f ca="1">0.8*(AK275*30+'102'!D$17*0.34*30*1)</f>
        <v>5559.0126504608743</v>
      </c>
      <c r="AN275" s="954">
        <f ca="1">IF(AM275&lt;User_sheet!B$50,Y275,0)</f>
        <v>0</v>
      </c>
      <c r="AO275" s="954">
        <f ca="1">20-(User_sheet!B$57/('Freestanding '!AK275+'102'!D$17*1*0.34))</f>
        <v>-4.6086865783006452</v>
      </c>
      <c r="AP275" s="954">
        <f ca="1">IF(AO275&lt;User_sheet!B$59,0,BC275*AA275)</f>
        <v>0</v>
      </c>
      <c r="AQ275" s="985"/>
      <c r="AR275" s="883">
        <v>0.32</v>
      </c>
      <c r="AS275" s="883">
        <v>0.43</v>
      </c>
      <c r="AT275" s="883">
        <v>0.43</v>
      </c>
      <c r="AU275" s="883">
        <v>2</v>
      </c>
      <c r="AV275" s="883">
        <v>3.3</v>
      </c>
      <c r="AW275" s="883">
        <v>14356</v>
      </c>
      <c r="AX275" s="883">
        <v>74834</v>
      </c>
      <c r="AY275" s="883">
        <v>69246</v>
      </c>
      <c r="AZ275" s="886">
        <v>0</v>
      </c>
      <c r="BA275" s="886">
        <v>0</v>
      </c>
      <c r="BB275" s="883">
        <v>0.6</v>
      </c>
      <c r="BC275" s="888">
        <v>0</v>
      </c>
      <c r="BD275" s="889">
        <v>0</v>
      </c>
      <c r="BE275" s="889">
        <v>0</v>
      </c>
      <c r="BF275" s="890">
        <v>1</v>
      </c>
      <c r="BG275" s="889">
        <v>0</v>
      </c>
      <c r="BH275" s="889">
        <v>1</v>
      </c>
      <c r="BI275" s="890">
        <v>0</v>
      </c>
      <c r="BJ275" s="889">
        <v>0</v>
      </c>
      <c r="BK275" s="889">
        <v>0</v>
      </c>
      <c r="BL275" s="889">
        <v>0</v>
      </c>
      <c r="BM275" s="890">
        <v>1</v>
      </c>
      <c r="BN275" s="958">
        <v>5.0000000000000001E-3</v>
      </c>
      <c r="BO275" s="959">
        <v>2.5</v>
      </c>
      <c r="BP275" s="1018">
        <f t="shared" ca="1" si="369"/>
        <v>121.5</v>
      </c>
      <c r="BQ275" s="1018">
        <f t="shared" ca="1" si="370"/>
        <v>287.05844999999999</v>
      </c>
      <c r="BR275" s="1018">
        <f t="shared" ca="1" si="371"/>
        <v>88.2</v>
      </c>
      <c r="BS275" s="1018">
        <f t="shared" ca="1" si="372"/>
        <v>110.2144959090909</v>
      </c>
      <c r="BT275" s="1018">
        <f t="shared" ca="1" si="373"/>
        <v>60.75</v>
      </c>
      <c r="BU275" s="1018">
        <f t="shared" ca="1" si="374"/>
        <v>18</v>
      </c>
      <c r="BV275" s="1018">
        <f t="shared" ca="1" si="375"/>
        <v>2.15</v>
      </c>
      <c r="BW275" s="1018">
        <v>0</v>
      </c>
      <c r="BX275" s="1018">
        <f t="shared" ca="1" si="376"/>
        <v>26.740778170793327</v>
      </c>
      <c r="BY275" s="1018">
        <f t="shared" ca="1" si="377"/>
        <v>44.104944696217672</v>
      </c>
      <c r="BZ275" s="1018">
        <f t="shared" ca="1" si="385"/>
        <v>8.0224826281176327</v>
      </c>
      <c r="CA275" s="1018">
        <f t="shared" ca="1" si="386"/>
        <v>35.999999985599999</v>
      </c>
      <c r="CB275" s="1018">
        <f t="shared" ca="1" si="378"/>
        <v>4.5133587786259541</v>
      </c>
      <c r="CC275" s="1018">
        <f t="shared" si="387"/>
        <v>0</v>
      </c>
      <c r="CD275" s="1018">
        <f t="shared" ca="1" si="379"/>
        <v>120.77813673890005</v>
      </c>
      <c r="CE275" s="1018">
        <f t="shared" ca="1" si="383"/>
        <v>80.760187625837858</v>
      </c>
      <c r="CF275" s="1018">
        <f t="shared" ca="1" si="388"/>
        <v>6.0461497309421368</v>
      </c>
      <c r="CG275" s="1018">
        <f t="shared" ca="1" si="389"/>
        <v>10066.597456029418</v>
      </c>
    </row>
    <row r="276" spans="1:85" s="9" customFormat="1" x14ac:dyDescent="0.25">
      <c r="A276" s="9" t="s">
        <v>0</v>
      </c>
      <c r="B276" s="10">
        <v>0.29210000000000003</v>
      </c>
      <c r="D276" s="10"/>
      <c r="F276" s="10"/>
      <c r="H276" s="10"/>
      <c r="J276" s="10"/>
      <c r="K276" s="10"/>
      <c r="L276" s="10"/>
      <c r="M276" s="10"/>
      <c r="N276" s="10"/>
      <c r="O276" s="10"/>
      <c r="P276" s="10"/>
      <c r="Q276" s="10"/>
      <c r="R276" s="10"/>
      <c r="S276" s="10"/>
      <c r="T276" s="81"/>
      <c r="U276" s="81"/>
      <c r="V276" s="283"/>
      <c r="W276" s="283"/>
      <c r="X276" s="283"/>
      <c r="Y276" s="279"/>
      <c r="Z276" s="279"/>
      <c r="AA276" s="283"/>
      <c r="AB276" s="283"/>
      <c r="AC276" s="283"/>
      <c r="AD276" s="283"/>
      <c r="AE276" s="283"/>
      <c r="AF276" s="283"/>
      <c r="AG276" s="279"/>
      <c r="AH276" s="313"/>
      <c r="AI276" s="884"/>
      <c r="AJ276" s="985"/>
      <c r="AK276" s="1020">
        <f t="shared" si="384"/>
        <v>0</v>
      </c>
      <c r="AL276" s="916"/>
      <c r="AM276" s="916"/>
      <c r="AN276" s="916"/>
      <c r="AO276" s="916"/>
      <c r="AP276" s="916"/>
      <c r="AQ276" s="985"/>
      <c r="AR276" s="884"/>
      <c r="AS276" s="884"/>
      <c r="AT276" s="884"/>
      <c r="AU276" s="884"/>
      <c r="AV276" s="884"/>
      <c r="AW276" s="884"/>
      <c r="AX276" s="884"/>
      <c r="AY276" s="884"/>
      <c r="AZ276" s="884"/>
      <c r="BA276" s="884"/>
      <c r="BB276" s="884"/>
      <c r="BC276" s="47"/>
      <c r="BD276" s="279"/>
      <c r="BE276" s="279"/>
      <c r="BF276" s="51"/>
      <c r="BG276" s="884"/>
      <c r="BH276" s="884"/>
      <c r="BI276" s="51"/>
      <c r="BJ276" s="884"/>
      <c r="BK276" s="884"/>
      <c r="BL276" s="884"/>
      <c r="BM276" s="51"/>
      <c r="BN276" s="279"/>
      <c r="BO276" s="51"/>
    </row>
    <row r="277" spans="1:85" x14ac:dyDescent="0.25">
      <c r="A277" s="411"/>
      <c r="B277" s="417"/>
      <c r="C277" s="411"/>
      <c r="D277" s="412"/>
      <c r="E277" s="411"/>
      <c r="F277" s="412"/>
      <c r="G277" s="411"/>
      <c r="H277" s="412"/>
      <c r="I277" s="411"/>
      <c r="J277" s="412"/>
      <c r="K277" s="412"/>
      <c r="L277" s="412"/>
      <c r="M277" s="412"/>
      <c r="N277" s="412"/>
      <c r="O277" s="412"/>
      <c r="P277" s="412"/>
      <c r="Q277" s="412" t="s">
        <v>16</v>
      </c>
      <c r="R277" s="414">
        <v>0.92569999999999997</v>
      </c>
      <c r="S277" s="412"/>
      <c r="T277" s="422">
        <v>9.8730508758065449E-3</v>
      </c>
      <c r="U277" s="411"/>
      <c r="V277" s="176">
        <f t="shared" ref="V277:V285" si="390">T277</f>
        <v>9.8730508758065449E-3</v>
      </c>
      <c r="W277" s="176">
        <f>V277</f>
        <v>9.8730508758065449E-3</v>
      </c>
      <c r="X277" s="176">
        <f>W277</f>
        <v>9.8730508758065449E-3</v>
      </c>
      <c r="Y277" s="34">
        <f>X277/Calculation_sheet!M$67</f>
        <v>9.8732527444369191E-3</v>
      </c>
      <c r="Z277" s="176">
        <f ca="1">IF(AN277&gt;0,Y277*Calculation_sheet!C$87,0)</f>
        <v>0</v>
      </c>
      <c r="AA277" s="176">
        <f t="shared" ca="1" si="381"/>
        <v>9.8732527444369191E-3</v>
      </c>
      <c r="AB277" s="176">
        <f ca="1">IF(AP277&gt;0,AA277*Calculation_sheet!C$94,0)</f>
        <v>0</v>
      </c>
      <c r="AC277" s="176">
        <f t="shared" ref="AC277:AE285" ca="1" si="391">AA277-AB277</f>
        <v>9.8732527444369191E-3</v>
      </c>
      <c r="AD277" s="958">
        <f ca="1">AC277*Calculation_sheet!C$99</f>
        <v>5.9239516466621511E-3</v>
      </c>
      <c r="AE277" s="176">
        <f t="shared" ca="1" si="391"/>
        <v>3.949301097774768E-3</v>
      </c>
      <c r="AF277" s="176">
        <f ca="1">Y277-AB277</f>
        <v>9.8732527444369191E-3</v>
      </c>
      <c r="AG277" s="958">
        <f ca="1">AF277*User_sheet!B$77/100</f>
        <v>0</v>
      </c>
      <c r="AH277" s="313"/>
      <c r="AI277" s="883">
        <v>103</v>
      </c>
      <c r="AJ277" s="985"/>
      <c r="AK277" s="1020">
        <f t="shared" ca="1" si="384"/>
        <v>289.57652779350263</v>
      </c>
      <c r="AL277" s="954">
        <f ca="1">AK277/'103'!I$24</f>
        <v>0.65164900769283296</v>
      </c>
      <c r="AM277" s="954">
        <f ca="1">0.8*(AK277*30+'103'!D$17*0.34*30*1)</f>
        <v>10402.189867044064</v>
      </c>
      <c r="AN277" s="954">
        <f ca="1">IF(AM277&lt;User_sheet!B$50,Y277,0)</f>
        <v>0</v>
      </c>
      <c r="AO277" s="954">
        <f ca="1">20-(User_sheet!B$57/('Freestanding '!AK277+'103'!D$17*1*0.34))</f>
        <v>6.8489229913591494</v>
      </c>
      <c r="AP277" s="954">
        <f ca="1">IF(AO277&lt;User_sheet!B$59,0,BC277*AA277)</f>
        <v>0</v>
      </c>
      <c r="AQ277" s="985"/>
      <c r="AR277" s="883">
        <v>0.32</v>
      </c>
      <c r="AS277" s="883">
        <v>0.59799999999999998</v>
      </c>
      <c r="AT277" s="883">
        <v>0.59</v>
      </c>
      <c r="AU277" s="883">
        <v>2.75</v>
      </c>
      <c r="AV277" s="883">
        <v>3.3</v>
      </c>
      <c r="AW277" s="883">
        <v>12257.141193582425</v>
      </c>
      <c r="AX277" s="883">
        <v>72298.2589500467</v>
      </c>
      <c r="AY277" s="883">
        <v>64021.679041832605</v>
      </c>
      <c r="AZ277" s="883">
        <v>0</v>
      </c>
      <c r="BA277" s="883">
        <v>0</v>
      </c>
      <c r="BB277" s="883">
        <v>0.6</v>
      </c>
      <c r="BC277" s="888">
        <v>1</v>
      </c>
      <c r="BD277" s="889">
        <v>0</v>
      </c>
      <c r="BE277" s="889">
        <v>0</v>
      </c>
      <c r="BF277" s="890">
        <v>0</v>
      </c>
      <c r="BG277" s="883">
        <v>1</v>
      </c>
      <c r="BH277" s="883">
        <v>0</v>
      </c>
      <c r="BI277" s="890">
        <v>0</v>
      </c>
      <c r="BJ277" s="883">
        <v>1</v>
      </c>
      <c r="BK277" s="883">
        <v>0</v>
      </c>
      <c r="BL277" s="883">
        <v>0</v>
      </c>
      <c r="BM277" s="890">
        <v>0</v>
      </c>
      <c r="BN277" s="958">
        <v>7.0000000000000007E-2</v>
      </c>
      <c r="BO277" s="959">
        <v>6</v>
      </c>
      <c r="BP277" s="1018">
        <f t="shared" ref="BP277:BP285" ca="1" si="392">INDIRECT("'"&amp;AI277&amp;"'!"&amp;"B2")</f>
        <v>148.5</v>
      </c>
      <c r="BQ277" s="1018">
        <f t="shared" ref="BQ277:BQ285" ca="1" si="393">INDIRECT("'"&amp;AI277&amp;"'!"&amp;"C12")+INDIRECT("'"&amp;AI277&amp;"'!"&amp;"C13")+INDIRECT("'"&amp;AI277&amp;"'!"&amp;"C14")+INDIRECT("'"&amp;AI277&amp;"'!"&amp;"C15")+INDIRECT("'"&amp;AI277&amp;"'!"&amp;"C17")</f>
        <v>412.25249999999994</v>
      </c>
      <c r="BR277" s="1018">
        <f t="shared" ref="BR277:BR285" ca="1" si="394">INDIRECT("'"&amp;AI277&amp;"'!"&amp;"G5")</f>
        <v>148.44999999999999</v>
      </c>
      <c r="BS277" s="1018">
        <f t="shared" ref="BS277:BS285" ca="1" si="395">INDIRECT("'"&amp;AI277&amp;"'!"&amp;"G4")</f>
        <v>100.98500000000001</v>
      </c>
      <c r="BT277" s="1018">
        <f t="shared" ref="BT277:BT285" ca="1" si="396">INDIRECT("'"&amp;AI277&amp;"'!"&amp;"G6")</f>
        <v>148.5</v>
      </c>
      <c r="BU277" s="1018">
        <f t="shared" ref="BU277:BU285" ca="1" si="397">INDIRECT("'"&amp;AI277&amp;"'!"&amp;"G2")</f>
        <v>46.489999999999995</v>
      </c>
      <c r="BV277" s="1018">
        <f t="shared" ref="BV277:BV285" ca="1" si="398">INDIRECT("'"&amp;AI277&amp;"'!"&amp;"G3")</f>
        <v>2.15</v>
      </c>
      <c r="BW277" s="1018">
        <v>0</v>
      </c>
      <c r="BX277" s="1018">
        <f t="shared" ref="BX277:BX285" ca="1" si="399">IF(BR277=0,0,1/(1/(BR277*$BY$3)+1/(BR277*AR277)+1/(BR277*$BY$4)))</f>
        <v>45.00757958564931</v>
      </c>
      <c r="BY277" s="1018">
        <f t="shared" ref="BY277:BY285" ca="1" si="400">IF(BS277=0,0,1/(1/(BS277*$BY$3)+1/(BS277*AS277)+1/(BS277*$BY$4)))</f>
        <v>54.717390122502231</v>
      </c>
      <c r="BZ277" s="1018">
        <f t="shared" ca="1" si="385"/>
        <v>26.230449377041246</v>
      </c>
      <c r="CA277" s="1018">
        <f t="shared" ca="1" si="386"/>
        <v>127.84749992968388</v>
      </c>
      <c r="CB277" s="1018">
        <f t="shared" ref="CB277:CB285" ca="1" si="401">IF(BV277=0,0,1/(1/(BV277*$BY$3)+1/(BV277*AV277)+1/(BV277*$BY$4)))</f>
        <v>4.5133587786259541</v>
      </c>
      <c r="CC277" s="1018">
        <f t="shared" si="387"/>
        <v>0</v>
      </c>
      <c r="CD277" s="1018">
        <f ca="1">SUM(BX277:CC277)+(BR277+BS277+BT277+BU277+BV277)*BN277</f>
        <v>289.57652779350263</v>
      </c>
      <c r="CE277" s="1018">
        <f t="shared" ref="CE277:CE329" ca="1" si="402">0.34*BO277*(1/25)^0.66*(BR277+BS277+BU277+BV277)</f>
        <v>72.663332942847418</v>
      </c>
      <c r="CF277" s="1018">
        <f t="shared" ca="1" si="388"/>
        <v>10.867195822090501</v>
      </c>
      <c r="CG277" s="1018">
        <f t="shared" ca="1" si="389"/>
        <v>18093.446355947799</v>
      </c>
    </row>
    <row r="278" spans="1:85" x14ac:dyDescent="0.25">
      <c r="A278" s="411"/>
      <c r="B278" s="417"/>
      <c r="C278" s="411"/>
      <c r="D278" s="412"/>
      <c r="E278" s="411"/>
      <c r="F278" s="412"/>
      <c r="G278" s="411"/>
      <c r="H278" s="412"/>
      <c r="I278" s="411"/>
      <c r="J278" s="412"/>
      <c r="K278" s="412"/>
      <c r="L278" s="412"/>
      <c r="M278" s="412"/>
      <c r="N278" s="412"/>
      <c r="O278" s="412" t="s">
        <v>18</v>
      </c>
      <c r="P278" s="414">
        <v>0.89156626500000002</v>
      </c>
      <c r="Q278" s="412" t="s">
        <v>7</v>
      </c>
      <c r="R278" s="414">
        <v>7.4300000000000005E-2</v>
      </c>
      <c r="S278" s="412"/>
      <c r="T278" s="422">
        <v>7.9244645141236499E-4</v>
      </c>
      <c r="U278" s="411"/>
      <c r="V278" s="176">
        <f t="shared" si="390"/>
        <v>7.9244645141236499E-4</v>
      </c>
      <c r="W278" s="176">
        <f t="shared" ref="W278:W285" si="403">V278</f>
        <v>7.9244645141236499E-4</v>
      </c>
      <c r="X278" s="176">
        <f t="shared" ref="X278:X285" si="404">W278</f>
        <v>7.9244645141236499E-4</v>
      </c>
      <c r="Y278" s="34">
        <f>X278/Calculation_sheet!M$67</f>
        <v>7.9246265411219959E-4</v>
      </c>
      <c r="Z278" s="176">
        <f ca="1">IF(AN278&gt;0,Y278*Calculation_sheet!C$87,0)</f>
        <v>0</v>
      </c>
      <c r="AA278" s="176">
        <f t="shared" ca="1" si="381"/>
        <v>7.9246265411219959E-4</v>
      </c>
      <c r="AB278" s="176">
        <f ca="1">IF(AP278&gt;0,AA278*Calculation_sheet!C$94,0)</f>
        <v>0</v>
      </c>
      <c r="AC278" s="176">
        <f t="shared" ca="1" si="391"/>
        <v>7.9246265411219959E-4</v>
      </c>
      <c r="AD278" s="958">
        <f ca="1">AC278*Calculation_sheet!C$99</f>
        <v>4.7547759246731975E-4</v>
      </c>
      <c r="AE278" s="176">
        <f t="shared" ca="1" si="391"/>
        <v>3.1698506164487984E-4</v>
      </c>
      <c r="AF278" s="176">
        <f t="shared" ref="AF278:AF341" ca="1" si="405">Y278-AB278</f>
        <v>7.9246265411219959E-4</v>
      </c>
      <c r="AG278" s="958">
        <f ca="1">AF278*User_sheet!B$77/100</f>
        <v>0</v>
      </c>
      <c r="AH278" s="313"/>
      <c r="AI278" s="883">
        <v>103</v>
      </c>
      <c r="AJ278" s="985"/>
      <c r="AK278" s="1020">
        <f t="shared" ca="1" si="384"/>
        <v>289.57652779350263</v>
      </c>
      <c r="AL278" s="954">
        <f ca="1">AK278/'103'!I$24</f>
        <v>0.65164900769283296</v>
      </c>
      <c r="AM278" s="954">
        <f ca="1">0.8*(AK278*30+'103'!D$17*0.34*30*1)</f>
        <v>10402.189867044064</v>
      </c>
      <c r="AN278" s="954">
        <f ca="1">IF(AM278&lt;User_sheet!B$50,Y278,0)</f>
        <v>0</v>
      </c>
      <c r="AO278" s="954">
        <f ca="1">20-(User_sheet!B$57/('Freestanding '!AK278+'103'!D$17*1*0.34))</f>
        <v>6.8489229913591494</v>
      </c>
      <c r="AP278" s="954">
        <f ca="1">IF(AO278&lt;User_sheet!B$59,0,BC278*AA278)</f>
        <v>0</v>
      </c>
      <c r="AQ278" s="985"/>
      <c r="AR278" s="883">
        <v>0.32</v>
      </c>
      <c r="AS278" s="1020">
        <v>0.59799999999999998</v>
      </c>
      <c r="AT278" s="883">
        <v>0.59</v>
      </c>
      <c r="AU278" s="883">
        <v>2.75</v>
      </c>
      <c r="AV278" s="883">
        <v>3.3</v>
      </c>
      <c r="AW278" s="883">
        <v>12257.141193582425</v>
      </c>
      <c r="AX278" s="883">
        <v>72298.2589500467</v>
      </c>
      <c r="AY278" s="883">
        <v>64021.679041832605</v>
      </c>
      <c r="AZ278" s="883">
        <v>0</v>
      </c>
      <c r="BA278" s="883">
        <v>0</v>
      </c>
      <c r="BB278" s="883">
        <v>0.6</v>
      </c>
      <c r="BC278" s="888">
        <v>1</v>
      </c>
      <c r="BD278" s="889">
        <v>0</v>
      </c>
      <c r="BE278" s="889">
        <v>0</v>
      </c>
      <c r="BF278" s="890">
        <v>0</v>
      </c>
      <c r="BG278" s="883">
        <v>1</v>
      </c>
      <c r="BH278" s="883">
        <v>0</v>
      </c>
      <c r="BI278" s="890">
        <v>0</v>
      </c>
      <c r="BJ278" s="883">
        <v>0</v>
      </c>
      <c r="BK278" s="883">
        <v>0</v>
      </c>
      <c r="BL278" s="883">
        <v>1</v>
      </c>
      <c r="BM278" s="890">
        <v>0</v>
      </c>
      <c r="BN278" s="958">
        <v>7.0000000000000007E-2</v>
      </c>
      <c r="BO278" s="959">
        <v>6</v>
      </c>
      <c r="BP278" s="1018">
        <f t="shared" ca="1" si="392"/>
        <v>148.5</v>
      </c>
      <c r="BQ278" s="1018">
        <f t="shared" ca="1" si="393"/>
        <v>412.25249999999994</v>
      </c>
      <c r="BR278" s="1018">
        <f t="shared" ca="1" si="394"/>
        <v>148.44999999999999</v>
      </c>
      <c r="BS278" s="1018">
        <f t="shared" ca="1" si="395"/>
        <v>100.98500000000001</v>
      </c>
      <c r="BT278" s="1018">
        <f t="shared" ca="1" si="396"/>
        <v>148.5</v>
      </c>
      <c r="BU278" s="1018">
        <f t="shared" ca="1" si="397"/>
        <v>46.489999999999995</v>
      </c>
      <c r="BV278" s="1018">
        <f t="shared" ca="1" si="398"/>
        <v>2.15</v>
      </c>
      <c r="BW278" s="1018">
        <v>0</v>
      </c>
      <c r="BX278" s="1018">
        <f t="shared" ca="1" si="399"/>
        <v>45.00757958564931</v>
      </c>
      <c r="BY278" s="1018">
        <f t="shared" ca="1" si="400"/>
        <v>54.717390122502231</v>
      </c>
      <c r="BZ278" s="1018">
        <f t="shared" ca="1" si="385"/>
        <v>26.230449377041246</v>
      </c>
      <c r="CA278" s="1018">
        <f t="shared" ca="1" si="386"/>
        <v>127.84749992968388</v>
      </c>
      <c r="CB278" s="1018">
        <f t="shared" ca="1" si="401"/>
        <v>4.5133587786259541</v>
      </c>
      <c r="CC278" s="1018">
        <f t="shared" si="387"/>
        <v>0</v>
      </c>
      <c r="CD278" s="1018">
        <f t="shared" ref="CD278:CD285" ca="1" si="406">SUM(BX278:CC278)+(BR278+BS278+BT278+BU278+BV278)*BN278</f>
        <v>289.57652779350263</v>
      </c>
      <c r="CE278" s="1018">
        <f t="shared" ca="1" si="402"/>
        <v>72.663332942847418</v>
      </c>
      <c r="CF278" s="1018">
        <f t="shared" ca="1" si="388"/>
        <v>10.867195822090501</v>
      </c>
      <c r="CG278" s="1018">
        <f t="shared" ca="1" si="389"/>
        <v>18093.446355947799</v>
      </c>
    </row>
    <row r="279" spans="1:85" x14ac:dyDescent="0.25">
      <c r="A279" s="411"/>
      <c r="B279" s="417"/>
      <c r="C279" s="411"/>
      <c r="D279" s="412"/>
      <c r="E279" s="411"/>
      <c r="F279" s="412"/>
      <c r="G279" s="411"/>
      <c r="H279" s="412"/>
      <c r="I279" s="411"/>
      <c r="J279" s="412"/>
      <c r="K279" s="412"/>
      <c r="L279" s="412"/>
      <c r="M279" s="412"/>
      <c r="N279" s="412"/>
      <c r="O279" s="412"/>
      <c r="P279" s="412"/>
      <c r="Q279" s="412" t="s">
        <v>16</v>
      </c>
      <c r="R279" s="414">
        <v>0.92569999999999997</v>
      </c>
      <c r="S279" s="412"/>
      <c r="T279" s="422">
        <v>1.200776458616595E-3</v>
      </c>
      <c r="U279" s="411"/>
      <c r="V279" s="176">
        <f t="shared" si="390"/>
        <v>1.200776458616595E-3</v>
      </c>
      <c r="W279" s="176">
        <f t="shared" si="403"/>
        <v>1.200776458616595E-3</v>
      </c>
      <c r="X279" s="176">
        <f t="shared" si="404"/>
        <v>1.200776458616595E-3</v>
      </c>
      <c r="Y279" s="34">
        <f>X279/Calculation_sheet!M$67</f>
        <v>1.200801010206791E-3</v>
      </c>
      <c r="Z279" s="176">
        <f ca="1">IF(AN279&gt;0,Y279*Calculation_sheet!C$87,0)</f>
        <v>0</v>
      </c>
      <c r="AA279" s="176">
        <f t="shared" ca="1" si="381"/>
        <v>1.200801010206791E-3</v>
      </c>
      <c r="AB279" s="176">
        <f ca="1">IF(AP279&gt;0,AA279*Calculation_sheet!C$94,0)</f>
        <v>0</v>
      </c>
      <c r="AC279" s="176">
        <f t="shared" ca="1" si="391"/>
        <v>1.200801010206791E-3</v>
      </c>
      <c r="AD279" s="958">
        <f ca="1">AC279*Calculation_sheet!C$99</f>
        <v>7.2048060612407456E-4</v>
      </c>
      <c r="AE279" s="176">
        <f t="shared" ca="1" si="391"/>
        <v>4.8032040408271641E-4</v>
      </c>
      <c r="AF279" s="176">
        <f t="shared" ca="1" si="405"/>
        <v>1.200801010206791E-3</v>
      </c>
      <c r="AG279" s="958">
        <f ca="1">AF279*User_sheet!B$77/100</f>
        <v>0</v>
      </c>
      <c r="AH279" s="313"/>
      <c r="AI279" s="883">
        <v>103</v>
      </c>
      <c r="AJ279" s="985"/>
      <c r="AK279" s="1020">
        <f t="shared" ca="1" si="384"/>
        <v>289.57652779350263</v>
      </c>
      <c r="AL279" s="954">
        <f ca="1">AK279/'103'!I$24</f>
        <v>0.65164900769283296</v>
      </c>
      <c r="AM279" s="954">
        <f ca="1">0.8*(AK279*30+'103'!D$17*0.34*30*1)</f>
        <v>10402.189867044064</v>
      </c>
      <c r="AN279" s="954">
        <f ca="1">IF(AM279&lt;User_sheet!B$50,Y279,0)</f>
        <v>0</v>
      </c>
      <c r="AO279" s="954">
        <f ca="1">20-(User_sheet!B$57/('Freestanding '!AK279+'103'!D$17*1*0.34))</f>
        <v>6.8489229913591494</v>
      </c>
      <c r="AP279" s="954">
        <f ca="1">IF(AO279&lt;User_sheet!B$59,0,BC279*AA279)</f>
        <v>0</v>
      </c>
      <c r="AQ279" s="985"/>
      <c r="AR279" s="883">
        <v>0.32</v>
      </c>
      <c r="AS279" s="1020">
        <v>0.59799999999999998</v>
      </c>
      <c r="AT279" s="883">
        <v>0.59</v>
      </c>
      <c r="AU279" s="883">
        <v>2.75</v>
      </c>
      <c r="AV279" s="883">
        <v>3.3</v>
      </c>
      <c r="AW279" s="883">
        <v>12257.141193582425</v>
      </c>
      <c r="AX279" s="883">
        <v>72298.2589500467</v>
      </c>
      <c r="AY279" s="883">
        <v>64021.679041832605</v>
      </c>
      <c r="AZ279" s="883">
        <v>0</v>
      </c>
      <c r="BA279" s="883">
        <v>0</v>
      </c>
      <c r="BB279" s="883">
        <v>0.6</v>
      </c>
      <c r="BC279" s="888">
        <v>1</v>
      </c>
      <c r="BD279" s="889">
        <v>0</v>
      </c>
      <c r="BE279" s="889">
        <v>0</v>
      </c>
      <c r="BF279" s="890">
        <v>0</v>
      </c>
      <c r="BG279" s="883">
        <v>0</v>
      </c>
      <c r="BH279" s="883">
        <v>1</v>
      </c>
      <c r="BI279" s="890">
        <v>0</v>
      </c>
      <c r="BJ279" s="883">
        <v>1</v>
      </c>
      <c r="BK279" s="883">
        <v>0</v>
      </c>
      <c r="BL279" s="883">
        <v>0</v>
      </c>
      <c r="BM279" s="890">
        <v>0</v>
      </c>
      <c r="BN279" s="958">
        <v>7.0000000000000007E-2</v>
      </c>
      <c r="BO279" s="959">
        <v>6</v>
      </c>
      <c r="BP279" s="1018">
        <f t="shared" ca="1" si="392"/>
        <v>148.5</v>
      </c>
      <c r="BQ279" s="1018">
        <f t="shared" ca="1" si="393"/>
        <v>412.25249999999994</v>
      </c>
      <c r="BR279" s="1018">
        <f t="shared" ca="1" si="394"/>
        <v>148.44999999999999</v>
      </c>
      <c r="BS279" s="1018">
        <f t="shared" ca="1" si="395"/>
        <v>100.98500000000001</v>
      </c>
      <c r="BT279" s="1018">
        <f t="shared" ca="1" si="396"/>
        <v>148.5</v>
      </c>
      <c r="BU279" s="1018">
        <f t="shared" ca="1" si="397"/>
        <v>46.489999999999995</v>
      </c>
      <c r="BV279" s="1018">
        <f t="shared" ca="1" si="398"/>
        <v>2.15</v>
      </c>
      <c r="BW279" s="1018">
        <v>0</v>
      </c>
      <c r="BX279" s="1018">
        <f t="shared" ca="1" si="399"/>
        <v>45.00757958564931</v>
      </c>
      <c r="BY279" s="1018">
        <f t="shared" ca="1" si="400"/>
        <v>54.717390122502231</v>
      </c>
      <c r="BZ279" s="1018">
        <f t="shared" ca="1" si="385"/>
        <v>26.230449377041246</v>
      </c>
      <c r="CA279" s="1018">
        <f t="shared" ca="1" si="386"/>
        <v>127.84749992968388</v>
      </c>
      <c r="CB279" s="1018">
        <f t="shared" ca="1" si="401"/>
        <v>4.5133587786259541</v>
      </c>
      <c r="CC279" s="1018">
        <f t="shared" si="387"/>
        <v>0</v>
      </c>
      <c r="CD279" s="1018">
        <f t="shared" ca="1" si="406"/>
        <v>289.57652779350263</v>
      </c>
      <c r="CE279" s="1018">
        <f t="shared" ca="1" si="402"/>
        <v>72.663332942847418</v>
      </c>
      <c r="CF279" s="1018">
        <f t="shared" ca="1" si="388"/>
        <v>10.867195822090501</v>
      </c>
      <c r="CG279" s="1018">
        <f t="shared" ca="1" si="389"/>
        <v>18093.446355947799</v>
      </c>
    </row>
    <row r="280" spans="1:85" x14ac:dyDescent="0.25">
      <c r="A280" s="411"/>
      <c r="B280" s="417"/>
      <c r="C280" s="411"/>
      <c r="D280" s="412"/>
      <c r="E280" s="411"/>
      <c r="F280" s="412"/>
      <c r="G280" s="411"/>
      <c r="H280" s="412"/>
      <c r="I280" s="411"/>
      <c r="J280" s="412"/>
      <c r="K280" s="412"/>
      <c r="L280" s="412"/>
      <c r="M280" s="412" t="s">
        <v>16</v>
      </c>
      <c r="N280" s="414">
        <v>0.41099999999999998</v>
      </c>
      <c r="O280" s="412" t="s">
        <v>19</v>
      </c>
      <c r="P280" s="414">
        <v>0.108433735</v>
      </c>
      <c r="Q280" s="412" t="s">
        <v>7</v>
      </c>
      <c r="R280" s="414">
        <v>7.4300000000000005E-2</v>
      </c>
      <c r="S280" s="412"/>
      <c r="T280" s="422">
        <v>9.637862252912717E-5</v>
      </c>
      <c r="U280" s="411"/>
      <c r="V280" s="176">
        <f t="shared" si="390"/>
        <v>9.637862252912717E-5</v>
      </c>
      <c r="W280" s="176">
        <f t="shared" si="403"/>
        <v>9.637862252912717E-5</v>
      </c>
      <c r="X280" s="176">
        <f t="shared" si="404"/>
        <v>9.637862252912717E-5</v>
      </c>
      <c r="Y280" s="34">
        <f>X280/Calculation_sheet!M$67</f>
        <v>9.638059312775692E-5</v>
      </c>
      <c r="Z280" s="176">
        <f ca="1">IF(AN280&gt;0,Y280*Calculation_sheet!C$87,0)</f>
        <v>0</v>
      </c>
      <c r="AA280" s="176">
        <f t="shared" ca="1" si="381"/>
        <v>9.638059312775692E-5</v>
      </c>
      <c r="AB280" s="176">
        <f ca="1">IF(AP280&gt;0,AA280*Calculation_sheet!C$94,0)</f>
        <v>0</v>
      </c>
      <c r="AC280" s="176">
        <f t="shared" ca="1" si="391"/>
        <v>9.638059312775692E-5</v>
      </c>
      <c r="AD280" s="958">
        <f ca="1">AC280*Calculation_sheet!C$99</f>
        <v>5.7828355876654151E-5</v>
      </c>
      <c r="AE280" s="176">
        <f t="shared" ca="1" si="391"/>
        <v>3.8552237251102769E-5</v>
      </c>
      <c r="AF280" s="176">
        <f t="shared" ca="1" si="405"/>
        <v>9.638059312775692E-5</v>
      </c>
      <c r="AG280" s="958">
        <f ca="1">AF280*User_sheet!B$77/100</f>
        <v>0</v>
      </c>
      <c r="AH280" s="313"/>
      <c r="AI280" s="883">
        <v>103</v>
      </c>
      <c r="AJ280" s="985"/>
      <c r="AK280" s="1020">
        <f t="shared" ca="1" si="384"/>
        <v>289.57652779350263</v>
      </c>
      <c r="AL280" s="954">
        <f ca="1">AK280/'103'!I$24</f>
        <v>0.65164900769283296</v>
      </c>
      <c r="AM280" s="954">
        <f ca="1">0.8*(AK280*30+'103'!D$17*0.34*30*1)</f>
        <v>10402.189867044064</v>
      </c>
      <c r="AN280" s="954">
        <f ca="1">IF(AM280&lt;User_sheet!B$50,Y280,0)</f>
        <v>0</v>
      </c>
      <c r="AO280" s="954">
        <f ca="1">20-(User_sheet!B$57/('Freestanding '!AK280+'103'!D$17*1*0.34))</f>
        <v>6.8489229913591494</v>
      </c>
      <c r="AP280" s="954">
        <f ca="1">IF(AO280&lt;User_sheet!B$59,0,BC280*AA280)</f>
        <v>0</v>
      </c>
      <c r="AQ280" s="985"/>
      <c r="AR280" s="883">
        <v>0.32</v>
      </c>
      <c r="AS280" s="1020">
        <v>0.59799999999999998</v>
      </c>
      <c r="AT280" s="883">
        <v>0.59</v>
      </c>
      <c r="AU280" s="883">
        <v>2.75</v>
      </c>
      <c r="AV280" s="883">
        <v>3.3</v>
      </c>
      <c r="AW280" s="883">
        <v>12257.141193582425</v>
      </c>
      <c r="AX280" s="883">
        <v>72298.2589500467</v>
      </c>
      <c r="AY280" s="883">
        <v>64021.679041832605</v>
      </c>
      <c r="AZ280" s="883">
        <v>0</v>
      </c>
      <c r="BA280" s="883">
        <v>0</v>
      </c>
      <c r="BB280" s="883">
        <v>0.6</v>
      </c>
      <c r="BC280" s="888">
        <v>1</v>
      </c>
      <c r="BD280" s="889">
        <v>0</v>
      </c>
      <c r="BE280" s="889">
        <v>0</v>
      </c>
      <c r="BF280" s="890">
        <v>0</v>
      </c>
      <c r="BG280" s="883">
        <v>0</v>
      </c>
      <c r="BH280" s="883">
        <v>1</v>
      </c>
      <c r="BI280" s="890">
        <v>0</v>
      </c>
      <c r="BJ280" s="883">
        <v>0</v>
      </c>
      <c r="BK280" s="883">
        <v>0</v>
      </c>
      <c r="BL280" s="883">
        <v>1</v>
      </c>
      <c r="BM280" s="890">
        <v>0</v>
      </c>
      <c r="BN280" s="958">
        <v>7.0000000000000007E-2</v>
      </c>
      <c r="BO280" s="959">
        <v>6</v>
      </c>
      <c r="BP280" s="1018">
        <f t="shared" ca="1" si="392"/>
        <v>148.5</v>
      </c>
      <c r="BQ280" s="1018">
        <f t="shared" ca="1" si="393"/>
        <v>412.25249999999994</v>
      </c>
      <c r="BR280" s="1018">
        <f t="shared" ca="1" si="394"/>
        <v>148.44999999999999</v>
      </c>
      <c r="BS280" s="1018">
        <f t="shared" ca="1" si="395"/>
        <v>100.98500000000001</v>
      </c>
      <c r="BT280" s="1018">
        <f t="shared" ca="1" si="396"/>
        <v>148.5</v>
      </c>
      <c r="BU280" s="1018">
        <f t="shared" ca="1" si="397"/>
        <v>46.489999999999995</v>
      </c>
      <c r="BV280" s="1018">
        <f t="shared" ca="1" si="398"/>
        <v>2.15</v>
      </c>
      <c r="BW280" s="1018">
        <v>0</v>
      </c>
      <c r="BX280" s="1018">
        <f t="shared" ca="1" si="399"/>
        <v>45.00757958564931</v>
      </c>
      <c r="BY280" s="1018">
        <f t="shared" ca="1" si="400"/>
        <v>54.717390122502231</v>
      </c>
      <c r="BZ280" s="1018">
        <f t="shared" ca="1" si="385"/>
        <v>26.230449377041246</v>
      </c>
      <c r="CA280" s="1018">
        <f t="shared" ca="1" si="386"/>
        <v>127.84749992968388</v>
      </c>
      <c r="CB280" s="1018">
        <f t="shared" ca="1" si="401"/>
        <v>4.5133587786259541</v>
      </c>
      <c r="CC280" s="1018">
        <f t="shared" si="387"/>
        <v>0</v>
      </c>
      <c r="CD280" s="1018">
        <f t="shared" ca="1" si="406"/>
        <v>289.57652779350263</v>
      </c>
      <c r="CE280" s="1018">
        <f t="shared" ca="1" si="402"/>
        <v>72.663332942847418</v>
      </c>
      <c r="CF280" s="1018">
        <f t="shared" ca="1" si="388"/>
        <v>10.867195822090501</v>
      </c>
      <c r="CG280" s="1018">
        <f t="shared" ca="1" si="389"/>
        <v>18093.446355947799</v>
      </c>
    </row>
    <row r="281" spans="1:85" x14ac:dyDescent="0.25">
      <c r="A281" s="411"/>
      <c r="B281" s="417"/>
      <c r="C281" s="411"/>
      <c r="D281" s="412"/>
      <c r="E281" s="411"/>
      <c r="F281" s="412"/>
      <c r="G281" s="411"/>
      <c r="H281" s="412"/>
      <c r="I281" s="411"/>
      <c r="J281" s="412"/>
      <c r="K281" s="412"/>
      <c r="L281" s="412"/>
      <c r="M281" s="412"/>
      <c r="N281" s="412"/>
      <c r="O281" s="412"/>
      <c r="P281" s="412"/>
      <c r="Q281" s="412" t="s">
        <v>22</v>
      </c>
      <c r="R281" s="414">
        <v>0.60750000000000004</v>
      </c>
      <c r="S281" s="412"/>
      <c r="T281" s="422">
        <v>7.8451598405839557E-3</v>
      </c>
      <c r="U281" s="411"/>
      <c r="V281" s="176">
        <f t="shared" si="390"/>
        <v>7.8451598405839557E-3</v>
      </c>
      <c r="W281" s="176">
        <f t="shared" si="403"/>
        <v>7.8451598405839557E-3</v>
      </c>
      <c r="X281" s="176">
        <f t="shared" si="404"/>
        <v>7.8451598405839557E-3</v>
      </c>
      <c r="Y281" s="34">
        <f>X281/Calculation_sheet!M$67</f>
        <v>7.8453202460849521E-3</v>
      </c>
      <c r="Z281" s="176">
        <f ca="1">IF(AN281&gt;0,Y281*Calculation_sheet!C$87,0)</f>
        <v>0</v>
      </c>
      <c r="AA281" s="176">
        <f t="shared" ca="1" si="381"/>
        <v>7.8453202460849521E-3</v>
      </c>
      <c r="AB281" s="176">
        <f ca="1">IF(AP281&gt;0,AA281*Calculation_sheet!C$94,0)</f>
        <v>0</v>
      </c>
      <c r="AC281" s="176">
        <f t="shared" ca="1" si="391"/>
        <v>7.8453202460849521E-3</v>
      </c>
      <c r="AD281" s="958">
        <f ca="1">AC281*Calculation_sheet!C$99</f>
        <v>4.7071921476509711E-3</v>
      </c>
      <c r="AE281" s="176">
        <f t="shared" ca="1" si="391"/>
        <v>3.138128098433981E-3</v>
      </c>
      <c r="AF281" s="176">
        <f t="shared" ca="1" si="405"/>
        <v>7.8453202460849521E-3</v>
      </c>
      <c r="AG281" s="958">
        <f ca="1">AF281*User_sheet!B$77/100</f>
        <v>0</v>
      </c>
      <c r="AH281" s="313"/>
      <c r="AI281" s="883">
        <v>103</v>
      </c>
      <c r="AJ281" s="985"/>
      <c r="AK281" s="1020">
        <f t="shared" ca="1" si="384"/>
        <v>289.57652779350263</v>
      </c>
      <c r="AL281" s="954">
        <f ca="1">AK281/'103'!I$24</f>
        <v>0.65164900769283296</v>
      </c>
      <c r="AM281" s="954">
        <f ca="1">0.8*(AK281*30+'103'!D$17*0.34*30*1)</f>
        <v>10402.189867044064</v>
      </c>
      <c r="AN281" s="954">
        <f ca="1">IF(AM281&lt;User_sheet!B$50,Y281,0)</f>
        <v>0</v>
      </c>
      <c r="AO281" s="954">
        <f ca="1">20-(User_sheet!B$57/('Freestanding '!AK281+'103'!D$17*1*0.34))</f>
        <v>6.8489229913591494</v>
      </c>
      <c r="AP281" s="954">
        <f ca="1">IF(AO281&lt;User_sheet!B$59,0,BC281*AA281)</f>
        <v>0</v>
      </c>
      <c r="AQ281" s="985"/>
      <c r="AR281" s="883">
        <v>0.32</v>
      </c>
      <c r="AS281" s="1020">
        <v>0.59799999999999998</v>
      </c>
      <c r="AT281" s="883">
        <v>0.59</v>
      </c>
      <c r="AU281" s="883">
        <v>2.75</v>
      </c>
      <c r="AV281" s="883">
        <v>3.3</v>
      </c>
      <c r="AW281" s="883">
        <v>12257.141193582425</v>
      </c>
      <c r="AX281" s="883">
        <v>72298.2589500467</v>
      </c>
      <c r="AY281" s="883">
        <v>64021.679041832605</v>
      </c>
      <c r="AZ281" s="883">
        <v>0</v>
      </c>
      <c r="BA281" s="883">
        <v>0</v>
      </c>
      <c r="BB281" s="883">
        <v>0.6</v>
      </c>
      <c r="BC281" s="888">
        <v>0</v>
      </c>
      <c r="BD281" s="889">
        <v>1</v>
      </c>
      <c r="BE281" s="889">
        <v>0</v>
      </c>
      <c r="BF281" s="890">
        <v>0</v>
      </c>
      <c r="BG281" s="883">
        <v>1</v>
      </c>
      <c r="BH281" s="883">
        <v>0</v>
      </c>
      <c r="BI281" s="890">
        <v>0</v>
      </c>
      <c r="BJ281" s="883">
        <v>0</v>
      </c>
      <c r="BK281" s="883">
        <v>1</v>
      </c>
      <c r="BL281" s="883">
        <v>0</v>
      </c>
      <c r="BM281" s="890">
        <v>0</v>
      </c>
      <c r="BN281" s="958">
        <v>7.0000000000000007E-2</v>
      </c>
      <c r="BO281" s="959">
        <v>6</v>
      </c>
      <c r="BP281" s="1018">
        <f t="shared" ca="1" si="392"/>
        <v>148.5</v>
      </c>
      <c r="BQ281" s="1018">
        <f t="shared" ca="1" si="393"/>
        <v>412.25249999999994</v>
      </c>
      <c r="BR281" s="1018">
        <f t="shared" ca="1" si="394"/>
        <v>148.44999999999999</v>
      </c>
      <c r="BS281" s="1018">
        <f t="shared" ca="1" si="395"/>
        <v>100.98500000000001</v>
      </c>
      <c r="BT281" s="1018">
        <f t="shared" ca="1" si="396"/>
        <v>148.5</v>
      </c>
      <c r="BU281" s="1018">
        <f t="shared" ca="1" si="397"/>
        <v>46.489999999999995</v>
      </c>
      <c r="BV281" s="1018">
        <f t="shared" ca="1" si="398"/>
        <v>2.15</v>
      </c>
      <c r="BW281" s="1018">
        <v>0</v>
      </c>
      <c r="BX281" s="1018">
        <f t="shared" ca="1" si="399"/>
        <v>45.00757958564931</v>
      </c>
      <c r="BY281" s="1018">
        <f t="shared" ca="1" si="400"/>
        <v>54.717390122502231</v>
      </c>
      <c r="BZ281" s="1018">
        <f t="shared" ca="1" si="385"/>
        <v>26.230449377041246</v>
      </c>
      <c r="CA281" s="1018">
        <f t="shared" ca="1" si="386"/>
        <v>127.84749992968388</v>
      </c>
      <c r="CB281" s="1018">
        <f t="shared" ca="1" si="401"/>
        <v>4.5133587786259541</v>
      </c>
      <c r="CC281" s="1018">
        <f t="shared" si="387"/>
        <v>0</v>
      </c>
      <c r="CD281" s="1018">
        <f t="shared" ca="1" si="406"/>
        <v>289.57652779350263</v>
      </c>
      <c r="CE281" s="1018">
        <f t="shared" ca="1" si="402"/>
        <v>72.663332942847418</v>
      </c>
      <c r="CF281" s="1018">
        <f t="shared" ca="1" si="388"/>
        <v>10.867195822090501</v>
      </c>
      <c r="CG281" s="1018">
        <f t="shared" ca="1" si="389"/>
        <v>18093.446355947799</v>
      </c>
    </row>
    <row r="282" spans="1:85" x14ac:dyDescent="0.25">
      <c r="A282" s="411"/>
      <c r="B282" s="417"/>
      <c r="C282" s="411"/>
      <c r="D282" s="412"/>
      <c r="E282" s="411"/>
      <c r="F282" s="412"/>
      <c r="G282" s="411"/>
      <c r="H282" s="412"/>
      <c r="I282" s="411"/>
      <c r="J282" s="412"/>
      <c r="K282" s="412"/>
      <c r="L282" s="412"/>
      <c r="M282" s="412"/>
      <c r="N282" s="412"/>
      <c r="O282" s="412" t="s">
        <v>18</v>
      </c>
      <c r="P282" s="414">
        <v>0.94399999999999995</v>
      </c>
      <c r="Q282" s="412" t="s">
        <v>7</v>
      </c>
      <c r="R282" s="414">
        <v>0.39250000000000002</v>
      </c>
      <c r="S282" s="412"/>
      <c r="T282" s="422">
        <v>5.0686835184019802E-3</v>
      </c>
      <c r="U282" s="411"/>
      <c r="V282" s="176">
        <f t="shared" si="390"/>
        <v>5.0686835184019802E-3</v>
      </c>
      <c r="W282" s="176">
        <f t="shared" si="403"/>
        <v>5.0686835184019802E-3</v>
      </c>
      <c r="X282" s="176">
        <f t="shared" si="404"/>
        <v>5.0686835184019802E-3</v>
      </c>
      <c r="Y282" s="34">
        <f>X282/Calculation_sheet!M$67</f>
        <v>5.0687871548779325E-3</v>
      </c>
      <c r="Z282" s="176">
        <f ca="1">IF(AN282&gt;0,Y282*Calculation_sheet!C$87,0)</f>
        <v>0</v>
      </c>
      <c r="AA282" s="176">
        <f t="shared" ca="1" si="381"/>
        <v>5.0687871548779325E-3</v>
      </c>
      <c r="AB282" s="176">
        <f ca="1">IF(AP282&gt;0,AA282*Calculation_sheet!C$94,0)</f>
        <v>0</v>
      </c>
      <c r="AC282" s="176">
        <f t="shared" ca="1" si="391"/>
        <v>5.0687871548779325E-3</v>
      </c>
      <c r="AD282" s="958">
        <f ca="1">AC282*Calculation_sheet!C$99</f>
        <v>3.0412722929267595E-3</v>
      </c>
      <c r="AE282" s="176">
        <f t="shared" ca="1" si="391"/>
        <v>2.027514861951173E-3</v>
      </c>
      <c r="AF282" s="176">
        <f t="shared" ca="1" si="405"/>
        <v>5.0687871548779325E-3</v>
      </c>
      <c r="AG282" s="958">
        <f ca="1">AF282*User_sheet!B$77/100</f>
        <v>0</v>
      </c>
      <c r="AH282" s="313"/>
      <c r="AI282" s="883">
        <v>103</v>
      </c>
      <c r="AJ282" s="985"/>
      <c r="AK282" s="1020">
        <f t="shared" ca="1" si="384"/>
        <v>289.57652779350263</v>
      </c>
      <c r="AL282" s="954">
        <f ca="1">AK282/'103'!I$24</f>
        <v>0.65164900769283296</v>
      </c>
      <c r="AM282" s="954">
        <f ca="1">0.8*(AK282*30+'103'!D$17*0.34*30*1)</f>
        <v>10402.189867044064</v>
      </c>
      <c r="AN282" s="954">
        <f ca="1">IF(AM282&lt;User_sheet!B$50,Y282,0)</f>
        <v>0</v>
      </c>
      <c r="AO282" s="954">
        <f ca="1">20-(User_sheet!B$57/('Freestanding '!AK282+'103'!D$17*1*0.34))</f>
        <v>6.8489229913591494</v>
      </c>
      <c r="AP282" s="954">
        <f ca="1">IF(AO282&lt;User_sheet!B$59,0,BC282*AA282)</f>
        <v>0</v>
      </c>
      <c r="AQ282" s="985"/>
      <c r="AR282" s="883">
        <v>0.32</v>
      </c>
      <c r="AS282" s="1020">
        <v>0.59799999999999998</v>
      </c>
      <c r="AT282" s="883">
        <v>0.59</v>
      </c>
      <c r="AU282" s="883">
        <v>2.75</v>
      </c>
      <c r="AV282" s="883">
        <v>3.3</v>
      </c>
      <c r="AW282" s="883">
        <v>12257.141193582425</v>
      </c>
      <c r="AX282" s="883">
        <v>72298.2589500467</v>
      </c>
      <c r="AY282" s="883">
        <v>64021.679041832605</v>
      </c>
      <c r="AZ282" s="883">
        <v>0</v>
      </c>
      <c r="BA282" s="883">
        <v>0</v>
      </c>
      <c r="BB282" s="883">
        <v>0.6</v>
      </c>
      <c r="BC282" s="888">
        <v>0</v>
      </c>
      <c r="BD282" s="889">
        <v>1</v>
      </c>
      <c r="BE282" s="889">
        <v>0</v>
      </c>
      <c r="BF282" s="890">
        <v>0</v>
      </c>
      <c r="BG282" s="883">
        <v>1</v>
      </c>
      <c r="BH282" s="883">
        <v>0</v>
      </c>
      <c r="BI282" s="890">
        <v>0</v>
      </c>
      <c r="BJ282" s="883">
        <v>0</v>
      </c>
      <c r="BK282" s="883">
        <v>0</v>
      </c>
      <c r="BL282" s="883">
        <v>1</v>
      </c>
      <c r="BM282" s="890">
        <v>0</v>
      </c>
      <c r="BN282" s="958">
        <v>7.0000000000000007E-2</v>
      </c>
      <c r="BO282" s="959">
        <v>6</v>
      </c>
      <c r="BP282" s="1018">
        <f t="shared" ca="1" si="392"/>
        <v>148.5</v>
      </c>
      <c r="BQ282" s="1018">
        <f t="shared" ca="1" si="393"/>
        <v>412.25249999999994</v>
      </c>
      <c r="BR282" s="1018">
        <f t="shared" ca="1" si="394"/>
        <v>148.44999999999999</v>
      </c>
      <c r="BS282" s="1018">
        <f t="shared" ca="1" si="395"/>
        <v>100.98500000000001</v>
      </c>
      <c r="BT282" s="1018">
        <f t="shared" ca="1" si="396"/>
        <v>148.5</v>
      </c>
      <c r="BU282" s="1018">
        <f t="shared" ca="1" si="397"/>
        <v>46.489999999999995</v>
      </c>
      <c r="BV282" s="1018">
        <f t="shared" ca="1" si="398"/>
        <v>2.15</v>
      </c>
      <c r="BW282" s="1018">
        <v>0</v>
      </c>
      <c r="BX282" s="1018">
        <f t="shared" ca="1" si="399"/>
        <v>45.00757958564931</v>
      </c>
      <c r="BY282" s="1018">
        <f t="shared" ca="1" si="400"/>
        <v>54.717390122502231</v>
      </c>
      <c r="BZ282" s="1018">
        <f t="shared" ca="1" si="385"/>
        <v>26.230449377041246</v>
      </c>
      <c r="CA282" s="1018">
        <f t="shared" ca="1" si="386"/>
        <v>127.84749992968388</v>
      </c>
      <c r="CB282" s="1018">
        <f t="shared" ca="1" si="401"/>
        <v>4.5133587786259541</v>
      </c>
      <c r="CC282" s="1018">
        <f t="shared" si="387"/>
        <v>0</v>
      </c>
      <c r="CD282" s="1018">
        <f t="shared" ca="1" si="406"/>
        <v>289.57652779350263</v>
      </c>
      <c r="CE282" s="1018">
        <f t="shared" ca="1" si="402"/>
        <v>72.663332942847418</v>
      </c>
      <c r="CF282" s="1018">
        <f t="shared" ca="1" si="388"/>
        <v>10.867195822090501</v>
      </c>
      <c r="CG282" s="1018">
        <f t="shared" ca="1" si="389"/>
        <v>18093.446355947799</v>
      </c>
    </row>
    <row r="283" spans="1:85" x14ac:dyDescent="0.25">
      <c r="A283" s="411"/>
      <c r="B283" s="411"/>
      <c r="C283" s="411"/>
      <c r="D283" s="412"/>
      <c r="E283" s="411"/>
      <c r="F283" s="412"/>
      <c r="G283" s="411"/>
      <c r="H283" s="412"/>
      <c r="I283" s="411"/>
      <c r="J283" s="412"/>
      <c r="K283" s="412"/>
      <c r="L283" s="412"/>
      <c r="M283" s="412"/>
      <c r="N283" s="412"/>
      <c r="O283" s="412"/>
      <c r="P283" s="412"/>
      <c r="Q283" s="412" t="s">
        <v>22</v>
      </c>
      <c r="R283" s="414">
        <v>0.39250000000000002</v>
      </c>
      <c r="S283" s="412"/>
      <c r="T283" s="422">
        <v>3.0068461549842253E-4</v>
      </c>
      <c r="U283" s="411"/>
      <c r="V283" s="176">
        <f t="shared" si="390"/>
        <v>3.0068461549842253E-4</v>
      </c>
      <c r="W283" s="176">
        <f t="shared" si="403"/>
        <v>3.0068461549842253E-4</v>
      </c>
      <c r="X283" s="176">
        <f t="shared" si="404"/>
        <v>3.0068461549842253E-4</v>
      </c>
      <c r="Y283" s="34">
        <f>X283/Calculation_sheet!M$67</f>
        <v>3.0069076342496208E-4</v>
      </c>
      <c r="Z283" s="176">
        <f ca="1">IF(AN283&gt;0,Y283*Calculation_sheet!C$87,0)</f>
        <v>0</v>
      </c>
      <c r="AA283" s="176">
        <f t="shared" ca="1" si="381"/>
        <v>3.0069076342496208E-4</v>
      </c>
      <c r="AB283" s="176">
        <f ca="1">IF(AP283&gt;0,AA283*Calculation_sheet!C$94,0)</f>
        <v>0</v>
      </c>
      <c r="AC283" s="176">
        <f t="shared" ca="1" si="391"/>
        <v>3.0069076342496208E-4</v>
      </c>
      <c r="AD283" s="958">
        <f ca="1">AC283*Calculation_sheet!C$99</f>
        <v>1.8041445805497725E-4</v>
      </c>
      <c r="AE283" s="176">
        <f t="shared" ca="1" si="391"/>
        <v>1.2027630536998483E-4</v>
      </c>
      <c r="AF283" s="176">
        <f t="shared" ca="1" si="405"/>
        <v>3.0069076342496208E-4</v>
      </c>
      <c r="AG283" s="958">
        <f ca="1">AF283*User_sheet!B$77/100</f>
        <v>0</v>
      </c>
      <c r="AH283" s="313"/>
      <c r="AI283" s="883">
        <v>103</v>
      </c>
      <c r="AJ283" s="985"/>
      <c r="AK283" s="1020">
        <f t="shared" ca="1" si="384"/>
        <v>289.57652779350263</v>
      </c>
      <c r="AL283" s="954">
        <f ca="1">AK283/'103'!I$24</f>
        <v>0.65164900769283296</v>
      </c>
      <c r="AM283" s="954">
        <f ca="1">0.8*(AK283*30+'103'!D$17*0.34*30*1)</f>
        <v>10402.189867044064</v>
      </c>
      <c r="AN283" s="954">
        <f ca="1">IF(AM283&lt;User_sheet!B$50,Y283,0)</f>
        <v>0</v>
      </c>
      <c r="AO283" s="954">
        <f ca="1">20-(User_sheet!B$57/('Freestanding '!AK283+'103'!D$17*1*0.34))</f>
        <v>6.8489229913591494</v>
      </c>
      <c r="AP283" s="954">
        <f ca="1">IF(AO283&lt;User_sheet!B$59,0,BC283*AA283)</f>
        <v>0</v>
      </c>
      <c r="AQ283" s="985"/>
      <c r="AR283" s="883">
        <v>0.32</v>
      </c>
      <c r="AS283" s="1020">
        <v>0.59799999999999998</v>
      </c>
      <c r="AT283" s="883">
        <v>0.59</v>
      </c>
      <c r="AU283" s="883">
        <v>2.75</v>
      </c>
      <c r="AV283" s="883">
        <v>3.3</v>
      </c>
      <c r="AW283" s="883">
        <v>12257.141193582425</v>
      </c>
      <c r="AX283" s="883">
        <v>72298.2589500467</v>
      </c>
      <c r="AY283" s="883">
        <v>64021.679041832605</v>
      </c>
      <c r="AZ283" s="883">
        <v>0</v>
      </c>
      <c r="BA283" s="883">
        <v>0</v>
      </c>
      <c r="BB283" s="883">
        <v>0.6</v>
      </c>
      <c r="BC283" s="888">
        <v>0</v>
      </c>
      <c r="BD283" s="889">
        <v>1</v>
      </c>
      <c r="BE283" s="889">
        <v>0</v>
      </c>
      <c r="BF283" s="890">
        <v>0</v>
      </c>
      <c r="BG283" s="883">
        <v>0</v>
      </c>
      <c r="BH283" s="883">
        <v>1</v>
      </c>
      <c r="BI283" s="890">
        <v>0</v>
      </c>
      <c r="BJ283" s="883">
        <v>0</v>
      </c>
      <c r="BK283" s="883">
        <v>1</v>
      </c>
      <c r="BL283" s="883">
        <v>0</v>
      </c>
      <c r="BM283" s="890">
        <v>0</v>
      </c>
      <c r="BN283" s="958">
        <v>7.0000000000000007E-2</v>
      </c>
      <c r="BO283" s="959">
        <v>6</v>
      </c>
      <c r="BP283" s="1018">
        <f t="shared" ca="1" si="392"/>
        <v>148.5</v>
      </c>
      <c r="BQ283" s="1018">
        <f t="shared" ca="1" si="393"/>
        <v>412.25249999999994</v>
      </c>
      <c r="BR283" s="1018">
        <f t="shared" ca="1" si="394"/>
        <v>148.44999999999999</v>
      </c>
      <c r="BS283" s="1018">
        <f t="shared" ca="1" si="395"/>
        <v>100.98500000000001</v>
      </c>
      <c r="BT283" s="1018">
        <f t="shared" ca="1" si="396"/>
        <v>148.5</v>
      </c>
      <c r="BU283" s="1018">
        <f t="shared" ca="1" si="397"/>
        <v>46.489999999999995</v>
      </c>
      <c r="BV283" s="1018">
        <f t="shared" ca="1" si="398"/>
        <v>2.15</v>
      </c>
      <c r="BW283" s="1018">
        <v>0</v>
      </c>
      <c r="BX283" s="1018">
        <f t="shared" ca="1" si="399"/>
        <v>45.00757958564931</v>
      </c>
      <c r="BY283" s="1018">
        <f t="shared" ca="1" si="400"/>
        <v>54.717390122502231</v>
      </c>
      <c r="BZ283" s="1018">
        <f t="shared" ca="1" si="385"/>
        <v>26.230449377041246</v>
      </c>
      <c r="CA283" s="1018">
        <f t="shared" ca="1" si="386"/>
        <v>127.84749992968388</v>
      </c>
      <c r="CB283" s="1018">
        <f t="shared" ca="1" si="401"/>
        <v>4.5133587786259541</v>
      </c>
      <c r="CC283" s="1018">
        <f t="shared" si="387"/>
        <v>0</v>
      </c>
      <c r="CD283" s="1018">
        <f t="shared" ca="1" si="406"/>
        <v>289.57652779350263</v>
      </c>
      <c r="CE283" s="1018">
        <f t="shared" ca="1" si="402"/>
        <v>72.663332942847418</v>
      </c>
      <c r="CF283" s="1018">
        <f t="shared" ca="1" si="388"/>
        <v>10.867195822090501</v>
      </c>
      <c r="CG283" s="1018">
        <f t="shared" ca="1" si="389"/>
        <v>18093.446355947799</v>
      </c>
    </row>
    <row r="284" spans="1:85" x14ac:dyDescent="0.25">
      <c r="A284" s="411"/>
      <c r="B284" s="411"/>
      <c r="C284" s="411"/>
      <c r="D284" s="412"/>
      <c r="E284" s="411"/>
      <c r="F284" s="412"/>
      <c r="G284" s="411"/>
      <c r="H284" s="412"/>
      <c r="I284" s="411"/>
      <c r="J284" s="412"/>
      <c r="K284" s="412"/>
      <c r="L284" s="412"/>
      <c r="M284" s="412" t="s">
        <v>22</v>
      </c>
      <c r="N284" s="414">
        <v>0.47</v>
      </c>
      <c r="O284" s="412" t="s">
        <v>20</v>
      </c>
      <c r="P284" s="414">
        <v>5.6000000000000001E-2</v>
      </c>
      <c r="Q284" s="412" t="s">
        <v>7</v>
      </c>
      <c r="R284" s="414">
        <v>0.60750000000000004</v>
      </c>
      <c r="S284" s="412"/>
      <c r="T284" s="422">
        <v>4.6539083800074317E-4</v>
      </c>
      <c r="U284" s="411"/>
      <c r="V284" s="176">
        <f t="shared" si="390"/>
        <v>4.6539083800074317E-4</v>
      </c>
      <c r="W284" s="176">
        <f t="shared" si="403"/>
        <v>4.6539083800074317E-4</v>
      </c>
      <c r="X284" s="176">
        <f t="shared" si="404"/>
        <v>4.6539083800074317E-4</v>
      </c>
      <c r="Y284" s="34">
        <f>X284/Calculation_sheet!M$67</f>
        <v>4.654003535813107E-4</v>
      </c>
      <c r="Z284" s="176">
        <f ca="1">IF(AN284&gt;0,Y284*Calculation_sheet!C$87,0)</f>
        <v>0</v>
      </c>
      <c r="AA284" s="176">
        <f t="shared" ca="1" si="381"/>
        <v>4.654003535813107E-4</v>
      </c>
      <c r="AB284" s="176">
        <f ca="1">IF(AP284&gt;0,AA284*Calculation_sheet!C$94,0)</f>
        <v>0</v>
      </c>
      <c r="AC284" s="176">
        <f t="shared" ca="1" si="391"/>
        <v>4.654003535813107E-4</v>
      </c>
      <c r="AD284" s="958">
        <f ca="1">AC284*Calculation_sheet!C$99</f>
        <v>2.7924021214878643E-4</v>
      </c>
      <c r="AE284" s="176">
        <f t="shared" ca="1" si="391"/>
        <v>1.8616014143252427E-4</v>
      </c>
      <c r="AF284" s="176">
        <f t="shared" ca="1" si="405"/>
        <v>4.654003535813107E-4</v>
      </c>
      <c r="AG284" s="958">
        <f ca="1">AF284*User_sheet!B$77/100</f>
        <v>0</v>
      </c>
      <c r="AH284" s="313"/>
      <c r="AI284" s="883">
        <v>103</v>
      </c>
      <c r="AJ284" s="985"/>
      <c r="AK284" s="1020">
        <f t="shared" ca="1" si="384"/>
        <v>289.57652779350263</v>
      </c>
      <c r="AL284" s="954">
        <f ca="1">AK284/'103'!I$24</f>
        <v>0.65164900769283296</v>
      </c>
      <c r="AM284" s="954">
        <f ca="1">0.8*(AK284*30+'103'!D$17*0.34*30*1)</f>
        <v>10402.189867044064</v>
      </c>
      <c r="AN284" s="954">
        <f ca="1">IF(AM284&lt;User_sheet!B$50,Y284,0)</f>
        <v>0</v>
      </c>
      <c r="AO284" s="954">
        <f ca="1">20-(User_sheet!B$57/('Freestanding '!AK284+'103'!D$17*1*0.34))</f>
        <v>6.8489229913591494</v>
      </c>
      <c r="AP284" s="954">
        <f ca="1">IF(AO284&lt;User_sheet!B$59,0,BC284*AA284)</f>
        <v>0</v>
      </c>
      <c r="AQ284" s="985"/>
      <c r="AR284" s="883">
        <v>0.32</v>
      </c>
      <c r="AS284" s="1020">
        <v>0.59799999999999998</v>
      </c>
      <c r="AT284" s="883">
        <v>0.59</v>
      </c>
      <c r="AU284" s="883">
        <v>2.75</v>
      </c>
      <c r="AV284" s="883">
        <v>3.3</v>
      </c>
      <c r="AW284" s="883">
        <v>12257.141193582425</v>
      </c>
      <c r="AX284" s="883">
        <v>72298.2589500467</v>
      </c>
      <c r="AY284" s="883">
        <v>64021.679041832605</v>
      </c>
      <c r="AZ284" s="883">
        <v>0</v>
      </c>
      <c r="BA284" s="883">
        <v>0</v>
      </c>
      <c r="BB284" s="883">
        <v>0.6</v>
      </c>
      <c r="BC284" s="888">
        <v>0</v>
      </c>
      <c r="BD284" s="889">
        <v>1</v>
      </c>
      <c r="BE284" s="889">
        <v>0</v>
      </c>
      <c r="BF284" s="890">
        <v>0</v>
      </c>
      <c r="BG284" s="883">
        <v>0</v>
      </c>
      <c r="BH284" s="883">
        <v>1</v>
      </c>
      <c r="BI284" s="890">
        <v>0</v>
      </c>
      <c r="BJ284" s="883">
        <v>0</v>
      </c>
      <c r="BK284" s="883">
        <v>0</v>
      </c>
      <c r="BL284" s="883">
        <v>1</v>
      </c>
      <c r="BM284" s="890">
        <v>0</v>
      </c>
      <c r="BN284" s="958">
        <v>7.0000000000000007E-2</v>
      </c>
      <c r="BO284" s="959">
        <v>6</v>
      </c>
      <c r="BP284" s="1018">
        <f t="shared" ca="1" si="392"/>
        <v>148.5</v>
      </c>
      <c r="BQ284" s="1018">
        <f t="shared" ca="1" si="393"/>
        <v>412.25249999999994</v>
      </c>
      <c r="BR284" s="1018">
        <f t="shared" ca="1" si="394"/>
        <v>148.44999999999999</v>
      </c>
      <c r="BS284" s="1018">
        <f t="shared" ca="1" si="395"/>
        <v>100.98500000000001</v>
      </c>
      <c r="BT284" s="1018">
        <f t="shared" ca="1" si="396"/>
        <v>148.5</v>
      </c>
      <c r="BU284" s="1018">
        <f t="shared" ca="1" si="397"/>
        <v>46.489999999999995</v>
      </c>
      <c r="BV284" s="1018">
        <f t="shared" ca="1" si="398"/>
        <v>2.15</v>
      </c>
      <c r="BW284" s="1018">
        <v>0</v>
      </c>
      <c r="BX284" s="1018">
        <f t="shared" ca="1" si="399"/>
        <v>45.00757958564931</v>
      </c>
      <c r="BY284" s="1018">
        <f t="shared" ca="1" si="400"/>
        <v>54.717390122502231</v>
      </c>
      <c r="BZ284" s="1018">
        <f t="shared" ca="1" si="385"/>
        <v>26.230449377041246</v>
      </c>
      <c r="CA284" s="1018">
        <f t="shared" ca="1" si="386"/>
        <v>127.84749992968388</v>
      </c>
      <c r="CB284" s="1018">
        <f t="shared" ca="1" si="401"/>
        <v>4.5133587786259541</v>
      </c>
      <c r="CC284" s="1018">
        <f t="shared" si="387"/>
        <v>0</v>
      </c>
      <c r="CD284" s="1018">
        <f t="shared" ca="1" si="406"/>
        <v>289.57652779350263</v>
      </c>
      <c r="CE284" s="1018">
        <f t="shared" ca="1" si="402"/>
        <v>72.663332942847418</v>
      </c>
      <c r="CF284" s="1018">
        <f t="shared" ca="1" si="388"/>
        <v>10.867195822090501</v>
      </c>
      <c r="CG284" s="1018">
        <f t="shared" ca="1" si="389"/>
        <v>18093.446355947799</v>
      </c>
    </row>
    <row r="285" spans="1:85" x14ac:dyDescent="0.25">
      <c r="A285" s="411"/>
      <c r="B285" s="411"/>
      <c r="C285" s="411"/>
      <c r="D285" s="412"/>
      <c r="E285" s="411" t="s">
        <v>4</v>
      </c>
      <c r="F285" s="416">
        <v>0.61</v>
      </c>
      <c r="G285" s="411" t="s">
        <v>5</v>
      </c>
      <c r="H285" s="416">
        <v>1</v>
      </c>
      <c r="I285" s="411" t="s">
        <v>6</v>
      </c>
      <c r="J285" s="416">
        <v>1</v>
      </c>
      <c r="K285" s="415" t="s">
        <v>12</v>
      </c>
      <c r="L285" s="416">
        <v>0.49970000000000003</v>
      </c>
      <c r="M285" s="412" t="s">
        <v>7</v>
      </c>
      <c r="N285" s="414">
        <v>0.11900000000000005</v>
      </c>
      <c r="O285" s="412" t="s">
        <v>23</v>
      </c>
      <c r="P285" s="414">
        <v>1</v>
      </c>
      <c r="Q285" s="412" t="s">
        <v>7</v>
      </c>
      <c r="R285" s="414">
        <v>1</v>
      </c>
      <c r="S285" s="412"/>
      <c r="T285" s="422">
        <v>3.4636390184802726E-3</v>
      </c>
      <c r="U285" s="411"/>
      <c r="V285" s="176">
        <f t="shared" si="390"/>
        <v>3.4636390184802726E-3</v>
      </c>
      <c r="W285" s="176">
        <f t="shared" si="403"/>
        <v>3.4636390184802726E-3</v>
      </c>
      <c r="X285" s="176">
        <f t="shared" si="404"/>
        <v>3.4636390184802726E-3</v>
      </c>
      <c r="Y285" s="34">
        <f>X285/Calculation_sheet!M$67</f>
        <v>3.4637098375283632E-3</v>
      </c>
      <c r="Z285" s="176">
        <f ca="1">IF(AN285&gt;0,Y285*Calculation_sheet!C$87,0)</f>
        <v>0</v>
      </c>
      <c r="AA285" s="176">
        <f t="shared" ca="1" si="381"/>
        <v>3.4637098375283632E-3</v>
      </c>
      <c r="AB285" s="176">
        <f ca="1">IF(AP285&gt;0,AA285*Calculation_sheet!C$94,0)</f>
        <v>0</v>
      </c>
      <c r="AC285" s="176">
        <f t="shared" ca="1" si="391"/>
        <v>3.4637098375283632E-3</v>
      </c>
      <c r="AD285" s="958">
        <f ca="1">AC285*Calculation_sheet!C$99</f>
        <v>2.0782259025170177E-3</v>
      </c>
      <c r="AE285" s="176">
        <f t="shared" ca="1" si="391"/>
        <v>1.3854839350113455E-3</v>
      </c>
      <c r="AF285" s="176">
        <f t="shared" ca="1" si="405"/>
        <v>3.4637098375283632E-3</v>
      </c>
      <c r="AG285" s="958">
        <f ca="1">AF285*User_sheet!B$77/100</f>
        <v>0</v>
      </c>
      <c r="AH285" s="313"/>
      <c r="AI285" s="883">
        <v>103</v>
      </c>
      <c r="AJ285" s="985"/>
      <c r="AK285" s="1020">
        <f t="shared" ca="1" si="384"/>
        <v>289.57652779350263</v>
      </c>
      <c r="AL285" s="954">
        <f ca="1">AK285/'103'!I$24</f>
        <v>0.65164900769283296</v>
      </c>
      <c r="AM285" s="954">
        <f ca="1">0.8*(AK285*30+'103'!D$17*0.34*30*1)</f>
        <v>10402.189867044064</v>
      </c>
      <c r="AN285" s="954">
        <f ca="1">IF(AM285&lt;User_sheet!B$50,Y285,0)</f>
        <v>0</v>
      </c>
      <c r="AO285" s="954">
        <f ca="1">20-(User_sheet!B$57/('Freestanding '!AK285+'103'!D$17*1*0.34))</f>
        <v>6.8489229913591494</v>
      </c>
      <c r="AP285" s="954">
        <f ca="1">IF(AO285&lt;User_sheet!B$59,0,BC285*AA285)</f>
        <v>0</v>
      </c>
      <c r="AQ285" s="985"/>
      <c r="AR285" s="883">
        <v>0.32</v>
      </c>
      <c r="AS285" s="1020">
        <v>0.59799999999999998</v>
      </c>
      <c r="AT285" s="883">
        <v>0.59</v>
      </c>
      <c r="AU285" s="883">
        <v>2.75</v>
      </c>
      <c r="AV285" s="883">
        <v>3.3</v>
      </c>
      <c r="AW285" s="883">
        <v>12257.141193582425</v>
      </c>
      <c r="AX285" s="883">
        <v>72298.2589500467</v>
      </c>
      <c r="AY285" s="883">
        <v>64021.679041832605</v>
      </c>
      <c r="AZ285" s="883">
        <v>0</v>
      </c>
      <c r="BA285" s="883">
        <v>0</v>
      </c>
      <c r="BB285" s="883">
        <v>0.6</v>
      </c>
      <c r="BC285" s="888">
        <v>0</v>
      </c>
      <c r="BD285" s="889">
        <v>0</v>
      </c>
      <c r="BE285" s="889">
        <v>1</v>
      </c>
      <c r="BF285" s="890">
        <v>0</v>
      </c>
      <c r="BG285" s="883">
        <v>0</v>
      </c>
      <c r="BH285" s="883">
        <v>0</v>
      </c>
      <c r="BI285" s="890">
        <v>1</v>
      </c>
      <c r="BJ285" s="883">
        <v>0</v>
      </c>
      <c r="BK285" s="883">
        <v>0</v>
      </c>
      <c r="BL285" s="883">
        <v>1</v>
      </c>
      <c r="BM285" s="890">
        <v>0</v>
      </c>
      <c r="BN285" s="958">
        <v>7.0000000000000007E-2</v>
      </c>
      <c r="BO285" s="959">
        <v>6</v>
      </c>
      <c r="BP285" s="1018">
        <f t="shared" ca="1" si="392"/>
        <v>148.5</v>
      </c>
      <c r="BQ285" s="1018">
        <f t="shared" ca="1" si="393"/>
        <v>412.25249999999994</v>
      </c>
      <c r="BR285" s="1018">
        <f t="shared" ca="1" si="394"/>
        <v>148.44999999999999</v>
      </c>
      <c r="BS285" s="1018">
        <f t="shared" ca="1" si="395"/>
        <v>100.98500000000001</v>
      </c>
      <c r="BT285" s="1018">
        <f t="shared" ca="1" si="396"/>
        <v>148.5</v>
      </c>
      <c r="BU285" s="1018">
        <f t="shared" ca="1" si="397"/>
        <v>46.489999999999995</v>
      </c>
      <c r="BV285" s="1018">
        <f t="shared" ca="1" si="398"/>
        <v>2.15</v>
      </c>
      <c r="BW285" s="1018">
        <v>0</v>
      </c>
      <c r="BX285" s="1018">
        <f t="shared" ca="1" si="399"/>
        <v>45.00757958564931</v>
      </c>
      <c r="BY285" s="1018">
        <f t="shared" ca="1" si="400"/>
        <v>54.717390122502231</v>
      </c>
      <c r="BZ285" s="1018">
        <f t="shared" ca="1" si="385"/>
        <v>26.230449377041246</v>
      </c>
      <c r="CA285" s="1018">
        <f t="shared" ca="1" si="386"/>
        <v>127.84749992968388</v>
      </c>
      <c r="CB285" s="1018">
        <f t="shared" ca="1" si="401"/>
        <v>4.5133587786259541</v>
      </c>
      <c r="CC285" s="1018">
        <f t="shared" si="387"/>
        <v>0</v>
      </c>
      <c r="CD285" s="1018">
        <f t="shared" ca="1" si="406"/>
        <v>289.57652779350263</v>
      </c>
      <c r="CE285" s="1018">
        <f t="shared" ca="1" si="402"/>
        <v>72.663332942847418</v>
      </c>
      <c r="CF285" s="1018">
        <f t="shared" ca="1" si="388"/>
        <v>10.867195822090501</v>
      </c>
      <c r="CG285" s="1018">
        <f t="shared" ca="1" si="389"/>
        <v>18093.446355947799</v>
      </c>
    </row>
    <row r="286" spans="1:85" s="14" customFormat="1" x14ac:dyDescent="0.25">
      <c r="A286" s="419"/>
      <c r="B286" s="419"/>
      <c r="C286" s="419"/>
      <c r="D286" s="420"/>
      <c r="E286" s="419"/>
      <c r="F286" s="420"/>
      <c r="G286" s="419"/>
      <c r="H286" s="420"/>
      <c r="I286" s="419"/>
      <c r="J286" s="420"/>
      <c r="K286" s="421"/>
      <c r="L286" s="420"/>
      <c r="M286" s="420"/>
      <c r="N286" s="420"/>
      <c r="O286" s="420"/>
      <c r="P286" s="420"/>
      <c r="Q286" s="420"/>
      <c r="R286" s="420"/>
      <c r="S286" s="420"/>
      <c r="T286" s="423"/>
      <c r="U286" s="419"/>
      <c r="V286" s="292"/>
      <c r="W286" s="292"/>
      <c r="X286" s="292"/>
      <c r="Y286" s="277"/>
      <c r="Z286" s="292"/>
      <c r="AA286" s="292"/>
      <c r="AB286" s="292"/>
      <c r="AC286" s="292"/>
      <c r="AD286" s="277"/>
      <c r="AE286" s="292"/>
      <c r="AF286" s="292"/>
      <c r="AG286" s="277"/>
      <c r="AH286" s="313"/>
      <c r="AI286" s="885"/>
      <c r="AJ286" s="985"/>
      <c r="AK286" s="1020">
        <f t="shared" si="384"/>
        <v>0</v>
      </c>
      <c r="AL286" s="941"/>
      <c r="AM286" s="941"/>
      <c r="AN286" s="941"/>
      <c r="AO286" s="941"/>
      <c r="AP286" s="941"/>
      <c r="AQ286" s="985"/>
      <c r="AR286" s="885"/>
      <c r="AS286" s="885"/>
      <c r="AT286" s="885"/>
      <c r="AU286" s="885"/>
      <c r="AV286" s="885"/>
      <c r="AW286" s="885"/>
      <c r="AX286" s="885"/>
      <c r="AY286" s="885"/>
      <c r="AZ286" s="885"/>
      <c r="BA286" s="885"/>
      <c r="BB286" s="885"/>
      <c r="BC286" s="335"/>
      <c r="BD286" s="278"/>
      <c r="BE286" s="278"/>
      <c r="BF286" s="52"/>
      <c r="BG286" s="885"/>
      <c r="BH286" s="885"/>
      <c r="BI286" s="52"/>
      <c r="BJ286" s="885"/>
      <c r="BK286" s="885"/>
      <c r="BL286" s="885"/>
      <c r="BM286" s="52"/>
      <c r="BN286" s="278"/>
      <c r="BO286" s="52"/>
      <c r="BP286" s="946"/>
      <c r="BQ286" s="946"/>
      <c r="BR286" s="946"/>
      <c r="BS286" s="946"/>
      <c r="BT286" s="946"/>
      <c r="BU286" s="946"/>
      <c r="BV286" s="946"/>
      <c r="BW286" s="946"/>
      <c r="BX286" s="946"/>
      <c r="BY286" s="946"/>
      <c r="BZ286" s="946"/>
      <c r="CA286" s="946"/>
      <c r="CB286" s="946"/>
      <c r="CC286" s="946"/>
      <c r="CD286" s="946"/>
      <c r="CE286" s="946"/>
      <c r="CF286" s="946"/>
      <c r="CG286" s="946"/>
    </row>
    <row r="287" spans="1:85" s="3" customFormat="1" x14ac:dyDescent="0.25">
      <c r="A287" s="413"/>
      <c r="B287" s="413"/>
      <c r="C287" s="413"/>
      <c r="D287" s="417"/>
      <c r="E287" s="413"/>
      <c r="F287" s="417"/>
      <c r="G287" s="413"/>
      <c r="H287" s="417"/>
      <c r="I287" s="413"/>
      <c r="J287" s="417"/>
      <c r="K287" s="418"/>
      <c r="L287" s="417"/>
      <c r="M287" s="412"/>
      <c r="N287" s="412"/>
      <c r="O287" s="412"/>
      <c r="P287" s="412"/>
      <c r="Q287" s="412" t="s">
        <v>16</v>
      </c>
      <c r="R287" s="414">
        <v>0.92569999999999997</v>
      </c>
      <c r="S287" s="412"/>
      <c r="T287" s="422">
        <v>9.8849056497218608E-3</v>
      </c>
      <c r="U287" s="411"/>
      <c r="V287" s="176">
        <f t="shared" ref="V287:V295" si="407">T287</f>
        <v>9.8849056497218608E-3</v>
      </c>
      <c r="W287" s="176">
        <f>V287</f>
        <v>9.8849056497218608E-3</v>
      </c>
      <c r="X287" s="176">
        <f>W287</f>
        <v>9.8849056497218608E-3</v>
      </c>
      <c r="Y287" s="958">
        <f>X287/Calculation_sheet!M$67</f>
        <v>9.8851077607400254E-3</v>
      </c>
      <c r="Z287" s="176">
        <f ca="1">IF(AN287&gt;0,Y287*Calculation_sheet!C$87,0)</f>
        <v>0</v>
      </c>
      <c r="AA287" s="176">
        <f t="shared" ca="1" si="381"/>
        <v>9.8851077607400254E-3</v>
      </c>
      <c r="AB287" s="176">
        <f ca="1">IF(AP287&gt;0,AA287*Calculation_sheet!C$94,0)</f>
        <v>0</v>
      </c>
      <c r="AC287" s="176">
        <f t="shared" ref="AC287:AE295" ca="1" si="408">AA287-AB287</f>
        <v>9.8851077607400254E-3</v>
      </c>
      <c r="AD287" s="958">
        <f ca="1">AC287*Calculation_sheet!C$99</f>
        <v>5.9310646564440152E-3</v>
      </c>
      <c r="AE287" s="176">
        <f t="shared" ca="1" si="408"/>
        <v>3.9540431042960102E-3</v>
      </c>
      <c r="AF287" s="176">
        <f t="shared" ca="1" si="405"/>
        <v>9.8851077607400254E-3</v>
      </c>
      <c r="AG287" s="958">
        <f ca="1">AF287*User_sheet!B$77/100</f>
        <v>0</v>
      </c>
      <c r="AH287" s="313"/>
      <c r="AI287" s="883">
        <v>103</v>
      </c>
      <c r="AJ287" s="985"/>
      <c r="AK287" s="1020">
        <f t="shared" ca="1" si="384"/>
        <v>319.18849763323857</v>
      </c>
      <c r="AL287" s="954">
        <f ca="1">AK287/'103'!I$24</f>
        <v>0.71828635191727386</v>
      </c>
      <c r="AM287" s="954">
        <f ca="1">0.8*(AK287*30+'103'!D$17*0.34*30*1)</f>
        <v>11112.877143197726</v>
      </c>
      <c r="AN287" s="954">
        <f ca="1">IF(AM287&lt;User_sheet!B$50,Y287,0)</f>
        <v>0</v>
      </c>
      <c r="AO287" s="954">
        <f ca="1">20-(User_sheet!B$57/('Freestanding '!AK287+'103'!D$17*1*0.34))</f>
        <v>7.6899565938478602</v>
      </c>
      <c r="AP287" s="954">
        <f ca="1">IF(AO287&lt;User_sheet!B$59,0,BC287*AA287)</f>
        <v>0</v>
      </c>
      <c r="AQ287" s="985"/>
      <c r="AR287" s="883">
        <v>0.32</v>
      </c>
      <c r="AS287" s="1020">
        <v>0.59799999999999998</v>
      </c>
      <c r="AT287" s="883">
        <v>1.42</v>
      </c>
      <c r="AU287" s="883">
        <v>2.75</v>
      </c>
      <c r="AV287" s="883">
        <v>3.3</v>
      </c>
      <c r="AW287" s="883">
        <v>12257.141193582425</v>
      </c>
      <c r="AX287" s="883">
        <v>75945.51234133933</v>
      </c>
      <c r="AY287" s="883">
        <v>62673.095488422703</v>
      </c>
      <c r="AZ287" s="883">
        <v>0</v>
      </c>
      <c r="BA287" s="883">
        <v>0</v>
      </c>
      <c r="BB287" s="883">
        <v>0.6</v>
      </c>
      <c r="BC287" s="888">
        <v>1</v>
      </c>
      <c r="BD287" s="889">
        <v>0</v>
      </c>
      <c r="BE287" s="889">
        <v>0</v>
      </c>
      <c r="BF287" s="890">
        <v>0</v>
      </c>
      <c r="BG287" s="883">
        <v>1</v>
      </c>
      <c r="BH287" s="883">
        <v>0</v>
      </c>
      <c r="BI287" s="890">
        <v>0</v>
      </c>
      <c r="BJ287" s="883">
        <v>1</v>
      </c>
      <c r="BK287" s="883">
        <v>0</v>
      </c>
      <c r="BL287" s="883">
        <v>0</v>
      </c>
      <c r="BM287" s="890">
        <v>0</v>
      </c>
      <c r="BN287" s="958">
        <v>7.0000000000000007E-2</v>
      </c>
      <c r="BO287" s="959">
        <v>6</v>
      </c>
      <c r="BP287" s="926">
        <f t="shared" ref="BP287:BP295" ca="1" si="409">INDIRECT("'"&amp;AI287&amp;"'!"&amp;"B2")</f>
        <v>148.5</v>
      </c>
      <c r="BQ287" s="926">
        <f t="shared" ref="BQ287:BQ295" ca="1" si="410">INDIRECT("'"&amp;AI287&amp;"'!"&amp;"C12")+INDIRECT("'"&amp;AI287&amp;"'!"&amp;"C13")+INDIRECT("'"&amp;AI287&amp;"'!"&amp;"C14")+INDIRECT("'"&amp;AI287&amp;"'!"&amp;"C15")+INDIRECT("'"&amp;AI287&amp;"'!"&amp;"C17")</f>
        <v>412.25249999999994</v>
      </c>
      <c r="BR287" s="926">
        <f t="shared" ref="BR287:BR295" ca="1" si="411">INDIRECT("'"&amp;AI287&amp;"'!"&amp;"G5")</f>
        <v>148.44999999999999</v>
      </c>
      <c r="BS287" s="926">
        <f t="shared" ref="BS287:BS295" ca="1" si="412">INDIRECT("'"&amp;AI287&amp;"'!"&amp;"G4")</f>
        <v>100.98500000000001</v>
      </c>
      <c r="BT287" s="926">
        <f t="shared" ref="BT287:BT295" ca="1" si="413">INDIRECT("'"&amp;AI287&amp;"'!"&amp;"G6")</f>
        <v>148.5</v>
      </c>
      <c r="BU287" s="926">
        <f t="shared" ref="BU287:BU295" ca="1" si="414">INDIRECT("'"&amp;AI287&amp;"'!"&amp;"G2")</f>
        <v>46.489999999999995</v>
      </c>
      <c r="BV287" s="926">
        <f t="shared" ref="BV287:BV295" ca="1" si="415">INDIRECT("'"&amp;AI287&amp;"'!"&amp;"G3")</f>
        <v>2.15</v>
      </c>
      <c r="BW287" s="926">
        <v>0</v>
      </c>
      <c r="BX287" s="926">
        <f t="shared" ref="BX287:BX295" ca="1" si="416">IF(BR287=0,0,1/(1/(BR287*$BY$3)+1/(BR287*AR287)+1/(BR287*$BY$4)))</f>
        <v>45.00757958564931</v>
      </c>
      <c r="BY287" s="926">
        <f t="shared" ref="BY287:BY295" ca="1" si="417">IF(BS287=0,0,1/(1/(BS287*$BY$3)+1/(BS287*AS287)+1/(BS287*$BY$4)))</f>
        <v>54.717390122502231</v>
      </c>
      <c r="BZ287" s="926">
        <f t="shared" ca="1" si="385"/>
        <v>55.84241921677723</v>
      </c>
      <c r="CA287" s="926">
        <f t="shared" ca="1" si="386"/>
        <v>127.84749992968388</v>
      </c>
      <c r="CB287" s="926">
        <f t="shared" ref="CB287:CB295" ca="1" si="418">IF(BV287=0,0,1/(1/(BV287*$BY$3)+1/(BV287*AV287)+1/(BV287*$BY$4)))</f>
        <v>4.5133587786259541</v>
      </c>
      <c r="CC287" s="926">
        <f t="shared" si="387"/>
        <v>0</v>
      </c>
      <c r="CD287" s="1018">
        <f ca="1">SUM(BX287:CC287)+(BR287+BS287+BT287+BU287+BV287)*BN287</f>
        <v>319.18849763323857</v>
      </c>
      <c r="CE287" s="1018">
        <f t="shared" ca="1" si="402"/>
        <v>72.663332942847418</v>
      </c>
      <c r="CF287" s="926">
        <f t="shared" ca="1" si="388"/>
        <v>11.755554917282579</v>
      </c>
      <c r="CG287" s="926">
        <f t="shared" ca="1" si="389"/>
        <v>19572.528715078806</v>
      </c>
    </row>
    <row r="288" spans="1:85" s="3" customFormat="1" x14ac:dyDescent="0.25">
      <c r="A288" s="413"/>
      <c r="B288" s="413"/>
      <c r="C288" s="413"/>
      <c r="D288" s="417"/>
      <c r="E288" s="413"/>
      <c r="F288" s="417"/>
      <c r="G288" s="413"/>
      <c r="H288" s="417"/>
      <c r="I288" s="413"/>
      <c r="J288" s="417"/>
      <c r="K288" s="418"/>
      <c r="L288" s="417"/>
      <c r="M288" s="412"/>
      <c r="N288" s="412"/>
      <c r="O288" s="412" t="s">
        <v>18</v>
      </c>
      <c r="P288" s="414">
        <v>0.89156626500000002</v>
      </c>
      <c r="Q288" s="412" t="s">
        <v>7</v>
      </c>
      <c r="R288" s="414">
        <v>7.4300000000000005E-2</v>
      </c>
      <c r="S288" s="412"/>
      <c r="T288" s="422">
        <v>7.9339795805804711E-4</v>
      </c>
      <c r="U288" s="411"/>
      <c r="V288" s="176">
        <f t="shared" si="407"/>
        <v>7.9339795805804711E-4</v>
      </c>
      <c r="W288" s="176">
        <f t="shared" ref="W288:W295" si="419">V288</f>
        <v>7.9339795805804711E-4</v>
      </c>
      <c r="X288" s="176">
        <f t="shared" ref="X288:X295" si="420">W288</f>
        <v>7.9339795805804711E-4</v>
      </c>
      <c r="Y288" s="958">
        <f>X288/Calculation_sheet!M$67</f>
        <v>7.9341418021279444E-4</v>
      </c>
      <c r="Z288" s="176">
        <f ca="1">IF(AN288&gt;0,Y288*Calculation_sheet!C$87,0)</f>
        <v>0</v>
      </c>
      <c r="AA288" s="176">
        <f t="shared" ca="1" si="381"/>
        <v>7.9341418021279444E-4</v>
      </c>
      <c r="AB288" s="176">
        <f ca="1">IF(AP288&gt;0,AA288*Calculation_sheet!C$94,0)</f>
        <v>0</v>
      </c>
      <c r="AC288" s="176">
        <f t="shared" ca="1" si="408"/>
        <v>7.9341418021279444E-4</v>
      </c>
      <c r="AD288" s="958">
        <f ca="1">AC288*Calculation_sheet!C$99</f>
        <v>4.7604850812767662E-4</v>
      </c>
      <c r="AE288" s="176">
        <f t="shared" ca="1" si="408"/>
        <v>3.1736567208511782E-4</v>
      </c>
      <c r="AF288" s="176">
        <f t="shared" ca="1" si="405"/>
        <v>7.9341418021279444E-4</v>
      </c>
      <c r="AG288" s="958">
        <f ca="1">AF288*User_sheet!B$77/100</f>
        <v>0</v>
      </c>
      <c r="AH288" s="313"/>
      <c r="AI288" s="883">
        <v>103</v>
      </c>
      <c r="AJ288" s="985"/>
      <c r="AK288" s="1020">
        <f t="shared" ca="1" si="384"/>
        <v>319.18849763323857</v>
      </c>
      <c r="AL288" s="954">
        <f ca="1">AK288/'103'!I$24</f>
        <v>0.71828635191727386</v>
      </c>
      <c r="AM288" s="954">
        <f ca="1">0.8*(AK288*30+'103'!D$17*0.34*30*1)</f>
        <v>11112.877143197726</v>
      </c>
      <c r="AN288" s="954">
        <f ca="1">IF(AM288&lt;User_sheet!B$50,Y288,0)</f>
        <v>0</v>
      </c>
      <c r="AO288" s="954">
        <f ca="1">20-(User_sheet!B$57/('Freestanding '!AK288+'103'!D$17*1*0.34))</f>
        <v>7.6899565938478602</v>
      </c>
      <c r="AP288" s="954">
        <f ca="1">IF(AO288&lt;User_sheet!B$59,0,BC288*AA288)</f>
        <v>0</v>
      </c>
      <c r="AQ288" s="985"/>
      <c r="AR288" s="883">
        <v>0.32</v>
      </c>
      <c r="AS288" s="1020">
        <v>0.59799999999999998</v>
      </c>
      <c r="AT288" s="883">
        <v>1.42</v>
      </c>
      <c r="AU288" s="883">
        <v>2.75</v>
      </c>
      <c r="AV288" s="883">
        <v>3.3</v>
      </c>
      <c r="AW288" s="883">
        <v>12257.141193582425</v>
      </c>
      <c r="AX288" s="883">
        <v>75945.51234133933</v>
      </c>
      <c r="AY288" s="883">
        <v>62673.095488422703</v>
      </c>
      <c r="AZ288" s="883">
        <v>0</v>
      </c>
      <c r="BA288" s="883">
        <v>0</v>
      </c>
      <c r="BB288" s="883">
        <v>0.6</v>
      </c>
      <c r="BC288" s="888">
        <v>1</v>
      </c>
      <c r="BD288" s="889">
        <v>0</v>
      </c>
      <c r="BE288" s="889">
        <v>0</v>
      </c>
      <c r="BF288" s="890">
        <v>0</v>
      </c>
      <c r="BG288" s="883">
        <v>1</v>
      </c>
      <c r="BH288" s="883">
        <v>0</v>
      </c>
      <c r="BI288" s="890">
        <v>0</v>
      </c>
      <c r="BJ288" s="883">
        <v>0</v>
      </c>
      <c r="BK288" s="883">
        <v>0</v>
      </c>
      <c r="BL288" s="883">
        <v>1</v>
      </c>
      <c r="BM288" s="890">
        <v>0</v>
      </c>
      <c r="BN288" s="958">
        <v>7.0000000000000007E-2</v>
      </c>
      <c r="BO288" s="959">
        <v>6</v>
      </c>
      <c r="BP288" s="926">
        <f t="shared" ca="1" si="409"/>
        <v>148.5</v>
      </c>
      <c r="BQ288" s="926">
        <f t="shared" ca="1" si="410"/>
        <v>412.25249999999994</v>
      </c>
      <c r="BR288" s="926">
        <f t="shared" ca="1" si="411"/>
        <v>148.44999999999999</v>
      </c>
      <c r="BS288" s="926">
        <f t="shared" ca="1" si="412"/>
        <v>100.98500000000001</v>
      </c>
      <c r="BT288" s="926">
        <f t="shared" ca="1" si="413"/>
        <v>148.5</v>
      </c>
      <c r="BU288" s="926">
        <f t="shared" ca="1" si="414"/>
        <v>46.489999999999995</v>
      </c>
      <c r="BV288" s="926">
        <f t="shared" ca="1" si="415"/>
        <v>2.15</v>
      </c>
      <c r="BW288" s="926">
        <v>0</v>
      </c>
      <c r="BX288" s="926">
        <f t="shared" ca="1" si="416"/>
        <v>45.00757958564931</v>
      </c>
      <c r="BY288" s="926">
        <f t="shared" ca="1" si="417"/>
        <v>54.717390122502231</v>
      </c>
      <c r="BZ288" s="926">
        <f t="shared" ca="1" si="385"/>
        <v>55.84241921677723</v>
      </c>
      <c r="CA288" s="926">
        <f t="shared" ca="1" si="386"/>
        <v>127.84749992968388</v>
      </c>
      <c r="CB288" s="926">
        <f t="shared" ca="1" si="418"/>
        <v>4.5133587786259541</v>
      </c>
      <c r="CC288" s="926">
        <f t="shared" si="387"/>
        <v>0</v>
      </c>
      <c r="CD288" s="1018">
        <f t="shared" ref="CD288:CD295" ca="1" si="421">SUM(BX288:CC288)+(BR288+BS288+BT288+BU288+BV288)*BN288</f>
        <v>319.18849763323857</v>
      </c>
      <c r="CE288" s="1018">
        <f t="shared" ca="1" si="402"/>
        <v>72.663332942847418</v>
      </c>
      <c r="CF288" s="926">
        <f t="shared" ca="1" si="388"/>
        <v>11.755554917282579</v>
      </c>
      <c r="CG288" s="926">
        <f t="shared" ca="1" si="389"/>
        <v>19572.528715078806</v>
      </c>
    </row>
    <row r="289" spans="4:85" s="3" customFormat="1" x14ac:dyDescent="0.25">
      <c r="D289" s="417"/>
      <c r="E289" s="413"/>
      <c r="F289" s="417"/>
      <c r="G289" s="413"/>
      <c r="H289" s="417"/>
      <c r="I289" s="413"/>
      <c r="J289" s="417"/>
      <c r="K289" s="418"/>
      <c r="L289" s="417"/>
      <c r="M289" s="412"/>
      <c r="N289" s="412"/>
      <c r="O289" s="412"/>
      <c r="P289" s="412"/>
      <c r="Q289" s="412" t="s">
        <v>16</v>
      </c>
      <c r="R289" s="414">
        <v>0.92569999999999997</v>
      </c>
      <c r="S289" s="412"/>
      <c r="T289" s="422">
        <v>1.202218255445032E-3</v>
      </c>
      <c r="U289" s="411"/>
      <c r="V289" s="176">
        <f t="shared" si="407"/>
        <v>1.202218255445032E-3</v>
      </c>
      <c r="W289" s="176">
        <f t="shared" si="419"/>
        <v>1.202218255445032E-3</v>
      </c>
      <c r="X289" s="176">
        <f t="shared" si="420"/>
        <v>1.202218255445032E-3</v>
      </c>
      <c r="Y289" s="958">
        <f>X289/Calculation_sheet!M$67</f>
        <v>1.2022428365148241E-3</v>
      </c>
      <c r="Z289" s="176">
        <f ca="1">IF(AN289&gt;0,Y289*Calculation_sheet!C$87,0)</f>
        <v>0</v>
      </c>
      <c r="AA289" s="176">
        <f t="shared" ca="1" si="381"/>
        <v>1.2022428365148241E-3</v>
      </c>
      <c r="AB289" s="176">
        <f ca="1">IF(AP289&gt;0,AA289*Calculation_sheet!C$94,0)</f>
        <v>0</v>
      </c>
      <c r="AC289" s="176">
        <f t="shared" ca="1" si="408"/>
        <v>1.2022428365148241E-3</v>
      </c>
      <c r="AD289" s="958">
        <f ca="1">AC289*Calculation_sheet!C$99</f>
        <v>7.2134570190889437E-4</v>
      </c>
      <c r="AE289" s="176">
        <f t="shared" ca="1" si="408"/>
        <v>4.8089713460592969E-4</v>
      </c>
      <c r="AF289" s="176">
        <f t="shared" ca="1" si="405"/>
        <v>1.2022428365148241E-3</v>
      </c>
      <c r="AG289" s="958">
        <f ca="1">AF289*User_sheet!B$77/100</f>
        <v>0</v>
      </c>
      <c r="AH289" s="313"/>
      <c r="AI289" s="883">
        <v>103</v>
      </c>
      <c r="AJ289" s="985"/>
      <c r="AK289" s="1020">
        <f t="shared" ca="1" si="384"/>
        <v>319.18849763323857</v>
      </c>
      <c r="AL289" s="954">
        <f ca="1">AK289/'103'!I$24</f>
        <v>0.71828635191727386</v>
      </c>
      <c r="AM289" s="954">
        <f ca="1">0.8*(AK289*30+'103'!D$17*0.34*30*1)</f>
        <v>11112.877143197726</v>
      </c>
      <c r="AN289" s="954">
        <f ca="1">IF(AM289&lt;User_sheet!B$50,Y289,0)</f>
        <v>0</v>
      </c>
      <c r="AO289" s="954">
        <f ca="1">20-(User_sheet!B$57/('Freestanding '!AK289+'103'!D$17*1*0.34))</f>
        <v>7.6899565938478602</v>
      </c>
      <c r="AP289" s="954">
        <f ca="1">IF(AO289&lt;User_sheet!B$59,0,BC289*AA289)</f>
        <v>0</v>
      </c>
      <c r="AQ289" s="985"/>
      <c r="AR289" s="883">
        <v>0.32</v>
      </c>
      <c r="AS289" s="1020">
        <v>0.59799999999999998</v>
      </c>
      <c r="AT289" s="883">
        <v>1.42</v>
      </c>
      <c r="AU289" s="883">
        <v>2.75</v>
      </c>
      <c r="AV289" s="883">
        <v>3.3</v>
      </c>
      <c r="AW289" s="883">
        <v>12257.141193582425</v>
      </c>
      <c r="AX289" s="883">
        <v>75945.51234133933</v>
      </c>
      <c r="AY289" s="883">
        <v>62673.095488422703</v>
      </c>
      <c r="AZ289" s="883">
        <v>0</v>
      </c>
      <c r="BA289" s="883">
        <v>0</v>
      </c>
      <c r="BB289" s="883">
        <v>0.6</v>
      </c>
      <c r="BC289" s="888">
        <v>1</v>
      </c>
      <c r="BD289" s="889">
        <v>0</v>
      </c>
      <c r="BE289" s="889">
        <v>0</v>
      </c>
      <c r="BF289" s="890">
        <v>0</v>
      </c>
      <c r="BG289" s="883">
        <v>0</v>
      </c>
      <c r="BH289" s="883">
        <v>1</v>
      </c>
      <c r="BI289" s="890">
        <v>0</v>
      </c>
      <c r="BJ289" s="883">
        <v>1</v>
      </c>
      <c r="BK289" s="883">
        <v>0</v>
      </c>
      <c r="BL289" s="883">
        <v>0</v>
      </c>
      <c r="BM289" s="890">
        <v>0</v>
      </c>
      <c r="BN289" s="958">
        <v>7.0000000000000007E-2</v>
      </c>
      <c r="BO289" s="959">
        <v>6</v>
      </c>
      <c r="BP289" s="926">
        <f t="shared" ca="1" si="409"/>
        <v>148.5</v>
      </c>
      <c r="BQ289" s="926">
        <f t="shared" ca="1" si="410"/>
        <v>412.25249999999994</v>
      </c>
      <c r="BR289" s="926">
        <f t="shared" ca="1" si="411"/>
        <v>148.44999999999999</v>
      </c>
      <c r="BS289" s="926">
        <f t="shared" ca="1" si="412"/>
        <v>100.98500000000001</v>
      </c>
      <c r="BT289" s="926">
        <f t="shared" ca="1" si="413"/>
        <v>148.5</v>
      </c>
      <c r="BU289" s="926">
        <f t="shared" ca="1" si="414"/>
        <v>46.489999999999995</v>
      </c>
      <c r="BV289" s="926">
        <f t="shared" ca="1" si="415"/>
        <v>2.15</v>
      </c>
      <c r="BW289" s="926">
        <v>0</v>
      </c>
      <c r="BX289" s="926">
        <f t="shared" ca="1" si="416"/>
        <v>45.00757958564931</v>
      </c>
      <c r="BY289" s="926">
        <f t="shared" ca="1" si="417"/>
        <v>54.717390122502231</v>
      </c>
      <c r="BZ289" s="926">
        <f t="shared" ca="1" si="385"/>
        <v>55.84241921677723</v>
      </c>
      <c r="CA289" s="926">
        <f t="shared" ca="1" si="386"/>
        <v>127.84749992968388</v>
      </c>
      <c r="CB289" s="926">
        <f t="shared" ca="1" si="418"/>
        <v>4.5133587786259541</v>
      </c>
      <c r="CC289" s="926">
        <f t="shared" si="387"/>
        <v>0</v>
      </c>
      <c r="CD289" s="1018">
        <f t="shared" ca="1" si="421"/>
        <v>319.18849763323857</v>
      </c>
      <c r="CE289" s="1018">
        <f t="shared" ca="1" si="402"/>
        <v>72.663332942847418</v>
      </c>
      <c r="CF289" s="926">
        <f t="shared" ca="1" si="388"/>
        <v>11.755554917282579</v>
      </c>
      <c r="CG289" s="926">
        <f t="shared" ca="1" si="389"/>
        <v>19572.528715078806</v>
      </c>
    </row>
    <row r="290" spans="4:85" s="3" customFormat="1" x14ac:dyDescent="0.25">
      <c r="D290" s="417"/>
      <c r="E290" s="413"/>
      <c r="F290" s="417"/>
      <c r="G290" s="413"/>
      <c r="H290" s="417"/>
      <c r="I290" s="413"/>
      <c r="J290" s="417"/>
      <c r="K290" s="418"/>
      <c r="L290" s="417"/>
      <c r="M290" s="412" t="s">
        <v>16</v>
      </c>
      <c r="N290" s="414">
        <v>0.41099999999999998</v>
      </c>
      <c r="O290" s="412" t="s">
        <v>19</v>
      </c>
      <c r="P290" s="414">
        <v>0.108433735</v>
      </c>
      <c r="Q290" s="412" t="s">
        <v>7</v>
      </c>
      <c r="R290" s="414">
        <v>7.4300000000000005E-2</v>
      </c>
      <c r="S290" s="412"/>
      <c r="T290" s="422">
        <v>9.6494346310430909E-5</v>
      </c>
      <c r="U290" s="411"/>
      <c r="V290" s="176">
        <f t="shared" si="407"/>
        <v>9.6494346310430909E-5</v>
      </c>
      <c r="W290" s="176">
        <f t="shared" si="419"/>
        <v>9.6494346310430909E-5</v>
      </c>
      <c r="X290" s="176">
        <f t="shared" si="420"/>
        <v>9.6494346310430909E-5</v>
      </c>
      <c r="Y290" s="958">
        <f>X290/Calculation_sheet!M$67</f>
        <v>9.6496319275198706E-5</v>
      </c>
      <c r="Z290" s="176">
        <f ca="1">IF(AN290&gt;0,Y290*Calculation_sheet!C$87,0)</f>
        <v>0</v>
      </c>
      <c r="AA290" s="176">
        <f t="shared" ca="1" si="381"/>
        <v>9.6496319275198706E-5</v>
      </c>
      <c r="AB290" s="176">
        <f ca="1">IF(AP290&gt;0,AA290*Calculation_sheet!C$94,0)</f>
        <v>0</v>
      </c>
      <c r="AC290" s="176">
        <f t="shared" ca="1" si="408"/>
        <v>9.6496319275198706E-5</v>
      </c>
      <c r="AD290" s="958">
        <f ca="1">AC290*Calculation_sheet!C$99</f>
        <v>5.7897791565119222E-5</v>
      </c>
      <c r="AE290" s="176">
        <f t="shared" ca="1" si="408"/>
        <v>3.8598527710079484E-5</v>
      </c>
      <c r="AF290" s="176">
        <f t="shared" ca="1" si="405"/>
        <v>9.6496319275198706E-5</v>
      </c>
      <c r="AG290" s="958">
        <f ca="1">AF290*User_sheet!B$77/100</f>
        <v>0</v>
      </c>
      <c r="AH290" s="313"/>
      <c r="AI290" s="883">
        <v>103</v>
      </c>
      <c r="AJ290" s="985"/>
      <c r="AK290" s="1020">
        <f t="shared" ca="1" si="384"/>
        <v>319.18849763323857</v>
      </c>
      <c r="AL290" s="954">
        <f ca="1">AK290/'103'!I$24</f>
        <v>0.71828635191727386</v>
      </c>
      <c r="AM290" s="954">
        <f ca="1">0.8*(AK290*30+'103'!D$17*0.34*30*1)</f>
        <v>11112.877143197726</v>
      </c>
      <c r="AN290" s="954">
        <f ca="1">IF(AM290&lt;User_sheet!B$50,Y290,0)</f>
        <v>0</v>
      </c>
      <c r="AO290" s="954">
        <f ca="1">20-(User_sheet!B$57/('Freestanding '!AK290+'103'!D$17*1*0.34))</f>
        <v>7.6899565938478602</v>
      </c>
      <c r="AP290" s="954">
        <f ca="1">IF(AO290&lt;User_sheet!B$59,0,BC290*AA290)</f>
        <v>0</v>
      </c>
      <c r="AQ290" s="985"/>
      <c r="AR290" s="883">
        <v>0.32</v>
      </c>
      <c r="AS290" s="1020">
        <v>0.59799999999999998</v>
      </c>
      <c r="AT290" s="883">
        <v>1.42</v>
      </c>
      <c r="AU290" s="883">
        <v>2.75</v>
      </c>
      <c r="AV290" s="883">
        <v>3.3</v>
      </c>
      <c r="AW290" s="883">
        <v>12257.141193582425</v>
      </c>
      <c r="AX290" s="883">
        <v>75945.51234133933</v>
      </c>
      <c r="AY290" s="883">
        <v>62673.095488422703</v>
      </c>
      <c r="AZ290" s="883">
        <v>0</v>
      </c>
      <c r="BA290" s="883">
        <v>0</v>
      </c>
      <c r="BB290" s="883">
        <v>0.6</v>
      </c>
      <c r="BC290" s="888">
        <v>1</v>
      </c>
      <c r="BD290" s="889">
        <v>0</v>
      </c>
      <c r="BE290" s="889">
        <v>0</v>
      </c>
      <c r="BF290" s="890">
        <v>0</v>
      </c>
      <c r="BG290" s="883">
        <v>0</v>
      </c>
      <c r="BH290" s="883">
        <v>1</v>
      </c>
      <c r="BI290" s="890">
        <v>0</v>
      </c>
      <c r="BJ290" s="883">
        <v>0</v>
      </c>
      <c r="BK290" s="883">
        <v>0</v>
      </c>
      <c r="BL290" s="883">
        <v>1</v>
      </c>
      <c r="BM290" s="890">
        <v>0</v>
      </c>
      <c r="BN290" s="958">
        <v>7.0000000000000007E-2</v>
      </c>
      <c r="BO290" s="959">
        <v>6</v>
      </c>
      <c r="BP290" s="926">
        <f t="shared" ca="1" si="409"/>
        <v>148.5</v>
      </c>
      <c r="BQ290" s="926">
        <f t="shared" ca="1" si="410"/>
        <v>412.25249999999994</v>
      </c>
      <c r="BR290" s="926">
        <f t="shared" ca="1" si="411"/>
        <v>148.44999999999999</v>
      </c>
      <c r="BS290" s="926">
        <f t="shared" ca="1" si="412"/>
        <v>100.98500000000001</v>
      </c>
      <c r="BT290" s="926">
        <f t="shared" ca="1" si="413"/>
        <v>148.5</v>
      </c>
      <c r="BU290" s="926">
        <f t="shared" ca="1" si="414"/>
        <v>46.489999999999995</v>
      </c>
      <c r="BV290" s="926">
        <f t="shared" ca="1" si="415"/>
        <v>2.15</v>
      </c>
      <c r="BW290" s="926">
        <v>0</v>
      </c>
      <c r="BX290" s="926">
        <f t="shared" ca="1" si="416"/>
        <v>45.00757958564931</v>
      </c>
      <c r="BY290" s="926">
        <f t="shared" ca="1" si="417"/>
        <v>54.717390122502231</v>
      </c>
      <c r="BZ290" s="926">
        <f t="shared" ca="1" si="385"/>
        <v>55.84241921677723</v>
      </c>
      <c r="CA290" s="926">
        <f t="shared" ca="1" si="386"/>
        <v>127.84749992968388</v>
      </c>
      <c r="CB290" s="926">
        <f t="shared" ca="1" si="418"/>
        <v>4.5133587786259541</v>
      </c>
      <c r="CC290" s="926">
        <f t="shared" si="387"/>
        <v>0</v>
      </c>
      <c r="CD290" s="1018">
        <f t="shared" ca="1" si="421"/>
        <v>319.18849763323857</v>
      </c>
      <c r="CE290" s="1018">
        <f t="shared" ca="1" si="402"/>
        <v>72.663332942847418</v>
      </c>
      <c r="CF290" s="926">
        <f t="shared" ca="1" si="388"/>
        <v>11.755554917282579</v>
      </c>
      <c r="CG290" s="926">
        <f t="shared" ca="1" si="389"/>
        <v>19572.528715078806</v>
      </c>
    </row>
    <row r="291" spans="4:85" s="3" customFormat="1" x14ac:dyDescent="0.25">
      <c r="D291" s="417"/>
      <c r="E291" s="413"/>
      <c r="F291" s="417"/>
      <c r="G291" s="413"/>
      <c r="H291" s="417"/>
      <c r="I291" s="413"/>
      <c r="J291" s="417"/>
      <c r="K291" s="418"/>
      <c r="L291" s="417"/>
      <c r="M291" s="412"/>
      <c r="N291" s="412"/>
      <c r="O291" s="412"/>
      <c r="P291" s="412"/>
      <c r="Q291" s="412" t="s">
        <v>22</v>
      </c>
      <c r="R291" s="414">
        <v>0.60750000000000004</v>
      </c>
      <c r="S291" s="412"/>
      <c r="T291" s="422">
        <v>7.8545796842988853E-3</v>
      </c>
      <c r="U291" s="411"/>
      <c r="V291" s="176">
        <f t="shared" si="407"/>
        <v>7.8545796842988853E-3</v>
      </c>
      <c r="W291" s="176">
        <f t="shared" si="419"/>
        <v>7.8545796842988853E-3</v>
      </c>
      <c r="X291" s="176">
        <f t="shared" si="420"/>
        <v>7.8545796842988853E-3</v>
      </c>
      <c r="Y291" s="958">
        <f>X291/Calculation_sheet!M$67</f>
        <v>7.8547402824020434E-3</v>
      </c>
      <c r="Z291" s="176">
        <f ca="1">IF(AN291&gt;0,Y291*Calculation_sheet!C$87,0)</f>
        <v>0</v>
      </c>
      <c r="AA291" s="176">
        <f t="shared" ca="1" si="381"/>
        <v>7.8547402824020434E-3</v>
      </c>
      <c r="AB291" s="176">
        <f ca="1">IF(AP291&gt;0,AA291*Calculation_sheet!C$94,0)</f>
        <v>0</v>
      </c>
      <c r="AC291" s="176">
        <f t="shared" ca="1" si="408"/>
        <v>7.8547402824020434E-3</v>
      </c>
      <c r="AD291" s="958">
        <f ca="1">AC291*Calculation_sheet!C$99</f>
        <v>4.7128441694412257E-3</v>
      </c>
      <c r="AE291" s="176">
        <f t="shared" ca="1" si="408"/>
        <v>3.1418961129608177E-3</v>
      </c>
      <c r="AF291" s="176">
        <f t="shared" ca="1" si="405"/>
        <v>7.8547402824020434E-3</v>
      </c>
      <c r="AG291" s="958">
        <f ca="1">AF291*User_sheet!B$77/100</f>
        <v>0</v>
      </c>
      <c r="AH291" s="313"/>
      <c r="AI291" s="883">
        <v>103</v>
      </c>
      <c r="AJ291" s="985"/>
      <c r="AK291" s="1020">
        <f t="shared" ca="1" si="384"/>
        <v>319.18849763323857</v>
      </c>
      <c r="AL291" s="954">
        <f ca="1">AK291/'103'!I$24</f>
        <v>0.71828635191727386</v>
      </c>
      <c r="AM291" s="954">
        <f ca="1">0.8*(AK291*30+'103'!D$17*0.34*30*1)</f>
        <v>11112.877143197726</v>
      </c>
      <c r="AN291" s="954">
        <f ca="1">IF(AM291&lt;User_sheet!B$50,Y291,0)</f>
        <v>0</v>
      </c>
      <c r="AO291" s="954">
        <f ca="1">20-(User_sheet!B$57/('Freestanding '!AK291+'103'!D$17*1*0.34))</f>
        <v>7.6899565938478602</v>
      </c>
      <c r="AP291" s="954">
        <f ca="1">IF(AO291&lt;User_sheet!B$59,0,BC291*AA291)</f>
        <v>0</v>
      </c>
      <c r="AQ291" s="985"/>
      <c r="AR291" s="883">
        <v>0.32</v>
      </c>
      <c r="AS291" s="1020">
        <v>0.59799999999999998</v>
      </c>
      <c r="AT291" s="883">
        <v>1.42</v>
      </c>
      <c r="AU291" s="883">
        <v>2.75</v>
      </c>
      <c r="AV291" s="883">
        <v>3.3</v>
      </c>
      <c r="AW291" s="883">
        <v>12257.141193582425</v>
      </c>
      <c r="AX291" s="883">
        <v>75945.51234133933</v>
      </c>
      <c r="AY291" s="883">
        <v>62673.095488422703</v>
      </c>
      <c r="AZ291" s="883">
        <v>0</v>
      </c>
      <c r="BA291" s="883">
        <v>0</v>
      </c>
      <c r="BB291" s="883">
        <v>0.6</v>
      </c>
      <c r="BC291" s="888">
        <v>0</v>
      </c>
      <c r="BD291" s="889">
        <v>1</v>
      </c>
      <c r="BE291" s="889">
        <v>0</v>
      </c>
      <c r="BF291" s="890">
        <v>0</v>
      </c>
      <c r="BG291" s="883">
        <v>1</v>
      </c>
      <c r="BH291" s="883">
        <v>0</v>
      </c>
      <c r="BI291" s="890">
        <v>0</v>
      </c>
      <c r="BJ291" s="883">
        <v>0</v>
      </c>
      <c r="BK291" s="883">
        <v>1</v>
      </c>
      <c r="BL291" s="883">
        <v>0</v>
      </c>
      <c r="BM291" s="890">
        <v>0</v>
      </c>
      <c r="BN291" s="958">
        <v>7.0000000000000007E-2</v>
      </c>
      <c r="BO291" s="959">
        <v>6</v>
      </c>
      <c r="BP291" s="926">
        <f t="shared" ca="1" si="409"/>
        <v>148.5</v>
      </c>
      <c r="BQ291" s="926">
        <f t="shared" ca="1" si="410"/>
        <v>412.25249999999994</v>
      </c>
      <c r="BR291" s="926">
        <f t="shared" ca="1" si="411"/>
        <v>148.44999999999999</v>
      </c>
      <c r="BS291" s="926">
        <f t="shared" ca="1" si="412"/>
        <v>100.98500000000001</v>
      </c>
      <c r="BT291" s="926">
        <f t="shared" ca="1" si="413"/>
        <v>148.5</v>
      </c>
      <c r="BU291" s="926">
        <f t="shared" ca="1" si="414"/>
        <v>46.489999999999995</v>
      </c>
      <c r="BV291" s="926">
        <f t="shared" ca="1" si="415"/>
        <v>2.15</v>
      </c>
      <c r="BW291" s="926">
        <v>0</v>
      </c>
      <c r="BX291" s="926">
        <f t="shared" ca="1" si="416"/>
        <v>45.00757958564931</v>
      </c>
      <c r="BY291" s="926">
        <f t="shared" ca="1" si="417"/>
        <v>54.717390122502231</v>
      </c>
      <c r="BZ291" s="926">
        <f t="shared" ca="1" si="385"/>
        <v>55.84241921677723</v>
      </c>
      <c r="CA291" s="926">
        <f t="shared" ca="1" si="386"/>
        <v>127.84749992968388</v>
      </c>
      <c r="CB291" s="926">
        <f t="shared" ca="1" si="418"/>
        <v>4.5133587786259541</v>
      </c>
      <c r="CC291" s="926">
        <f t="shared" si="387"/>
        <v>0</v>
      </c>
      <c r="CD291" s="1018">
        <f t="shared" ca="1" si="421"/>
        <v>319.18849763323857</v>
      </c>
      <c r="CE291" s="1018">
        <f t="shared" ca="1" si="402"/>
        <v>72.663332942847418</v>
      </c>
      <c r="CF291" s="926">
        <f t="shared" ca="1" si="388"/>
        <v>11.755554917282579</v>
      </c>
      <c r="CG291" s="926">
        <f t="shared" ca="1" si="389"/>
        <v>19572.528715078806</v>
      </c>
    </row>
    <row r="292" spans="4:85" s="3" customFormat="1" x14ac:dyDescent="0.25">
      <c r="D292" s="417"/>
      <c r="E292" s="413"/>
      <c r="F292" s="417"/>
      <c r="G292" s="413"/>
      <c r="H292" s="417"/>
      <c r="I292" s="413"/>
      <c r="J292" s="417"/>
      <c r="K292" s="418"/>
      <c r="L292" s="417"/>
      <c r="M292" s="412"/>
      <c r="N292" s="412"/>
      <c r="O292" s="412" t="s">
        <v>18</v>
      </c>
      <c r="P292" s="414">
        <v>0.94399999999999995</v>
      </c>
      <c r="Q292" s="412" t="s">
        <v>7</v>
      </c>
      <c r="R292" s="414">
        <v>0.39250000000000002</v>
      </c>
      <c r="S292" s="412"/>
      <c r="T292" s="422">
        <v>5.0747695902671813E-3</v>
      </c>
      <c r="U292" s="411"/>
      <c r="V292" s="176">
        <f t="shared" si="407"/>
        <v>5.0747695902671813E-3</v>
      </c>
      <c r="W292" s="176">
        <f t="shared" si="419"/>
        <v>5.0747695902671813E-3</v>
      </c>
      <c r="X292" s="176">
        <f t="shared" si="420"/>
        <v>5.0747695902671813E-3</v>
      </c>
      <c r="Y292" s="958">
        <f>X292/Calculation_sheet!M$67</f>
        <v>5.074873351181567E-3</v>
      </c>
      <c r="Z292" s="176">
        <f ca="1">IF(AN292&gt;0,Y292*Calculation_sheet!C$87,0)</f>
        <v>0</v>
      </c>
      <c r="AA292" s="176">
        <f t="shared" ca="1" si="381"/>
        <v>5.074873351181567E-3</v>
      </c>
      <c r="AB292" s="176">
        <f ca="1">IF(AP292&gt;0,AA292*Calculation_sheet!C$94,0)</f>
        <v>0</v>
      </c>
      <c r="AC292" s="176">
        <f t="shared" ca="1" si="408"/>
        <v>5.074873351181567E-3</v>
      </c>
      <c r="AD292" s="958">
        <f ca="1">AC292*Calculation_sheet!C$99</f>
        <v>3.0449240107089403E-3</v>
      </c>
      <c r="AE292" s="176">
        <f t="shared" ca="1" si="408"/>
        <v>2.0299493404726267E-3</v>
      </c>
      <c r="AF292" s="176">
        <f t="shared" ca="1" si="405"/>
        <v>5.074873351181567E-3</v>
      </c>
      <c r="AG292" s="958">
        <f ca="1">AF292*User_sheet!B$77/100</f>
        <v>0</v>
      </c>
      <c r="AH292" s="313"/>
      <c r="AI292" s="883">
        <v>103</v>
      </c>
      <c r="AJ292" s="985"/>
      <c r="AK292" s="1020">
        <f t="shared" ca="1" si="384"/>
        <v>319.18849763323857</v>
      </c>
      <c r="AL292" s="954">
        <f ca="1">AK292/'103'!I$24</f>
        <v>0.71828635191727386</v>
      </c>
      <c r="AM292" s="954">
        <f ca="1">0.8*(AK292*30+'103'!D$17*0.34*30*1)</f>
        <v>11112.877143197726</v>
      </c>
      <c r="AN292" s="954">
        <f ca="1">IF(AM292&lt;User_sheet!B$50,Y292,0)</f>
        <v>0</v>
      </c>
      <c r="AO292" s="954">
        <f ca="1">20-(User_sheet!B$57/('Freestanding '!AK292+'103'!D$17*1*0.34))</f>
        <v>7.6899565938478602</v>
      </c>
      <c r="AP292" s="954">
        <f ca="1">IF(AO292&lt;User_sheet!B$59,0,BC292*AA292)</f>
        <v>0</v>
      </c>
      <c r="AQ292" s="985"/>
      <c r="AR292" s="883">
        <v>0.32</v>
      </c>
      <c r="AS292" s="1020">
        <v>0.59799999999999998</v>
      </c>
      <c r="AT292" s="883">
        <v>1.42</v>
      </c>
      <c r="AU292" s="883">
        <v>2.75</v>
      </c>
      <c r="AV292" s="883">
        <v>3.3</v>
      </c>
      <c r="AW292" s="883">
        <v>12257.141193582425</v>
      </c>
      <c r="AX292" s="883">
        <v>75945.51234133933</v>
      </c>
      <c r="AY292" s="883">
        <v>62673.095488422703</v>
      </c>
      <c r="AZ292" s="883">
        <v>0</v>
      </c>
      <c r="BA292" s="883">
        <v>0</v>
      </c>
      <c r="BB292" s="883">
        <v>0.6</v>
      </c>
      <c r="BC292" s="888">
        <v>0</v>
      </c>
      <c r="BD292" s="889">
        <v>1</v>
      </c>
      <c r="BE292" s="889">
        <v>0</v>
      </c>
      <c r="BF292" s="890">
        <v>0</v>
      </c>
      <c r="BG292" s="883">
        <v>1</v>
      </c>
      <c r="BH292" s="883">
        <v>0</v>
      </c>
      <c r="BI292" s="890">
        <v>0</v>
      </c>
      <c r="BJ292" s="883">
        <v>0</v>
      </c>
      <c r="BK292" s="883">
        <v>0</v>
      </c>
      <c r="BL292" s="883">
        <v>1</v>
      </c>
      <c r="BM292" s="890">
        <v>0</v>
      </c>
      <c r="BN292" s="958">
        <v>7.0000000000000007E-2</v>
      </c>
      <c r="BO292" s="959">
        <v>6</v>
      </c>
      <c r="BP292" s="926">
        <f t="shared" ca="1" si="409"/>
        <v>148.5</v>
      </c>
      <c r="BQ292" s="926">
        <f t="shared" ca="1" si="410"/>
        <v>412.25249999999994</v>
      </c>
      <c r="BR292" s="926">
        <f t="shared" ca="1" si="411"/>
        <v>148.44999999999999</v>
      </c>
      <c r="BS292" s="926">
        <f t="shared" ca="1" si="412"/>
        <v>100.98500000000001</v>
      </c>
      <c r="BT292" s="926">
        <f t="shared" ca="1" si="413"/>
        <v>148.5</v>
      </c>
      <c r="BU292" s="926">
        <f t="shared" ca="1" si="414"/>
        <v>46.489999999999995</v>
      </c>
      <c r="BV292" s="926">
        <f t="shared" ca="1" si="415"/>
        <v>2.15</v>
      </c>
      <c r="BW292" s="926">
        <v>0</v>
      </c>
      <c r="BX292" s="926">
        <f t="shared" ca="1" si="416"/>
        <v>45.00757958564931</v>
      </c>
      <c r="BY292" s="926">
        <f t="shared" ca="1" si="417"/>
        <v>54.717390122502231</v>
      </c>
      <c r="BZ292" s="926">
        <f t="shared" ca="1" si="385"/>
        <v>55.84241921677723</v>
      </c>
      <c r="CA292" s="926">
        <f t="shared" ca="1" si="386"/>
        <v>127.84749992968388</v>
      </c>
      <c r="CB292" s="926">
        <f t="shared" ca="1" si="418"/>
        <v>4.5133587786259541</v>
      </c>
      <c r="CC292" s="926">
        <f t="shared" si="387"/>
        <v>0</v>
      </c>
      <c r="CD292" s="1018">
        <f t="shared" ca="1" si="421"/>
        <v>319.18849763323857</v>
      </c>
      <c r="CE292" s="1018">
        <f t="shared" ca="1" si="402"/>
        <v>72.663332942847418</v>
      </c>
      <c r="CF292" s="926">
        <f t="shared" ca="1" si="388"/>
        <v>11.755554917282579</v>
      </c>
      <c r="CG292" s="926">
        <f t="shared" ca="1" si="389"/>
        <v>19572.528715078806</v>
      </c>
    </row>
    <row r="293" spans="4:85" s="3" customFormat="1" x14ac:dyDescent="0.25">
      <c r="D293" s="417"/>
      <c r="E293" s="413"/>
      <c r="F293" s="417"/>
      <c r="G293" s="413"/>
      <c r="H293" s="417"/>
      <c r="I293" s="413"/>
      <c r="J293" s="417"/>
      <c r="K293" s="411"/>
      <c r="L293" s="411"/>
      <c r="M293" s="412"/>
      <c r="N293" s="412"/>
      <c r="O293" s="412"/>
      <c r="P293" s="412"/>
      <c r="Q293" s="412" t="s">
        <v>22</v>
      </c>
      <c r="R293" s="414">
        <v>0.39250000000000002</v>
      </c>
      <c r="S293" s="412"/>
      <c r="T293" s="422">
        <v>3.0104565365991759E-4</v>
      </c>
      <c r="U293" s="411"/>
      <c r="V293" s="176">
        <f t="shared" si="407"/>
        <v>3.0104565365991759E-4</v>
      </c>
      <c r="W293" s="176">
        <f t="shared" si="419"/>
        <v>3.0104565365991759E-4</v>
      </c>
      <c r="X293" s="176">
        <f t="shared" si="420"/>
        <v>3.0104565365991759E-4</v>
      </c>
      <c r="Y293" s="958">
        <f>X293/Calculation_sheet!M$67</f>
        <v>3.0105180896839812E-4</v>
      </c>
      <c r="Z293" s="176">
        <f ca="1">IF(AN293&gt;0,Y293*Calculation_sheet!C$87,0)</f>
        <v>0</v>
      </c>
      <c r="AA293" s="176">
        <f t="shared" ca="1" si="381"/>
        <v>3.0105180896839812E-4</v>
      </c>
      <c r="AB293" s="176">
        <f ca="1">IF(AP293&gt;0,AA293*Calculation_sheet!C$94,0)</f>
        <v>0</v>
      </c>
      <c r="AC293" s="176">
        <f t="shared" ca="1" si="408"/>
        <v>3.0105180896839812E-4</v>
      </c>
      <c r="AD293" s="958">
        <f ca="1">AC293*Calculation_sheet!C$99</f>
        <v>1.8063108538103885E-4</v>
      </c>
      <c r="AE293" s="176">
        <f t="shared" ca="1" si="408"/>
        <v>1.2042072358735926E-4</v>
      </c>
      <c r="AF293" s="176">
        <f t="shared" ca="1" si="405"/>
        <v>3.0105180896839812E-4</v>
      </c>
      <c r="AG293" s="958">
        <f ca="1">AF293*User_sheet!B$77/100</f>
        <v>0</v>
      </c>
      <c r="AH293" s="313"/>
      <c r="AI293" s="883">
        <v>103</v>
      </c>
      <c r="AJ293" s="985"/>
      <c r="AK293" s="1020">
        <f t="shared" ca="1" si="384"/>
        <v>319.18849763323857</v>
      </c>
      <c r="AL293" s="954">
        <f ca="1">AK293/'103'!I$24</f>
        <v>0.71828635191727386</v>
      </c>
      <c r="AM293" s="954">
        <f ca="1">0.8*(AK293*30+'103'!D$17*0.34*30*1)</f>
        <v>11112.877143197726</v>
      </c>
      <c r="AN293" s="954">
        <f ca="1">IF(AM293&lt;User_sheet!B$50,Y293,0)</f>
        <v>0</v>
      </c>
      <c r="AO293" s="954">
        <f ca="1">20-(User_sheet!B$57/('Freestanding '!AK293+'103'!D$17*1*0.34))</f>
        <v>7.6899565938478602</v>
      </c>
      <c r="AP293" s="954">
        <f ca="1">IF(AO293&lt;User_sheet!B$59,0,BC293*AA293)</f>
        <v>0</v>
      </c>
      <c r="AQ293" s="985"/>
      <c r="AR293" s="883">
        <v>0.32</v>
      </c>
      <c r="AS293" s="1020">
        <v>0.59799999999999998</v>
      </c>
      <c r="AT293" s="883">
        <v>1.42</v>
      </c>
      <c r="AU293" s="883">
        <v>2.75</v>
      </c>
      <c r="AV293" s="883">
        <v>3.3</v>
      </c>
      <c r="AW293" s="883">
        <v>12257.141193582425</v>
      </c>
      <c r="AX293" s="883">
        <v>75945.51234133933</v>
      </c>
      <c r="AY293" s="883">
        <v>62673.095488422703</v>
      </c>
      <c r="AZ293" s="883">
        <v>0</v>
      </c>
      <c r="BA293" s="883">
        <v>0</v>
      </c>
      <c r="BB293" s="883">
        <v>0.6</v>
      </c>
      <c r="BC293" s="888">
        <v>0</v>
      </c>
      <c r="BD293" s="889">
        <v>1</v>
      </c>
      <c r="BE293" s="889">
        <v>0</v>
      </c>
      <c r="BF293" s="890">
        <v>0</v>
      </c>
      <c r="BG293" s="883">
        <v>0</v>
      </c>
      <c r="BH293" s="883">
        <v>1</v>
      </c>
      <c r="BI293" s="890">
        <v>0</v>
      </c>
      <c r="BJ293" s="883">
        <v>0</v>
      </c>
      <c r="BK293" s="883">
        <v>1</v>
      </c>
      <c r="BL293" s="883">
        <v>0</v>
      </c>
      <c r="BM293" s="890">
        <v>0</v>
      </c>
      <c r="BN293" s="958">
        <v>7.0000000000000007E-2</v>
      </c>
      <c r="BO293" s="959">
        <v>6</v>
      </c>
      <c r="BP293" s="926">
        <f t="shared" ca="1" si="409"/>
        <v>148.5</v>
      </c>
      <c r="BQ293" s="926">
        <f t="shared" ca="1" si="410"/>
        <v>412.25249999999994</v>
      </c>
      <c r="BR293" s="926">
        <f t="shared" ca="1" si="411"/>
        <v>148.44999999999999</v>
      </c>
      <c r="BS293" s="926">
        <f t="shared" ca="1" si="412"/>
        <v>100.98500000000001</v>
      </c>
      <c r="BT293" s="926">
        <f t="shared" ca="1" si="413"/>
        <v>148.5</v>
      </c>
      <c r="BU293" s="926">
        <f t="shared" ca="1" si="414"/>
        <v>46.489999999999995</v>
      </c>
      <c r="BV293" s="926">
        <f t="shared" ca="1" si="415"/>
        <v>2.15</v>
      </c>
      <c r="BW293" s="926">
        <v>0</v>
      </c>
      <c r="BX293" s="926">
        <f t="shared" ca="1" si="416"/>
        <v>45.00757958564931</v>
      </c>
      <c r="BY293" s="926">
        <f t="shared" ca="1" si="417"/>
        <v>54.717390122502231</v>
      </c>
      <c r="BZ293" s="926">
        <f t="shared" ca="1" si="385"/>
        <v>55.84241921677723</v>
      </c>
      <c r="CA293" s="926">
        <f t="shared" ca="1" si="386"/>
        <v>127.84749992968388</v>
      </c>
      <c r="CB293" s="926">
        <f t="shared" ca="1" si="418"/>
        <v>4.5133587786259541</v>
      </c>
      <c r="CC293" s="926">
        <f t="shared" si="387"/>
        <v>0</v>
      </c>
      <c r="CD293" s="1018">
        <f t="shared" ca="1" si="421"/>
        <v>319.18849763323857</v>
      </c>
      <c r="CE293" s="1018">
        <f t="shared" ca="1" si="402"/>
        <v>72.663332942847418</v>
      </c>
      <c r="CF293" s="926">
        <f t="shared" ca="1" si="388"/>
        <v>11.755554917282579</v>
      </c>
      <c r="CG293" s="926">
        <f t="shared" ca="1" si="389"/>
        <v>19572.528715078806</v>
      </c>
    </row>
    <row r="294" spans="4:85" s="3" customFormat="1" x14ac:dyDescent="0.25">
      <c r="D294" s="417"/>
      <c r="E294" s="413"/>
      <c r="F294" s="417"/>
      <c r="G294" s="413"/>
      <c r="H294" s="417"/>
      <c r="I294" s="413"/>
      <c r="J294" s="417"/>
      <c r="K294" s="412"/>
      <c r="L294" s="412"/>
      <c r="M294" s="412" t="s">
        <v>22</v>
      </c>
      <c r="N294" s="414">
        <v>0.47</v>
      </c>
      <c r="O294" s="412" t="s">
        <v>20</v>
      </c>
      <c r="P294" s="414">
        <v>5.6000000000000001E-2</v>
      </c>
      <c r="Q294" s="412" t="s">
        <v>7</v>
      </c>
      <c r="R294" s="414">
        <v>0.60750000000000004</v>
      </c>
      <c r="S294" s="412"/>
      <c r="T294" s="422">
        <v>4.6594964228891705E-4</v>
      </c>
      <c r="U294" s="411"/>
      <c r="V294" s="176">
        <f t="shared" si="407"/>
        <v>4.6594964228891705E-4</v>
      </c>
      <c r="W294" s="176">
        <f t="shared" si="419"/>
        <v>4.6594964228891705E-4</v>
      </c>
      <c r="X294" s="176">
        <f t="shared" si="420"/>
        <v>4.6594964228891705E-4</v>
      </c>
      <c r="Y294" s="958">
        <f>X294/Calculation_sheet!M$67</f>
        <v>4.659591692950366E-4</v>
      </c>
      <c r="Z294" s="176">
        <f ca="1">IF(AN294&gt;0,Y294*Calculation_sheet!C$87,0)</f>
        <v>0</v>
      </c>
      <c r="AA294" s="176">
        <f t="shared" ca="1" si="381"/>
        <v>4.659591692950366E-4</v>
      </c>
      <c r="AB294" s="176">
        <f ca="1">IF(AP294&gt;0,AA294*Calculation_sheet!C$94,0)</f>
        <v>0</v>
      </c>
      <c r="AC294" s="176">
        <f t="shared" ca="1" si="408"/>
        <v>4.659591692950366E-4</v>
      </c>
      <c r="AD294" s="958">
        <f ca="1">AC294*Calculation_sheet!C$99</f>
        <v>2.7957550157702195E-4</v>
      </c>
      <c r="AE294" s="176">
        <f t="shared" ca="1" si="408"/>
        <v>1.8638366771801465E-4</v>
      </c>
      <c r="AF294" s="176">
        <f t="shared" ca="1" si="405"/>
        <v>4.659591692950366E-4</v>
      </c>
      <c r="AG294" s="958">
        <f ca="1">AF294*User_sheet!B$77/100</f>
        <v>0</v>
      </c>
      <c r="AH294" s="313"/>
      <c r="AI294" s="883">
        <v>103</v>
      </c>
      <c r="AJ294" s="985"/>
      <c r="AK294" s="1020">
        <f t="shared" ca="1" si="384"/>
        <v>319.18849763323857</v>
      </c>
      <c r="AL294" s="954">
        <f ca="1">AK294/'103'!I$24</f>
        <v>0.71828635191727386</v>
      </c>
      <c r="AM294" s="954">
        <f ca="1">0.8*(AK294*30+'103'!D$17*0.34*30*1)</f>
        <v>11112.877143197726</v>
      </c>
      <c r="AN294" s="954">
        <f ca="1">IF(AM294&lt;User_sheet!B$50,Y294,0)</f>
        <v>0</v>
      </c>
      <c r="AO294" s="954">
        <f ca="1">20-(User_sheet!B$57/('Freestanding '!AK294+'103'!D$17*1*0.34))</f>
        <v>7.6899565938478602</v>
      </c>
      <c r="AP294" s="954">
        <f ca="1">IF(AO294&lt;User_sheet!B$59,0,BC294*AA294)</f>
        <v>0</v>
      </c>
      <c r="AQ294" s="985"/>
      <c r="AR294" s="883">
        <v>0.32</v>
      </c>
      <c r="AS294" s="1020">
        <v>0.59799999999999998</v>
      </c>
      <c r="AT294" s="883">
        <v>1.42</v>
      </c>
      <c r="AU294" s="883">
        <v>2.75</v>
      </c>
      <c r="AV294" s="883">
        <v>3.3</v>
      </c>
      <c r="AW294" s="883">
        <v>12257.141193582425</v>
      </c>
      <c r="AX294" s="883">
        <v>75945.51234133933</v>
      </c>
      <c r="AY294" s="883">
        <v>62673.095488422703</v>
      </c>
      <c r="AZ294" s="883">
        <v>0</v>
      </c>
      <c r="BA294" s="883">
        <v>0</v>
      </c>
      <c r="BB294" s="883">
        <v>0.6</v>
      </c>
      <c r="BC294" s="888">
        <v>0</v>
      </c>
      <c r="BD294" s="889">
        <v>1</v>
      </c>
      <c r="BE294" s="889">
        <v>0</v>
      </c>
      <c r="BF294" s="890">
        <v>0</v>
      </c>
      <c r="BG294" s="883">
        <v>0</v>
      </c>
      <c r="BH294" s="883">
        <v>1</v>
      </c>
      <c r="BI294" s="890">
        <v>0</v>
      </c>
      <c r="BJ294" s="883">
        <v>0</v>
      </c>
      <c r="BK294" s="883">
        <v>0</v>
      </c>
      <c r="BL294" s="883">
        <v>1</v>
      </c>
      <c r="BM294" s="890">
        <v>0</v>
      </c>
      <c r="BN294" s="958">
        <v>7.0000000000000007E-2</v>
      </c>
      <c r="BO294" s="959">
        <v>6</v>
      </c>
      <c r="BP294" s="926">
        <f t="shared" ca="1" si="409"/>
        <v>148.5</v>
      </c>
      <c r="BQ294" s="926">
        <f t="shared" ca="1" si="410"/>
        <v>412.25249999999994</v>
      </c>
      <c r="BR294" s="926">
        <f t="shared" ca="1" si="411"/>
        <v>148.44999999999999</v>
      </c>
      <c r="BS294" s="926">
        <f t="shared" ca="1" si="412"/>
        <v>100.98500000000001</v>
      </c>
      <c r="BT294" s="926">
        <f t="shared" ca="1" si="413"/>
        <v>148.5</v>
      </c>
      <c r="BU294" s="926">
        <f t="shared" ca="1" si="414"/>
        <v>46.489999999999995</v>
      </c>
      <c r="BV294" s="926">
        <f t="shared" ca="1" si="415"/>
        <v>2.15</v>
      </c>
      <c r="BW294" s="926">
        <v>0</v>
      </c>
      <c r="BX294" s="926">
        <f t="shared" ca="1" si="416"/>
        <v>45.00757958564931</v>
      </c>
      <c r="BY294" s="926">
        <f t="shared" ca="1" si="417"/>
        <v>54.717390122502231</v>
      </c>
      <c r="BZ294" s="926">
        <f t="shared" ca="1" si="385"/>
        <v>55.84241921677723</v>
      </c>
      <c r="CA294" s="926">
        <f t="shared" ca="1" si="386"/>
        <v>127.84749992968388</v>
      </c>
      <c r="CB294" s="926">
        <f t="shared" ca="1" si="418"/>
        <v>4.5133587786259541</v>
      </c>
      <c r="CC294" s="926">
        <f t="shared" si="387"/>
        <v>0</v>
      </c>
      <c r="CD294" s="1018">
        <f t="shared" ca="1" si="421"/>
        <v>319.18849763323857</v>
      </c>
      <c r="CE294" s="1018">
        <f t="shared" ca="1" si="402"/>
        <v>72.663332942847418</v>
      </c>
      <c r="CF294" s="926">
        <f t="shared" ca="1" si="388"/>
        <v>11.755554917282579</v>
      </c>
      <c r="CG294" s="926">
        <f t="shared" ca="1" si="389"/>
        <v>19572.528715078806</v>
      </c>
    </row>
    <row r="295" spans="4:85" s="3" customFormat="1" x14ac:dyDescent="0.25">
      <c r="D295" s="417"/>
      <c r="E295" s="413"/>
      <c r="F295" s="417"/>
      <c r="G295" s="413"/>
      <c r="H295" s="417"/>
      <c r="I295" s="413"/>
      <c r="J295" s="417"/>
      <c r="K295" s="415" t="s">
        <v>12</v>
      </c>
      <c r="L295" s="416">
        <v>0.50029999999999997</v>
      </c>
      <c r="M295" s="412" t="s">
        <v>7</v>
      </c>
      <c r="N295" s="414">
        <v>0.11900000000000005</v>
      </c>
      <c r="O295" s="412" t="s">
        <v>23</v>
      </c>
      <c r="P295" s="414">
        <v>1</v>
      </c>
      <c r="Q295" s="412" t="s">
        <v>7</v>
      </c>
      <c r="R295" s="414">
        <v>1</v>
      </c>
      <c r="S295" s="412"/>
      <c r="T295" s="422">
        <v>3.4677978806197315E-3</v>
      </c>
      <c r="U295" s="411"/>
      <c r="V295" s="176">
        <f t="shared" si="407"/>
        <v>3.4677978806197315E-3</v>
      </c>
      <c r="W295" s="176">
        <f t="shared" si="419"/>
        <v>3.4677978806197315E-3</v>
      </c>
      <c r="X295" s="176">
        <f t="shared" si="420"/>
        <v>3.4677978806197315E-3</v>
      </c>
      <c r="Y295" s="958">
        <f>X295/Calculation_sheet!M$67</f>
        <v>3.4678687847017001E-3</v>
      </c>
      <c r="Z295" s="176">
        <f ca="1">IF(AN295&gt;0,Y295*Calculation_sheet!C$87,0)</f>
        <v>0</v>
      </c>
      <c r="AA295" s="176">
        <f t="shared" ca="1" si="381"/>
        <v>3.4678687847017001E-3</v>
      </c>
      <c r="AB295" s="176">
        <f ca="1">IF(AP295&gt;0,AA295*Calculation_sheet!C$94,0)</f>
        <v>0</v>
      </c>
      <c r="AC295" s="176">
        <f t="shared" ca="1" si="408"/>
        <v>3.4678687847017001E-3</v>
      </c>
      <c r="AD295" s="958">
        <f ca="1">AC295*Calculation_sheet!C$99</f>
        <v>2.0807212708210199E-3</v>
      </c>
      <c r="AE295" s="176">
        <f t="shared" ca="1" si="408"/>
        <v>1.3871475138806802E-3</v>
      </c>
      <c r="AF295" s="176">
        <f t="shared" ca="1" si="405"/>
        <v>3.4678687847017001E-3</v>
      </c>
      <c r="AG295" s="958">
        <f ca="1">AF295*User_sheet!B$77/100</f>
        <v>0</v>
      </c>
      <c r="AH295" s="313"/>
      <c r="AI295" s="883">
        <v>103</v>
      </c>
      <c r="AJ295" s="985"/>
      <c r="AK295" s="1020">
        <f t="shared" ca="1" si="384"/>
        <v>319.18849763323857</v>
      </c>
      <c r="AL295" s="954">
        <f ca="1">AK295/'103'!I$24</f>
        <v>0.71828635191727386</v>
      </c>
      <c r="AM295" s="954">
        <f ca="1">0.8*(AK295*30+'103'!D$17*0.34*30*1)</f>
        <v>11112.877143197726</v>
      </c>
      <c r="AN295" s="954">
        <f ca="1">IF(AM295&lt;User_sheet!B$50,Y295,0)</f>
        <v>0</v>
      </c>
      <c r="AO295" s="954">
        <f ca="1">20-(User_sheet!B$57/('Freestanding '!AK295+'103'!D$17*1*0.34))</f>
        <v>7.6899565938478602</v>
      </c>
      <c r="AP295" s="954">
        <f ca="1">IF(AO295&lt;User_sheet!B$59,0,BC295*AA295)</f>
        <v>0</v>
      </c>
      <c r="AQ295" s="985"/>
      <c r="AR295" s="883">
        <v>0.32</v>
      </c>
      <c r="AS295" s="1020">
        <v>0.59799999999999998</v>
      </c>
      <c r="AT295" s="883">
        <v>1.42</v>
      </c>
      <c r="AU295" s="883">
        <v>2.75</v>
      </c>
      <c r="AV295" s="883">
        <v>3.3</v>
      </c>
      <c r="AW295" s="883">
        <v>12257.141193582425</v>
      </c>
      <c r="AX295" s="883">
        <v>75945.51234133933</v>
      </c>
      <c r="AY295" s="883">
        <v>62673.095488422703</v>
      </c>
      <c r="AZ295" s="883">
        <v>0</v>
      </c>
      <c r="BA295" s="883">
        <v>0</v>
      </c>
      <c r="BB295" s="883">
        <v>0.6</v>
      </c>
      <c r="BC295" s="888">
        <v>0</v>
      </c>
      <c r="BD295" s="889">
        <v>0</v>
      </c>
      <c r="BE295" s="889">
        <v>1</v>
      </c>
      <c r="BF295" s="890">
        <v>0</v>
      </c>
      <c r="BG295" s="883">
        <v>0</v>
      </c>
      <c r="BH295" s="883">
        <v>0</v>
      </c>
      <c r="BI295" s="890">
        <v>1</v>
      </c>
      <c r="BJ295" s="883">
        <v>0</v>
      </c>
      <c r="BK295" s="883">
        <v>0</v>
      </c>
      <c r="BL295" s="883">
        <v>1</v>
      </c>
      <c r="BM295" s="890">
        <v>0</v>
      </c>
      <c r="BN295" s="958">
        <v>7.0000000000000007E-2</v>
      </c>
      <c r="BO295" s="959">
        <v>6</v>
      </c>
      <c r="BP295" s="926">
        <f t="shared" ca="1" si="409"/>
        <v>148.5</v>
      </c>
      <c r="BQ295" s="926">
        <f t="shared" ca="1" si="410"/>
        <v>412.25249999999994</v>
      </c>
      <c r="BR295" s="926">
        <f t="shared" ca="1" si="411"/>
        <v>148.44999999999999</v>
      </c>
      <c r="BS295" s="926">
        <f t="shared" ca="1" si="412"/>
        <v>100.98500000000001</v>
      </c>
      <c r="BT295" s="926">
        <f t="shared" ca="1" si="413"/>
        <v>148.5</v>
      </c>
      <c r="BU295" s="926">
        <f t="shared" ca="1" si="414"/>
        <v>46.489999999999995</v>
      </c>
      <c r="BV295" s="926">
        <f t="shared" ca="1" si="415"/>
        <v>2.15</v>
      </c>
      <c r="BW295" s="926">
        <v>0</v>
      </c>
      <c r="BX295" s="926">
        <f t="shared" ca="1" si="416"/>
        <v>45.00757958564931</v>
      </c>
      <c r="BY295" s="926">
        <f t="shared" ca="1" si="417"/>
        <v>54.717390122502231</v>
      </c>
      <c r="BZ295" s="926">
        <f t="shared" ca="1" si="385"/>
        <v>55.84241921677723</v>
      </c>
      <c r="CA295" s="926">
        <f t="shared" ca="1" si="386"/>
        <v>127.84749992968388</v>
      </c>
      <c r="CB295" s="926">
        <f t="shared" ca="1" si="418"/>
        <v>4.5133587786259541</v>
      </c>
      <c r="CC295" s="926">
        <f t="shared" si="387"/>
        <v>0</v>
      </c>
      <c r="CD295" s="1018">
        <f t="shared" ca="1" si="421"/>
        <v>319.18849763323857</v>
      </c>
      <c r="CE295" s="1018">
        <f t="shared" ca="1" si="402"/>
        <v>72.663332942847418</v>
      </c>
      <c r="CF295" s="926">
        <f t="shared" ca="1" si="388"/>
        <v>11.755554917282579</v>
      </c>
      <c r="CG295" s="926">
        <f t="shared" ca="1" si="389"/>
        <v>19572.528715078806</v>
      </c>
    </row>
    <row r="296" spans="4:85" s="14" customFormat="1" x14ac:dyDescent="0.25">
      <c r="D296" s="420"/>
      <c r="E296" s="419"/>
      <c r="F296" s="420"/>
      <c r="G296" s="419"/>
      <c r="H296" s="420"/>
      <c r="I296" s="419"/>
      <c r="J296" s="420"/>
      <c r="K296" s="421"/>
      <c r="L296" s="420"/>
      <c r="M296" s="420"/>
      <c r="N296" s="420"/>
      <c r="O296" s="420"/>
      <c r="P296" s="420"/>
      <c r="Q296" s="420"/>
      <c r="R296" s="420"/>
      <c r="S296" s="420"/>
      <c r="T296" s="423"/>
      <c r="U296" s="419"/>
      <c r="V296" s="292"/>
      <c r="W296" s="292"/>
      <c r="X296" s="292"/>
      <c r="Y296" s="277"/>
      <c r="Z296" s="292"/>
      <c r="AA296" s="292"/>
      <c r="AB296" s="292"/>
      <c r="AC296" s="292"/>
      <c r="AD296" s="277"/>
      <c r="AE296" s="292"/>
      <c r="AF296" s="292"/>
      <c r="AG296" s="277"/>
      <c r="AH296" s="313"/>
      <c r="AI296" s="885"/>
      <c r="AJ296" s="985"/>
      <c r="AK296" s="1020">
        <f t="shared" si="384"/>
        <v>0</v>
      </c>
      <c r="AL296" s="941"/>
      <c r="AM296" s="941"/>
      <c r="AN296" s="941"/>
      <c r="AO296" s="941"/>
      <c r="AP296" s="941"/>
      <c r="AQ296" s="985"/>
      <c r="AR296" s="885"/>
      <c r="AS296" s="885"/>
      <c r="AT296" s="885"/>
      <c r="AU296" s="885"/>
      <c r="AV296" s="885"/>
      <c r="AW296" s="885"/>
      <c r="AX296" s="885"/>
      <c r="AY296" s="885"/>
      <c r="AZ296" s="885"/>
      <c r="BA296" s="885"/>
      <c r="BB296" s="885"/>
      <c r="BC296" s="335"/>
      <c r="BD296" s="278"/>
      <c r="BE296" s="278"/>
      <c r="BF296" s="52"/>
      <c r="BG296" s="885"/>
      <c r="BH296" s="885"/>
      <c r="BI296" s="52"/>
      <c r="BJ296" s="885"/>
      <c r="BK296" s="885"/>
      <c r="BL296" s="885"/>
      <c r="BM296" s="52"/>
      <c r="BN296" s="278"/>
      <c r="BO296" s="52"/>
      <c r="BP296" s="946"/>
      <c r="BQ296" s="946"/>
      <c r="BR296" s="946"/>
      <c r="BS296" s="946"/>
      <c r="BT296" s="946"/>
      <c r="BU296" s="946"/>
      <c r="BV296" s="946"/>
      <c r="BW296" s="946"/>
      <c r="BX296" s="946"/>
      <c r="BY296" s="946"/>
      <c r="BZ296" s="946"/>
      <c r="CA296" s="946"/>
      <c r="CB296" s="946"/>
      <c r="CC296" s="946"/>
      <c r="CD296" s="946"/>
      <c r="CE296" s="946"/>
      <c r="CF296" s="946"/>
      <c r="CG296" s="946"/>
    </row>
    <row r="297" spans="4:85" x14ac:dyDescent="0.25">
      <c r="D297" s="412"/>
      <c r="E297" s="413"/>
      <c r="F297" s="417"/>
      <c r="G297" s="413"/>
      <c r="H297" s="417"/>
      <c r="I297" s="413"/>
      <c r="J297" s="417"/>
      <c r="K297" s="418"/>
      <c r="L297" s="417"/>
      <c r="M297" s="412"/>
      <c r="N297" s="412"/>
      <c r="O297" s="412"/>
      <c r="P297" s="412"/>
      <c r="Q297" s="412" t="s">
        <v>16</v>
      </c>
      <c r="R297" s="414">
        <v>0.92569999999999997</v>
      </c>
      <c r="S297" s="412"/>
      <c r="T297" s="422">
        <v>0</v>
      </c>
      <c r="U297" s="411"/>
      <c r="V297" s="176">
        <f t="shared" ref="V297:V305" si="422">T297</f>
        <v>0</v>
      </c>
      <c r="W297" s="176">
        <f>V297</f>
        <v>0</v>
      </c>
      <c r="X297" s="176">
        <f>W297</f>
        <v>0</v>
      </c>
      <c r="Y297" s="34">
        <f>X297/Calculation_sheet!M$67</f>
        <v>0</v>
      </c>
      <c r="Z297" s="176">
        <f ca="1">IF(AN297&gt;0,Y297*Calculation_sheet!C$87,0)</f>
        <v>0</v>
      </c>
      <c r="AA297" s="176">
        <f t="shared" ca="1" si="381"/>
        <v>0</v>
      </c>
      <c r="AB297" s="176">
        <f ca="1">IF(AP297&gt;0,AA297*Calculation_sheet!C$94,0)</f>
        <v>0</v>
      </c>
      <c r="AC297" s="176">
        <f t="shared" ref="AC297:AE305" ca="1" si="423">AA297-AB297</f>
        <v>0</v>
      </c>
      <c r="AD297" s="958">
        <f ca="1">AC297*Calculation_sheet!C$99</f>
        <v>0</v>
      </c>
      <c r="AE297" s="176">
        <f t="shared" ca="1" si="423"/>
        <v>0</v>
      </c>
      <c r="AF297" s="176">
        <f t="shared" ca="1" si="405"/>
        <v>0</v>
      </c>
      <c r="AG297" s="958">
        <f ca="1">AF297*User_sheet!B$77/100</f>
        <v>0</v>
      </c>
      <c r="AH297" s="313"/>
      <c r="AI297" s="883">
        <v>103</v>
      </c>
      <c r="AJ297" s="985"/>
      <c r="AK297" s="1020">
        <f t="shared" ca="1" si="384"/>
        <v>406.52319061936873</v>
      </c>
      <c r="AL297" s="954">
        <f ca="1">AK297/'103'!I$24</f>
        <v>0.91482011953725739</v>
      </c>
      <c r="AM297" s="954">
        <f ca="1">0.8*(AK297*30+'103'!D$17*0.34*30*1)</f>
        <v>13208.909774864849</v>
      </c>
      <c r="AN297" s="954">
        <f ca="1">IF(AM297&lt;User_sheet!B$50,Y297,0)</f>
        <v>0</v>
      </c>
      <c r="AO297" s="954">
        <f ca="1">20-(User_sheet!B$57/('Freestanding '!AK297+'103'!D$17*1*0.34))</f>
        <v>9.6433541956418054</v>
      </c>
      <c r="AP297" s="954">
        <f ca="1">IF(AO297&lt;User_sheet!B$59,0,BC297*AA297)</f>
        <v>0</v>
      </c>
      <c r="AQ297" s="985"/>
      <c r="AR297" s="883">
        <v>0.32</v>
      </c>
      <c r="AS297" s="883">
        <v>2.41</v>
      </c>
      <c r="AT297" s="883">
        <v>0.59</v>
      </c>
      <c r="AU297" s="883">
        <v>2.75</v>
      </c>
      <c r="AV297" s="883">
        <v>3.3</v>
      </c>
      <c r="AW297" s="883">
        <v>12257.141193582425</v>
      </c>
      <c r="AX297" s="883">
        <v>75945.51234133933</v>
      </c>
      <c r="AY297" s="883">
        <v>64021.679041832605</v>
      </c>
      <c r="AZ297" s="883">
        <v>0</v>
      </c>
      <c r="BA297" s="883">
        <v>0</v>
      </c>
      <c r="BB297" s="883">
        <v>0.6</v>
      </c>
      <c r="BC297" s="888">
        <v>1</v>
      </c>
      <c r="BD297" s="889">
        <v>0</v>
      </c>
      <c r="BE297" s="889">
        <v>0</v>
      </c>
      <c r="BF297" s="890">
        <v>0</v>
      </c>
      <c r="BG297" s="883">
        <v>1</v>
      </c>
      <c r="BH297" s="883">
        <v>0</v>
      </c>
      <c r="BI297" s="890">
        <v>0</v>
      </c>
      <c r="BJ297" s="883">
        <v>1</v>
      </c>
      <c r="BK297" s="883">
        <v>0</v>
      </c>
      <c r="BL297" s="883">
        <v>0</v>
      </c>
      <c r="BM297" s="890">
        <v>0</v>
      </c>
      <c r="BN297" s="958">
        <v>7.0000000000000007E-2</v>
      </c>
      <c r="BO297" s="959">
        <v>17.100000000000001</v>
      </c>
      <c r="BP297" s="1018">
        <f t="shared" ref="BP297:BP305" ca="1" si="424">INDIRECT("'"&amp;AI297&amp;"'!"&amp;"B2")</f>
        <v>148.5</v>
      </c>
      <c r="BQ297" s="1018">
        <f t="shared" ref="BQ297:BQ305" ca="1" si="425">INDIRECT("'"&amp;AI297&amp;"'!"&amp;"C12")+INDIRECT("'"&amp;AI297&amp;"'!"&amp;"C13")+INDIRECT("'"&amp;AI297&amp;"'!"&amp;"C14")+INDIRECT("'"&amp;AI297&amp;"'!"&amp;"C15")+INDIRECT("'"&amp;AI297&amp;"'!"&amp;"C17")</f>
        <v>412.25249999999994</v>
      </c>
      <c r="BR297" s="1018">
        <f t="shared" ref="BR297:BR305" ca="1" si="426">INDIRECT("'"&amp;AI297&amp;"'!"&amp;"G5")</f>
        <v>148.44999999999999</v>
      </c>
      <c r="BS297" s="1018">
        <f t="shared" ref="BS297:BS305" ca="1" si="427">INDIRECT("'"&amp;AI297&amp;"'!"&amp;"G4")</f>
        <v>100.98500000000001</v>
      </c>
      <c r="BT297" s="1018">
        <f t="shared" ref="BT297:BT305" ca="1" si="428">INDIRECT("'"&amp;AI297&amp;"'!"&amp;"G6")</f>
        <v>148.5</v>
      </c>
      <c r="BU297" s="1018">
        <f t="shared" ref="BU297:BU305" ca="1" si="429">INDIRECT("'"&amp;AI297&amp;"'!"&amp;"G2")</f>
        <v>46.489999999999995</v>
      </c>
      <c r="BV297" s="1018">
        <f t="shared" ref="BV297:BV305" ca="1" si="430">INDIRECT("'"&amp;AI297&amp;"'!"&amp;"G3")</f>
        <v>2.15</v>
      </c>
      <c r="BW297" s="1018">
        <v>0</v>
      </c>
      <c r="BX297" s="1018">
        <f t="shared" ref="BX297:BX305" ca="1" si="431">IF(BR297=0,0,1/(1/(BR297*$BY$3)+1/(BR297*AR297)+1/(BR297*$BY$4)))</f>
        <v>45.00757958564931</v>
      </c>
      <c r="BY297" s="1018">
        <f t="shared" ref="BY297:BY305" ca="1" si="432">IF(BS297=0,0,1/(1/(BS297*$BY$3)+1/(BS297*AS297)+1/(BS297*$BY$4)))</f>
        <v>171.66405294836832</v>
      </c>
      <c r="BZ297" s="1018">
        <f t="shared" ca="1" si="385"/>
        <v>26.230449377041246</v>
      </c>
      <c r="CA297" s="1018">
        <f t="shared" ca="1" si="386"/>
        <v>127.84749992968388</v>
      </c>
      <c r="CB297" s="1018">
        <f t="shared" ref="CB297:CB305" ca="1" si="433">IF(BV297=0,0,1/(1/(BV297*$BY$3)+1/(BV297*AV297)+1/(BV297*$BY$4)))</f>
        <v>4.5133587786259541</v>
      </c>
      <c r="CC297" s="1018">
        <f t="shared" si="387"/>
        <v>0</v>
      </c>
      <c r="CD297" s="1018">
        <f ca="1">SUM(BX297:CC297)+(BR297+BS297+BT297+BU297+BV297)*BN297</f>
        <v>406.52319061936873</v>
      </c>
      <c r="CE297" s="1018">
        <f t="shared" ca="1" si="402"/>
        <v>207.09049888711516</v>
      </c>
      <c r="CF297" s="1018">
        <f t="shared" ca="1" si="388"/>
        <v>18.408410685194514</v>
      </c>
      <c r="CG297" s="1018">
        <f t="shared" ca="1" si="389"/>
        <v>30649.267454421457</v>
      </c>
    </row>
    <row r="298" spans="4:85" x14ac:dyDescent="0.25">
      <c r="D298" s="412"/>
      <c r="E298" s="413"/>
      <c r="F298" s="417"/>
      <c r="G298" s="413"/>
      <c r="H298" s="417"/>
      <c r="I298" s="413"/>
      <c r="J298" s="417"/>
      <c r="K298" s="418"/>
      <c r="L298" s="417"/>
      <c r="M298" s="412"/>
      <c r="N298" s="412"/>
      <c r="O298" s="412" t="s">
        <v>18</v>
      </c>
      <c r="P298" s="414">
        <v>0.89156626500000002</v>
      </c>
      <c r="Q298" s="412" t="s">
        <v>7</v>
      </c>
      <c r="R298" s="414">
        <v>7.4300000000000005E-2</v>
      </c>
      <c r="S298" s="412"/>
      <c r="T298" s="422">
        <v>0</v>
      </c>
      <c r="U298" s="411"/>
      <c r="V298" s="176">
        <f t="shared" si="422"/>
        <v>0</v>
      </c>
      <c r="W298" s="176">
        <f t="shared" ref="W298:X305" si="434">V298</f>
        <v>0</v>
      </c>
      <c r="X298" s="176">
        <f t="shared" si="434"/>
        <v>0</v>
      </c>
      <c r="Y298" s="34">
        <f>X298/Calculation_sheet!M$67</f>
        <v>0</v>
      </c>
      <c r="Z298" s="176">
        <f ca="1">IF(AN298&gt;0,Y298*Calculation_sheet!C$87,0)</f>
        <v>0</v>
      </c>
      <c r="AA298" s="176">
        <f t="shared" ca="1" si="381"/>
        <v>0</v>
      </c>
      <c r="AB298" s="176">
        <f ca="1">IF(AP298&gt;0,AA298*Calculation_sheet!C$94,0)</f>
        <v>0</v>
      </c>
      <c r="AC298" s="176">
        <f t="shared" ca="1" si="423"/>
        <v>0</v>
      </c>
      <c r="AD298" s="958">
        <f ca="1">AC298*Calculation_sheet!C$99</f>
        <v>0</v>
      </c>
      <c r="AE298" s="176">
        <f t="shared" ca="1" si="423"/>
        <v>0</v>
      </c>
      <c r="AF298" s="176">
        <f t="shared" ca="1" si="405"/>
        <v>0</v>
      </c>
      <c r="AG298" s="958">
        <f ca="1">AF298*User_sheet!B$77/100</f>
        <v>0</v>
      </c>
      <c r="AH298" s="313"/>
      <c r="AI298" s="883">
        <v>103</v>
      </c>
      <c r="AJ298" s="985"/>
      <c r="AK298" s="1020">
        <f t="shared" ca="1" si="384"/>
        <v>406.52319061936873</v>
      </c>
      <c r="AL298" s="954">
        <f ca="1">AK298/'103'!I$24</f>
        <v>0.91482011953725739</v>
      </c>
      <c r="AM298" s="954">
        <f ca="1">0.8*(AK298*30+'103'!D$17*0.34*30*1)</f>
        <v>13208.909774864849</v>
      </c>
      <c r="AN298" s="954">
        <f ca="1">IF(AM298&lt;User_sheet!B$50,Y298,0)</f>
        <v>0</v>
      </c>
      <c r="AO298" s="954">
        <f ca="1">20-(User_sheet!B$57/('Freestanding '!AK298+'103'!D$17*1*0.34))</f>
        <v>9.6433541956418054</v>
      </c>
      <c r="AP298" s="954">
        <f ca="1">IF(AO298&lt;User_sheet!B$59,0,BC298*AA298)</f>
        <v>0</v>
      </c>
      <c r="AQ298" s="985"/>
      <c r="AR298" s="883">
        <v>0.32</v>
      </c>
      <c r="AS298" s="1020">
        <v>2.41</v>
      </c>
      <c r="AT298" s="883">
        <v>0.59</v>
      </c>
      <c r="AU298" s="883">
        <v>2.75</v>
      </c>
      <c r="AV298" s="883">
        <v>3.3</v>
      </c>
      <c r="AW298" s="883">
        <v>12257.141193582425</v>
      </c>
      <c r="AX298" s="883">
        <v>75945.51234133933</v>
      </c>
      <c r="AY298" s="883">
        <v>64021.679041832605</v>
      </c>
      <c r="AZ298" s="883">
        <v>0</v>
      </c>
      <c r="BA298" s="883">
        <v>0</v>
      </c>
      <c r="BB298" s="883">
        <v>0.6</v>
      </c>
      <c r="BC298" s="888">
        <v>1</v>
      </c>
      <c r="BD298" s="889">
        <v>0</v>
      </c>
      <c r="BE298" s="889">
        <v>0</v>
      </c>
      <c r="BF298" s="890">
        <v>0</v>
      </c>
      <c r="BG298" s="883">
        <v>1</v>
      </c>
      <c r="BH298" s="883">
        <v>0</v>
      </c>
      <c r="BI298" s="890">
        <v>0</v>
      </c>
      <c r="BJ298" s="883">
        <v>0</v>
      </c>
      <c r="BK298" s="883">
        <v>0</v>
      </c>
      <c r="BL298" s="883">
        <v>1</v>
      </c>
      <c r="BM298" s="890">
        <v>0</v>
      </c>
      <c r="BN298" s="958">
        <v>7.0000000000000007E-2</v>
      </c>
      <c r="BO298" s="959">
        <v>17.100000000000001</v>
      </c>
      <c r="BP298" s="1018">
        <f t="shared" ca="1" si="424"/>
        <v>148.5</v>
      </c>
      <c r="BQ298" s="1018">
        <f t="shared" ca="1" si="425"/>
        <v>412.25249999999994</v>
      </c>
      <c r="BR298" s="1018">
        <f t="shared" ca="1" si="426"/>
        <v>148.44999999999999</v>
      </c>
      <c r="BS298" s="1018">
        <f t="shared" ca="1" si="427"/>
        <v>100.98500000000001</v>
      </c>
      <c r="BT298" s="1018">
        <f t="shared" ca="1" si="428"/>
        <v>148.5</v>
      </c>
      <c r="BU298" s="1018">
        <f t="shared" ca="1" si="429"/>
        <v>46.489999999999995</v>
      </c>
      <c r="BV298" s="1018">
        <f t="shared" ca="1" si="430"/>
        <v>2.15</v>
      </c>
      <c r="BW298" s="1018">
        <v>0</v>
      </c>
      <c r="BX298" s="1018">
        <f t="shared" ca="1" si="431"/>
        <v>45.00757958564931</v>
      </c>
      <c r="BY298" s="1018">
        <f t="shared" ca="1" si="432"/>
        <v>171.66405294836832</v>
      </c>
      <c r="BZ298" s="1018">
        <f t="shared" ca="1" si="385"/>
        <v>26.230449377041246</v>
      </c>
      <c r="CA298" s="1018">
        <f t="shared" ca="1" si="386"/>
        <v>127.84749992968388</v>
      </c>
      <c r="CB298" s="1018">
        <f t="shared" ca="1" si="433"/>
        <v>4.5133587786259541</v>
      </c>
      <c r="CC298" s="1018">
        <f t="shared" si="387"/>
        <v>0</v>
      </c>
      <c r="CD298" s="1018">
        <f t="shared" ref="CD298:CD305" ca="1" si="435">SUM(BX298:CC298)+(BR298+BS298+BT298+BU298+BV298)*BN298</f>
        <v>406.52319061936873</v>
      </c>
      <c r="CE298" s="1018">
        <f t="shared" ca="1" si="402"/>
        <v>207.09049888711516</v>
      </c>
      <c r="CF298" s="1018">
        <f t="shared" ca="1" si="388"/>
        <v>18.408410685194514</v>
      </c>
      <c r="CG298" s="1018">
        <f t="shared" ca="1" si="389"/>
        <v>30649.267454421457</v>
      </c>
    </row>
    <row r="299" spans="4:85" x14ac:dyDescent="0.25">
      <c r="D299" s="412"/>
      <c r="E299" s="413"/>
      <c r="F299" s="417"/>
      <c r="G299" s="413"/>
      <c r="H299" s="417"/>
      <c r="I299" s="413"/>
      <c r="J299" s="417"/>
      <c r="K299" s="418"/>
      <c r="L299" s="417"/>
      <c r="M299" s="412"/>
      <c r="N299" s="412"/>
      <c r="O299" s="412"/>
      <c r="P299" s="412"/>
      <c r="Q299" s="412" t="s">
        <v>16</v>
      </c>
      <c r="R299" s="414">
        <v>0.92569999999999997</v>
      </c>
      <c r="S299" s="412"/>
      <c r="T299" s="422">
        <v>0</v>
      </c>
      <c r="U299" s="411"/>
      <c r="V299" s="176">
        <f t="shared" si="422"/>
        <v>0</v>
      </c>
      <c r="W299" s="176">
        <f t="shared" si="434"/>
        <v>0</v>
      </c>
      <c r="X299" s="176">
        <f t="shared" si="434"/>
        <v>0</v>
      </c>
      <c r="Y299" s="34">
        <f>X299/Calculation_sheet!M$67</f>
        <v>0</v>
      </c>
      <c r="Z299" s="176">
        <f ca="1">IF(AN299&gt;0,Y299*Calculation_sheet!C$87,0)</f>
        <v>0</v>
      </c>
      <c r="AA299" s="176">
        <f t="shared" ca="1" si="381"/>
        <v>0</v>
      </c>
      <c r="AB299" s="176">
        <f ca="1">IF(AP299&gt;0,AA299*Calculation_sheet!C$94,0)</f>
        <v>0</v>
      </c>
      <c r="AC299" s="176">
        <f t="shared" ca="1" si="423"/>
        <v>0</v>
      </c>
      <c r="AD299" s="958">
        <f ca="1">AC299*Calculation_sheet!C$99</f>
        <v>0</v>
      </c>
      <c r="AE299" s="176">
        <f t="shared" ca="1" si="423"/>
        <v>0</v>
      </c>
      <c r="AF299" s="176">
        <f t="shared" ca="1" si="405"/>
        <v>0</v>
      </c>
      <c r="AG299" s="958">
        <f ca="1">AF299*User_sheet!B$77/100</f>
        <v>0</v>
      </c>
      <c r="AH299" s="313"/>
      <c r="AI299" s="883">
        <v>103</v>
      </c>
      <c r="AJ299" s="985"/>
      <c r="AK299" s="1020">
        <f t="shared" ca="1" si="384"/>
        <v>406.52319061936873</v>
      </c>
      <c r="AL299" s="954">
        <f ca="1">AK299/'103'!I$24</f>
        <v>0.91482011953725739</v>
      </c>
      <c r="AM299" s="954">
        <f ca="1">0.8*(AK299*30+'103'!D$17*0.34*30*1)</f>
        <v>13208.909774864849</v>
      </c>
      <c r="AN299" s="954">
        <f ca="1">IF(AM299&lt;User_sheet!B$50,Y299,0)</f>
        <v>0</v>
      </c>
      <c r="AO299" s="954">
        <f ca="1">20-(User_sheet!B$57/('Freestanding '!AK299+'103'!D$17*1*0.34))</f>
        <v>9.6433541956418054</v>
      </c>
      <c r="AP299" s="954">
        <f ca="1">IF(AO299&lt;User_sheet!B$59,0,BC299*AA299)</f>
        <v>0</v>
      </c>
      <c r="AQ299" s="985"/>
      <c r="AR299" s="883">
        <v>0.32</v>
      </c>
      <c r="AS299" s="1020">
        <v>2.41</v>
      </c>
      <c r="AT299" s="883">
        <v>0.59</v>
      </c>
      <c r="AU299" s="883">
        <v>2.75</v>
      </c>
      <c r="AV299" s="883">
        <v>3.3</v>
      </c>
      <c r="AW299" s="883">
        <v>12257.141193582425</v>
      </c>
      <c r="AX299" s="883">
        <v>75945.51234133933</v>
      </c>
      <c r="AY299" s="883">
        <v>64021.679041832605</v>
      </c>
      <c r="AZ299" s="883">
        <v>0</v>
      </c>
      <c r="BA299" s="883">
        <v>0</v>
      </c>
      <c r="BB299" s="883">
        <v>0.6</v>
      </c>
      <c r="BC299" s="888">
        <v>1</v>
      </c>
      <c r="BD299" s="889">
        <v>0</v>
      </c>
      <c r="BE299" s="889">
        <v>0</v>
      </c>
      <c r="BF299" s="890">
        <v>0</v>
      </c>
      <c r="BG299" s="883">
        <v>0</v>
      </c>
      <c r="BH299" s="883">
        <v>1</v>
      </c>
      <c r="BI299" s="890">
        <v>0</v>
      </c>
      <c r="BJ299" s="883">
        <v>1</v>
      </c>
      <c r="BK299" s="883">
        <v>0</v>
      </c>
      <c r="BL299" s="883">
        <v>0</v>
      </c>
      <c r="BM299" s="890">
        <v>0</v>
      </c>
      <c r="BN299" s="958">
        <v>7.0000000000000007E-2</v>
      </c>
      <c r="BO299" s="959">
        <v>17.100000000000001</v>
      </c>
      <c r="BP299" s="1018">
        <f t="shared" ca="1" si="424"/>
        <v>148.5</v>
      </c>
      <c r="BQ299" s="1018">
        <f t="shared" ca="1" si="425"/>
        <v>412.25249999999994</v>
      </c>
      <c r="BR299" s="1018">
        <f t="shared" ca="1" si="426"/>
        <v>148.44999999999999</v>
      </c>
      <c r="BS299" s="1018">
        <f t="shared" ca="1" si="427"/>
        <v>100.98500000000001</v>
      </c>
      <c r="BT299" s="1018">
        <f t="shared" ca="1" si="428"/>
        <v>148.5</v>
      </c>
      <c r="BU299" s="1018">
        <f t="shared" ca="1" si="429"/>
        <v>46.489999999999995</v>
      </c>
      <c r="BV299" s="1018">
        <f t="shared" ca="1" si="430"/>
        <v>2.15</v>
      </c>
      <c r="BW299" s="1018">
        <v>0</v>
      </c>
      <c r="BX299" s="1018">
        <f t="shared" ca="1" si="431"/>
        <v>45.00757958564931</v>
      </c>
      <c r="BY299" s="1018">
        <f t="shared" ca="1" si="432"/>
        <v>171.66405294836832</v>
      </c>
      <c r="BZ299" s="1018">
        <f t="shared" ca="1" si="385"/>
        <v>26.230449377041246</v>
      </c>
      <c r="CA299" s="1018">
        <f t="shared" ca="1" si="386"/>
        <v>127.84749992968388</v>
      </c>
      <c r="CB299" s="1018">
        <f t="shared" ca="1" si="433"/>
        <v>4.5133587786259541</v>
      </c>
      <c r="CC299" s="1018">
        <f t="shared" si="387"/>
        <v>0</v>
      </c>
      <c r="CD299" s="1018">
        <f t="shared" ca="1" si="435"/>
        <v>406.52319061936873</v>
      </c>
      <c r="CE299" s="1018">
        <f t="shared" ca="1" si="402"/>
        <v>207.09049888711516</v>
      </c>
      <c r="CF299" s="1018">
        <f t="shared" ca="1" si="388"/>
        <v>18.408410685194514</v>
      </c>
      <c r="CG299" s="1018">
        <f t="shared" ca="1" si="389"/>
        <v>30649.267454421457</v>
      </c>
    </row>
    <row r="300" spans="4:85" x14ac:dyDescent="0.25">
      <c r="D300" s="412"/>
      <c r="E300" s="413"/>
      <c r="F300" s="417"/>
      <c r="G300" s="413"/>
      <c r="H300" s="417"/>
      <c r="I300" s="413"/>
      <c r="J300" s="417"/>
      <c r="K300" s="418"/>
      <c r="L300" s="417"/>
      <c r="M300" s="412" t="s">
        <v>16</v>
      </c>
      <c r="N300" s="414">
        <v>0.41099999999999998</v>
      </c>
      <c r="O300" s="412" t="s">
        <v>19</v>
      </c>
      <c r="P300" s="414">
        <v>0.108433735</v>
      </c>
      <c r="Q300" s="412" t="s">
        <v>7</v>
      </c>
      <c r="R300" s="414">
        <v>7.4300000000000005E-2</v>
      </c>
      <c r="S300" s="412"/>
      <c r="T300" s="422">
        <v>0</v>
      </c>
      <c r="U300" s="411"/>
      <c r="V300" s="176">
        <f t="shared" si="422"/>
        <v>0</v>
      </c>
      <c r="W300" s="176">
        <f t="shared" si="434"/>
        <v>0</v>
      </c>
      <c r="X300" s="176">
        <f t="shared" si="434"/>
        <v>0</v>
      </c>
      <c r="Y300" s="34">
        <f>X300/Calculation_sheet!M$67</f>
        <v>0</v>
      </c>
      <c r="Z300" s="176">
        <f ca="1">IF(AN300&gt;0,Y300*Calculation_sheet!C$87,0)</f>
        <v>0</v>
      </c>
      <c r="AA300" s="176">
        <f t="shared" ca="1" si="381"/>
        <v>0</v>
      </c>
      <c r="AB300" s="176">
        <f ca="1">IF(AP300&gt;0,AA300*Calculation_sheet!C$94,0)</f>
        <v>0</v>
      </c>
      <c r="AC300" s="176">
        <f t="shared" ca="1" si="423"/>
        <v>0</v>
      </c>
      <c r="AD300" s="958">
        <f ca="1">AC300*Calculation_sheet!C$99</f>
        <v>0</v>
      </c>
      <c r="AE300" s="176">
        <f t="shared" ca="1" si="423"/>
        <v>0</v>
      </c>
      <c r="AF300" s="176">
        <f t="shared" ca="1" si="405"/>
        <v>0</v>
      </c>
      <c r="AG300" s="958">
        <f ca="1">AF300*User_sheet!B$77/100</f>
        <v>0</v>
      </c>
      <c r="AH300" s="313"/>
      <c r="AI300" s="883">
        <v>103</v>
      </c>
      <c r="AJ300" s="985"/>
      <c r="AK300" s="1020">
        <f t="shared" ca="1" si="384"/>
        <v>406.52319061936873</v>
      </c>
      <c r="AL300" s="954">
        <f ca="1">AK300/'103'!I$24</f>
        <v>0.91482011953725739</v>
      </c>
      <c r="AM300" s="954">
        <f ca="1">0.8*(AK300*30+'103'!D$17*0.34*30*1)</f>
        <v>13208.909774864849</v>
      </c>
      <c r="AN300" s="954">
        <f ca="1">IF(AM300&lt;User_sheet!B$50,Y300,0)</f>
        <v>0</v>
      </c>
      <c r="AO300" s="954">
        <f ca="1">20-(User_sheet!B$57/('Freestanding '!AK300+'103'!D$17*1*0.34))</f>
        <v>9.6433541956418054</v>
      </c>
      <c r="AP300" s="954">
        <f ca="1">IF(AO300&lt;User_sheet!B$59,0,BC300*AA300)</f>
        <v>0</v>
      </c>
      <c r="AQ300" s="985"/>
      <c r="AR300" s="883">
        <v>0.32</v>
      </c>
      <c r="AS300" s="1020">
        <v>2.41</v>
      </c>
      <c r="AT300" s="883">
        <v>0.59</v>
      </c>
      <c r="AU300" s="883">
        <v>2.75</v>
      </c>
      <c r="AV300" s="883">
        <v>3.3</v>
      </c>
      <c r="AW300" s="883">
        <v>12257.141193582425</v>
      </c>
      <c r="AX300" s="883">
        <v>75945.51234133933</v>
      </c>
      <c r="AY300" s="883">
        <v>64021.679041832605</v>
      </c>
      <c r="AZ300" s="883">
        <v>0</v>
      </c>
      <c r="BA300" s="883">
        <v>0</v>
      </c>
      <c r="BB300" s="883">
        <v>0.6</v>
      </c>
      <c r="BC300" s="888">
        <v>1</v>
      </c>
      <c r="BD300" s="889">
        <v>0</v>
      </c>
      <c r="BE300" s="889">
        <v>0</v>
      </c>
      <c r="BF300" s="890">
        <v>0</v>
      </c>
      <c r="BG300" s="883">
        <v>0</v>
      </c>
      <c r="BH300" s="883">
        <v>1</v>
      </c>
      <c r="BI300" s="890">
        <v>0</v>
      </c>
      <c r="BJ300" s="883">
        <v>0</v>
      </c>
      <c r="BK300" s="883">
        <v>0</v>
      </c>
      <c r="BL300" s="883">
        <v>1</v>
      </c>
      <c r="BM300" s="890">
        <v>0</v>
      </c>
      <c r="BN300" s="958">
        <v>7.0000000000000007E-2</v>
      </c>
      <c r="BO300" s="959">
        <v>17.100000000000001</v>
      </c>
      <c r="BP300" s="1018">
        <f t="shared" ca="1" si="424"/>
        <v>148.5</v>
      </c>
      <c r="BQ300" s="1018">
        <f t="shared" ca="1" si="425"/>
        <v>412.25249999999994</v>
      </c>
      <c r="BR300" s="1018">
        <f t="shared" ca="1" si="426"/>
        <v>148.44999999999999</v>
      </c>
      <c r="BS300" s="1018">
        <f t="shared" ca="1" si="427"/>
        <v>100.98500000000001</v>
      </c>
      <c r="BT300" s="1018">
        <f t="shared" ca="1" si="428"/>
        <v>148.5</v>
      </c>
      <c r="BU300" s="1018">
        <f t="shared" ca="1" si="429"/>
        <v>46.489999999999995</v>
      </c>
      <c r="BV300" s="1018">
        <f t="shared" ca="1" si="430"/>
        <v>2.15</v>
      </c>
      <c r="BW300" s="1018">
        <v>0</v>
      </c>
      <c r="BX300" s="1018">
        <f t="shared" ca="1" si="431"/>
        <v>45.00757958564931</v>
      </c>
      <c r="BY300" s="1018">
        <f t="shared" ca="1" si="432"/>
        <v>171.66405294836832</v>
      </c>
      <c r="BZ300" s="1018">
        <f t="shared" ca="1" si="385"/>
        <v>26.230449377041246</v>
      </c>
      <c r="CA300" s="1018">
        <f t="shared" ca="1" si="386"/>
        <v>127.84749992968388</v>
      </c>
      <c r="CB300" s="1018">
        <f t="shared" ca="1" si="433"/>
        <v>4.5133587786259541</v>
      </c>
      <c r="CC300" s="1018">
        <f t="shared" si="387"/>
        <v>0</v>
      </c>
      <c r="CD300" s="1018">
        <f t="shared" ca="1" si="435"/>
        <v>406.52319061936873</v>
      </c>
      <c r="CE300" s="1018">
        <f t="shared" ca="1" si="402"/>
        <v>207.09049888711516</v>
      </c>
      <c r="CF300" s="1018">
        <f t="shared" ca="1" si="388"/>
        <v>18.408410685194514</v>
      </c>
      <c r="CG300" s="1018">
        <f t="shared" ca="1" si="389"/>
        <v>30649.267454421457</v>
      </c>
    </row>
    <row r="301" spans="4:85" x14ac:dyDescent="0.25">
      <c r="D301" s="412"/>
      <c r="E301" s="413"/>
      <c r="F301" s="417"/>
      <c r="G301" s="413"/>
      <c r="H301" s="417"/>
      <c r="I301" s="413"/>
      <c r="J301" s="417"/>
      <c r="K301" s="418"/>
      <c r="L301" s="417"/>
      <c r="M301" s="412"/>
      <c r="N301" s="412"/>
      <c r="O301" s="412"/>
      <c r="P301" s="412"/>
      <c r="Q301" s="412" t="s">
        <v>22</v>
      </c>
      <c r="R301" s="414">
        <v>0.60750000000000004</v>
      </c>
      <c r="S301" s="412"/>
      <c r="T301" s="422">
        <v>0</v>
      </c>
      <c r="U301" s="411"/>
      <c r="V301" s="176">
        <f t="shared" si="422"/>
        <v>0</v>
      </c>
      <c r="W301" s="176">
        <f t="shared" si="434"/>
        <v>0</v>
      </c>
      <c r="X301" s="176">
        <f t="shared" si="434"/>
        <v>0</v>
      </c>
      <c r="Y301" s="34">
        <f>X301/Calculation_sheet!M$67</f>
        <v>0</v>
      </c>
      <c r="Z301" s="176">
        <f ca="1">IF(AN301&gt;0,Y301*Calculation_sheet!C$87,0)</f>
        <v>0</v>
      </c>
      <c r="AA301" s="176">
        <f t="shared" ca="1" si="381"/>
        <v>0</v>
      </c>
      <c r="AB301" s="176">
        <f ca="1">IF(AP301&gt;0,AA301*Calculation_sheet!C$94,0)</f>
        <v>0</v>
      </c>
      <c r="AC301" s="176">
        <f t="shared" ca="1" si="423"/>
        <v>0</v>
      </c>
      <c r="AD301" s="958">
        <f ca="1">AC301*Calculation_sheet!C$99</f>
        <v>0</v>
      </c>
      <c r="AE301" s="176">
        <f t="shared" ca="1" si="423"/>
        <v>0</v>
      </c>
      <c r="AF301" s="176">
        <f t="shared" ca="1" si="405"/>
        <v>0</v>
      </c>
      <c r="AG301" s="958">
        <f ca="1">AF301*User_sheet!B$77/100</f>
        <v>0</v>
      </c>
      <c r="AH301" s="313"/>
      <c r="AI301" s="883">
        <v>103</v>
      </c>
      <c r="AJ301" s="985"/>
      <c r="AK301" s="1020">
        <f t="shared" ca="1" si="384"/>
        <v>406.52319061936873</v>
      </c>
      <c r="AL301" s="954">
        <f ca="1">AK301/'103'!I$24</f>
        <v>0.91482011953725739</v>
      </c>
      <c r="AM301" s="954">
        <f ca="1">0.8*(AK301*30+'103'!D$17*0.34*30*1)</f>
        <v>13208.909774864849</v>
      </c>
      <c r="AN301" s="954">
        <f ca="1">IF(AM301&lt;User_sheet!B$50,Y301,0)</f>
        <v>0</v>
      </c>
      <c r="AO301" s="954">
        <f ca="1">20-(User_sheet!B$57/('Freestanding '!AK301+'103'!D$17*1*0.34))</f>
        <v>9.6433541956418054</v>
      </c>
      <c r="AP301" s="954">
        <f ca="1">IF(AO301&lt;User_sheet!B$59,0,BC301*AA301)</f>
        <v>0</v>
      </c>
      <c r="AQ301" s="985"/>
      <c r="AR301" s="883">
        <v>0.32</v>
      </c>
      <c r="AS301" s="1020">
        <v>2.41</v>
      </c>
      <c r="AT301" s="883">
        <v>0.59</v>
      </c>
      <c r="AU301" s="883">
        <v>2.75</v>
      </c>
      <c r="AV301" s="883">
        <v>3.3</v>
      </c>
      <c r="AW301" s="883">
        <v>12257.141193582425</v>
      </c>
      <c r="AX301" s="883">
        <v>75945.51234133933</v>
      </c>
      <c r="AY301" s="883">
        <v>64021.679041832605</v>
      </c>
      <c r="AZ301" s="883">
        <v>0</v>
      </c>
      <c r="BA301" s="883">
        <v>0</v>
      </c>
      <c r="BB301" s="883">
        <v>0.6</v>
      </c>
      <c r="BC301" s="888">
        <v>0</v>
      </c>
      <c r="BD301" s="889">
        <v>1</v>
      </c>
      <c r="BE301" s="889">
        <v>0</v>
      </c>
      <c r="BF301" s="890">
        <v>0</v>
      </c>
      <c r="BG301" s="883">
        <v>1</v>
      </c>
      <c r="BH301" s="883">
        <v>0</v>
      </c>
      <c r="BI301" s="890">
        <v>0</v>
      </c>
      <c r="BJ301" s="883">
        <v>0</v>
      </c>
      <c r="BK301" s="883">
        <v>1</v>
      </c>
      <c r="BL301" s="883">
        <v>0</v>
      </c>
      <c r="BM301" s="890">
        <v>0</v>
      </c>
      <c r="BN301" s="958">
        <v>7.0000000000000007E-2</v>
      </c>
      <c r="BO301" s="959">
        <v>17.100000000000001</v>
      </c>
      <c r="BP301" s="1018">
        <f t="shared" ca="1" si="424"/>
        <v>148.5</v>
      </c>
      <c r="BQ301" s="1018">
        <f t="shared" ca="1" si="425"/>
        <v>412.25249999999994</v>
      </c>
      <c r="BR301" s="1018">
        <f t="shared" ca="1" si="426"/>
        <v>148.44999999999999</v>
      </c>
      <c r="BS301" s="1018">
        <f t="shared" ca="1" si="427"/>
        <v>100.98500000000001</v>
      </c>
      <c r="BT301" s="1018">
        <f t="shared" ca="1" si="428"/>
        <v>148.5</v>
      </c>
      <c r="BU301" s="1018">
        <f t="shared" ca="1" si="429"/>
        <v>46.489999999999995</v>
      </c>
      <c r="BV301" s="1018">
        <f t="shared" ca="1" si="430"/>
        <v>2.15</v>
      </c>
      <c r="BW301" s="1018">
        <v>0</v>
      </c>
      <c r="BX301" s="1018">
        <f t="shared" ca="1" si="431"/>
        <v>45.00757958564931</v>
      </c>
      <c r="BY301" s="1018">
        <f t="shared" ca="1" si="432"/>
        <v>171.66405294836832</v>
      </c>
      <c r="BZ301" s="1018">
        <f t="shared" ca="1" si="385"/>
        <v>26.230449377041246</v>
      </c>
      <c r="CA301" s="1018">
        <f t="shared" ca="1" si="386"/>
        <v>127.84749992968388</v>
      </c>
      <c r="CB301" s="1018">
        <f t="shared" ca="1" si="433"/>
        <v>4.5133587786259541</v>
      </c>
      <c r="CC301" s="1018">
        <f t="shared" si="387"/>
        <v>0</v>
      </c>
      <c r="CD301" s="1018">
        <f t="shared" ca="1" si="435"/>
        <v>406.52319061936873</v>
      </c>
      <c r="CE301" s="1018">
        <f t="shared" ca="1" si="402"/>
        <v>207.09049888711516</v>
      </c>
      <c r="CF301" s="1018">
        <f t="shared" ca="1" si="388"/>
        <v>18.408410685194514</v>
      </c>
      <c r="CG301" s="1018">
        <f t="shared" ca="1" si="389"/>
        <v>30649.267454421457</v>
      </c>
    </row>
    <row r="302" spans="4:85" x14ac:dyDescent="0.25">
      <c r="D302" s="412"/>
      <c r="E302" s="413"/>
      <c r="F302" s="417"/>
      <c r="G302" s="413"/>
      <c r="H302" s="417"/>
      <c r="I302" s="413"/>
      <c r="J302" s="417"/>
      <c r="K302" s="418"/>
      <c r="L302" s="417"/>
      <c r="M302" s="412"/>
      <c r="N302" s="412"/>
      <c r="O302" s="412" t="s">
        <v>18</v>
      </c>
      <c r="P302" s="414">
        <v>0.94399999999999995</v>
      </c>
      <c r="Q302" s="412" t="s">
        <v>7</v>
      </c>
      <c r="R302" s="414">
        <v>0.39250000000000002</v>
      </c>
      <c r="S302" s="412"/>
      <c r="T302" s="422">
        <v>0</v>
      </c>
      <c r="U302" s="411"/>
      <c r="V302" s="176">
        <f t="shared" si="422"/>
        <v>0</v>
      </c>
      <c r="W302" s="176">
        <f t="shared" si="434"/>
        <v>0</v>
      </c>
      <c r="X302" s="176">
        <f t="shared" si="434"/>
        <v>0</v>
      </c>
      <c r="Y302" s="34">
        <f>X302/Calculation_sheet!M$67</f>
        <v>0</v>
      </c>
      <c r="Z302" s="176">
        <f ca="1">IF(AN302&gt;0,Y302*Calculation_sheet!C$87,0)</f>
        <v>0</v>
      </c>
      <c r="AA302" s="176">
        <f t="shared" ca="1" si="381"/>
        <v>0</v>
      </c>
      <c r="AB302" s="176">
        <f ca="1">IF(AP302&gt;0,AA302*Calculation_sheet!C$94,0)</f>
        <v>0</v>
      </c>
      <c r="AC302" s="176">
        <f t="shared" ca="1" si="423"/>
        <v>0</v>
      </c>
      <c r="AD302" s="958">
        <f ca="1">AC302*Calculation_sheet!C$99</f>
        <v>0</v>
      </c>
      <c r="AE302" s="176">
        <f t="shared" ca="1" si="423"/>
        <v>0</v>
      </c>
      <c r="AF302" s="176">
        <f t="shared" ca="1" si="405"/>
        <v>0</v>
      </c>
      <c r="AG302" s="958">
        <f ca="1">AF302*User_sheet!B$77/100</f>
        <v>0</v>
      </c>
      <c r="AH302" s="313"/>
      <c r="AI302" s="883">
        <v>103</v>
      </c>
      <c r="AJ302" s="985"/>
      <c r="AK302" s="1020">
        <f t="shared" ca="1" si="384"/>
        <v>406.52319061936873</v>
      </c>
      <c r="AL302" s="954">
        <f ca="1">AK302/'103'!I$24</f>
        <v>0.91482011953725739</v>
      </c>
      <c r="AM302" s="954">
        <f ca="1">0.8*(AK302*30+'103'!D$17*0.34*30*1)</f>
        <v>13208.909774864849</v>
      </c>
      <c r="AN302" s="954">
        <f ca="1">IF(AM302&lt;User_sheet!B$50,Y302,0)</f>
        <v>0</v>
      </c>
      <c r="AO302" s="954">
        <f ca="1">20-(User_sheet!B$57/('Freestanding '!AK302+'103'!D$17*1*0.34))</f>
        <v>9.6433541956418054</v>
      </c>
      <c r="AP302" s="954">
        <f ca="1">IF(AO302&lt;User_sheet!B$59,0,BC302*AA302)</f>
        <v>0</v>
      </c>
      <c r="AQ302" s="985"/>
      <c r="AR302" s="883">
        <v>0.32</v>
      </c>
      <c r="AS302" s="1020">
        <v>2.41</v>
      </c>
      <c r="AT302" s="883">
        <v>0.59</v>
      </c>
      <c r="AU302" s="883">
        <v>2.75</v>
      </c>
      <c r="AV302" s="883">
        <v>3.3</v>
      </c>
      <c r="AW302" s="883">
        <v>12257.141193582425</v>
      </c>
      <c r="AX302" s="883">
        <v>75945.51234133933</v>
      </c>
      <c r="AY302" s="883">
        <v>64021.679041832605</v>
      </c>
      <c r="AZ302" s="883">
        <v>0</v>
      </c>
      <c r="BA302" s="883">
        <v>0</v>
      </c>
      <c r="BB302" s="883">
        <v>0.6</v>
      </c>
      <c r="BC302" s="888">
        <v>0</v>
      </c>
      <c r="BD302" s="889">
        <v>1</v>
      </c>
      <c r="BE302" s="889">
        <v>0</v>
      </c>
      <c r="BF302" s="890">
        <v>0</v>
      </c>
      <c r="BG302" s="883">
        <v>1</v>
      </c>
      <c r="BH302" s="883">
        <v>0</v>
      </c>
      <c r="BI302" s="890">
        <v>0</v>
      </c>
      <c r="BJ302" s="883">
        <v>0</v>
      </c>
      <c r="BK302" s="883">
        <v>0</v>
      </c>
      <c r="BL302" s="883">
        <v>1</v>
      </c>
      <c r="BM302" s="890">
        <v>0</v>
      </c>
      <c r="BN302" s="958">
        <v>7.0000000000000007E-2</v>
      </c>
      <c r="BO302" s="959">
        <v>17.100000000000001</v>
      </c>
      <c r="BP302" s="1018">
        <f t="shared" ca="1" si="424"/>
        <v>148.5</v>
      </c>
      <c r="BQ302" s="1018">
        <f t="shared" ca="1" si="425"/>
        <v>412.25249999999994</v>
      </c>
      <c r="BR302" s="1018">
        <f t="shared" ca="1" si="426"/>
        <v>148.44999999999999</v>
      </c>
      <c r="BS302" s="1018">
        <f t="shared" ca="1" si="427"/>
        <v>100.98500000000001</v>
      </c>
      <c r="BT302" s="1018">
        <f t="shared" ca="1" si="428"/>
        <v>148.5</v>
      </c>
      <c r="BU302" s="1018">
        <f t="shared" ca="1" si="429"/>
        <v>46.489999999999995</v>
      </c>
      <c r="BV302" s="1018">
        <f t="shared" ca="1" si="430"/>
        <v>2.15</v>
      </c>
      <c r="BW302" s="1018">
        <v>0</v>
      </c>
      <c r="BX302" s="1018">
        <f t="shared" ca="1" si="431"/>
        <v>45.00757958564931</v>
      </c>
      <c r="BY302" s="1018">
        <f t="shared" ca="1" si="432"/>
        <v>171.66405294836832</v>
      </c>
      <c r="BZ302" s="1018">
        <f t="shared" ca="1" si="385"/>
        <v>26.230449377041246</v>
      </c>
      <c r="CA302" s="1018">
        <f t="shared" ca="1" si="386"/>
        <v>127.84749992968388</v>
      </c>
      <c r="CB302" s="1018">
        <f t="shared" ca="1" si="433"/>
        <v>4.5133587786259541</v>
      </c>
      <c r="CC302" s="1018">
        <f t="shared" si="387"/>
        <v>0</v>
      </c>
      <c r="CD302" s="1018">
        <f t="shared" ca="1" si="435"/>
        <v>406.52319061936873</v>
      </c>
      <c r="CE302" s="1018">
        <f t="shared" ca="1" si="402"/>
        <v>207.09049888711516</v>
      </c>
      <c r="CF302" s="1018">
        <f t="shared" ca="1" si="388"/>
        <v>18.408410685194514</v>
      </c>
      <c r="CG302" s="1018">
        <f t="shared" ca="1" si="389"/>
        <v>30649.267454421457</v>
      </c>
    </row>
    <row r="303" spans="4:85" x14ac:dyDescent="0.25">
      <c r="D303" s="412"/>
      <c r="E303" s="411"/>
      <c r="F303" s="412"/>
      <c r="G303" s="411"/>
      <c r="H303" s="412"/>
      <c r="I303" s="411"/>
      <c r="J303" s="412"/>
      <c r="K303" s="411"/>
      <c r="L303" s="411"/>
      <c r="M303" s="412"/>
      <c r="N303" s="412"/>
      <c r="O303" s="412"/>
      <c r="P303" s="412"/>
      <c r="Q303" s="412" t="s">
        <v>22</v>
      </c>
      <c r="R303" s="414">
        <v>0.39250000000000002</v>
      </c>
      <c r="S303" s="412"/>
      <c r="T303" s="422">
        <v>0</v>
      </c>
      <c r="U303" s="411"/>
      <c r="V303" s="176">
        <f t="shared" si="422"/>
        <v>0</v>
      </c>
      <c r="W303" s="176">
        <f t="shared" si="434"/>
        <v>0</v>
      </c>
      <c r="X303" s="176">
        <f t="shared" si="434"/>
        <v>0</v>
      </c>
      <c r="Y303" s="34">
        <f>X303/Calculation_sheet!M$67</f>
        <v>0</v>
      </c>
      <c r="Z303" s="176">
        <f ca="1">IF(AN303&gt;0,Y303*Calculation_sheet!C$87,0)</f>
        <v>0</v>
      </c>
      <c r="AA303" s="176">
        <f t="shared" ca="1" si="381"/>
        <v>0</v>
      </c>
      <c r="AB303" s="176">
        <f ca="1">IF(AP303&gt;0,AA303*Calculation_sheet!C$94,0)</f>
        <v>0</v>
      </c>
      <c r="AC303" s="176">
        <f t="shared" ca="1" si="423"/>
        <v>0</v>
      </c>
      <c r="AD303" s="958">
        <f ca="1">AC303*Calculation_sheet!C$99</f>
        <v>0</v>
      </c>
      <c r="AE303" s="176">
        <f t="shared" ca="1" si="423"/>
        <v>0</v>
      </c>
      <c r="AF303" s="176">
        <f t="shared" ca="1" si="405"/>
        <v>0</v>
      </c>
      <c r="AG303" s="958">
        <f ca="1">AF303*User_sheet!B$77/100</f>
        <v>0</v>
      </c>
      <c r="AH303" s="313"/>
      <c r="AI303" s="883">
        <v>103</v>
      </c>
      <c r="AJ303" s="985"/>
      <c r="AK303" s="1020">
        <f t="shared" ca="1" si="384"/>
        <v>406.52319061936873</v>
      </c>
      <c r="AL303" s="954">
        <f ca="1">AK303/'103'!I$24</f>
        <v>0.91482011953725739</v>
      </c>
      <c r="AM303" s="954">
        <f ca="1">0.8*(AK303*30+'103'!D$17*0.34*30*1)</f>
        <v>13208.909774864849</v>
      </c>
      <c r="AN303" s="954">
        <f ca="1">IF(AM303&lt;User_sheet!B$50,Y303,0)</f>
        <v>0</v>
      </c>
      <c r="AO303" s="954">
        <f ca="1">20-(User_sheet!B$57/('Freestanding '!AK303+'103'!D$17*1*0.34))</f>
        <v>9.6433541956418054</v>
      </c>
      <c r="AP303" s="954">
        <f ca="1">IF(AO303&lt;User_sheet!B$59,0,BC303*AA303)</f>
        <v>0</v>
      </c>
      <c r="AQ303" s="985"/>
      <c r="AR303" s="883">
        <v>0.32</v>
      </c>
      <c r="AS303" s="1020">
        <v>2.41</v>
      </c>
      <c r="AT303" s="883">
        <v>0.59</v>
      </c>
      <c r="AU303" s="883">
        <v>2.75</v>
      </c>
      <c r="AV303" s="883">
        <v>3.3</v>
      </c>
      <c r="AW303" s="883">
        <v>12257.141193582425</v>
      </c>
      <c r="AX303" s="883">
        <v>75945.51234133933</v>
      </c>
      <c r="AY303" s="883">
        <v>64021.679041832605</v>
      </c>
      <c r="AZ303" s="883">
        <v>0</v>
      </c>
      <c r="BA303" s="883">
        <v>0</v>
      </c>
      <c r="BB303" s="883">
        <v>0.6</v>
      </c>
      <c r="BC303" s="888">
        <v>0</v>
      </c>
      <c r="BD303" s="889">
        <v>1</v>
      </c>
      <c r="BE303" s="889">
        <v>0</v>
      </c>
      <c r="BF303" s="890">
        <v>0</v>
      </c>
      <c r="BG303" s="883">
        <v>0</v>
      </c>
      <c r="BH303" s="883">
        <v>1</v>
      </c>
      <c r="BI303" s="890">
        <v>0</v>
      </c>
      <c r="BJ303" s="883">
        <v>0</v>
      </c>
      <c r="BK303" s="883">
        <v>1</v>
      </c>
      <c r="BL303" s="883">
        <v>0</v>
      </c>
      <c r="BM303" s="890">
        <v>0</v>
      </c>
      <c r="BN303" s="958">
        <v>7.0000000000000007E-2</v>
      </c>
      <c r="BO303" s="959">
        <v>17.100000000000001</v>
      </c>
      <c r="BP303" s="1018">
        <f t="shared" ca="1" si="424"/>
        <v>148.5</v>
      </c>
      <c r="BQ303" s="1018">
        <f t="shared" ca="1" si="425"/>
        <v>412.25249999999994</v>
      </c>
      <c r="BR303" s="1018">
        <f t="shared" ca="1" si="426"/>
        <v>148.44999999999999</v>
      </c>
      <c r="BS303" s="1018">
        <f t="shared" ca="1" si="427"/>
        <v>100.98500000000001</v>
      </c>
      <c r="BT303" s="1018">
        <f t="shared" ca="1" si="428"/>
        <v>148.5</v>
      </c>
      <c r="BU303" s="1018">
        <f t="shared" ca="1" si="429"/>
        <v>46.489999999999995</v>
      </c>
      <c r="BV303" s="1018">
        <f t="shared" ca="1" si="430"/>
        <v>2.15</v>
      </c>
      <c r="BW303" s="1018">
        <v>0</v>
      </c>
      <c r="BX303" s="1018">
        <f t="shared" ca="1" si="431"/>
        <v>45.00757958564931</v>
      </c>
      <c r="BY303" s="1018">
        <f t="shared" ca="1" si="432"/>
        <v>171.66405294836832</v>
      </c>
      <c r="BZ303" s="1018">
        <f t="shared" ca="1" si="385"/>
        <v>26.230449377041246</v>
      </c>
      <c r="CA303" s="1018">
        <f t="shared" ca="1" si="386"/>
        <v>127.84749992968388</v>
      </c>
      <c r="CB303" s="1018">
        <f t="shared" ca="1" si="433"/>
        <v>4.5133587786259541</v>
      </c>
      <c r="CC303" s="1018">
        <f t="shared" si="387"/>
        <v>0</v>
      </c>
      <c r="CD303" s="1018">
        <f t="shared" ca="1" si="435"/>
        <v>406.52319061936873</v>
      </c>
      <c r="CE303" s="1018">
        <f t="shared" ca="1" si="402"/>
        <v>207.09049888711516</v>
      </c>
      <c r="CF303" s="1018">
        <f t="shared" ca="1" si="388"/>
        <v>18.408410685194514</v>
      </c>
      <c r="CG303" s="1018">
        <f t="shared" ca="1" si="389"/>
        <v>30649.267454421457</v>
      </c>
    </row>
    <row r="304" spans="4:85" x14ac:dyDescent="0.25">
      <c r="D304" s="412"/>
      <c r="E304" s="411"/>
      <c r="F304" s="412"/>
      <c r="G304" s="411"/>
      <c r="H304" s="412"/>
      <c r="I304" s="411"/>
      <c r="J304" s="412"/>
      <c r="K304" s="412"/>
      <c r="L304" s="412"/>
      <c r="M304" s="412" t="s">
        <v>22</v>
      </c>
      <c r="N304" s="414">
        <v>0.47</v>
      </c>
      <c r="O304" s="412" t="s">
        <v>20</v>
      </c>
      <c r="P304" s="414">
        <v>5.6000000000000001E-2</v>
      </c>
      <c r="Q304" s="412" t="s">
        <v>7</v>
      </c>
      <c r="R304" s="414">
        <v>0.60750000000000004</v>
      </c>
      <c r="S304" s="412"/>
      <c r="T304" s="422">
        <v>0</v>
      </c>
      <c r="U304" s="411"/>
      <c r="V304" s="176">
        <f t="shared" si="422"/>
        <v>0</v>
      </c>
      <c r="W304" s="176">
        <f t="shared" si="434"/>
        <v>0</v>
      </c>
      <c r="X304" s="176">
        <f t="shared" si="434"/>
        <v>0</v>
      </c>
      <c r="Y304" s="34">
        <f>X304/Calculation_sheet!M$67</f>
        <v>0</v>
      </c>
      <c r="Z304" s="176">
        <f ca="1">IF(AN304&gt;0,Y304*Calculation_sheet!C$87,0)</f>
        <v>0</v>
      </c>
      <c r="AA304" s="176">
        <f t="shared" ca="1" si="381"/>
        <v>0</v>
      </c>
      <c r="AB304" s="176">
        <f ca="1">IF(AP304&gt;0,AA304*Calculation_sheet!C$94,0)</f>
        <v>0</v>
      </c>
      <c r="AC304" s="176">
        <f t="shared" ca="1" si="423"/>
        <v>0</v>
      </c>
      <c r="AD304" s="958">
        <f ca="1">AC304*Calculation_sheet!C$99</f>
        <v>0</v>
      </c>
      <c r="AE304" s="176">
        <f t="shared" ca="1" si="423"/>
        <v>0</v>
      </c>
      <c r="AF304" s="176">
        <f t="shared" ca="1" si="405"/>
        <v>0</v>
      </c>
      <c r="AG304" s="958">
        <f ca="1">AF304*User_sheet!B$77/100</f>
        <v>0</v>
      </c>
      <c r="AH304" s="313"/>
      <c r="AI304" s="883">
        <v>103</v>
      </c>
      <c r="AJ304" s="985"/>
      <c r="AK304" s="1020">
        <f t="shared" ca="1" si="384"/>
        <v>406.52319061936873</v>
      </c>
      <c r="AL304" s="954">
        <f ca="1">AK304/'103'!I$24</f>
        <v>0.91482011953725739</v>
      </c>
      <c r="AM304" s="954">
        <f ca="1">0.8*(AK304*30+'103'!D$17*0.34*30*1)</f>
        <v>13208.909774864849</v>
      </c>
      <c r="AN304" s="954">
        <f ca="1">IF(AM304&lt;User_sheet!B$50,Y304,0)</f>
        <v>0</v>
      </c>
      <c r="AO304" s="954">
        <f ca="1">20-(User_sheet!B$57/('Freestanding '!AK304+'103'!D$17*1*0.34))</f>
        <v>9.6433541956418054</v>
      </c>
      <c r="AP304" s="954">
        <f ca="1">IF(AO304&lt;User_sheet!B$59,0,BC304*AA304)</f>
        <v>0</v>
      </c>
      <c r="AQ304" s="985"/>
      <c r="AR304" s="883">
        <v>0.32</v>
      </c>
      <c r="AS304" s="1020">
        <v>2.41</v>
      </c>
      <c r="AT304" s="883">
        <v>0.59</v>
      </c>
      <c r="AU304" s="883">
        <v>2.75</v>
      </c>
      <c r="AV304" s="883">
        <v>3.3</v>
      </c>
      <c r="AW304" s="883">
        <v>12257.141193582425</v>
      </c>
      <c r="AX304" s="883">
        <v>75945.51234133933</v>
      </c>
      <c r="AY304" s="883">
        <v>64021.679041832605</v>
      </c>
      <c r="AZ304" s="883">
        <v>0</v>
      </c>
      <c r="BA304" s="883">
        <v>0</v>
      </c>
      <c r="BB304" s="883">
        <v>0.6</v>
      </c>
      <c r="BC304" s="888">
        <v>0</v>
      </c>
      <c r="BD304" s="889">
        <v>1</v>
      </c>
      <c r="BE304" s="889">
        <v>0</v>
      </c>
      <c r="BF304" s="890">
        <v>0</v>
      </c>
      <c r="BG304" s="883">
        <v>0</v>
      </c>
      <c r="BH304" s="883">
        <v>1</v>
      </c>
      <c r="BI304" s="890">
        <v>0</v>
      </c>
      <c r="BJ304" s="883">
        <v>0</v>
      </c>
      <c r="BK304" s="883">
        <v>0</v>
      </c>
      <c r="BL304" s="883">
        <v>1</v>
      </c>
      <c r="BM304" s="890">
        <v>0</v>
      </c>
      <c r="BN304" s="958">
        <v>7.0000000000000007E-2</v>
      </c>
      <c r="BO304" s="959">
        <v>17.100000000000001</v>
      </c>
      <c r="BP304" s="1018">
        <f t="shared" ca="1" si="424"/>
        <v>148.5</v>
      </c>
      <c r="BQ304" s="1018">
        <f t="shared" ca="1" si="425"/>
        <v>412.25249999999994</v>
      </c>
      <c r="BR304" s="1018">
        <f t="shared" ca="1" si="426"/>
        <v>148.44999999999999</v>
      </c>
      <c r="BS304" s="1018">
        <f t="shared" ca="1" si="427"/>
        <v>100.98500000000001</v>
      </c>
      <c r="BT304" s="1018">
        <f t="shared" ca="1" si="428"/>
        <v>148.5</v>
      </c>
      <c r="BU304" s="1018">
        <f t="shared" ca="1" si="429"/>
        <v>46.489999999999995</v>
      </c>
      <c r="BV304" s="1018">
        <f t="shared" ca="1" si="430"/>
        <v>2.15</v>
      </c>
      <c r="BW304" s="1018">
        <v>0</v>
      </c>
      <c r="BX304" s="1018">
        <f t="shared" ca="1" si="431"/>
        <v>45.00757958564931</v>
      </c>
      <c r="BY304" s="1018">
        <f t="shared" ca="1" si="432"/>
        <v>171.66405294836832</v>
      </c>
      <c r="BZ304" s="1018">
        <f t="shared" ca="1" si="385"/>
        <v>26.230449377041246</v>
      </c>
      <c r="CA304" s="1018">
        <f t="shared" ca="1" si="386"/>
        <v>127.84749992968388</v>
      </c>
      <c r="CB304" s="1018">
        <f t="shared" ca="1" si="433"/>
        <v>4.5133587786259541</v>
      </c>
      <c r="CC304" s="1018">
        <f t="shared" si="387"/>
        <v>0</v>
      </c>
      <c r="CD304" s="1018">
        <f t="shared" ca="1" si="435"/>
        <v>406.52319061936873</v>
      </c>
      <c r="CE304" s="1018">
        <f t="shared" ca="1" si="402"/>
        <v>207.09049888711516</v>
      </c>
      <c r="CF304" s="1018">
        <f t="shared" ca="1" si="388"/>
        <v>18.408410685194514</v>
      </c>
      <c r="CG304" s="1018">
        <f t="shared" ca="1" si="389"/>
        <v>30649.267454421457</v>
      </c>
    </row>
    <row r="305" spans="4:85" x14ac:dyDescent="0.25">
      <c r="D305" s="412"/>
      <c r="E305" s="411"/>
      <c r="F305" s="412"/>
      <c r="G305" s="411"/>
      <c r="H305" s="412"/>
      <c r="I305" s="411"/>
      <c r="J305" s="412"/>
      <c r="K305" s="415" t="s">
        <v>12</v>
      </c>
      <c r="L305" s="416">
        <v>0</v>
      </c>
      <c r="M305" s="412" t="s">
        <v>7</v>
      </c>
      <c r="N305" s="414">
        <v>0.11900000000000005</v>
      </c>
      <c r="O305" s="412" t="s">
        <v>23</v>
      </c>
      <c r="P305" s="414">
        <v>1</v>
      </c>
      <c r="Q305" s="412" t="s">
        <v>7</v>
      </c>
      <c r="R305" s="414">
        <v>1</v>
      </c>
      <c r="S305" s="412"/>
      <c r="T305" s="422">
        <v>0</v>
      </c>
      <c r="U305" s="411"/>
      <c r="V305" s="176">
        <f t="shared" si="422"/>
        <v>0</v>
      </c>
      <c r="W305" s="176">
        <f t="shared" si="434"/>
        <v>0</v>
      </c>
      <c r="X305" s="176">
        <f t="shared" si="434"/>
        <v>0</v>
      </c>
      <c r="Y305" s="34">
        <f>X305/Calculation_sheet!M$67</f>
        <v>0</v>
      </c>
      <c r="Z305" s="176">
        <f ca="1">IF(AN305&gt;0,Y305*Calculation_sheet!C$87,0)</f>
        <v>0</v>
      </c>
      <c r="AA305" s="176">
        <f t="shared" ca="1" si="381"/>
        <v>0</v>
      </c>
      <c r="AB305" s="176">
        <f ca="1">IF(AP305&gt;0,AA305*Calculation_sheet!C$94,0)</f>
        <v>0</v>
      </c>
      <c r="AC305" s="176">
        <f t="shared" ca="1" si="423"/>
        <v>0</v>
      </c>
      <c r="AD305" s="958">
        <f ca="1">AC305*Calculation_sheet!C$99</f>
        <v>0</v>
      </c>
      <c r="AE305" s="176">
        <f t="shared" ca="1" si="423"/>
        <v>0</v>
      </c>
      <c r="AF305" s="176">
        <f t="shared" ca="1" si="405"/>
        <v>0</v>
      </c>
      <c r="AG305" s="958">
        <f ca="1">AF305*User_sheet!B$77/100</f>
        <v>0</v>
      </c>
      <c r="AH305" s="313"/>
      <c r="AI305" s="883">
        <v>103</v>
      </c>
      <c r="AJ305" s="985"/>
      <c r="AK305" s="1020">
        <f t="shared" ca="1" si="384"/>
        <v>406.52319061936873</v>
      </c>
      <c r="AL305" s="954">
        <f ca="1">AK305/'103'!I$24</f>
        <v>0.91482011953725739</v>
      </c>
      <c r="AM305" s="954">
        <f ca="1">0.8*(AK305*30+'103'!D$17*0.34*30*1)</f>
        <v>13208.909774864849</v>
      </c>
      <c r="AN305" s="954">
        <f ca="1">IF(AM305&lt;User_sheet!B$50,Y305,0)</f>
        <v>0</v>
      </c>
      <c r="AO305" s="954">
        <f ca="1">20-(User_sheet!B$57/('Freestanding '!AK305+'103'!D$17*1*0.34))</f>
        <v>9.6433541956418054</v>
      </c>
      <c r="AP305" s="954">
        <f ca="1">IF(AO305&lt;User_sheet!B$59,0,BC305*AA305)</f>
        <v>0</v>
      </c>
      <c r="AQ305" s="985"/>
      <c r="AR305" s="883">
        <v>0.32</v>
      </c>
      <c r="AS305" s="1020">
        <v>2.41</v>
      </c>
      <c r="AT305" s="883">
        <v>0.59</v>
      </c>
      <c r="AU305" s="883">
        <v>2.75</v>
      </c>
      <c r="AV305" s="883">
        <v>3.3</v>
      </c>
      <c r="AW305" s="883">
        <v>12257.141193582425</v>
      </c>
      <c r="AX305" s="883">
        <v>75945.51234133933</v>
      </c>
      <c r="AY305" s="883">
        <v>64021.679041832605</v>
      </c>
      <c r="AZ305" s="883">
        <v>0</v>
      </c>
      <c r="BA305" s="883">
        <v>0</v>
      </c>
      <c r="BB305" s="883">
        <v>0.6</v>
      </c>
      <c r="BC305" s="888">
        <v>0</v>
      </c>
      <c r="BD305" s="889">
        <v>0</v>
      </c>
      <c r="BE305" s="889">
        <v>1</v>
      </c>
      <c r="BF305" s="890">
        <v>0</v>
      </c>
      <c r="BG305" s="883">
        <v>0</v>
      </c>
      <c r="BH305" s="883">
        <v>0</v>
      </c>
      <c r="BI305" s="890">
        <v>1</v>
      </c>
      <c r="BJ305" s="883">
        <v>0</v>
      </c>
      <c r="BK305" s="883">
        <v>0</v>
      </c>
      <c r="BL305" s="883">
        <v>1</v>
      </c>
      <c r="BM305" s="890">
        <v>0</v>
      </c>
      <c r="BN305" s="958">
        <v>7.0000000000000007E-2</v>
      </c>
      <c r="BO305" s="959">
        <v>17.100000000000001</v>
      </c>
      <c r="BP305" s="1018">
        <f t="shared" ca="1" si="424"/>
        <v>148.5</v>
      </c>
      <c r="BQ305" s="1018">
        <f t="shared" ca="1" si="425"/>
        <v>412.25249999999994</v>
      </c>
      <c r="BR305" s="1018">
        <f t="shared" ca="1" si="426"/>
        <v>148.44999999999999</v>
      </c>
      <c r="BS305" s="1018">
        <f t="shared" ca="1" si="427"/>
        <v>100.98500000000001</v>
      </c>
      <c r="BT305" s="1018">
        <f t="shared" ca="1" si="428"/>
        <v>148.5</v>
      </c>
      <c r="BU305" s="1018">
        <f t="shared" ca="1" si="429"/>
        <v>46.489999999999995</v>
      </c>
      <c r="BV305" s="1018">
        <f t="shared" ca="1" si="430"/>
        <v>2.15</v>
      </c>
      <c r="BW305" s="1018">
        <v>0</v>
      </c>
      <c r="BX305" s="1018">
        <f t="shared" ca="1" si="431"/>
        <v>45.00757958564931</v>
      </c>
      <c r="BY305" s="1018">
        <f t="shared" ca="1" si="432"/>
        <v>171.66405294836832</v>
      </c>
      <c r="BZ305" s="1018">
        <f t="shared" ca="1" si="385"/>
        <v>26.230449377041246</v>
      </c>
      <c r="CA305" s="1018">
        <f t="shared" ca="1" si="386"/>
        <v>127.84749992968388</v>
      </c>
      <c r="CB305" s="1018">
        <f t="shared" ca="1" si="433"/>
        <v>4.5133587786259541</v>
      </c>
      <c r="CC305" s="1018">
        <f t="shared" si="387"/>
        <v>0</v>
      </c>
      <c r="CD305" s="1018">
        <f t="shared" ca="1" si="435"/>
        <v>406.52319061936873</v>
      </c>
      <c r="CE305" s="1018">
        <f t="shared" ca="1" si="402"/>
        <v>207.09049888711516</v>
      </c>
      <c r="CF305" s="1018">
        <f t="shared" ca="1" si="388"/>
        <v>18.408410685194514</v>
      </c>
      <c r="CG305" s="1018">
        <f t="shared" ca="1" si="389"/>
        <v>30649.267454421457</v>
      </c>
    </row>
    <row r="306" spans="4:85" s="14" customFormat="1" x14ac:dyDescent="0.25">
      <c r="D306" s="420"/>
      <c r="E306" s="419"/>
      <c r="F306" s="420"/>
      <c r="G306" s="419"/>
      <c r="H306" s="420"/>
      <c r="I306" s="419"/>
      <c r="J306" s="420"/>
      <c r="K306" s="420"/>
      <c r="L306" s="420"/>
      <c r="M306" s="420"/>
      <c r="N306" s="420"/>
      <c r="O306" s="420"/>
      <c r="P306" s="420"/>
      <c r="Q306" s="420"/>
      <c r="R306" s="420"/>
      <c r="S306" s="420"/>
      <c r="T306" s="423"/>
      <c r="U306" s="419"/>
      <c r="V306" s="292"/>
      <c r="W306" s="292"/>
      <c r="X306" s="292"/>
      <c r="Y306" s="277"/>
      <c r="Z306" s="292"/>
      <c r="AA306" s="292"/>
      <c r="AB306" s="292"/>
      <c r="AC306" s="292"/>
      <c r="AD306" s="277"/>
      <c r="AE306" s="292"/>
      <c r="AF306" s="292"/>
      <c r="AG306" s="277"/>
      <c r="AH306" s="313"/>
      <c r="AI306" s="887"/>
      <c r="AJ306" s="985"/>
      <c r="AK306" s="1020">
        <f t="shared" si="384"/>
        <v>0</v>
      </c>
      <c r="AL306" s="941"/>
      <c r="AM306" s="941"/>
      <c r="AN306" s="941"/>
      <c r="AO306" s="941"/>
      <c r="AP306" s="941"/>
      <c r="AQ306" s="985"/>
      <c r="AR306" s="887"/>
      <c r="AS306" s="887"/>
      <c r="AT306" s="887"/>
      <c r="AU306" s="887"/>
      <c r="AV306" s="887"/>
      <c r="AW306" s="887"/>
      <c r="AX306" s="887"/>
      <c r="AY306" s="887"/>
      <c r="AZ306" s="887"/>
      <c r="BA306" s="887"/>
      <c r="BB306" s="887"/>
      <c r="BC306" s="45"/>
      <c r="BD306" s="277"/>
      <c r="BE306" s="277"/>
      <c r="BF306" s="49"/>
      <c r="BG306" s="887"/>
      <c r="BH306" s="887"/>
      <c r="BI306" s="49"/>
      <c r="BJ306" s="887"/>
      <c r="BK306" s="887"/>
      <c r="BL306" s="887"/>
      <c r="BM306" s="49"/>
      <c r="BN306" s="277"/>
      <c r="BO306" s="49"/>
      <c r="BP306" s="946"/>
      <c r="BQ306" s="946"/>
      <c r="BR306" s="946"/>
      <c r="BS306" s="946"/>
      <c r="BT306" s="946"/>
      <c r="BU306" s="946"/>
      <c r="BV306" s="946"/>
      <c r="BW306" s="946"/>
      <c r="BX306" s="946"/>
      <c r="BY306" s="946"/>
      <c r="BZ306" s="946"/>
      <c r="CA306" s="946"/>
      <c r="CB306" s="946"/>
      <c r="CC306" s="946"/>
      <c r="CD306" s="946"/>
      <c r="CE306" s="946"/>
      <c r="CF306" s="946"/>
      <c r="CG306" s="946"/>
    </row>
    <row r="307" spans="4:85" x14ac:dyDescent="0.25">
      <c r="D307" s="412"/>
      <c r="E307" s="411"/>
      <c r="F307" s="412"/>
      <c r="G307" s="411"/>
      <c r="H307" s="412"/>
      <c r="I307" s="411" t="s">
        <v>6</v>
      </c>
      <c r="J307" s="414">
        <v>0.26570000000000005</v>
      </c>
      <c r="K307" s="412"/>
      <c r="L307" s="412"/>
      <c r="M307" s="412"/>
      <c r="N307" s="412"/>
      <c r="O307" s="412"/>
      <c r="P307" s="412"/>
      <c r="Q307" s="412" t="s">
        <v>16</v>
      </c>
      <c r="R307" s="414">
        <v>0.92569999999999997</v>
      </c>
      <c r="S307" s="412"/>
      <c r="T307" s="422">
        <v>2.0983953793423408E-3</v>
      </c>
      <c r="U307" s="411"/>
      <c r="V307" s="176">
        <f t="shared" ref="V307:V315" si="436">T307</f>
        <v>2.0983953793423408E-3</v>
      </c>
      <c r="W307" s="176">
        <f>V307</f>
        <v>2.0983953793423408E-3</v>
      </c>
      <c r="X307" s="176">
        <f>W307</f>
        <v>2.0983953793423408E-3</v>
      </c>
      <c r="Y307" s="34">
        <f>X307/Calculation_sheet!M$67</f>
        <v>2.098438284033762E-3</v>
      </c>
      <c r="Z307" s="176">
        <f ca="1">IF(AN307&gt;0,Y307*Calculation_sheet!C$87,0)</f>
        <v>0</v>
      </c>
      <c r="AA307" s="176">
        <f t="shared" ca="1" si="381"/>
        <v>2.098438284033762E-3</v>
      </c>
      <c r="AB307" s="176">
        <f ca="1">IF(AP307&gt;0,AA307*Calculation_sheet!C$94,0)</f>
        <v>0</v>
      </c>
      <c r="AC307" s="176">
        <f t="shared" ref="AC307:AE315" ca="1" si="437">AA307-AB307</f>
        <v>2.098438284033762E-3</v>
      </c>
      <c r="AD307" s="958">
        <f ca="1">AC307*Calculation_sheet!C$99</f>
        <v>1.2590629704202572E-3</v>
      </c>
      <c r="AE307" s="176">
        <f t="shared" ca="1" si="437"/>
        <v>8.393753136135048E-4</v>
      </c>
      <c r="AF307" s="176">
        <f t="shared" ca="1" si="405"/>
        <v>2.098438284033762E-3</v>
      </c>
      <c r="AG307" s="958">
        <f ca="1">AF307*User_sheet!B$77/100</f>
        <v>0</v>
      </c>
      <c r="AH307" s="313"/>
      <c r="AI307" s="883">
        <v>103</v>
      </c>
      <c r="AJ307" s="985"/>
      <c r="AK307" s="1020">
        <f t="shared" ca="1" si="384"/>
        <v>436.13516045910467</v>
      </c>
      <c r="AL307" s="954">
        <f ca="1">AK307/'103'!I$24</f>
        <v>0.98145746376169829</v>
      </c>
      <c r="AM307" s="954">
        <f ca="1">0.8*(AK307*30+'103'!D$17*0.34*30*1)</f>
        <v>13919.597051018513</v>
      </c>
      <c r="AN307" s="954">
        <f ca="1">IF(AM307&lt;User_sheet!B$50,Y307,0)</f>
        <v>0</v>
      </c>
      <c r="AO307" s="954">
        <f ca="1">20-(User_sheet!B$57/('Freestanding '!AK307+'103'!D$17*1*0.34))</f>
        <v>10.172129300970662</v>
      </c>
      <c r="AP307" s="954">
        <f ca="1">IF(AO307&lt;User_sheet!B$59,0,BC307*AA307)</f>
        <v>2.098438284033762E-3</v>
      </c>
      <c r="AQ307" s="985"/>
      <c r="AR307" s="883">
        <v>0.32</v>
      </c>
      <c r="AS307" s="1020">
        <v>2.41</v>
      </c>
      <c r="AT307" s="883">
        <v>1.42</v>
      </c>
      <c r="AU307" s="883">
        <v>2.75</v>
      </c>
      <c r="AV307" s="883">
        <v>3.3</v>
      </c>
      <c r="AW307" s="883">
        <v>12257.141193582425</v>
      </c>
      <c r="AX307" s="883">
        <v>75945.51234133933</v>
      </c>
      <c r="AY307" s="883">
        <v>62673.095488422703</v>
      </c>
      <c r="AZ307" s="883">
        <v>0</v>
      </c>
      <c r="BA307" s="883">
        <v>0</v>
      </c>
      <c r="BB307" s="883">
        <v>0.6</v>
      </c>
      <c r="BC307" s="888">
        <v>1</v>
      </c>
      <c r="BD307" s="889">
        <v>0</v>
      </c>
      <c r="BE307" s="889">
        <v>0</v>
      </c>
      <c r="BF307" s="890">
        <v>0</v>
      </c>
      <c r="BG307" s="883">
        <v>1</v>
      </c>
      <c r="BH307" s="883">
        <v>0</v>
      </c>
      <c r="BI307" s="890">
        <v>0</v>
      </c>
      <c r="BJ307" s="883">
        <v>1</v>
      </c>
      <c r="BK307" s="883">
        <v>0</v>
      </c>
      <c r="BL307" s="883">
        <v>0</v>
      </c>
      <c r="BM307" s="890">
        <v>0</v>
      </c>
      <c r="BN307" s="958">
        <v>7.0000000000000007E-2</v>
      </c>
      <c r="BO307" s="959">
        <v>17.100000000000001</v>
      </c>
      <c r="BP307" s="1018">
        <f t="shared" ref="BP307:BP315" ca="1" si="438">INDIRECT("'"&amp;AI307&amp;"'!"&amp;"B2")</f>
        <v>148.5</v>
      </c>
      <c r="BQ307" s="1018">
        <f t="shared" ref="BQ307:BQ315" ca="1" si="439">INDIRECT("'"&amp;AI307&amp;"'!"&amp;"C12")+INDIRECT("'"&amp;AI307&amp;"'!"&amp;"C13")+INDIRECT("'"&amp;AI307&amp;"'!"&amp;"C14")+INDIRECT("'"&amp;AI307&amp;"'!"&amp;"C15")+INDIRECT("'"&amp;AI307&amp;"'!"&amp;"C17")</f>
        <v>412.25249999999994</v>
      </c>
      <c r="BR307" s="1018">
        <f t="shared" ref="BR307:BR315" ca="1" si="440">INDIRECT("'"&amp;AI307&amp;"'!"&amp;"G5")</f>
        <v>148.44999999999999</v>
      </c>
      <c r="BS307" s="1018">
        <f t="shared" ref="BS307:BS315" ca="1" si="441">INDIRECT("'"&amp;AI307&amp;"'!"&amp;"G4")</f>
        <v>100.98500000000001</v>
      </c>
      <c r="BT307" s="1018">
        <f t="shared" ref="BT307:BT315" ca="1" si="442">INDIRECT("'"&amp;AI307&amp;"'!"&amp;"G6")</f>
        <v>148.5</v>
      </c>
      <c r="BU307" s="1018">
        <f t="shared" ref="BU307:BU315" ca="1" si="443">INDIRECT("'"&amp;AI307&amp;"'!"&amp;"G2")</f>
        <v>46.489999999999995</v>
      </c>
      <c r="BV307" s="1018">
        <f t="shared" ref="BV307:BV315" ca="1" si="444">INDIRECT("'"&amp;AI307&amp;"'!"&amp;"G3")</f>
        <v>2.15</v>
      </c>
      <c r="BW307" s="1018">
        <v>0</v>
      </c>
      <c r="BX307" s="1018">
        <f t="shared" ref="BX307:BX315" ca="1" si="445">IF(BR307=0,0,1/(1/(BR307*$BY$3)+1/(BR307*AR307)+1/(BR307*$BY$4)))</f>
        <v>45.00757958564931</v>
      </c>
      <c r="BY307" s="1018">
        <f t="shared" ref="BY307:BY315" ca="1" si="446">IF(BS307=0,0,1/(1/(BS307*$BY$3)+1/(BS307*AS307)+1/(BS307*$BY$4)))</f>
        <v>171.66405294836832</v>
      </c>
      <c r="BZ307" s="1018">
        <f t="shared" ca="1" si="385"/>
        <v>55.84241921677723</v>
      </c>
      <c r="CA307" s="1018">
        <f t="shared" ca="1" si="386"/>
        <v>127.84749992968388</v>
      </c>
      <c r="CB307" s="1018">
        <f t="shared" ref="CB307:CB315" ca="1" si="447">IF(BV307=0,0,1/(1/(BV307*$BY$3)+1/(BV307*AV307)+1/(BV307*$BY$4)))</f>
        <v>4.5133587786259541</v>
      </c>
      <c r="CC307" s="1018">
        <f t="shared" si="387"/>
        <v>0</v>
      </c>
      <c r="CD307" s="1018">
        <f ca="1">SUM(BX307:CC307)+(BR307+BS307+BT307+BU307+BV307)*BN307</f>
        <v>436.13516045910467</v>
      </c>
      <c r="CE307" s="1018">
        <f t="shared" ca="1" si="402"/>
        <v>207.09049888711516</v>
      </c>
      <c r="CF307" s="1018">
        <f t="shared" ca="1" si="388"/>
        <v>19.296769780386597</v>
      </c>
      <c r="CG307" s="1018">
        <f t="shared" ca="1" si="389"/>
        <v>32128.349813552461</v>
      </c>
    </row>
    <row r="308" spans="4:85" x14ac:dyDescent="0.25">
      <c r="D308" s="412"/>
      <c r="E308" s="411"/>
      <c r="F308" s="412"/>
      <c r="G308" s="411"/>
      <c r="H308" s="412"/>
      <c r="I308" s="411"/>
      <c r="J308" s="417"/>
      <c r="K308" s="412"/>
      <c r="L308" s="412"/>
      <c r="M308" s="412"/>
      <c r="N308" s="412"/>
      <c r="O308" s="412" t="s">
        <v>18</v>
      </c>
      <c r="P308" s="414">
        <v>0.89156626500000002</v>
      </c>
      <c r="Q308" s="412" t="s">
        <v>7</v>
      </c>
      <c r="R308" s="414">
        <v>7.4300000000000005E-2</v>
      </c>
      <c r="S308" s="412"/>
      <c r="T308" s="422">
        <v>1.6842473445515387E-4</v>
      </c>
      <c r="U308" s="411"/>
      <c r="V308" s="176">
        <f t="shared" si="436"/>
        <v>1.6842473445515387E-4</v>
      </c>
      <c r="W308" s="176">
        <f t="shared" ref="W308:X315" si="448">V308</f>
        <v>1.6842473445515387E-4</v>
      </c>
      <c r="X308" s="176">
        <f t="shared" si="448"/>
        <v>1.6842473445515387E-4</v>
      </c>
      <c r="Y308" s="34">
        <f>X308/Calculation_sheet!M$67</f>
        <v>1.6842817813947125E-4</v>
      </c>
      <c r="Z308" s="176">
        <f ca="1">IF(AN308&gt;0,Y308*Calculation_sheet!C$87,0)</f>
        <v>0</v>
      </c>
      <c r="AA308" s="176">
        <f t="shared" ca="1" si="381"/>
        <v>1.6842817813947125E-4</v>
      </c>
      <c r="AB308" s="176">
        <f ca="1">IF(AP308&gt;0,AA308*Calculation_sheet!C$94,0)</f>
        <v>0</v>
      </c>
      <c r="AC308" s="176">
        <f t="shared" ca="1" si="437"/>
        <v>1.6842817813947125E-4</v>
      </c>
      <c r="AD308" s="958">
        <f ca="1">AC308*Calculation_sheet!C$99</f>
        <v>1.0105690688368275E-4</v>
      </c>
      <c r="AE308" s="176">
        <f t="shared" ca="1" si="437"/>
        <v>6.7371271255788504E-5</v>
      </c>
      <c r="AF308" s="176">
        <f t="shared" ca="1" si="405"/>
        <v>1.6842817813947125E-4</v>
      </c>
      <c r="AG308" s="958">
        <f ca="1">AF308*User_sheet!B$77/100</f>
        <v>0</v>
      </c>
      <c r="AH308" s="313"/>
      <c r="AI308" s="883">
        <v>103</v>
      </c>
      <c r="AJ308" s="985"/>
      <c r="AK308" s="1020">
        <f t="shared" ca="1" si="384"/>
        <v>436.13516045910467</v>
      </c>
      <c r="AL308" s="954">
        <f ca="1">AK308/'103'!I$24</f>
        <v>0.98145746376169829</v>
      </c>
      <c r="AM308" s="954">
        <f ca="1">0.8*(AK308*30+'103'!D$17*0.34*30*1)</f>
        <v>13919.597051018513</v>
      </c>
      <c r="AN308" s="954">
        <f ca="1">IF(AM308&lt;User_sheet!B$50,Y308,0)</f>
        <v>0</v>
      </c>
      <c r="AO308" s="954">
        <f ca="1">20-(User_sheet!B$57/('Freestanding '!AK308+'103'!D$17*1*0.34))</f>
        <v>10.172129300970662</v>
      </c>
      <c r="AP308" s="954">
        <f ca="1">IF(AO308&lt;User_sheet!B$59,0,BC308*AA308)</f>
        <v>1.6842817813947125E-4</v>
      </c>
      <c r="AQ308" s="985"/>
      <c r="AR308" s="883">
        <v>0.32</v>
      </c>
      <c r="AS308" s="1020">
        <v>2.41</v>
      </c>
      <c r="AT308" s="883">
        <v>1.42</v>
      </c>
      <c r="AU308" s="883">
        <v>2.75</v>
      </c>
      <c r="AV308" s="883">
        <v>3.3</v>
      </c>
      <c r="AW308" s="883">
        <v>12257.141193582425</v>
      </c>
      <c r="AX308" s="883">
        <v>75945.51234133933</v>
      </c>
      <c r="AY308" s="883">
        <v>62673.095488422703</v>
      </c>
      <c r="AZ308" s="883">
        <v>0</v>
      </c>
      <c r="BA308" s="883">
        <v>0</v>
      </c>
      <c r="BB308" s="883">
        <v>0.6</v>
      </c>
      <c r="BC308" s="888">
        <v>1</v>
      </c>
      <c r="BD308" s="889">
        <v>0</v>
      </c>
      <c r="BE308" s="889">
        <v>0</v>
      </c>
      <c r="BF308" s="890">
        <v>0</v>
      </c>
      <c r="BG308" s="883">
        <v>1</v>
      </c>
      <c r="BH308" s="883">
        <v>0</v>
      </c>
      <c r="BI308" s="890">
        <v>0</v>
      </c>
      <c r="BJ308" s="883">
        <v>0</v>
      </c>
      <c r="BK308" s="883">
        <v>0</v>
      </c>
      <c r="BL308" s="883">
        <v>1</v>
      </c>
      <c r="BM308" s="890">
        <v>0</v>
      </c>
      <c r="BN308" s="958">
        <v>7.0000000000000007E-2</v>
      </c>
      <c r="BO308" s="959">
        <v>17.100000000000001</v>
      </c>
      <c r="BP308" s="1018">
        <f t="shared" ca="1" si="438"/>
        <v>148.5</v>
      </c>
      <c r="BQ308" s="1018">
        <f t="shared" ca="1" si="439"/>
        <v>412.25249999999994</v>
      </c>
      <c r="BR308" s="1018">
        <f t="shared" ca="1" si="440"/>
        <v>148.44999999999999</v>
      </c>
      <c r="BS308" s="1018">
        <f t="shared" ca="1" si="441"/>
        <v>100.98500000000001</v>
      </c>
      <c r="BT308" s="1018">
        <f t="shared" ca="1" si="442"/>
        <v>148.5</v>
      </c>
      <c r="BU308" s="1018">
        <f t="shared" ca="1" si="443"/>
        <v>46.489999999999995</v>
      </c>
      <c r="BV308" s="1018">
        <f t="shared" ca="1" si="444"/>
        <v>2.15</v>
      </c>
      <c r="BW308" s="1018">
        <v>0</v>
      </c>
      <c r="BX308" s="1018">
        <f t="shared" ca="1" si="445"/>
        <v>45.00757958564931</v>
      </c>
      <c r="BY308" s="1018">
        <f t="shared" ca="1" si="446"/>
        <v>171.66405294836832</v>
      </c>
      <c r="BZ308" s="1018">
        <f t="shared" ca="1" si="385"/>
        <v>55.84241921677723</v>
      </c>
      <c r="CA308" s="1018">
        <f t="shared" ca="1" si="386"/>
        <v>127.84749992968388</v>
      </c>
      <c r="CB308" s="1018">
        <f t="shared" ca="1" si="447"/>
        <v>4.5133587786259541</v>
      </c>
      <c r="CC308" s="1018">
        <f t="shared" si="387"/>
        <v>0</v>
      </c>
      <c r="CD308" s="1018">
        <f t="shared" ref="CD308:CD315" ca="1" si="449">SUM(BX308:CC308)+(BR308+BS308+BT308+BU308+BV308)*BN308</f>
        <v>436.13516045910467</v>
      </c>
      <c r="CE308" s="1018">
        <f t="shared" ca="1" si="402"/>
        <v>207.09049888711516</v>
      </c>
      <c r="CF308" s="1018">
        <f t="shared" ca="1" si="388"/>
        <v>19.296769780386597</v>
      </c>
      <c r="CG308" s="1018">
        <f t="shared" ca="1" si="389"/>
        <v>32128.349813552461</v>
      </c>
    </row>
    <row r="309" spans="4:85" x14ac:dyDescent="0.25">
      <c r="D309" s="412"/>
      <c r="E309" s="411"/>
      <c r="F309" s="412"/>
      <c r="G309" s="411"/>
      <c r="H309" s="412"/>
      <c r="I309" s="411"/>
      <c r="J309" s="417"/>
      <c r="K309" s="412"/>
      <c r="L309" s="412"/>
      <c r="M309" s="412"/>
      <c r="N309" s="412"/>
      <c r="O309" s="412"/>
      <c r="P309" s="412"/>
      <c r="Q309" s="412" t="s">
        <v>16</v>
      </c>
      <c r="R309" s="414">
        <v>0.92569999999999997</v>
      </c>
      <c r="S309" s="412"/>
      <c r="T309" s="422">
        <v>2.5521024899796078E-4</v>
      </c>
      <c r="U309" s="411"/>
      <c r="V309" s="176">
        <f t="shared" si="436"/>
        <v>2.5521024899796078E-4</v>
      </c>
      <c r="W309" s="176">
        <f t="shared" si="448"/>
        <v>2.5521024899796078E-4</v>
      </c>
      <c r="X309" s="176">
        <f t="shared" si="448"/>
        <v>2.5521024899796078E-4</v>
      </c>
      <c r="Y309" s="34">
        <f>X309/Calculation_sheet!M$67</f>
        <v>2.5521546713610984E-4</v>
      </c>
      <c r="Z309" s="176">
        <f ca="1">IF(AN309&gt;0,Y309*Calculation_sheet!C$87,0)</f>
        <v>0</v>
      </c>
      <c r="AA309" s="176">
        <f t="shared" ca="1" si="381"/>
        <v>2.5521546713610984E-4</v>
      </c>
      <c r="AB309" s="176">
        <f ca="1">IF(AP309&gt;0,AA309*Calculation_sheet!C$94,0)</f>
        <v>0</v>
      </c>
      <c r="AC309" s="176">
        <f t="shared" ca="1" si="437"/>
        <v>2.5521546713610984E-4</v>
      </c>
      <c r="AD309" s="958">
        <f ca="1">AC309*Calculation_sheet!C$99</f>
        <v>1.5312928028166591E-4</v>
      </c>
      <c r="AE309" s="176">
        <f t="shared" ca="1" si="437"/>
        <v>1.0208618685444393E-4</v>
      </c>
      <c r="AF309" s="176">
        <f t="shared" ca="1" si="405"/>
        <v>2.5521546713610984E-4</v>
      </c>
      <c r="AG309" s="958">
        <f ca="1">AF309*User_sheet!B$77/100</f>
        <v>0</v>
      </c>
      <c r="AH309" s="313"/>
      <c r="AI309" s="883">
        <v>103</v>
      </c>
      <c r="AJ309" s="985"/>
      <c r="AK309" s="1020">
        <f t="shared" ca="1" si="384"/>
        <v>436.13516045910467</v>
      </c>
      <c r="AL309" s="954">
        <f ca="1">AK309/'103'!I$24</f>
        <v>0.98145746376169829</v>
      </c>
      <c r="AM309" s="954">
        <f ca="1">0.8*(AK309*30+'103'!D$17*0.34*30*1)</f>
        <v>13919.597051018513</v>
      </c>
      <c r="AN309" s="954">
        <f ca="1">IF(AM309&lt;User_sheet!B$50,Y309,0)</f>
        <v>0</v>
      </c>
      <c r="AO309" s="954">
        <f ca="1">20-(User_sheet!B$57/('Freestanding '!AK309+'103'!D$17*1*0.34))</f>
        <v>10.172129300970662</v>
      </c>
      <c r="AP309" s="954">
        <f ca="1">IF(AO309&lt;User_sheet!B$59,0,BC309*AA309)</f>
        <v>2.5521546713610984E-4</v>
      </c>
      <c r="AQ309" s="985"/>
      <c r="AR309" s="883">
        <v>0.32</v>
      </c>
      <c r="AS309" s="1020">
        <v>2.41</v>
      </c>
      <c r="AT309" s="883">
        <v>1.42</v>
      </c>
      <c r="AU309" s="883">
        <v>2.75</v>
      </c>
      <c r="AV309" s="883">
        <v>3.3</v>
      </c>
      <c r="AW309" s="883">
        <v>12257.141193582425</v>
      </c>
      <c r="AX309" s="883">
        <v>75945.51234133933</v>
      </c>
      <c r="AY309" s="883">
        <v>62673.095488422703</v>
      </c>
      <c r="AZ309" s="883">
        <v>0</v>
      </c>
      <c r="BA309" s="883">
        <v>0</v>
      </c>
      <c r="BB309" s="883">
        <v>0.6</v>
      </c>
      <c r="BC309" s="888">
        <v>1</v>
      </c>
      <c r="BD309" s="889">
        <v>0</v>
      </c>
      <c r="BE309" s="889">
        <v>0</v>
      </c>
      <c r="BF309" s="890">
        <v>0</v>
      </c>
      <c r="BG309" s="883">
        <v>0</v>
      </c>
      <c r="BH309" s="883">
        <v>1</v>
      </c>
      <c r="BI309" s="890">
        <v>0</v>
      </c>
      <c r="BJ309" s="883">
        <v>1</v>
      </c>
      <c r="BK309" s="883">
        <v>0</v>
      </c>
      <c r="BL309" s="883">
        <v>0</v>
      </c>
      <c r="BM309" s="890">
        <v>0</v>
      </c>
      <c r="BN309" s="958">
        <v>7.0000000000000007E-2</v>
      </c>
      <c r="BO309" s="959">
        <v>17.100000000000001</v>
      </c>
      <c r="BP309" s="1018">
        <f t="shared" ca="1" si="438"/>
        <v>148.5</v>
      </c>
      <c r="BQ309" s="1018">
        <f t="shared" ca="1" si="439"/>
        <v>412.25249999999994</v>
      </c>
      <c r="BR309" s="1018">
        <f t="shared" ca="1" si="440"/>
        <v>148.44999999999999</v>
      </c>
      <c r="BS309" s="1018">
        <f t="shared" ca="1" si="441"/>
        <v>100.98500000000001</v>
      </c>
      <c r="BT309" s="1018">
        <f t="shared" ca="1" si="442"/>
        <v>148.5</v>
      </c>
      <c r="BU309" s="1018">
        <f t="shared" ca="1" si="443"/>
        <v>46.489999999999995</v>
      </c>
      <c r="BV309" s="1018">
        <f t="shared" ca="1" si="444"/>
        <v>2.15</v>
      </c>
      <c r="BW309" s="1018">
        <v>0</v>
      </c>
      <c r="BX309" s="1018">
        <f t="shared" ca="1" si="445"/>
        <v>45.00757958564931</v>
      </c>
      <c r="BY309" s="1018">
        <f t="shared" ca="1" si="446"/>
        <v>171.66405294836832</v>
      </c>
      <c r="BZ309" s="1018">
        <f t="shared" ca="1" si="385"/>
        <v>55.84241921677723</v>
      </c>
      <c r="CA309" s="1018">
        <f t="shared" ca="1" si="386"/>
        <v>127.84749992968388</v>
      </c>
      <c r="CB309" s="1018">
        <f t="shared" ca="1" si="447"/>
        <v>4.5133587786259541</v>
      </c>
      <c r="CC309" s="1018">
        <f t="shared" si="387"/>
        <v>0</v>
      </c>
      <c r="CD309" s="1018">
        <f t="shared" ca="1" si="449"/>
        <v>436.13516045910467</v>
      </c>
      <c r="CE309" s="1018">
        <f t="shared" ca="1" si="402"/>
        <v>207.09049888711516</v>
      </c>
      <c r="CF309" s="1018">
        <f t="shared" ca="1" si="388"/>
        <v>19.296769780386597</v>
      </c>
      <c r="CG309" s="1018">
        <f t="shared" ca="1" si="389"/>
        <v>32128.349813552461</v>
      </c>
    </row>
    <row r="310" spans="4:85" x14ac:dyDescent="0.25">
      <c r="D310" s="412"/>
      <c r="E310" s="411"/>
      <c r="F310" s="412"/>
      <c r="G310" s="411"/>
      <c r="H310" s="412"/>
      <c r="I310" s="411"/>
      <c r="J310" s="417"/>
      <c r="K310" s="412"/>
      <c r="L310" s="412"/>
      <c r="M310" s="412" t="s">
        <v>16</v>
      </c>
      <c r="N310" s="414">
        <v>0.41099999999999998</v>
      </c>
      <c r="O310" s="412" t="s">
        <v>19</v>
      </c>
      <c r="P310" s="414">
        <v>0.108433735</v>
      </c>
      <c r="Q310" s="412" t="s">
        <v>7</v>
      </c>
      <c r="R310" s="414">
        <v>7.4300000000000005E-2</v>
      </c>
      <c r="S310" s="412"/>
      <c r="T310" s="422">
        <v>2.0484089338390936E-5</v>
      </c>
      <c r="U310" s="411"/>
      <c r="V310" s="176">
        <f t="shared" si="436"/>
        <v>2.0484089338390936E-5</v>
      </c>
      <c r="W310" s="176">
        <f t="shared" si="448"/>
        <v>2.0484089338390936E-5</v>
      </c>
      <c r="X310" s="176">
        <f t="shared" si="448"/>
        <v>2.0484089338390936E-5</v>
      </c>
      <c r="Y310" s="34">
        <f>X310/Calculation_sheet!M$67</f>
        <v>2.0484508164862229E-5</v>
      </c>
      <c r="Z310" s="176">
        <f ca="1">IF(AN310&gt;0,Y310*Calculation_sheet!C$87,0)</f>
        <v>0</v>
      </c>
      <c r="AA310" s="176">
        <f t="shared" ca="1" si="381"/>
        <v>2.0484508164862229E-5</v>
      </c>
      <c r="AB310" s="176">
        <f ca="1">IF(AP310&gt;0,AA310*Calculation_sheet!C$94,0)</f>
        <v>0</v>
      </c>
      <c r="AC310" s="176">
        <f t="shared" ca="1" si="437"/>
        <v>2.0484508164862229E-5</v>
      </c>
      <c r="AD310" s="958">
        <f ca="1">AC310*Calculation_sheet!C$99</f>
        <v>1.2290704898917337E-5</v>
      </c>
      <c r="AE310" s="176">
        <f t="shared" ca="1" si="437"/>
        <v>8.193803265944892E-6</v>
      </c>
      <c r="AF310" s="176">
        <f t="shared" ca="1" si="405"/>
        <v>2.0484508164862229E-5</v>
      </c>
      <c r="AG310" s="958">
        <f ca="1">AF310*User_sheet!B$77/100</f>
        <v>0</v>
      </c>
      <c r="AH310" s="313"/>
      <c r="AI310" s="883">
        <v>103</v>
      </c>
      <c r="AJ310" s="985"/>
      <c r="AK310" s="1020">
        <f t="shared" ca="1" si="384"/>
        <v>436.13516045910467</v>
      </c>
      <c r="AL310" s="954">
        <f ca="1">AK310/'103'!I$24</f>
        <v>0.98145746376169829</v>
      </c>
      <c r="AM310" s="954">
        <f ca="1">0.8*(AK310*30+'103'!D$17*0.34*30*1)</f>
        <v>13919.597051018513</v>
      </c>
      <c r="AN310" s="954">
        <f ca="1">IF(AM310&lt;User_sheet!B$50,Y310,0)</f>
        <v>0</v>
      </c>
      <c r="AO310" s="954">
        <f ca="1">20-(User_sheet!B$57/('Freestanding '!AK310+'103'!D$17*1*0.34))</f>
        <v>10.172129300970662</v>
      </c>
      <c r="AP310" s="954">
        <f ca="1">IF(AO310&lt;User_sheet!B$59,0,BC310*AA310)</f>
        <v>2.0484508164862229E-5</v>
      </c>
      <c r="AQ310" s="985"/>
      <c r="AR310" s="883">
        <v>0.32</v>
      </c>
      <c r="AS310" s="1020">
        <v>2.41</v>
      </c>
      <c r="AT310" s="883">
        <v>1.42</v>
      </c>
      <c r="AU310" s="883">
        <v>2.75</v>
      </c>
      <c r="AV310" s="883">
        <v>3.3</v>
      </c>
      <c r="AW310" s="883">
        <v>12257.141193582425</v>
      </c>
      <c r="AX310" s="883">
        <v>75945.51234133933</v>
      </c>
      <c r="AY310" s="883">
        <v>62673.095488422703</v>
      </c>
      <c r="AZ310" s="883">
        <v>0</v>
      </c>
      <c r="BA310" s="883">
        <v>0</v>
      </c>
      <c r="BB310" s="883">
        <v>0.6</v>
      </c>
      <c r="BC310" s="888">
        <v>1</v>
      </c>
      <c r="BD310" s="889">
        <v>0</v>
      </c>
      <c r="BE310" s="889">
        <v>0</v>
      </c>
      <c r="BF310" s="890">
        <v>0</v>
      </c>
      <c r="BG310" s="883">
        <v>0</v>
      </c>
      <c r="BH310" s="883">
        <v>1</v>
      </c>
      <c r="BI310" s="890">
        <v>0</v>
      </c>
      <c r="BJ310" s="883">
        <v>0</v>
      </c>
      <c r="BK310" s="883">
        <v>0</v>
      </c>
      <c r="BL310" s="883">
        <v>1</v>
      </c>
      <c r="BM310" s="890">
        <v>0</v>
      </c>
      <c r="BN310" s="958">
        <v>7.0000000000000007E-2</v>
      </c>
      <c r="BO310" s="959">
        <v>17.100000000000001</v>
      </c>
      <c r="BP310" s="1018">
        <f t="shared" ca="1" si="438"/>
        <v>148.5</v>
      </c>
      <c r="BQ310" s="1018">
        <f t="shared" ca="1" si="439"/>
        <v>412.25249999999994</v>
      </c>
      <c r="BR310" s="1018">
        <f t="shared" ca="1" si="440"/>
        <v>148.44999999999999</v>
      </c>
      <c r="BS310" s="1018">
        <f t="shared" ca="1" si="441"/>
        <v>100.98500000000001</v>
      </c>
      <c r="BT310" s="1018">
        <f t="shared" ca="1" si="442"/>
        <v>148.5</v>
      </c>
      <c r="BU310" s="1018">
        <f t="shared" ca="1" si="443"/>
        <v>46.489999999999995</v>
      </c>
      <c r="BV310" s="1018">
        <f t="shared" ca="1" si="444"/>
        <v>2.15</v>
      </c>
      <c r="BW310" s="1018">
        <v>0</v>
      </c>
      <c r="BX310" s="1018">
        <f t="shared" ca="1" si="445"/>
        <v>45.00757958564931</v>
      </c>
      <c r="BY310" s="1018">
        <f t="shared" ca="1" si="446"/>
        <v>171.66405294836832</v>
      </c>
      <c r="BZ310" s="1018">
        <f t="shared" ca="1" si="385"/>
        <v>55.84241921677723</v>
      </c>
      <c r="CA310" s="1018">
        <f t="shared" ca="1" si="386"/>
        <v>127.84749992968388</v>
      </c>
      <c r="CB310" s="1018">
        <f t="shared" ca="1" si="447"/>
        <v>4.5133587786259541</v>
      </c>
      <c r="CC310" s="1018">
        <f t="shared" si="387"/>
        <v>0</v>
      </c>
      <c r="CD310" s="1018">
        <f t="shared" ca="1" si="449"/>
        <v>436.13516045910467</v>
      </c>
      <c r="CE310" s="1018">
        <f t="shared" ca="1" si="402"/>
        <v>207.09049888711516</v>
      </c>
      <c r="CF310" s="1018">
        <f t="shared" ca="1" si="388"/>
        <v>19.296769780386597</v>
      </c>
      <c r="CG310" s="1018">
        <f t="shared" ca="1" si="389"/>
        <v>32128.349813552461</v>
      </c>
    </row>
    <row r="311" spans="4:85" x14ac:dyDescent="0.25">
      <c r="D311" s="412"/>
      <c r="E311" s="411"/>
      <c r="F311" s="412"/>
      <c r="G311" s="411"/>
      <c r="H311" s="412"/>
      <c r="I311" s="411"/>
      <c r="J311" s="417"/>
      <c r="K311" s="412"/>
      <c r="L311" s="412"/>
      <c r="M311" s="412"/>
      <c r="N311" s="412"/>
      <c r="O311" s="412"/>
      <c r="P311" s="412"/>
      <c r="Q311" s="412" t="s">
        <v>22</v>
      </c>
      <c r="R311" s="414">
        <v>0.60750000000000004</v>
      </c>
      <c r="S311" s="412"/>
      <c r="T311" s="422">
        <v>1.6673921128091669E-3</v>
      </c>
      <c r="U311" s="411"/>
      <c r="V311" s="176">
        <f t="shared" si="436"/>
        <v>1.6673921128091669E-3</v>
      </c>
      <c r="W311" s="176">
        <f t="shared" si="448"/>
        <v>1.6673921128091669E-3</v>
      </c>
      <c r="X311" s="176">
        <f t="shared" si="448"/>
        <v>1.6673921128091669E-3</v>
      </c>
      <c r="Y311" s="34">
        <f>X311/Calculation_sheet!M$67</f>
        <v>1.6674262050230474E-3</v>
      </c>
      <c r="Z311" s="176">
        <f ca="1">IF(AN311&gt;0,Y311*Calculation_sheet!C$87,0)</f>
        <v>0</v>
      </c>
      <c r="AA311" s="176">
        <f t="shared" ca="1" si="381"/>
        <v>1.6674262050230474E-3</v>
      </c>
      <c r="AB311" s="176">
        <f ca="1">IF(AP311&gt;0,AA311*Calculation_sheet!C$94,0)</f>
        <v>0</v>
      </c>
      <c r="AC311" s="176">
        <f t="shared" ca="1" si="437"/>
        <v>1.6674262050230474E-3</v>
      </c>
      <c r="AD311" s="958">
        <f ca="1">AC311*Calculation_sheet!C$99</f>
        <v>1.0004557230138284E-3</v>
      </c>
      <c r="AE311" s="176">
        <f t="shared" ca="1" si="437"/>
        <v>6.6697048200921902E-4</v>
      </c>
      <c r="AF311" s="176">
        <f t="shared" ca="1" si="405"/>
        <v>1.6674262050230474E-3</v>
      </c>
      <c r="AG311" s="958">
        <f ca="1">AF311*User_sheet!B$77/100</f>
        <v>0</v>
      </c>
      <c r="AH311" s="313"/>
      <c r="AI311" s="883">
        <v>103</v>
      </c>
      <c r="AJ311" s="985"/>
      <c r="AK311" s="1020">
        <f t="shared" ca="1" si="384"/>
        <v>436.13516045910467</v>
      </c>
      <c r="AL311" s="954">
        <f ca="1">AK311/'103'!I$24</f>
        <v>0.98145746376169829</v>
      </c>
      <c r="AM311" s="954">
        <f ca="1">0.8*(AK311*30+'103'!D$17*0.34*30*1)</f>
        <v>13919.597051018513</v>
      </c>
      <c r="AN311" s="954">
        <f ca="1">IF(AM311&lt;User_sheet!B$50,Y311,0)</f>
        <v>0</v>
      </c>
      <c r="AO311" s="954">
        <f ca="1">20-(User_sheet!B$57/('Freestanding '!AK311+'103'!D$17*1*0.34))</f>
        <v>10.172129300970662</v>
      </c>
      <c r="AP311" s="954">
        <f ca="1">IF(AO311&lt;User_sheet!B$59,0,BC311*AA311)</f>
        <v>0</v>
      </c>
      <c r="AQ311" s="985"/>
      <c r="AR311" s="883">
        <v>0.32</v>
      </c>
      <c r="AS311" s="1020">
        <v>2.41</v>
      </c>
      <c r="AT311" s="883">
        <v>1.42</v>
      </c>
      <c r="AU311" s="883">
        <v>2.75</v>
      </c>
      <c r="AV311" s="883">
        <v>3.3</v>
      </c>
      <c r="AW311" s="883">
        <v>12257.141193582425</v>
      </c>
      <c r="AX311" s="883">
        <v>75945.51234133933</v>
      </c>
      <c r="AY311" s="883">
        <v>62673.095488422703</v>
      </c>
      <c r="AZ311" s="883">
        <v>0</v>
      </c>
      <c r="BA311" s="883">
        <v>0</v>
      </c>
      <c r="BB311" s="883">
        <v>0.6</v>
      </c>
      <c r="BC311" s="888">
        <v>0</v>
      </c>
      <c r="BD311" s="889">
        <v>1</v>
      </c>
      <c r="BE311" s="889">
        <v>0</v>
      </c>
      <c r="BF311" s="890">
        <v>0</v>
      </c>
      <c r="BG311" s="883">
        <v>1</v>
      </c>
      <c r="BH311" s="883">
        <v>0</v>
      </c>
      <c r="BI311" s="890">
        <v>0</v>
      </c>
      <c r="BJ311" s="883">
        <v>0</v>
      </c>
      <c r="BK311" s="883">
        <v>1</v>
      </c>
      <c r="BL311" s="883">
        <v>0</v>
      </c>
      <c r="BM311" s="890">
        <v>0</v>
      </c>
      <c r="BN311" s="958">
        <v>7.0000000000000007E-2</v>
      </c>
      <c r="BO311" s="959">
        <v>17.100000000000001</v>
      </c>
      <c r="BP311" s="1018">
        <f t="shared" ca="1" si="438"/>
        <v>148.5</v>
      </c>
      <c r="BQ311" s="1018">
        <f t="shared" ca="1" si="439"/>
        <v>412.25249999999994</v>
      </c>
      <c r="BR311" s="1018">
        <f t="shared" ca="1" si="440"/>
        <v>148.44999999999999</v>
      </c>
      <c r="BS311" s="1018">
        <f t="shared" ca="1" si="441"/>
        <v>100.98500000000001</v>
      </c>
      <c r="BT311" s="1018">
        <f t="shared" ca="1" si="442"/>
        <v>148.5</v>
      </c>
      <c r="BU311" s="1018">
        <f t="shared" ca="1" si="443"/>
        <v>46.489999999999995</v>
      </c>
      <c r="BV311" s="1018">
        <f t="shared" ca="1" si="444"/>
        <v>2.15</v>
      </c>
      <c r="BW311" s="1018">
        <v>0</v>
      </c>
      <c r="BX311" s="1018">
        <f t="shared" ca="1" si="445"/>
        <v>45.00757958564931</v>
      </c>
      <c r="BY311" s="1018">
        <f t="shared" ca="1" si="446"/>
        <v>171.66405294836832</v>
      </c>
      <c r="BZ311" s="1018">
        <f t="shared" ca="1" si="385"/>
        <v>55.84241921677723</v>
      </c>
      <c r="CA311" s="1018">
        <f t="shared" ca="1" si="386"/>
        <v>127.84749992968388</v>
      </c>
      <c r="CB311" s="1018">
        <f t="shared" ca="1" si="447"/>
        <v>4.5133587786259541</v>
      </c>
      <c r="CC311" s="1018">
        <f t="shared" si="387"/>
        <v>0</v>
      </c>
      <c r="CD311" s="1018">
        <f t="shared" ca="1" si="449"/>
        <v>436.13516045910467</v>
      </c>
      <c r="CE311" s="1018">
        <f t="shared" ca="1" si="402"/>
        <v>207.09049888711516</v>
      </c>
      <c r="CF311" s="1018">
        <f t="shared" ca="1" si="388"/>
        <v>19.296769780386597</v>
      </c>
      <c r="CG311" s="1018">
        <f t="shared" ca="1" si="389"/>
        <v>32128.349813552461</v>
      </c>
    </row>
    <row r="312" spans="4:85" x14ac:dyDescent="0.25">
      <c r="D312" s="412"/>
      <c r="E312" s="411"/>
      <c r="F312" s="412"/>
      <c r="G312" s="411"/>
      <c r="H312" s="412"/>
      <c r="I312" s="411"/>
      <c r="J312" s="417"/>
      <c r="K312" s="412"/>
      <c r="L312" s="412"/>
      <c r="M312" s="412"/>
      <c r="N312" s="412"/>
      <c r="O312" s="412" t="s">
        <v>18</v>
      </c>
      <c r="P312" s="414">
        <v>0.94399999999999995</v>
      </c>
      <c r="Q312" s="412" t="s">
        <v>7</v>
      </c>
      <c r="R312" s="414">
        <v>0.39250000000000002</v>
      </c>
      <c r="S312" s="412"/>
      <c r="T312" s="422">
        <v>1.0772862621853463E-3</v>
      </c>
      <c r="U312" s="411"/>
      <c r="V312" s="176">
        <f t="shared" si="436"/>
        <v>1.0772862621853463E-3</v>
      </c>
      <c r="W312" s="176">
        <f t="shared" si="448"/>
        <v>1.0772862621853463E-3</v>
      </c>
      <c r="X312" s="176">
        <f t="shared" si="448"/>
        <v>1.0772862621853463E-3</v>
      </c>
      <c r="Y312" s="34">
        <f>X312/Calculation_sheet!M$67</f>
        <v>1.0773082888420511E-3</v>
      </c>
      <c r="Z312" s="176">
        <f ca="1">IF(AN312&gt;0,Y312*Calculation_sheet!C$87,0)</f>
        <v>0</v>
      </c>
      <c r="AA312" s="176">
        <f t="shared" ca="1" si="381"/>
        <v>1.0773082888420511E-3</v>
      </c>
      <c r="AB312" s="176">
        <f ca="1">IF(AP312&gt;0,AA312*Calculation_sheet!C$94,0)</f>
        <v>0</v>
      </c>
      <c r="AC312" s="176">
        <f t="shared" ca="1" si="437"/>
        <v>1.0773082888420511E-3</v>
      </c>
      <c r="AD312" s="958">
        <f ca="1">AC312*Calculation_sheet!C$99</f>
        <v>6.4638497330523064E-4</v>
      </c>
      <c r="AE312" s="176">
        <f t="shared" ca="1" si="437"/>
        <v>4.3092331553682046E-4</v>
      </c>
      <c r="AF312" s="176">
        <f t="shared" ca="1" si="405"/>
        <v>1.0773082888420511E-3</v>
      </c>
      <c r="AG312" s="958">
        <f ca="1">AF312*User_sheet!B$77/100</f>
        <v>0</v>
      </c>
      <c r="AH312" s="313"/>
      <c r="AI312" s="883">
        <v>103</v>
      </c>
      <c r="AJ312" s="985"/>
      <c r="AK312" s="1020">
        <f t="shared" ca="1" si="384"/>
        <v>436.13516045910467</v>
      </c>
      <c r="AL312" s="954">
        <f ca="1">AK312/'103'!I$24</f>
        <v>0.98145746376169829</v>
      </c>
      <c r="AM312" s="954">
        <f ca="1">0.8*(AK312*30+'103'!D$17*0.34*30*1)</f>
        <v>13919.597051018513</v>
      </c>
      <c r="AN312" s="954">
        <f ca="1">IF(AM312&lt;User_sheet!B$50,Y312,0)</f>
        <v>0</v>
      </c>
      <c r="AO312" s="954">
        <f ca="1">20-(User_sheet!B$57/('Freestanding '!AK312+'103'!D$17*1*0.34))</f>
        <v>10.172129300970662</v>
      </c>
      <c r="AP312" s="954">
        <f ca="1">IF(AO312&lt;User_sheet!B$59,0,BC312*AA312)</f>
        <v>0</v>
      </c>
      <c r="AQ312" s="985"/>
      <c r="AR312" s="883">
        <v>0.32</v>
      </c>
      <c r="AS312" s="1020">
        <v>2.41</v>
      </c>
      <c r="AT312" s="883">
        <v>1.42</v>
      </c>
      <c r="AU312" s="883">
        <v>2.75</v>
      </c>
      <c r="AV312" s="883">
        <v>3.3</v>
      </c>
      <c r="AW312" s="883">
        <v>12257.141193582425</v>
      </c>
      <c r="AX312" s="883">
        <v>75945.51234133933</v>
      </c>
      <c r="AY312" s="883">
        <v>62673.095488422703</v>
      </c>
      <c r="AZ312" s="883">
        <v>0</v>
      </c>
      <c r="BA312" s="883">
        <v>0</v>
      </c>
      <c r="BB312" s="883">
        <v>0.6</v>
      </c>
      <c r="BC312" s="888">
        <v>0</v>
      </c>
      <c r="BD312" s="889">
        <v>1</v>
      </c>
      <c r="BE312" s="889">
        <v>0</v>
      </c>
      <c r="BF312" s="890">
        <v>0</v>
      </c>
      <c r="BG312" s="883">
        <v>1</v>
      </c>
      <c r="BH312" s="883">
        <v>0</v>
      </c>
      <c r="BI312" s="890">
        <v>0</v>
      </c>
      <c r="BJ312" s="883">
        <v>0</v>
      </c>
      <c r="BK312" s="883">
        <v>0</v>
      </c>
      <c r="BL312" s="883">
        <v>1</v>
      </c>
      <c r="BM312" s="890">
        <v>0</v>
      </c>
      <c r="BN312" s="958">
        <v>7.0000000000000007E-2</v>
      </c>
      <c r="BO312" s="959">
        <v>17.100000000000001</v>
      </c>
      <c r="BP312" s="1018">
        <f t="shared" ca="1" si="438"/>
        <v>148.5</v>
      </c>
      <c r="BQ312" s="1018">
        <f t="shared" ca="1" si="439"/>
        <v>412.25249999999994</v>
      </c>
      <c r="BR312" s="1018">
        <f t="shared" ca="1" si="440"/>
        <v>148.44999999999999</v>
      </c>
      <c r="BS312" s="1018">
        <f t="shared" ca="1" si="441"/>
        <v>100.98500000000001</v>
      </c>
      <c r="BT312" s="1018">
        <f t="shared" ca="1" si="442"/>
        <v>148.5</v>
      </c>
      <c r="BU312" s="1018">
        <f t="shared" ca="1" si="443"/>
        <v>46.489999999999995</v>
      </c>
      <c r="BV312" s="1018">
        <f t="shared" ca="1" si="444"/>
        <v>2.15</v>
      </c>
      <c r="BW312" s="1018">
        <v>0</v>
      </c>
      <c r="BX312" s="1018">
        <f t="shared" ca="1" si="445"/>
        <v>45.00757958564931</v>
      </c>
      <c r="BY312" s="1018">
        <f t="shared" ca="1" si="446"/>
        <v>171.66405294836832</v>
      </c>
      <c r="BZ312" s="1018">
        <f t="shared" ca="1" si="385"/>
        <v>55.84241921677723</v>
      </c>
      <c r="CA312" s="1018">
        <f t="shared" ca="1" si="386"/>
        <v>127.84749992968388</v>
      </c>
      <c r="CB312" s="1018">
        <f t="shared" ca="1" si="447"/>
        <v>4.5133587786259541</v>
      </c>
      <c r="CC312" s="1018">
        <f t="shared" si="387"/>
        <v>0</v>
      </c>
      <c r="CD312" s="1018">
        <f t="shared" ca="1" si="449"/>
        <v>436.13516045910467</v>
      </c>
      <c r="CE312" s="1018">
        <f t="shared" ca="1" si="402"/>
        <v>207.09049888711516</v>
      </c>
      <c r="CF312" s="1018">
        <f t="shared" ca="1" si="388"/>
        <v>19.296769780386597</v>
      </c>
      <c r="CG312" s="1018">
        <f t="shared" ca="1" si="389"/>
        <v>32128.349813552461</v>
      </c>
    </row>
    <row r="313" spans="4:85" x14ac:dyDescent="0.25">
      <c r="D313" s="412"/>
      <c r="E313" s="411"/>
      <c r="F313" s="412"/>
      <c r="G313" s="411"/>
      <c r="H313" s="412"/>
      <c r="I313" s="411"/>
      <c r="J313" s="417"/>
      <c r="K313" s="412"/>
      <c r="L313" s="412"/>
      <c r="M313" s="412"/>
      <c r="N313" s="412"/>
      <c r="O313" s="412"/>
      <c r="P313" s="412"/>
      <c r="Q313" s="412" t="s">
        <v>22</v>
      </c>
      <c r="R313" s="414">
        <v>0.39250000000000002</v>
      </c>
      <c r="S313" s="412"/>
      <c r="T313" s="422">
        <v>6.3906812163537507E-5</v>
      </c>
      <c r="U313" s="411"/>
      <c r="V313" s="176">
        <f t="shared" si="436"/>
        <v>6.3906812163537507E-5</v>
      </c>
      <c r="W313" s="176">
        <f t="shared" si="448"/>
        <v>6.3906812163537507E-5</v>
      </c>
      <c r="X313" s="176">
        <f t="shared" si="448"/>
        <v>6.3906812163537507E-5</v>
      </c>
      <c r="Y313" s="34">
        <f>X313/Calculation_sheet!M$67</f>
        <v>6.3908118829613208E-5</v>
      </c>
      <c r="Z313" s="176">
        <f ca="1">IF(AN313&gt;0,Y313*Calculation_sheet!C$87,0)</f>
        <v>0</v>
      </c>
      <c r="AA313" s="176">
        <f t="shared" ca="1" si="381"/>
        <v>6.3908118829613208E-5</v>
      </c>
      <c r="AB313" s="176">
        <f ca="1">IF(AP313&gt;0,AA313*Calculation_sheet!C$94,0)</f>
        <v>0</v>
      </c>
      <c r="AC313" s="176">
        <f t="shared" ca="1" si="437"/>
        <v>6.3908118829613208E-5</v>
      </c>
      <c r="AD313" s="958">
        <f ca="1">AC313*Calculation_sheet!C$99</f>
        <v>3.8344871297767921E-5</v>
      </c>
      <c r="AE313" s="176">
        <f t="shared" ca="1" si="437"/>
        <v>2.5563247531845287E-5</v>
      </c>
      <c r="AF313" s="176">
        <f t="shared" ca="1" si="405"/>
        <v>6.3908118829613208E-5</v>
      </c>
      <c r="AG313" s="958">
        <f ca="1">AF313*User_sheet!B$77/100</f>
        <v>0</v>
      </c>
      <c r="AH313" s="313"/>
      <c r="AI313" s="883">
        <v>103</v>
      </c>
      <c r="AJ313" s="985"/>
      <c r="AK313" s="1020">
        <f t="shared" ca="1" si="384"/>
        <v>436.13516045910467</v>
      </c>
      <c r="AL313" s="954">
        <f ca="1">AK313/'103'!I$24</f>
        <v>0.98145746376169829</v>
      </c>
      <c r="AM313" s="954">
        <f ca="1">0.8*(AK313*30+'103'!D$17*0.34*30*1)</f>
        <v>13919.597051018513</v>
      </c>
      <c r="AN313" s="954">
        <f ca="1">IF(AM313&lt;User_sheet!B$50,Y313,0)</f>
        <v>0</v>
      </c>
      <c r="AO313" s="954">
        <f ca="1">20-(User_sheet!B$57/('Freestanding '!AK313+'103'!D$17*1*0.34))</f>
        <v>10.172129300970662</v>
      </c>
      <c r="AP313" s="954">
        <f ca="1">IF(AO313&lt;User_sheet!B$59,0,BC313*AA313)</f>
        <v>0</v>
      </c>
      <c r="AQ313" s="985"/>
      <c r="AR313" s="883">
        <v>0.32</v>
      </c>
      <c r="AS313" s="1020">
        <v>2.41</v>
      </c>
      <c r="AT313" s="883">
        <v>1.42</v>
      </c>
      <c r="AU313" s="883">
        <v>2.75</v>
      </c>
      <c r="AV313" s="883">
        <v>3.3</v>
      </c>
      <c r="AW313" s="883">
        <v>12257.141193582425</v>
      </c>
      <c r="AX313" s="883">
        <v>75945.51234133933</v>
      </c>
      <c r="AY313" s="883">
        <v>62673.095488422703</v>
      </c>
      <c r="AZ313" s="883">
        <v>0</v>
      </c>
      <c r="BA313" s="883">
        <v>0</v>
      </c>
      <c r="BB313" s="883">
        <v>0.6</v>
      </c>
      <c r="BC313" s="888">
        <v>0</v>
      </c>
      <c r="BD313" s="889">
        <v>1</v>
      </c>
      <c r="BE313" s="889">
        <v>0</v>
      </c>
      <c r="BF313" s="890">
        <v>0</v>
      </c>
      <c r="BG313" s="883">
        <v>0</v>
      </c>
      <c r="BH313" s="883">
        <v>1</v>
      </c>
      <c r="BI313" s="890">
        <v>0</v>
      </c>
      <c r="BJ313" s="883">
        <v>0</v>
      </c>
      <c r="BK313" s="883">
        <v>1</v>
      </c>
      <c r="BL313" s="883">
        <v>0</v>
      </c>
      <c r="BM313" s="890">
        <v>0</v>
      </c>
      <c r="BN313" s="958">
        <v>7.0000000000000007E-2</v>
      </c>
      <c r="BO313" s="959">
        <v>17.100000000000001</v>
      </c>
      <c r="BP313" s="1018">
        <f t="shared" ca="1" si="438"/>
        <v>148.5</v>
      </c>
      <c r="BQ313" s="1018">
        <f t="shared" ca="1" si="439"/>
        <v>412.25249999999994</v>
      </c>
      <c r="BR313" s="1018">
        <f t="shared" ca="1" si="440"/>
        <v>148.44999999999999</v>
      </c>
      <c r="BS313" s="1018">
        <f t="shared" ca="1" si="441"/>
        <v>100.98500000000001</v>
      </c>
      <c r="BT313" s="1018">
        <f t="shared" ca="1" si="442"/>
        <v>148.5</v>
      </c>
      <c r="BU313" s="1018">
        <f t="shared" ca="1" si="443"/>
        <v>46.489999999999995</v>
      </c>
      <c r="BV313" s="1018">
        <f t="shared" ca="1" si="444"/>
        <v>2.15</v>
      </c>
      <c r="BW313" s="1018">
        <v>0</v>
      </c>
      <c r="BX313" s="1018">
        <f t="shared" ca="1" si="445"/>
        <v>45.00757958564931</v>
      </c>
      <c r="BY313" s="1018">
        <f t="shared" ca="1" si="446"/>
        <v>171.66405294836832</v>
      </c>
      <c r="BZ313" s="1018">
        <f t="shared" ca="1" si="385"/>
        <v>55.84241921677723</v>
      </c>
      <c r="CA313" s="1018">
        <f t="shared" ca="1" si="386"/>
        <v>127.84749992968388</v>
      </c>
      <c r="CB313" s="1018">
        <f t="shared" ca="1" si="447"/>
        <v>4.5133587786259541</v>
      </c>
      <c r="CC313" s="1018">
        <f t="shared" si="387"/>
        <v>0</v>
      </c>
      <c r="CD313" s="1018">
        <f t="shared" ca="1" si="449"/>
        <v>436.13516045910467</v>
      </c>
      <c r="CE313" s="1018">
        <f t="shared" ca="1" si="402"/>
        <v>207.09049888711516</v>
      </c>
      <c r="CF313" s="1018">
        <f t="shared" ca="1" si="388"/>
        <v>19.296769780386597</v>
      </c>
      <c r="CG313" s="1018">
        <f t="shared" ca="1" si="389"/>
        <v>32128.349813552461</v>
      </c>
    </row>
    <row r="314" spans="4:85" x14ac:dyDescent="0.25">
      <c r="D314" s="412"/>
      <c r="E314" s="411"/>
      <c r="F314" s="412"/>
      <c r="G314" s="411"/>
      <c r="H314" s="412"/>
      <c r="I314" s="411"/>
      <c r="J314" s="412"/>
      <c r="K314" s="412"/>
      <c r="L314" s="412"/>
      <c r="M314" s="412" t="s">
        <v>22</v>
      </c>
      <c r="N314" s="414">
        <v>0.47</v>
      </c>
      <c r="O314" s="412" t="s">
        <v>20</v>
      </c>
      <c r="P314" s="414">
        <v>5.6000000000000001E-2</v>
      </c>
      <c r="Q314" s="412" t="s">
        <v>7</v>
      </c>
      <c r="R314" s="414">
        <v>0.60750000000000004</v>
      </c>
      <c r="S314" s="412"/>
      <c r="T314" s="422">
        <v>9.8913091437831949E-5</v>
      </c>
      <c r="U314" s="411"/>
      <c r="V314" s="176">
        <f t="shared" si="436"/>
        <v>9.8913091437831949E-5</v>
      </c>
      <c r="W314" s="176">
        <f t="shared" si="448"/>
        <v>9.8913091437831949E-5</v>
      </c>
      <c r="X314" s="176">
        <f t="shared" si="448"/>
        <v>9.8913091437831949E-5</v>
      </c>
      <c r="Y314" s="34">
        <f>X314/Calculation_sheet!M$67</f>
        <v>9.8915113857299427E-5</v>
      </c>
      <c r="Z314" s="176">
        <f ca="1">IF(AN314&gt;0,Y314*Calculation_sheet!C$87,0)</f>
        <v>0</v>
      </c>
      <c r="AA314" s="176">
        <f t="shared" ca="1" si="381"/>
        <v>9.8915113857299427E-5</v>
      </c>
      <c r="AB314" s="176">
        <f ca="1">IF(AP314&gt;0,AA314*Calculation_sheet!C$94,0)</f>
        <v>0</v>
      </c>
      <c r="AC314" s="176">
        <f t="shared" ca="1" si="437"/>
        <v>9.8915113857299427E-5</v>
      </c>
      <c r="AD314" s="958">
        <f ca="1">AC314*Calculation_sheet!C$99</f>
        <v>5.9349068314379656E-5</v>
      </c>
      <c r="AE314" s="176">
        <f t="shared" ca="1" si="437"/>
        <v>3.9566045542919771E-5</v>
      </c>
      <c r="AF314" s="176">
        <f t="shared" ca="1" si="405"/>
        <v>9.8915113857299427E-5</v>
      </c>
      <c r="AG314" s="958">
        <f ca="1">AF314*User_sheet!B$77/100</f>
        <v>0</v>
      </c>
      <c r="AH314" s="313"/>
      <c r="AI314" s="883">
        <v>103</v>
      </c>
      <c r="AJ314" s="985"/>
      <c r="AK314" s="1020">
        <f t="shared" ca="1" si="384"/>
        <v>436.13516045910467</v>
      </c>
      <c r="AL314" s="954">
        <f ca="1">AK314/'103'!I$24</f>
        <v>0.98145746376169829</v>
      </c>
      <c r="AM314" s="954">
        <f ca="1">0.8*(AK314*30+'103'!D$17*0.34*30*1)</f>
        <v>13919.597051018513</v>
      </c>
      <c r="AN314" s="954">
        <f ca="1">IF(AM314&lt;User_sheet!B$50,Y314,0)</f>
        <v>0</v>
      </c>
      <c r="AO314" s="954">
        <f ca="1">20-(User_sheet!B$57/('Freestanding '!AK314+'103'!D$17*1*0.34))</f>
        <v>10.172129300970662</v>
      </c>
      <c r="AP314" s="954">
        <f ca="1">IF(AO314&lt;User_sheet!B$59,0,BC314*AA314)</f>
        <v>0</v>
      </c>
      <c r="AQ314" s="985"/>
      <c r="AR314" s="883">
        <v>0.32</v>
      </c>
      <c r="AS314" s="1020">
        <v>2.41</v>
      </c>
      <c r="AT314" s="883">
        <v>1.42</v>
      </c>
      <c r="AU314" s="883">
        <v>2.75</v>
      </c>
      <c r="AV314" s="883">
        <v>3.3</v>
      </c>
      <c r="AW314" s="883">
        <v>12257.141193582425</v>
      </c>
      <c r="AX314" s="883">
        <v>75945.51234133933</v>
      </c>
      <c r="AY314" s="883">
        <v>62673.095488422703</v>
      </c>
      <c r="AZ314" s="883">
        <v>0</v>
      </c>
      <c r="BA314" s="883">
        <v>0</v>
      </c>
      <c r="BB314" s="883">
        <v>0.6</v>
      </c>
      <c r="BC314" s="888">
        <v>0</v>
      </c>
      <c r="BD314" s="889">
        <v>1</v>
      </c>
      <c r="BE314" s="889">
        <v>0</v>
      </c>
      <c r="BF314" s="890">
        <v>0</v>
      </c>
      <c r="BG314" s="883">
        <v>0</v>
      </c>
      <c r="BH314" s="883">
        <v>1</v>
      </c>
      <c r="BI314" s="890">
        <v>0</v>
      </c>
      <c r="BJ314" s="883">
        <v>0</v>
      </c>
      <c r="BK314" s="883">
        <v>0</v>
      </c>
      <c r="BL314" s="883">
        <v>1</v>
      </c>
      <c r="BM314" s="890">
        <v>0</v>
      </c>
      <c r="BN314" s="958">
        <v>7.0000000000000007E-2</v>
      </c>
      <c r="BO314" s="959">
        <v>17.100000000000001</v>
      </c>
      <c r="BP314" s="1018">
        <f t="shared" ca="1" si="438"/>
        <v>148.5</v>
      </c>
      <c r="BQ314" s="1018">
        <f t="shared" ca="1" si="439"/>
        <v>412.25249999999994</v>
      </c>
      <c r="BR314" s="1018">
        <f t="shared" ca="1" si="440"/>
        <v>148.44999999999999</v>
      </c>
      <c r="BS314" s="1018">
        <f t="shared" ca="1" si="441"/>
        <v>100.98500000000001</v>
      </c>
      <c r="BT314" s="1018">
        <f t="shared" ca="1" si="442"/>
        <v>148.5</v>
      </c>
      <c r="BU314" s="1018">
        <f t="shared" ca="1" si="443"/>
        <v>46.489999999999995</v>
      </c>
      <c r="BV314" s="1018">
        <f t="shared" ca="1" si="444"/>
        <v>2.15</v>
      </c>
      <c r="BW314" s="1018">
        <v>0</v>
      </c>
      <c r="BX314" s="1018">
        <f t="shared" ca="1" si="445"/>
        <v>45.00757958564931</v>
      </c>
      <c r="BY314" s="1018">
        <f t="shared" ca="1" si="446"/>
        <v>171.66405294836832</v>
      </c>
      <c r="BZ314" s="1018">
        <f t="shared" ca="1" si="385"/>
        <v>55.84241921677723</v>
      </c>
      <c r="CA314" s="1018">
        <f t="shared" ca="1" si="386"/>
        <v>127.84749992968388</v>
      </c>
      <c r="CB314" s="1018">
        <f t="shared" ca="1" si="447"/>
        <v>4.5133587786259541</v>
      </c>
      <c r="CC314" s="1018">
        <f t="shared" si="387"/>
        <v>0</v>
      </c>
      <c r="CD314" s="1018">
        <f t="shared" ca="1" si="449"/>
        <v>436.13516045910467</v>
      </c>
      <c r="CE314" s="1018">
        <f t="shared" ca="1" si="402"/>
        <v>207.09049888711516</v>
      </c>
      <c r="CF314" s="1018">
        <f t="shared" ca="1" si="388"/>
        <v>19.296769780386597</v>
      </c>
      <c r="CG314" s="1018">
        <f t="shared" ca="1" si="389"/>
        <v>32128.349813552461</v>
      </c>
    </row>
    <row r="315" spans="4:85" x14ac:dyDescent="0.25">
      <c r="D315" s="412"/>
      <c r="E315" s="411"/>
      <c r="F315" s="412"/>
      <c r="G315" s="411"/>
      <c r="H315" s="412"/>
      <c r="I315" s="411"/>
      <c r="J315" s="412"/>
      <c r="K315" s="415" t="s">
        <v>13</v>
      </c>
      <c r="L315" s="416">
        <v>1</v>
      </c>
      <c r="M315" s="412" t="s">
        <v>7</v>
      </c>
      <c r="N315" s="414">
        <v>0.11900000000000005</v>
      </c>
      <c r="O315" s="412" t="s">
        <v>23</v>
      </c>
      <c r="P315" s="414">
        <v>1</v>
      </c>
      <c r="Q315" s="412" t="s">
        <v>7</v>
      </c>
      <c r="R315" s="414">
        <v>1</v>
      </c>
      <c r="S315" s="412"/>
      <c r="T315" s="422">
        <v>7.3615381947427687E-4</v>
      </c>
      <c r="U315" s="411"/>
      <c r="V315" s="176">
        <f t="shared" si="436"/>
        <v>7.3615381947427687E-4</v>
      </c>
      <c r="W315" s="176">
        <f t="shared" si="448"/>
        <v>7.3615381947427687E-4</v>
      </c>
      <c r="X315" s="176">
        <f t="shared" si="448"/>
        <v>7.3615381947427687E-4</v>
      </c>
      <c r="Y315" s="34">
        <f>X315/Calculation_sheet!M$67</f>
        <v>7.3616887119082851E-4</v>
      </c>
      <c r="Z315" s="176">
        <f ca="1">IF(AN315&gt;0,Y315*Calculation_sheet!C$87,0)</f>
        <v>0</v>
      </c>
      <c r="AA315" s="176">
        <f t="shared" ca="1" si="381"/>
        <v>7.3616887119082851E-4</v>
      </c>
      <c r="AB315" s="176">
        <f ca="1">IF(AP315&gt;0,AA315*Calculation_sheet!C$94,0)</f>
        <v>0</v>
      </c>
      <c r="AC315" s="176">
        <f t="shared" ca="1" si="437"/>
        <v>7.3616887119082851E-4</v>
      </c>
      <c r="AD315" s="958">
        <f ca="1">AC315*Calculation_sheet!C$99</f>
        <v>4.4170132271449707E-4</v>
      </c>
      <c r="AE315" s="176">
        <f t="shared" ca="1" si="437"/>
        <v>2.9446754847633143E-4</v>
      </c>
      <c r="AF315" s="176">
        <f t="shared" ca="1" si="405"/>
        <v>7.3616887119082851E-4</v>
      </c>
      <c r="AG315" s="958">
        <f ca="1">AF315*User_sheet!B$77/100</f>
        <v>0</v>
      </c>
      <c r="AH315" s="313"/>
      <c r="AI315" s="883">
        <v>103</v>
      </c>
      <c r="AJ315" s="985"/>
      <c r="AK315" s="1020">
        <f t="shared" ca="1" si="384"/>
        <v>436.13516045910467</v>
      </c>
      <c r="AL315" s="954">
        <f ca="1">AK315/'103'!I$24</f>
        <v>0.98145746376169829</v>
      </c>
      <c r="AM315" s="954">
        <f ca="1">0.8*(AK315*30+'103'!D$17*0.34*30*1)</f>
        <v>13919.597051018513</v>
      </c>
      <c r="AN315" s="954">
        <f ca="1">IF(AM315&lt;User_sheet!B$50,Y315,0)</f>
        <v>0</v>
      </c>
      <c r="AO315" s="954">
        <f ca="1">20-(User_sheet!B$57/('Freestanding '!AK315+'103'!D$17*1*0.34))</f>
        <v>10.172129300970662</v>
      </c>
      <c r="AP315" s="954">
        <f ca="1">IF(AO315&lt;User_sheet!B$59,0,BC315*AA315)</f>
        <v>0</v>
      </c>
      <c r="AQ315" s="985"/>
      <c r="AR315" s="883">
        <v>0.32</v>
      </c>
      <c r="AS315" s="1020">
        <v>2.41</v>
      </c>
      <c r="AT315" s="883">
        <v>1.42</v>
      </c>
      <c r="AU315" s="883">
        <v>2.75</v>
      </c>
      <c r="AV315" s="883">
        <v>3.3</v>
      </c>
      <c r="AW315" s="883">
        <v>12257.141193582425</v>
      </c>
      <c r="AX315" s="883">
        <v>75945.51234133933</v>
      </c>
      <c r="AY315" s="883">
        <v>62673.095488422703</v>
      </c>
      <c r="AZ315" s="883">
        <v>0</v>
      </c>
      <c r="BA315" s="883">
        <v>0</v>
      </c>
      <c r="BB315" s="883">
        <v>0.6</v>
      </c>
      <c r="BC315" s="888">
        <v>0</v>
      </c>
      <c r="BD315" s="889">
        <v>0</v>
      </c>
      <c r="BE315" s="889">
        <v>1</v>
      </c>
      <c r="BF315" s="890">
        <v>0</v>
      </c>
      <c r="BG315" s="883">
        <v>0</v>
      </c>
      <c r="BH315" s="883">
        <v>0</v>
      </c>
      <c r="BI315" s="890">
        <v>1</v>
      </c>
      <c r="BJ315" s="883">
        <v>0</v>
      </c>
      <c r="BK315" s="883">
        <v>0</v>
      </c>
      <c r="BL315" s="883">
        <v>1</v>
      </c>
      <c r="BM315" s="890">
        <v>0</v>
      </c>
      <c r="BN315" s="958">
        <v>7.0000000000000007E-2</v>
      </c>
      <c r="BO315" s="959">
        <v>17.100000000000001</v>
      </c>
      <c r="BP315" s="1018">
        <f t="shared" ca="1" si="438"/>
        <v>148.5</v>
      </c>
      <c r="BQ315" s="1018">
        <f t="shared" ca="1" si="439"/>
        <v>412.25249999999994</v>
      </c>
      <c r="BR315" s="1018">
        <f t="shared" ca="1" si="440"/>
        <v>148.44999999999999</v>
      </c>
      <c r="BS315" s="1018">
        <f t="shared" ca="1" si="441"/>
        <v>100.98500000000001</v>
      </c>
      <c r="BT315" s="1018">
        <f t="shared" ca="1" si="442"/>
        <v>148.5</v>
      </c>
      <c r="BU315" s="1018">
        <f t="shared" ca="1" si="443"/>
        <v>46.489999999999995</v>
      </c>
      <c r="BV315" s="1018">
        <f t="shared" ca="1" si="444"/>
        <v>2.15</v>
      </c>
      <c r="BW315" s="1018">
        <v>0</v>
      </c>
      <c r="BX315" s="1018">
        <f t="shared" ca="1" si="445"/>
        <v>45.00757958564931</v>
      </c>
      <c r="BY315" s="1018">
        <f t="shared" ca="1" si="446"/>
        <v>171.66405294836832</v>
      </c>
      <c r="BZ315" s="1018">
        <f t="shared" ca="1" si="385"/>
        <v>55.84241921677723</v>
      </c>
      <c r="CA315" s="1018">
        <f t="shared" ca="1" si="386"/>
        <v>127.84749992968388</v>
      </c>
      <c r="CB315" s="1018">
        <f t="shared" ca="1" si="447"/>
        <v>4.5133587786259541</v>
      </c>
      <c r="CC315" s="1018">
        <f t="shared" si="387"/>
        <v>0</v>
      </c>
      <c r="CD315" s="1018">
        <f t="shared" ca="1" si="449"/>
        <v>436.13516045910467</v>
      </c>
      <c r="CE315" s="1018">
        <f t="shared" ca="1" si="402"/>
        <v>207.09049888711516</v>
      </c>
      <c r="CF315" s="1018">
        <f t="shared" ca="1" si="388"/>
        <v>19.296769780386597</v>
      </c>
      <c r="CG315" s="1018">
        <f t="shared" ca="1" si="389"/>
        <v>32128.349813552461</v>
      </c>
    </row>
    <row r="316" spans="4:85" s="14" customFormat="1" x14ac:dyDescent="0.25">
      <c r="D316" s="420"/>
      <c r="E316" s="419"/>
      <c r="F316" s="420"/>
      <c r="G316" s="419"/>
      <c r="H316" s="420"/>
      <c r="I316" s="419"/>
      <c r="J316" s="420"/>
      <c r="K316" s="421"/>
      <c r="L316" s="420"/>
      <c r="M316" s="420"/>
      <c r="N316" s="420"/>
      <c r="O316" s="420"/>
      <c r="P316" s="420"/>
      <c r="Q316" s="420"/>
      <c r="R316" s="420"/>
      <c r="S316" s="420"/>
      <c r="T316" s="423"/>
      <c r="U316" s="419"/>
      <c r="V316" s="292"/>
      <c r="W316" s="292"/>
      <c r="X316" s="292"/>
      <c r="Y316" s="277"/>
      <c r="Z316" s="292"/>
      <c r="AA316" s="292"/>
      <c r="AB316" s="292"/>
      <c r="AC316" s="292"/>
      <c r="AD316" s="277"/>
      <c r="AE316" s="292"/>
      <c r="AF316" s="292"/>
      <c r="AG316" s="277"/>
      <c r="AH316" s="313"/>
      <c r="AI316" s="887"/>
      <c r="AJ316" s="985"/>
      <c r="AK316" s="1020">
        <f t="shared" si="384"/>
        <v>0</v>
      </c>
      <c r="AL316" s="941"/>
      <c r="AM316" s="941"/>
      <c r="AN316" s="941"/>
      <c r="AO316" s="941"/>
      <c r="AP316" s="941"/>
      <c r="AQ316" s="985"/>
      <c r="AR316" s="887"/>
      <c r="AS316" s="887"/>
      <c r="AT316" s="887"/>
      <c r="AU316" s="887"/>
      <c r="AV316" s="887"/>
      <c r="AW316" s="887"/>
      <c r="AX316" s="887"/>
      <c r="AY316" s="887"/>
      <c r="AZ316" s="887"/>
      <c r="BA316" s="887"/>
      <c r="BB316" s="887"/>
      <c r="BC316" s="45"/>
      <c r="BD316" s="277"/>
      <c r="BE316" s="277"/>
      <c r="BF316" s="49"/>
      <c r="BG316" s="887"/>
      <c r="BH316" s="887"/>
      <c r="BI316" s="49"/>
      <c r="BJ316" s="887"/>
      <c r="BK316" s="887"/>
      <c r="BL316" s="887"/>
      <c r="BM316" s="49"/>
      <c r="BN316" s="277"/>
      <c r="BO316" s="49"/>
      <c r="BP316" s="946"/>
      <c r="BQ316" s="946"/>
      <c r="BR316" s="946"/>
      <c r="BS316" s="946"/>
      <c r="BT316" s="946"/>
      <c r="BU316" s="946"/>
      <c r="BV316" s="946"/>
      <c r="BW316" s="946"/>
      <c r="BX316" s="946"/>
      <c r="BY316" s="946"/>
      <c r="BZ316" s="946"/>
      <c r="CA316" s="946"/>
      <c r="CB316" s="946"/>
      <c r="CC316" s="946"/>
      <c r="CD316" s="946"/>
      <c r="CE316" s="946"/>
      <c r="CF316" s="946"/>
      <c r="CG316" s="946"/>
    </row>
    <row r="317" spans="4:85" x14ac:dyDescent="0.25">
      <c r="D317" s="412"/>
      <c r="E317" s="411"/>
      <c r="F317" s="412"/>
      <c r="G317" s="411"/>
      <c r="H317" s="412"/>
      <c r="I317" s="411"/>
      <c r="J317" s="412"/>
      <c r="K317" s="415"/>
      <c r="L317" s="417"/>
      <c r="M317" s="412"/>
      <c r="N317" s="412"/>
      <c r="O317" s="412"/>
      <c r="P317" s="412"/>
      <c r="Q317" s="412" t="s">
        <v>16</v>
      </c>
      <c r="R317" s="414">
        <v>0.92569999999999997</v>
      </c>
      <c r="S317" s="412"/>
      <c r="T317" s="422">
        <v>0</v>
      </c>
      <c r="U317" s="411"/>
      <c r="V317" s="176">
        <f t="shared" ref="V317:V325" si="450">T317</f>
        <v>0</v>
      </c>
      <c r="W317" s="176">
        <f>V317</f>
        <v>0</v>
      </c>
      <c r="X317" s="176">
        <f>W317-W317*Calculation_sheet!O$78</f>
        <v>0</v>
      </c>
      <c r="Y317" s="34">
        <f>X317/Calculation_sheet!M$67</f>
        <v>0</v>
      </c>
      <c r="Z317" s="176">
        <f ca="1">IF(AN317&gt;0,Y317*Calculation_sheet!C$87,0)</f>
        <v>0</v>
      </c>
      <c r="AA317" s="176">
        <f t="shared" ca="1" si="381"/>
        <v>0</v>
      </c>
      <c r="AB317" s="176">
        <f ca="1">IF(AP317&gt;0,AA317*Calculation_sheet!C$94,0)</f>
        <v>0</v>
      </c>
      <c r="AC317" s="176">
        <f t="shared" ref="AC317:AE325" ca="1" si="451">AA317-AB317</f>
        <v>0</v>
      </c>
      <c r="AD317" s="958">
        <f ca="1">AC317*Calculation_sheet!C$99</f>
        <v>0</v>
      </c>
      <c r="AE317" s="176">
        <f t="shared" ca="1" si="451"/>
        <v>0</v>
      </c>
      <c r="AF317" s="176">
        <f t="shared" ca="1" si="405"/>
        <v>0</v>
      </c>
      <c r="AG317" s="958">
        <f ca="1">AF317*User_sheet!B$77/100</f>
        <v>0</v>
      </c>
      <c r="AH317" s="313"/>
      <c r="AI317" s="883">
        <v>103</v>
      </c>
      <c r="AJ317" s="985"/>
      <c r="AK317" s="1020">
        <f t="shared" ca="1" si="384"/>
        <v>474.86244120493637</v>
      </c>
      <c r="AL317" s="954">
        <f ca="1">AK317/'103'!I$24</f>
        <v>1.0686074626271422</v>
      </c>
      <c r="AM317" s="954">
        <f ca="1">0.8*(AK317*30+'103'!D$17*0.34*30*1)</f>
        <v>14849.051788918474</v>
      </c>
      <c r="AN317" s="954">
        <f ca="1">IF(AM317&lt;User_sheet!B$50,Y317,0)</f>
        <v>0</v>
      </c>
      <c r="AO317" s="954">
        <f ca="1">20-(User_sheet!B$57/('Freestanding '!AK317+'103'!D$17*1*0.34))</f>
        <v>10.787290532443905</v>
      </c>
      <c r="AP317" s="954">
        <f ca="1">IF(AO317&lt;User_sheet!B$59,0,BC317*AA317)</f>
        <v>0</v>
      </c>
      <c r="AQ317" s="985"/>
      <c r="AR317" s="883">
        <v>0.88</v>
      </c>
      <c r="AS317" s="1020">
        <v>2.41</v>
      </c>
      <c r="AT317" s="883">
        <v>0.59</v>
      </c>
      <c r="AU317" s="883">
        <v>2.75</v>
      </c>
      <c r="AV317" s="883">
        <v>3.3</v>
      </c>
      <c r="AW317" s="883">
        <v>11922.428413610982</v>
      </c>
      <c r="AX317" s="883">
        <v>75945.51234133933</v>
      </c>
      <c r="AY317" s="883">
        <v>64021.679041832605</v>
      </c>
      <c r="AZ317" s="883">
        <v>0</v>
      </c>
      <c r="BA317" s="883">
        <v>0</v>
      </c>
      <c r="BB317" s="883">
        <v>0.6</v>
      </c>
      <c r="BC317" s="888">
        <v>1</v>
      </c>
      <c r="BD317" s="889">
        <v>0</v>
      </c>
      <c r="BE317" s="889">
        <v>0</v>
      </c>
      <c r="BF317" s="890">
        <v>0</v>
      </c>
      <c r="BG317" s="883">
        <v>1</v>
      </c>
      <c r="BH317" s="883">
        <v>0</v>
      </c>
      <c r="BI317" s="890">
        <v>0</v>
      </c>
      <c r="BJ317" s="883">
        <v>1</v>
      </c>
      <c r="BK317" s="883">
        <v>0</v>
      </c>
      <c r="BL317" s="883">
        <v>0</v>
      </c>
      <c r="BM317" s="890">
        <v>0</v>
      </c>
      <c r="BN317" s="958">
        <v>7.0000000000000007E-2</v>
      </c>
      <c r="BO317" s="959">
        <v>17.100000000000001</v>
      </c>
      <c r="BP317" s="1018">
        <f t="shared" ref="BP317:BP325" ca="1" si="452">INDIRECT("'"&amp;AI317&amp;"'!"&amp;"B2")</f>
        <v>148.5</v>
      </c>
      <c r="BQ317" s="1018">
        <f t="shared" ref="BQ317:BQ325" ca="1" si="453">INDIRECT("'"&amp;AI317&amp;"'!"&amp;"C12")+INDIRECT("'"&amp;AI317&amp;"'!"&amp;"C13")+INDIRECT("'"&amp;AI317&amp;"'!"&amp;"C14")+INDIRECT("'"&amp;AI317&amp;"'!"&amp;"C15")+INDIRECT("'"&amp;AI317&amp;"'!"&amp;"C17")</f>
        <v>412.25249999999994</v>
      </c>
      <c r="BR317" s="1018">
        <f t="shared" ref="BR317:BR325" ca="1" si="454">INDIRECT("'"&amp;AI317&amp;"'!"&amp;"G5")</f>
        <v>148.44999999999999</v>
      </c>
      <c r="BS317" s="1018">
        <f t="shared" ref="BS317:BS325" ca="1" si="455">INDIRECT("'"&amp;AI317&amp;"'!"&amp;"G4")</f>
        <v>100.98500000000001</v>
      </c>
      <c r="BT317" s="1018">
        <f t="shared" ref="BT317:BT325" ca="1" si="456">INDIRECT("'"&amp;AI317&amp;"'!"&amp;"G6")</f>
        <v>148.5</v>
      </c>
      <c r="BU317" s="1018">
        <f t="shared" ref="BU317:BU325" ca="1" si="457">INDIRECT("'"&amp;AI317&amp;"'!"&amp;"G2")</f>
        <v>46.489999999999995</v>
      </c>
      <c r="BV317" s="1018">
        <f t="shared" ref="BV317:BV325" ca="1" si="458">INDIRECT("'"&amp;AI317&amp;"'!"&amp;"G3")</f>
        <v>2.15</v>
      </c>
      <c r="BW317" s="1018">
        <v>0</v>
      </c>
      <c r="BX317" s="1018">
        <f t="shared" ref="BX317:BX325" ca="1" si="459">IF(BR317=0,0,1/(1/(BR317*$BY$3)+1/(BR317*AR317)+1/(BR317*$BY$4)))</f>
        <v>113.34683017121702</v>
      </c>
      <c r="BY317" s="1018">
        <f t="shared" ref="BY317:BY325" ca="1" si="460">IF(BS317=0,0,1/(1/(BS317*$BY$3)+1/(BS317*AS317)+1/(BS317*$BY$4)))</f>
        <v>171.66405294836832</v>
      </c>
      <c r="BZ317" s="1018">
        <f t="shared" ca="1" si="385"/>
        <v>26.230449377041246</v>
      </c>
      <c r="CA317" s="1018">
        <f t="shared" ca="1" si="386"/>
        <v>127.84749992968388</v>
      </c>
      <c r="CB317" s="1018">
        <f t="shared" ref="CB317:CB325" ca="1" si="461">IF(BV317=0,0,1/(1/(BV317*$BY$3)+1/(BV317*AV317)+1/(BV317*$BY$4)))</f>
        <v>4.5133587786259541</v>
      </c>
      <c r="CC317" s="1018">
        <f t="shared" si="387"/>
        <v>0</v>
      </c>
      <c r="CD317" s="1018">
        <f ca="1">SUM(BX317:CC317)+(BR317+BS317+BT317+BU317+BV317)*BN317</f>
        <v>474.86244120493637</v>
      </c>
      <c r="CE317" s="1018">
        <f t="shared" ca="1" si="402"/>
        <v>207.09049888711516</v>
      </c>
      <c r="CF317" s="1018">
        <f t="shared" ca="1" si="388"/>
        <v>20.458588202761547</v>
      </c>
      <c r="CG317" s="1018">
        <f t="shared" ca="1" si="389"/>
        <v>34062.731014069861</v>
      </c>
    </row>
    <row r="318" spans="4:85" x14ac:dyDescent="0.25">
      <c r="D318" s="412"/>
      <c r="E318" s="411"/>
      <c r="F318" s="412"/>
      <c r="G318" s="411"/>
      <c r="H318" s="412"/>
      <c r="I318" s="411"/>
      <c r="J318" s="412"/>
      <c r="K318" s="415"/>
      <c r="L318" s="417"/>
      <c r="M318" s="412"/>
      <c r="N318" s="412"/>
      <c r="O318" s="412" t="s">
        <v>18</v>
      </c>
      <c r="P318" s="414">
        <v>0.89156626500000002</v>
      </c>
      <c r="Q318" s="412" t="s">
        <v>7</v>
      </c>
      <c r="R318" s="414">
        <v>7.4300000000000005E-2</v>
      </c>
      <c r="S318" s="412"/>
      <c r="T318" s="422">
        <v>0</v>
      </c>
      <c r="U318" s="411"/>
      <c r="V318" s="176">
        <f t="shared" si="450"/>
        <v>0</v>
      </c>
      <c r="W318" s="176">
        <f t="shared" ref="W318:W325" si="462">V318</f>
        <v>0</v>
      </c>
      <c r="X318" s="176">
        <f>W318-W318*Calculation_sheet!O$78</f>
        <v>0</v>
      </c>
      <c r="Y318" s="34">
        <f>X318/Calculation_sheet!M$67</f>
        <v>0</v>
      </c>
      <c r="Z318" s="176">
        <f ca="1">IF(AN318&gt;0,Y318*Calculation_sheet!C$87,0)</f>
        <v>0</v>
      </c>
      <c r="AA318" s="176">
        <f t="shared" ca="1" si="381"/>
        <v>0</v>
      </c>
      <c r="AB318" s="176">
        <f ca="1">IF(AP318&gt;0,AA318*Calculation_sheet!C$94,0)</f>
        <v>0</v>
      </c>
      <c r="AC318" s="176">
        <f t="shared" ca="1" si="451"/>
        <v>0</v>
      </c>
      <c r="AD318" s="958">
        <f ca="1">AC318*Calculation_sheet!C$99</f>
        <v>0</v>
      </c>
      <c r="AE318" s="176">
        <f t="shared" ca="1" si="451"/>
        <v>0</v>
      </c>
      <c r="AF318" s="176">
        <f t="shared" ca="1" si="405"/>
        <v>0</v>
      </c>
      <c r="AG318" s="958">
        <f ca="1">AF318*User_sheet!B$77/100</f>
        <v>0</v>
      </c>
      <c r="AH318" s="313"/>
      <c r="AI318" s="883">
        <v>103</v>
      </c>
      <c r="AJ318" s="985"/>
      <c r="AK318" s="1020">
        <f t="shared" ca="1" si="384"/>
        <v>474.86244120493637</v>
      </c>
      <c r="AL318" s="954">
        <f ca="1">AK318/'103'!I$24</f>
        <v>1.0686074626271422</v>
      </c>
      <c r="AM318" s="954">
        <f ca="1">0.8*(AK318*30+'103'!D$17*0.34*30*1)</f>
        <v>14849.051788918474</v>
      </c>
      <c r="AN318" s="954">
        <f ca="1">IF(AM318&lt;User_sheet!B$50,Y318,0)</f>
        <v>0</v>
      </c>
      <c r="AO318" s="954">
        <f ca="1">20-(User_sheet!B$57/('Freestanding '!AK318+'103'!D$17*1*0.34))</f>
        <v>10.787290532443905</v>
      </c>
      <c r="AP318" s="954">
        <f ca="1">IF(AO318&lt;User_sheet!B$59,0,BC318*AA318)</f>
        <v>0</v>
      </c>
      <c r="AQ318" s="985"/>
      <c r="AR318" s="883">
        <v>0.88</v>
      </c>
      <c r="AS318" s="1020">
        <v>2.41</v>
      </c>
      <c r="AT318" s="883">
        <v>0.59</v>
      </c>
      <c r="AU318" s="883">
        <v>2.75</v>
      </c>
      <c r="AV318" s="883">
        <v>3.3</v>
      </c>
      <c r="AW318" s="883">
        <v>11922.428413610982</v>
      </c>
      <c r="AX318" s="883">
        <v>75945.51234133933</v>
      </c>
      <c r="AY318" s="883">
        <v>64021.679041832605</v>
      </c>
      <c r="AZ318" s="883">
        <v>0</v>
      </c>
      <c r="BA318" s="883">
        <v>0</v>
      </c>
      <c r="BB318" s="883">
        <v>0.6</v>
      </c>
      <c r="BC318" s="888">
        <v>1</v>
      </c>
      <c r="BD318" s="889">
        <v>0</v>
      </c>
      <c r="BE318" s="889">
        <v>0</v>
      </c>
      <c r="BF318" s="890">
        <v>0</v>
      </c>
      <c r="BG318" s="883">
        <v>1</v>
      </c>
      <c r="BH318" s="883">
        <v>0</v>
      </c>
      <c r="BI318" s="890">
        <v>0</v>
      </c>
      <c r="BJ318" s="883">
        <v>0</v>
      </c>
      <c r="BK318" s="883">
        <v>0</v>
      </c>
      <c r="BL318" s="883">
        <v>1</v>
      </c>
      <c r="BM318" s="890">
        <v>0</v>
      </c>
      <c r="BN318" s="958">
        <v>7.0000000000000007E-2</v>
      </c>
      <c r="BO318" s="959">
        <v>17.100000000000001</v>
      </c>
      <c r="BP318" s="1018">
        <f t="shared" ca="1" si="452"/>
        <v>148.5</v>
      </c>
      <c r="BQ318" s="1018">
        <f t="shared" ca="1" si="453"/>
        <v>412.25249999999994</v>
      </c>
      <c r="BR318" s="1018">
        <f t="shared" ca="1" si="454"/>
        <v>148.44999999999999</v>
      </c>
      <c r="BS318" s="1018">
        <f t="shared" ca="1" si="455"/>
        <v>100.98500000000001</v>
      </c>
      <c r="BT318" s="1018">
        <f t="shared" ca="1" si="456"/>
        <v>148.5</v>
      </c>
      <c r="BU318" s="1018">
        <f t="shared" ca="1" si="457"/>
        <v>46.489999999999995</v>
      </c>
      <c r="BV318" s="1018">
        <f t="shared" ca="1" si="458"/>
        <v>2.15</v>
      </c>
      <c r="BW318" s="1018">
        <v>0</v>
      </c>
      <c r="BX318" s="1018">
        <f t="shared" ca="1" si="459"/>
        <v>113.34683017121702</v>
      </c>
      <c r="BY318" s="1018">
        <f t="shared" ca="1" si="460"/>
        <v>171.66405294836832</v>
      </c>
      <c r="BZ318" s="1018">
        <f t="shared" ca="1" si="385"/>
        <v>26.230449377041246</v>
      </c>
      <c r="CA318" s="1018">
        <f t="shared" ca="1" si="386"/>
        <v>127.84749992968388</v>
      </c>
      <c r="CB318" s="1018">
        <f t="shared" ca="1" si="461"/>
        <v>4.5133587786259541</v>
      </c>
      <c r="CC318" s="1018">
        <f t="shared" si="387"/>
        <v>0</v>
      </c>
      <c r="CD318" s="1018">
        <f t="shared" ref="CD318:CD325" ca="1" si="463">SUM(BX318:CC318)+(BR318+BS318+BT318+BU318+BV318)*BN318</f>
        <v>474.86244120493637</v>
      </c>
      <c r="CE318" s="1018">
        <f t="shared" ca="1" si="402"/>
        <v>207.09049888711516</v>
      </c>
      <c r="CF318" s="1018">
        <f t="shared" ca="1" si="388"/>
        <v>20.458588202761547</v>
      </c>
      <c r="CG318" s="1018">
        <f t="shared" ca="1" si="389"/>
        <v>34062.731014069861</v>
      </c>
    </row>
    <row r="319" spans="4:85" x14ac:dyDescent="0.25">
      <c r="D319" s="412"/>
      <c r="E319" s="411"/>
      <c r="F319" s="412"/>
      <c r="G319" s="411"/>
      <c r="H319" s="412"/>
      <c r="I319" s="411"/>
      <c r="J319" s="412"/>
      <c r="K319" s="415"/>
      <c r="L319" s="417"/>
      <c r="M319" s="412"/>
      <c r="N319" s="412"/>
      <c r="O319" s="412"/>
      <c r="P319" s="412"/>
      <c r="Q319" s="412" t="s">
        <v>16</v>
      </c>
      <c r="R319" s="414">
        <v>0.92569999999999997</v>
      </c>
      <c r="S319" s="412"/>
      <c r="T319" s="422">
        <v>0</v>
      </c>
      <c r="U319" s="411"/>
      <c r="V319" s="176">
        <f t="shared" si="450"/>
        <v>0</v>
      </c>
      <c r="W319" s="176">
        <f t="shared" si="462"/>
        <v>0</v>
      </c>
      <c r="X319" s="176">
        <f>W319-W319*Calculation_sheet!O$78</f>
        <v>0</v>
      </c>
      <c r="Y319" s="34">
        <f>X319/Calculation_sheet!M$67</f>
        <v>0</v>
      </c>
      <c r="Z319" s="176">
        <f ca="1">IF(AN319&gt;0,Y319*Calculation_sheet!C$87,0)</f>
        <v>0</v>
      </c>
      <c r="AA319" s="176">
        <f t="shared" ca="1" si="381"/>
        <v>0</v>
      </c>
      <c r="AB319" s="176">
        <f ca="1">IF(AP319&gt;0,AA319*Calculation_sheet!C$94,0)</f>
        <v>0</v>
      </c>
      <c r="AC319" s="176">
        <f t="shared" ca="1" si="451"/>
        <v>0</v>
      </c>
      <c r="AD319" s="958">
        <f ca="1">AC319*Calculation_sheet!C$99</f>
        <v>0</v>
      </c>
      <c r="AE319" s="176">
        <f t="shared" ca="1" si="451"/>
        <v>0</v>
      </c>
      <c r="AF319" s="176">
        <f t="shared" ca="1" si="405"/>
        <v>0</v>
      </c>
      <c r="AG319" s="958">
        <f ca="1">AF319*User_sheet!B$77/100</f>
        <v>0</v>
      </c>
      <c r="AH319" s="313"/>
      <c r="AI319" s="883">
        <v>103</v>
      </c>
      <c r="AJ319" s="985"/>
      <c r="AK319" s="1020">
        <f t="shared" ca="1" si="384"/>
        <v>474.86244120493637</v>
      </c>
      <c r="AL319" s="954">
        <f ca="1">AK319/'103'!I$24</f>
        <v>1.0686074626271422</v>
      </c>
      <c r="AM319" s="954">
        <f ca="1">0.8*(AK319*30+'103'!D$17*0.34*30*1)</f>
        <v>14849.051788918474</v>
      </c>
      <c r="AN319" s="954">
        <f ca="1">IF(AM319&lt;User_sheet!B$50,Y319,0)</f>
        <v>0</v>
      </c>
      <c r="AO319" s="954">
        <f ca="1">20-(User_sheet!B$57/('Freestanding '!AK319+'103'!D$17*1*0.34))</f>
        <v>10.787290532443905</v>
      </c>
      <c r="AP319" s="954">
        <f ca="1">IF(AO319&lt;User_sheet!B$59,0,BC319*AA319)</f>
        <v>0</v>
      </c>
      <c r="AQ319" s="985"/>
      <c r="AR319" s="883">
        <v>0.88</v>
      </c>
      <c r="AS319" s="1020">
        <v>2.41</v>
      </c>
      <c r="AT319" s="883">
        <v>0.59</v>
      </c>
      <c r="AU319" s="883">
        <v>2.75</v>
      </c>
      <c r="AV319" s="883">
        <v>3.3</v>
      </c>
      <c r="AW319" s="883">
        <v>11922.428413610982</v>
      </c>
      <c r="AX319" s="883">
        <v>75945.51234133933</v>
      </c>
      <c r="AY319" s="883">
        <v>64021.679041832605</v>
      </c>
      <c r="AZ319" s="883">
        <v>0</v>
      </c>
      <c r="BA319" s="883">
        <v>0</v>
      </c>
      <c r="BB319" s="883">
        <v>0.6</v>
      </c>
      <c r="BC319" s="888">
        <v>1</v>
      </c>
      <c r="BD319" s="889">
        <v>0</v>
      </c>
      <c r="BE319" s="889">
        <v>0</v>
      </c>
      <c r="BF319" s="890">
        <v>0</v>
      </c>
      <c r="BG319" s="883">
        <v>0</v>
      </c>
      <c r="BH319" s="883">
        <v>1</v>
      </c>
      <c r="BI319" s="890">
        <v>0</v>
      </c>
      <c r="BJ319" s="883">
        <v>1</v>
      </c>
      <c r="BK319" s="883">
        <v>0</v>
      </c>
      <c r="BL319" s="883">
        <v>0</v>
      </c>
      <c r="BM319" s="890">
        <v>0</v>
      </c>
      <c r="BN319" s="958">
        <v>7.0000000000000007E-2</v>
      </c>
      <c r="BO319" s="959">
        <v>17.100000000000001</v>
      </c>
      <c r="BP319" s="1018">
        <f t="shared" ca="1" si="452"/>
        <v>148.5</v>
      </c>
      <c r="BQ319" s="1018">
        <f t="shared" ca="1" si="453"/>
        <v>412.25249999999994</v>
      </c>
      <c r="BR319" s="1018">
        <f t="shared" ca="1" si="454"/>
        <v>148.44999999999999</v>
      </c>
      <c r="BS319" s="1018">
        <f t="shared" ca="1" si="455"/>
        <v>100.98500000000001</v>
      </c>
      <c r="BT319" s="1018">
        <f t="shared" ca="1" si="456"/>
        <v>148.5</v>
      </c>
      <c r="BU319" s="1018">
        <f t="shared" ca="1" si="457"/>
        <v>46.489999999999995</v>
      </c>
      <c r="BV319" s="1018">
        <f t="shared" ca="1" si="458"/>
        <v>2.15</v>
      </c>
      <c r="BW319" s="1018">
        <v>0</v>
      </c>
      <c r="BX319" s="1018">
        <f t="shared" ca="1" si="459"/>
        <v>113.34683017121702</v>
      </c>
      <c r="BY319" s="1018">
        <f t="shared" ca="1" si="460"/>
        <v>171.66405294836832</v>
      </c>
      <c r="BZ319" s="1018">
        <f t="shared" ca="1" si="385"/>
        <v>26.230449377041246</v>
      </c>
      <c r="CA319" s="1018">
        <f t="shared" ca="1" si="386"/>
        <v>127.84749992968388</v>
      </c>
      <c r="CB319" s="1018">
        <f t="shared" ca="1" si="461"/>
        <v>4.5133587786259541</v>
      </c>
      <c r="CC319" s="1018">
        <f t="shared" si="387"/>
        <v>0</v>
      </c>
      <c r="CD319" s="1018">
        <f t="shared" ca="1" si="463"/>
        <v>474.86244120493637</v>
      </c>
      <c r="CE319" s="1018">
        <f t="shared" ca="1" si="402"/>
        <v>207.09049888711516</v>
      </c>
      <c r="CF319" s="1018">
        <f t="shared" ca="1" si="388"/>
        <v>20.458588202761547</v>
      </c>
      <c r="CG319" s="1018">
        <f t="shared" ca="1" si="389"/>
        <v>34062.731014069861</v>
      </c>
    </row>
    <row r="320" spans="4:85" x14ac:dyDescent="0.25">
      <c r="D320" s="412"/>
      <c r="E320" s="411"/>
      <c r="F320" s="412"/>
      <c r="G320" s="411"/>
      <c r="H320" s="412"/>
      <c r="I320" s="411"/>
      <c r="J320" s="412"/>
      <c r="K320" s="415"/>
      <c r="L320" s="417"/>
      <c r="M320" s="412" t="s">
        <v>16</v>
      </c>
      <c r="N320" s="414">
        <v>0.41099999999999998</v>
      </c>
      <c r="O320" s="412" t="s">
        <v>19</v>
      </c>
      <c r="P320" s="414">
        <v>0.108433735</v>
      </c>
      <c r="Q320" s="412" t="s">
        <v>7</v>
      </c>
      <c r="R320" s="414">
        <v>7.4300000000000005E-2</v>
      </c>
      <c r="S320" s="412"/>
      <c r="T320" s="422">
        <v>0</v>
      </c>
      <c r="U320" s="411"/>
      <c r="V320" s="176">
        <f t="shared" si="450"/>
        <v>0</v>
      </c>
      <c r="W320" s="176">
        <f t="shared" si="462"/>
        <v>0</v>
      </c>
      <c r="X320" s="176">
        <f>W320-W320*Calculation_sheet!O$78</f>
        <v>0</v>
      </c>
      <c r="Y320" s="34">
        <f>X320/Calculation_sheet!M$67</f>
        <v>0</v>
      </c>
      <c r="Z320" s="176">
        <f ca="1">IF(AN320&gt;0,Y320*Calculation_sheet!C$87,0)</f>
        <v>0</v>
      </c>
      <c r="AA320" s="176">
        <f t="shared" ca="1" si="381"/>
        <v>0</v>
      </c>
      <c r="AB320" s="176">
        <f ca="1">IF(AP320&gt;0,AA320*Calculation_sheet!C$94,0)</f>
        <v>0</v>
      </c>
      <c r="AC320" s="176">
        <f t="shared" ca="1" si="451"/>
        <v>0</v>
      </c>
      <c r="AD320" s="958">
        <f ca="1">AC320*Calculation_sheet!C$99</f>
        <v>0</v>
      </c>
      <c r="AE320" s="176">
        <f t="shared" ca="1" si="451"/>
        <v>0</v>
      </c>
      <c r="AF320" s="176">
        <f t="shared" ca="1" si="405"/>
        <v>0</v>
      </c>
      <c r="AG320" s="958">
        <f ca="1">AF320*User_sheet!B$77/100</f>
        <v>0</v>
      </c>
      <c r="AH320" s="313"/>
      <c r="AI320" s="883">
        <v>103</v>
      </c>
      <c r="AJ320" s="985"/>
      <c r="AK320" s="1020">
        <f t="shared" ca="1" si="384"/>
        <v>474.86244120493637</v>
      </c>
      <c r="AL320" s="954">
        <f ca="1">AK320/'103'!I$24</f>
        <v>1.0686074626271422</v>
      </c>
      <c r="AM320" s="954">
        <f ca="1">0.8*(AK320*30+'103'!D$17*0.34*30*1)</f>
        <v>14849.051788918474</v>
      </c>
      <c r="AN320" s="954">
        <f ca="1">IF(AM320&lt;User_sheet!B$50,Y320,0)</f>
        <v>0</v>
      </c>
      <c r="AO320" s="954">
        <f ca="1">20-(User_sheet!B$57/('Freestanding '!AK320+'103'!D$17*1*0.34))</f>
        <v>10.787290532443905</v>
      </c>
      <c r="AP320" s="954">
        <f ca="1">IF(AO320&lt;User_sheet!B$59,0,BC320*AA320)</f>
        <v>0</v>
      </c>
      <c r="AQ320" s="985"/>
      <c r="AR320" s="883">
        <v>0.88</v>
      </c>
      <c r="AS320" s="1020">
        <v>2.41</v>
      </c>
      <c r="AT320" s="883">
        <v>0.59</v>
      </c>
      <c r="AU320" s="883">
        <v>2.75</v>
      </c>
      <c r="AV320" s="883">
        <v>3.3</v>
      </c>
      <c r="AW320" s="883">
        <v>11922.428413610982</v>
      </c>
      <c r="AX320" s="883">
        <v>75945.51234133933</v>
      </c>
      <c r="AY320" s="883">
        <v>64021.679041832605</v>
      </c>
      <c r="AZ320" s="883">
        <v>0</v>
      </c>
      <c r="BA320" s="883">
        <v>0</v>
      </c>
      <c r="BB320" s="883">
        <v>0.6</v>
      </c>
      <c r="BC320" s="888">
        <v>1</v>
      </c>
      <c r="BD320" s="889">
        <v>0</v>
      </c>
      <c r="BE320" s="889">
        <v>0</v>
      </c>
      <c r="BF320" s="890">
        <v>0</v>
      </c>
      <c r="BG320" s="883">
        <v>0</v>
      </c>
      <c r="BH320" s="883">
        <v>1</v>
      </c>
      <c r="BI320" s="890">
        <v>0</v>
      </c>
      <c r="BJ320" s="883">
        <v>0</v>
      </c>
      <c r="BK320" s="883">
        <v>0</v>
      </c>
      <c r="BL320" s="883">
        <v>1</v>
      </c>
      <c r="BM320" s="890">
        <v>0</v>
      </c>
      <c r="BN320" s="958">
        <v>7.0000000000000007E-2</v>
      </c>
      <c r="BO320" s="959">
        <v>17.100000000000001</v>
      </c>
      <c r="BP320" s="1018">
        <f t="shared" ca="1" si="452"/>
        <v>148.5</v>
      </c>
      <c r="BQ320" s="1018">
        <f t="shared" ca="1" si="453"/>
        <v>412.25249999999994</v>
      </c>
      <c r="BR320" s="1018">
        <f t="shared" ca="1" si="454"/>
        <v>148.44999999999999</v>
      </c>
      <c r="BS320" s="1018">
        <f t="shared" ca="1" si="455"/>
        <v>100.98500000000001</v>
      </c>
      <c r="BT320" s="1018">
        <f t="shared" ca="1" si="456"/>
        <v>148.5</v>
      </c>
      <c r="BU320" s="1018">
        <f t="shared" ca="1" si="457"/>
        <v>46.489999999999995</v>
      </c>
      <c r="BV320" s="1018">
        <f t="shared" ca="1" si="458"/>
        <v>2.15</v>
      </c>
      <c r="BW320" s="1018">
        <v>0</v>
      </c>
      <c r="BX320" s="1018">
        <f t="shared" ca="1" si="459"/>
        <v>113.34683017121702</v>
      </c>
      <c r="BY320" s="1018">
        <f t="shared" ca="1" si="460"/>
        <v>171.66405294836832</v>
      </c>
      <c r="BZ320" s="1018">
        <f t="shared" ca="1" si="385"/>
        <v>26.230449377041246</v>
      </c>
      <c r="CA320" s="1018">
        <f t="shared" ca="1" si="386"/>
        <v>127.84749992968388</v>
      </c>
      <c r="CB320" s="1018">
        <f t="shared" ca="1" si="461"/>
        <v>4.5133587786259541</v>
      </c>
      <c r="CC320" s="1018">
        <f t="shared" si="387"/>
        <v>0</v>
      </c>
      <c r="CD320" s="1018">
        <f t="shared" ca="1" si="463"/>
        <v>474.86244120493637</v>
      </c>
      <c r="CE320" s="1018">
        <f t="shared" ca="1" si="402"/>
        <v>207.09049888711516</v>
      </c>
      <c r="CF320" s="1018">
        <f t="shared" ca="1" si="388"/>
        <v>20.458588202761547</v>
      </c>
      <c r="CG320" s="1018">
        <f t="shared" ca="1" si="389"/>
        <v>34062.731014069861</v>
      </c>
    </row>
    <row r="321" spans="3:85" x14ac:dyDescent="0.25">
      <c r="C321" s="411"/>
      <c r="D321" s="412"/>
      <c r="E321" s="411"/>
      <c r="F321" s="412"/>
      <c r="G321" s="411"/>
      <c r="H321" s="412"/>
      <c r="I321" s="411"/>
      <c r="J321" s="412"/>
      <c r="K321" s="415"/>
      <c r="L321" s="417"/>
      <c r="M321" s="412"/>
      <c r="N321" s="412"/>
      <c r="O321" s="412"/>
      <c r="P321" s="412"/>
      <c r="Q321" s="412" t="s">
        <v>22</v>
      </c>
      <c r="R321" s="414">
        <v>0.60750000000000004</v>
      </c>
      <c r="S321" s="412"/>
      <c r="T321" s="422">
        <v>0</v>
      </c>
      <c r="U321" s="411"/>
      <c r="V321" s="176">
        <f t="shared" si="450"/>
        <v>0</v>
      </c>
      <c r="W321" s="176">
        <f t="shared" si="462"/>
        <v>0</v>
      </c>
      <c r="X321" s="176">
        <f>W321-W321*Calculation_sheet!O$78</f>
        <v>0</v>
      </c>
      <c r="Y321" s="34">
        <f>X321/Calculation_sheet!M$67</f>
        <v>0</v>
      </c>
      <c r="Z321" s="176">
        <f ca="1">IF(AN321&gt;0,Y321*Calculation_sheet!C$87,0)</f>
        <v>0</v>
      </c>
      <c r="AA321" s="176">
        <f t="shared" ca="1" si="381"/>
        <v>0</v>
      </c>
      <c r="AB321" s="176">
        <f ca="1">IF(AP321&gt;0,AA321*Calculation_sheet!C$94,0)</f>
        <v>0</v>
      </c>
      <c r="AC321" s="176">
        <f t="shared" ca="1" si="451"/>
        <v>0</v>
      </c>
      <c r="AD321" s="958">
        <f ca="1">AC321*Calculation_sheet!C$99</f>
        <v>0</v>
      </c>
      <c r="AE321" s="176">
        <f t="shared" ca="1" si="451"/>
        <v>0</v>
      </c>
      <c r="AF321" s="176">
        <f t="shared" ca="1" si="405"/>
        <v>0</v>
      </c>
      <c r="AG321" s="958">
        <f ca="1">AF321*User_sheet!B$77/100</f>
        <v>0</v>
      </c>
      <c r="AH321" s="313"/>
      <c r="AI321" s="883">
        <v>103</v>
      </c>
      <c r="AJ321" s="985"/>
      <c r="AK321" s="1020">
        <f t="shared" ca="1" si="384"/>
        <v>474.86244120493637</v>
      </c>
      <c r="AL321" s="954">
        <f ca="1">AK321/'103'!I$24</f>
        <v>1.0686074626271422</v>
      </c>
      <c r="AM321" s="954">
        <f ca="1">0.8*(AK321*30+'103'!D$17*0.34*30*1)</f>
        <v>14849.051788918474</v>
      </c>
      <c r="AN321" s="954">
        <f ca="1">IF(AM321&lt;User_sheet!B$50,Y321,0)</f>
        <v>0</v>
      </c>
      <c r="AO321" s="954">
        <f ca="1">20-(User_sheet!B$57/('Freestanding '!AK321+'103'!D$17*1*0.34))</f>
        <v>10.787290532443905</v>
      </c>
      <c r="AP321" s="954">
        <f ca="1">IF(AO321&lt;User_sheet!B$59,0,BC321*AA321)</f>
        <v>0</v>
      </c>
      <c r="AQ321" s="985"/>
      <c r="AR321" s="883">
        <v>0.88</v>
      </c>
      <c r="AS321" s="1020">
        <v>2.41</v>
      </c>
      <c r="AT321" s="883">
        <v>0.59</v>
      </c>
      <c r="AU321" s="883">
        <v>2.75</v>
      </c>
      <c r="AV321" s="883">
        <v>3.3</v>
      </c>
      <c r="AW321" s="883">
        <v>11922.428413610982</v>
      </c>
      <c r="AX321" s="883">
        <v>75945.51234133933</v>
      </c>
      <c r="AY321" s="883">
        <v>64021.679041832605</v>
      </c>
      <c r="AZ321" s="883">
        <v>0</v>
      </c>
      <c r="BA321" s="883">
        <v>0</v>
      </c>
      <c r="BB321" s="883">
        <v>0.6</v>
      </c>
      <c r="BC321" s="888">
        <v>0</v>
      </c>
      <c r="BD321" s="889">
        <v>1</v>
      </c>
      <c r="BE321" s="889">
        <v>0</v>
      </c>
      <c r="BF321" s="890">
        <v>0</v>
      </c>
      <c r="BG321" s="883">
        <v>1</v>
      </c>
      <c r="BH321" s="883">
        <v>0</v>
      </c>
      <c r="BI321" s="890">
        <v>0</v>
      </c>
      <c r="BJ321" s="883">
        <v>0</v>
      </c>
      <c r="BK321" s="883">
        <v>1</v>
      </c>
      <c r="BL321" s="883">
        <v>0</v>
      </c>
      <c r="BM321" s="890">
        <v>0</v>
      </c>
      <c r="BN321" s="958">
        <v>7.0000000000000007E-2</v>
      </c>
      <c r="BO321" s="959">
        <v>17.100000000000001</v>
      </c>
      <c r="BP321" s="1018">
        <f t="shared" ca="1" si="452"/>
        <v>148.5</v>
      </c>
      <c r="BQ321" s="1018">
        <f t="shared" ca="1" si="453"/>
        <v>412.25249999999994</v>
      </c>
      <c r="BR321" s="1018">
        <f t="shared" ca="1" si="454"/>
        <v>148.44999999999999</v>
      </c>
      <c r="BS321" s="1018">
        <f t="shared" ca="1" si="455"/>
        <v>100.98500000000001</v>
      </c>
      <c r="BT321" s="1018">
        <f t="shared" ca="1" si="456"/>
        <v>148.5</v>
      </c>
      <c r="BU321" s="1018">
        <f t="shared" ca="1" si="457"/>
        <v>46.489999999999995</v>
      </c>
      <c r="BV321" s="1018">
        <f t="shared" ca="1" si="458"/>
        <v>2.15</v>
      </c>
      <c r="BW321" s="1018">
        <v>0</v>
      </c>
      <c r="BX321" s="1018">
        <f t="shared" ca="1" si="459"/>
        <v>113.34683017121702</v>
      </c>
      <c r="BY321" s="1018">
        <f t="shared" ca="1" si="460"/>
        <v>171.66405294836832</v>
      </c>
      <c r="BZ321" s="1018">
        <f t="shared" ca="1" si="385"/>
        <v>26.230449377041246</v>
      </c>
      <c r="CA321" s="1018">
        <f t="shared" ca="1" si="386"/>
        <v>127.84749992968388</v>
      </c>
      <c r="CB321" s="1018">
        <f t="shared" ca="1" si="461"/>
        <v>4.5133587786259541</v>
      </c>
      <c r="CC321" s="1018">
        <f t="shared" si="387"/>
        <v>0</v>
      </c>
      <c r="CD321" s="1018">
        <f t="shared" ca="1" si="463"/>
        <v>474.86244120493637</v>
      </c>
      <c r="CE321" s="1018">
        <f t="shared" ca="1" si="402"/>
        <v>207.09049888711516</v>
      </c>
      <c r="CF321" s="1018">
        <f t="shared" ca="1" si="388"/>
        <v>20.458588202761547</v>
      </c>
      <c r="CG321" s="1018">
        <f t="shared" ca="1" si="389"/>
        <v>34062.731014069861</v>
      </c>
    </row>
    <row r="322" spans="3:85" x14ac:dyDescent="0.25">
      <c r="C322" s="411"/>
      <c r="D322" s="412"/>
      <c r="E322" s="411"/>
      <c r="F322" s="412"/>
      <c r="G322" s="411"/>
      <c r="H322" s="412"/>
      <c r="I322" s="411"/>
      <c r="J322" s="412"/>
      <c r="K322" s="415"/>
      <c r="L322" s="417"/>
      <c r="M322" s="412"/>
      <c r="N322" s="412"/>
      <c r="O322" s="412" t="s">
        <v>18</v>
      </c>
      <c r="P322" s="414">
        <v>0.94399999999999995</v>
      </c>
      <c r="Q322" s="412" t="s">
        <v>7</v>
      </c>
      <c r="R322" s="414">
        <v>0.39250000000000002</v>
      </c>
      <c r="S322" s="412"/>
      <c r="T322" s="422">
        <v>0</v>
      </c>
      <c r="U322" s="411"/>
      <c r="V322" s="176">
        <f t="shared" si="450"/>
        <v>0</v>
      </c>
      <c r="W322" s="176">
        <f t="shared" si="462"/>
        <v>0</v>
      </c>
      <c r="X322" s="176">
        <f>W322-W322*Calculation_sheet!O$78</f>
        <v>0</v>
      </c>
      <c r="Y322" s="34">
        <f>X322/Calculation_sheet!M$67</f>
        <v>0</v>
      </c>
      <c r="Z322" s="176">
        <f ca="1">IF(AN322&gt;0,Y322*Calculation_sheet!C$87,0)</f>
        <v>0</v>
      </c>
      <c r="AA322" s="176">
        <f t="shared" ca="1" si="381"/>
        <v>0</v>
      </c>
      <c r="AB322" s="176">
        <f ca="1">IF(AP322&gt;0,AA322*Calculation_sheet!C$94,0)</f>
        <v>0</v>
      </c>
      <c r="AC322" s="176">
        <f t="shared" ca="1" si="451"/>
        <v>0</v>
      </c>
      <c r="AD322" s="958">
        <f ca="1">AC322*Calculation_sheet!C$99</f>
        <v>0</v>
      </c>
      <c r="AE322" s="176">
        <f t="shared" ca="1" si="451"/>
        <v>0</v>
      </c>
      <c r="AF322" s="176">
        <f t="shared" ca="1" si="405"/>
        <v>0</v>
      </c>
      <c r="AG322" s="958">
        <f ca="1">AF322*User_sheet!B$77/100</f>
        <v>0</v>
      </c>
      <c r="AH322" s="313"/>
      <c r="AI322" s="883">
        <v>103</v>
      </c>
      <c r="AJ322" s="985"/>
      <c r="AK322" s="1020">
        <f t="shared" ca="1" si="384"/>
        <v>474.86244120493637</v>
      </c>
      <c r="AL322" s="954">
        <f ca="1">AK322/'103'!I$24</f>
        <v>1.0686074626271422</v>
      </c>
      <c r="AM322" s="954">
        <f ca="1">0.8*(AK322*30+'103'!D$17*0.34*30*1)</f>
        <v>14849.051788918474</v>
      </c>
      <c r="AN322" s="954">
        <f ca="1">IF(AM322&lt;User_sheet!B$50,Y322,0)</f>
        <v>0</v>
      </c>
      <c r="AO322" s="954">
        <f ca="1">20-(User_sheet!B$57/('Freestanding '!AK322+'103'!D$17*1*0.34))</f>
        <v>10.787290532443905</v>
      </c>
      <c r="AP322" s="954">
        <f ca="1">IF(AO322&lt;User_sheet!B$59,0,BC322*AA322)</f>
        <v>0</v>
      </c>
      <c r="AQ322" s="985"/>
      <c r="AR322" s="883">
        <v>0.88</v>
      </c>
      <c r="AS322" s="1020">
        <v>2.41</v>
      </c>
      <c r="AT322" s="883">
        <v>0.59</v>
      </c>
      <c r="AU322" s="883">
        <v>2.75</v>
      </c>
      <c r="AV322" s="883">
        <v>3.3</v>
      </c>
      <c r="AW322" s="883">
        <v>11922.428413610982</v>
      </c>
      <c r="AX322" s="883">
        <v>75945.51234133933</v>
      </c>
      <c r="AY322" s="883">
        <v>64021.679041832605</v>
      </c>
      <c r="AZ322" s="883">
        <v>0</v>
      </c>
      <c r="BA322" s="883">
        <v>0</v>
      </c>
      <c r="BB322" s="883">
        <v>0.6</v>
      </c>
      <c r="BC322" s="888">
        <v>0</v>
      </c>
      <c r="BD322" s="889">
        <v>1</v>
      </c>
      <c r="BE322" s="889">
        <v>0</v>
      </c>
      <c r="BF322" s="890">
        <v>0</v>
      </c>
      <c r="BG322" s="883">
        <v>1</v>
      </c>
      <c r="BH322" s="883">
        <v>0</v>
      </c>
      <c r="BI322" s="890">
        <v>0</v>
      </c>
      <c r="BJ322" s="883">
        <v>0</v>
      </c>
      <c r="BK322" s="883">
        <v>0</v>
      </c>
      <c r="BL322" s="883">
        <v>1</v>
      </c>
      <c r="BM322" s="890">
        <v>0</v>
      </c>
      <c r="BN322" s="958">
        <v>7.0000000000000007E-2</v>
      </c>
      <c r="BO322" s="959">
        <v>17.100000000000001</v>
      </c>
      <c r="BP322" s="1018">
        <f t="shared" ca="1" si="452"/>
        <v>148.5</v>
      </c>
      <c r="BQ322" s="1018">
        <f t="shared" ca="1" si="453"/>
        <v>412.25249999999994</v>
      </c>
      <c r="BR322" s="1018">
        <f t="shared" ca="1" si="454"/>
        <v>148.44999999999999</v>
      </c>
      <c r="BS322" s="1018">
        <f t="shared" ca="1" si="455"/>
        <v>100.98500000000001</v>
      </c>
      <c r="BT322" s="1018">
        <f t="shared" ca="1" si="456"/>
        <v>148.5</v>
      </c>
      <c r="BU322" s="1018">
        <f t="shared" ca="1" si="457"/>
        <v>46.489999999999995</v>
      </c>
      <c r="BV322" s="1018">
        <f t="shared" ca="1" si="458"/>
        <v>2.15</v>
      </c>
      <c r="BW322" s="1018">
        <v>0</v>
      </c>
      <c r="BX322" s="1018">
        <f t="shared" ca="1" si="459"/>
        <v>113.34683017121702</v>
      </c>
      <c r="BY322" s="1018">
        <f t="shared" ca="1" si="460"/>
        <v>171.66405294836832</v>
      </c>
      <c r="BZ322" s="1018">
        <f t="shared" ca="1" si="385"/>
        <v>26.230449377041246</v>
      </c>
      <c r="CA322" s="1018">
        <f t="shared" ca="1" si="386"/>
        <v>127.84749992968388</v>
      </c>
      <c r="CB322" s="1018">
        <f t="shared" ca="1" si="461"/>
        <v>4.5133587786259541</v>
      </c>
      <c r="CC322" s="1018">
        <f t="shared" si="387"/>
        <v>0</v>
      </c>
      <c r="CD322" s="1018">
        <f t="shared" ca="1" si="463"/>
        <v>474.86244120493637</v>
      </c>
      <c r="CE322" s="1018">
        <f t="shared" ca="1" si="402"/>
        <v>207.09049888711516</v>
      </c>
      <c r="CF322" s="1018">
        <f t="shared" ca="1" si="388"/>
        <v>20.458588202761547</v>
      </c>
      <c r="CG322" s="1018">
        <f t="shared" ca="1" si="389"/>
        <v>34062.731014069861</v>
      </c>
    </row>
    <row r="323" spans="3:85" x14ac:dyDescent="0.25">
      <c r="C323" s="411"/>
      <c r="D323" s="412"/>
      <c r="E323" s="411"/>
      <c r="F323" s="412"/>
      <c r="G323" s="411"/>
      <c r="H323" s="412"/>
      <c r="I323" s="411"/>
      <c r="J323" s="412"/>
      <c r="K323" s="415"/>
      <c r="L323" s="417"/>
      <c r="M323" s="412"/>
      <c r="N323" s="412"/>
      <c r="O323" s="412"/>
      <c r="P323" s="412"/>
      <c r="Q323" s="412" t="s">
        <v>22</v>
      </c>
      <c r="R323" s="414">
        <v>0.39250000000000002</v>
      </c>
      <c r="S323" s="412"/>
      <c r="T323" s="422">
        <v>0</v>
      </c>
      <c r="U323" s="411"/>
      <c r="V323" s="176">
        <f t="shared" si="450"/>
        <v>0</v>
      </c>
      <c r="W323" s="176">
        <f t="shared" si="462"/>
        <v>0</v>
      </c>
      <c r="X323" s="176">
        <f>W323-W323*Calculation_sheet!O$78</f>
        <v>0</v>
      </c>
      <c r="Y323" s="34">
        <f>X323/Calculation_sheet!M$67</f>
        <v>0</v>
      </c>
      <c r="Z323" s="176">
        <f ca="1">IF(AN323&gt;0,Y323*Calculation_sheet!C$87,0)</f>
        <v>0</v>
      </c>
      <c r="AA323" s="176">
        <f t="shared" ca="1" si="381"/>
        <v>0</v>
      </c>
      <c r="AB323" s="176">
        <f ca="1">IF(AP323&gt;0,AA323*Calculation_sheet!C$94,0)</f>
        <v>0</v>
      </c>
      <c r="AC323" s="176">
        <f t="shared" ca="1" si="451"/>
        <v>0</v>
      </c>
      <c r="AD323" s="958">
        <f ca="1">AC323*Calculation_sheet!C$99</f>
        <v>0</v>
      </c>
      <c r="AE323" s="176">
        <f t="shared" ca="1" si="451"/>
        <v>0</v>
      </c>
      <c r="AF323" s="176">
        <f t="shared" ca="1" si="405"/>
        <v>0</v>
      </c>
      <c r="AG323" s="958">
        <f ca="1">AF323*User_sheet!B$77/100</f>
        <v>0</v>
      </c>
      <c r="AH323" s="313"/>
      <c r="AI323" s="883">
        <v>103</v>
      </c>
      <c r="AJ323" s="985"/>
      <c r="AK323" s="1020">
        <f t="shared" ca="1" si="384"/>
        <v>474.86244120493637</v>
      </c>
      <c r="AL323" s="954">
        <f ca="1">AK323/'103'!I$24</f>
        <v>1.0686074626271422</v>
      </c>
      <c r="AM323" s="954">
        <f ca="1">0.8*(AK323*30+'103'!D$17*0.34*30*1)</f>
        <v>14849.051788918474</v>
      </c>
      <c r="AN323" s="954">
        <f ca="1">IF(AM323&lt;User_sheet!B$50,Y323,0)</f>
        <v>0</v>
      </c>
      <c r="AO323" s="954">
        <f ca="1">20-(User_sheet!B$57/('Freestanding '!AK323+'103'!D$17*1*0.34))</f>
        <v>10.787290532443905</v>
      </c>
      <c r="AP323" s="954">
        <f ca="1">IF(AO323&lt;User_sheet!B$59,0,BC323*AA323)</f>
        <v>0</v>
      </c>
      <c r="AQ323" s="985"/>
      <c r="AR323" s="883">
        <v>0.88</v>
      </c>
      <c r="AS323" s="1020">
        <v>2.41</v>
      </c>
      <c r="AT323" s="883">
        <v>0.59</v>
      </c>
      <c r="AU323" s="883">
        <v>2.75</v>
      </c>
      <c r="AV323" s="883">
        <v>3.3</v>
      </c>
      <c r="AW323" s="883">
        <v>11922.428413610982</v>
      </c>
      <c r="AX323" s="883">
        <v>75945.51234133933</v>
      </c>
      <c r="AY323" s="883">
        <v>64021.679041832605</v>
      </c>
      <c r="AZ323" s="883">
        <v>0</v>
      </c>
      <c r="BA323" s="883">
        <v>0</v>
      </c>
      <c r="BB323" s="883">
        <v>0.6</v>
      </c>
      <c r="BC323" s="888">
        <v>0</v>
      </c>
      <c r="BD323" s="889">
        <v>1</v>
      </c>
      <c r="BE323" s="889">
        <v>0</v>
      </c>
      <c r="BF323" s="890">
        <v>0</v>
      </c>
      <c r="BG323" s="883">
        <v>0</v>
      </c>
      <c r="BH323" s="883">
        <v>1</v>
      </c>
      <c r="BI323" s="890">
        <v>0</v>
      </c>
      <c r="BJ323" s="883">
        <v>0</v>
      </c>
      <c r="BK323" s="883">
        <v>1</v>
      </c>
      <c r="BL323" s="883">
        <v>0</v>
      </c>
      <c r="BM323" s="890">
        <v>0</v>
      </c>
      <c r="BN323" s="958">
        <v>7.0000000000000007E-2</v>
      </c>
      <c r="BO323" s="959">
        <v>17.100000000000001</v>
      </c>
      <c r="BP323" s="1018">
        <f t="shared" ca="1" si="452"/>
        <v>148.5</v>
      </c>
      <c r="BQ323" s="1018">
        <f t="shared" ca="1" si="453"/>
        <v>412.25249999999994</v>
      </c>
      <c r="BR323" s="1018">
        <f t="shared" ca="1" si="454"/>
        <v>148.44999999999999</v>
      </c>
      <c r="BS323" s="1018">
        <f t="shared" ca="1" si="455"/>
        <v>100.98500000000001</v>
      </c>
      <c r="BT323" s="1018">
        <f t="shared" ca="1" si="456"/>
        <v>148.5</v>
      </c>
      <c r="BU323" s="1018">
        <f t="shared" ca="1" si="457"/>
        <v>46.489999999999995</v>
      </c>
      <c r="BV323" s="1018">
        <f t="shared" ca="1" si="458"/>
        <v>2.15</v>
      </c>
      <c r="BW323" s="1018">
        <v>0</v>
      </c>
      <c r="BX323" s="1018">
        <f t="shared" ca="1" si="459"/>
        <v>113.34683017121702</v>
      </c>
      <c r="BY323" s="1018">
        <f t="shared" ca="1" si="460"/>
        <v>171.66405294836832</v>
      </c>
      <c r="BZ323" s="1018">
        <f t="shared" ca="1" si="385"/>
        <v>26.230449377041246</v>
      </c>
      <c r="CA323" s="1018">
        <f t="shared" ca="1" si="386"/>
        <v>127.84749992968388</v>
      </c>
      <c r="CB323" s="1018">
        <f t="shared" ca="1" si="461"/>
        <v>4.5133587786259541</v>
      </c>
      <c r="CC323" s="1018">
        <f t="shared" si="387"/>
        <v>0</v>
      </c>
      <c r="CD323" s="1018">
        <f t="shared" ca="1" si="463"/>
        <v>474.86244120493637</v>
      </c>
      <c r="CE323" s="1018">
        <f t="shared" ca="1" si="402"/>
        <v>207.09049888711516</v>
      </c>
      <c r="CF323" s="1018">
        <f t="shared" ca="1" si="388"/>
        <v>20.458588202761547</v>
      </c>
      <c r="CG323" s="1018">
        <f t="shared" ca="1" si="389"/>
        <v>34062.731014069861</v>
      </c>
    </row>
    <row r="324" spans="3:85" x14ac:dyDescent="0.25">
      <c r="C324" s="411" t="s">
        <v>3</v>
      </c>
      <c r="D324" s="414">
        <v>0.32690000000000002</v>
      </c>
      <c r="E324" s="411"/>
      <c r="F324" s="412"/>
      <c r="G324" s="411"/>
      <c r="H324" s="412"/>
      <c r="I324" s="411"/>
      <c r="J324" s="412"/>
      <c r="K324" s="411"/>
      <c r="L324" s="411"/>
      <c r="M324" s="412" t="s">
        <v>22</v>
      </c>
      <c r="N324" s="414">
        <v>0.47</v>
      </c>
      <c r="O324" s="412" t="s">
        <v>20</v>
      </c>
      <c r="P324" s="414">
        <v>5.6000000000000001E-2</v>
      </c>
      <c r="Q324" s="412" t="s">
        <v>7</v>
      </c>
      <c r="R324" s="414">
        <v>0.60750000000000004</v>
      </c>
      <c r="S324" s="412"/>
      <c r="T324" s="422">
        <v>0</v>
      </c>
      <c r="U324" s="411"/>
      <c r="V324" s="176">
        <f t="shared" si="450"/>
        <v>0</v>
      </c>
      <c r="W324" s="176">
        <f t="shared" si="462"/>
        <v>0</v>
      </c>
      <c r="X324" s="176">
        <f>W324-W324*Calculation_sheet!O$78</f>
        <v>0</v>
      </c>
      <c r="Y324" s="34">
        <f>X324/Calculation_sheet!M$67</f>
        <v>0</v>
      </c>
      <c r="Z324" s="176">
        <f ca="1">IF(AN324&gt;0,Y324*Calculation_sheet!C$87,0)</f>
        <v>0</v>
      </c>
      <c r="AA324" s="176">
        <f t="shared" ca="1" si="381"/>
        <v>0</v>
      </c>
      <c r="AB324" s="176">
        <f ca="1">IF(AP324&gt;0,AA324*Calculation_sheet!C$94,0)</f>
        <v>0</v>
      </c>
      <c r="AC324" s="176">
        <f t="shared" ca="1" si="451"/>
        <v>0</v>
      </c>
      <c r="AD324" s="958">
        <f ca="1">AC324*Calculation_sheet!C$99</f>
        <v>0</v>
      </c>
      <c r="AE324" s="176">
        <f t="shared" ca="1" si="451"/>
        <v>0</v>
      </c>
      <c r="AF324" s="176">
        <f t="shared" ca="1" si="405"/>
        <v>0</v>
      </c>
      <c r="AG324" s="958">
        <f ca="1">AF324*User_sheet!B$77/100</f>
        <v>0</v>
      </c>
      <c r="AH324" s="313"/>
      <c r="AI324" s="883">
        <v>103</v>
      </c>
      <c r="AJ324" s="985"/>
      <c r="AK324" s="1020">
        <f t="shared" ca="1" si="384"/>
        <v>474.86244120493637</v>
      </c>
      <c r="AL324" s="954">
        <f ca="1">AK324/'103'!I$24</f>
        <v>1.0686074626271422</v>
      </c>
      <c r="AM324" s="954">
        <f ca="1">0.8*(AK324*30+'103'!D$17*0.34*30*1)</f>
        <v>14849.051788918474</v>
      </c>
      <c r="AN324" s="954">
        <f ca="1">IF(AM324&lt;User_sheet!B$50,Y324,0)</f>
        <v>0</v>
      </c>
      <c r="AO324" s="954">
        <f ca="1">20-(User_sheet!B$57/('Freestanding '!AK324+'103'!D$17*1*0.34))</f>
        <v>10.787290532443905</v>
      </c>
      <c r="AP324" s="954">
        <f ca="1">IF(AO324&lt;User_sheet!B$59,0,BC324*AA324)</f>
        <v>0</v>
      </c>
      <c r="AQ324" s="985"/>
      <c r="AR324" s="883">
        <v>0.88</v>
      </c>
      <c r="AS324" s="1020">
        <v>2.41</v>
      </c>
      <c r="AT324" s="883">
        <v>0.59</v>
      </c>
      <c r="AU324" s="883">
        <v>2.75</v>
      </c>
      <c r="AV324" s="883">
        <v>3.3</v>
      </c>
      <c r="AW324" s="883">
        <v>11922.428413610982</v>
      </c>
      <c r="AX324" s="883">
        <v>75945.51234133933</v>
      </c>
      <c r="AY324" s="883">
        <v>64021.679041832605</v>
      </c>
      <c r="AZ324" s="883">
        <v>0</v>
      </c>
      <c r="BA324" s="883">
        <v>0</v>
      </c>
      <c r="BB324" s="883">
        <v>0.6</v>
      </c>
      <c r="BC324" s="888">
        <v>0</v>
      </c>
      <c r="BD324" s="889">
        <v>1</v>
      </c>
      <c r="BE324" s="889">
        <v>0</v>
      </c>
      <c r="BF324" s="890">
        <v>0</v>
      </c>
      <c r="BG324" s="883">
        <v>0</v>
      </c>
      <c r="BH324" s="883">
        <v>1</v>
      </c>
      <c r="BI324" s="890">
        <v>0</v>
      </c>
      <c r="BJ324" s="883">
        <v>0</v>
      </c>
      <c r="BK324" s="883">
        <v>0</v>
      </c>
      <c r="BL324" s="883">
        <v>1</v>
      </c>
      <c r="BM324" s="890">
        <v>0</v>
      </c>
      <c r="BN324" s="958">
        <v>7.0000000000000007E-2</v>
      </c>
      <c r="BO324" s="959">
        <v>17.100000000000001</v>
      </c>
      <c r="BP324" s="1018">
        <f t="shared" ca="1" si="452"/>
        <v>148.5</v>
      </c>
      <c r="BQ324" s="1018">
        <f t="shared" ca="1" si="453"/>
        <v>412.25249999999994</v>
      </c>
      <c r="BR324" s="1018">
        <f t="shared" ca="1" si="454"/>
        <v>148.44999999999999</v>
      </c>
      <c r="BS324" s="1018">
        <f t="shared" ca="1" si="455"/>
        <v>100.98500000000001</v>
      </c>
      <c r="BT324" s="1018">
        <f t="shared" ca="1" si="456"/>
        <v>148.5</v>
      </c>
      <c r="BU324" s="1018">
        <f t="shared" ca="1" si="457"/>
        <v>46.489999999999995</v>
      </c>
      <c r="BV324" s="1018">
        <f t="shared" ca="1" si="458"/>
        <v>2.15</v>
      </c>
      <c r="BW324" s="1018">
        <v>0</v>
      </c>
      <c r="BX324" s="1018">
        <f t="shared" ca="1" si="459"/>
        <v>113.34683017121702</v>
      </c>
      <c r="BY324" s="1018">
        <f t="shared" ca="1" si="460"/>
        <v>171.66405294836832</v>
      </c>
      <c r="BZ324" s="1018">
        <f t="shared" ca="1" si="385"/>
        <v>26.230449377041246</v>
      </c>
      <c r="CA324" s="1018">
        <f t="shared" ca="1" si="386"/>
        <v>127.84749992968388</v>
      </c>
      <c r="CB324" s="1018">
        <f t="shared" ca="1" si="461"/>
        <v>4.5133587786259541</v>
      </c>
      <c r="CC324" s="1018">
        <f t="shared" si="387"/>
        <v>0</v>
      </c>
      <c r="CD324" s="1018">
        <f t="shared" ca="1" si="463"/>
        <v>474.86244120493637</v>
      </c>
      <c r="CE324" s="1018">
        <f t="shared" ca="1" si="402"/>
        <v>207.09049888711516</v>
      </c>
      <c r="CF324" s="1018">
        <f t="shared" ca="1" si="388"/>
        <v>20.458588202761547</v>
      </c>
      <c r="CG324" s="1018">
        <f t="shared" ca="1" si="389"/>
        <v>34062.731014069861</v>
      </c>
    </row>
    <row r="325" spans="3:85" x14ac:dyDescent="0.25">
      <c r="C325" s="411"/>
      <c r="D325" s="412"/>
      <c r="E325" s="411"/>
      <c r="F325" s="412"/>
      <c r="G325" s="411" t="s">
        <v>9</v>
      </c>
      <c r="H325" s="416">
        <v>0.62519999999999998</v>
      </c>
      <c r="I325" s="411"/>
      <c r="J325" s="412"/>
      <c r="K325" s="415" t="s">
        <v>12</v>
      </c>
      <c r="L325" s="416">
        <v>0</v>
      </c>
      <c r="M325" s="412" t="s">
        <v>7</v>
      </c>
      <c r="N325" s="414">
        <v>0.11900000000000005</v>
      </c>
      <c r="O325" s="412" t="s">
        <v>23</v>
      </c>
      <c r="P325" s="414">
        <v>1</v>
      </c>
      <c r="Q325" s="412" t="s">
        <v>7</v>
      </c>
      <c r="R325" s="414">
        <v>1</v>
      </c>
      <c r="S325" s="412"/>
      <c r="T325" s="422">
        <v>0</v>
      </c>
      <c r="U325" s="411"/>
      <c r="V325" s="176">
        <f t="shared" si="450"/>
        <v>0</v>
      </c>
      <c r="W325" s="176">
        <f t="shared" si="462"/>
        <v>0</v>
      </c>
      <c r="X325" s="176">
        <f>W325-W325*Calculation_sheet!O$78</f>
        <v>0</v>
      </c>
      <c r="Y325" s="34">
        <f>X325/Calculation_sheet!M$67</f>
        <v>0</v>
      </c>
      <c r="Z325" s="176">
        <f ca="1">IF(AN325&gt;0,Y325*Calculation_sheet!C$87,0)</f>
        <v>0</v>
      </c>
      <c r="AA325" s="176">
        <f t="shared" ca="1" si="381"/>
        <v>0</v>
      </c>
      <c r="AB325" s="176">
        <f ca="1">IF(AP325&gt;0,AA325*Calculation_sheet!C$94,0)</f>
        <v>0</v>
      </c>
      <c r="AC325" s="176">
        <f t="shared" ca="1" si="451"/>
        <v>0</v>
      </c>
      <c r="AD325" s="958">
        <f ca="1">AC325*Calculation_sheet!C$99</f>
        <v>0</v>
      </c>
      <c r="AE325" s="176">
        <f t="shared" ca="1" si="451"/>
        <v>0</v>
      </c>
      <c r="AF325" s="176">
        <f t="shared" ca="1" si="405"/>
        <v>0</v>
      </c>
      <c r="AG325" s="958">
        <f ca="1">AF325*User_sheet!B$77/100</f>
        <v>0</v>
      </c>
      <c r="AH325" s="313"/>
      <c r="AI325" s="883">
        <v>103</v>
      </c>
      <c r="AJ325" s="985"/>
      <c r="AK325" s="1020">
        <f t="shared" ca="1" si="384"/>
        <v>474.86244120493637</v>
      </c>
      <c r="AL325" s="954">
        <f ca="1">AK325/'103'!I$24</f>
        <v>1.0686074626271422</v>
      </c>
      <c r="AM325" s="954">
        <f ca="1">0.8*(AK325*30+'103'!D$17*0.34*30*1)</f>
        <v>14849.051788918474</v>
      </c>
      <c r="AN325" s="954">
        <f ca="1">IF(AM325&lt;User_sheet!B$50,Y325,0)</f>
        <v>0</v>
      </c>
      <c r="AO325" s="954">
        <f ca="1">20-(User_sheet!B$57/('Freestanding '!AK325+'103'!D$17*1*0.34))</f>
        <v>10.787290532443905</v>
      </c>
      <c r="AP325" s="954">
        <f ca="1">IF(AO325&lt;User_sheet!B$59,0,BC325*AA325)</f>
        <v>0</v>
      </c>
      <c r="AQ325" s="985"/>
      <c r="AR325" s="883">
        <v>0.88</v>
      </c>
      <c r="AS325" s="1020">
        <v>2.41</v>
      </c>
      <c r="AT325" s="883">
        <v>0.59</v>
      </c>
      <c r="AU325" s="883">
        <v>2.75</v>
      </c>
      <c r="AV325" s="883">
        <v>3.3</v>
      </c>
      <c r="AW325" s="883">
        <v>11922.428413610982</v>
      </c>
      <c r="AX325" s="883">
        <v>75945.51234133933</v>
      </c>
      <c r="AY325" s="883">
        <v>64021.679041832605</v>
      </c>
      <c r="AZ325" s="883">
        <v>0</v>
      </c>
      <c r="BA325" s="883">
        <v>0</v>
      </c>
      <c r="BB325" s="883">
        <v>0.6</v>
      </c>
      <c r="BC325" s="888">
        <v>0</v>
      </c>
      <c r="BD325" s="889">
        <v>0</v>
      </c>
      <c r="BE325" s="889">
        <v>1</v>
      </c>
      <c r="BF325" s="890">
        <v>0</v>
      </c>
      <c r="BG325" s="883">
        <v>0</v>
      </c>
      <c r="BH325" s="883">
        <v>0</v>
      </c>
      <c r="BI325" s="890">
        <v>1</v>
      </c>
      <c r="BJ325" s="883">
        <v>0</v>
      </c>
      <c r="BK325" s="883">
        <v>0</v>
      </c>
      <c r="BL325" s="883">
        <v>1</v>
      </c>
      <c r="BM325" s="890">
        <v>0</v>
      </c>
      <c r="BN325" s="958">
        <v>7.0000000000000007E-2</v>
      </c>
      <c r="BO325" s="959">
        <v>17.100000000000001</v>
      </c>
      <c r="BP325" s="1018">
        <f t="shared" ca="1" si="452"/>
        <v>148.5</v>
      </c>
      <c r="BQ325" s="1018">
        <f t="shared" ca="1" si="453"/>
        <v>412.25249999999994</v>
      </c>
      <c r="BR325" s="1018">
        <f t="shared" ca="1" si="454"/>
        <v>148.44999999999999</v>
      </c>
      <c r="BS325" s="1018">
        <f t="shared" ca="1" si="455"/>
        <v>100.98500000000001</v>
      </c>
      <c r="BT325" s="1018">
        <f t="shared" ca="1" si="456"/>
        <v>148.5</v>
      </c>
      <c r="BU325" s="1018">
        <f t="shared" ca="1" si="457"/>
        <v>46.489999999999995</v>
      </c>
      <c r="BV325" s="1018">
        <f t="shared" ca="1" si="458"/>
        <v>2.15</v>
      </c>
      <c r="BW325" s="1018">
        <v>0</v>
      </c>
      <c r="BX325" s="1018">
        <f t="shared" ca="1" si="459"/>
        <v>113.34683017121702</v>
      </c>
      <c r="BY325" s="1018">
        <f t="shared" ca="1" si="460"/>
        <v>171.66405294836832</v>
      </c>
      <c r="BZ325" s="1018">
        <f t="shared" ca="1" si="385"/>
        <v>26.230449377041246</v>
      </c>
      <c r="CA325" s="1018">
        <f t="shared" ca="1" si="386"/>
        <v>127.84749992968388</v>
      </c>
      <c r="CB325" s="1018">
        <f t="shared" ca="1" si="461"/>
        <v>4.5133587786259541</v>
      </c>
      <c r="CC325" s="1018">
        <f t="shared" si="387"/>
        <v>0</v>
      </c>
      <c r="CD325" s="1018">
        <f t="shared" ca="1" si="463"/>
        <v>474.86244120493637</v>
      </c>
      <c r="CE325" s="1018">
        <f t="shared" ca="1" si="402"/>
        <v>207.09049888711516</v>
      </c>
      <c r="CF325" s="1018">
        <f t="shared" ca="1" si="388"/>
        <v>20.458588202761547</v>
      </c>
      <c r="CG325" s="1018">
        <f t="shared" ca="1" si="389"/>
        <v>34062.731014069861</v>
      </c>
    </row>
    <row r="326" spans="3:85" s="14" customFormat="1" x14ac:dyDescent="0.25">
      <c r="C326" s="419"/>
      <c r="D326" s="420"/>
      <c r="E326" s="419"/>
      <c r="F326" s="420"/>
      <c r="G326" s="419"/>
      <c r="H326" s="420"/>
      <c r="I326" s="419"/>
      <c r="J326" s="420"/>
      <c r="K326" s="421"/>
      <c r="L326" s="420"/>
      <c r="M326" s="420"/>
      <c r="N326" s="420"/>
      <c r="O326" s="420"/>
      <c r="P326" s="420"/>
      <c r="Q326" s="420"/>
      <c r="R326" s="420"/>
      <c r="S326" s="420"/>
      <c r="T326" s="423"/>
      <c r="U326" s="419"/>
      <c r="V326" s="292"/>
      <c r="W326" s="292"/>
      <c r="X326" s="292"/>
      <c r="Y326" s="277"/>
      <c r="Z326" s="292"/>
      <c r="AA326" s="292"/>
      <c r="AB326" s="292"/>
      <c r="AC326" s="292"/>
      <c r="AD326" s="277"/>
      <c r="AE326" s="292"/>
      <c r="AF326" s="292"/>
      <c r="AG326" s="277"/>
      <c r="AH326" s="313"/>
      <c r="AI326" s="887"/>
      <c r="AJ326" s="985"/>
      <c r="AK326" s="1020">
        <f t="shared" si="384"/>
        <v>0</v>
      </c>
      <c r="AL326" s="941"/>
      <c r="AM326" s="941"/>
      <c r="AN326" s="941"/>
      <c r="AO326" s="941"/>
      <c r="AP326" s="941"/>
      <c r="AQ326" s="985"/>
      <c r="AR326" s="887"/>
      <c r="AS326" s="887"/>
      <c r="AT326" s="887"/>
      <c r="AU326" s="887"/>
      <c r="AV326" s="887"/>
      <c r="AW326" s="887"/>
      <c r="AX326" s="887"/>
      <c r="AY326" s="887"/>
      <c r="AZ326" s="887"/>
      <c r="BA326" s="887"/>
      <c r="BB326" s="887"/>
      <c r="BC326" s="45"/>
      <c r="BD326" s="277"/>
      <c r="BE326" s="277"/>
      <c r="BF326" s="49"/>
      <c r="BG326" s="887"/>
      <c r="BH326" s="887"/>
      <c r="BI326" s="49"/>
      <c r="BJ326" s="887"/>
      <c r="BK326" s="887"/>
      <c r="BL326" s="887"/>
      <c r="BM326" s="49"/>
      <c r="BN326" s="277"/>
      <c r="BO326" s="49"/>
      <c r="BP326" s="946"/>
      <c r="BQ326" s="946"/>
      <c r="BR326" s="946"/>
      <c r="BS326" s="946"/>
      <c r="BT326" s="946"/>
      <c r="BU326" s="946"/>
      <c r="BV326" s="946"/>
      <c r="BW326" s="946"/>
      <c r="BX326" s="946"/>
      <c r="BY326" s="946"/>
      <c r="BZ326" s="946"/>
      <c r="CA326" s="946"/>
      <c r="CB326" s="946"/>
      <c r="CC326" s="946"/>
      <c r="CD326" s="946"/>
      <c r="CE326" s="946"/>
      <c r="CF326" s="946"/>
      <c r="CG326" s="946"/>
    </row>
    <row r="327" spans="3:85" x14ac:dyDescent="0.25">
      <c r="D327" s="1"/>
      <c r="F327" s="1"/>
      <c r="G327" s="3"/>
      <c r="H327" s="6"/>
      <c r="I327" s="3"/>
      <c r="J327" s="6"/>
      <c r="K327" s="8"/>
      <c r="L327" s="6"/>
      <c r="M327" s="1"/>
      <c r="N327" s="1"/>
      <c r="O327" s="1"/>
      <c r="P327" s="1"/>
      <c r="Q327" s="1" t="s">
        <v>16</v>
      </c>
      <c r="R327" s="4"/>
      <c r="S327" s="1"/>
      <c r="T327" s="77"/>
      <c r="U327" s="294"/>
      <c r="X327" s="176">
        <f>W317-X317</f>
        <v>0</v>
      </c>
      <c r="Y327" s="34">
        <f>X327/Calculation_sheet!M$67</f>
        <v>0</v>
      </c>
      <c r="Z327" s="176">
        <f ca="1">IF(AN327&gt;0,Y327*Calculation_sheet!C$87,0)</f>
        <v>0</v>
      </c>
      <c r="AA327" s="176">
        <f t="shared" ca="1" si="381"/>
        <v>0</v>
      </c>
      <c r="AB327" s="176">
        <f ca="1">IF(AP327&gt;0,AA327*Calculation_sheet!C$94,0)</f>
        <v>0</v>
      </c>
      <c r="AC327" s="176">
        <f t="shared" ref="AC327:AE335" ca="1" si="464">AA327-AB327</f>
        <v>0</v>
      </c>
      <c r="AD327" s="958">
        <f ca="1">AC327*Calculation_sheet!C$99</f>
        <v>0</v>
      </c>
      <c r="AE327" s="176">
        <f t="shared" ca="1" si="464"/>
        <v>0</v>
      </c>
      <c r="AF327" s="176">
        <f t="shared" ca="1" si="405"/>
        <v>0</v>
      </c>
      <c r="AG327" s="958">
        <f ca="1">AF327*User_sheet!B$77/100</f>
        <v>0</v>
      </c>
      <c r="AH327" s="313"/>
      <c r="AI327" s="883">
        <v>103</v>
      </c>
      <c r="AJ327" s="985"/>
      <c r="AK327" s="1020">
        <f t="shared" ca="1" si="384"/>
        <v>371.65569065249286</v>
      </c>
      <c r="AL327" s="954">
        <f ca="1">AK327/'103'!I$24</f>
        <v>0.83635598459070126</v>
      </c>
      <c r="AM327" s="954">
        <f ca="1">0.8*(AK327*30+'103'!D$17*0.34*30*1)</f>
        <v>12372.089775659828</v>
      </c>
      <c r="AN327" s="954">
        <f ca="1">IF(AM327&lt;User_sheet!B$50,Y327,0)</f>
        <v>0</v>
      </c>
      <c r="AO327" s="954">
        <f ca="1">20-(User_sheet!B$57/('Freestanding '!AK327+'103'!D$17*1*0.34))</f>
        <v>8.9428542404264775</v>
      </c>
      <c r="AP327" s="954">
        <f ca="1">IF(AO327&lt;User_sheet!B$59,0,BC327*AA327)</f>
        <v>0</v>
      </c>
      <c r="AQ327" s="985"/>
      <c r="AR327" s="883">
        <v>0.32</v>
      </c>
      <c r="AS327" s="1020">
        <v>2.41</v>
      </c>
      <c r="AT327" s="883">
        <v>0.59</v>
      </c>
      <c r="AU327" s="883">
        <v>2</v>
      </c>
      <c r="AV327" s="883">
        <v>3.3</v>
      </c>
      <c r="AW327" s="883">
        <v>14356</v>
      </c>
      <c r="AX327" s="883">
        <v>75945.51234133933</v>
      </c>
      <c r="AY327" s="883">
        <v>64021.679041832605</v>
      </c>
      <c r="AZ327" s="886">
        <v>0</v>
      </c>
      <c r="BA327" s="886">
        <v>0</v>
      </c>
      <c r="BB327" s="883">
        <v>0.6</v>
      </c>
      <c r="BC327" s="888">
        <v>1</v>
      </c>
      <c r="BD327" s="889">
        <v>0</v>
      </c>
      <c r="BE327" s="889">
        <v>0</v>
      </c>
      <c r="BF327" s="890">
        <v>0</v>
      </c>
      <c r="BG327" s="883">
        <v>1</v>
      </c>
      <c r="BH327" s="883">
        <v>0</v>
      </c>
      <c r="BI327" s="890">
        <v>0</v>
      </c>
      <c r="BJ327" s="883">
        <v>1</v>
      </c>
      <c r="BK327" s="883">
        <v>0</v>
      </c>
      <c r="BL327" s="883">
        <v>0</v>
      </c>
      <c r="BM327" s="890">
        <v>0</v>
      </c>
      <c r="BN327" s="958">
        <v>7.0000000000000007E-2</v>
      </c>
      <c r="BO327" s="959">
        <v>17.100000000000001</v>
      </c>
      <c r="BP327" s="1018">
        <f t="shared" ref="BP327:BP335" ca="1" si="465">INDIRECT("'"&amp;AI327&amp;"'!"&amp;"B2")</f>
        <v>148.5</v>
      </c>
      <c r="BQ327" s="1018">
        <f t="shared" ref="BQ327:BQ335" ca="1" si="466">INDIRECT("'"&amp;AI327&amp;"'!"&amp;"C12")+INDIRECT("'"&amp;AI327&amp;"'!"&amp;"C13")+INDIRECT("'"&amp;AI327&amp;"'!"&amp;"C14")+INDIRECT("'"&amp;AI327&amp;"'!"&amp;"C15")+INDIRECT("'"&amp;AI327&amp;"'!"&amp;"C17")</f>
        <v>412.25249999999994</v>
      </c>
      <c r="BR327" s="1018">
        <f t="shared" ref="BR327:BR335" ca="1" si="467">INDIRECT("'"&amp;AI327&amp;"'!"&amp;"G5")</f>
        <v>148.44999999999999</v>
      </c>
      <c r="BS327" s="1018">
        <f t="shared" ref="BS327:BS335" ca="1" si="468">INDIRECT("'"&amp;AI327&amp;"'!"&amp;"G4")</f>
        <v>100.98500000000001</v>
      </c>
      <c r="BT327" s="1018">
        <f t="shared" ref="BT327:BT335" ca="1" si="469">INDIRECT("'"&amp;AI327&amp;"'!"&amp;"G6")</f>
        <v>148.5</v>
      </c>
      <c r="BU327" s="1018">
        <f t="shared" ref="BU327:BU335" ca="1" si="470">INDIRECT("'"&amp;AI327&amp;"'!"&amp;"G2")</f>
        <v>46.489999999999995</v>
      </c>
      <c r="BV327" s="1018">
        <f t="shared" ref="BV327:BV335" ca="1" si="471">INDIRECT("'"&amp;AI327&amp;"'!"&amp;"G3")</f>
        <v>2.15</v>
      </c>
      <c r="BW327" s="1018">
        <v>0</v>
      </c>
      <c r="BX327" s="1018">
        <f t="shared" ref="BX327:BX335" ca="1" si="472">IF(BR327=0,0,1/(1/(BR327*$BY$3)+1/(BR327*AR327)+1/(BR327*$BY$4)))</f>
        <v>45.00757958564931</v>
      </c>
      <c r="BY327" s="1018">
        <f t="shared" ref="BY327:BY335" ca="1" si="473">IF(BS327=0,0,1/(1/(BS327*$BY$3)+1/(BS327*AS327)+1/(BS327*$BY$4)))</f>
        <v>171.66405294836832</v>
      </c>
      <c r="BZ327" s="1018">
        <f t="shared" ca="1" si="385"/>
        <v>26.230449377041246</v>
      </c>
      <c r="CA327" s="1018">
        <f t="shared" ca="1" si="386"/>
        <v>92.979999962808009</v>
      </c>
      <c r="CB327" s="1018">
        <f t="shared" ref="CB327:CB335" ca="1" si="474">IF(BV327=0,0,1/(1/(BV327*$BY$3)+1/(BV327*AV327)+1/(BV327*$BY$4)))</f>
        <v>4.5133587786259541</v>
      </c>
      <c r="CC327" s="1018">
        <f t="shared" si="387"/>
        <v>0</v>
      </c>
      <c r="CD327" s="1018">
        <f ca="1">SUM(BX327:CC327)+(BR327+BS327+BT327+BU327+BV327)*BN327</f>
        <v>371.65569065249286</v>
      </c>
      <c r="CE327" s="1018">
        <f t="shared" ca="1" si="402"/>
        <v>207.09049888711516</v>
      </c>
      <c r="CF327" s="1018">
        <f t="shared" ca="1" si="388"/>
        <v>17.36238568618824</v>
      </c>
      <c r="CG327" s="1018">
        <f t="shared" ca="1" si="389"/>
        <v>28907.677672075974</v>
      </c>
    </row>
    <row r="328" spans="3:85" x14ac:dyDescent="0.25">
      <c r="D328" s="1"/>
      <c r="F328" s="1"/>
      <c r="G328" s="3"/>
      <c r="H328" s="6"/>
      <c r="I328" s="3"/>
      <c r="J328" s="6"/>
      <c r="K328" s="8"/>
      <c r="L328" s="6"/>
      <c r="M328" s="1"/>
      <c r="N328" s="1"/>
      <c r="O328" s="1" t="s">
        <v>18</v>
      </c>
      <c r="P328" s="4"/>
      <c r="Q328" s="1" t="s">
        <v>7</v>
      </c>
      <c r="R328" s="4"/>
      <c r="S328" s="1"/>
      <c r="T328" s="77"/>
      <c r="U328" s="294"/>
      <c r="X328" s="176">
        <f t="shared" ref="X328:X335" si="475">W318-X318</f>
        <v>0</v>
      </c>
      <c r="Y328" s="34">
        <f>X328/Calculation_sheet!M$67</f>
        <v>0</v>
      </c>
      <c r="Z328" s="176">
        <f ca="1">IF(AN328&gt;0,Y328*Calculation_sheet!C$87,0)</f>
        <v>0</v>
      </c>
      <c r="AA328" s="176">
        <f t="shared" ca="1" si="381"/>
        <v>0</v>
      </c>
      <c r="AB328" s="176">
        <f ca="1">IF(AP328&gt;0,AA328*Calculation_sheet!C$94,0)</f>
        <v>0</v>
      </c>
      <c r="AC328" s="176">
        <f t="shared" ca="1" si="464"/>
        <v>0</v>
      </c>
      <c r="AD328" s="958">
        <f ca="1">AC328*Calculation_sheet!C$99</f>
        <v>0</v>
      </c>
      <c r="AE328" s="176">
        <f t="shared" ca="1" si="464"/>
        <v>0</v>
      </c>
      <c r="AF328" s="176">
        <f t="shared" ca="1" si="405"/>
        <v>0</v>
      </c>
      <c r="AG328" s="958">
        <f ca="1">AF328*User_sheet!B$77/100</f>
        <v>0</v>
      </c>
      <c r="AH328" s="313"/>
      <c r="AI328" s="883">
        <v>103</v>
      </c>
      <c r="AJ328" s="985"/>
      <c r="AK328" s="1020">
        <f t="shared" ca="1" si="384"/>
        <v>371.65569065249286</v>
      </c>
      <c r="AL328" s="954">
        <f ca="1">AK328/'103'!I$24</f>
        <v>0.83635598459070126</v>
      </c>
      <c r="AM328" s="954">
        <f ca="1">0.8*(AK328*30+'103'!D$17*0.34*30*1)</f>
        <v>12372.089775659828</v>
      </c>
      <c r="AN328" s="954">
        <f ca="1">IF(AM328&lt;User_sheet!B$50,Y328,0)</f>
        <v>0</v>
      </c>
      <c r="AO328" s="954">
        <f ca="1">20-(User_sheet!B$57/('Freestanding '!AK328+'103'!D$17*1*0.34))</f>
        <v>8.9428542404264775</v>
      </c>
      <c r="AP328" s="954">
        <f ca="1">IF(AO328&lt;User_sheet!B$59,0,BC328*AA328)</f>
        <v>0</v>
      </c>
      <c r="AQ328" s="985"/>
      <c r="AR328" s="883">
        <v>0.32</v>
      </c>
      <c r="AS328" s="1020">
        <v>2.41</v>
      </c>
      <c r="AT328" s="883">
        <v>0.59</v>
      </c>
      <c r="AU328" s="883">
        <v>2</v>
      </c>
      <c r="AV328" s="883">
        <v>3.3</v>
      </c>
      <c r="AW328" s="883">
        <v>14356</v>
      </c>
      <c r="AX328" s="883">
        <v>75945.51234133933</v>
      </c>
      <c r="AY328" s="883">
        <v>64021.679041832605</v>
      </c>
      <c r="AZ328" s="886">
        <v>0</v>
      </c>
      <c r="BA328" s="886">
        <v>0</v>
      </c>
      <c r="BB328" s="883">
        <v>0.6</v>
      </c>
      <c r="BC328" s="888">
        <v>1</v>
      </c>
      <c r="BD328" s="889">
        <v>0</v>
      </c>
      <c r="BE328" s="889">
        <v>0</v>
      </c>
      <c r="BF328" s="890">
        <v>0</v>
      </c>
      <c r="BG328" s="883">
        <v>1</v>
      </c>
      <c r="BH328" s="883">
        <v>0</v>
      </c>
      <c r="BI328" s="890">
        <v>0</v>
      </c>
      <c r="BJ328" s="883">
        <v>0</v>
      </c>
      <c r="BK328" s="883">
        <v>0</v>
      </c>
      <c r="BL328" s="883">
        <v>1</v>
      </c>
      <c r="BM328" s="890">
        <v>0</v>
      </c>
      <c r="BN328" s="958">
        <v>7.0000000000000007E-2</v>
      </c>
      <c r="BO328" s="959">
        <v>17.100000000000001</v>
      </c>
      <c r="BP328" s="1018">
        <f t="shared" ca="1" si="465"/>
        <v>148.5</v>
      </c>
      <c r="BQ328" s="1018">
        <f t="shared" ca="1" si="466"/>
        <v>412.25249999999994</v>
      </c>
      <c r="BR328" s="1018">
        <f t="shared" ca="1" si="467"/>
        <v>148.44999999999999</v>
      </c>
      <c r="BS328" s="1018">
        <f t="shared" ca="1" si="468"/>
        <v>100.98500000000001</v>
      </c>
      <c r="BT328" s="1018">
        <f t="shared" ca="1" si="469"/>
        <v>148.5</v>
      </c>
      <c r="BU328" s="1018">
        <f t="shared" ca="1" si="470"/>
        <v>46.489999999999995</v>
      </c>
      <c r="BV328" s="1018">
        <f t="shared" ca="1" si="471"/>
        <v>2.15</v>
      </c>
      <c r="BW328" s="1018">
        <v>0</v>
      </c>
      <c r="BX328" s="1018">
        <f t="shared" ca="1" si="472"/>
        <v>45.00757958564931</v>
      </c>
      <c r="BY328" s="1018">
        <f t="shared" ca="1" si="473"/>
        <v>171.66405294836832</v>
      </c>
      <c r="BZ328" s="1018">
        <f t="shared" ca="1" si="385"/>
        <v>26.230449377041246</v>
      </c>
      <c r="CA328" s="1018">
        <f t="shared" ca="1" si="386"/>
        <v>92.979999962808009</v>
      </c>
      <c r="CB328" s="1018">
        <f t="shared" ca="1" si="474"/>
        <v>4.5133587786259541</v>
      </c>
      <c r="CC328" s="1018">
        <f t="shared" si="387"/>
        <v>0</v>
      </c>
      <c r="CD328" s="1018">
        <f t="shared" ref="CD328:CD335" ca="1" si="476">SUM(BX328:CC328)+(BR328+BS328+BT328+BU328+BV328)*BN328</f>
        <v>371.65569065249286</v>
      </c>
      <c r="CE328" s="1018">
        <f t="shared" ca="1" si="402"/>
        <v>207.09049888711516</v>
      </c>
      <c r="CF328" s="1018">
        <f t="shared" ca="1" si="388"/>
        <v>17.36238568618824</v>
      </c>
      <c r="CG328" s="1018">
        <f t="shared" ca="1" si="389"/>
        <v>28907.677672075974</v>
      </c>
    </row>
    <row r="329" spans="3:85" x14ac:dyDescent="0.25">
      <c r="D329" s="1"/>
      <c r="F329" s="1"/>
      <c r="G329" s="3"/>
      <c r="H329" s="6"/>
      <c r="I329" s="3"/>
      <c r="J329" s="6"/>
      <c r="K329" s="8"/>
      <c r="L329" s="6"/>
      <c r="M329" s="1"/>
      <c r="N329" s="1"/>
      <c r="O329" s="1"/>
      <c r="P329" s="1"/>
      <c r="Q329" s="1" t="s">
        <v>16</v>
      </c>
      <c r="R329" s="4"/>
      <c r="S329" s="1"/>
      <c r="T329" s="77"/>
      <c r="U329" s="294"/>
      <c r="X329" s="176">
        <f t="shared" si="475"/>
        <v>0</v>
      </c>
      <c r="Y329" s="34">
        <f>X329/Calculation_sheet!M$67</f>
        <v>0</v>
      </c>
      <c r="Z329" s="176">
        <f ca="1">IF(AN329&gt;0,Y329*Calculation_sheet!C$87,0)</f>
        <v>0</v>
      </c>
      <c r="AA329" s="176">
        <f t="shared" ca="1" si="381"/>
        <v>0</v>
      </c>
      <c r="AB329" s="176">
        <f ca="1">IF(AP329&gt;0,AA329*Calculation_sheet!C$94,0)</f>
        <v>0</v>
      </c>
      <c r="AC329" s="176">
        <f t="shared" ca="1" si="464"/>
        <v>0</v>
      </c>
      <c r="AD329" s="958">
        <f ca="1">AC329*Calculation_sheet!C$99</f>
        <v>0</v>
      </c>
      <c r="AE329" s="176">
        <f t="shared" ca="1" si="464"/>
        <v>0</v>
      </c>
      <c r="AF329" s="176">
        <f t="shared" ca="1" si="405"/>
        <v>0</v>
      </c>
      <c r="AG329" s="958">
        <f ca="1">AF329*User_sheet!B$77/100</f>
        <v>0</v>
      </c>
      <c r="AH329" s="313"/>
      <c r="AI329" s="883">
        <v>103</v>
      </c>
      <c r="AJ329" s="985"/>
      <c r="AK329" s="1020">
        <f t="shared" ca="1" si="384"/>
        <v>371.65569065249286</v>
      </c>
      <c r="AL329" s="954">
        <f ca="1">AK329/'103'!I$24</f>
        <v>0.83635598459070126</v>
      </c>
      <c r="AM329" s="954">
        <f ca="1">0.8*(AK329*30+'103'!D$17*0.34*30*1)</f>
        <v>12372.089775659828</v>
      </c>
      <c r="AN329" s="954">
        <f ca="1">IF(AM329&lt;User_sheet!B$50,Y329,0)</f>
        <v>0</v>
      </c>
      <c r="AO329" s="954">
        <f ca="1">20-(User_sheet!B$57/('Freestanding '!AK329+'103'!D$17*1*0.34))</f>
        <v>8.9428542404264775</v>
      </c>
      <c r="AP329" s="954">
        <f ca="1">IF(AO329&lt;User_sheet!B$59,0,BC329*AA329)</f>
        <v>0</v>
      </c>
      <c r="AQ329" s="985"/>
      <c r="AR329" s="883">
        <v>0.32</v>
      </c>
      <c r="AS329" s="1020">
        <v>2.41</v>
      </c>
      <c r="AT329" s="883">
        <v>0.59</v>
      </c>
      <c r="AU329" s="883">
        <v>2</v>
      </c>
      <c r="AV329" s="883">
        <v>3.3</v>
      </c>
      <c r="AW329" s="883">
        <v>14356</v>
      </c>
      <c r="AX329" s="883">
        <v>75945.51234133933</v>
      </c>
      <c r="AY329" s="883">
        <v>64021.679041832605</v>
      </c>
      <c r="AZ329" s="886">
        <v>0</v>
      </c>
      <c r="BA329" s="886">
        <v>0</v>
      </c>
      <c r="BB329" s="883">
        <v>0.6</v>
      </c>
      <c r="BC329" s="888">
        <v>1</v>
      </c>
      <c r="BD329" s="889">
        <v>0</v>
      </c>
      <c r="BE329" s="889">
        <v>0</v>
      </c>
      <c r="BF329" s="890">
        <v>0</v>
      </c>
      <c r="BG329" s="883">
        <v>0</v>
      </c>
      <c r="BH329" s="883">
        <v>1</v>
      </c>
      <c r="BI329" s="890">
        <v>0</v>
      </c>
      <c r="BJ329" s="883">
        <v>1</v>
      </c>
      <c r="BK329" s="883">
        <v>0</v>
      </c>
      <c r="BL329" s="883">
        <v>0</v>
      </c>
      <c r="BM329" s="890">
        <v>0</v>
      </c>
      <c r="BN329" s="958">
        <v>7.0000000000000007E-2</v>
      </c>
      <c r="BO329" s="959">
        <v>17.100000000000001</v>
      </c>
      <c r="BP329" s="1018">
        <f t="shared" ca="1" si="465"/>
        <v>148.5</v>
      </c>
      <c r="BQ329" s="1018">
        <f t="shared" ca="1" si="466"/>
        <v>412.25249999999994</v>
      </c>
      <c r="BR329" s="1018">
        <f t="shared" ca="1" si="467"/>
        <v>148.44999999999999</v>
      </c>
      <c r="BS329" s="1018">
        <f t="shared" ca="1" si="468"/>
        <v>100.98500000000001</v>
      </c>
      <c r="BT329" s="1018">
        <f t="shared" ca="1" si="469"/>
        <v>148.5</v>
      </c>
      <c r="BU329" s="1018">
        <f t="shared" ca="1" si="470"/>
        <v>46.489999999999995</v>
      </c>
      <c r="BV329" s="1018">
        <f t="shared" ca="1" si="471"/>
        <v>2.15</v>
      </c>
      <c r="BW329" s="1018">
        <v>0</v>
      </c>
      <c r="BX329" s="1018">
        <f t="shared" ca="1" si="472"/>
        <v>45.00757958564931</v>
      </c>
      <c r="BY329" s="1018">
        <f t="shared" ca="1" si="473"/>
        <v>171.66405294836832</v>
      </c>
      <c r="BZ329" s="1018">
        <f t="shared" ca="1" si="385"/>
        <v>26.230449377041246</v>
      </c>
      <c r="CA329" s="1018">
        <f t="shared" ca="1" si="386"/>
        <v>92.979999962808009</v>
      </c>
      <c r="CB329" s="1018">
        <f t="shared" ca="1" si="474"/>
        <v>4.5133587786259541</v>
      </c>
      <c r="CC329" s="1018">
        <f t="shared" si="387"/>
        <v>0</v>
      </c>
      <c r="CD329" s="1018">
        <f t="shared" ca="1" si="476"/>
        <v>371.65569065249286</v>
      </c>
      <c r="CE329" s="1018">
        <f t="shared" ca="1" si="402"/>
        <v>207.09049888711516</v>
      </c>
      <c r="CF329" s="1018">
        <f t="shared" ca="1" si="388"/>
        <v>17.36238568618824</v>
      </c>
      <c r="CG329" s="1018">
        <f t="shared" ca="1" si="389"/>
        <v>28907.677672075974</v>
      </c>
    </row>
    <row r="330" spans="3:85" x14ac:dyDescent="0.25">
      <c r="D330" s="1"/>
      <c r="F330" s="1"/>
      <c r="G330" s="3"/>
      <c r="H330" s="6"/>
      <c r="I330" s="3"/>
      <c r="J330" s="3" t="s">
        <v>144</v>
      </c>
      <c r="K330" s="8"/>
      <c r="L330" s="6"/>
      <c r="M330" s="1" t="s">
        <v>16</v>
      </c>
      <c r="N330" s="4"/>
      <c r="O330" s="1" t="s">
        <v>19</v>
      </c>
      <c r="P330" s="4"/>
      <c r="Q330" s="1" t="s">
        <v>7</v>
      </c>
      <c r="R330" s="4"/>
      <c r="S330" s="1"/>
      <c r="T330" s="77"/>
      <c r="U330" s="294"/>
      <c r="X330" s="176">
        <f t="shared" si="475"/>
        <v>0</v>
      </c>
      <c r="Y330" s="34">
        <f>X330/Calculation_sheet!M$67</f>
        <v>0</v>
      </c>
      <c r="Z330" s="176">
        <f ca="1">IF(AN330&gt;0,Y330*Calculation_sheet!C$87,0)</f>
        <v>0</v>
      </c>
      <c r="AA330" s="176">
        <f t="shared" ref="AA330:AA335" ca="1" si="477">Y330-Z330</f>
        <v>0</v>
      </c>
      <c r="AB330" s="176">
        <f ca="1">IF(AP330&gt;0,AA330*Calculation_sheet!C$94,0)</f>
        <v>0</v>
      </c>
      <c r="AC330" s="176">
        <f t="shared" ca="1" si="464"/>
        <v>0</v>
      </c>
      <c r="AD330" s="958">
        <f ca="1">AC330*Calculation_sheet!C$99</f>
        <v>0</v>
      </c>
      <c r="AE330" s="176">
        <f t="shared" ca="1" si="464"/>
        <v>0</v>
      </c>
      <c r="AF330" s="176">
        <f t="shared" ca="1" si="405"/>
        <v>0</v>
      </c>
      <c r="AG330" s="958">
        <f ca="1">AF330*User_sheet!B$77/100</f>
        <v>0</v>
      </c>
      <c r="AH330" s="313"/>
      <c r="AI330" s="883">
        <v>103</v>
      </c>
      <c r="AJ330" s="985"/>
      <c r="AK330" s="1020">
        <f t="shared" ca="1" si="384"/>
        <v>371.65569065249286</v>
      </c>
      <c r="AL330" s="954">
        <f ca="1">AK330/'103'!I$24</f>
        <v>0.83635598459070126</v>
      </c>
      <c r="AM330" s="954">
        <f ca="1">0.8*(AK330*30+'103'!D$17*0.34*30*1)</f>
        <v>12372.089775659828</v>
      </c>
      <c r="AN330" s="954">
        <f ca="1">IF(AM330&lt;User_sheet!B$50,Y330,0)</f>
        <v>0</v>
      </c>
      <c r="AO330" s="954">
        <f ca="1">20-(User_sheet!B$57/('Freestanding '!AK330+'103'!D$17*1*0.34))</f>
        <v>8.9428542404264775</v>
      </c>
      <c r="AP330" s="954">
        <f ca="1">IF(AO330&lt;User_sheet!B$59,0,BC330*AA330)</f>
        <v>0</v>
      </c>
      <c r="AQ330" s="985"/>
      <c r="AR330" s="883">
        <v>0.32</v>
      </c>
      <c r="AS330" s="1020">
        <v>2.41</v>
      </c>
      <c r="AT330" s="883">
        <v>0.59</v>
      </c>
      <c r="AU330" s="883">
        <v>2</v>
      </c>
      <c r="AV330" s="883">
        <v>3.3</v>
      </c>
      <c r="AW330" s="883">
        <v>14356</v>
      </c>
      <c r="AX330" s="883">
        <v>75945.51234133933</v>
      </c>
      <c r="AY330" s="883">
        <v>64021.679041832605</v>
      </c>
      <c r="AZ330" s="886">
        <v>0</v>
      </c>
      <c r="BA330" s="886">
        <v>0</v>
      </c>
      <c r="BB330" s="883">
        <v>0.6</v>
      </c>
      <c r="BC330" s="888">
        <v>1</v>
      </c>
      <c r="BD330" s="889">
        <v>0</v>
      </c>
      <c r="BE330" s="889">
        <v>0</v>
      </c>
      <c r="BF330" s="890">
        <v>0</v>
      </c>
      <c r="BG330" s="883">
        <v>0</v>
      </c>
      <c r="BH330" s="883">
        <v>1</v>
      </c>
      <c r="BI330" s="890">
        <v>0</v>
      </c>
      <c r="BJ330" s="883">
        <v>0</v>
      </c>
      <c r="BK330" s="883">
        <v>0</v>
      </c>
      <c r="BL330" s="883">
        <v>1</v>
      </c>
      <c r="BM330" s="890">
        <v>0</v>
      </c>
      <c r="BN330" s="958">
        <v>7.0000000000000007E-2</v>
      </c>
      <c r="BO330" s="959">
        <v>17.100000000000001</v>
      </c>
      <c r="BP330" s="1018">
        <f t="shared" ca="1" si="465"/>
        <v>148.5</v>
      </c>
      <c r="BQ330" s="1018">
        <f t="shared" ca="1" si="466"/>
        <v>412.25249999999994</v>
      </c>
      <c r="BR330" s="1018">
        <f t="shared" ca="1" si="467"/>
        <v>148.44999999999999</v>
      </c>
      <c r="BS330" s="1018">
        <f t="shared" ca="1" si="468"/>
        <v>100.98500000000001</v>
      </c>
      <c r="BT330" s="1018">
        <f t="shared" ca="1" si="469"/>
        <v>148.5</v>
      </c>
      <c r="BU330" s="1018">
        <f t="shared" ca="1" si="470"/>
        <v>46.489999999999995</v>
      </c>
      <c r="BV330" s="1018">
        <f t="shared" ca="1" si="471"/>
        <v>2.15</v>
      </c>
      <c r="BW330" s="1018">
        <v>0</v>
      </c>
      <c r="BX330" s="1018">
        <f t="shared" ca="1" si="472"/>
        <v>45.00757958564931</v>
      </c>
      <c r="BY330" s="1018">
        <f t="shared" ca="1" si="473"/>
        <v>171.66405294836832</v>
      </c>
      <c r="BZ330" s="1018">
        <f t="shared" ca="1" si="385"/>
        <v>26.230449377041246</v>
      </c>
      <c r="CA330" s="1018">
        <f t="shared" ca="1" si="386"/>
        <v>92.979999962808009</v>
      </c>
      <c r="CB330" s="1018">
        <f t="shared" ca="1" si="474"/>
        <v>4.5133587786259541</v>
      </c>
      <c r="CC330" s="1018">
        <f t="shared" si="387"/>
        <v>0</v>
      </c>
      <c r="CD330" s="1018">
        <f t="shared" ca="1" si="476"/>
        <v>371.65569065249286</v>
      </c>
      <c r="CE330" s="1018">
        <f t="shared" ref="CE330:CE335" ca="1" si="478">0.34*BO330*(1/25)^0.66*(BR330+BS330+BU330+BV330)</f>
        <v>207.09049888711516</v>
      </c>
      <c r="CF330" s="1018">
        <f t="shared" ca="1" si="388"/>
        <v>17.36238568618824</v>
      </c>
      <c r="CG330" s="1018">
        <f t="shared" ca="1" si="389"/>
        <v>28907.677672075974</v>
      </c>
    </row>
    <row r="331" spans="3:85" x14ac:dyDescent="0.25">
      <c r="D331" s="1"/>
      <c r="F331" s="1"/>
      <c r="G331" s="3"/>
      <c r="H331" s="6"/>
      <c r="I331" s="3"/>
      <c r="J331" s="6" t="s">
        <v>190</v>
      </c>
      <c r="K331" s="8"/>
      <c r="L331" s="6"/>
      <c r="M331" s="1"/>
      <c r="N331" s="1"/>
      <c r="O331" s="1"/>
      <c r="P331" s="1"/>
      <c r="Q331" s="1" t="s">
        <v>22</v>
      </c>
      <c r="R331" s="4"/>
      <c r="S331" s="1"/>
      <c r="T331" s="77"/>
      <c r="U331" s="294"/>
      <c r="X331" s="176">
        <f t="shared" si="475"/>
        <v>0</v>
      </c>
      <c r="Y331" s="34">
        <f>X331/Calculation_sheet!M$67</f>
        <v>0</v>
      </c>
      <c r="Z331" s="176">
        <f ca="1">IF(AN331&gt;0,Y331*Calculation_sheet!C$87,0)</f>
        <v>0</v>
      </c>
      <c r="AA331" s="176">
        <f t="shared" ca="1" si="477"/>
        <v>0</v>
      </c>
      <c r="AB331" s="176">
        <f ca="1">IF(AP331&gt;0,AA331*Calculation_sheet!C$94,0)</f>
        <v>0</v>
      </c>
      <c r="AC331" s="176">
        <f t="shared" ca="1" si="464"/>
        <v>0</v>
      </c>
      <c r="AD331" s="958">
        <f ca="1">AC331*Calculation_sheet!C$99</f>
        <v>0</v>
      </c>
      <c r="AE331" s="176">
        <f t="shared" ca="1" si="464"/>
        <v>0</v>
      </c>
      <c r="AF331" s="176">
        <f t="shared" ca="1" si="405"/>
        <v>0</v>
      </c>
      <c r="AG331" s="958">
        <f ca="1">AF331*User_sheet!B$77/100</f>
        <v>0</v>
      </c>
      <c r="AH331" s="313"/>
      <c r="AI331" s="883">
        <v>103</v>
      </c>
      <c r="AJ331" s="985"/>
      <c r="AK331" s="1020">
        <f t="shared" ca="1" si="384"/>
        <v>371.65569065249286</v>
      </c>
      <c r="AL331" s="954">
        <f ca="1">AK331/'103'!I$24</f>
        <v>0.83635598459070126</v>
      </c>
      <c r="AM331" s="954">
        <f ca="1">0.8*(AK331*30+'103'!D$17*0.34*30*1)</f>
        <v>12372.089775659828</v>
      </c>
      <c r="AN331" s="954">
        <f ca="1">IF(AM331&lt;User_sheet!B$50,Y331,0)</f>
        <v>0</v>
      </c>
      <c r="AO331" s="954">
        <f ca="1">20-(User_sheet!B$57/('Freestanding '!AK331+'103'!D$17*1*0.34))</f>
        <v>8.9428542404264775</v>
      </c>
      <c r="AP331" s="954">
        <f ca="1">IF(AO331&lt;User_sheet!B$59,0,BC331*AA331)</f>
        <v>0</v>
      </c>
      <c r="AQ331" s="985"/>
      <c r="AR331" s="883">
        <v>0.32</v>
      </c>
      <c r="AS331" s="1020">
        <v>2.41</v>
      </c>
      <c r="AT331" s="883">
        <v>0.59</v>
      </c>
      <c r="AU331" s="883">
        <v>2</v>
      </c>
      <c r="AV331" s="883">
        <v>3.3</v>
      </c>
      <c r="AW331" s="883">
        <v>14356</v>
      </c>
      <c r="AX331" s="883">
        <v>75945.51234133933</v>
      </c>
      <c r="AY331" s="883">
        <v>64021.679041832605</v>
      </c>
      <c r="AZ331" s="886">
        <v>0</v>
      </c>
      <c r="BA331" s="886">
        <v>0</v>
      </c>
      <c r="BB331" s="883">
        <v>0.6</v>
      </c>
      <c r="BC331" s="888">
        <v>0</v>
      </c>
      <c r="BD331" s="889">
        <v>1</v>
      </c>
      <c r="BE331" s="889">
        <v>0</v>
      </c>
      <c r="BF331" s="890">
        <v>0</v>
      </c>
      <c r="BG331" s="883">
        <v>1</v>
      </c>
      <c r="BH331" s="883">
        <v>0</v>
      </c>
      <c r="BI331" s="890">
        <v>0</v>
      </c>
      <c r="BJ331" s="883">
        <v>0</v>
      </c>
      <c r="BK331" s="883">
        <v>1</v>
      </c>
      <c r="BL331" s="883">
        <v>0</v>
      </c>
      <c r="BM331" s="890">
        <v>0</v>
      </c>
      <c r="BN331" s="958">
        <v>7.0000000000000007E-2</v>
      </c>
      <c r="BO331" s="959">
        <v>17.100000000000001</v>
      </c>
      <c r="BP331" s="1018">
        <f t="shared" ca="1" si="465"/>
        <v>148.5</v>
      </c>
      <c r="BQ331" s="1018">
        <f t="shared" ca="1" si="466"/>
        <v>412.25249999999994</v>
      </c>
      <c r="BR331" s="1018">
        <f t="shared" ca="1" si="467"/>
        <v>148.44999999999999</v>
      </c>
      <c r="BS331" s="1018">
        <f t="shared" ca="1" si="468"/>
        <v>100.98500000000001</v>
      </c>
      <c r="BT331" s="1018">
        <f t="shared" ca="1" si="469"/>
        <v>148.5</v>
      </c>
      <c r="BU331" s="1018">
        <f t="shared" ca="1" si="470"/>
        <v>46.489999999999995</v>
      </c>
      <c r="BV331" s="1018">
        <f t="shared" ca="1" si="471"/>
        <v>2.15</v>
      </c>
      <c r="BW331" s="1018">
        <v>0</v>
      </c>
      <c r="BX331" s="1018">
        <f t="shared" ca="1" si="472"/>
        <v>45.00757958564931</v>
      </c>
      <c r="BY331" s="1018">
        <f t="shared" ca="1" si="473"/>
        <v>171.66405294836832</v>
      </c>
      <c r="BZ331" s="1018">
        <f t="shared" ca="1" si="385"/>
        <v>26.230449377041246</v>
      </c>
      <c r="CA331" s="1018">
        <f t="shared" ca="1" si="386"/>
        <v>92.979999962808009</v>
      </c>
      <c r="CB331" s="1018">
        <f t="shared" ca="1" si="474"/>
        <v>4.5133587786259541</v>
      </c>
      <c r="CC331" s="1018">
        <f t="shared" si="387"/>
        <v>0</v>
      </c>
      <c r="CD331" s="1018">
        <f t="shared" ca="1" si="476"/>
        <v>371.65569065249286</v>
      </c>
      <c r="CE331" s="1018">
        <f t="shared" ca="1" si="478"/>
        <v>207.09049888711516</v>
      </c>
      <c r="CF331" s="1018">
        <f t="shared" ca="1" si="388"/>
        <v>17.36238568618824</v>
      </c>
      <c r="CG331" s="1018">
        <f t="shared" ca="1" si="389"/>
        <v>28907.677672075974</v>
      </c>
    </row>
    <row r="332" spans="3:85" x14ac:dyDescent="0.25">
      <c r="D332" s="1"/>
      <c r="F332" s="1"/>
      <c r="G332" s="3"/>
      <c r="H332" s="6"/>
      <c r="I332" s="3"/>
      <c r="K332" s="8"/>
      <c r="L332" s="6"/>
      <c r="M332" s="1"/>
      <c r="N332" s="1"/>
      <c r="O332" s="1" t="s">
        <v>18</v>
      </c>
      <c r="P332" s="4"/>
      <c r="Q332" s="1" t="s">
        <v>7</v>
      </c>
      <c r="R332" s="4"/>
      <c r="S332" s="1"/>
      <c r="T332" s="77"/>
      <c r="U332" s="294"/>
      <c r="X332" s="176">
        <f t="shared" si="475"/>
        <v>0</v>
      </c>
      <c r="Y332" s="34">
        <f>X332/Calculation_sheet!M$67</f>
        <v>0</v>
      </c>
      <c r="Z332" s="176">
        <f ca="1">IF(AN332&gt;0,Y332*Calculation_sheet!C$87,0)</f>
        <v>0</v>
      </c>
      <c r="AA332" s="176">
        <f t="shared" ca="1" si="477"/>
        <v>0</v>
      </c>
      <c r="AB332" s="176">
        <f ca="1">IF(AP332&gt;0,AA332*Calculation_sheet!C$94,0)</f>
        <v>0</v>
      </c>
      <c r="AC332" s="176">
        <f t="shared" ca="1" si="464"/>
        <v>0</v>
      </c>
      <c r="AD332" s="958">
        <f ca="1">AC332*Calculation_sheet!C$99</f>
        <v>0</v>
      </c>
      <c r="AE332" s="176">
        <f t="shared" ca="1" si="464"/>
        <v>0</v>
      </c>
      <c r="AF332" s="176">
        <f t="shared" ca="1" si="405"/>
        <v>0</v>
      </c>
      <c r="AG332" s="958">
        <f ca="1">AF332*User_sheet!B$77/100</f>
        <v>0</v>
      </c>
      <c r="AH332" s="313"/>
      <c r="AI332" s="883">
        <v>103</v>
      </c>
      <c r="AJ332" s="985"/>
      <c r="AK332" s="1020">
        <f t="shared" ca="1" si="384"/>
        <v>371.65569065249286</v>
      </c>
      <c r="AL332" s="954">
        <f ca="1">AK332/'103'!I$24</f>
        <v>0.83635598459070126</v>
      </c>
      <c r="AM332" s="954">
        <f ca="1">0.8*(AK332*30+'103'!D$17*0.34*30*1)</f>
        <v>12372.089775659828</v>
      </c>
      <c r="AN332" s="954">
        <f ca="1">IF(AM332&lt;User_sheet!B$50,Y332,0)</f>
        <v>0</v>
      </c>
      <c r="AO332" s="954">
        <f ca="1">20-(User_sheet!B$57/('Freestanding '!AK332+'103'!D$17*1*0.34))</f>
        <v>8.9428542404264775</v>
      </c>
      <c r="AP332" s="954">
        <f ca="1">IF(AO332&lt;User_sheet!B$59,0,BC332*AA332)</f>
        <v>0</v>
      </c>
      <c r="AQ332" s="985"/>
      <c r="AR332" s="883">
        <v>0.32</v>
      </c>
      <c r="AS332" s="1020">
        <v>2.41</v>
      </c>
      <c r="AT332" s="883">
        <v>0.59</v>
      </c>
      <c r="AU332" s="883">
        <v>2</v>
      </c>
      <c r="AV332" s="883">
        <v>3.3</v>
      </c>
      <c r="AW332" s="883">
        <v>14356</v>
      </c>
      <c r="AX332" s="883">
        <v>75945.51234133933</v>
      </c>
      <c r="AY332" s="883">
        <v>64021.679041832605</v>
      </c>
      <c r="AZ332" s="886">
        <v>0</v>
      </c>
      <c r="BA332" s="886">
        <v>0</v>
      </c>
      <c r="BB332" s="883">
        <v>0.6</v>
      </c>
      <c r="BC332" s="888">
        <v>0</v>
      </c>
      <c r="BD332" s="889">
        <v>1</v>
      </c>
      <c r="BE332" s="889">
        <v>0</v>
      </c>
      <c r="BF332" s="890">
        <v>0</v>
      </c>
      <c r="BG332" s="883">
        <v>1</v>
      </c>
      <c r="BH332" s="883">
        <v>0</v>
      </c>
      <c r="BI332" s="890">
        <v>0</v>
      </c>
      <c r="BJ332" s="883">
        <v>0</v>
      </c>
      <c r="BK332" s="883">
        <v>0</v>
      </c>
      <c r="BL332" s="883">
        <v>1</v>
      </c>
      <c r="BM332" s="890">
        <v>0</v>
      </c>
      <c r="BN332" s="958">
        <v>7.0000000000000007E-2</v>
      </c>
      <c r="BO332" s="959">
        <v>17.100000000000001</v>
      </c>
      <c r="BP332" s="1018">
        <f t="shared" ca="1" si="465"/>
        <v>148.5</v>
      </c>
      <c r="BQ332" s="1018">
        <f t="shared" ca="1" si="466"/>
        <v>412.25249999999994</v>
      </c>
      <c r="BR332" s="1018">
        <f t="shared" ca="1" si="467"/>
        <v>148.44999999999999</v>
      </c>
      <c r="BS332" s="1018">
        <f t="shared" ca="1" si="468"/>
        <v>100.98500000000001</v>
      </c>
      <c r="BT332" s="1018">
        <f t="shared" ca="1" si="469"/>
        <v>148.5</v>
      </c>
      <c r="BU332" s="1018">
        <f t="shared" ca="1" si="470"/>
        <v>46.489999999999995</v>
      </c>
      <c r="BV332" s="1018">
        <f t="shared" ca="1" si="471"/>
        <v>2.15</v>
      </c>
      <c r="BW332" s="1018">
        <v>0</v>
      </c>
      <c r="BX332" s="1018">
        <f t="shared" ca="1" si="472"/>
        <v>45.00757958564931</v>
      </c>
      <c r="BY332" s="1018">
        <f t="shared" ca="1" si="473"/>
        <v>171.66405294836832</v>
      </c>
      <c r="BZ332" s="1018">
        <f t="shared" ca="1" si="385"/>
        <v>26.230449377041246</v>
      </c>
      <c r="CA332" s="1018">
        <f t="shared" ca="1" si="386"/>
        <v>92.979999962808009</v>
      </c>
      <c r="CB332" s="1018">
        <f t="shared" ca="1" si="474"/>
        <v>4.5133587786259541</v>
      </c>
      <c r="CC332" s="1018">
        <f t="shared" si="387"/>
        <v>0</v>
      </c>
      <c r="CD332" s="1018">
        <f t="shared" ca="1" si="476"/>
        <v>371.65569065249286</v>
      </c>
      <c r="CE332" s="1018">
        <f t="shared" ca="1" si="478"/>
        <v>207.09049888711516</v>
      </c>
      <c r="CF332" s="1018">
        <f t="shared" ca="1" si="388"/>
        <v>17.36238568618824</v>
      </c>
      <c r="CG332" s="1018">
        <f t="shared" ca="1" si="389"/>
        <v>28907.677672075974</v>
      </c>
    </row>
    <row r="333" spans="3:85" x14ac:dyDescent="0.25">
      <c r="D333" s="1"/>
      <c r="F333" s="1"/>
      <c r="G333" s="3"/>
      <c r="H333" s="6"/>
      <c r="I333" s="3"/>
      <c r="K333" s="8"/>
      <c r="L333" s="6"/>
      <c r="M333" s="1"/>
      <c r="N333" s="1"/>
      <c r="O333" s="1"/>
      <c r="P333" s="1"/>
      <c r="Q333" s="1" t="s">
        <v>22</v>
      </c>
      <c r="R333" s="4"/>
      <c r="S333" s="1"/>
      <c r="T333" s="77"/>
      <c r="U333" s="294"/>
      <c r="X333" s="176">
        <f t="shared" si="475"/>
        <v>0</v>
      </c>
      <c r="Y333" s="34">
        <f>X333/Calculation_sheet!M$67</f>
        <v>0</v>
      </c>
      <c r="Z333" s="176">
        <f ca="1">IF(AN333&gt;0,Y333*Calculation_sheet!C$87,0)</f>
        <v>0</v>
      </c>
      <c r="AA333" s="176">
        <f t="shared" ca="1" si="477"/>
        <v>0</v>
      </c>
      <c r="AB333" s="176">
        <f ca="1">IF(AP333&gt;0,AA333*Calculation_sheet!C$94,0)</f>
        <v>0</v>
      </c>
      <c r="AC333" s="176">
        <f t="shared" ca="1" si="464"/>
        <v>0</v>
      </c>
      <c r="AD333" s="958">
        <f ca="1">AC333*Calculation_sheet!C$99</f>
        <v>0</v>
      </c>
      <c r="AE333" s="176">
        <f t="shared" ca="1" si="464"/>
        <v>0</v>
      </c>
      <c r="AF333" s="176">
        <f t="shared" ca="1" si="405"/>
        <v>0</v>
      </c>
      <c r="AG333" s="958">
        <f ca="1">AF333*User_sheet!B$77/100</f>
        <v>0</v>
      </c>
      <c r="AH333" s="313"/>
      <c r="AI333" s="883">
        <v>103</v>
      </c>
      <c r="AJ333" s="985"/>
      <c r="AK333" s="1020">
        <f t="shared" ca="1" si="384"/>
        <v>371.65569065249286</v>
      </c>
      <c r="AL333" s="954">
        <f ca="1">AK333/'103'!I$24</f>
        <v>0.83635598459070126</v>
      </c>
      <c r="AM333" s="954">
        <f ca="1">0.8*(AK333*30+'103'!D$17*0.34*30*1)</f>
        <v>12372.089775659828</v>
      </c>
      <c r="AN333" s="954">
        <f ca="1">IF(AM333&lt;User_sheet!B$50,Y333,0)</f>
        <v>0</v>
      </c>
      <c r="AO333" s="954">
        <f ca="1">20-(User_sheet!B$57/('Freestanding '!AK333+'103'!D$17*1*0.34))</f>
        <v>8.9428542404264775</v>
      </c>
      <c r="AP333" s="954">
        <f ca="1">IF(AO333&lt;User_sheet!B$59,0,BC333*AA333)</f>
        <v>0</v>
      </c>
      <c r="AQ333" s="985"/>
      <c r="AR333" s="883">
        <v>0.32</v>
      </c>
      <c r="AS333" s="1020">
        <v>2.41</v>
      </c>
      <c r="AT333" s="883">
        <v>0.59</v>
      </c>
      <c r="AU333" s="883">
        <v>2</v>
      </c>
      <c r="AV333" s="883">
        <v>3.3</v>
      </c>
      <c r="AW333" s="883">
        <v>14356</v>
      </c>
      <c r="AX333" s="883">
        <v>75945.51234133933</v>
      </c>
      <c r="AY333" s="883">
        <v>64021.679041832605</v>
      </c>
      <c r="AZ333" s="886">
        <v>0</v>
      </c>
      <c r="BA333" s="886">
        <v>0</v>
      </c>
      <c r="BB333" s="883">
        <v>0.6</v>
      </c>
      <c r="BC333" s="888">
        <v>0</v>
      </c>
      <c r="BD333" s="889">
        <v>1</v>
      </c>
      <c r="BE333" s="889">
        <v>0</v>
      </c>
      <c r="BF333" s="890">
        <v>0</v>
      </c>
      <c r="BG333" s="883">
        <v>0</v>
      </c>
      <c r="BH333" s="883">
        <v>1</v>
      </c>
      <c r="BI333" s="890">
        <v>0</v>
      </c>
      <c r="BJ333" s="883">
        <v>0</v>
      </c>
      <c r="BK333" s="883">
        <v>1</v>
      </c>
      <c r="BL333" s="883">
        <v>0</v>
      </c>
      <c r="BM333" s="890">
        <v>0</v>
      </c>
      <c r="BN333" s="958">
        <v>7.0000000000000007E-2</v>
      </c>
      <c r="BO333" s="959">
        <v>17.100000000000001</v>
      </c>
      <c r="BP333" s="1018">
        <f t="shared" ca="1" si="465"/>
        <v>148.5</v>
      </c>
      <c r="BQ333" s="1018">
        <f t="shared" ca="1" si="466"/>
        <v>412.25249999999994</v>
      </c>
      <c r="BR333" s="1018">
        <f t="shared" ca="1" si="467"/>
        <v>148.44999999999999</v>
      </c>
      <c r="BS333" s="1018">
        <f t="shared" ca="1" si="468"/>
        <v>100.98500000000001</v>
      </c>
      <c r="BT333" s="1018">
        <f t="shared" ca="1" si="469"/>
        <v>148.5</v>
      </c>
      <c r="BU333" s="1018">
        <f t="shared" ca="1" si="470"/>
        <v>46.489999999999995</v>
      </c>
      <c r="BV333" s="1018">
        <f t="shared" ca="1" si="471"/>
        <v>2.15</v>
      </c>
      <c r="BW333" s="1018">
        <v>0</v>
      </c>
      <c r="BX333" s="1018">
        <f t="shared" ca="1" si="472"/>
        <v>45.00757958564931</v>
      </c>
      <c r="BY333" s="1018">
        <f t="shared" ca="1" si="473"/>
        <v>171.66405294836832</v>
      </c>
      <c r="BZ333" s="1018">
        <f t="shared" ca="1" si="385"/>
        <v>26.230449377041246</v>
      </c>
      <c r="CA333" s="1018">
        <f t="shared" ca="1" si="386"/>
        <v>92.979999962808009</v>
      </c>
      <c r="CB333" s="1018">
        <f t="shared" ca="1" si="474"/>
        <v>4.5133587786259541</v>
      </c>
      <c r="CC333" s="1018">
        <f t="shared" si="387"/>
        <v>0</v>
      </c>
      <c r="CD333" s="1018">
        <f t="shared" ca="1" si="476"/>
        <v>371.65569065249286</v>
      </c>
      <c r="CE333" s="1018">
        <f t="shared" ca="1" si="478"/>
        <v>207.09049888711516</v>
      </c>
      <c r="CF333" s="1018">
        <f t="shared" ca="1" si="388"/>
        <v>17.36238568618824</v>
      </c>
      <c r="CG333" s="1018">
        <f t="shared" ca="1" si="389"/>
        <v>28907.677672075974</v>
      </c>
    </row>
    <row r="334" spans="3:85" x14ac:dyDescent="0.25">
      <c r="D334" s="1"/>
      <c r="F334" s="1"/>
      <c r="G334" s="3"/>
      <c r="H334" s="6"/>
      <c r="I334" s="3"/>
      <c r="J334" s="6"/>
      <c r="K334" s="8"/>
      <c r="L334" s="3"/>
      <c r="M334" s="1" t="s">
        <v>22</v>
      </c>
      <c r="N334" s="4"/>
      <c r="O334" s="1" t="s">
        <v>20</v>
      </c>
      <c r="P334" s="4"/>
      <c r="Q334" s="1" t="s">
        <v>7</v>
      </c>
      <c r="R334" s="4"/>
      <c r="S334" s="1"/>
      <c r="T334" s="77"/>
      <c r="U334" s="294"/>
      <c r="X334" s="176">
        <f t="shared" si="475"/>
        <v>0</v>
      </c>
      <c r="Y334" s="34">
        <f>X334/Calculation_sheet!M$67</f>
        <v>0</v>
      </c>
      <c r="Z334" s="176">
        <f ca="1">IF(AN334&gt;0,Y334*Calculation_sheet!C$87,0)</f>
        <v>0</v>
      </c>
      <c r="AA334" s="176">
        <f t="shared" ca="1" si="477"/>
        <v>0</v>
      </c>
      <c r="AB334" s="176">
        <f ca="1">IF(AP334&gt;0,AA334*Calculation_sheet!C$94,0)</f>
        <v>0</v>
      </c>
      <c r="AC334" s="176">
        <f t="shared" ca="1" si="464"/>
        <v>0</v>
      </c>
      <c r="AD334" s="958">
        <f ca="1">AC334*Calculation_sheet!C$99</f>
        <v>0</v>
      </c>
      <c r="AE334" s="176">
        <f t="shared" ca="1" si="464"/>
        <v>0</v>
      </c>
      <c r="AF334" s="176">
        <f t="shared" ca="1" si="405"/>
        <v>0</v>
      </c>
      <c r="AG334" s="958">
        <f ca="1">AF334*User_sheet!B$77/100</f>
        <v>0</v>
      </c>
      <c r="AH334" s="313"/>
      <c r="AI334" s="883">
        <v>103</v>
      </c>
      <c r="AJ334" s="985"/>
      <c r="AK334" s="1020">
        <f t="shared" ref="AK334:AK397" ca="1" si="479">CD334</f>
        <v>371.65569065249286</v>
      </c>
      <c r="AL334" s="954">
        <f ca="1">AK334/'103'!I$24</f>
        <v>0.83635598459070126</v>
      </c>
      <c r="AM334" s="954">
        <f ca="1">0.8*(AK334*30+'103'!D$17*0.34*30*1)</f>
        <v>12372.089775659828</v>
      </c>
      <c r="AN334" s="954">
        <f ca="1">IF(AM334&lt;User_sheet!B$50,Y334,0)</f>
        <v>0</v>
      </c>
      <c r="AO334" s="954">
        <f ca="1">20-(User_sheet!B$57/('Freestanding '!AK334+'103'!D$17*1*0.34))</f>
        <v>8.9428542404264775</v>
      </c>
      <c r="AP334" s="954">
        <f ca="1">IF(AO334&lt;User_sheet!B$59,0,BC334*AA334)</f>
        <v>0</v>
      </c>
      <c r="AQ334" s="985"/>
      <c r="AR334" s="883">
        <v>0.32</v>
      </c>
      <c r="AS334" s="1020">
        <v>2.41</v>
      </c>
      <c r="AT334" s="883">
        <v>0.59</v>
      </c>
      <c r="AU334" s="883">
        <v>2</v>
      </c>
      <c r="AV334" s="883">
        <v>3.3</v>
      </c>
      <c r="AW334" s="883">
        <v>14356</v>
      </c>
      <c r="AX334" s="883">
        <v>75945.51234133933</v>
      </c>
      <c r="AY334" s="883">
        <v>64021.679041832605</v>
      </c>
      <c r="AZ334" s="886">
        <v>0</v>
      </c>
      <c r="BA334" s="886">
        <v>0</v>
      </c>
      <c r="BB334" s="883">
        <v>0.6</v>
      </c>
      <c r="BC334" s="888">
        <v>0</v>
      </c>
      <c r="BD334" s="889">
        <v>1</v>
      </c>
      <c r="BE334" s="889">
        <v>0</v>
      </c>
      <c r="BF334" s="890">
        <v>0</v>
      </c>
      <c r="BG334" s="883">
        <v>0</v>
      </c>
      <c r="BH334" s="883">
        <v>1</v>
      </c>
      <c r="BI334" s="890">
        <v>0</v>
      </c>
      <c r="BJ334" s="883">
        <v>0</v>
      </c>
      <c r="BK334" s="883">
        <v>0</v>
      </c>
      <c r="BL334" s="883">
        <v>1</v>
      </c>
      <c r="BM334" s="890">
        <v>0</v>
      </c>
      <c r="BN334" s="958">
        <v>7.0000000000000007E-2</v>
      </c>
      <c r="BO334" s="959">
        <v>17.100000000000001</v>
      </c>
      <c r="BP334" s="1018">
        <f t="shared" ca="1" si="465"/>
        <v>148.5</v>
      </c>
      <c r="BQ334" s="1018">
        <f t="shared" ca="1" si="466"/>
        <v>412.25249999999994</v>
      </c>
      <c r="BR334" s="1018">
        <f t="shared" ca="1" si="467"/>
        <v>148.44999999999999</v>
      </c>
      <c r="BS334" s="1018">
        <f t="shared" ca="1" si="468"/>
        <v>100.98500000000001</v>
      </c>
      <c r="BT334" s="1018">
        <f t="shared" ca="1" si="469"/>
        <v>148.5</v>
      </c>
      <c r="BU334" s="1018">
        <f t="shared" ca="1" si="470"/>
        <v>46.489999999999995</v>
      </c>
      <c r="BV334" s="1018">
        <f t="shared" ca="1" si="471"/>
        <v>2.15</v>
      </c>
      <c r="BW334" s="1018">
        <v>0</v>
      </c>
      <c r="BX334" s="1018">
        <f t="shared" ca="1" si="472"/>
        <v>45.00757958564931</v>
      </c>
      <c r="BY334" s="1018">
        <f t="shared" ca="1" si="473"/>
        <v>171.66405294836832</v>
      </c>
      <c r="BZ334" s="1018">
        <f t="shared" ref="BZ334:BZ397" ca="1" si="480">IF(BT334=0,0,1/(1/(BT334*$BY$3)+1/(BT334*AT334)+1/(BT334*$BY$4)))*0.33</f>
        <v>26.230449377041246</v>
      </c>
      <c r="CA334" s="1018">
        <f t="shared" ref="CA334:CA397" ca="1" si="481">IF(BU334=0,0,1/(1/(BU334*$BY$5)+1/(BU334*AU334)+1/(BU334*$BY$6)))</f>
        <v>92.979999962808009</v>
      </c>
      <c r="CB334" s="1018">
        <f t="shared" ca="1" si="474"/>
        <v>4.5133587786259541</v>
      </c>
      <c r="CC334" s="1018">
        <f t="shared" ref="CC334:CC397" si="482">0.67*IF(BW334=0,0,1/(1/(BW334*$BY$3)+1/(BW334*AS334)+1/(BW334*$BY$4)))</f>
        <v>0</v>
      </c>
      <c r="CD334" s="1018">
        <f t="shared" ca="1" si="476"/>
        <v>371.65569065249286</v>
      </c>
      <c r="CE334" s="1018">
        <f t="shared" ca="1" si="478"/>
        <v>207.09049888711516</v>
      </c>
      <c r="CF334" s="1018">
        <f t="shared" ref="CF334:CF397" ca="1" si="483">(CD334+CE334)*($BY$7-$BV$5)/1000</f>
        <v>17.36238568618824</v>
      </c>
      <c r="CG334" s="1018">
        <f t="shared" ref="CG334:CG397" ca="1" si="484">$BV$8*(CD334+CE334)*($BY$10-$BV$7)*24/1000</f>
        <v>28907.677672075974</v>
      </c>
    </row>
    <row r="335" spans="3:85" x14ac:dyDescent="0.25">
      <c r="D335" s="1"/>
      <c r="F335" s="1"/>
      <c r="G335" s="3"/>
      <c r="H335" s="6"/>
      <c r="I335" s="3"/>
      <c r="J335" s="6"/>
      <c r="K335" s="8"/>
      <c r="L335" s="7"/>
      <c r="M335" s="1" t="s">
        <v>7</v>
      </c>
      <c r="N335" s="4"/>
      <c r="O335" s="1" t="s">
        <v>23</v>
      </c>
      <c r="P335" s="4"/>
      <c r="Q335" s="1" t="s">
        <v>7</v>
      </c>
      <c r="R335" s="4"/>
      <c r="S335" s="1"/>
      <c r="T335" s="77"/>
      <c r="U335" s="294"/>
      <c r="X335" s="176">
        <f t="shared" si="475"/>
        <v>0</v>
      </c>
      <c r="Y335" s="34">
        <f>X335/Calculation_sheet!M$67</f>
        <v>0</v>
      </c>
      <c r="Z335" s="176">
        <f ca="1">IF(AN335&gt;0,Y335*Calculation_sheet!C$87,0)</f>
        <v>0</v>
      </c>
      <c r="AA335" s="176">
        <f t="shared" ca="1" si="477"/>
        <v>0</v>
      </c>
      <c r="AB335" s="176">
        <f ca="1">IF(AP335&gt;0,AA335*Calculation_sheet!C$94,0)</f>
        <v>0</v>
      </c>
      <c r="AC335" s="176">
        <f t="shared" ca="1" si="464"/>
        <v>0</v>
      </c>
      <c r="AD335" s="958">
        <f ca="1">AC335*Calculation_sheet!C$99</f>
        <v>0</v>
      </c>
      <c r="AE335" s="176">
        <f t="shared" ca="1" si="464"/>
        <v>0</v>
      </c>
      <c r="AF335" s="176">
        <f t="shared" ca="1" si="405"/>
        <v>0</v>
      </c>
      <c r="AG335" s="958">
        <f ca="1">AF335*User_sheet!B$77/100</f>
        <v>0</v>
      </c>
      <c r="AH335" s="313"/>
      <c r="AI335" s="883">
        <v>103</v>
      </c>
      <c r="AJ335" s="985"/>
      <c r="AK335" s="1020">
        <f t="shared" ca="1" si="479"/>
        <v>371.65569065249286</v>
      </c>
      <c r="AL335" s="954">
        <f ca="1">AK335/'103'!I$24</f>
        <v>0.83635598459070126</v>
      </c>
      <c r="AM335" s="954">
        <f ca="1">0.8*(AK335*30+'103'!D$17*0.34*30*1)</f>
        <v>12372.089775659828</v>
      </c>
      <c r="AN335" s="954">
        <f ca="1">IF(AM335&lt;User_sheet!B$50,Y335,0)</f>
        <v>0</v>
      </c>
      <c r="AO335" s="954">
        <f ca="1">20-(User_sheet!B$57/('Freestanding '!AK335+'103'!D$17*1*0.34))</f>
        <v>8.9428542404264775</v>
      </c>
      <c r="AP335" s="954">
        <f ca="1">IF(AO335&lt;User_sheet!B$59,0,BC335*AA335)</f>
        <v>0</v>
      </c>
      <c r="AQ335" s="985"/>
      <c r="AR335" s="883">
        <v>0.32</v>
      </c>
      <c r="AS335" s="1020">
        <v>2.41</v>
      </c>
      <c r="AT335" s="883">
        <v>0.59</v>
      </c>
      <c r="AU335" s="883">
        <v>2</v>
      </c>
      <c r="AV335" s="883">
        <v>3.3</v>
      </c>
      <c r="AW335" s="883">
        <v>14356</v>
      </c>
      <c r="AX335" s="883">
        <v>75945.51234133933</v>
      </c>
      <c r="AY335" s="883">
        <v>64021.679041832605</v>
      </c>
      <c r="AZ335" s="886">
        <v>0</v>
      </c>
      <c r="BA335" s="886">
        <v>0</v>
      </c>
      <c r="BB335" s="883">
        <v>0.6</v>
      </c>
      <c r="BC335" s="888">
        <v>0</v>
      </c>
      <c r="BD335" s="889">
        <v>0</v>
      </c>
      <c r="BE335" s="889">
        <v>1</v>
      </c>
      <c r="BF335" s="890">
        <v>0</v>
      </c>
      <c r="BG335" s="883">
        <v>0</v>
      </c>
      <c r="BH335" s="883">
        <v>0</v>
      </c>
      <c r="BI335" s="890">
        <v>1</v>
      </c>
      <c r="BJ335" s="883">
        <v>0</v>
      </c>
      <c r="BK335" s="883">
        <v>0</v>
      </c>
      <c r="BL335" s="883">
        <v>1</v>
      </c>
      <c r="BM335" s="890">
        <v>0</v>
      </c>
      <c r="BN335" s="958">
        <v>7.0000000000000007E-2</v>
      </c>
      <c r="BO335" s="959">
        <v>17.100000000000001</v>
      </c>
      <c r="BP335" s="1018">
        <f t="shared" ca="1" si="465"/>
        <v>148.5</v>
      </c>
      <c r="BQ335" s="1018">
        <f t="shared" ca="1" si="466"/>
        <v>412.25249999999994</v>
      </c>
      <c r="BR335" s="1018">
        <f t="shared" ca="1" si="467"/>
        <v>148.44999999999999</v>
      </c>
      <c r="BS335" s="1018">
        <f t="shared" ca="1" si="468"/>
        <v>100.98500000000001</v>
      </c>
      <c r="BT335" s="1018">
        <f t="shared" ca="1" si="469"/>
        <v>148.5</v>
      </c>
      <c r="BU335" s="1018">
        <f t="shared" ca="1" si="470"/>
        <v>46.489999999999995</v>
      </c>
      <c r="BV335" s="1018">
        <f t="shared" ca="1" si="471"/>
        <v>2.15</v>
      </c>
      <c r="BW335" s="1018">
        <v>0</v>
      </c>
      <c r="BX335" s="1018">
        <f t="shared" ca="1" si="472"/>
        <v>45.00757958564931</v>
      </c>
      <c r="BY335" s="1018">
        <f t="shared" ca="1" si="473"/>
        <v>171.66405294836832</v>
      </c>
      <c r="BZ335" s="1018">
        <f t="shared" ca="1" si="480"/>
        <v>26.230449377041246</v>
      </c>
      <c r="CA335" s="1018">
        <f t="shared" ca="1" si="481"/>
        <v>92.979999962808009</v>
      </c>
      <c r="CB335" s="1018">
        <f t="shared" ca="1" si="474"/>
        <v>4.5133587786259541</v>
      </c>
      <c r="CC335" s="1018">
        <f t="shared" si="482"/>
        <v>0</v>
      </c>
      <c r="CD335" s="1018">
        <f t="shared" ca="1" si="476"/>
        <v>371.65569065249286</v>
      </c>
      <c r="CE335" s="1018">
        <f t="shared" ca="1" si="478"/>
        <v>207.09049888711516</v>
      </c>
      <c r="CF335" s="1018">
        <f t="shared" ca="1" si="483"/>
        <v>17.36238568618824</v>
      </c>
      <c r="CG335" s="1018">
        <f t="shared" ca="1" si="484"/>
        <v>28907.677672075974</v>
      </c>
    </row>
    <row r="336" spans="3:85" s="14" customFormat="1" x14ac:dyDescent="0.25">
      <c r="D336" s="15"/>
      <c r="F336" s="15"/>
      <c r="H336" s="15"/>
      <c r="J336" s="15"/>
      <c r="K336" s="16"/>
      <c r="L336" s="15"/>
      <c r="M336" s="15"/>
      <c r="N336" s="15"/>
      <c r="O336" s="15"/>
      <c r="P336" s="15"/>
      <c r="Q336" s="15"/>
      <c r="R336" s="15"/>
      <c r="S336" s="15"/>
      <c r="T336" s="80"/>
      <c r="U336" s="273"/>
      <c r="V336" s="292"/>
      <c r="W336" s="292"/>
      <c r="X336" s="292"/>
      <c r="Y336" s="277"/>
      <c r="Z336" s="292"/>
      <c r="AA336" s="292"/>
      <c r="AB336" s="292"/>
      <c r="AC336" s="292"/>
      <c r="AD336" s="277"/>
      <c r="AE336" s="292"/>
      <c r="AF336" s="292"/>
      <c r="AG336" s="277"/>
      <c r="AH336" s="313"/>
      <c r="AI336" s="887"/>
      <c r="AJ336" s="985"/>
      <c r="AK336" s="1020">
        <f t="shared" si="479"/>
        <v>0</v>
      </c>
      <c r="AL336" s="941"/>
      <c r="AM336" s="941"/>
      <c r="AN336" s="941"/>
      <c r="AO336" s="941"/>
      <c r="AP336" s="941"/>
      <c r="AQ336" s="985"/>
      <c r="AR336" s="887"/>
      <c r="AS336" s="887"/>
      <c r="AT336" s="887"/>
      <c r="AU336" s="887"/>
      <c r="AV336" s="887"/>
      <c r="AW336" s="887"/>
      <c r="AX336" s="887"/>
      <c r="AY336" s="887"/>
      <c r="AZ336" s="887"/>
      <c r="BA336" s="887"/>
      <c r="BB336" s="887"/>
      <c r="BC336" s="45"/>
      <c r="BD336" s="277"/>
      <c r="BE336" s="277"/>
      <c r="BF336" s="49"/>
      <c r="BG336" s="887"/>
      <c r="BH336" s="887"/>
      <c r="BI336" s="49"/>
      <c r="BJ336" s="887"/>
      <c r="BK336" s="887"/>
      <c r="BL336" s="887"/>
      <c r="BM336" s="49"/>
      <c r="BN336" s="277"/>
      <c r="BO336" s="49"/>
      <c r="BP336" s="946"/>
      <c r="BQ336" s="946"/>
      <c r="BR336" s="946"/>
      <c r="BS336" s="946"/>
      <c r="BT336" s="946"/>
      <c r="BU336" s="946"/>
      <c r="BV336" s="946"/>
      <c r="BW336" s="946"/>
      <c r="BX336" s="946"/>
      <c r="BY336" s="946"/>
      <c r="BZ336" s="946"/>
      <c r="CA336" s="946"/>
      <c r="CB336" s="946"/>
      <c r="CC336" s="946"/>
      <c r="CD336" s="946"/>
      <c r="CE336" s="946"/>
      <c r="CF336" s="946"/>
      <c r="CG336" s="946"/>
    </row>
    <row r="337" spans="3:85" x14ac:dyDescent="0.25">
      <c r="C337" s="424"/>
      <c r="D337" s="425"/>
      <c r="E337" s="424"/>
      <c r="F337" s="425"/>
      <c r="G337" s="424"/>
      <c r="H337" s="429"/>
      <c r="I337" s="424"/>
      <c r="J337" s="425"/>
      <c r="K337" s="427"/>
      <c r="L337" s="429"/>
      <c r="M337" s="425"/>
      <c r="N337" s="425"/>
      <c r="O337" s="425"/>
      <c r="P337" s="425"/>
      <c r="Q337" s="425" t="s">
        <v>16</v>
      </c>
      <c r="R337" s="426">
        <v>0.92569999999999997</v>
      </c>
      <c r="S337" s="425"/>
      <c r="T337" s="430">
        <v>5.7992161349306754E-3</v>
      </c>
      <c r="U337" s="424"/>
      <c r="V337" s="176">
        <f t="shared" ref="V337:V345" si="485">T337</f>
        <v>5.7992161349306754E-3</v>
      </c>
      <c r="W337" s="176">
        <f>V337-V337*Calculation_sheet!J$68</f>
        <v>5.7992161349306754E-3</v>
      </c>
      <c r="X337" s="176">
        <f>W337-W337*Calculation_sheet!E$78</f>
        <v>5.7992161349306754E-3</v>
      </c>
      <c r="Y337" s="34">
        <f>X337/Calculation_sheet!M$67</f>
        <v>5.7993347081896542E-3</v>
      </c>
      <c r="Z337" s="176">
        <f ca="1">IF(AN337&gt;0,Y337*Calculation_sheet!C$87,0)</f>
        <v>0</v>
      </c>
      <c r="AA337" s="176">
        <f t="shared" ref="AA337:AA400" ca="1" si="486">Y337-Z337</f>
        <v>5.7993347081896542E-3</v>
      </c>
      <c r="AB337" s="176">
        <f ca="1">IF(AP337&gt;0,AA337*Calculation_sheet!C$94,0)</f>
        <v>0</v>
      </c>
      <c r="AC337" s="176">
        <f t="shared" ref="AC337:AE345" ca="1" si="487">AA337-AB337</f>
        <v>5.7993347081896542E-3</v>
      </c>
      <c r="AD337" s="958">
        <f ca="1">AC337*Calculation_sheet!C$99</f>
        <v>3.4796008249137924E-3</v>
      </c>
      <c r="AE337" s="176">
        <f t="shared" ca="1" si="487"/>
        <v>2.3197338832758618E-3</v>
      </c>
      <c r="AF337" s="176">
        <f t="shared" ca="1" si="405"/>
        <v>5.7993347081896542E-3</v>
      </c>
      <c r="AG337" s="958">
        <f ca="1">AF337*User_sheet!B$77/100</f>
        <v>0</v>
      </c>
      <c r="AH337" s="313"/>
      <c r="AI337" s="883">
        <v>103</v>
      </c>
      <c r="AJ337" s="985"/>
      <c r="AK337" s="1020">
        <f t="shared" ca="1" si="479"/>
        <v>504.47441104467237</v>
      </c>
      <c r="AL337" s="954">
        <f ca="1">AK337/'103'!I$24</f>
        <v>1.1352448068515835</v>
      </c>
      <c r="AM337" s="954">
        <f ca="1">0.8*(AK337*30+'103'!D$17*0.34*30*1)</f>
        <v>15559.739065072135</v>
      </c>
      <c r="AN337" s="954">
        <f ca="1">IF(AM337&lt;User_sheet!B$50,Y337,0)</f>
        <v>0</v>
      </c>
      <c r="AO337" s="954">
        <f ca="1">20-(User_sheet!B$57/('Freestanding '!AK337+'103'!D$17*1*0.34))</f>
        <v>11.208078784104867</v>
      </c>
      <c r="AP337" s="954">
        <f ca="1">IF(AO337&lt;User_sheet!B$59,0,BC337*AA337)</f>
        <v>5.7993347081896542E-3</v>
      </c>
      <c r="AQ337" s="985"/>
      <c r="AR337" s="883">
        <v>0.88</v>
      </c>
      <c r="AS337" s="1020">
        <v>2.41</v>
      </c>
      <c r="AT337" s="883">
        <v>1.42</v>
      </c>
      <c r="AU337" s="883">
        <v>2.75</v>
      </c>
      <c r="AV337" s="883">
        <v>3.3</v>
      </c>
      <c r="AW337" s="883">
        <v>11922.428413610982</v>
      </c>
      <c r="AX337" s="883">
        <v>75945.51234133933</v>
      </c>
      <c r="AY337" s="883">
        <v>62673.095488422703</v>
      </c>
      <c r="AZ337" s="883">
        <v>0</v>
      </c>
      <c r="BA337" s="883">
        <v>0</v>
      </c>
      <c r="BB337" s="883">
        <v>0.6</v>
      </c>
      <c r="BC337" s="888">
        <v>1</v>
      </c>
      <c r="BD337" s="889">
        <v>0</v>
      </c>
      <c r="BE337" s="889">
        <v>0</v>
      </c>
      <c r="BF337" s="890">
        <v>0</v>
      </c>
      <c r="BG337" s="883">
        <v>1</v>
      </c>
      <c r="BH337" s="883">
        <v>0</v>
      </c>
      <c r="BI337" s="890">
        <v>0</v>
      </c>
      <c r="BJ337" s="883">
        <v>1</v>
      </c>
      <c r="BK337" s="883">
        <v>0</v>
      </c>
      <c r="BL337" s="883">
        <v>0</v>
      </c>
      <c r="BM337" s="890">
        <v>0</v>
      </c>
      <c r="BN337" s="958">
        <v>7.0000000000000007E-2</v>
      </c>
      <c r="BO337" s="959">
        <v>17.100000000000001</v>
      </c>
      <c r="BP337" s="1018">
        <f t="shared" ref="BP337:BP345" ca="1" si="488">INDIRECT("'"&amp;AI337&amp;"'!"&amp;"B2")</f>
        <v>148.5</v>
      </c>
      <c r="BQ337" s="1018">
        <f t="shared" ref="BQ337:BQ345" ca="1" si="489">INDIRECT("'"&amp;AI337&amp;"'!"&amp;"C12")+INDIRECT("'"&amp;AI337&amp;"'!"&amp;"C13")+INDIRECT("'"&amp;AI337&amp;"'!"&amp;"C14")+INDIRECT("'"&amp;AI337&amp;"'!"&amp;"C15")+INDIRECT("'"&amp;AI337&amp;"'!"&amp;"C17")</f>
        <v>412.25249999999994</v>
      </c>
      <c r="BR337" s="1018">
        <f t="shared" ref="BR337:BR345" ca="1" si="490">INDIRECT("'"&amp;AI337&amp;"'!"&amp;"G5")</f>
        <v>148.44999999999999</v>
      </c>
      <c r="BS337" s="1018">
        <f t="shared" ref="BS337:BS345" ca="1" si="491">INDIRECT("'"&amp;AI337&amp;"'!"&amp;"G4")</f>
        <v>100.98500000000001</v>
      </c>
      <c r="BT337" s="1018">
        <f t="shared" ref="BT337:BT345" ca="1" si="492">INDIRECT("'"&amp;AI337&amp;"'!"&amp;"G6")</f>
        <v>148.5</v>
      </c>
      <c r="BU337" s="1018">
        <f t="shared" ref="BU337:BU345" ca="1" si="493">INDIRECT("'"&amp;AI337&amp;"'!"&amp;"G2")</f>
        <v>46.489999999999995</v>
      </c>
      <c r="BV337" s="1018">
        <f t="shared" ref="BV337:BV345" ca="1" si="494">INDIRECT("'"&amp;AI337&amp;"'!"&amp;"G3")</f>
        <v>2.15</v>
      </c>
      <c r="BW337" s="1018">
        <v>0</v>
      </c>
      <c r="BX337" s="1018">
        <f t="shared" ref="BX337:BX345" ca="1" si="495">IF(BR337=0,0,1/(1/(BR337*$BY$3)+1/(BR337*AR337)+1/(BR337*$BY$4)))</f>
        <v>113.34683017121702</v>
      </c>
      <c r="BY337" s="1018">
        <f t="shared" ref="BY337:BY345" ca="1" si="496">IF(BS337=0,0,1/(1/(BS337*$BY$3)+1/(BS337*AS337)+1/(BS337*$BY$4)))</f>
        <v>171.66405294836832</v>
      </c>
      <c r="BZ337" s="1018">
        <f t="shared" ca="1" si="480"/>
        <v>55.84241921677723</v>
      </c>
      <c r="CA337" s="1018">
        <f t="shared" ca="1" si="481"/>
        <v>127.84749992968388</v>
      </c>
      <c r="CB337" s="1018">
        <f t="shared" ref="CB337:CB345" ca="1" si="497">IF(BV337=0,0,1/(1/(BV337*$BY$3)+1/(BV337*AV337)+1/(BV337*$BY$4)))</f>
        <v>4.5133587786259541</v>
      </c>
      <c r="CC337" s="1018">
        <f t="shared" si="482"/>
        <v>0</v>
      </c>
      <c r="CD337" s="1018">
        <f ca="1">SUM(BX337:CC337)+(BR337+BS337+BT337+BU337+BV337)*BN337</f>
        <v>504.47441104467237</v>
      </c>
      <c r="CE337" s="1018">
        <f t="shared" ref="CE337:CE345" ca="1" si="498">0.34*BO337*(1/25)^0.66*(BR337+BS337+BU337+BV337)</f>
        <v>207.09049888711516</v>
      </c>
      <c r="CF337" s="1018">
        <f t="shared" ca="1" si="483"/>
        <v>21.346947297953626</v>
      </c>
      <c r="CG337" s="1018">
        <f t="shared" ca="1" si="484"/>
        <v>35541.813373200865</v>
      </c>
    </row>
    <row r="338" spans="3:85" x14ac:dyDescent="0.25">
      <c r="C338" s="424"/>
      <c r="D338" s="425"/>
      <c r="E338" s="424"/>
      <c r="F338" s="425"/>
      <c r="G338" s="424"/>
      <c r="H338" s="429"/>
      <c r="I338" s="424"/>
      <c r="J338" s="425"/>
      <c r="K338" s="427"/>
      <c r="L338" s="429"/>
      <c r="M338" s="425"/>
      <c r="N338" s="425"/>
      <c r="O338" s="425" t="s">
        <v>18</v>
      </c>
      <c r="P338" s="426">
        <v>0.89156626500000002</v>
      </c>
      <c r="Q338" s="425" t="s">
        <v>7</v>
      </c>
      <c r="R338" s="426">
        <v>7.4300000000000005E-2</v>
      </c>
      <c r="S338" s="425"/>
      <c r="T338" s="430">
        <v>4.6546587320443902E-4</v>
      </c>
      <c r="U338" s="424"/>
      <c r="V338" s="176">
        <f t="shared" si="485"/>
        <v>4.6546587320443902E-4</v>
      </c>
      <c r="W338" s="176">
        <f>V338-V338*Calculation_sheet!J$68</f>
        <v>4.6546587320443902E-4</v>
      </c>
      <c r="X338" s="176">
        <f>W338-W338*Calculation_sheet!E$78</f>
        <v>4.6546587320443902E-4</v>
      </c>
      <c r="Y338" s="34">
        <f>X338/Calculation_sheet!M$67</f>
        <v>4.6547539031920851E-4</v>
      </c>
      <c r="Z338" s="176">
        <f ca="1">IF(AN338&gt;0,Y338*Calculation_sheet!C$87,0)</f>
        <v>0</v>
      </c>
      <c r="AA338" s="176">
        <f t="shared" ca="1" si="486"/>
        <v>4.6547539031920851E-4</v>
      </c>
      <c r="AB338" s="176">
        <f ca="1">IF(AP338&gt;0,AA338*Calculation_sheet!C$94,0)</f>
        <v>0</v>
      </c>
      <c r="AC338" s="176">
        <f t="shared" ca="1" si="487"/>
        <v>4.6547539031920851E-4</v>
      </c>
      <c r="AD338" s="958">
        <f ca="1">AC338*Calculation_sheet!C$99</f>
        <v>2.7928523419152511E-4</v>
      </c>
      <c r="AE338" s="176">
        <f t="shared" ca="1" si="487"/>
        <v>1.861901561276834E-4</v>
      </c>
      <c r="AF338" s="176">
        <f t="shared" ca="1" si="405"/>
        <v>4.6547539031920851E-4</v>
      </c>
      <c r="AG338" s="958">
        <f ca="1">AF338*User_sheet!B$77/100</f>
        <v>0</v>
      </c>
      <c r="AH338" s="313"/>
      <c r="AI338" s="883">
        <v>103</v>
      </c>
      <c r="AJ338" s="985"/>
      <c r="AK338" s="1020">
        <f t="shared" ca="1" si="479"/>
        <v>504.47441104467237</v>
      </c>
      <c r="AL338" s="954">
        <f ca="1">AK338/'103'!I$24</f>
        <v>1.1352448068515835</v>
      </c>
      <c r="AM338" s="954">
        <f ca="1">0.8*(AK338*30+'103'!D$17*0.34*30*1)</f>
        <v>15559.739065072135</v>
      </c>
      <c r="AN338" s="954">
        <f ca="1">IF(AM338&lt;User_sheet!B$50,Y338,0)</f>
        <v>0</v>
      </c>
      <c r="AO338" s="954">
        <f ca="1">20-(User_sheet!B$57/('Freestanding '!AK338+'103'!D$17*1*0.34))</f>
        <v>11.208078784104867</v>
      </c>
      <c r="AP338" s="954">
        <f ca="1">IF(AO338&lt;User_sheet!B$59,0,BC338*AA338)</f>
        <v>4.6547539031920851E-4</v>
      </c>
      <c r="AQ338" s="985"/>
      <c r="AR338" s="883">
        <v>0.88</v>
      </c>
      <c r="AS338" s="1020">
        <v>2.41</v>
      </c>
      <c r="AT338" s="883">
        <v>1.42</v>
      </c>
      <c r="AU338" s="883">
        <v>2.75</v>
      </c>
      <c r="AV338" s="883">
        <v>3.3</v>
      </c>
      <c r="AW338" s="883">
        <v>11922.428413610982</v>
      </c>
      <c r="AX338" s="883">
        <v>75945.51234133933</v>
      </c>
      <c r="AY338" s="883">
        <v>62673.095488422703</v>
      </c>
      <c r="AZ338" s="883">
        <v>0</v>
      </c>
      <c r="BA338" s="883">
        <v>0</v>
      </c>
      <c r="BB338" s="883">
        <v>0.6</v>
      </c>
      <c r="BC338" s="888">
        <v>1</v>
      </c>
      <c r="BD338" s="889">
        <v>0</v>
      </c>
      <c r="BE338" s="889">
        <v>0</v>
      </c>
      <c r="BF338" s="890">
        <v>0</v>
      </c>
      <c r="BG338" s="883">
        <v>1</v>
      </c>
      <c r="BH338" s="883">
        <v>0</v>
      </c>
      <c r="BI338" s="890">
        <v>0</v>
      </c>
      <c r="BJ338" s="883">
        <v>0</v>
      </c>
      <c r="BK338" s="883">
        <v>0</v>
      </c>
      <c r="BL338" s="883">
        <v>1</v>
      </c>
      <c r="BM338" s="890">
        <v>0</v>
      </c>
      <c r="BN338" s="958">
        <v>7.0000000000000007E-2</v>
      </c>
      <c r="BO338" s="959">
        <v>17.100000000000001</v>
      </c>
      <c r="BP338" s="1018">
        <f t="shared" ca="1" si="488"/>
        <v>148.5</v>
      </c>
      <c r="BQ338" s="1018">
        <f t="shared" ca="1" si="489"/>
        <v>412.25249999999994</v>
      </c>
      <c r="BR338" s="1018">
        <f t="shared" ca="1" si="490"/>
        <v>148.44999999999999</v>
      </c>
      <c r="BS338" s="1018">
        <f t="shared" ca="1" si="491"/>
        <v>100.98500000000001</v>
      </c>
      <c r="BT338" s="1018">
        <f t="shared" ca="1" si="492"/>
        <v>148.5</v>
      </c>
      <c r="BU338" s="1018">
        <f t="shared" ca="1" si="493"/>
        <v>46.489999999999995</v>
      </c>
      <c r="BV338" s="1018">
        <f t="shared" ca="1" si="494"/>
        <v>2.15</v>
      </c>
      <c r="BW338" s="1018">
        <v>0</v>
      </c>
      <c r="BX338" s="1018">
        <f t="shared" ca="1" si="495"/>
        <v>113.34683017121702</v>
      </c>
      <c r="BY338" s="1018">
        <f t="shared" ca="1" si="496"/>
        <v>171.66405294836832</v>
      </c>
      <c r="BZ338" s="1018">
        <f t="shared" ca="1" si="480"/>
        <v>55.84241921677723</v>
      </c>
      <c r="CA338" s="1018">
        <f t="shared" ca="1" si="481"/>
        <v>127.84749992968388</v>
      </c>
      <c r="CB338" s="1018">
        <f t="shared" ca="1" si="497"/>
        <v>4.5133587786259541</v>
      </c>
      <c r="CC338" s="1018">
        <f t="shared" si="482"/>
        <v>0</v>
      </c>
      <c r="CD338" s="1018">
        <f t="shared" ref="CD338:CD345" ca="1" si="499">SUM(BX338:CC338)+(BR338+BS338+BT338+BU338+BV338)*BN338</f>
        <v>504.47441104467237</v>
      </c>
      <c r="CE338" s="1018">
        <f t="shared" ca="1" si="498"/>
        <v>207.09049888711516</v>
      </c>
      <c r="CF338" s="1018">
        <f t="shared" ca="1" si="483"/>
        <v>21.346947297953626</v>
      </c>
      <c r="CG338" s="1018">
        <f t="shared" ca="1" si="484"/>
        <v>35541.813373200865</v>
      </c>
    </row>
    <row r="339" spans="3:85" x14ac:dyDescent="0.25">
      <c r="C339" s="424"/>
      <c r="D339" s="425"/>
      <c r="E339" s="424"/>
      <c r="F339" s="425"/>
      <c r="G339" s="424"/>
      <c r="H339" s="429"/>
      <c r="I339" s="424"/>
      <c r="J339" s="425"/>
      <c r="K339" s="427"/>
      <c r="L339" s="429"/>
      <c r="M339" s="425"/>
      <c r="N339" s="425"/>
      <c r="O339" s="425"/>
      <c r="P339" s="425"/>
      <c r="Q339" s="425" t="s">
        <v>16</v>
      </c>
      <c r="R339" s="426">
        <v>0.92569999999999997</v>
      </c>
      <c r="S339" s="425"/>
      <c r="T339" s="430">
        <v>7.0531007090403666E-4</v>
      </c>
      <c r="U339" s="424"/>
      <c r="V339" s="176">
        <f t="shared" si="485"/>
        <v>7.0531007090403666E-4</v>
      </c>
      <c r="W339" s="176">
        <f>V339-V339*Calculation_sheet!J$68</f>
        <v>7.0531007090403666E-4</v>
      </c>
      <c r="X339" s="176">
        <f>W339-W339*Calculation_sheet!E$78</f>
        <v>7.0531007090403666E-4</v>
      </c>
      <c r="Y339" s="34">
        <f>X339/Calculation_sheet!M$67</f>
        <v>7.0532449197608358E-4</v>
      </c>
      <c r="Z339" s="176">
        <f ca="1">IF(AN339&gt;0,Y339*Calculation_sheet!C$87,0)</f>
        <v>0</v>
      </c>
      <c r="AA339" s="176">
        <f t="shared" ca="1" si="486"/>
        <v>7.0532449197608358E-4</v>
      </c>
      <c r="AB339" s="176">
        <f ca="1">IF(AP339&gt;0,AA339*Calculation_sheet!C$94,0)</f>
        <v>0</v>
      </c>
      <c r="AC339" s="176">
        <f t="shared" ca="1" si="487"/>
        <v>7.0532449197608358E-4</v>
      </c>
      <c r="AD339" s="958">
        <f ca="1">AC339*Calculation_sheet!C$99</f>
        <v>4.2319469518565015E-4</v>
      </c>
      <c r="AE339" s="176">
        <f t="shared" ca="1" si="487"/>
        <v>2.8212979679043343E-4</v>
      </c>
      <c r="AF339" s="176">
        <f t="shared" ca="1" si="405"/>
        <v>7.0532449197608358E-4</v>
      </c>
      <c r="AG339" s="958">
        <f ca="1">AF339*User_sheet!B$77/100</f>
        <v>0</v>
      </c>
      <c r="AH339" s="313"/>
      <c r="AI339" s="883">
        <v>103</v>
      </c>
      <c r="AJ339" s="985"/>
      <c r="AK339" s="1020">
        <f t="shared" ca="1" si="479"/>
        <v>504.47441104467237</v>
      </c>
      <c r="AL339" s="954">
        <f ca="1">AK339/'103'!I$24</f>
        <v>1.1352448068515835</v>
      </c>
      <c r="AM339" s="954">
        <f ca="1">0.8*(AK339*30+'103'!D$17*0.34*30*1)</f>
        <v>15559.739065072135</v>
      </c>
      <c r="AN339" s="954">
        <f ca="1">IF(AM339&lt;User_sheet!B$50,Y339,0)</f>
        <v>0</v>
      </c>
      <c r="AO339" s="954">
        <f ca="1">20-(User_sheet!B$57/('Freestanding '!AK339+'103'!D$17*1*0.34))</f>
        <v>11.208078784104867</v>
      </c>
      <c r="AP339" s="954">
        <f ca="1">IF(AO339&lt;User_sheet!B$59,0,BC339*AA339)</f>
        <v>7.0532449197608358E-4</v>
      </c>
      <c r="AQ339" s="985"/>
      <c r="AR339" s="883">
        <v>0.88</v>
      </c>
      <c r="AS339" s="1020">
        <v>2.41</v>
      </c>
      <c r="AT339" s="883">
        <v>1.42</v>
      </c>
      <c r="AU339" s="883">
        <v>2.75</v>
      </c>
      <c r="AV339" s="883">
        <v>3.3</v>
      </c>
      <c r="AW339" s="883">
        <v>11922.428413610982</v>
      </c>
      <c r="AX339" s="883">
        <v>75945.51234133933</v>
      </c>
      <c r="AY339" s="883">
        <v>62673.095488422703</v>
      </c>
      <c r="AZ339" s="883">
        <v>0</v>
      </c>
      <c r="BA339" s="883">
        <v>0</v>
      </c>
      <c r="BB339" s="883">
        <v>0.6</v>
      </c>
      <c r="BC339" s="888">
        <v>1</v>
      </c>
      <c r="BD339" s="889">
        <v>0</v>
      </c>
      <c r="BE339" s="889">
        <v>0</v>
      </c>
      <c r="BF339" s="890">
        <v>0</v>
      </c>
      <c r="BG339" s="883">
        <v>0</v>
      </c>
      <c r="BH339" s="883">
        <v>1</v>
      </c>
      <c r="BI339" s="890">
        <v>0</v>
      </c>
      <c r="BJ339" s="883">
        <v>1</v>
      </c>
      <c r="BK339" s="883">
        <v>0</v>
      </c>
      <c r="BL339" s="883">
        <v>0</v>
      </c>
      <c r="BM339" s="890">
        <v>0</v>
      </c>
      <c r="BN339" s="958">
        <v>7.0000000000000007E-2</v>
      </c>
      <c r="BO339" s="959">
        <v>17.100000000000001</v>
      </c>
      <c r="BP339" s="1018">
        <f t="shared" ca="1" si="488"/>
        <v>148.5</v>
      </c>
      <c r="BQ339" s="1018">
        <f t="shared" ca="1" si="489"/>
        <v>412.25249999999994</v>
      </c>
      <c r="BR339" s="1018">
        <f t="shared" ca="1" si="490"/>
        <v>148.44999999999999</v>
      </c>
      <c r="BS339" s="1018">
        <f t="shared" ca="1" si="491"/>
        <v>100.98500000000001</v>
      </c>
      <c r="BT339" s="1018">
        <f t="shared" ca="1" si="492"/>
        <v>148.5</v>
      </c>
      <c r="BU339" s="1018">
        <f t="shared" ca="1" si="493"/>
        <v>46.489999999999995</v>
      </c>
      <c r="BV339" s="1018">
        <f t="shared" ca="1" si="494"/>
        <v>2.15</v>
      </c>
      <c r="BW339" s="1018">
        <v>0</v>
      </c>
      <c r="BX339" s="1018">
        <f t="shared" ca="1" si="495"/>
        <v>113.34683017121702</v>
      </c>
      <c r="BY339" s="1018">
        <f t="shared" ca="1" si="496"/>
        <v>171.66405294836832</v>
      </c>
      <c r="BZ339" s="1018">
        <f t="shared" ca="1" si="480"/>
        <v>55.84241921677723</v>
      </c>
      <c r="CA339" s="1018">
        <f t="shared" ca="1" si="481"/>
        <v>127.84749992968388</v>
      </c>
      <c r="CB339" s="1018">
        <f t="shared" ca="1" si="497"/>
        <v>4.5133587786259541</v>
      </c>
      <c r="CC339" s="1018">
        <f t="shared" si="482"/>
        <v>0</v>
      </c>
      <c r="CD339" s="1018">
        <f t="shared" ca="1" si="499"/>
        <v>504.47441104467237</v>
      </c>
      <c r="CE339" s="1018">
        <f t="shared" ca="1" si="498"/>
        <v>207.09049888711516</v>
      </c>
      <c r="CF339" s="1018">
        <f t="shared" ca="1" si="483"/>
        <v>21.346947297953626</v>
      </c>
      <c r="CG339" s="1018">
        <f t="shared" ca="1" si="484"/>
        <v>35541.813373200865</v>
      </c>
    </row>
    <row r="340" spans="3:85" x14ac:dyDescent="0.25">
      <c r="C340" s="424"/>
      <c r="D340" s="425"/>
      <c r="E340" s="424"/>
      <c r="F340" s="425"/>
      <c r="G340" s="424"/>
      <c r="H340" s="429"/>
      <c r="I340" s="424"/>
      <c r="J340" s="425"/>
      <c r="K340" s="427"/>
      <c r="L340" s="429"/>
      <c r="M340" s="425" t="s">
        <v>16</v>
      </c>
      <c r="N340" s="426">
        <v>0.41099999999999998</v>
      </c>
      <c r="O340" s="425" t="s">
        <v>19</v>
      </c>
      <c r="P340" s="426">
        <v>0.108433735</v>
      </c>
      <c r="Q340" s="425" t="s">
        <v>7</v>
      </c>
      <c r="R340" s="426">
        <v>7.4300000000000005E-2</v>
      </c>
      <c r="S340" s="425"/>
      <c r="T340" s="430">
        <v>5.6610714343923432E-5</v>
      </c>
      <c r="U340" s="424"/>
      <c r="V340" s="176">
        <f t="shared" si="485"/>
        <v>5.6610714343923432E-5</v>
      </c>
      <c r="W340" s="176">
        <f>V340-V340*Calculation_sheet!J$68</f>
        <v>5.6610714343923432E-5</v>
      </c>
      <c r="X340" s="176">
        <f>W340-W340*Calculation_sheet!E$78</f>
        <v>5.6610714343923432E-5</v>
      </c>
      <c r="Y340" s="34">
        <f>X340/Calculation_sheet!M$67</f>
        <v>5.6611871830855573E-5</v>
      </c>
      <c r="Z340" s="176">
        <f ca="1">IF(AN340&gt;0,Y340*Calculation_sheet!C$87,0)</f>
        <v>0</v>
      </c>
      <c r="AA340" s="176">
        <f t="shared" ca="1" si="486"/>
        <v>5.6611871830855573E-5</v>
      </c>
      <c r="AB340" s="176">
        <f ca="1">IF(AP340&gt;0,AA340*Calculation_sheet!C$94,0)</f>
        <v>0</v>
      </c>
      <c r="AC340" s="176">
        <f t="shared" ca="1" si="487"/>
        <v>5.6611871830855573E-5</v>
      </c>
      <c r="AD340" s="958">
        <f ca="1">AC340*Calculation_sheet!C$99</f>
        <v>3.3967123098513345E-5</v>
      </c>
      <c r="AE340" s="176">
        <f t="shared" ca="1" si="487"/>
        <v>2.2644748732342228E-5</v>
      </c>
      <c r="AF340" s="176">
        <f t="shared" ca="1" si="405"/>
        <v>5.6611871830855573E-5</v>
      </c>
      <c r="AG340" s="958">
        <f ca="1">AF340*User_sheet!B$77/100</f>
        <v>0</v>
      </c>
      <c r="AH340" s="313"/>
      <c r="AI340" s="883">
        <v>103</v>
      </c>
      <c r="AJ340" s="985"/>
      <c r="AK340" s="1020">
        <f t="shared" ca="1" si="479"/>
        <v>504.47441104467237</v>
      </c>
      <c r="AL340" s="954">
        <f ca="1">AK340/'103'!I$24</f>
        <v>1.1352448068515835</v>
      </c>
      <c r="AM340" s="954">
        <f ca="1">0.8*(AK340*30+'103'!D$17*0.34*30*1)</f>
        <v>15559.739065072135</v>
      </c>
      <c r="AN340" s="954">
        <f ca="1">IF(AM340&lt;User_sheet!B$50,Y340,0)</f>
        <v>0</v>
      </c>
      <c r="AO340" s="954">
        <f ca="1">20-(User_sheet!B$57/('Freestanding '!AK340+'103'!D$17*1*0.34))</f>
        <v>11.208078784104867</v>
      </c>
      <c r="AP340" s="954">
        <f ca="1">IF(AO340&lt;User_sheet!B$59,0,BC340*AA340)</f>
        <v>5.6611871830855573E-5</v>
      </c>
      <c r="AQ340" s="985"/>
      <c r="AR340" s="883">
        <v>0.88</v>
      </c>
      <c r="AS340" s="1020">
        <v>2.41</v>
      </c>
      <c r="AT340" s="883">
        <v>1.42</v>
      </c>
      <c r="AU340" s="883">
        <v>2.75</v>
      </c>
      <c r="AV340" s="883">
        <v>3.3</v>
      </c>
      <c r="AW340" s="883">
        <v>11922.428413610982</v>
      </c>
      <c r="AX340" s="883">
        <v>75945.51234133933</v>
      </c>
      <c r="AY340" s="883">
        <v>62673.095488422703</v>
      </c>
      <c r="AZ340" s="883">
        <v>0</v>
      </c>
      <c r="BA340" s="883">
        <v>0</v>
      </c>
      <c r="BB340" s="883">
        <v>0.6</v>
      </c>
      <c r="BC340" s="888">
        <v>1</v>
      </c>
      <c r="BD340" s="889">
        <v>0</v>
      </c>
      <c r="BE340" s="889">
        <v>0</v>
      </c>
      <c r="BF340" s="890">
        <v>0</v>
      </c>
      <c r="BG340" s="883">
        <v>0</v>
      </c>
      <c r="BH340" s="883">
        <v>1</v>
      </c>
      <c r="BI340" s="890">
        <v>0</v>
      </c>
      <c r="BJ340" s="883">
        <v>0</v>
      </c>
      <c r="BK340" s="883">
        <v>0</v>
      </c>
      <c r="BL340" s="883">
        <v>1</v>
      </c>
      <c r="BM340" s="890">
        <v>0</v>
      </c>
      <c r="BN340" s="958">
        <v>7.0000000000000007E-2</v>
      </c>
      <c r="BO340" s="959">
        <v>17.100000000000001</v>
      </c>
      <c r="BP340" s="1018">
        <f t="shared" ca="1" si="488"/>
        <v>148.5</v>
      </c>
      <c r="BQ340" s="1018">
        <f t="shared" ca="1" si="489"/>
        <v>412.25249999999994</v>
      </c>
      <c r="BR340" s="1018">
        <f t="shared" ca="1" si="490"/>
        <v>148.44999999999999</v>
      </c>
      <c r="BS340" s="1018">
        <f t="shared" ca="1" si="491"/>
        <v>100.98500000000001</v>
      </c>
      <c r="BT340" s="1018">
        <f t="shared" ca="1" si="492"/>
        <v>148.5</v>
      </c>
      <c r="BU340" s="1018">
        <f t="shared" ca="1" si="493"/>
        <v>46.489999999999995</v>
      </c>
      <c r="BV340" s="1018">
        <f t="shared" ca="1" si="494"/>
        <v>2.15</v>
      </c>
      <c r="BW340" s="1018">
        <v>0</v>
      </c>
      <c r="BX340" s="1018">
        <f t="shared" ca="1" si="495"/>
        <v>113.34683017121702</v>
      </c>
      <c r="BY340" s="1018">
        <f t="shared" ca="1" si="496"/>
        <v>171.66405294836832</v>
      </c>
      <c r="BZ340" s="1018">
        <f t="shared" ca="1" si="480"/>
        <v>55.84241921677723</v>
      </c>
      <c r="CA340" s="1018">
        <f t="shared" ca="1" si="481"/>
        <v>127.84749992968388</v>
      </c>
      <c r="CB340" s="1018">
        <f t="shared" ca="1" si="497"/>
        <v>4.5133587786259541</v>
      </c>
      <c r="CC340" s="1018">
        <f t="shared" si="482"/>
        <v>0</v>
      </c>
      <c r="CD340" s="1018">
        <f t="shared" ca="1" si="499"/>
        <v>504.47441104467237</v>
      </c>
      <c r="CE340" s="1018">
        <f t="shared" ca="1" si="498"/>
        <v>207.09049888711516</v>
      </c>
      <c r="CF340" s="1018">
        <f t="shared" ca="1" si="483"/>
        <v>21.346947297953626</v>
      </c>
      <c r="CG340" s="1018">
        <f t="shared" ca="1" si="484"/>
        <v>35541.813373200865</v>
      </c>
    </row>
    <row r="341" spans="3:85" x14ac:dyDescent="0.25">
      <c r="C341" s="424"/>
      <c r="D341" s="425"/>
      <c r="E341" s="424"/>
      <c r="F341" s="425"/>
      <c r="G341" s="424"/>
      <c r="H341" s="429"/>
      <c r="I341" s="424"/>
      <c r="J341" s="425"/>
      <c r="K341" s="427"/>
      <c r="L341" s="429"/>
      <c r="M341" s="425"/>
      <c r="N341" s="425"/>
      <c r="O341" s="425"/>
      <c r="P341" s="425"/>
      <c r="Q341" s="425" t="s">
        <v>22</v>
      </c>
      <c r="R341" s="426">
        <v>0.60750000000000004</v>
      </c>
      <c r="S341" s="425"/>
      <c r="T341" s="430">
        <v>4.6080768853435112E-3</v>
      </c>
      <c r="U341" s="424"/>
      <c r="V341" s="176">
        <f t="shared" si="485"/>
        <v>4.6080768853435112E-3</v>
      </c>
      <c r="W341" s="176">
        <f>V341-V341*Calculation_sheet!J$68</f>
        <v>4.6080768853435112E-3</v>
      </c>
      <c r="X341" s="176">
        <f>W341-W341*Calculation_sheet!E$78</f>
        <v>4.6080768853435112E-3</v>
      </c>
      <c r="Y341" s="34">
        <f>X341/Calculation_sheet!M$67</f>
        <v>4.608171104058801E-3</v>
      </c>
      <c r="Z341" s="176">
        <f ca="1">IF(AN341&gt;0,Y341*Calculation_sheet!C$87,0)</f>
        <v>0</v>
      </c>
      <c r="AA341" s="176">
        <f t="shared" ca="1" si="486"/>
        <v>4.608171104058801E-3</v>
      </c>
      <c r="AB341" s="176">
        <f ca="1">IF(AP341&gt;0,AA341*Calculation_sheet!C$94,0)</f>
        <v>0</v>
      </c>
      <c r="AC341" s="176">
        <f t="shared" ca="1" si="487"/>
        <v>4.608171104058801E-3</v>
      </c>
      <c r="AD341" s="958">
        <f ca="1">AC341*Calculation_sheet!C$99</f>
        <v>2.7649026624352803E-3</v>
      </c>
      <c r="AE341" s="176">
        <f t="shared" ca="1" si="487"/>
        <v>1.8432684416235206E-3</v>
      </c>
      <c r="AF341" s="176">
        <f t="shared" ca="1" si="405"/>
        <v>4.608171104058801E-3</v>
      </c>
      <c r="AG341" s="958">
        <f ca="1">AF341*User_sheet!B$77/100</f>
        <v>0</v>
      </c>
      <c r="AH341" s="313"/>
      <c r="AI341" s="883">
        <v>103</v>
      </c>
      <c r="AJ341" s="985"/>
      <c r="AK341" s="1020">
        <f t="shared" ca="1" si="479"/>
        <v>504.47441104467237</v>
      </c>
      <c r="AL341" s="954">
        <f ca="1">AK341/'103'!I$24</f>
        <v>1.1352448068515835</v>
      </c>
      <c r="AM341" s="954">
        <f ca="1">0.8*(AK341*30+'103'!D$17*0.34*30*1)</f>
        <v>15559.739065072135</v>
      </c>
      <c r="AN341" s="954">
        <f ca="1">IF(AM341&lt;User_sheet!B$50,Y341,0)</f>
        <v>0</v>
      </c>
      <c r="AO341" s="954">
        <f ca="1">20-(User_sheet!B$57/('Freestanding '!AK341+'103'!D$17*1*0.34))</f>
        <v>11.208078784104867</v>
      </c>
      <c r="AP341" s="954">
        <f ca="1">IF(AO341&lt;User_sheet!B$59,0,BC341*AA341)</f>
        <v>0</v>
      </c>
      <c r="AQ341" s="985"/>
      <c r="AR341" s="883">
        <v>0.88</v>
      </c>
      <c r="AS341" s="1020">
        <v>2.41</v>
      </c>
      <c r="AT341" s="883">
        <v>1.42</v>
      </c>
      <c r="AU341" s="883">
        <v>2.75</v>
      </c>
      <c r="AV341" s="883">
        <v>3.3</v>
      </c>
      <c r="AW341" s="883">
        <v>11922.428413610982</v>
      </c>
      <c r="AX341" s="883">
        <v>75945.51234133933</v>
      </c>
      <c r="AY341" s="883">
        <v>62673.095488422703</v>
      </c>
      <c r="AZ341" s="883">
        <v>0</v>
      </c>
      <c r="BA341" s="883">
        <v>0</v>
      </c>
      <c r="BB341" s="883">
        <v>0.6</v>
      </c>
      <c r="BC341" s="888">
        <v>0</v>
      </c>
      <c r="BD341" s="889">
        <v>1</v>
      </c>
      <c r="BE341" s="889">
        <v>0</v>
      </c>
      <c r="BF341" s="890">
        <v>0</v>
      </c>
      <c r="BG341" s="883">
        <v>1</v>
      </c>
      <c r="BH341" s="883">
        <v>0</v>
      </c>
      <c r="BI341" s="890">
        <v>0</v>
      </c>
      <c r="BJ341" s="883">
        <v>0</v>
      </c>
      <c r="BK341" s="883">
        <v>1</v>
      </c>
      <c r="BL341" s="883">
        <v>0</v>
      </c>
      <c r="BM341" s="890">
        <v>0</v>
      </c>
      <c r="BN341" s="958">
        <v>7.0000000000000007E-2</v>
      </c>
      <c r="BO341" s="959">
        <v>17.100000000000001</v>
      </c>
      <c r="BP341" s="1018">
        <f t="shared" ca="1" si="488"/>
        <v>148.5</v>
      </c>
      <c r="BQ341" s="1018">
        <f t="shared" ca="1" si="489"/>
        <v>412.25249999999994</v>
      </c>
      <c r="BR341" s="1018">
        <f t="shared" ca="1" si="490"/>
        <v>148.44999999999999</v>
      </c>
      <c r="BS341" s="1018">
        <f t="shared" ca="1" si="491"/>
        <v>100.98500000000001</v>
      </c>
      <c r="BT341" s="1018">
        <f t="shared" ca="1" si="492"/>
        <v>148.5</v>
      </c>
      <c r="BU341" s="1018">
        <f t="shared" ca="1" si="493"/>
        <v>46.489999999999995</v>
      </c>
      <c r="BV341" s="1018">
        <f t="shared" ca="1" si="494"/>
        <v>2.15</v>
      </c>
      <c r="BW341" s="1018">
        <v>0</v>
      </c>
      <c r="BX341" s="1018">
        <f t="shared" ca="1" si="495"/>
        <v>113.34683017121702</v>
      </c>
      <c r="BY341" s="1018">
        <f t="shared" ca="1" si="496"/>
        <v>171.66405294836832</v>
      </c>
      <c r="BZ341" s="1018">
        <f t="shared" ca="1" si="480"/>
        <v>55.84241921677723</v>
      </c>
      <c r="CA341" s="1018">
        <f t="shared" ca="1" si="481"/>
        <v>127.84749992968388</v>
      </c>
      <c r="CB341" s="1018">
        <f t="shared" ca="1" si="497"/>
        <v>4.5133587786259541</v>
      </c>
      <c r="CC341" s="1018">
        <f t="shared" si="482"/>
        <v>0</v>
      </c>
      <c r="CD341" s="1018">
        <f t="shared" ca="1" si="499"/>
        <v>504.47441104467237</v>
      </c>
      <c r="CE341" s="1018">
        <f t="shared" ca="1" si="498"/>
        <v>207.09049888711516</v>
      </c>
      <c r="CF341" s="1018">
        <f t="shared" ca="1" si="483"/>
        <v>21.346947297953626</v>
      </c>
      <c r="CG341" s="1018">
        <f t="shared" ca="1" si="484"/>
        <v>35541.813373200865</v>
      </c>
    </row>
    <row r="342" spans="3:85" x14ac:dyDescent="0.25">
      <c r="C342" s="424"/>
      <c r="D342" s="425"/>
      <c r="E342" s="424"/>
      <c r="F342" s="425"/>
      <c r="G342" s="424"/>
      <c r="H342" s="425"/>
      <c r="I342" s="424"/>
      <c r="J342" s="425"/>
      <c r="K342" s="424"/>
      <c r="L342" s="424"/>
      <c r="M342" s="425"/>
      <c r="N342" s="425"/>
      <c r="O342" s="425" t="s">
        <v>18</v>
      </c>
      <c r="P342" s="426">
        <v>0.94399999999999995</v>
      </c>
      <c r="Q342" s="425" t="s">
        <v>7</v>
      </c>
      <c r="R342" s="426">
        <v>0.39250000000000002</v>
      </c>
      <c r="S342" s="425"/>
      <c r="T342" s="430">
        <v>2.9772348600779069E-3</v>
      </c>
      <c r="U342" s="424"/>
      <c r="V342" s="176">
        <f t="shared" si="485"/>
        <v>2.9772348600779069E-3</v>
      </c>
      <c r="W342" s="176">
        <f>V342-V342*Calculation_sheet!J$68</f>
        <v>2.9772348600779069E-3</v>
      </c>
      <c r="X342" s="176">
        <f>W342-W342*Calculation_sheet!E$78</f>
        <v>2.9772348600779069E-3</v>
      </c>
      <c r="Y342" s="34">
        <f>X342/Calculation_sheet!M$67</f>
        <v>2.9772957338980734E-3</v>
      </c>
      <c r="Z342" s="176">
        <f ca="1">IF(AN342&gt;0,Y342*Calculation_sheet!C$87,0)</f>
        <v>0</v>
      </c>
      <c r="AA342" s="176">
        <f t="shared" ca="1" si="486"/>
        <v>2.9772957338980734E-3</v>
      </c>
      <c r="AB342" s="176">
        <f ca="1">IF(AP342&gt;0,AA342*Calculation_sheet!C$94,0)</f>
        <v>0</v>
      </c>
      <c r="AC342" s="176">
        <f t="shared" ca="1" si="487"/>
        <v>2.9772957338980734E-3</v>
      </c>
      <c r="AD342" s="958">
        <f ca="1">AC342*Calculation_sheet!C$99</f>
        <v>1.786377440338844E-3</v>
      </c>
      <c r="AE342" s="176">
        <f t="shared" ca="1" si="487"/>
        <v>1.1909182935592295E-3</v>
      </c>
      <c r="AF342" s="176">
        <f ca="1">Y342-AB342</f>
        <v>2.9772957338980734E-3</v>
      </c>
      <c r="AG342" s="958">
        <f ca="1">AF342*User_sheet!B$77/100</f>
        <v>0</v>
      </c>
      <c r="AH342" s="313"/>
      <c r="AI342" s="883">
        <v>103</v>
      </c>
      <c r="AJ342" s="985"/>
      <c r="AK342" s="1020">
        <f t="shared" ca="1" si="479"/>
        <v>504.47441104467237</v>
      </c>
      <c r="AL342" s="954">
        <f ca="1">AK342/'103'!I$24</f>
        <v>1.1352448068515835</v>
      </c>
      <c r="AM342" s="954">
        <f ca="1">0.8*(AK342*30+'103'!D$17*0.34*30*1)</f>
        <v>15559.739065072135</v>
      </c>
      <c r="AN342" s="954">
        <f ca="1">IF(AM342&lt;User_sheet!B$50,Y342,0)</f>
        <v>0</v>
      </c>
      <c r="AO342" s="954">
        <f ca="1">20-(User_sheet!B$57/('Freestanding '!AK342+'103'!D$17*1*0.34))</f>
        <v>11.208078784104867</v>
      </c>
      <c r="AP342" s="954">
        <f ca="1">IF(AO342&lt;User_sheet!B$59,0,BC342*AA342)</f>
        <v>0</v>
      </c>
      <c r="AQ342" s="985"/>
      <c r="AR342" s="883">
        <v>0.88</v>
      </c>
      <c r="AS342" s="1020">
        <v>2.41</v>
      </c>
      <c r="AT342" s="883">
        <v>1.42</v>
      </c>
      <c r="AU342" s="883">
        <v>2.75</v>
      </c>
      <c r="AV342" s="883">
        <v>3.3</v>
      </c>
      <c r="AW342" s="883">
        <v>11922.428413610982</v>
      </c>
      <c r="AX342" s="883">
        <v>75945.51234133933</v>
      </c>
      <c r="AY342" s="883">
        <v>62673.095488422703</v>
      </c>
      <c r="AZ342" s="883">
        <v>0</v>
      </c>
      <c r="BA342" s="883">
        <v>0</v>
      </c>
      <c r="BB342" s="883">
        <v>0.6</v>
      </c>
      <c r="BC342" s="888">
        <v>0</v>
      </c>
      <c r="BD342" s="889">
        <v>1</v>
      </c>
      <c r="BE342" s="889">
        <v>0</v>
      </c>
      <c r="BF342" s="890">
        <v>0</v>
      </c>
      <c r="BG342" s="883">
        <v>1</v>
      </c>
      <c r="BH342" s="883">
        <v>0</v>
      </c>
      <c r="BI342" s="890">
        <v>0</v>
      </c>
      <c r="BJ342" s="883">
        <v>0</v>
      </c>
      <c r="BK342" s="883">
        <v>0</v>
      </c>
      <c r="BL342" s="883">
        <v>1</v>
      </c>
      <c r="BM342" s="890">
        <v>0</v>
      </c>
      <c r="BN342" s="958">
        <v>7.0000000000000007E-2</v>
      </c>
      <c r="BO342" s="959">
        <v>17.100000000000001</v>
      </c>
      <c r="BP342" s="1018">
        <f t="shared" ca="1" si="488"/>
        <v>148.5</v>
      </c>
      <c r="BQ342" s="1018">
        <f t="shared" ca="1" si="489"/>
        <v>412.25249999999994</v>
      </c>
      <c r="BR342" s="1018">
        <f t="shared" ca="1" si="490"/>
        <v>148.44999999999999</v>
      </c>
      <c r="BS342" s="1018">
        <f t="shared" ca="1" si="491"/>
        <v>100.98500000000001</v>
      </c>
      <c r="BT342" s="1018">
        <f t="shared" ca="1" si="492"/>
        <v>148.5</v>
      </c>
      <c r="BU342" s="1018">
        <f t="shared" ca="1" si="493"/>
        <v>46.489999999999995</v>
      </c>
      <c r="BV342" s="1018">
        <f t="shared" ca="1" si="494"/>
        <v>2.15</v>
      </c>
      <c r="BW342" s="1018">
        <v>0</v>
      </c>
      <c r="BX342" s="1018">
        <f t="shared" ca="1" si="495"/>
        <v>113.34683017121702</v>
      </c>
      <c r="BY342" s="1018">
        <f t="shared" ca="1" si="496"/>
        <v>171.66405294836832</v>
      </c>
      <c r="BZ342" s="1018">
        <f t="shared" ca="1" si="480"/>
        <v>55.84241921677723</v>
      </c>
      <c r="CA342" s="1018">
        <f t="shared" ca="1" si="481"/>
        <v>127.84749992968388</v>
      </c>
      <c r="CB342" s="1018">
        <f t="shared" ca="1" si="497"/>
        <v>4.5133587786259541</v>
      </c>
      <c r="CC342" s="1018">
        <f t="shared" si="482"/>
        <v>0</v>
      </c>
      <c r="CD342" s="1018">
        <f t="shared" ca="1" si="499"/>
        <v>504.47441104467237</v>
      </c>
      <c r="CE342" s="1018">
        <f t="shared" ca="1" si="498"/>
        <v>207.09049888711516</v>
      </c>
      <c r="CF342" s="1018">
        <f t="shared" ca="1" si="483"/>
        <v>21.346947297953626</v>
      </c>
      <c r="CG342" s="1018">
        <f t="shared" ca="1" si="484"/>
        <v>35541.813373200865</v>
      </c>
    </row>
    <row r="343" spans="3:85" x14ac:dyDescent="0.25">
      <c r="C343" s="424"/>
      <c r="D343" s="425"/>
      <c r="E343" s="424" t="s">
        <v>8</v>
      </c>
      <c r="F343" s="428">
        <v>0.39</v>
      </c>
      <c r="G343" s="424"/>
      <c r="H343" s="425"/>
      <c r="I343" s="424" t="s">
        <v>10</v>
      </c>
      <c r="J343" s="428">
        <v>0.73429999999999995</v>
      </c>
      <c r="K343" s="425"/>
      <c r="L343" s="425"/>
      <c r="M343" s="425"/>
      <c r="N343" s="425"/>
      <c r="O343" s="425"/>
      <c r="P343" s="425"/>
      <c r="Q343" s="425" t="s">
        <v>22</v>
      </c>
      <c r="R343" s="426">
        <v>0.39250000000000002</v>
      </c>
      <c r="S343" s="425"/>
      <c r="T343" s="430">
        <v>1.7661562729275718E-4</v>
      </c>
      <c r="U343" s="424"/>
      <c r="V343" s="176">
        <f t="shared" si="485"/>
        <v>1.7661562729275718E-4</v>
      </c>
      <c r="W343" s="176">
        <f>V343-V343*Calculation_sheet!J$68</f>
        <v>1.7661562729275718E-4</v>
      </c>
      <c r="X343" s="176">
        <f>W343-W343*Calculation_sheet!E$78</f>
        <v>1.7661562729275718E-4</v>
      </c>
      <c r="Y343" s="34">
        <f>X343/Calculation_sheet!M$67</f>
        <v>1.7661923845158062E-4</v>
      </c>
      <c r="Z343" s="176">
        <f ca="1">IF(AN343&gt;0,Y343*Calculation_sheet!C$87,0)</f>
        <v>0</v>
      </c>
      <c r="AA343" s="176">
        <f t="shared" ca="1" si="486"/>
        <v>1.7661923845158062E-4</v>
      </c>
      <c r="AB343" s="176">
        <f ca="1">IF(AP343&gt;0,AA343*Calculation_sheet!C$94,0)</f>
        <v>0</v>
      </c>
      <c r="AC343" s="176">
        <f t="shared" ca="1" si="487"/>
        <v>1.7661923845158062E-4</v>
      </c>
      <c r="AD343" s="958">
        <f ca="1">AC343*Calculation_sheet!C$99</f>
        <v>1.0597154307094836E-4</v>
      </c>
      <c r="AE343" s="176">
        <f t="shared" ca="1" si="487"/>
        <v>7.0647695380632257E-5</v>
      </c>
      <c r="AF343" s="176">
        <f ca="1">Y343-AB343</f>
        <v>1.7661923845158062E-4</v>
      </c>
      <c r="AG343" s="958">
        <f ca="1">AF343*User_sheet!B$77/100</f>
        <v>0</v>
      </c>
      <c r="AH343" s="313"/>
      <c r="AI343" s="883">
        <v>103</v>
      </c>
      <c r="AJ343" s="985"/>
      <c r="AK343" s="1020">
        <f t="shared" ca="1" si="479"/>
        <v>504.47441104467237</v>
      </c>
      <c r="AL343" s="954">
        <f ca="1">AK343/'103'!I$24</f>
        <v>1.1352448068515835</v>
      </c>
      <c r="AM343" s="954">
        <f ca="1">0.8*(AK343*30+'103'!D$17*0.34*30*1)</f>
        <v>15559.739065072135</v>
      </c>
      <c r="AN343" s="954">
        <f ca="1">IF(AM343&lt;User_sheet!B$50,Y343,0)</f>
        <v>0</v>
      </c>
      <c r="AO343" s="954">
        <f ca="1">20-(User_sheet!B$57/('Freestanding '!AK343+'103'!D$17*1*0.34))</f>
        <v>11.208078784104867</v>
      </c>
      <c r="AP343" s="954">
        <f ca="1">IF(AO343&lt;User_sheet!B$59,0,BC343*AA343)</f>
        <v>0</v>
      </c>
      <c r="AQ343" s="985"/>
      <c r="AR343" s="883">
        <v>0.88</v>
      </c>
      <c r="AS343" s="1020">
        <v>2.41</v>
      </c>
      <c r="AT343" s="883">
        <v>1.42</v>
      </c>
      <c r="AU343" s="883">
        <v>2.75</v>
      </c>
      <c r="AV343" s="883">
        <v>3.3</v>
      </c>
      <c r="AW343" s="883">
        <v>11922.428413610982</v>
      </c>
      <c r="AX343" s="883">
        <v>75945.51234133933</v>
      </c>
      <c r="AY343" s="883">
        <v>62673.095488422703</v>
      </c>
      <c r="AZ343" s="883">
        <v>0</v>
      </c>
      <c r="BA343" s="883">
        <v>0</v>
      </c>
      <c r="BB343" s="883">
        <v>0.6</v>
      </c>
      <c r="BC343" s="888">
        <v>0</v>
      </c>
      <c r="BD343" s="889">
        <v>1</v>
      </c>
      <c r="BE343" s="889">
        <v>0</v>
      </c>
      <c r="BF343" s="890">
        <v>0</v>
      </c>
      <c r="BG343" s="883">
        <v>0</v>
      </c>
      <c r="BH343" s="883">
        <v>1</v>
      </c>
      <c r="BI343" s="890">
        <v>0</v>
      </c>
      <c r="BJ343" s="883">
        <v>0</v>
      </c>
      <c r="BK343" s="883">
        <v>1</v>
      </c>
      <c r="BL343" s="883">
        <v>0</v>
      </c>
      <c r="BM343" s="890">
        <v>0</v>
      </c>
      <c r="BN343" s="958">
        <v>7.0000000000000007E-2</v>
      </c>
      <c r="BO343" s="959">
        <v>17.100000000000001</v>
      </c>
      <c r="BP343" s="1018">
        <f t="shared" ca="1" si="488"/>
        <v>148.5</v>
      </c>
      <c r="BQ343" s="1018">
        <f t="shared" ca="1" si="489"/>
        <v>412.25249999999994</v>
      </c>
      <c r="BR343" s="1018">
        <f t="shared" ca="1" si="490"/>
        <v>148.44999999999999</v>
      </c>
      <c r="BS343" s="1018">
        <f t="shared" ca="1" si="491"/>
        <v>100.98500000000001</v>
      </c>
      <c r="BT343" s="1018">
        <f t="shared" ca="1" si="492"/>
        <v>148.5</v>
      </c>
      <c r="BU343" s="1018">
        <f t="shared" ca="1" si="493"/>
        <v>46.489999999999995</v>
      </c>
      <c r="BV343" s="1018">
        <f t="shared" ca="1" si="494"/>
        <v>2.15</v>
      </c>
      <c r="BW343" s="1018">
        <v>0</v>
      </c>
      <c r="BX343" s="1018">
        <f t="shared" ca="1" si="495"/>
        <v>113.34683017121702</v>
      </c>
      <c r="BY343" s="1018">
        <f t="shared" ca="1" si="496"/>
        <v>171.66405294836832</v>
      </c>
      <c r="BZ343" s="1018">
        <f t="shared" ca="1" si="480"/>
        <v>55.84241921677723</v>
      </c>
      <c r="CA343" s="1018">
        <f t="shared" ca="1" si="481"/>
        <v>127.84749992968388</v>
      </c>
      <c r="CB343" s="1018">
        <f t="shared" ca="1" si="497"/>
        <v>4.5133587786259541</v>
      </c>
      <c r="CC343" s="1018">
        <f t="shared" si="482"/>
        <v>0</v>
      </c>
      <c r="CD343" s="1018">
        <f t="shared" ca="1" si="499"/>
        <v>504.47441104467237</v>
      </c>
      <c r="CE343" s="1018">
        <f t="shared" ca="1" si="498"/>
        <v>207.09049888711516</v>
      </c>
      <c r="CF343" s="1018">
        <f t="shared" ca="1" si="483"/>
        <v>21.346947297953626</v>
      </c>
      <c r="CG343" s="1018">
        <f t="shared" ca="1" si="484"/>
        <v>35541.813373200865</v>
      </c>
    </row>
    <row r="344" spans="3:85" x14ac:dyDescent="0.25">
      <c r="C344" s="424"/>
      <c r="D344" s="425"/>
      <c r="E344" s="424"/>
      <c r="F344" s="425"/>
      <c r="G344" s="424"/>
      <c r="H344" s="425"/>
      <c r="I344" s="424"/>
      <c r="J344" s="425"/>
      <c r="K344" s="425"/>
      <c r="L344" s="425"/>
      <c r="M344" s="425" t="s">
        <v>22</v>
      </c>
      <c r="N344" s="426">
        <v>0.47</v>
      </c>
      <c r="O344" s="425" t="s">
        <v>20</v>
      </c>
      <c r="P344" s="426">
        <v>5.6000000000000001E-2</v>
      </c>
      <c r="Q344" s="425" t="s">
        <v>7</v>
      </c>
      <c r="R344" s="426">
        <v>0.60750000000000004</v>
      </c>
      <c r="S344" s="425"/>
      <c r="T344" s="430">
        <v>2.7336049319834393E-4</v>
      </c>
      <c r="U344" s="424"/>
      <c r="V344" s="176">
        <f t="shared" si="485"/>
        <v>2.7336049319834393E-4</v>
      </c>
      <c r="W344" s="176">
        <f>V344-V344*Calculation_sheet!J$68</f>
        <v>2.7336049319834393E-4</v>
      </c>
      <c r="X344" s="176">
        <f>W344-W344*Calculation_sheet!E$78</f>
        <v>2.7336049319834393E-4</v>
      </c>
      <c r="Y344" s="34">
        <f>X344/Calculation_sheet!M$67</f>
        <v>2.7336608244416617E-4</v>
      </c>
      <c r="Z344" s="176">
        <f ca="1">IF(AN344&gt;0,Y344*Calculation_sheet!C$87,0)</f>
        <v>0</v>
      </c>
      <c r="AA344" s="176">
        <f t="shared" ca="1" si="486"/>
        <v>2.7336608244416617E-4</v>
      </c>
      <c r="AB344" s="176">
        <f ca="1">IF(AP344&gt;0,AA344*Calculation_sheet!C$94,0)</f>
        <v>0</v>
      </c>
      <c r="AC344" s="176">
        <f t="shared" ca="1" si="487"/>
        <v>2.7336608244416617E-4</v>
      </c>
      <c r="AD344" s="958">
        <f ca="1">AC344*Calculation_sheet!C$99</f>
        <v>1.6401964946649971E-4</v>
      </c>
      <c r="AE344" s="176">
        <f t="shared" ca="1" si="487"/>
        <v>1.0934643297766646E-4</v>
      </c>
      <c r="AF344" s="176">
        <f ca="1">Y344-AB344</f>
        <v>2.7336608244416617E-4</v>
      </c>
      <c r="AG344" s="958">
        <f ca="1">AF344*User_sheet!B$77/100</f>
        <v>0</v>
      </c>
      <c r="AH344" s="313"/>
      <c r="AI344" s="883">
        <v>103</v>
      </c>
      <c r="AJ344" s="985"/>
      <c r="AK344" s="1020">
        <f t="shared" ca="1" si="479"/>
        <v>504.47441104467237</v>
      </c>
      <c r="AL344" s="954">
        <f ca="1">AK344/'103'!I$24</f>
        <v>1.1352448068515835</v>
      </c>
      <c r="AM344" s="954">
        <f ca="1">0.8*(AK344*30+'103'!D$17*0.34*30*1)</f>
        <v>15559.739065072135</v>
      </c>
      <c r="AN344" s="954">
        <f ca="1">IF(AM344&lt;User_sheet!B$50,Y344,0)</f>
        <v>0</v>
      </c>
      <c r="AO344" s="954">
        <f ca="1">20-(User_sheet!B$57/('Freestanding '!AK344+'103'!D$17*1*0.34))</f>
        <v>11.208078784104867</v>
      </c>
      <c r="AP344" s="954">
        <f ca="1">IF(AO344&lt;User_sheet!B$59,0,BC344*AA344)</f>
        <v>0</v>
      </c>
      <c r="AQ344" s="985"/>
      <c r="AR344" s="883">
        <v>0.88</v>
      </c>
      <c r="AS344" s="1020">
        <v>2.41</v>
      </c>
      <c r="AT344" s="883">
        <v>1.42</v>
      </c>
      <c r="AU344" s="883">
        <v>2.75</v>
      </c>
      <c r="AV344" s="883">
        <v>3.3</v>
      </c>
      <c r="AW344" s="883">
        <v>11922.428413610982</v>
      </c>
      <c r="AX344" s="883">
        <v>75945.51234133933</v>
      </c>
      <c r="AY344" s="883">
        <v>62673.095488422703</v>
      </c>
      <c r="AZ344" s="883">
        <v>0</v>
      </c>
      <c r="BA344" s="883">
        <v>0</v>
      </c>
      <c r="BB344" s="883">
        <v>0.6</v>
      </c>
      <c r="BC344" s="888">
        <v>0</v>
      </c>
      <c r="BD344" s="889">
        <v>1</v>
      </c>
      <c r="BE344" s="889">
        <v>0</v>
      </c>
      <c r="BF344" s="890">
        <v>0</v>
      </c>
      <c r="BG344" s="883">
        <v>0</v>
      </c>
      <c r="BH344" s="883">
        <v>1</v>
      </c>
      <c r="BI344" s="890">
        <v>0</v>
      </c>
      <c r="BJ344" s="883">
        <v>0</v>
      </c>
      <c r="BK344" s="883">
        <v>0</v>
      </c>
      <c r="BL344" s="883">
        <v>1</v>
      </c>
      <c r="BM344" s="890">
        <v>0</v>
      </c>
      <c r="BN344" s="958">
        <v>7.0000000000000007E-2</v>
      </c>
      <c r="BO344" s="959">
        <v>17.100000000000001</v>
      </c>
      <c r="BP344" s="1018">
        <f t="shared" ca="1" si="488"/>
        <v>148.5</v>
      </c>
      <c r="BQ344" s="1018">
        <f t="shared" ca="1" si="489"/>
        <v>412.25249999999994</v>
      </c>
      <c r="BR344" s="1018">
        <f t="shared" ca="1" si="490"/>
        <v>148.44999999999999</v>
      </c>
      <c r="BS344" s="1018">
        <f t="shared" ca="1" si="491"/>
        <v>100.98500000000001</v>
      </c>
      <c r="BT344" s="1018">
        <f t="shared" ca="1" si="492"/>
        <v>148.5</v>
      </c>
      <c r="BU344" s="1018">
        <f t="shared" ca="1" si="493"/>
        <v>46.489999999999995</v>
      </c>
      <c r="BV344" s="1018">
        <f t="shared" ca="1" si="494"/>
        <v>2.15</v>
      </c>
      <c r="BW344" s="1018">
        <v>0</v>
      </c>
      <c r="BX344" s="1018">
        <f t="shared" ca="1" si="495"/>
        <v>113.34683017121702</v>
      </c>
      <c r="BY344" s="1018">
        <f t="shared" ca="1" si="496"/>
        <v>171.66405294836832</v>
      </c>
      <c r="BZ344" s="1018">
        <f t="shared" ca="1" si="480"/>
        <v>55.84241921677723</v>
      </c>
      <c r="CA344" s="1018">
        <f t="shared" ca="1" si="481"/>
        <v>127.84749992968388</v>
      </c>
      <c r="CB344" s="1018">
        <f t="shared" ca="1" si="497"/>
        <v>4.5133587786259541</v>
      </c>
      <c r="CC344" s="1018">
        <f t="shared" si="482"/>
        <v>0</v>
      </c>
      <c r="CD344" s="1018">
        <f t="shared" ca="1" si="499"/>
        <v>504.47441104467237</v>
      </c>
      <c r="CE344" s="1018">
        <f t="shared" ca="1" si="498"/>
        <v>207.09049888711516</v>
      </c>
      <c r="CF344" s="1018">
        <f t="shared" ca="1" si="483"/>
        <v>21.346947297953626</v>
      </c>
      <c r="CG344" s="1018">
        <f t="shared" ca="1" si="484"/>
        <v>35541.813373200865</v>
      </c>
    </row>
    <row r="345" spans="3:85" x14ac:dyDescent="0.25">
      <c r="C345" s="424"/>
      <c r="D345" s="425"/>
      <c r="E345" s="424"/>
      <c r="F345" s="425"/>
      <c r="G345" s="424"/>
      <c r="H345" s="425"/>
      <c r="I345" s="424"/>
      <c r="J345" s="425"/>
      <c r="K345" s="427" t="s">
        <v>13</v>
      </c>
      <c r="L345" s="428">
        <v>1</v>
      </c>
      <c r="M345" s="425" t="s">
        <v>7</v>
      </c>
      <c r="N345" s="426">
        <v>0.11900000000000005</v>
      </c>
      <c r="O345" s="425" t="s">
        <v>23</v>
      </c>
      <c r="P345" s="426">
        <v>1</v>
      </c>
      <c r="Q345" s="425" t="s">
        <v>7</v>
      </c>
      <c r="R345" s="426">
        <v>1</v>
      </c>
      <c r="S345" s="425"/>
      <c r="T345" s="430">
        <v>2.0344665022204046E-3</v>
      </c>
      <c r="U345" s="424"/>
      <c r="V345" s="176">
        <f t="shared" si="485"/>
        <v>2.0344665022204046E-3</v>
      </c>
      <c r="W345" s="176">
        <f>V345-V345*Calculation_sheet!J$68</f>
        <v>2.0344665022204046E-3</v>
      </c>
      <c r="X345" s="176">
        <f>W345-W345*Calculation_sheet!E$78</f>
        <v>2.0344665022204046E-3</v>
      </c>
      <c r="Y345" s="34">
        <f>X345/Calculation_sheet!M$67</f>
        <v>2.0345080997946005E-3</v>
      </c>
      <c r="Z345" s="176">
        <f ca="1">IF(AN345&gt;0,Y345*Calculation_sheet!C$87,0)</f>
        <v>0</v>
      </c>
      <c r="AA345" s="176">
        <f t="shared" ca="1" si="486"/>
        <v>2.0345080997946005E-3</v>
      </c>
      <c r="AB345" s="176">
        <f ca="1">IF(AP345&gt;0,AA345*Calculation_sheet!C$94,0)</f>
        <v>0</v>
      </c>
      <c r="AC345" s="176">
        <f t="shared" ca="1" si="487"/>
        <v>2.0345080997946005E-3</v>
      </c>
      <c r="AD345" s="958">
        <f ca="1">AC345*Calculation_sheet!C$99</f>
        <v>1.2207048598767603E-3</v>
      </c>
      <c r="AE345" s="176">
        <f t="shared" ca="1" si="487"/>
        <v>8.1380323991784025E-4</v>
      </c>
      <c r="AF345" s="176">
        <f ca="1">Y345-AB345</f>
        <v>2.0345080997946005E-3</v>
      </c>
      <c r="AG345" s="958">
        <f ca="1">AF345*User_sheet!B$77/100</f>
        <v>0</v>
      </c>
      <c r="AH345" s="313"/>
      <c r="AI345" s="883">
        <v>103</v>
      </c>
      <c r="AJ345" s="985"/>
      <c r="AK345" s="1020">
        <f t="shared" ca="1" si="479"/>
        <v>504.47441104467237</v>
      </c>
      <c r="AL345" s="954">
        <f ca="1">AK345/'103'!I$24</f>
        <v>1.1352448068515835</v>
      </c>
      <c r="AM345" s="954">
        <f ca="1">0.8*(AK345*30+'103'!D$17*0.34*30*1)</f>
        <v>15559.739065072135</v>
      </c>
      <c r="AN345" s="954">
        <f ca="1">IF(AM345&lt;User_sheet!B$50,Y345,0)</f>
        <v>0</v>
      </c>
      <c r="AO345" s="954">
        <f ca="1">20-(User_sheet!B$57/('Freestanding '!AK345+'103'!D$17*1*0.34))</f>
        <v>11.208078784104867</v>
      </c>
      <c r="AP345" s="954">
        <f ca="1">IF(AO345&lt;User_sheet!B$59,0,BC345*AA345)</f>
        <v>0</v>
      </c>
      <c r="AQ345" s="985"/>
      <c r="AR345" s="883">
        <v>0.88</v>
      </c>
      <c r="AS345" s="1020">
        <v>2.41</v>
      </c>
      <c r="AT345" s="883">
        <v>1.42</v>
      </c>
      <c r="AU345" s="883">
        <v>2.75</v>
      </c>
      <c r="AV345" s="883">
        <v>3.3</v>
      </c>
      <c r="AW345" s="883">
        <v>11922.428413610982</v>
      </c>
      <c r="AX345" s="883">
        <v>75945.51234133933</v>
      </c>
      <c r="AY345" s="883">
        <v>62673.095488422703</v>
      </c>
      <c r="AZ345" s="883">
        <v>0</v>
      </c>
      <c r="BA345" s="883">
        <v>0</v>
      </c>
      <c r="BB345" s="883">
        <v>0.6</v>
      </c>
      <c r="BC345" s="888">
        <v>0</v>
      </c>
      <c r="BD345" s="889">
        <v>0</v>
      </c>
      <c r="BE345" s="889">
        <v>1</v>
      </c>
      <c r="BF345" s="890">
        <v>0</v>
      </c>
      <c r="BG345" s="883">
        <v>0</v>
      </c>
      <c r="BH345" s="883">
        <v>0</v>
      </c>
      <c r="BI345" s="890">
        <v>1</v>
      </c>
      <c r="BJ345" s="883">
        <v>0</v>
      </c>
      <c r="BK345" s="883">
        <v>0</v>
      </c>
      <c r="BL345" s="883">
        <v>1</v>
      </c>
      <c r="BM345" s="890">
        <v>0</v>
      </c>
      <c r="BN345" s="958">
        <v>7.0000000000000007E-2</v>
      </c>
      <c r="BO345" s="959">
        <v>17.100000000000001</v>
      </c>
      <c r="BP345" s="1018">
        <f t="shared" ca="1" si="488"/>
        <v>148.5</v>
      </c>
      <c r="BQ345" s="1018">
        <f t="shared" ca="1" si="489"/>
        <v>412.25249999999994</v>
      </c>
      <c r="BR345" s="1018">
        <f t="shared" ca="1" si="490"/>
        <v>148.44999999999999</v>
      </c>
      <c r="BS345" s="1018">
        <f t="shared" ca="1" si="491"/>
        <v>100.98500000000001</v>
      </c>
      <c r="BT345" s="1018">
        <f t="shared" ca="1" si="492"/>
        <v>148.5</v>
      </c>
      <c r="BU345" s="1018">
        <f t="shared" ca="1" si="493"/>
        <v>46.489999999999995</v>
      </c>
      <c r="BV345" s="1018">
        <f t="shared" ca="1" si="494"/>
        <v>2.15</v>
      </c>
      <c r="BW345" s="1018">
        <v>0</v>
      </c>
      <c r="BX345" s="1018">
        <f t="shared" ca="1" si="495"/>
        <v>113.34683017121702</v>
      </c>
      <c r="BY345" s="1018">
        <f t="shared" ca="1" si="496"/>
        <v>171.66405294836832</v>
      </c>
      <c r="BZ345" s="1018">
        <f t="shared" ca="1" si="480"/>
        <v>55.84241921677723</v>
      </c>
      <c r="CA345" s="1018">
        <f t="shared" ca="1" si="481"/>
        <v>127.84749992968388</v>
      </c>
      <c r="CB345" s="1018">
        <f t="shared" ca="1" si="497"/>
        <v>4.5133587786259541</v>
      </c>
      <c r="CC345" s="1018">
        <f t="shared" si="482"/>
        <v>0</v>
      </c>
      <c r="CD345" s="1018">
        <f t="shared" ca="1" si="499"/>
        <v>504.47441104467237</v>
      </c>
      <c r="CE345" s="1018">
        <f t="shared" ca="1" si="498"/>
        <v>207.09049888711516</v>
      </c>
      <c r="CF345" s="1018">
        <f t="shared" ca="1" si="483"/>
        <v>21.346947297953626</v>
      </c>
      <c r="CG345" s="1018">
        <f t="shared" ca="1" si="484"/>
        <v>35541.813373200865</v>
      </c>
    </row>
    <row r="346" spans="3:85" s="14" customFormat="1" x14ac:dyDescent="0.25">
      <c r="D346" s="15"/>
      <c r="F346" s="15"/>
      <c r="H346" s="15"/>
      <c r="J346" s="15"/>
      <c r="K346" s="16"/>
      <c r="L346" s="28"/>
      <c r="M346" s="15"/>
      <c r="N346" s="15"/>
      <c r="O346" s="15"/>
      <c r="P346" s="15"/>
      <c r="Q346" s="15"/>
      <c r="R346" s="15"/>
      <c r="S346" s="15"/>
      <c r="T346" s="80"/>
      <c r="U346" s="295"/>
      <c r="V346" s="292"/>
      <c r="W346" s="292"/>
      <c r="X346" s="292"/>
      <c r="Y346" s="277"/>
      <c r="Z346" s="292"/>
      <c r="AA346" s="292"/>
      <c r="AB346" s="292"/>
      <c r="AC346" s="292"/>
      <c r="AD346" s="277"/>
      <c r="AE346" s="292"/>
      <c r="AF346" s="292"/>
      <c r="AG346" s="277"/>
      <c r="AH346" s="313"/>
      <c r="AI346" s="887"/>
      <c r="AJ346" s="985"/>
      <c r="AK346" s="1020">
        <f t="shared" si="479"/>
        <v>0</v>
      </c>
      <c r="AL346" s="941"/>
      <c r="AM346" s="941"/>
      <c r="AN346" s="941"/>
      <c r="AO346" s="941"/>
      <c r="AP346" s="941"/>
      <c r="AQ346" s="985"/>
      <c r="AR346" s="887"/>
      <c r="AS346" s="887"/>
      <c r="AT346" s="887"/>
      <c r="AU346" s="887"/>
      <c r="AV346" s="887"/>
      <c r="AW346" s="887"/>
      <c r="AX346" s="887"/>
      <c r="AY346" s="887"/>
      <c r="AZ346" s="887"/>
      <c r="BA346" s="887"/>
      <c r="BB346" s="887"/>
      <c r="BC346" s="45"/>
      <c r="BD346" s="277"/>
      <c r="BE346" s="277"/>
      <c r="BF346" s="49"/>
      <c r="BG346" s="887"/>
      <c r="BH346" s="887"/>
      <c r="BI346" s="49"/>
      <c r="BJ346" s="887"/>
      <c r="BK346" s="887"/>
      <c r="BL346" s="887"/>
      <c r="BM346" s="49"/>
      <c r="BN346" s="277"/>
      <c r="BO346" s="49"/>
      <c r="BP346" s="946"/>
      <c r="BQ346" s="946"/>
      <c r="BR346" s="946"/>
      <c r="BS346" s="946"/>
      <c r="BT346" s="946"/>
      <c r="BU346" s="946"/>
      <c r="BV346" s="946"/>
      <c r="BW346" s="946"/>
      <c r="BX346" s="946"/>
      <c r="BY346" s="946"/>
      <c r="BZ346" s="946"/>
      <c r="CA346" s="946"/>
      <c r="CB346" s="946"/>
      <c r="CC346" s="946"/>
      <c r="CD346" s="946"/>
      <c r="CE346" s="946"/>
      <c r="CF346" s="946"/>
      <c r="CG346" s="946"/>
    </row>
    <row r="347" spans="3:85" x14ac:dyDescent="0.25">
      <c r="D347" s="1"/>
      <c r="F347" s="1"/>
      <c r="G347" s="3"/>
      <c r="H347" s="6"/>
      <c r="I347" s="3"/>
      <c r="J347" s="6"/>
      <c r="K347" s="8"/>
      <c r="L347" s="6"/>
      <c r="M347" s="1"/>
      <c r="N347" s="1"/>
      <c r="O347" s="1"/>
      <c r="P347" s="1"/>
      <c r="Q347" s="1" t="s">
        <v>16</v>
      </c>
      <c r="R347" s="4"/>
      <c r="S347" s="1"/>
      <c r="T347" s="77"/>
      <c r="U347" s="294"/>
      <c r="X347" s="176">
        <f>W337-X337</f>
        <v>0</v>
      </c>
      <c r="Y347" s="34">
        <f>X347/Calculation_sheet!M$67</f>
        <v>0</v>
      </c>
      <c r="Z347" s="176">
        <f ca="1">IF(AN347&gt;0,Y347*Calculation_sheet!C$87,0)</f>
        <v>0</v>
      </c>
      <c r="AA347" s="176">
        <f t="shared" ca="1" si="486"/>
        <v>0</v>
      </c>
      <c r="AB347" s="176">
        <f ca="1">IF(AP347&gt;0,AA347*Calculation_sheet!C$94,0)</f>
        <v>0</v>
      </c>
      <c r="AC347" s="176">
        <f t="shared" ref="AC347:AE355" ca="1" si="500">AA347-AB347</f>
        <v>0</v>
      </c>
      <c r="AD347" s="958">
        <f ca="1">AC347*Calculation_sheet!C$99</f>
        <v>0</v>
      </c>
      <c r="AE347" s="176">
        <f t="shared" ca="1" si="500"/>
        <v>0</v>
      </c>
      <c r="AF347" s="176">
        <f t="shared" ref="AF347:AF355" ca="1" si="501">Y347-AB347</f>
        <v>0</v>
      </c>
      <c r="AG347" s="958">
        <f ca="1">AF347*User_sheet!B$77/100</f>
        <v>0</v>
      </c>
      <c r="AH347" s="313"/>
      <c r="AI347" s="883">
        <v>103</v>
      </c>
      <c r="AJ347" s="985"/>
      <c r="AK347" s="1020">
        <f t="shared" ca="1" si="479"/>
        <v>401.2676604922288</v>
      </c>
      <c r="AL347" s="954">
        <f ca="1">AK347/'103'!I$24</f>
        <v>0.90299332881514216</v>
      </c>
      <c r="AM347" s="954">
        <f ca="1">0.8*(AK347*30+'103'!D$17*0.34*30*1)</f>
        <v>13082.777051813491</v>
      </c>
      <c r="AN347" s="954">
        <f ca="1">IF(AM347&lt;User_sheet!B$50,Y347,0)</f>
        <v>0</v>
      </c>
      <c r="AO347" s="954">
        <f ca="1">20-(User_sheet!B$57/('Freestanding '!AK347+'103'!D$17*1*0.34))</f>
        <v>9.5435044518291132</v>
      </c>
      <c r="AP347" s="954">
        <f ca="1">IF(AO347&lt;User_sheet!B$59,0,BC347*AA347)</f>
        <v>0</v>
      </c>
      <c r="AQ347" s="985"/>
      <c r="AR347" s="883">
        <v>0.32</v>
      </c>
      <c r="AS347" s="1020">
        <v>2.41</v>
      </c>
      <c r="AT347" s="883">
        <v>1.42</v>
      </c>
      <c r="AU347" s="883">
        <v>2</v>
      </c>
      <c r="AV347" s="883">
        <v>3.3</v>
      </c>
      <c r="AW347" s="883">
        <v>14356</v>
      </c>
      <c r="AX347" s="883">
        <v>75945.51234133933</v>
      </c>
      <c r="AY347" s="883">
        <v>62673.095488422703</v>
      </c>
      <c r="AZ347" s="886">
        <v>0</v>
      </c>
      <c r="BA347" s="886">
        <v>0</v>
      </c>
      <c r="BB347" s="883">
        <v>0.6</v>
      </c>
      <c r="BC347" s="888">
        <v>1</v>
      </c>
      <c r="BD347" s="889">
        <v>0</v>
      </c>
      <c r="BE347" s="889">
        <v>0</v>
      </c>
      <c r="BF347" s="890">
        <v>0</v>
      </c>
      <c r="BG347" s="883">
        <v>1</v>
      </c>
      <c r="BH347" s="883">
        <v>0</v>
      </c>
      <c r="BI347" s="890">
        <v>0</v>
      </c>
      <c r="BJ347" s="883">
        <v>1</v>
      </c>
      <c r="BK347" s="883">
        <v>0</v>
      </c>
      <c r="BL347" s="883">
        <v>0</v>
      </c>
      <c r="BM347" s="890">
        <v>0</v>
      </c>
      <c r="BN347" s="958">
        <v>7.0000000000000007E-2</v>
      </c>
      <c r="BO347" s="959">
        <v>17.100000000000001</v>
      </c>
      <c r="BP347" s="1018">
        <f t="shared" ref="BP347:BP355" ca="1" si="502">INDIRECT("'"&amp;AI347&amp;"'!"&amp;"B2")</f>
        <v>148.5</v>
      </c>
      <c r="BQ347" s="1018">
        <f t="shared" ref="BQ347:BQ355" ca="1" si="503">INDIRECT("'"&amp;AI347&amp;"'!"&amp;"C12")+INDIRECT("'"&amp;AI347&amp;"'!"&amp;"C13")+INDIRECT("'"&amp;AI347&amp;"'!"&amp;"C14")+INDIRECT("'"&amp;AI347&amp;"'!"&amp;"C15")+INDIRECT("'"&amp;AI347&amp;"'!"&amp;"C17")</f>
        <v>412.25249999999994</v>
      </c>
      <c r="BR347" s="1018">
        <f t="shared" ref="BR347:BR355" ca="1" si="504">INDIRECT("'"&amp;AI347&amp;"'!"&amp;"G5")</f>
        <v>148.44999999999999</v>
      </c>
      <c r="BS347" s="1018">
        <f t="shared" ref="BS347:BS355" ca="1" si="505">INDIRECT("'"&amp;AI347&amp;"'!"&amp;"G4")</f>
        <v>100.98500000000001</v>
      </c>
      <c r="BT347" s="1018">
        <f t="shared" ref="BT347:BT355" ca="1" si="506">INDIRECT("'"&amp;AI347&amp;"'!"&amp;"G6")</f>
        <v>148.5</v>
      </c>
      <c r="BU347" s="1018">
        <f t="shared" ref="BU347:BU355" ca="1" si="507">INDIRECT("'"&amp;AI347&amp;"'!"&amp;"G2")</f>
        <v>46.489999999999995</v>
      </c>
      <c r="BV347" s="1018">
        <f t="shared" ref="BV347:BV355" ca="1" si="508">INDIRECT("'"&amp;AI347&amp;"'!"&amp;"G3")</f>
        <v>2.15</v>
      </c>
      <c r="BW347" s="1018">
        <v>0</v>
      </c>
      <c r="BX347" s="1018">
        <f t="shared" ref="BX347:BX355" ca="1" si="509">IF(BR347=0,0,1/(1/(BR347*$BY$3)+1/(BR347*AR347)+1/(BR347*$BY$4)))</f>
        <v>45.00757958564931</v>
      </c>
      <c r="BY347" s="1018">
        <f t="shared" ref="BY347:BY355" ca="1" si="510">IF(BS347=0,0,1/(1/(BS347*$BY$3)+1/(BS347*AS347)+1/(BS347*$BY$4)))</f>
        <v>171.66405294836832</v>
      </c>
      <c r="BZ347" s="1018">
        <f t="shared" ca="1" si="480"/>
        <v>55.84241921677723</v>
      </c>
      <c r="CA347" s="1018">
        <f t="shared" ca="1" si="481"/>
        <v>92.979999962808009</v>
      </c>
      <c r="CB347" s="1018">
        <f t="shared" ref="CB347:CB355" ca="1" si="511">IF(BV347=0,0,1/(1/(BV347*$BY$3)+1/(BV347*AV347)+1/(BV347*$BY$4)))</f>
        <v>4.5133587786259541</v>
      </c>
      <c r="CC347" s="1018">
        <f t="shared" si="482"/>
        <v>0</v>
      </c>
      <c r="CD347" s="1018">
        <f ca="1">SUM(BX347:CC347)+(BR347+BS347+BT347+BU347+BV347)*BN347</f>
        <v>401.2676604922288</v>
      </c>
      <c r="CE347" s="1018">
        <f t="shared" ref="CE347:CE355" ca="1" si="512">0.34*BO347*(1/25)^0.66*(BR347+BS347+BU347+BV347)</f>
        <v>207.09049888711516</v>
      </c>
      <c r="CF347" s="1018">
        <f t="shared" ca="1" si="483"/>
        <v>18.25074478138032</v>
      </c>
      <c r="CG347" s="1018">
        <f t="shared" ca="1" si="484"/>
        <v>30386.760031206977</v>
      </c>
    </row>
    <row r="348" spans="3:85" x14ac:dyDescent="0.25">
      <c r="D348" s="1"/>
      <c r="F348" s="1"/>
      <c r="G348" s="3"/>
      <c r="H348" s="6"/>
      <c r="I348" s="3"/>
      <c r="J348" s="6"/>
      <c r="K348" s="8"/>
      <c r="L348" s="6"/>
      <c r="M348" s="1"/>
      <c r="N348" s="1"/>
      <c r="O348" s="1" t="s">
        <v>18</v>
      </c>
      <c r="P348" s="4"/>
      <c r="Q348" s="1" t="s">
        <v>7</v>
      </c>
      <c r="R348" s="4"/>
      <c r="S348" s="1"/>
      <c r="T348" s="77"/>
      <c r="U348" s="294"/>
      <c r="X348" s="176">
        <f t="shared" ref="X348:X355" si="513">W338-X338</f>
        <v>0</v>
      </c>
      <c r="Y348" s="34">
        <f>X348/Calculation_sheet!M$67</f>
        <v>0</v>
      </c>
      <c r="Z348" s="176">
        <f ca="1">IF(AN348&gt;0,Y348*Calculation_sheet!C$87,0)</f>
        <v>0</v>
      </c>
      <c r="AA348" s="176">
        <f t="shared" ca="1" si="486"/>
        <v>0</v>
      </c>
      <c r="AB348" s="176">
        <f ca="1">IF(AP348&gt;0,AA348*Calculation_sheet!C$94,0)</f>
        <v>0</v>
      </c>
      <c r="AC348" s="176">
        <f t="shared" ca="1" si="500"/>
        <v>0</v>
      </c>
      <c r="AD348" s="958">
        <f ca="1">AC348*Calculation_sheet!C$99</f>
        <v>0</v>
      </c>
      <c r="AE348" s="176">
        <f t="shared" ca="1" si="500"/>
        <v>0</v>
      </c>
      <c r="AF348" s="176">
        <f t="shared" ca="1" si="501"/>
        <v>0</v>
      </c>
      <c r="AG348" s="958">
        <f ca="1">AF348*User_sheet!B$77/100</f>
        <v>0</v>
      </c>
      <c r="AH348" s="313"/>
      <c r="AI348" s="883">
        <v>103</v>
      </c>
      <c r="AJ348" s="985"/>
      <c r="AK348" s="1020">
        <f t="shared" ca="1" si="479"/>
        <v>401.2676604922288</v>
      </c>
      <c r="AL348" s="954">
        <f ca="1">AK348/'103'!I$24</f>
        <v>0.90299332881514216</v>
      </c>
      <c r="AM348" s="954">
        <f ca="1">0.8*(AK348*30+'103'!D$17*0.34*30*1)</f>
        <v>13082.777051813491</v>
      </c>
      <c r="AN348" s="954">
        <f ca="1">IF(AM348&lt;User_sheet!B$50,Y348,0)</f>
        <v>0</v>
      </c>
      <c r="AO348" s="954">
        <f ca="1">20-(User_sheet!B$57/('Freestanding '!AK348+'103'!D$17*1*0.34))</f>
        <v>9.5435044518291132</v>
      </c>
      <c r="AP348" s="954">
        <f ca="1">IF(AO348&lt;User_sheet!B$59,0,BC348*AA348)</f>
        <v>0</v>
      </c>
      <c r="AQ348" s="985"/>
      <c r="AR348" s="883">
        <v>0.32</v>
      </c>
      <c r="AS348" s="1020">
        <v>2.41</v>
      </c>
      <c r="AT348" s="883">
        <v>1.42</v>
      </c>
      <c r="AU348" s="883">
        <v>2</v>
      </c>
      <c r="AV348" s="883">
        <v>3.3</v>
      </c>
      <c r="AW348" s="883">
        <v>14356</v>
      </c>
      <c r="AX348" s="883">
        <v>75945.51234133933</v>
      </c>
      <c r="AY348" s="883">
        <v>62673.095488422703</v>
      </c>
      <c r="AZ348" s="886">
        <v>0</v>
      </c>
      <c r="BA348" s="886">
        <v>0</v>
      </c>
      <c r="BB348" s="883">
        <v>0.6</v>
      </c>
      <c r="BC348" s="888">
        <v>1</v>
      </c>
      <c r="BD348" s="889">
        <v>0</v>
      </c>
      <c r="BE348" s="889">
        <v>0</v>
      </c>
      <c r="BF348" s="890">
        <v>0</v>
      </c>
      <c r="BG348" s="883">
        <v>1</v>
      </c>
      <c r="BH348" s="883">
        <v>0</v>
      </c>
      <c r="BI348" s="890">
        <v>0</v>
      </c>
      <c r="BJ348" s="883">
        <v>0</v>
      </c>
      <c r="BK348" s="883">
        <v>0</v>
      </c>
      <c r="BL348" s="883">
        <v>1</v>
      </c>
      <c r="BM348" s="890">
        <v>0</v>
      </c>
      <c r="BN348" s="958">
        <v>7.0000000000000007E-2</v>
      </c>
      <c r="BO348" s="959">
        <v>17.100000000000001</v>
      </c>
      <c r="BP348" s="1018">
        <f t="shared" ca="1" si="502"/>
        <v>148.5</v>
      </c>
      <c r="BQ348" s="1018">
        <f t="shared" ca="1" si="503"/>
        <v>412.25249999999994</v>
      </c>
      <c r="BR348" s="1018">
        <f t="shared" ca="1" si="504"/>
        <v>148.44999999999999</v>
      </c>
      <c r="BS348" s="1018">
        <f t="shared" ca="1" si="505"/>
        <v>100.98500000000001</v>
      </c>
      <c r="BT348" s="1018">
        <f t="shared" ca="1" si="506"/>
        <v>148.5</v>
      </c>
      <c r="BU348" s="1018">
        <f t="shared" ca="1" si="507"/>
        <v>46.489999999999995</v>
      </c>
      <c r="BV348" s="1018">
        <f t="shared" ca="1" si="508"/>
        <v>2.15</v>
      </c>
      <c r="BW348" s="1018">
        <v>0</v>
      </c>
      <c r="BX348" s="1018">
        <f t="shared" ca="1" si="509"/>
        <v>45.00757958564931</v>
      </c>
      <c r="BY348" s="1018">
        <f t="shared" ca="1" si="510"/>
        <v>171.66405294836832</v>
      </c>
      <c r="BZ348" s="1018">
        <f t="shared" ca="1" si="480"/>
        <v>55.84241921677723</v>
      </c>
      <c r="CA348" s="1018">
        <f t="shared" ca="1" si="481"/>
        <v>92.979999962808009</v>
      </c>
      <c r="CB348" s="1018">
        <f t="shared" ca="1" si="511"/>
        <v>4.5133587786259541</v>
      </c>
      <c r="CC348" s="1018">
        <f t="shared" si="482"/>
        <v>0</v>
      </c>
      <c r="CD348" s="1018">
        <f t="shared" ref="CD348:CD355" ca="1" si="514">SUM(BX348:CC348)+(BR348+BS348+BT348+BU348+BV348)*BN348</f>
        <v>401.2676604922288</v>
      </c>
      <c r="CE348" s="1018">
        <f t="shared" ca="1" si="512"/>
        <v>207.09049888711516</v>
      </c>
      <c r="CF348" s="1018">
        <f t="shared" ca="1" si="483"/>
        <v>18.25074478138032</v>
      </c>
      <c r="CG348" s="1018">
        <f t="shared" ca="1" si="484"/>
        <v>30386.760031206977</v>
      </c>
    </row>
    <row r="349" spans="3:85" x14ac:dyDescent="0.25">
      <c r="D349" s="1"/>
      <c r="F349" s="1"/>
      <c r="G349" s="3"/>
      <c r="H349" s="6"/>
      <c r="I349" s="3"/>
      <c r="J349" s="6"/>
      <c r="K349" s="8"/>
      <c r="L349" s="6"/>
      <c r="M349" s="1"/>
      <c r="N349" s="1"/>
      <c r="O349" s="1"/>
      <c r="P349" s="1"/>
      <c r="Q349" s="1" t="s">
        <v>16</v>
      </c>
      <c r="R349" s="4"/>
      <c r="S349" s="1"/>
      <c r="T349" s="77"/>
      <c r="U349" s="294"/>
      <c r="X349" s="176">
        <f t="shared" si="513"/>
        <v>0</v>
      </c>
      <c r="Y349" s="34">
        <f>X349/Calculation_sheet!M$67</f>
        <v>0</v>
      </c>
      <c r="Z349" s="176">
        <f ca="1">IF(AN349&gt;0,Y349*Calculation_sheet!C$87,0)</f>
        <v>0</v>
      </c>
      <c r="AA349" s="176">
        <f t="shared" ca="1" si="486"/>
        <v>0</v>
      </c>
      <c r="AB349" s="176">
        <f ca="1">IF(AP349&gt;0,AA349*Calculation_sheet!C$94,0)</f>
        <v>0</v>
      </c>
      <c r="AC349" s="176">
        <f t="shared" ca="1" si="500"/>
        <v>0</v>
      </c>
      <c r="AD349" s="958">
        <f ca="1">AC349*Calculation_sheet!C$99</f>
        <v>0</v>
      </c>
      <c r="AE349" s="176">
        <f t="shared" ca="1" si="500"/>
        <v>0</v>
      </c>
      <c r="AF349" s="176">
        <f t="shared" ca="1" si="501"/>
        <v>0</v>
      </c>
      <c r="AG349" s="958">
        <f ca="1">AF349*User_sheet!B$77/100</f>
        <v>0</v>
      </c>
      <c r="AH349" s="313"/>
      <c r="AI349" s="883">
        <v>103</v>
      </c>
      <c r="AJ349" s="985"/>
      <c r="AK349" s="1020">
        <f t="shared" ca="1" si="479"/>
        <v>401.2676604922288</v>
      </c>
      <c r="AL349" s="954">
        <f ca="1">AK349/'103'!I$24</f>
        <v>0.90299332881514216</v>
      </c>
      <c r="AM349" s="954">
        <f ca="1">0.8*(AK349*30+'103'!D$17*0.34*30*1)</f>
        <v>13082.777051813491</v>
      </c>
      <c r="AN349" s="954">
        <f ca="1">IF(AM349&lt;User_sheet!B$50,Y349,0)</f>
        <v>0</v>
      </c>
      <c r="AO349" s="954">
        <f ca="1">20-(User_sheet!B$57/('Freestanding '!AK349+'103'!D$17*1*0.34))</f>
        <v>9.5435044518291132</v>
      </c>
      <c r="AP349" s="954">
        <f ca="1">IF(AO349&lt;User_sheet!B$59,0,BC349*AA349)</f>
        <v>0</v>
      </c>
      <c r="AQ349" s="985"/>
      <c r="AR349" s="883">
        <v>0.32</v>
      </c>
      <c r="AS349" s="1020">
        <v>2.41</v>
      </c>
      <c r="AT349" s="883">
        <v>1.42</v>
      </c>
      <c r="AU349" s="883">
        <v>2</v>
      </c>
      <c r="AV349" s="883">
        <v>3.3</v>
      </c>
      <c r="AW349" s="883">
        <v>14356</v>
      </c>
      <c r="AX349" s="883">
        <v>75945.51234133933</v>
      </c>
      <c r="AY349" s="883">
        <v>62673.095488422703</v>
      </c>
      <c r="AZ349" s="886">
        <v>0</v>
      </c>
      <c r="BA349" s="886">
        <v>0</v>
      </c>
      <c r="BB349" s="883">
        <v>0.6</v>
      </c>
      <c r="BC349" s="888">
        <v>1</v>
      </c>
      <c r="BD349" s="889">
        <v>0</v>
      </c>
      <c r="BE349" s="889">
        <v>0</v>
      </c>
      <c r="BF349" s="890">
        <v>0</v>
      </c>
      <c r="BG349" s="883">
        <v>0</v>
      </c>
      <c r="BH349" s="883">
        <v>1</v>
      </c>
      <c r="BI349" s="890">
        <v>0</v>
      </c>
      <c r="BJ349" s="883">
        <v>1</v>
      </c>
      <c r="BK349" s="883">
        <v>0</v>
      </c>
      <c r="BL349" s="883">
        <v>0</v>
      </c>
      <c r="BM349" s="890">
        <v>0</v>
      </c>
      <c r="BN349" s="958">
        <v>7.0000000000000007E-2</v>
      </c>
      <c r="BO349" s="959">
        <v>17.100000000000001</v>
      </c>
      <c r="BP349" s="1018">
        <f t="shared" ca="1" si="502"/>
        <v>148.5</v>
      </c>
      <c r="BQ349" s="1018">
        <f t="shared" ca="1" si="503"/>
        <v>412.25249999999994</v>
      </c>
      <c r="BR349" s="1018">
        <f t="shared" ca="1" si="504"/>
        <v>148.44999999999999</v>
      </c>
      <c r="BS349" s="1018">
        <f t="shared" ca="1" si="505"/>
        <v>100.98500000000001</v>
      </c>
      <c r="BT349" s="1018">
        <f t="shared" ca="1" si="506"/>
        <v>148.5</v>
      </c>
      <c r="BU349" s="1018">
        <f t="shared" ca="1" si="507"/>
        <v>46.489999999999995</v>
      </c>
      <c r="BV349" s="1018">
        <f t="shared" ca="1" si="508"/>
        <v>2.15</v>
      </c>
      <c r="BW349" s="1018">
        <v>0</v>
      </c>
      <c r="BX349" s="1018">
        <f t="shared" ca="1" si="509"/>
        <v>45.00757958564931</v>
      </c>
      <c r="BY349" s="1018">
        <f t="shared" ca="1" si="510"/>
        <v>171.66405294836832</v>
      </c>
      <c r="BZ349" s="1018">
        <f t="shared" ca="1" si="480"/>
        <v>55.84241921677723</v>
      </c>
      <c r="CA349" s="1018">
        <f t="shared" ca="1" si="481"/>
        <v>92.979999962808009</v>
      </c>
      <c r="CB349" s="1018">
        <f t="shared" ca="1" si="511"/>
        <v>4.5133587786259541</v>
      </c>
      <c r="CC349" s="1018">
        <f t="shared" si="482"/>
        <v>0</v>
      </c>
      <c r="CD349" s="1018">
        <f t="shared" ca="1" si="514"/>
        <v>401.2676604922288</v>
      </c>
      <c r="CE349" s="1018">
        <f t="shared" ca="1" si="512"/>
        <v>207.09049888711516</v>
      </c>
      <c r="CF349" s="1018">
        <f t="shared" ca="1" si="483"/>
        <v>18.25074478138032</v>
      </c>
      <c r="CG349" s="1018">
        <f t="shared" ca="1" si="484"/>
        <v>30386.760031206977</v>
      </c>
    </row>
    <row r="350" spans="3:85" x14ac:dyDescent="0.25">
      <c r="D350" s="1"/>
      <c r="F350" s="1"/>
      <c r="G350" s="3"/>
      <c r="H350" s="6"/>
      <c r="I350" s="3"/>
      <c r="J350" s="3" t="s">
        <v>144</v>
      </c>
      <c r="K350" s="8"/>
      <c r="L350" s="6"/>
      <c r="M350" s="1" t="s">
        <v>16</v>
      </c>
      <c r="N350" s="4"/>
      <c r="O350" s="1" t="s">
        <v>19</v>
      </c>
      <c r="P350" s="4"/>
      <c r="Q350" s="1" t="s">
        <v>7</v>
      </c>
      <c r="R350" s="4"/>
      <c r="S350" s="1"/>
      <c r="T350" s="77"/>
      <c r="U350" s="294"/>
      <c r="X350" s="176">
        <f t="shared" si="513"/>
        <v>0</v>
      </c>
      <c r="Y350" s="34">
        <f>X350/Calculation_sheet!M$67</f>
        <v>0</v>
      </c>
      <c r="Z350" s="176">
        <f ca="1">IF(AN350&gt;0,Y350*Calculation_sheet!C$87,0)</f>
        <v>0</v>
      </c>
      <c r="AA350" s="176">
        <f t="shared" ca="1" si="486"/>
        <v>0</v>
      </c>
      <c r="AB350" s="176">
        <f ca="1">IF(AP350&gt;0,AA350*Calculation_sheet!C$94,0)</f>
        <v>0</v>
      </c>
      <c r="AC350" s="176">
        <f t="shared" ca="1" si="500"/>
        <v>0</v>
      </c>
      <c r="AD350" s="958">
        <f ca="1">AC350*Calculation_sheet!C$99</f>
        <v>0</v>
      </c>
      <c r="AE350" s="176">
        <f t="shared" ca="1" si="500"/>
        <v>0</v>
      </c>
      <c r="AF350" s="176">
        <f t="shared" ca="1" si="501"/>
        <v>0</v>
      </c>
      <c r="AG350" s="958">
        <f ca="1">AF350*User_sheet!B$77/100</f>
        <v>0</v>
      </c>
      <c r="AH350" s="313"/>
      <c r="AI350" s="883">
        <v>103</v>
      </c>
      <c r="AJ350" s="985"/>
      <c r="AK350" s="1020">
        <f t="shared" ca="1" si="479"/>
        <v>401.2676604922288</v>
      </c>
      <c r="AL350" s="954">
        <f ca="1">AK350/'103'!I$24</f>
        <v>0.90299332881514216</v>
      </c>
      <c r="AM350" s="954">
        <f ca="1">0.8*(AK350*30+'103'!D$17*0.34*30*1)</f>
        <v>13082.777051813491</v>
      </c>
      <c r="AN350" s="954">
        <f ca="1">IF(AM350&lt;User_sheet!B$50,Y350,0)</f>
        <v>0</v>
      </c>
      <c r="AO350" s="954">
        <f ca="1">20-(User_sheet!B$57/('Freestanding '!AK350+'103'!D$17*1*0.34))</f>
        <v>9.5435044518291132</v>
      </c>
      <c r="AP350" s="954">
        <f ca="1">IF(AO350&lt;User_sheet!B$59,0,BC350*AA350)</f>
        <v>0</v>
      </c>
      <c r="AQ350" s="985"/>
      <c r="AR350" s="883">
        <v>0.32</v>
      </c>
      <c r="AS350" s="1020">
        <v>2.41</v>
      </c>
      <c r="AT350" s="883">
        <v>1.42</v>
      </c>
      <c r="AU350" s="883">
        <v>2</v>
      </c>
      <c r="AV350" s="883">
        <v>3.3</v>
      </c>
      <c r="AW350" s="883">
        <v>14356</v>
      </c>
      <c r="AX350" s="883">
        <v>75945.51234133933</v>
      </c>
      <c r="AY350" s="883">
        <v>62673.095488422703</v>
      </c>
      <c r="AZ350" s="886">
        <v>0</v>
      </c>
      <c r="BA350" s="886">
        <v>0</v>
      </c>
      <c r="BB350" s="883">
        <v>0.6</v>
      </c>
      <c r="BC350" s="888">
        <v>1</v>
      </c>
      <c r="BD350" s="889">
        <v>0</v>
      </c>
      <c r="BE350" s="889">
        <v>0</v>
      </c>
      <c r="BF350" s="890">
        <v>0</v>
      </c>
      <c r="BG350" s="883">
        <v>0</v>
      </c>
      <c r="BH350" s="883">
        <v>1</v>
      </c>
      <c r="BI350" s="890">
        <v>0</v>
      </c>
      <c r="BJ350" s="883">
        <v>0</v>
      </c>
      <c r="BK350" s="883">
        <v>0</v>
      </c>
      <c r="BL350" s="883">
        <v>1</v>
      </c>
      <c r="BM350" s="890">
        <v>0</v>
      </c>
      <c r="BN350" s="958">
        <v>7.0000000000000007E-2</v>
      </c>
      <c r="BO350" s="959">
        <v>17.100000000000001</v>
      </c>
      <c r="BP350" s="1018">
        <f t="shared" ca="1" si="502"/>
        <v>148.5</v>
      </c>
      <c r="BQ350" s="1018">
        <f t="shared" ca="1" si="503"/>
        <v>412.25249999999994</v>
      </c>
      <c r="BR350" s="1018">
        <f t="shared" ca="1" si="504"/>
        <v>148.44999999999999</v>
      </c>
      <c r="BS350" s="1018">
        <f t="shared" ca="1" si="505"/>
        <v>100.98500000000001</v>
      </c>
      <c r="BT350" s="1018">
        <f t="shared" ca="1" si="506"/>
        <v>148.5</v>
      </c>
      <c r="BU350" s="1018">
        <f t="shared" ca="1" si="507"/>
        <v>46.489999999999995</v>
      </c>
      <c r="BV350" s="1018">
        <f t="shared" ca="1" si="508"/>
        <v>2.15</v>
      </c>
      <c r="BW350" s="1018">
        <v>0</v>
      </c>
      <c r="BX350" s="1018">
        <f t="shared" ca="1" si="509"/>
        <v>45.00757958564931</v>
      </c>
      <c r="BY350" s="1018">
        <f t="shared" ca="1" si="510"/>
        <v>171.66405294836832</v>
      </c>
      <c r="BZ350" s="1018">
        <f t="shared" ca="1" si="480"/>
        <v>55.84241921677723</v>
      </c>
      <c r="CA350" s="1018">
        <f t="shared" ca="1" si="481"/>
        <v>92.979999962808009</v>
      </c>
      <c r="CB350" s="1018">
        <f t="shared" ca="1" si="511"/>
        <v>4.5133587786259541</v>
      </c>
      <c r="CC350" s="1018">
        <f t="shared" si="482"/>
        <v>0</v>
      </c>
      <c r="CD350" s="1018">
        <f t="shared" ca="1" si="514"/>
        <v>401.2676604922288</v>
      </c>
      <c r="CE350" s="1018">
        <f t="shared" ca="1" si="512"/>
        <v>207.09049888711516</v>
      </c>
      <c r="CF350" s="1018">
        <f t="shared" ca="1" si="483"/>
        <v>18.25074478138032</v>
      </c>
      <c r="CG350" s="1018">
        <f t="shared" ca="1" si="484"/>
        <v>30386.760031206977</v>
      </c>
    </row>
    <row r="351" spans="3:85" x14ac:dyDescent="0.25">
      <c r="D351" s="1"/>
      <c r="F351" s="1"/>
      <c r="G351" s="3"/>
      <c r="H351" s="6"/>
      <c r="I351" s="3"/>
      <c r="J351" s="6" t="s">
        <v>190</v>
      </c>
      <c r="K351" s="8"/>
      <c r="L351" s="6"/>
      <c r="M351" s="1"/>
      <c r="N351" s="1"/>
      <c r="O351" s="1"/>
      <c r="P351" s="1"/>
      <c r="Q351" s="1" t="s">
        <v>22</v>
      </c>
      <c r="R351" s="4"/>
      <c r="S351" s="1"/>
      <c r="T351" s="77"/>
      <c r="U351" s="294"/>
      <c r="X351" s="176">
        <f t="shared" si="513"/>
        <v>0</v>
      </c>
      <c r="Y351" s="34">
        <f>X351/Calculation_sheet!M$67</f>
        <v>0</v>
      </c>
      <c r="Z351" s="176">
        <f ca="1">IF(AN351&gt;0,Y351*Calculation_sheet!C$87,0)</f>
        <v>0</v>
      </c>
      <c r="AA351" s="176">
        <f t="shared" ca="1" si="486"/>
        <v>0</v>
      </c>
      <c r="AB351" s="176">
        <f ca="1">IF(AP351&gt;0,AA351*Calculation_sheet!C$94,0)</f>
        <v>0</v>
      </c>
      <c r="AC351" s="176">
        <f t="shared" ca="1" si="500"/>
        <v>0</v>
      </c>
      <c r="AD351" s="958">
        <f ca="1">AC351*Calculation_sheet!C$99</f>
        <v>0</v>
      </c>
      <c r="AE351" s="176">
        <f t="shared" ca="1" si="500"/>
        <v>0</v>
      </c>
      <c r="AF351" s="176">
        <f t="shared" ca="1" si="501"/>
        <v>0</v>
      </c>
      <c r="AG351" s="958">
        <f ca="1">AF351*User_sheet!B$77/100</f>
        <v>0</v>
      </c>
      <c r="AH351" s="313"/>
      <c r="AI351" s="883">
        <v>103</v>
      </c>
      <c r="AJ351" s="985"/>
      <c r="AK351" s="1020">
        <f t="shared" ca="1" si="479"/>
        <v>401.2676604922288</v>
      </c>
      <c r="AL351" s="954">
        <f ca="1">AK351/'103'!I$24</f>
        <v>0.90299332881514216</v>
      </c>
      <c r="AM351" s="954">
        <f ca="1">0.8*(AK351*30+'103'!D$17*0.34*30*1)</f>
        <v>13082.777051813491</v>
      </c>
      <c r="AN351" s="954">
        <f ca="1">IF(AM351&lt;User_sheet!B$50,Y351,0)</f>
        <v>0</v>
      </c>
      <c r="AO351" s="954">
        <f ca="1">20-(User_sheet!B$57/('Freestanding '!AK351+'103'!D$17*1*0.34))</f>
        <v>9.5435044518291132</v>
      </c>
      <c r="AP351" s="954">
        <f ca="1">IF(AO351&lt;User_sheet!B$59,0,BC351*AA351)</f>
        <v>0</v>
      </c>
      <c r="AQ351" s="985"/>
      <c r="AR351" s="883">
        <v>0.32</v>
      </c>
      <c r="AS351" s="1020">
        <v>2.41</v>
      </c>
      <c r="AT351" s="883">
        <v>1.42</v>
      </c>
      <c r="AU351" s="883">
        <v>2</v>
      </c>
      <c r="AV351" s="883">
        <v>3.3</v>
      </c>
      <c r="AW351" s="883">
        <v>14356</v>
      </c>
      <c r="AX351" s="883">
        <v>75945.51234133933</v>
      </c>
      <c r="AY351" s="883">
        <v>62673.095488422703</v>
      </c>
      <c r="AZ351" s="886">
        <v>0</v>
      </c>
      <c r="BA351" s="886">
        <v>0</v>
      </c>
      <c r="BB351" s="883">
        <v>0.6</v>
      </c>
      <c r="BC351" s="888">
        <v>0</v>
      </c>
      <c r="BD351" s="889">
        <v>1</v>
      </c>
      <c r="BE351" s="889">
        <v>0</v>
      </c>
      <c r="BF351" s="890">
        <v>0</v>
      </c>
      <c r="BG351" s="883">
        <v>1</v>
      </c>
      <c r="BH351" s="883">
        <v>0</v>
      </c>
      <c r="BI351" s="890">
        <v>0</v>
      </c>
      <c r="BJ351" s="883">
        <v>0</v>
      </c>
      <c r="BK351" s="883">
        <v>1</v>
      </c>
      <c r="BL351" s="883">
        <v>0</v>
      </c>
      <c r="BM351" s="890">
        <v>0</v>
      </c>
      <c r="BN351" s="958">
        <v>7.0000000000000007E-2</v>
      </c>
      <c r="BO351" s="959">
        <v>17.100000000000001</v>
      </c>
      <c r="BP351" s="1018">
        <f t="shared" ca="1" si="502"/>
        <v>148.5</v>
      </c>
      <c r="BQ351" s="1018">
        <f t="shared" ca="1" si="503"/>
        <v>412.25249999999994</v>
      </c>
      <c r="BR351" s="1018">
        <f t="shared" ca="1" si="504"/>
        <v>148.44999999999999</v>
      </c>
      <c r="BS351" s="1018">
        <f t="shared" ca="1" si="505"/>
        <v>100.98500000000001</v>
      </c>
      <c r="BT351" s="1018">
        <f t="shared" ca="1" si="506"/>
        <v>148.5</v>
      </c>
      <c r="BU351" s="1018">
        <f t="shared" ca="1" si="507"/>
        <v>46.489999999999995</v>
      </c>
      <c r="BV351" s="1018">
        <f t="shared" ca="1" si="508"/>
        <v>2.15</v>
      </c>
      <c r="BW351" s="1018">
        <v>0</v>
      </c>
      <c r="BX351" s="1018">
        <f t="shared" ca="1" si="509"/>
        <v>45.00757958564931</v>
      </c>
      <c r="BY351" s="1018">
        <f t="shared" ca="1" si="510"/>
        <v>171.66405294836832</v>
      </c>
      <c r="BZ351" s="1018">
        <f t="shared" ca="1" si="480"/>
        <v>55.84241921677723</v>
      </c>
      <c r="CA351" s="1018">
        <f t="shared" ca="1" si="481"/>
        <v>92.979999962808009</v>
      </c>
      <c r="CB351" s="1018">
        <f t="shared" ca="1" si="511"/>
        <v>4.5133587786259541</v>
      </c>
      <c r="CC351" s="1018">
        <f t="shared" si="482"/>
        <v>0</v>
      </c>
      <c r="CD351" s="1018">
        <f t="shared" ca="1" si="514"/>
        <v>401.2676604922288</v>
      </c>
      <c r="CE351" s="1018">
        <f t="shared" ca="1" si="512"/>
        <v>207.09049888711516</v>
      </c>
      <c r="CF351" s="1018">
        <f t="shared" ca="1" si="483"/>
        <v>18.25074478138032</v>
      </c>
      <c r="CG351" s="1018">
        <f t="shared" ca="1" si="484"/>
        <v>30386.760031206977</v>
      </c>
    </row>
    <row r="352" spans="3:85" x14ac:dyDescent="0.25">
      <c r="D352" s="1"/>
      <c r="F352" s="1"/>
      <c r="G352" s="3"/>
      <c r="H352" s="6"/>
      <c r="I352" s="3"/>
      <c r="K352" s="8"/>
      <c r="L352" s="6"/>
      <c r="M352" s="1"/>
      <c r="N352" s="1"/>
      <c r="O352" s="1" t="s">
        <v>18</v>
      </c>
      <c r="P352" s="4"/>
      <c r="Q352" s="1" t="s">
        <v>7</v>
      </c>
      <c r="R352" s="4"/>
      <c r="S352" s="1"/>
      <c r="T352" s="77"/>
      <c r="U352" s="294"/>
      <c r="X352" s="176">
        <f t="shared" si="513"/>
        <v>0</v>
      </c>
      <c r="Y352" s="34">
        <f>X352/Calculation_sheet!M$67</f>
        <v>0</v>
      </c>
      <c r="Z352" s="176">
        <f ca="1">IF(AN352&gt;0,Y352*Calculation_sheet!C$87,0)</f>
        <v>0</v>
      </c>
      <c r="AA352" s="176">
        <f t="shared" ca="1" si="486"/>
        <v>0</v>
      </c>
      <c r="AB352" s="176">
        <f ca="1">IF(AP352&gt;0,AA352*Calculation_sheet!C$94,0)</f>
        <v>0</v>
      </c>
      <c r="AC352" s="176">
        <f t="shared" ca="1" si="500"/>
        <v>0</v>
      </c>
      <c r="AD352" s="958">
        <f ca="1">AC352*Calculation_sheet!C$99</f>
        <v>0</v>
      </c>
      <c r="AE352" s="176">
        <f t="shared" ca="1" si="500"/>
        <v>0</v>
      </c>
      <c r="AF352" s="176">
        <f t="shared" ca="1" si="501"/>
        <v>0</v>
      </c>
      <c r="AG352" s="958">
        <f ca="1">AF352*User_sheet!B$77/100</f>
        <v>0</v>
      </c>
      <c r="AH352" s="313"/>
      <c r="AI352" s="883">
        <v>103</v>
      </c>
      <c r="AJ352" s="985"/>
      <c r="AK352" s="1020">
        <f t="shared" ca="1" si="479"/>
        <v>401.2676604922288</v>
      </c>
      <c r="AL352" s="954">
        <f ca="1">AK352/'103'!I$24</f>
        <v>0.90299332881514216</v>
      </c>
      <c r="AM352" s="954">
        <f ca="1">0.8*(AK352*30+'103'!D$17*0.34*30*1)</f>
        <v>13082.777051813491</v>
      </c>
      <c r="AN352" s="954">
        <f ca="1">IF(AM352&lt;User_sheet!B$50,Y352,0)</f>
        <v>0</v>
      </c>
      <c r="AO352" s="954">
        <f ca="1">20-(User_sheet!B$57/('Freestanding '!AK352+'103'!D$17*1*0.34))</f>
        <v>9.5435044518291132</v>
      </c>
      <c r="AP352" s="954">
        <f ca="1">IF(AO352&lt;User_sheet!B$59,0,BC352*AA352)</f>
        <v>0</v>
      </c>
      <c r="AQ352" s="985"/>
      <c r="AR352" s="883">
        <v>0.32</v>
      </c>
      <c r="AS352" s="1020">
        <v>2.41</v>
      </c>
      <c r="AT352" s="883">
        <v>1.42</v>
      </c>
      <c r="AU352" s="883">
        <v>2</v>
      </c>
      <c r="AV352" s="883">
        <v>3.3</v>
      </c>
      <c r="AW352" s="883">
        <v>14356</v>
      </c>
      <c r="AX352" s="883">
        <v>75945.51234133933</v>
      </c>
      <c r="AY352" s="883">
        <v>62673.095488422703</v>
      </c>
      <c r="AZ352" s="886">
        <v>0</v>
      </c>
      <c r="BA352" s="886">
        <v>0</v>
      </c>
      <c r="BB352" s="883">
        <v>0.6</v>
      </c>
      <c r="BC352" s="888">
        <v>0</v>
      </c>
      <c r="BD352" s="889">
        <v>1</v>
      </c>
      <c r="BE352" s="889">
        <v>0</v>
      </c>
      <c r="BF352" s="890">
        <v>0</v>
      </c>
      <c r="BG352" s="883">
        <v>1</v>
      </c>
      <c r="BH352" s="883">
        <v>0</v>
      </c>
      <c r="BI352" s="890">
        <v>0</v>
      </c>
      <c r="BJ352" s="883">
        <v>0</v>
      </c>
      <c r="BK352" s="883">
        <v>0</v>
      </c>
      <c r="BL352" s="883">
        <v>1</v>
      </c>
      <c r="BM352" s="890">
        <v>0</v>
      </c>
      <c r="BN352" s="958">
        <v>7.0000000000000007E-2</v>
      </c>
      <c r="BO352" s="959">
        <v>17.100000000000001</v>
      </c>
      <c r="BP352" s="1018">
        <f t="shared" ca="1" si="502"/>
        <v>148.5</v>
      </c>
      <c r="BQ352" s="1018">
        <f t="shared" ca="1" si="503"/>
        <v>412.25249999999994</v>
      </c>
      <c r="BR352" s="1018">
        <f t="shared" ca="1" si="504"/>
        <v>148.44999999999999</v>
      </c>
      <c r="BS352" s="1018">
        <f t="shared" ca="1" si="505"/>
        <v>100.98500000000001</v>
      </c>
      <c r="BT352" s="1018">
        <f t="shared" ca="1" si="506"/>
        <v>148.5</v>
      </c>
      <c r="BU352" s="1018">
        <f t="shared" ca="1" si="507"/>
        <v>46.489999999999995</v>
      </c>
      <c r="BV352" s="1018">
        <f t="shared" ca="1" si="508"/>
        <v>2.15</v>
      </c>
      <c r="BW352" s="1018">
        <v>0</v>
      </c>
      <c r="BX352" s="1018">
        <f t="shared" ca="1" si="509"/>
        <v>45.00757958564931</v>
      </c>
      <c r="BY352" s="1018">
        <f t="shared" ca="1" si="510"/>
        <v>171.66405294836832</v>
      </c>
      <c r="BZ352" s="1018">
        <f t="shared" ca="1" si="480"/>
        <v>55.84241921677723</v>
      </c>
      <c r="CA352" s="1018">
        <f t="shared" ca="1" si="481"/>
        <v>92.979999962808009</v>
      </c>
      <c r="CB352" s="1018">
        <f t="shared" ca="1" si="511"/>
        <v>4.5133587786259541</v>
      </c>
      <c r="CC352" s="1018">
        <f t="shared" si="482"/>
        <v>0</v>
      </c>
      <c r="CD352" s="1018">
        <f t="shared" ca="1" si="514"/>
        <v>401.2676604922288</v>
      </c>
      <c r="CE352" s="1018">
        <f t="shared" ca="1" si="512"/>
        <v>207.09049888711516</v>
      </c>
      <c r="CF352" s="1018">
        <f t="shared" ca="1" si="483"/>
        <v>18.25074478138032</v>
      </c>
      <c r="CG352" s="1018">
        <f t="shared" ca="1" si="484"/>
        <v>30386.760031206977</v>
      </c>
    </row>
    <row r="353" spans="4:85" x14ac:dyDescent="0.25">
      <c r="D353" s="1"/>
      <c r="F353" s="1"/>
      <c r="G353" s="3"/>
      <c r="H353" s="6"/>
      <c r="I353" s="3"/>
      <c r="K353" s="8"/>
      <c r="L353" s="6"/>
      <c r="M353" s="1"/>
      <c r="N353" s="1"/>
      <c r="O353" s="1"/>
      <c r="P353" s="1"/>
      <c r="Q353" s="1" t="s">
        <v>22</v>
      </c>
      <c r="R353" s="4"/>
      <c r="S353" s="1"/>
      <c r="T353" s="77"/>
      <c r="U353" s="294"/>
      <c r="X353" s="176">
        <f t="shared" si="513"/>
        <v>0</v>
      </c>
      <c r="Y353" s="34">
        <f>X353/Calculation_sheet!M$67</f>
        <v>0</v>
      </c>
      <c r="Z353" s="176">
        <f ca="1">IF(AN353&gt;0,Y353*Calculation_sheet!C$87,0)</f>
        <v>0</v>
      </c>
      <c r="AA353" s="176">
        <f t="shared" ca="1" si="486"/>
        <v>0</v>
      </c>
      <c r="AB353" s="176">
        <f ca="1">IF(AP353&gt;0,AA353*Calculation_sheet!C$94,0)</f>
        <v>0</v>
      </c>
      <c r="AC353" s="176">
        <f t="shared" ca="1" si="500"/>
        <v>0</v>
      </c>
      <c r="AD353" s="958">
        <f ca="1">AC353*Calculation_sheet!C$99</f>
        <v>0</v>
      </c>
      <c r="AE353" s="176">
        <f t="shared" ca="1" si="500"/>
        <v>0</v>
      </c>
      <c r="AF353" s="176">
        <f t="shared" ca="1" si="501"/>
        <v>0</v>
      </c>
      <c r="AG353" s="958">
        <f ca="1">AF353*User_sheet!B$77/100</f>
        <v>0</v>
      </c>
      <c r="AH353" s="313"/>
      <c r="AI353" s="883">
        <v>103</v>
      </c>
      <c r="AJ353" s="985"/>
      <c r="AK353" s="1020">
        <f t="shared" ca="1" si="479"/>
        <v>401.2676604922288</v>
      </c>
      <c r="AL353" s="954">
        <f ca="1">AK353/'103'!I$24</f>
        <v>0.90299332881514216</v>
      </c>
      <c r="AM353" s="954">
        <f ca="1">0.8*(AK353*30+'103'!D$17*0.34*30*1)</f>
        <v>13082.777051813491</v>
      </c>
      <c r="AN353" s="954">
        <f ca="1">IF(AM353&lt;User_sheet!B$50,Y353,0)</f>
        <v>0</v>
      </c>
      <c r="AO353" s="954">
        <f ca="1">20-(User_sheet!B$57/('Freestanding '!AK353+'103'!D$17*1*0.34))</f>
        <v>9.5435044518291132</v>
      </c>
      <c r="AP353" s="954">
        <f ca="1">IF(AO353&lt;User_sheet!B$59,0,BC353*AA353)</f>
        <v>0</v>
      </c>
      <c r="AQ353" s="985"/>
      <c r="AR353" s="883">
        <v>0.32</v>
      </c>
      <c r="AS353" s="1020">
        <v>2.41</v>
      </c>
      <c r="AT353" s="883">
        <v>1.42</v>
      </c>
      <c r="AU353" s="883">
        <v>2</v>
      </c>
      <c r="AV353" s="883">
        <v>3.3</v>
      </c>
      <c r="AW353" s="883">
        <v>14356</v>
      </c>
      <c r="AX353" s="883">
        <v>75945.51234133933</v>
      </c>
      <c r="AY353" s="883">
        <v>62673.095488422703</v>
      </c>
      <c r="AZ353" s="886">
        <v>0</v>
      </c>
      <c r="BA353" s="886">
        <v>0</v>
      </c>
      <c r="BB353" s="883">
        <v>0.6</v>
      </c>
      <c r="BC353" s="888">
        <v>0</v>
      </c>
      <c r="BD353" s="889">
        <v>1</v>
      </c>
      <c r="BE353" s="889">
        <v>0</v>
      </c>
      <c r="BF353" s="890">
        <v>0</v>
      </c>
      <c r="BG353" s="883">
        <v>0</v>
      </c>
      <c r="BH353" s="883">
        <v>1</v>
      </c>
      <c r="BI353" s="890">
        <v>0</v>
      </c>
      <c r="BJ353" s="883">
        <v>0</v>
      </c>
      <c r="BK353" s="883">
        <v>1</v>
      </c>
      <c r="BL353" s="883">
        <v>0</v>
      </c>
      <c r="BM353" s="890">
        <v>0</v>
      </c>
      <c r="BN353" s="958">
        <v>7.0000000000000007E-2</v>
      </c>
      <c r="BO353" s="959">
        <v>17.100000000000001</v>
      </c>
      <c r="BP353" s="1018">
        <f t="shared" ca="1" si="502"/>
        <v>148.5</v>
      </c>
      <c r="BQ353" s="1018">
        <f t="shared" ca="1" si="503"/>
        <v>412.25249999999994</v>
      </c>
      <c r="BR353" s="1018">
        <f t="shared" ca="1" si="504"/>
        <v>148.44999999999999</v>
      </c>
      <c r="BS353" s="1018">
        <f t="shared" ca="1" si="505"/>
        <v>100.98500000000001</v>
      </c>
      <c r="BT353" s="1018">
        <f t="shared" ca="1" si="506"/>
        <v>148.5</v>
      </c>
      <c r="BU353" s="1018">
        <f t="shared" ca="1" si="507"/>
        <v>46.489999999999995</v>
      </c>
      <c r="BV353" s="1018">
        <f t="shared" ca="1" si="508"/>
        <v>2.15</v>
      </c>
      <c r="BW353" s="1018">
        <v>0</v>
      </c>
      <c r="BX353" s="1018">
        <f t="shared" ca="1" si="509"/>
        <v>45.00757958564931</v>
      </c>
      <c r="BY353" s="1018">
        <f t="shared" ca="1" si="510"/>
        <v>171.66405294836832</v>
      </c>
      <c r="BZ353" s="1018">
        <f t="shared" ca="1" si="480"/>
        <v>55.84241921677723</v>
      </c>
      <c r="CA353" s="1018">
        <f t="shared" ca="1" si="481"/>
        <v>92.979999962808009</v>
      </c>
      <c r="CB353" s="1018">
        <f t="shared" ca="1" si="511"/>
        <v>4.5133587786259541</v>
      </c>
      <c r="CC353" s="1018">
        <f t="shared" si="482"/>
        <v>0</v>
      </c>
      <c r="CD353" s="1018">
        <f t="shared" ca="1" si="514"/>
        <v>401.2676604922288</v>
      </c>
      <c r="CE353" s="1018">
        <f t="shared" ca="1" si="512"/>
        <v>207.09049888711516</v>
      </c>
      <c r="CF353" s="1018">
        <f t="shared" ca="1" si="483"/>
        <v>18.25074478138032</v>
      </c>
      <c r="CG353" s="1018">
        <f t="shared" ca="1" si="484"/>
        <v>30386.760031206977</v>
      </c>
    </row>
    <row r="354" spans="4:85" x14ac:dyDescent="0.25">
      <c r="D354" s="1"/>
      <c r="F354" s="1"/>
      <c r="G354" s="3"/>
      <c r="H354" s="6"/>
      <c r="I354" s="3"/>
      <c r="J354" s="6"/>
      <c r="K354" s="8"/>
      <c r="L354" s="3"/>
      <c r="M354" s="1" t="s">
        <v>22</v>
      </c>
      <c r="N354" s="4"/>
      <c r="O354" s="1" t="s">
        <v>20</v>
      </c>
      <c r="P354" s="4"/>
      <c r="Q354" s="1" t="s">
        <v>7</v>
      </c>
      <c r="R354" s="4"/>
      <c r="S354" s="1"/>
      <c r="T354" s="77"/>
      <c r="U354" s="294"/>
      <c r="X354" s="176">
        <f t="shared" si="513"/>
        <v>0</v>
      </c>
      <c r="Y354" s="34">
        <f>X354/Calculation_sheet!M$67</f>
        <v>0</v>
      </c>
      <c r="Z354" s="176">
        <f ca="1">IF(AN354&gt;0,Y354*Calculation_sheet!C$87,0)</f>
        <v>0</v>
      </c>
      <c r="AA354" s="176">
        <f t="shared" ca="1" si="486"/>
        <v>0</v>
      </c>
      <c r="AB354" s="176">
        <f ca="1">IF(AP354&gt;0,AA354*Calculation_sheet!C$94,0)</f>
        <v>0</v>
      </c>
      <c r="AC354" s="176">
        <f t="shared" ca="1" si="500"/>
        <v>0</v>
      </c>
      <c r="AD354" s="958">
        <f ca="1">AC354*Calculation_sheet!C$99</f>
        <v>0</v>
      </c>
      <c r="AE354" s="176">
        <f t="shared" ca="1" si="500"/>
        <v>0</v>
      </c>
      <c r="AF354" s="176">
        <f t="shared" ca="1" si="501"/>
        <v>0</v>
      </c>
      <c r="AG354" s="958">
        <f ca="1">AF354*User_sheet!B$77/100</f>
        <v>0</v>
      </c>
      <c r="AH354" s="313"/>
      <c r="AI354" s="883">
        <v>103</v>
      </c>
      <c r="AJ354" s="985"/>
      <c r="AK354" s="1020">
        <f t="shared" ca="1" si="479"/>
        <v>401.2676604922288</v>
      </c>
      <c r="AL354" s="954">
        <f ca="1">AK354/'103'!I$24</f>
        <v>0.90299332881514216</v>
      </c>
      <c r="AM354" s="954">
        <f ca="1">0.8*(AK354*30+'103'!D$17*0.34*30*1)</f>
        <v>13082.777051813491</v>
      </c>
      <c r="AN354" s="954">
        <f ca="1">IF(AM354&lt;User_sheet!B$50,Y354,0)</f>
        <v>0</v>
      </c>
      <c r="AO354" s="954">
        <f ca="1">20-(User_sheet!B$57/('Freestanding '!AK354+'103'!D$17*1*0.34))</f>
        <v>9.5435044518291132</v>
      </c>
      <c r="AP354" s="954">
        <f ca="1">IF(AO354&lt;User_sheet!B$59,0,BC354*AA354)</f>
        <v>0</v>
      </c>
      <c r="AQ354" s="985"/>
      <c r="AR354" s="883">
        <v>0.32</v>
      </c>
      <c r="AS354" s="1020">
        <v>2.41</v>
      </c>
      <c r="AT354" s="883">
        <v>1.42</v>
      </c>
      <c r="AU354" s="883">
        <v>2</v>
      </c>
      <c r="AV354" s="883">
        <v>3.3</v>
      </c>
      <c r="AW354" s="883">
        <v>14356</v>
      </c>
      <c r="AX354" s="883">
        <v>75945.51234133933</v>
      </c>
      <c r="AY354" s="883">
        <v>62673.095488422703</v>
      </c>
      <c r="AZ354" s="886">
        <v>0</v>
      </c>
      <c r="BA354" s="886">
        <v>0</v>
      </c>
      <c r="BB354" s="883">
        <v>0.6</v>
      </c>
      <c r="BC354" s="888">
        <v>0</v>
      </c>
      <c r="BD354" s="889">
        <v>1</v>
      </c>
      <c r="BE354" s="889">
        <v>0</v>
      </c>
      <c r="BF354" s="890">
        <v>0</v>
      </c>
      <c r="BG354" s="883">
        <v>0</v>
      </c>
      <c r="BH354" s="883">
        <v>1</v>
      </c>
      <c r="BI354" s="890">
        <v>0</v>
      </c>
      <c r="BJ354" s="883">
        <v>0</v>
      </c>
      <c r="BK354" s="883">
        <v>0</v>
      </c>
      <c r="BL354" s="883">
        <v>1</v>
      </c>
      <c r="BM354" s="890">
        <v>0</v>
      </c>
      <c r="BN354" s="958">
        <v>7.0000000000000007E-2</v>
      </c>
      <c r="BO354" s="959">
        <v>17.100000000000001</v>
      </c>
      <c r="BP354" s="1018">
        <f t="shared" ca="1" si="502"/>
        <v>148.5</v>
      </c>
      <c r="BQ354" s="1018">
        <f t="shared" ca="1" si="503"/>
        <v>412.25249999999994</v>
      </c>
      <c r="BR354" s="1018">
        <f t="shared" ca="1" si="504"/>
        <v>148.44999999999999</v>
      </c>
      <c r="BS354" s="1018">
        <f t="shared" ca="1" si="505"/>
        <v>100.98500000000001</v>
      </c>
      <c r="BT354" s="1018">
        <f t="shared" ca="1" si="506"/>
        <v>148.5</v>
      </c>
      <c r="BU354" s="1018">
        <f t="shared" ca="1" si="507"/>
        <v>46.489999999999995</v>
      </c>
      <c r="BV354" s="1018">
        <f t="shared" ca="1" si="508"/>
        <v>2.15</v>
      </c>
      <c r="BW354" s="1018">
        <v>0</v>
      </c>
      <c r="BX354" s="1018">
        <f t="shared" ca="1" si="509"/>
        <v>45.00757958564931</v>
      </c>
      <c r="BY354" s="1018">
        <f t="shared" ca="1" si="510"/>
        <v>171.66405294836832</v>
      </c>
      <c r="BZ354" s="1018">
        <f t="shared" ca="1" si="480"/>
        <v>55.84241921677723</v>
      </c>
      <c r="CA354" s="1018">
        <f t="shared" ca="1" si="481"/>
        <v>92.979999962808009</v>
      </c>
      <c r="CB354" s="1018">
        <f t="shared" ca="1" si="511"/>
        <v>4.5133587786259541</v>
      </c>
      <c r="CC354" s="1018">
        <f t="shared" si="482"/>
        <v>0</v>
      </c>
      <c r="CD354" s="1018">
        <f t="shared" ca="1" si="514"/>
        <v>401.2676604922288</v>
      </c>
      <c r="CE354" s="1018">
        <f t="shared" ca="1" si="512"/>
        <v>207.09049888711516</v>
      </c>
      <c r="CF354" s="1018">
        <f t="shared" ca="1" si="483"/>
        <v>18.25074478138032</v>
      </c>
      <c r="CG354" s="1018">
        <f t="shared" ca="1" si="484"/>
        <v>30386.760031206977</v>
      </c>
    </row>
    <row r="355" spans="4:85" x14ac:dyDescent="0.25">
      <c r="D355" s="1"/>
      <c r="F355" s="1"/>
      <c r="G355" s="3"/>
      <c r="H355" s="6"/>
      <c r="I355" s="3"/>
      <c r="J355" s="6"/>
      <c r="K355" s="8"/>
      <c r="L355" s="7"/>
      <c r="M355" s="1" t="s">
        <v>7</v>
      </c>
      <c r="N355" s="4"/>
      <c r="O355" s="1" t="s">
        <v>23</v>
      </c>
      <c r="P355" s="4"/>
      <c r="Q355" s="1" t="s">
        <v>7</v>
      </c>
      <c r="R355" s="4"/>
      <c r="S355" s="1"/>
      <c r="T355" s="77"/>
      <c r="U355" s="294"/>
      <c r="X355" s="176">
        <f t="shared" si="513"/>
        <v>0</v>
      </c>
      <c r="Y355" s="34">
        <f>X355/Calculation_sheet!M$67</f>
        <v>0</v>
      </c>
      <c r="Z355" s="176">
        <f ca="1">IF(AN355&gt;0,Y355*Calculation_sheet!C$87,0)</f>
        <v>0</v>
      </c>
      <c r="AA355" s="176">
        <f t="shared" ca="1" si="486"/>
        <v>0</v>
      </c>
      <c r="AB355" s="176">
        <f ca="1">IF(AP355&gt;0,AA355*Calculation_sheet!C$94,0)</f>
        <v>0</v>
      </c>
      <c r="AC355" s="176">
        <f t="shared" ca="1" si="500"/>
        <v>0</v>
      </c>
      <c r="AD355" s="958">
        <f ca="1">AC355*Calculation_sheet!C$99</f>
        <v>0</v>
      </c>
      <c r="AE355" s="176">
        <f t="shared" ca="1" si="500"/>
        <v>0</v>
      </c>
      <c r="AF355" s="176">
        <f t="shared" ca="1" si="501"/>
        <v>0</v>
      </c>
      <c r="AG355" s="958">
        <f ca="1">AF355*User_sheet!B$77/100</f>
        <v>0</v>
      </c>
      <c r="AH355" s="313"/>
      <c r="AI355" s="883">
        <v>103</v>
      </c>
      <c r="AJ355" s="985"/>
      <c r="AK355" s="1020">
        <f t="shared" ca="1" si="479"/>
        <v>401.2676604922288</v>
      </c>
      <c r="AL355" s="954">
        <f ca="1">AK355/'103'!I$24</f>
        <v>0.90299332881514216</v>
      </c>
      <c r="AM355" s="954">
        <f ca="1">0.8*(AK355*30+'103'!D$17*0.34*30*1)</f>
        <v>13082.777051813491</v>
      </c>
      <c r="AN355" s="954">
        <f ca="1">IF(AM355&lt;User_sheet!B$50,Y355,0)</f>
        <v>0</v>
      </c>
      <c r="AO355" s="954">
        <f ca="1">20-(User_sheet!B$57/('Freestanding '!AK355+'103'!D$17*1*0.34))</f>
        <v>9.5435044518291132</v>
      </c>
      <c r="AP355" s="954">
        <f ca="1">IF(AO355&lt;User_sheet!B$59,0,BC355*AA355)</f>
        <v>0</v>
      </c>
      <c r="AQ355" s="985"/>
      <c r="AR355" s="883">
        <v>0.32</v>
      </c>
      <c r="AS355" s="1020">
        <v>2.41</v>
      </c>
      <c r="AT355" s="883">
        <v>1.42</v>
      </c>
      <c r="AU355" s="883">
        <v>2</v>
      </c>
      <c r="AV355" s="883">
        <v>3.3</v>
      </c>
      <c r="AW355" s="883">
        <v>14356</v>
      </c>
      <c r="AX355" s="883">
        <v>75945.51234133933</v>
      </c>
      <c r="AY355" s="883">
        <v>62673.095488422703</v>
      </c>
      <c r="AZ355" s="886">
        <v>0</v>
      </c>
      <c r="BA355" s="886">
        <v>0</v>
      </c>
      <c r="BB355" s="883">
        <v>0.6</v>
      </c>
      <c r="BC355" s="888">
        <v>0</v>
      </c>
      <c r="BD355" s="889">
        <v>0</v>
      </c>
      <c r="BE355" s="889">
        <v>1</v>
      </c>
      <c r="BF355" s="890">
        <v>0</v>
      </c>
      <c r="BG355" s="883">
        <v>0</v>
      </c>
      <c r="BH355" s="883">
        <v>0</v>
      </c>
      <c r="BI355" s="890">
        <v>1</v>
      </c>
      <c r="BJ355" s="883">
        <v>0</v>
      </c>
      <c r="BK355" s="883">
        <v>0</v>
      </c>
      <c r="BL355" s="883">
        <v>1</v>
      </c>
      <c r="BM355" s="890">
        <v>0</v>
      </c>
      <c r="BN355" s="958">
        <v>7.0000000000000007E-2</v>
      </c>
      <c r="BO355" s="959">
        <v>17.100000000000001</v>
      </c>
      <c r="BP355" s="1018">
        <f t="shared" ca="1" si="502"/>
        <v>148.5</v>
      </c>
      <c r="BQ355" s="1018">
        <f t="shared" ca="1" si="503"/>
        <v>412.25249999999994</v>
      </c>
      <c r="BR355" s="1018">
        <f t="shared" ca="1" si="504"/>
        <v>148.44999999999999</v>
      </c>
      <c r="BS355" s="1018">
        <f t="shared" ca="1" si="505"/>
        <v>100.98500000000001</v>
      </c>
      <c r="BT355" s="1018">
        <f t="shared" ca="1" si="506"/>
        <v>148.5</v>
      </c>
      <c r="BU355" s="1018">
        <f t="shared" ca="1" si="507"/>
        <v>46.489999999999995</v>
      </c>
      <c r="BV355" s="1018">
        <f t="shared" ca="1" si="508"/>
        <v>2.15</v>
      </c>
      <c r="BW355" s="1018">
        <v>0</v>
      </c>
      <c r="BX355" s="1018">
        <f t="shared" ca="1" si="509"/>
        <v>45.00757958564931</v>
      </c>
      <c r="BY355" s="1018">
        <f t="shared" ca="1" si="510"/>
        <v>171.66405294836832</v>
      </c>
      <c r="BZ355" s="1018">
        <f t="shared" ca="1" si="480"/>
        <v>55.84241921677723</v>
      </c>
      <c r="CA355" s="1018">
        <f t="shared" ca="1" si="481"/>
        <v>92.979999962808009</v>
      </c>
      <c r="CB355" s="1018">
        <f t="shared" ca="1" si="511"/>
        <v>4.5133587786259541</v>
      </c>
      <c r="CC355" s="1018">
        <f t="shared" si="482"/>
        <v>0</v>
      </c>
      <c r="CD355" s="1018">
        <f t="shared" ca="1" si="514"/>
        <v>401.2676604922288</v>
      </c>
      <c r="CE355" s="1018">
        <f t="shared" ca="1" si="512"/>
        <v>207.09049888711516</v>
      </c>
      <c r="CF355" s="1018">
        <f t="shared" ca="1" si="483"/>
        <v>18.25074478138032</v>
      </c>
      <c r="CG355" s="1018">
        <f t="shared" ca="1" si="484"/>
        <v>30386.760031206977</v>
      </c>
    </row>
    <row r="356" spans="4:85" s="14" customFormat="1" x14ac:dyDescent="0.25">
      <c r="D356" s="15"/>
      <c r="F356" s="15"/>
      <c r="H356" s="15"/>
      <c r="J356" s="15"/>
      <c r="K356" s="16"/>
      <c r="L356" s="15"/>
      <c r="M356" s="15"/>
      <c r="N356" s="15"/>
      <c r="O356" s="15"/>
      <c r="P356" s="15"/>
      <c r="Q356" s="15"/>
      <c r="R356" s="15"/>
      <c r="S356" s="15"/>
      <c r="T356" s="80"/>
      <c r="U356" s="273"/>
      <c r="V356" s="292"/>
      <c r="W356" s="292"/>
      <c r="X356" s="292"/>
      <c r="Y356" s="277"/>
      <c r="Z356" s="292"/>
      <c r="AA356" s="292"/>
      <c r="AB356" s="292"/>
      <c r="AC356" s="292"/>
      <c r="AD356" s="277"/>
      <c r="AE356" s="292"/>
      <c r="AF356" s="292"/>
      <c r="AG356" s="277"/>
      <c r="AH356" s="313"/>
      <c r="AI356" s="887"/>
      <c r="AJ356" s="985"/>
      <c r="AK356" s="1020">
        <f t="shared" si="479"/>
        <v>0</v>
      </c>
      <c r="AL356" s="941"/>
      <c r="AM356" s="941"/>
      <c r="AN356" s="941"/>
      <c r="AO356" s="941"/>
      <c r="AP356" s="941"/>
      <c r="AQ356" s="985"/>
      <c r="AR356" s="887"/>
      <c r="AS356" s="887"/>
      <c r="AT356" s="887"/>
      <c r="AU356" s="887"/>
      <c r="AV356" s="887"/>
      <c r="AW356" s="887"/>
      <c r="AX356" s="887"/>
      <c r="AY356" s="887"/>
      <c r="AZ356" s="887"/>
      <c r="BA356" s="887"/>
      <c r="BB356" s="887"/>
      <c r="BC356" s="45"/>
      <c r="BD356" s="277"/>
      <c r="BE356" s="277"/>
      <c r="BF356" s="49"/>
      <c r="BG356" s="887"/>
      <c r="BH356" s="887"/>
      <c r="BI356" s="49"/>
      <c r="BJ356" s="887"/>
      <c r="BK356" s="887"/>
      <c r="BL356" s="887"/>
      <c r="BM356" s="49"/>
      <c r="BN356" s="277"/>
      <c r="BO356" s="49"/>
      <c r="BP356" s="946"/>
      <c r="BQ356" s="946"/>
      <c r="BR356" s="946"/>
      <c r="BS356" s="946"/>
      <c r="BT356" s="946"/>
      <c r="BU356" s="946"/>
      <c r="BV356" s="946"/>
      <c r="BW356" s="946"/>
      <c r="BX356" s="946"/>
      <c r="BY356" s="946"/>
      <c r="BZ356" s="946"/>
      <c r="CA356" s="946"/>
      <c r="CB356" s="946"/>
      <c r="CC356" s="946"/>
      <c r="CD356" s="946"/>
      <c r="CE356" s="946"/>
      <c r="CF356" s="946"/>
      <c r="CG356" s="946"/>
    </row>
    <row r="357" spans="4:85" x14ac:dyDescent="0.25">
      <c r="D357" s="432"/>
      <c r="E357" s="431"/>
      <c r="F357" s="432"/>
      <c r="G357" s="431"/>
      <c r="H357" s="432"/>
      <c r="I357" s="431"/>
      <c r="J357" s="432"/>
      <c r="K357" s="435"/>
      <c r="L357" s="437"/>
      <c r="M357" s="432"/>
      <c r="N357" s="432"/>
      <c r="O357" s="432"/>
      <c r="P357" s="432"/>
      <c r="Q357" s="432" t="s">
        <v>16</v>
      </c>
      <c r="R357" s="434">
        <v>0.92569999999999997</v>
      </c>
      <c r="S357" s="432"/>
      <c r="T357" s="442">
        <v>4.7345246249992446E-3</v>
      </c>
      <c r="U357" s="431"/>
      <c r="V357" s="176">
        <f>T357-T357*Calculation_sheet!F$60</f>
        <v>4.7345246249992446E-3</v>
      </c>
      <c r="W357" s="176">
        <f>V357-V357*Calculation_sheet!E$68</f>
        <v>4.7345246249992446E-3</v>
      </c>
      <c r="X357" s="176">
        <f>W357-W357*Calculation_sheet!E$78</f>
        <v>4.7345246249992446E-3</v>
      </c>
      <c r="Y357" s="34">
        <f>X357/Calculation_sheet!M$67</f>
        <v>4.7346214291192215E-3</v>
      </c>
      <c r="Z357" s="176">
        <f ca="1">IF(AN357&gt;0,Y357*Calculation_sheet!C$87,0)</f>
        <v>0</v>
      </c>
      <c r="AA357" s="176">
        <f t="shared" ca="1" si="486"/>
        <v>4.7346214291192215E-3</v>
      </c>
      <c r="AB357" s="176">
        <f ca="1">IF(AP357&gt;0,AA357*Calculation_sheet!C$94,0)</f>
        <v>0</v>
      </c>
      <c r="AC357" s="176">
        <f t="shared" ref="AC357:AE365" ca="1" si="515">AA357-AB357</f>
        <v>4.7346214291192215E-3</v>
      </c>
      <c r="AD357" s="958">
        <f ca="1">AC357*Calculation_sheet!C$99</f>
        <v>2.8407728574715327E-3</v>
      </c>
      <c r="AE357" s="176">
        <f t="shared" ca="1" si="515"/>
        <v>1.8938485716476889E-3</v>
      </c>
      <c r="AF357" s="176">
        <f t="shared" ref="AF357:AF365" ca="1" si="516">Y357-AB357</f>
        <v>4.7346214291192215E-3</v>
      </c>
      <c r="AG357" s="958">
        <f ca="1">AF357*User_sheet!B$77/100</f>
        <v>0</v>
      </c>
      <c r="AH357" s="313"/>
      <c r="AI357" s="883">
        <v>103</v>
      </c>
      <c r="AJ357" s="985"/>
      <c r="AK357" s="1020">
        <f t="shared" ca="1" si="479"/>
        <v>539.34191100108808</v>
      </c>
      <c r="AL357" s="954">
        <f ca="1">AK357/'103'!I$24</f>
        <v>1.2137089417746005</v>
      </c>
      <c r="AM357" s="954">
        <f ca="1">0.8*(AK357*30+'103'!D$17*0.34*30*1)</f>
        <v>16396.559064026114</v>
      </c>
      <c r="AN357" s="954">
        <f ca="1">IF(AM357&lt;User_sheet!B$50,Y357,0)</f>
        <v>0</v>
      </c>
      <c r="AO357" s="954">
        <f ca="1">20-(User_sheet!B$57/('Freestanding '!AK357+'103'!D$17*1*0.34))</f>
        <v>11.656786069210225</v>
      </c>
      <c r="AP357" s="954">
        <f ca="1">IF(AO357&lt;User_sheet!B$59,0,BC357*AA357)</f>
        <v>4.7346214291192215E-3</v>
      </c>
      <c r="AQ357" s="985"/>
      <c r="AR357" s="883">
        <v>0.88</v>
      </c>
      <c r="AS357" s="1020">
        <v>2.41</v>
      </c>
      <c r="AT357" s="883">
        <v>1.42</v>
      </c>
      <c r="AU357" s="883">
        <v>3.5</v>
      </c>
      <c r="AV357" s="883">
        <v>3.3</v>
      </c>
      <c r="AW357" s="883">
        <v>11922.428413610982</v>
      </c>
      <c r="AX357" s="883">
        <v>75945.51234133933</v>
      </c>
      <c r="AY357" s="883">
        <v>62673.095488422703</v>
      </c>
      <c r="AZ357" s="883">
        <v>0</v>
      </c>
      <c r="BA357" s="883">
        <v>0</v>
      </c>
      <c r="BB357" s="883">
        <v>0.75</v>
      </c>
      <c r="BC357" s="888">
        <v>1</v>
      </c>
      <c r="BD357" s="889">
        <v>0</v>
      </c>
      <c r="BE357" s="889">
        <v>0</v>
      </c>
      <c r="BF357" s="890">
        <v>0</v>
      </c>
      <c r="BG357" s="883">
        <v>1</v>
      </c>
      <c r="BH357" s="883">
        <v>0</v>
      </c>
      <c r="BI357" s="890">
        <v>0</v>
      </c>
      <c r="BJ357" s="883">
        <v>1</v>
      </c>
      <c r="BK357" s="883">
        <v>0</v>
      </c>
      <c r="BL357" s="883">
        <v>0</v>
      </c>
      <c r="BM357" s="890">
        <v>0</v>
      </c>
      <c r="BN357" s="958">
        <v>7.0000000000000007E-2</v>
      </c>
      <c r="BO357" s="959">
        <v>17.100000000000001</v>
      </c>
      <c r="BP357" s="1018">
        <f t="shared" ref="BP357:BP365" ca="1" si="517">INDIRECT("'"&amp;AI357&amp;"'!"&amp;"B2")</f>
        <v>148.5</v>
      </c>
      <c r="BQ357" s="1018">
        <f t="shared" ref="BQ357:BQ365" ca="1" si="518">INDIRECT("'"&amp;AI357&amp;"'!"&amp;"C12")+INDIRECT("'"&amp;AI357&amp;"'!"&amp;"C13")+INDIRECT("'"&amp;AI357&amp;"'!"&amp;"C14")+INDIRECT("'"&amp;AI357&amp;"'!"&amp;"C15")+INDIRECT("'"&amp;AI357&amp;"'!"&amp;"C17")</f>
        <v>412.25249999999994</v>
      </c>
      <c r="BR357" s="1018">
        <f t="shared" ref="BR357:BR365" ca="1" si="519">INDIRECT("'"&amp;AI357&amp;"'!"&amp;"G5")</f>
        <v>148.44999999999999</v>
      </c>
      <c r="BS357" s="1018">
        <f t="shared" ref="BS357:BS365" ca="1" si="520">INDIRECT("'"&amp;AI357&amp;"'!"&amp;"G4")</f>
        <v>100.98500000000001</v>
      </c>
      <c r="BT357" s="1018">
        <f t="shared" ref="BT357:BT365" ca="1" si="521">INDIRECT("'"&amp;AI357&amp;"'!"&amp;"G6")</f>
        <v>148.5</v>
      </c>
      <c r="BU357" s="1018">
        <f t="shared" ref="BU357:BU365" ca="1" si="522">INDIRECT("'"&amp;AI357&amp;"'!"&amp;"G2")</f>
        <v>46.489999999999995</v>
      </c>
      <c r="BV357" s="1018">
        <f t="shared" ref="BV357:BV365" ca="1" si="523">INDIRECT("'"&amp;AI357&amp;"'!"&amp;"G3")</f>
        <v>2.15</v>
      </c>
      <c r="BW357" s="1018">
        <v>0</v>
      </c>
      <c r="BX357" s="1018">
        <f t="shared" ref="BX357:BX365" ca="1" si="524">IF(BR357=0,0,1/(1/(BR357*$BY$3)+1/(BR357*AR357)+1/(BR357*$BY$4)))</f>
        <v>113.34683017121702</v>
      </c>
      <c r="BY357" s="1018">
        <f t="shared" ref="BY357:BY365" ca="1" si="525">IF(BS357=0,0,1/(1/(BS357*$BY$3)+1/(BS357*AS357)+1/(BS357*$BY$4)))</f>
        <v>171.66405294836832</v>
      </c>
      <c r="BZ357" s="1018">
        <f t="shared" ca="1" si="480"/>
        <v>55.84241921677723</v>
      </c>
      <c r="CA357" s="1018">
        <f t="shared" ca="1" si="481"/>
        <v>162.71499988609949</v>
      </c>
      <c r="CB357" s="1018">
        <f t="shared" ref="CB357:CB365" ca="1" si="526">IF(BV357=0,0,1/(1/(BV357*$BY$3)+1/(BV357*AV357)+1/(BV357*$BY$4)))</f>
        <v>4.5133587786259541</v>
      </c>
      <c r="CC357" s="1018">
        <f t="shared" si="482"/>
        <v>0</v>
      </c>
      <c r="CD357" s="1018">
        <f ca="1">SUM(BX357:CC357)+(BR357+BS357+BT357+BU357+BV357)*BN357</f>
        <v>539.34191100108808</v>
      </c>
      <c r="CE357" s="1018">
        <f t="shared" ref="CE357:CE365" ca="1" si="527">0.34*BO357*(1/25)^0.66*(BR357+BS357+BU357+BV357)</f>
        <v>207.09049888711516</v>
      </c>
      <c r="CF357" s="1018">
        <f t="shared" ca="1" si="483"/>
        <v>22.392972296646096</v>
      </c>
      <c r="CG357" s="1018">
        <f t="shared" ca="1" si="484"/>
        <v>37283.40315502388</v>
      </c>
    </row>
    <row r="358" spans="4:85" x14ac:dyDescent="0.25">
      <c r="D358" s="432"/>
      <c r="E358" s="431"/>
      <c r="F358" s="432"/>
      <c r="G358" s="431"/>
      <c r="H358" s="432"/>
      <c r="I358" s="431"/>
      <c r="J358" s="432"/>
      <c r="K358" s="435"/>
      <c r="L358" s="437"/>
      <c r="M358" s="432"/>
      <c r="N358" s="432"/>
      <c r="O358" s="432" t="s">
        <v>18</v>
      </c>
      <c r="P358" s="434">
        <v>0.89156626500000002</v>
      </c>
      <c r="Q358" s="432" t="s">
        <v>7</v>
      </c>
      <c r="R358" s="434">
        <v>7.4300000000000005E-2</v>
      </c>
      <c r="S358" s="432"/>
      <c r="T358" s="442">
        <v>3.8000991642804771E-4</v>
      </c>
      <c r="U358" s="431"/>
      <c r="V358" s="176">
        <f>T358-T358*Calculation_sheet!F$60</f>
        <v>3.8000991642804771E-4</v>
      </c>
      <c r="W358" s="176">
        <f>V358-V358*Calculation_sheet!E$68</f>
        <v>3.8000991642804771E-4</v>
      </c>
      <c r="X358" s="176">
        <f>W358-W358*Calculation_sheet!E$78</f>
        <v>3.8000991642804771E-4</v>
      </c>
      <c r="Y358" s="34">
        <f>X358/Calculation_sheet!M$67</f>
        <v>3.8001768627369349E-4</v>
      </c>
      <c r="Z358" s="176">
        <f ca="1">IF(AN358&gt;0,Y358*Calculation_sheet!C$87,0)</f>
        <v>0</v>
      </c>
      <c r="AA358" s="176">
        <f t="shared" ca="1" si="486"/>
        <v>3.8001768627369349E-4</v>
      </c>
      <c r="AB358" s="176">
        <f ca="1">IF(AP358&gt;0,AA358*Calculation_sheet!C$94,0)</f>
        <v>0</v>
      </c>
      <c r="AC358" s="176">
        <f t="shared" ca="1" si="515"/>
        <v>3.8001768627369349E-4</v>
      </c>
      <c r="AD358" s="958">
        <f ca="1">AC358*Calculation_sheet!C$99</f>
        <v>2.2801061176421609E-4</v>
      </c>
      <c r="AE358" s="176">
        <f t="shared" ca="1" si="515"/>
        <v>1.520070745094774E-4</v>
      </c>
      <c r="AF358" s="176">
        <f t="shared" ca="1" si="516"/>
        <v>3.8001768627369349E-4</v>
      </c>
      <c r="AG358" s="958">
        <f ca="1">AF358*User_sheet!B$77/100</f>
        <v>0</v>
      </c>
      <c r="AH358" s="313"/>
      <c r="AI358" s="883">
        <v>103</v>
      </c>
      <c r="AJ358" s="985"/>
      <c r="AK358" s="1020">
        <f t="shared" ca="1" si="479"/>
        <v>539.34191100108808</v>
      </c>
      <c r="AL358" s="954">
        <f ca="1">AK358/'103'!I$24</f>
        <v>1.2137089417746005</v>
      </c>
      <c r="AM358" s="954">
        <f ca="1">0.8*(AK358*30+'103'!D$17*0.34*30*1)</f>
        <v>16396.559064026114</v>
      </c>
      <c r="AN358" s="954">
        <f ca="1">IF(AM358&lt;User_sheet!B$50,Y358,0)</f>
        <v>0</v>
      </c>
      <c r="AO358" s="954">
        <f ca="1">20-(User_sheet!B$57/('Freestanding '!AK358+'103'!D$17*1*0.34))</f>
        <v>11.656786069210225</v>
      </c>
      <c r="AP358" s="954">
        <f ca="1">IF(AO358&lt;User_sheet!B$59,0,BC358*AA358)</f>
        <v>3.8001768627369349E-4</v>
      </c>
      <c r="AQ358" s="985"/>
      <c r="AR358" s="883">
        <v>0.88</v>
      </c>
      <c r="AS358" s="1020">
        <v>2.41</v>
      </c>
      <c r="AT358" s="883">
        <v>1.42</v>
      </c>
      <c r="AU358" s="883">
        <v>3.5</v>
      </c>
      <c r="AV358" s="883">
        <v>3.3</v>
      </c>
      <c r="AW358" s="883">
        <v>11922.428413610982</v>
      </c>
      <c r="AX358" s="883">
        <v>75945.51234133933</v>
      </c>
      <c r="AY358" s="883">
        <v>62673.095488422703</v>
      </c>
      <c r="AZ358" s="883">
        <v>0</v>
      </c>
      <c r="BA358" s="883">
        <v>0</v>
      </c>
      <c r="BB358" s="883">
        <v>0.75</v>
      </c>
      <c r="BC358" s="888">
        <v>1</v>
      </c>
      <c r="BD358" s="889">
        <v>0</v>
      </c>
      <c r="BE358" s="889">
        <v>0</v>
      </c>
      <c r="BF358" s="890">
        <v>0</v>
      </c>
      <c r="BG358" s="883">
        <v>1</v>
      </c>
      <c r="BH358" s="883">
        <v>0</v>
      </c>
      <c r="BI358" s="890">
        <v>0</v>
      </c>
      <c r="BJ358" s="883">
        <v>0</v>
      </c>
      <c r="BK358" s="883">
        <v>0</v>
      </c>
      <c r="BL358" s="883">
        <v>1</v>
      </c>
      <c r="BM358" s="890">
        <v>0</v>
      </c>
      <c r="BN358" s="958">
        <v>7.0000000000000007E-2</v>
      </c>
      <c r="BO358" s="959">
        <v>17.100000000000001</v>
      </c>
      <c r="BP358" s="1018">
        <f t="shared" ca="1" si="517"/>
        <v>148.5</v>
      </c>
      <c r="BQ358" s="1018">
        <f t="shared" ca="1" si="518"/>
        <v>412.25249999999994</v>
      </c>
      <c r="BR358" s="1018">
        <f t="shared" ca="1" si="519"/>
        <v>148.44999999999999</v>
      </c>
      <c r="BS358" s="1018">
        <f t="shared" ca="1" si="520"/>
        <v>100.98500000000001</v>
      </c>
      <c r="BT358" s="1018">
        <f t="shared" ca="1" si="521"/>
        <v>148.5</v>
      </c>
      <c r="BU358" s="1018">
        <f t="shared" ca="1" si="522"/>
        <v>46.489999999999995</v>
      </c>
      <c r="BV358" s="1018">
        <f t="shared" ca="1" si="523"/>
        <v>2.15</v>
      </c>
      <c r="BW358" s="1018">
        <v>0</v>
      </c>
      <c r="BX358" s="1018">
        <f t="shared" ca="1" si="524"/>
        <v>113.34683017121702</v>
      </c>
      <c r="BY358" s="1018">
        <f t="shared" ca="1" si="525"/>
        <v>171.66405294836832</v>
      </c>
      <c r="BZ358" s="1018">
        <f t="shared" ca="1" si="480"/>
        <v>55.84241921677723</v>
      </c>
      <c r="CA358" s="1018">
        <f t="shared" ca="1" si="481"/>
        <v>162.71499988609949</v>
      </c>
      <c r="CB358" s="1018">
        <f t="shared" ca="1" si="526"/>
        <v>4.5133587786259541</v>
      </c>
      <c r="CC358" s="1018">
        <f t="shared" si="482"/>
        <v>0</v>
      </c>
      <c r="CD358" s="1018">
        <f t="shared" ref="CD358:CD365" ca="1" si="528">SUM(BX358:CC358)+(BR358+BS358+BT358+BU358+BV358)*BN358</f>
        <v>539.34191100108808</v>
      </c>
      <c r="CE358" s="1018">
        <f t="shared" ca="1" si="527"/>
        <v>207.09049888711516</v>
      </c>
      <c r="CF358" s="1018">
        <f t="shared" ca="1" si="483"/>
        <v>22.392972296646096</v>
      </c>
      <c r="CG358" s="1018">
        <f t="shared" ca="1" si="484"/>
        <v>37283.40315502388</v>
      </c>
    </row>
    <row r="359" spans="4:85" x14ac:dyDescent="0.25">
      <c r="D359" s="432"/>
      <c r="E359" s="431"/>
      <c r="F359" s="432"/>
      <c r="G359" s="431"/>
      <c r="H359" s="432"/>
      <c r="I359" s="431"/>
      <c r="J359" s="432"/>
      <c r="K359" s="435"/>
      <c r="L359" s="437"/>
      <c r="M359" s="432"/>
      <c r="N359" s="432"/>
      <c r="O359" s="432"/>
      <c r="P359" s="432"/>
      <c r="Q359" s="432" t="s">
        <v>16</v>
      </c>
      <c r="R359" s="434">
        <v>0.92569999999999997</v>
      </c>
      <c r="S359" s="432"/>
      <c r="T359" s="442">
        <v>5.7582056285871504E-4</v>
      </c>
      <c r="U359" s="431"/>
      <c r="V359" s="176">
        <f>T359-T359*Calculation_sheet!F$60</f>
        <v>5.7582056285871504E-4</v>
      </c>
      <c r="W359" s="176">
        <f>V359-V359*Calculation_sheet!E$68</f>
        <v>5.7582056285871504E-4</v>
      </c>
      <c r="X359" s="176">
        <f>W359-W359*Calculation_sheet!E$78</f>
        <v>5.7582056285871504E-4</v>
      </c>
      <c r="Y359" s="34">
        <f>X359/Calculation_sheet!M$67</f>
        <v>5.7583233633277367E-4</v>
      </c>
      <c r="Z359" s="176">
        <f ca="1">IF(AN359&gt;0,Y359*Calculation_sheet!C$87,0)</f>
        <v>0</v>
      </c>
      <c r="AA359" s="176">
        <f t="shared" ca="1" si="486"/>
        <v>5.7583233633277367E-4</v>
      </c>
      <c r="AB359" s="176">
        <f ca="1">IF(AP359&gt;0,AA359*Calculation_sheet!C$94,0)</f>
        <v>0</v>
      </c>
      <c r="AC359" s="176">
        <f t="shared" ca="1" si="515"/>
        <v>5.7583233633277367E-4</v>
      </c>
      <c r="AD359" s="958">
        <f ca="1">AC359*Calculation_sheet!C$99</f>
        <v>3.4549940179966421E-4</v>
      </c>
      <c r="AE359" s="176">
        <f t="shared" ca="1" si="515"/>
        <v>2.3033293453310946E-4</v>
      </c>
      <c r="AF359" s="176">
        <f t="shared" ca="1" si="516"/>
        <v>5.7583233633277367E-4</v>
      </c>
      <c r="AG359" s="958">
        <f ca="1">AF359*User_sheet!B$77/100</f>
        <v>0</v>
      </c>
      <c r="AH359" s="313"/>
      <c r="AI359" s="883">
        <v>103</v>
      </c>
      <c r="AJ359" s="985"/>
      <c r="AK359" s="1020">
        <f t="shared" ca="1" si="479"/>
        <v>539.34191100108808</v>
      </c>
      <c r="AL359" s="954">
        <f ca="1">AK359/'103'!I$24</f>
        <v>1.2137089417746005</v>
      </c>
      <c r="AM359" s="954">
        <f ca="1">0.8*(AK359*30+'103'!D$17*0.34*30*1)</f>
        <v>16396.559064026114</v>
      </c>
      <c r="AN359" s="954">
        <f ca="1">IF(AM359&lt;User_sheet!B$50,Y359,0)</f>
        <v>0</v>
      </c>
      <c r="AO359" s="954">
        <f ca="1">20-(User_sheet!B$57/('Freestanding '!AK359+'103'!D$17*1*0.34))</f>
        <v>11.656786069210225</v>
      </c>
      <c r="AP359" s="954">
        <f ca="1">IF(AO359&lt;User_sheet!B$59,0,BC359*AA359)</f>
        <v>5.7583233633277367E-4</v>
      </c>
      <c r="AQ359" s="985"/>
      <c r="AR359" s="883">
        <v>0.88</v>
      </c>
      <c r="AS359" s="1020">
        <v>2.41</v>
      </c>
      <c r="AT359" s="883">
        <v>1.42</v>
      </c>
      <c r="AU359" s="883">
        <v>3.5</v>
      </c>
      <c r="AV359" s="883">
        <v>3.3</v>
      </c>
      <c r="AW359" s="883">
        <v>11922.428413610982</v>
      </c>
      <c r="AX359" s="883">
        <v>75945.51234133933</v>
      </c>
      <c r="AY359" s="883">
        <v>62673.095488422703</v>
      </c>
      <c r="AZ359" s="883">
        <v>0</v>
      </c>
      <c r="BA359" s="883">
        <v>0</v>
      </c>
      <c r="BB359" s="883">
        <v>0.75</v>
      </c>
      <c r="BC359" s="888">
        <v>1</v>
      </c>
      <c r="BD359" s="889">
        <v>0</v>
      </c>
      <c r="BE359" s="889">
        <v>0</v>
      </c>
      <c r="BF359" s="890">
        <v>0</v>
      </c>
      <c r="BG359" s="883">
        <v>0</v>
      </c>
      <c r="BH359" s="883">
        <v>1</v>
      </c>
      <c r="BI359" s="890">
        <v>0</v>
      </c>
      <c r="BJ359" s="883">
        <v>1</v>
      </c>
      <c r="BK359" s="883">
        <v>0</v>
      </c>
      <c r="BL359" s="883">
        <v>0</v>
      </c>
      <c r="BM359" s="890">
        <v>0</v>
      </c>
      <c r="BN359" s="958">
        <v>7.0000000000000007E-2</v>
      </c>
      <c r="BO359" s="959">
        <v>17.100000000000001</v>
      </c>
      <c r="BP359" s="1018">
        <f t="shared" ca="1" si="517"/>
        <v>148.5</v>
      </c>
      <c r="BQ359" s="1018">
        <f t="shared" ca="1" si="518"/>
        <v>412.25249999999994</v>
      </c>
      <c r="BR359" s="1018">
        <f t="shared" ca="1" si="519"/>
        <v>148.44999999999999</v>
      </c>
      <c r="BS359" s="1018">
        <f t="shared" ca="1" si="520"/>
        <v>100.98500000000001</v>
      </c>
      <c r="BT359" s="1018">
        <f t="shared" ca="1" si="521"/>
        <v>148.5</v>
      </c>
      <c r="BU359" s="1018">
        <f t="shared" ca="1" si="522"/>
        <v>46.489999999999995</v>
      </c>
      <c r="BV359" s="1018">
        <f t="shared" ca="1" si="523"/>
        <v>2.15</v>
      </c>
      <c r="BW359" s="1018">
        <v>0</v>
      </c>
      <c r="BX359" s="1018">
        <f t="shared" ca="1" si="524"/>
        <v>113.34683017121702</v>
      </c>
      <c r="BY359" s="1018">
        <f t="shared" ca="1" si="525"/>
        <v>171.66405294836832</v>
      </c>
      <c r="BZ359" s="1018">
        <f t="shared" ca="1" si="480"/>
        <v>55.84241921677723</v>
      </c>
      <c r="CA359" s="1018">
        <f t="shared" ca="1" si="481"/>
        <v>162.71499988609949</v>
      </c>
      <c r="CB359" s="1018">
        <f t="shared" ca="1" si="526"/>
        <v>4.5133587786259541</v>
      </c>
      <c r="CC359" s="1018">
        <f t="shared" si="482"/>
        <v>0</v>
      </c>
      <c r="CD359" s="1018">
        <f t="shared" ca="1" si="528"/>
        <v>539.34191100108808</v>
      </c>
      <c r="CE359" s="1018">
        <f t="shared" ca="1" si="527"/>
        <v>207.09049888711516</v>
      </c>
      <c r="CF359" s="1018">
        <f t="shared" ca="1" si="483"/>
        <v>22.392972296646096</v>
      </c>
      <c r="CG359" s="1018">
        <f t="shared" ca="1" si="484"/>
        <v>37283.40315502388</v>
      </c>
    </row>
    <row r="360" spans="4:85" x14ac:dyDescent="0.25">
      <c r="D360" s="432"/>
      <c r="E360" s="431"/>
      <c r="F360" s="432"/>
      <c r="G360" s="431"/>
      <c r="H360" s="432"/>
      <c r="I360" s="431"/>
      <c r="J360" s="432"/>
      <c r="K360" s="435"/>
      <c r="L360" s="437"/>
      <c r="M360" s="432" t="s">
        <v>16</v>
      </c>
      <c r="N360" s="434">
        <v>0.41099999999999998</v>
      </c>
      <c r="O360" s="432" t="s">
        <v>19</v>
      </c>
      <c r="P360" s="434">
        <v>0.108433735</v>
      </c>
      <c r="Q360" s="432" t="s">
        <v>7</v>
      </c>
      <c r="R360" s="434">
        <v>7.4300000000000005E-2</v>
      </c>
      <c r="S360" s="432"/>
      <c r="T360" s="442">
        <v>4.6217422297075226E-5</v>
      </c>
      <c r="U360" s="431"/>
      <c r="V360" s="176">
        <f>T360-T360*Calculation_sheet!F$60</f>
        <v>4.6217422297075226E-5</v>
      </c>
      <c r="W360" s="176">
        <f>V360-V360*Calculation_sheet!E$68</f>
        <v>4.6217422297075226E-5</v>
      </c>
      <c r="X360" s="176">
        <f>W360-W360*Calculation_sheet!E$78</f>
        <v>4.6217422297075226E-5</v>
      </c>
      <c r="Y360" s="34">
        <f>X360/Calculation_sheet!M$67</f>
        <v>4.621836727830301E-5</v>
      </c>
      <c r="Z360" s="176">
        <f ca="1">IF(AN360&gt;0,Y360*Calculation_sheet!C$87,0)</f>
        <v>0</v>
      </c>
      <c r="AA360" s="176">
        <f t="shared" ca="1" si="486"/>
        <v>4.621836727830301E-5</v>
      </c>
      <c r="AB360" s="176">
        <f ca="1">IF(AP360&gt;0,AA360*Calculation_sheet!C$94,0)</f>
        <v>0</v>
      </c>
      <c r="AC360" s="176">
        <f t="shared" ca="1" si="515"/>
        <v>4.621836727830301E-5</v>
      </c>
      <c r="AD360" s="958">
        <f ca="1">AC360*Calculation_sheet!C$99</f>
        <v>2.7731020366981806E-5</v>
      </c>
      <c r="AE360" s="176">
        <f t="shared" ca="1" si="515"/>
        <v>1.8487346911321204E-5</v>
      </c>
      <c r="AF360" s="176">
        <f t="shared" ca="1" si="516"/>
        <v>4.621836727830301E-5</v>
      </c>
      <c r="AG360" s="958">
        <f ca="1">AF360*User_sheet!B$77/100</f>
        <v>0</v>
      </c>
      <c r="AH360" s="313"/>
      <c r="AI360" s="883">
        <v>103</v>
      </c>
      <c r="AJ360" s="985"/>
      <c r="AK360" s="1020">
        <f t="shared" ca="1" si="479"/>
        <v>539.34191100108808</v>
      </c>
      <c r="AL360" s="954">
        <f ca="1">AK360/'103'!I$24</f>
        <v>1.2137089417746005</v>
      </c>
      <c r="AM360" s="954">
        <f ca="1">0.8*(AK360*30+'103'!D$17*0.34*30*1)</f>
        <v>16396.559064026114</v>
      </c>
      <c r="AN360" s="954">
        <f ca="1">IF(AM360&lt;User_sheet!B$50,Y360,0)</f>
        <v>0</v>
      </c>
      <c r="AO360" s="954">
        <f ca="1">20-(User_sheet!B$57/('Freestanding '!AK360+'103'!D$17*1*0.34))</f>
        <v>11.656786069210225</v>
      </c>
      <c r="AP360" s="954">
        <f ca="1">IF(AO360&lt;User_sheet!B$59,0,BC360*AA360)</f>
        <v>4.621836727830301E-5</v>
      </c>
      <c r="AQ360" s="985"/>
      <c r="AR360" s="883">
        <v>0.88</v>
      </c>
      <c r="AS360" s="1020">
        <v>2.41</v>
      </c>
      <c r="AT360" s="883">
        <v>1.42</v>
      </c>
      <c r="AU360" s="883">
        <v>3.5</v>
      </c>
      <c r="AV360" s="883">
        <v>3.3</v>
      </c>
      <c r="AW360" s="883">
        <v>11922.428413610982</v>
      </c>
      <c r="AX360" s="883">
        <v>75945.51234133933</v>
      </c>
      <c r="AY360" s="883">
        <v>62673.095488422703</v>
      </c>
      <c r="AZ360" s="883">
        <v>0</v>
      </c>
      <c r="BA360" s="883">
        <v>0</v>
      </c>
      <c r="BB360" s="883">
        <v>0.75</v>
      </c>
      <c r="BC360" s="888">
        <v>1</v>
      </c>
      <c r="BD360" s="889">
        <v>0</v>
      </c>
      <c r="BE360" s="889">
        <v>0</v>
      </c>
      <c r="BF360" s="890">
        <v>0</v>
      </c>
      <c r="BG360" s="883">
        <v>0</v>
      </c>
      <c r="BH360" s="883">
        <v>1</v>
      </c>
      <c r="BI360" s="890">
        <v>0</v>
      </c>
      <c r="BJ360" s="883">
        <v>0</v>
      </c>
      <c r="BK360" s="883">
        <v>0</v>
      </c>
      <c r="BL360" s="883">
        <v>1</v>
      </c>
      <c r="BM360" s="890">
        <v>0</v>
      </c>
      <c r="BN360" s="958">
        <v>7.0000000000000007E-2</v>
      </c>
      <c r="BO360" s="959">
        <v>17.100000000000001</v>
      </c>
      <c r="BP360" s="1018">
        <f t="shared" ca="1" si="517"/>
        <v>148.5</v>
      </c>
      <c r="BQ360" s="1018">
        <f t="shared" ca="1" si="518"/>
        <v>412.25249999999994</v>
      </c>
      <c r="BR360" s="1018">
        <f t="shared" ca="1" si="519"/>
        <v>148.44999999999999</v>
      </c>
      <c r="BS360" s="1018">
        <f t="shared" ca="1" si="520"/>
        <v>100.98500000000001</v>
      </c>
      <c r="BT360" s="1018">
        <f t="shared" ca="1" si="521"/>
        <v>148.5</v>
      </c>
      <c r="BU360" s="1018">
        <f t="shared" ca="1" si="522"/>
        <v>46.489999999999995</v>
      </c>
      <c r="BV360" s="1018">
        <f t="shared" ca="1" si="523"/>
        <v>2.15</v>
      </c>
      <c r="BW360" s="1018">
        <v>0</v>
      </c>
      <c r="BX360" s="1018">
        <f t="shared" ca="1" si="524"/>
        <v>113.34683017121702</v>
      </c>
      <c r="BY360" s="1018">
        <f t="shared" ca="1" si="525"/>
        <v>171.66405294836832</v>
      </c>
      <c r="BZ360" s="1018">
        <f t="shared" ca="1" si="480"/>
        <v>55.84241921677723</v>
      </c>
      <c r="CA360" s="1018">
        <f t="shared" ca="1" si="481"/>
        <v>162.71499988609949</v>
      </c>
      <c r="CB360" s="1018">
        <f t="shared" ca="1" si="526"/>
        <v>4.5133587786259541</v>
      </c>
      <c r="CC360" s="1018">
        <f t="shared" si="482"/>
        <v>0</v>
      </c>
      <c r="CD360" s="1018">
        <f t="shared" ca="1" si="528"/>
        <v>539.34191100108808</v>
      </c>
      <c r="CE360" s="1018">
        <f t="shared" ca="1" si="527"/>
        <v>207.09049888711516</v>
      </c>
      <c r="CF360" s="1018">
        <f t="shared" ca="1" si="483"/>
        <v>22.392972296646096</v>
      </c>
      <c r="CG360" s="1018">
        <f t="shared" ca="1" si="484"/>
        <v>37283.40315502388</v>
      </c>
    </row>
    <row r="361" spans="4:85" x14ac:dyDescent="0.25">
      <c r="D361" s="432"/>
      <c r="E361" s="431"/>
      <c r="F361" s="432"/>
      <c r="G361" s="431"/>
      <c r="H361" s="432"/>
      <c r="I361" s="431"/>
      <c r="J361" s="432"/>
      <c r="K361" s="435"/>
      <c r="L361" s="437"/>
      <c r="M361" s="432"/>
      <c r="N361" s="432"/>
      <c r="O361" s="432"/>
      <c r="P361" s="432"/>
      <c r="Q361" s="432" t="s">
        <v>22</v>
      </c>
      <c r="R361" s="434">
        <v>0.60750000000000004</v>
      </c>
      <c r="S361" s="432"/>
      <c r="T361" s="442">
        <v>3.7620693866084833E-3</v>
      </c>
      <c r="U361" s="431"/>
      <c r="V361" s="176">
        <f>T361-T361*Calculation_sheet!F$60</f>
        <v>3.7620693866084833E-3</v>
      </c>
      <c r="W361" s="176">
        <f>V361-V361*Calculation_sheet!E$68</f>
        <v>3.7620693866084833E-3</v>
      </c>
      <c r="X361" s="176">
        <f>W361-W361*Calculation_sheet!E$78</f>
        <v>3.7620693866084833E-3</v>
      </c>
      <c r="Y361" s="34">
        <f>X361/Calculation_sheet!M$67</f>
        <v>3.7621463074918051E-3</v>
      </c>
      <c r="Z361" s="176">
        <f ca="1">IF(AN361&gt;0,Y361*Calculation_sheet!C$87,0)</f>
        <v>0</v>
      </c>
      <c r="AA361" s="176">
        <f t="shared" ca="1" si="486"/>
        <v>3.7621463074918051E-3</v>
      </c>
      <c r="AB361" s="176">
        <f ca="1">IF(AP361&gt;0,AA361*Calculation_sheet!C$94,0)</f>
        <v>0</v>
      </c>
      <c r="AC361" s="176">
        <f t="shared" ca="1" si="515"/>
        <v>3.7621463074918051E-3</v>
      </c>
      <c r="AD361" s="958">
        <f ca="1">AC361*Calculation_sheet!C$99</f>
        <v>2.2572877844950828E-3</v>
      </c>
      <c r="AE361" s="176">
        <f t="shared" ca="1" si="515"/>
        <v>1.5048585229967223E-3</v>
      </c>
      <c r="AF361" s="176">
        <f t="shared" ca="1" si="516"/>
        <v>3.7621463074918051E-3</v>
      </c>
      <c r="AG361" s="958">
        <f ca="1">AF361*User_sheet!B$77/100</f>
        <v>0</v>
      </c>
      <c r="AH361" s="313"/>
      <c r="AI361" s="883">
        <v>103</v>
      </c>
      <c r="AJ361" s="985"/>
      <c r="AK361" s="1020">
        <f t="shared" ca="1" si="479"/>
        <v>539.34191100108808</v>
      </c>
      <c r="AL361" s="954">
        <f ca="1">AK361/'103'!I$24</f>
        <v>1.2137089417746005</v>
      </c>
      <c r="AM361" s="954">
        <f ca="1">0.8*(AK361*30+'103'!D$17*0.34*30*1)</f>
        <v>16396.559064026114</v>
      </c>
      <c r="AN361" s="954">
        <f ca="1">IF(AM361&lt;User_sheet!B$50,Y361,0)</f>
        <v>0</v>
      </c>
      <c r="AO361" s="954">
        <f ca="1">20-(User_sheet!B$57/('Freestanding '!AK361+'103'!D$17*1*0.34))</f>
        <v>11.656786069210225</v>
      </c>
      <c r="AP361" s="954">
        <f ca="1">IF(AO361&lt;User_sheet!B$59,0,BC361*AA361)</f>
        <v>0</v>
      </c>
      <c r="AQ361" s="985"/>
      <c r="AR361" s="883">
        <v>0.88</v>
      </c>
      <c r="AS361" s="1020">
        <v>2.41</v>
      </c>
      <c r="AT361" s="883">
        <v>1.42</v>
      </c>
      <c r="AU361" s="883">
        <v>3.5</v>
      </c>
      <c r="AV361" s="883">
        <v>3.3</v>
      </c>
      <c r="AW361" s="883">
        <v>11922.428413610982</v>
      </c>
      <c r="AX361" s="883">
        <v>75945.51234133933</v>
      </c>
      <c r="AY361" s="883">
        <v>62673.095488422703</v>
      </c>
      <c r="AZ361" s="883">
        <v>0</v>
      </c>
      <c r="BA361" s="883">
        <v>0</v>
      </c>
      <c r="BB361" s="883">
        <v>0.75</v>
      </c>
      <c r="BC361" s="888">
        <v>0</v>
      </c>
      <c r="BD361" s="889">
        <v>1</v>
      </c>
      <c r="BE361" s="889">
        <v>0</v>
      </c>
      <c r="BF361" s="890">
        <v>0</v>
      </c>
      <c r="BG361" s="883">
        <v>1</v>
      </c>
      <c r="BH361" s="883">
        <v>0</v>
      </c>
      <c r="BI361" s="890">
        <v>0</v>
      </c>
      <c r="BJ361" s="883">
        <v>0</v>
      </c>
      <c r="BK361" s="883">
        <v>1</v>
      </c>
      <c r="BL361" s="883">
        <v>0</v>
      </c>
      <c r="BM361" s="890">
        <v>0</v>
      </c>
      <c r="BN361" s="958">
        <v>7.0000000000000007E-2</v>
      </c>
      <c r="BO361" s="959">
        <v>17.100000000000001</v>
      </c>
      <c r="BP361" s="1018">
        <f t="shared" ca="1" si="517"/>
        <v>148.5</v>
      </c>
      <c r="BQ361" s="1018">
        <f t="shared" ca="1" si="518"/>
        <v>412.25249999999994</v>
      </c>
      <c r="BR361" s="1018">
        <f t="shared" ca="1" si="519"/>
        <v>148.44999999999999</v>
      </c>
      <c r="BS361" s="1018">
        <f t="shared" ca="1" si="520"/>
        <v>100.98500000000001</v>
      </c>
      <c r="BT361" s="1018">
        <f t="shared" ca="1" si="521"/>
        <v>148.5</v>
      </c>
      <c r="BU361" s="1018">
        <f t="shared" ca="1" si="522"/>
        <v>46.489999999999995</v>
      </c>
      <c r="BV361" s="1018">
        <f t="shared" ca="1" si="523"/>
        <v>2.15</v>
      </c>
      <c r="BW361" s="1018">
        <v>0</v>
      </c>
      <c r="BX361" s="1018">
        <f t="shared" ca="1" si="524"/>
        <v>113.34683017121702</v>
      </c>
      <c r="BY361" s="1018">
        <f t="shared" ca="1" si="525"/>
        <v>171.66405294836832</v>
      </c>
      <c r="BZ361" s="1018">
        <f t="shared" ca="1" si="480"/>
        <v>55.84241921677723</v>
      </c>
      <c r="CA361" s="1018">
        <f t="shared" ca="1" si="481"/>
        <v>162.71499988609949</v>
      </c>
      <c r="CB361" s="1018">
        <f t="shared" ca="1" si="526"/>
        <v>4.5133587786259541</v>
      </c>
      <c r="CC361" s="1018">
        <f t="shared" si="482"/>
        <v>0</v>
      </c>
      <c r="CD361" s="1018">
        <f t="shared" ca="1" si="528"/>
        <v>539.34191100108808</v>
      </c>
      <c r="CE361" s="1018">
        <f t="shared" ca="1" si="527"/>
        <v>207.09049888711516</v>
      </c>
      <c r="CF361" s="1018">
        <f t="shared" ca="1" si="483"/>
        <v>22.392972296646096</v>
      </c>
      <c r="CG361" s="1018">
        <f t="shared" ca="1" si="484"/>
        <v>37283.40315502388</v>
      </c>
    </row>
    <row r="362" spans="4:85" x14ac:dyDescent="0.25">
      <c r="D362" s="432"/>
      <c r="E362" s="431"/>
      <c r="F362" s="432"/>
      <c r="G362" s="431"/>
      <c r="H362" s="432"/>
      <c r="I362" s="431"/>
      <c r="J362" s="432"/>
      <c r="K362" s="435"/>
      <c r="L362" s="437"/>
      <c r="M362" s="432"/>
      <c r="N362" s="432"/>
      <c r="O362" s="432" t="s">
        <v>18</v>
      </c>
      <c r="P362" s="434">
        <v>0.94399999999999995</v>
      </c>
      <c r="Q362" s="432" t="s">
        <v>7</v>
      </c>
      <c r="R362" s="434">
        <v>0.39250000000000002</v>
      </c>
      <c r="S362" s="432"/>
      <c r="T362" s="442">
        <v>2.4306374226235879E-3</v>
      </c>
      <c r="U362" s="431"/>
      <c r="V362" s="176">
        <f>T362-T362*Calculation_sheet!F$60</f>
        <v>2.4306374226235879E-3</v>
      </c>
      <c r="W362" s="176">
        <f>V362-V362*Calculation_sheet!E$68</f>
        <v>2.4306374226235879E-3</v>
      </c>
      <c r="X362" s="176">
        <f>W362-W362*Calculation_sheet!E$78</f>
        <v>2.4306374226235879E-3</v>
      </c>
      <c r="Y362" s="34">
        <f>X362/Calculation_sheet!M$67</f>
        <v>2.4306871204782445E-3</v>
      </c>
      <c r="Z362" s="176">
        <f ca="1">IF(AN362&gt;0,Y362*Calculation_sheet!C$87,0)</f>
        <v>0</v>
      </c>
      <c r="AA362" s="176">
        <f t="shared" ca="1" si="486"/>
        <v>2.4306871204782445E-3</v>
      </c>
      <c r="AB362" s="176">
        <f ca="1">IF(AP362&gt;0,AA362*Calculation_sheet!C$94,0)</f>
        <v>0</v>
      </c>
      <c r="AC362" s="176">
        <f t="shared" ca="1" si="515"/>
        <v>2.4306871204782445E-3</v>
      </c>
      <c r="AD362" s="958">
        <f ca="1">AC362*Calculation_sheet!C$99</f>
        <v>1.4584122722869468E-3</v>
      </c>
      <c r="AE362" s="176">
        <f t="shared" ca="1" si="515"/>
        <v>9.7227484819129776E-4</v>
      </c>
      <c r="AF362" s="176">
        <f t="shared" ca="1" si="516"/>
        <v>2.4306871204782445E-3</v>
      </c>
      <c r="AG362" s="958">
        <f ca="1">AF362*User_sheet!B$77/100</f>
        <v>0</v>
      </c>
      <c r="AH362" s="313"/>
      <c r="AI362" s="883">
        <v>103</v>
      </c>
      <c r="AJ362" s="985"/>
      <c r="AK362" s="1020">
        <f t="shared" ca="1" si="479"/>
        <v>539.34191100108808</v>
      </c>
      <c r="AL362" s="954">
        <f ca="1">AK362/'103'!I$24</f>
        <v>1.2137089417746005</v>
      </c>
      <c r="AM362" s="954">
        <f ca="1">0.8*(AK362*30+'103'!D$17*0.34*30*1)</f>
        <v>16396.559064026114</v>
      </c>
      <c r="AN362" s="954">
        <f ca="1">IF(AM362&lt;User_sheet!B$50,Y362,0)</f>
        <v>0</v>
      </c>
      <c r="AO362" s="954">
        <f ca="1">20-(User_sheet!B$57/('Freestanding '!AK362+'103'!D$17*1*0.34))</f>
        <v>11.656786069210225</v>
      </c>
      <c r="AP362" s="954">
        <f ca="1">IF(AO362&lt;User_sheet!B$59,0,BC362*AA362)</f>
        <v>0</v>
      </c>
      <c r="AQ362" s="985"/>
      <c r="AR362" s="883">
        <v>0.88</v>
      </c>
      <c r="AS362" s="1020">
        <v>2.41</v>
      </c>
      <c r="AT362" s="883">
        <v>1.42</v>
      </c>
      <c r="AU362" s="883">
        <v>3.5</v>
      </c>
      <c r="AV362" s="883">
        <v>3.3</v>
      </c>
      <c r="AW362" s="883">
        <v>11922.428413610982</v>
      </c>
      <c r="AX362" s="883">
        <v>75945.51234133933</v>
      </c>
      <c r="AY362" s="883">
        <v>62673.095488422703</v>
      </c>
      <c r="AZ362" s="883">
        <v>0</v>
      </c>
      <c r="BA362" s="883">
        <v>0</v>
      </c>
      <c r="BB362" s="883">
        <v>0.75</v>
      </c>
      <c r="BC362" s="888">
        <v>0</v>
      </c>
      <c r="BD362" s="889">
        <v>1</v>
      </c>
      <c r="BE362" s="889">
        <v>0</v>
      </c>
      <c r="BF362" s="890">
        <v>0</v>
      </c>
      <c r="BG362" s="883">
        <v>1</v>
      </c>
      <c r="BH362" s="883">
        <v>0</v>
      </c>
      <c r="BI362" s="890">
        <v>0</v>
      </c>
      <c r="BJ362" s="883">
        <v>0</v>
      </c>
      <c r="BK362" s="883">
        <v>0</v>
      </c>
      <c r="BL362" s="883">
        <v>1</v>
      </c>
      <c r="BM362" s="890">
        <v>0</v>
      </c>
      <c r="BN362" s="958">
        <v>7.0000000000000007E-2</v>
      </c>
      <c r="BO362" s="959">
        <v>17.100000000000001</v>
      </c>
      <c r="BP362" s="1018">
        <f t="shared" ca="1" si="517"/>
        <v>148.5</v>
      </c>
      <c r="BQ362" s="1018">
        <f t="shared" ca="1" si="518"/>
        <v>412.25249999999994</v>
      </c>
      <c r="BR362" s="1018">
        <f t="shared" ca="1" si="519"/>
        <v>148.44999999999999</v>
      </c>
      <c r="BS362" s="1018">
        <f t="shared" ca="1" si="520"/>
        <v>100.98500000000001</v>
      </c>
      <c r="BT362" s="1018">
        <f t="shared" ca="1" si="521"/>
        <v>148.5</v>
      </c>
      <c r="BU362" s="1018">
        <f t="shared" ca="1" si="522"/>
        <v>46.489999999999995</v>
      </c>
      <c r="BV362" s="1018">
        <f t="shared" ca="1" si="523"/>
        <v>2.15</v>
      </c>
      <c r="BW362" s="1018">
        <v>0</v>
      </c>
      <c r="BX362" s="1018">
        <f t="shared" ca="1" si="524"/>
        <v>113.34683017121702</v>
      </c>
      <c r="BY362" s="1018">
        <f t="shared" ca="1" si="525"/>
        <v>171.66405294836832</v>
      </c>
      <c r="BZ362" s="1018">
        <f t="shared" ca="1" si="480"/>
        <v>55.84241921677723</v>
      </c>
      <c r="CA362" s="1018">
        <f t="shared" ca="1" si="481"/>
        <v>162.71499988609949</v>
      </c>
      <c r="CB362" s="1018">
        <f t="shared" ca="1" si="526"/>
        <v>4.5133587786259541</v>
      </c>
      <c r="CC362" s="1018">
        <f t="shared" si="482"/>
        <v>0</v>
      </c>
      <c r="CD362" s="1018">
        <f t="shared" ca="1" si="528"/>
        <v>539.34191100108808</v>
      </c>
      <c r="CE362" s="1018">
        <f t="shared" ca="1" si="527"/>
        <v>207.09049888711516</v>
      </c>
      <c r="CF362" s="1018">
        <f t="shared" ca="1" si="483"/>
        <v>22.392972296646096</v>
      </c>
      <c r="CG362" s="1018">
        <f t="shared" ca="1" si="484"/>
        <v>37283.40315502388</v>
      </c>
    </row>
    <row r="363" spans="4:85" x14ac:dyDescent="0.25">
      <c r="D363" s="432"/>
      <c r="E363" s="431"/>
      <c r="F363" s="432"/>
      <c r="G363" s="431"/>
      <c r="H363" s="432"/>
      <c r="I363" s="431"/>
      <c r="J363" s="432"/>
      <c r="K363" s="435"/>
      <c r="L363" s="437"/>
      <c r="M363" s="432"/>
      <c r="N363" s="432"/>
      <c r="O363" s="432"/>
      <c r="P363" s="432"/>
      <c r="Q363" s="432" t="s">
        <v>22</v>
      </c>
      <c r="R363" s="434">
        <v>0.39250000000000002</v>
      </c>
      <c r="S363" s="432"/>
      <c r="T363" s="442">
        <v>1.4419035557936539E-4</v>
      </c>
      <c r="U363" s="431"/>
      <c r="V363" s="176">
        <f>T363-T363*Calculation_sheet!F$60</f>
        <v>1.4419035557936539E-4</v>
      </c>
      <c r="W363" s="176">
        <f>V363-V363*Calculation_sheet!E$68</f>
        <v>1.4419035557936539E-4</v>
      </c>
      <c r="X363" s="176">
        <f>W363-W363*Calculation_sheet!E$78</f>
        <v>1.4419035557936539E-4</v>
      </c>
      <c r="Y363" s="34">
        <f>X363/Calculation_sheet!M$67</f>
        <v>1.4419330375718399E-4</v>
      </c>
      <c r="Z363" s="176">
        <f ca="1">IF(AN363&gt;0,Y363*Calculation_sheet!C$87,0)</f>
        <v>0</v>
      </c>
      <c r="AA363" s="176">
        <f t="shared" ca="1" si="486"/>
        <v>1.4419330375718399E-4</v>
      </c>
      <c r="AB363" s="176">
        <f ca="1">IF(AP363&gt;0,AA363*Calculation_sheet!C$94,0)</f>
        <v>0</v>
      </c>
      <c r="AC363" s="176">
        <f t="shared" ca="1" si="515"/>
        <v>1.4419330375718399E-4</v>
      </c>
      <c r="AD363" s="958">
        <f ca="1">AC363*Calculation_sheet!C$99</f>
        <v>8.6515982254310394E-5</v>
      </c>
      <c r="AE363" s="176">
        <f t="shared" ca="1" si="515"/>
        <v>5.7677321502873596E-5</v>
      </c>
      <c r="AF363" s="176">
        <f t="shared" ca="1" si="516"/>
        <v>1.4419330375718399E-4</v>
      </c>
      <c r="AG363" s="958">
        <f ca="1">AF363*User_sheet!B$77/100</f>
        <v>0</v>
      </c>
      <c r="AH363" s="313"/>
      <c r="AI363" s="883">
        <v>103</v>
      </c>
      <c r="AJ363" s="985"/>
      <c r="AK363" s="1020">
        <f t="shared" ca="1" si="479"/>
        <v>539.34191100108808</v>
      </c>
      <c r="AL363" s="954">
        <f ca="1">AK363/'103'!I$24</f>
        <v>1.2137089417746005</v>
      </c>
      <c r="AM363" s="954">
        <f ca="1">0.8*(AK363*30+'103'!D$17*0.34*30*1)</f>
        <v>16396.559064026114</v>
      </c>
      <c r="AN363" s="954">
        <f ca="1">IF(AM363&lt;User_sheet!B$50,Y363,0)</f>
        <v>0</v>
      </c>
      <c r="AO363" s="954">
        <f ca="1">20-(User_sheet!B$57/('Freestanding '!AK363+'103'!D$17*1*0.34))</f>
        <v>11.656786069210225</v>
      </c>
      <c r="AP363" s="954">
        <f ca="1">IF(AO363&lt;User_sheet!B$59,0,BC363*AA363)</f>
        <v>0</v>
      </c>
      <c r="AQ363" s="985"/>
      <c r="AR363" s="883">
        <v>0.88</v>
      </c>
      <c r="AS363" s="1020">
        <v>2.41</v>
      </c>
      <c r="AT363" s="883">
        <v>1.42</v>
      </c>
      <c r="AU363" s="883">
        <v>3.5</v>
      </c>
      <c r="AV363" s="883">
        <v>3.3</v>
      </c>
      <c r="AW363" s="883">
        <v>11922.428413610982</v>
      </c>
      <c r="AX363" s="883">
        <v>75945.51234133933</v>
      </c>
      <c r="AY363" s="883">
        <v>62673.095488422703</v>
      </c>
      <c r="AZ363" s="883">
        <v>0</v>
      </c>
      <c r="BA363" s="883">
        <v>0</v>
      </c>
      <c r="BB363" s="883">
        <v>0.75</v>
      </c>
      <c r="BC363" s="888">
        <v>0</v>
      </c>
      <c r="BD363" s="889">
        <v>1</v>
      </c>
      <c r="BE363" s="889">
        <v>0</v>
      </c>
      <c r="BF363" s="890">
        <v>0</v>
      </c>
      <c r="BG363" s="883">
        <v>0</v>
      </c>
      <c r="BH363" s="883">
        <v>1</v>
      </c>
      <c r="BI363" s="890">
        <v>0</v>
      </c>
      <c r="BJ363" s="883">
        <v>0</v>
      </c>
      <c r="BK363" s="883">
        <v>1</v>
      </c>
      <c r="BL363" s="883">
        <v>0</v>
      </c>
      <c r="BM363" s="890">
        <v>0</v>
      </c>
      <c r="BN363" s="958">
        <v>7.0000000000000007E-2</v>
      </c>
      <c r="BO363" s="959">
        <v>17.100000000000001</v>
      </c>
      <c r="BP363" s="1018">
        <f t="shared" ca="1" si="517"/>
        <v>148.5</v>
      </c>
      <c r="BQ363" s="1018">
        <f t="shared" ca="1" si="518"/>
        <v>412.25249999999994</v>
      </c>
      <c r="BR363" s="1018">
        <f t="shared" ca="1" si="519"/>
        <v>148.44999999999999</v>
      </c>
      <c r="BS363" s="1018">
        <f t="shared" ca="1" si="520"/>
        <v>100.98500000000001</v>
      </c>
      <c r="BT363" s="1018">
        <f t="shared" ca="1" si="521"/>
        <v>148.5</v>
      </c>
      <c r="BU363" s="1018">
        <f t="shared" ca="1" si="522"/>
        <v>46.489999999999995</v>
      </c>
      <c r="BV363" s="1018">
        <f t="shared" ca="1" si="523"/>
        <v>2.15</v>
      </c>
      <c r="BW363" s="1018">
        <v>0</v>
      </c>
      <c r="BX363" s="1018">
        <f t="shared" ca="1" si="524"/>
        <v>113.34683017121702</v>
      </c>
      <c r="BY363" s="1018">
        <f t="shared" ca="1" si="525"/>
        <v>171.66405294836832</v>
      </c>
      <c r="BZ363" s="1018">
        <f t="shared" ca="1" si="480"/>
        <v>55.84241921677723</v>
      </c>
      <c r="CA363" s="1018">
        <f t="shared" ca="1" si="481"/>
        <v>162.71499988609949</v>
      </c>
      <c r="CB363" s="1018">
        <f t="shared" ca="1" si="526"/>
        <v>4.5133587786259541</v>
      </c>
      <c r="CC363" s="1018">
        <f t="shared" si="482"/>
        <v>0</v>
      </c>
      <c r="CD363" s="1018">
        <f t="shared" ca="1" si="528"/>
        <v>539.34191100108808</v>
      </c>
      <c r="CE363" s="1018">
        <f t="shared" ca="1" si="527"/>
        <v>207.09049888711516</v>
      </c>
      <c r="CF363" s="1018">
        <f t="shared" ca="1" si="483"/>
        <v>22.392972296646096</v>
      </c>
      <c r="CG363" s="1018">
        <f t="shared" ca="1" si="484"/>
        <v>37283.40315502388</v>
      </c>
    </row>
    <row r="364" spans="4:85" x14ac:dyDescent="0.25">
      <c r="D364" s="432"/>
      <c r="E364" s="431"/>
      <c r="F364" s="432"/>
      <c r="G364" s="431"/>
      <c r="H364" s="432"/>
      <c r="I364" s="431"/>
      <c r="J364" s="432"/>
      <c r="K364" s="432"/>
      <c r="L364" s="433"/>
      <c r="M364" s="432" t="s">
        <v>22</v>
      </c>
      <c r="N364" s="434">
        <v>0.47</v>
      </c>
      <c r="O364" s="432" t="s">
        <v>20</v>
      </c>
      <c r="P364" s="434">
        <v>5.6000000000000001E-2</v>
      </c>
      <c r="Q364" s="432" t="s">
        <v>7</v>
      </c>
      <c r="R364" s="434">
        <v>0.60750000000000004</v>
      </c>
      <c r="S364" s="432"/>
      <c r="T364" s="442">
        <v>2.2317360768016429E-4</v>
      </c>
      <c r="U364" s="431"/>
      <c r="V364" s="176">
        <f>T364-T364*Calculation_sheet!F$60</f>
        <v>2.2317360768016429E-4</v>
      </c>
      <c r="W364" s="176">
        <f>V364-V364*Calculation_sheet!E$68</f>
        <v>2.2317360768016429E-4</v>
      </c>
      <c r="X364" s="176">
        <f>W364-W364*Calculation_sheet!E$78</f>
        <v>2.2317360768016429E-4</v>
      </c>
      <c r="Y364" s="34">
        <f>X364/Calculation_sheet!M$67</f>
        <v>2.2317817078341219E-4</v>
      </c>
      <c r="Z364" s="176">
        <f ca="1">IF(AN364&gt;0,Y364*Calculation_sheet!C$87,0)</f>
        <v>0</v>
      </c>
      <c r="AA364" s="176">
        <f t="shared" ca="1" si="486"/>
        <v>2.2317817078341219E-4</v>
      </c>
      <c r="AB364" s="176">
        <f ca="1">IF(AP364&gt;0,AA364*Calculation_sheet!C$94,0)</f>
        <v>0</v>
      </c>
      <c r="AC364" s="176">
        <f t="shared" ca="1" si="515"/>
        <v>2.2317817078341219E-4</v>
      </c>
      <c r="AD364" s="958">
        <f ca="1">AC364*Calculation_sheet!C$99</f>
        <v>1.339069024700473E-4</v>
      </c>
      <c r="AE364" s="176">
        <f t="shared" ca="1" si="515"/>
        <v>8.9271268313364887E-5</v>
      </c>
      <c r="AF364" s="176">
        <f t="shared" ca="1" si="516"/>
        <v>2.2317817078341219E-4</v>
      </c>
      <c r="AG364" s="958">
        <f ca="1">AF364*User_sheet!B$77/100</f>
        <v>0</v>
      </c>
      <c r="AH364" s="313"/>
      <c r="AI364" s="883">
        <v>103</v>
      </c>
      <c r="AJ364" s="985"/>
      <c r="AK364" s="1020">
        <f t="shared" ca="1" si="479"/>
        <v>539.34191100108808</v>
      </c>
      <c r="AL364" s="954">
        <f ca="1">AK364/'103'!I$24</f>
        <v>1.2137089417746005</v>
      </c>
      <c r="AM364" s="954">
        <f ca="1">0.8*(AK364*30+'103'!D$17*0.34*30*1)</f>
        <v>16396.559064026114</v>
      </c>
      <c r="AN364" s="954">
        <f ca="1">IF(AM364&lt;User_sheet!B$50,Y364,0)</f>
        <v>0</v>
      </c>
      <c r="AO364" s="954">
        <f ca="1">20-(User_sheet!B$57/('Freestanding '!AK364+'103'!D$17*1*0.34))</f>
        <v>11.656786069210225</v>
      </c>
      <c r="AP364" s="954">
        <f ca="1">IF(AO364&lt;User_sheet!B$59,0,BC364*AA364)</f>
        <v>0</v>
      </c>
      <c r="AQ364" s="985"/>
      <c r="AR364" s="883">
        <v>0.88</v>
      </c>
      <c r="AS364" s="1020">
        <v>2.41</v>
      </c>
      <c r="AT364" s="883">
        <v>1.42</v>
      </c>
      <c r="AU364" s="883">
        <v>3.5</v>
      </c>
      <c r="AV364" s="883">
        <v>3.3</v>
      </c>
      <c r="AW364" s="883">
        <v>11922.428413610982</v>
      </c>
      <c r="AX364" s="883">
        <v>75945.51234133933</v>
      </c>
      <c r="AY364" s="883">
        <v>62673.095488422703</v>
      </c>
      <c r="AZ364" s="883">
        <v>0</v>
      </c>
      <c r="BA364" s="883">
        <v>0</v>
      </c>
      <c r="BB364" s="883">
        <v>0.75</v>
      </c>
      <c r="BC364" s="888">
        <v>0</v>
      </c>
      <c r="BD364" s="889">
        <v>1</v>
      </c>
      <c r="BE364" s="889">
        <v>0</v>
      </c>
      <c r="BF364" s="890">
        <v>0</v>
      </c>
      <c r="BG364" s="883">
        <v>0</v>
      </c>
      <c r="BH364" s="883">
        <v>1</v>
      </c>
      <c r="BI364" s="890">
        <v>0</v>
      </c>
      <c r="BJ364" s="883">
        <v>0</v>
      </c>
      <c r="BK364" s="883">
        <v>0</v>
      </c>
      <c r="BL364" s="883">
        <v>1</v>
      </c>
      <c r="BM364" s="890">
        <v>0</v>
      </c>
      <c r="BN364" s="958">
        <v>7.0000000000000007E-2</v>
      </c>
      <c r="BO364" s="959">
        <v>17.100000000000001</v>
      </c>
      <c r="BP364" s="1018">
        <f t="shared" ca="1" si="517"/>
        <v>148.5</v>
      </c>
      <c r="BQ364" s="1018">
        <f t="shared" ca="1" si="518"/>
        <v>412.25249999999994</v>
      </c>
      <c r="BR364" s="1018">
        <f t="shared" ca="1" si="519"/>
        <v>148.44999999999999</v>
      </c>
      <c r="BS364" s="1018">
        <f t="shared" ca="1" si="520"/>
        <v>100.98500000000001</v>
      </c>
      <c r="BT364" s="1018">
        <f t="shared" ca="1" si="521"/>
        <v>148.5</v>
      </c>
      <c r="BU364" s="1018">
        <f t="shared" ca="1" si="522"/>
        <v>46.489999999999995</v>
      </c>
      <c r="BV364" s="1018">
        <f t="shared" ca="1" si="523"/>
        <v>2.15</v>
      </c>
      <c r="BW364" s="1018">
        <v>0</v>
      </c>
      <c r="BX364" s="1018">
        <f t="shared" ca="1" si="524"/>
        <v>113.34683017121702</v>
      </c>
      <c r="BY364" s="1018">
        <f t="shared" ca="1" si="525"/>
        <v>171.66405294836832</v>
      </c>
      <c r="BZ364" s="1018">
        <f t="shared" ca="1" si="480"/>
        <v>55.84241921677723</v>
      </c>
      <c r="CA364" s="1018">
        <f t="shared" ca="1" si="481"/>
        <v>162.71499988609949</v>
      </c>
      <c r="CB364" s="1018">
        <f t="shared" ca="1" si="526"/>
        <v>4.5133587786259541</v>
      </c>
      <c r="CC364" s="1018">
        <f t="shared" si="482"/>
        <v>0</v>
      </c>
      <c r="CD364" s="1018">
        <f t="shared" ca="1" si="528"/>
        <v>539.34191100108808</v>
      </c>
      <c r="CE364" s="1018">
        <f t="shared" ca="1" si="527"/>
        <v>207.09049888711516</v>
      </c>
      <c r="CF364" s="1018">
        <f t="shared" ca="1" si="483"/>
        <v>22.392972296646096</v>
      </c>
      <c r="CG364" s="1018">
        <f t="shared" ca="1" si="484"/>
        <v>37283.40315502388</v>
      </c>
    </row>
    <row r="365" spans="4:85" x14ac:dyDescent="0.25">
      <c r="D365" s="432"/>
      <c r="E365" s="431"/>
      <c r="F365" s="432"/>
      <c r="G365" s="431" t="s">
        <v>11</v>
      </c>
      <c r="H365" s="436">
        <v>0.37480000000000002</v>
      </c>
      <c r="I365" s="431" t="s">
        <v>10</v>
      </c>
      <c r="J365" s="436">
        <v>1</v>
      </c>
      <c r="K365" s="435" t="s">
        <v>13</v>
      </c>
      <c r="L365" s="438">
        <v>1</v>
      </c>
      <c r="M365" s="432" t="s">
        <v>7</v>
      </c>
      <c r="N365" s="434">
        <v>0.11900000000000005</v>
      </c>
      <c r="O365" s="432" t="s">
        <v>23</v>
      </c>
      <c r="P365" s="434">
        <v>1</v>
      </c>
      <c r="Q365" s="432" t="s">
        <v>7</v>
      </c>
      <c r="R365" s="434">
        <v>1</v>
      </c>
      <c r="S365" s="432"/>
      <c r="T365" s="442">
        <v>1.6609540892053212E-3</v>
      </c>
      <c r="U365" s="441" t="s">
        <v>49</v>
      </c>
      <c r="V365" s="176">
        <f>T365-T365*Calculation_sheet!F$60</f>
        <v>1.6609540892053212E-3</v>
      </c>
      <c r="W365" s="176">
        <f>V365-V365*Calculation_sheet!E$68</f>
        <v>1.6609540892053212E-3</v>
      </c>
      <c r="X365" s="176">
        <f>W365-W365*Calculation_sheet!E$78</f>
        <v>1.6609540892053212E-3</v>
      </c>
      <c r="Y365" s="34">
        <f>X365/Calculation_sheet!M$67</f>
        <v>1.6609880497846113E-3</v>
      </c>
      <c r="Z365" s="176">
        <f ca="1">IF(AN365&gt;0,Y365*Calculation_sheet!C$87,0)</f>
        <v>0</v>
      </c>
      <c r="AA365" s="176">
        <f t="shared" ca="1" si="486"/>
        <v>1.6609880497846113E-3</v>
      </c>
      <c r="AB365" s="176">
        <f ca="1">IF(AP365&gt;0,AA365*Calculation_sheet!C$94,0)</f>
        <v>0</v>
      </c>
      <c r="AC365" s="176">
        <f t="shared" ca="1" si="515"/>
        <v>1.6609880497846113E-3</v>
      </c>
      <c r="AD365" s="958">
        <f ca="1">AC365*Calculation_sheet!C$99</f>
        <v>9.9659282987076664E-4</v>
      </c>
      <c r="AE365" s="176">
        <f t="shared" ca="1" si="515"/>
        <v>6.6439521991384465E-4</v>
      </c>
      <c r="AF365" s="176">
        <f t="shared" ca="1" si="516"/>
        <v>1.6609880497846113E-3</v>
      </c>
      <c r="AG365" s="958">
        <f ca="1">AF365*User_sheet!B$77/100</f>
        <v>0</v>
      </c>
      <c r="AH365" s="313"/>
      <c r="AI365" s="883">
        <v>103</v>
      </c>
      <c r="AJ365" s="985"/>
      <c r="AK365" s="1020">
        <f t="shared" ca="1" si="479"/>
        <v>539.34191100108808</v>
      </c>
      <c r="AL365" s="954">
        <f ca="1">AK365/'103'!I$24</f>
        <v>1.2137089417746005</v>
      </c>
      <c r="AM365" s="954">
        <f ca="1">0.8*(AK365*30+'103'!D$17*0.34*30*1)</f>
        <v>16396.559064026114</v>
      </c>
      <c r="AN365" s="954">
        <f ca="1">IF(AM365&lt;User_sheet!B$50,Y365,0)</f>
        <v>0</v>
      </c>
      <c r="AO365" s="954">
        <f ca="1">20-(User_sheet!B$57/('Freestanding '!AK365+'103'!D$17*1*0.34))</f>
        <v>11.656786069210225</v>
      </c>
      <c r="AP365" s="954">
        <f ca="1">IF(AO365&lt;User_sheet!B$59,0,BC365*AA365)</f>
        <v>0</v>
      </c>
      <c r="AQ365" s="985"/>
      <c r="AR365" s="883">
        <v>0.88</v>
      </c>
      <c r="AS365" s="1020">
        <v>2.41</v>
      </c>
      <c r="AT365" s="883">
        <v>1.42</v>
      </c>
      <c r="AU365" s="883">
        <v>3.5</v>
      </c>
      <c r="AV365" s="883">
        <v>3.3</v>
      </c>
      <c r="AW365" s="883">
        <v>11922.428413610982</v>
      </c>
      <c r="AX365" s="883">
        <v>75945.51234133933</v>
      </c>
      <c r="AY365" s="883">
        <v>62673.095488422703</v>
      </c>
      <c r="AZ365" s="883">
        <v>0</v>
      </c>
      <c r="BA365" s="883">
        <v>0</v>
      </c>
      <c r="BB365" s="883">
        <v>0.75</v>
      </c>
      <c r="BC365" s="888">
        <v>0</v>
      </c>
      <c r="BD365" s="889">
        <v>0</v>
      </c>
      <c r="BE365" s="889">
        <v>1</v>
      </c>
      <c r="BF365" s="890">
        <v>0</v>
      </c>
      <c r="BG365" s="883">
        <v>0</v>
      </c>
      <c r="BH365" s="883">
        <v>0</v>
      </c>
      <c r="BI365" s="890">
        <v>1</v>
      </c>
      <c r="BJ365" s="883">
        <v>0</v>
      </c>
      <c r="BK365" s="883">
        <v>0</v>
      </c>
      <c r="BL365" s="883">
        <v>1</v>
      </c>
      <c r="BM365" s="890">
        <v>0</v>
      </c>
      <c r="BN365" s="958">
        <v>7.0000000000000007E-2</v>
      </c>
      <c r="BO365" s="959">
        <v>17.100000000000001</v>
      </c>
      <c r="BP365" s="1018">
        <f t="shared" ca="1" si="517"/>
        <v>148.5</v>
      </c>
      <c r="BQ365" s="1018">
        <f t="shared" ca="1" si="518"/>
        <v>412.25249999999994</v>
      </c>
      <c r="BR365" s="1018">
        <f t="shared" ca="1" si="519"/>
        <v>148.44999999999999</v>
      </c>
      <c r="BS365" s="1018">
        <f t="shared" ca="1" si="520"/>
        <v>100.98500000000001</v>
      </c>
      <c r="BT365" s="1018">
        <f t="shared" ca="1" si="521"/>
        <v>148.5</v>
      </c>
      <c r="BU365" s="1018">
        <f t="shared" ca="1" si="522"/>
        <v>46.489999999999995</v>
      </c>
      <c r="BV365" s="1018">
        <f t="shared" ca="1" si="523"/>
        <v>2.15</v>
      </c>
      <c r="BW365" s="1018">
        <v>0</v>
      </c>
      <c r="BX365" s="1018">
        <f t="shared" ca="1" si="524"/>
        <v>113.34683017121702</v>
      </c>
      <c r="BY365" s="1018">
        <f t="shared" ca="1" si="525"/>
        <v>171.66405294836832</v>
      </c>
      <c r="BZ365" s="1018">
        <f t="shared" ca="1" si="480"/>
        <v>55.84241921677723</v>
      </c>
      <c r="CA365" s="1018">
        <f t="shared" ca="1" si="481"/>
        <v>162.71499988609949</v>
      </c>
      <c r="CB365" s="1018">
        <f t="shared" ca="1" si="526"/>
        <v>4.5133587786259541</v>
      </c>
      <c r="CC365" s="1018">
        <f t="shared" si="482"/>
        <v>0</v>
      </c>
      <c r="CD365" s="1018">
        <f t="shared" ca="1" si="528"/>
        <v>539.34191100108808</v>
      </c>
      <c r="CE365" s="1018">
        <f t="shared" ca="1" si="527"/>
        <v>207.09049888711516</v>
      </c>
      <c r="CF365" s="1018">
        <f t="shared" ca="1" si="483"/>
        <v>22.392972296646096</v>
      </c>
      <c r="CG365" s="1018">
        <f t="shared" ca="1" si="484"/>
        <v>37283.40315502388</v>
      </c>
    </row>
    <row r="366" spans="4:85" s="439" customFormat="1" x14ac:dyDescent="0.25">
      <c r="D366" s="440"/>
      <c r="F366" s="440"/>
      <c r="M366" s="440"/>
      <c r="N366" s="440"/>
      <c r="O366" s="440"/>
      <c r="P366" s="440"/>
      <c r="Q366" s="440"/>
      <c r="R366" s="440"/>
      <c r="S366" s="440"/>
      <c r="T366" s="443"/>
      <c r="U366" s="440"/>
      <c r="V366" s="292"/>
      <c r="W366" s="292"/>
      <c r="X366" s="292"/>
      <c r="Y366" s="277"/>
      <c r="Z366" s="292"/>
      <c r="AA366" s="292"/>
      <c r="AB366" s="292"/>
      <c r="AC366" s="292"/>
      <c r="AD366" s="277"/>
      <c r="AE366" s="292"/>
      <c r="AF366" s="292"/>
      <c r="AG366" s="277"/>
      <c r="AH366" s="313"/>
      <c r="AI366" s="887"/>
      <c r="AJ366" s="985"/>
      <c r="AK366" s="1020">
        <f t="shared" si="479"/>
        <v>0</v>
      </c>
      <c r="AL366" s="941"/>
      <c r="AM366" s="941"/>
      <c r="AN366" s="941"/>
      <c r="AO366" s="941"/>
      <c r="AP366" s="941"/>
      <c r="AQ366" s="985"/>
      <c r="AR366" s="887"/>
      <c r="AS366" s="887"/>
      <c r="AT366" s="887"/>
      <c r="AU366" s="887"/>
      <c r="AV366" s="887"/>
      <c r="AW366" s="887"/>
      <c r="AX366" s="887"/>
      <c r="AY366" s="887"/>
      <c r="AZ366" s="887"/>
      <c r="BA366" s="887"/>
      <c r="BB366" s="887"/>
      <c r="BC366" s="45"/>
      <c r="BD366" s="277"/>
      <c r="BE366" s="277"/>
      <c r="BF366" s="49"/>
      <c r="BG366" s="887"/>
      <c r="BH366" s="887"/>
      <c r="BI366" s="49"/>
      <c r="BJ366" s="887"/>
      <c r="BK366" s="887"/>
      <c r="BL366" s="887"/>
      <c r="BM366" s="49"/>
      <c r="BN366" s="277"/>
      <c r="BO366" s="49"/>
      <c r="BP366" s="928"/>
      <c r="BQ366" s="928"/>
      <c r="BR366" s="928"/>
      <c r="BS366" s="928"/>
      <c r="BT366" s="928"/>
      <c r="BU366" s="928"/>
      <c r="BV366" s="928"/>
      <c r="BW366" s="928"/>
      <c r="BX366" s="928"/>
      <c r="BY366" s="928"/>
      <c r="BZ366" s="928"/>
      <c r="CA366" s="928"/>
      <c r="CB366" s="928"/>
      <c r="CC366" s="928"/>
      <c r="CD366" s="928"/>
      <c r="CE366" s="928"/>
      <c r="CF366" s="928"/>
      <c r="CG366" s="928"/>
    </row>
    <row r="367" spans="4:85" x14ac:dyDescent="0.25">
      <c r="D367" s="1"/>
      <c r="F367" s="1"/>
      <c r="G367" s="3"/>
      <c r="H367" s="6"/>
      <c r="I367" s="3"/>
      <c r="J367" s="6"/>
      <c r="K367" s="8"/>
      <c r="L367" s="6"/>
      <c r="M367" s="1"/>
      <c r="N367" s="1"/>
      <c r="O367" s="1"/>
      <c r="P367" s="1"/>
      <c r="Q367" s="1" t="s">
        <v>16</v>
      </c>
      <c r="R367" s="4"/>
      <c r="S367" s="1"/>
      <c r="T367" s="77"/>
      <c r="U367" s="294"/>
      <c r="X367" s="176">
        <f>W357-X357</f>
        <v>0</v>
      </c>
      <c r="Y367" s="34">
        <f>X367/Calculation_sheet!M$67</f>
        <v>0</v>
      </c>
      <c r="Z367" s="176">
        <f ca="1">IF(AN367&gt;0,Y367*Calculation_sheet!C$87,0)</f>
        <v>0</v>
      </c>
      <c r="AA367" s="176">
        <f t="shared" ca="1" si="486"/>
        <v>0</v>
      </c>
      <c r="AB367" s="176">
        <f ca="1">IF(AP367&gt;0,AA367*Calculation_sheet!C$94,0)</f>
        <v>0</v>
      </c>
      <c r="AC367" s="176">
        <f t="shared" ref="AC367:AE375" ca="1" si="529">AA367-AB367</f>
        <v>0</v>
      </c>
      <c r="AD367" s="958">
        <f ca="1">AC367*Calculation_sheet!C$99</f>
        <v>0</v>
      </c>
      <c r="AE367" s="176">
        <f t="shared" ca="1" si="529"/>
        <v>0</v>
      </c>
      <c r="AF367" s="176">
        <f t="shared" ref="AF367:AF375" ca="1" si="530">Y367-AB367</f>
        <v>0</v>
      </c>
      <c r="AG367" s="958">
        <f ca="1">AF367*User_sheet!B$77/100</f>
        <v>0</v>
      </c>
      <c r="AH367" s="313"/>
      <c r="AI367" s="883">
        <v>103</v>
      </c>
      <c r="AJ367" s="985"/>
      <c r="AK367" s="1020">
        <f t="shared" ca="1" si="479"/>
        <v>401.2676604922288</v>
      </c>
      <c r="AL367" s="954">
        <f ca="1">AK367/'103'!I$24</f>
        <v>0.90299332881514216</v>
      </c>
      <c r="AM367" s="954">
        <f ca="1">0.8*(AK367*30+'103'!D$17*0.34*30*1)</f>
        <v>13082.777051813491</v>
      </c>
      <c r="AN367" s="954">
        <f ca="1">IF(AM367&lt;User_sheet!B$50,Y367,0)</f>
        <v>0</v>
      </c>
      <c r="AO367" s="954">
        <f ca="1">20-(User_sheet!B$57/('Freestanding '!AK367+'103'!D$17*1*0.34))</f>
        <v>9.5435044518291132</v>
      </c>
      <c r="AP367" s="954">
        <f ca="1">IF(AO367&lt;User_sheet!B$59,0,BC367*AA367)</f>
        <v>0</v>
      </c>
      <c r="AQ367" s="985"/>
      <c r="AR367" s="883">
        <v>0.32</v>
      </c>
      <c r="AS367" s="1020">
        <v>2.41</v>
      </c>
      <c r="AT367" s="883">
        <v>1.42</v>
      </c>
      <c r="AU367" s="883">
        <v>2</v>
      </c>
      <c r="AV367" s="883">
        <v>3.3</v>
      </c>
      <c r="AW367" s="883">
        <v>14356</v>
      </c>
      <c r="AX367" s="883">
        <v>75945.51234133933</v>
      </c>
      <c r="AY367" s="883">
        <v>62673.095488422703</v>
      </c>
      <c r="AZ367" s="886">
        <v>0</v>
      </c>
      <c r="BA367" s="886">
        <v>0</v>
      </c>
      <c r="BB367" s="883">
        <v>0.6</v>
      </c>
      <c r="BC367" s="888">
        <v>1</v>
      </c>
      <c r="BD367" s="889">
        <v>0</v>
      </c>
      <c r="BE367" s="889">
        <v>0</v>
      </c>
      <c r="BF367" s="890">
        <v>0</v>
      </c>
      <c r="BG367" s="883">
        <v>1</v>
      </c>
      <c r="BH367" s="883">
        <v>0</v>
      </c>
      <c r="BI367" s="890">
        <v>0</v>
      </c>
      <c r="BJ367" s="883">
        <v>1</v>
      </c>
      <c r="BK367" s="883">
        <v>0</v>
      </c>
      <c r="BL367" s="883">
        <v>0</v>
      </c>
      <c r="BM367" s="890">
        <v>0</v>
      </c>
      <c r="BN367" s="958">
        <v>7.0000000000000007E-2</v>
      </c>
      <c r="BO367" s="959">
        <v>17.100000000000001</v>
      </c>
      <c r="BP367" s="1018">
        <f t="shared" ref="BP367:BP375" ca="1" si="531">INDIRECT("'"&amp;AI367&amp;"'!"&amp;"B2")</f>
        <v>148.5</v>
      </c>
      <c r="BQ367" s="1018">
        <f t="shared" ref="BQ367:BQ375" ca="1" si="532">INDIRECT("'"&amp;AI367&amp;"'!"&amp;"C12")+INDIRECT("'"&amp;AI367&amp;"'!"&amp;"C13")+INDIRECT("'"&amp;AI367&amp;"'!"&amp;"C14")+INDIRECT("'"&amp;AI367&amp;"'!"&amp;"C15")+INDIRECT("'"&amp;AI367&amp;"'!"&amp;"C17")</f>
        <v>412.25249999999994</v>
      </c>
      <c r="BR367" s="1018">
        <f t="shared" ref="BR367:BR375" ca="1" si="533">INDIRECT("'"&amp;AI367&amp;"'!"&amp;"G5")</f>
        <v>148.44999999999999</v>
      </c>
      <c r="BS367" s="1018">
        <f t="shared" ref="BS367:BS375" ca="1" si="534">INDIRECT("'"&amp;AI367&amp;"'!"&amp;"G4")</f>
        <v>100.98500000000001</v>
      </c>
      <c r="BT367" s="1018">
        <f t="shared" ref="BT367:BT375" ca="1" si="535">INDIRECT("'"&amp;AI367&amp;"'!"&amp;"G6")</f>
        <v>148.5</v>
      </c>
      <c r="BU367" s="1018">
        <f t="shared" ref="BU367:BU375" ca="1" si="536">INDIRECT("'"&amp;AI367&amp;"'!"&amp;"G2")</f>
        <v>46.489999999999995</v>
      </c>
      <c r="BV367" s="1018">
        <f t="shared" ref="BV367:BV375" ca="1" si="537">INDIRECT("'"&amp;AI367&amp;"'!"&amp;"G3")</f>
        <v>2.15</v>
      </c>
      <c r="BW367" s="1018">
        <v>0</v>
      </c>
      <c r="BX367" s="1018">
        <f t="shared" ref="BX367:BX375" ca="1" si="538">IF(BR367=0,0,1/(1/(BR367*$BY$3)+1/(BR367*AR367)+1/(BR367*$BY$4)))</f>
        <v>45.00757958564931</v>
      </c>
      <c r="BY367" s="1018">
        <f t="shared" ref="BY367:BY375" ca="1" si="539">IF(BS367=0,0,1/(1/(BS367*$BY$3)+1/(BS367*AS367)+1/(BS367*$BY$4)))</f>
        <v>171.66405294836832</v>
      </c>
      <c r="BZ367" s="1018">
        <f t="shared" ca="1" si="480"/>
        <v>55.84241921677723</v>
      </c>
      <c r="CA367" s="1018">
        <f t="shared" ca="1" si="481"/>
        <v>92.979999962808009</v>
      </c>
      <c r="CB367" s="1018">
        <f t="shared" ref="CB367:CB375" ca="1" si="540">IF(BV367=0,0,1/(1/(BV367*$BY$3)+1/(BV367*AV367)+1/(BV367*$BY$4)))</f>
        <v>4.5133587786259541</v>
      </c>
      <c r="CC367" s="1018">
        <f t="shared" si="482"/>
        <v>0</v>
      </c>
      <c r="CD367" s="1018">
        <f ca="1">SUM(BX367:CC367)+(BR367+BS367+BT367+BU367+BV367)*BN367</f>
        <v>401.2676604922288</v>
      </c>
      <c r="CE367" s="1018">
        <f t="shared" ref="CE367:CE375" ca="1" si="541">0.34*BO367*(1/25)^0.66*(BR367+BS367+BU367+BV367)</f>
        <v>207.09049888711516</v>
      </c>
      <c r="CF367" s="1018">
        <f t="shared" ca="1" si="483"/>
        <v>18.25074478138032</v>
      </c>
      <c r="CG367" s="1018">
        <f t="shared" ca="1" si="484"/>
        <v>30386.760031206977</v>
      </c>
    </row>
    <row r="368" spans="4:85" x14ac:dyDescent="0.25">
      <c r="D368" s="1"/>
      <c r="F368" s="1"/>
      <c r="G368" s="3"/>
      <c r="H368" s="6"/>
      <c r="I368" s="3"/>
      <c r="J368" s="6"/>
      <c r="K368" s="8"/>
      <c r="L368" s="6"/>
      <c r="M368" s="1"/>
      <c r="N368" s="1"/>
      <c r="O368" s="1" t="s">
        <v>18</v>
      </c>
      <c r="P368" s="4"/>
      <c r="Q368" s="1" t="s">
        <v>7</v>
      </c>
      <c r="R368" s="4"/>
      <c r="S368" s="1"/>
      <c r="T368" s="77"/>
      <c r="U368" s="294"/>
      <c r="X368" s="176">
        <f t="shared" ref="X368:X375" si="542">W358-X358</f>
        <v>0</v>
      </c>
      <c r="Y368" s="34">
        <f>X368/Calculation_sheet!M$67</f>
        <v>0</v>
      </c>
      <c r="Z368" s="176">
        <f ca="1">IF(AN368&gt;0,Y368*Calculation_sheet!C$87,0)</f>
        <v>0</v>
      </c>
      <c r="AA368" s="176">
        <f t="shared" ca="1" si="486"/>
        <v>0</v>
      </c>
      <c r="AB368" s="176">
        <f ca="1">IF(AP368&gt;0,AA368*Calculation_sheet!C$94,0)</f>
        <v>0</v>
      </c>
      <c r="AC368" s="176">
        <f t="shared" ca="1" si="529"/>
        <v>0</v>
      </c>
      <c r="AD368" s="958">
        <f ca="1">AC368*Calculation_sheet!C$99</f>
        <v>0</v>
      </c>
      <c r="AE368" s="176">
        <f t="shared" ca="1" si="529"/>
        <v>0</v>
      </c>
      <c r="AF368" s="176">
        <f t="shared" ca="1" si="530"/>
        <v>0</v>
      </c>
      <c r="AG368" s="958">
        <f ca="1">AF368*User_sheet!B$77/100</f>
        <v>0</v>
      </c>
      <c r="AH368" s="313"/>
      <c r="AI368" s="883">
        <v>103</v>
      </c>
      <c r="AJ368" s="985"/>
      <c r="AK368" s="1020">
        <f t="shared" ca="1" si="479"/>
        <v>401.2676604922288</v>
      </c>
      <c r="AL368" s="954">
        <f ca="1">AK368/'103'!I$24</f>
        <v>0.90299332881514216</v>
      </c>
      <c r="AM368" s="954">
        <f ca="1">0.8*(AK368*30+'103'!D$17*0.34*30*1)</f>
        <v>13082.777051813491</v>
      </c>
      <c r="AN368" s="954">
        <f ca="1">IF(AM368&lt;User_sheet!B$50,Y368,0)</f>
        <v>0</v>
      </c>
      <c r="AO368" s="954">
        <f ca="1">20-(User_sheet!B$57/('Freestanding '!AK368+'103'!D$17*1*0.34))</f>
        <v>9.5435044518291132</v>
      </c>
      <c r="AP368" s="954">
        <f ca="1">IF(AO368&lt;User_sheet!B$59,0,BC368*AA368)</f>
        <v>0</v>
      </c>
      <c r="AQ368" s="985"/>
      <c r="AR368" s="883">
        <v>0.32</v>
      </c>
      <c r="AS368" s="1020">
        <v>2.41</v>
      </c>
      <c r="AT368" s="883">
        <v>1.42</v>
      </c>
      <c r="AU368" s="883">
        <v>2</v>
      </c>
      <c r="AV368" s="883">
        <v>3.3</v>
      </c>
      <c r="AW368" s="883">
        <v>14356</v>
      </c>
      <c r="AX368" s="883">
        <v>75945.51234133933</v>
      </c>
      <c r="AY368" s="883">
        <v>62673.095488422703</v>
      </c>
      <c r="AZ368" s="886">
        <v>0</v>
      </c>
      <c r="BA368" s="886">
        <v>0</v>
      </c>
      <c r="BB368" s="883">
        <v>0.6</v>
      </c>
      <c r="BC368" s="888">
        <v>1</v>
      </c>
      <c r="BD368" s="889">
        <v>0</v>
      </c>
      <c r="BE368" s="889">
        <v>0</v>
      </c>
      <c r="BF368" s="890">
        <v>0</v>
      </c>
      <c r="BG368" s="883">
        <v>1</v>
      </c>
      <c r="BH368" s="883">
        <v>0</v>
      </c>
      <c r="BI368" s="890">
        <v>0</v>
      </c>
      <c r="BJ368" s="883">
        <v>0</v>
      </c>
      <c r="BK368" s="883">
        <v>0</v>
      </c>
      <c r="BL368" s="883">
        <v>1</v>
      </c>
      <c r="BM368" s="890">
        <v>0</v>
      </c>
      <c r="BN368" s="958">
        <v>7.0000000000000007E-2</v>
      </c>
      <c r="BO368" s="959">
        <v>17.100000000000001</v>
      </c>
      <c r="BP368" s="1018">
        <f t="shared" ca="1" si="531"/>
        <v>148.5</v>
      </c>
      <c r="BQ368" s="1018">
        <f t="shared" ca="1" si="532"/>
        <v>412.25249999999994</v>
      </c>
      <c r="BR368" s="1018">
        <f t="shared" ca="1" si="533"/>
        <v>148.44999999999999</v>
      </c>
      <c r="BS368" s="1018">
        <f t="shared" ca="1" si="534"/>
        <v>100.98500000000001</v>
      </c>
      <c r="BT368" s="1018">
        <f t="shared" ca="1" si="535"/>
        <v>148.5</v>
      </c>
      <c r="BU368" s="1018">
        <f t="shared" ca="1" si="536"/>
        <v>46.489999999999995</v>
      </c>
      <c r="BV368" s="1018">
        <f t="shared" ca="1" si="537"/>
        <v>2.15</v>
      </c>
      <c r="BW368" s="1018">
        <v>0</v>
      </c>
      <c r="BX368" s="1018">
        <f t="shared" ca="1" si="538"/>
        <v>45.00757958564931</v>
      </c>
      <c r="BY368" s="1018">
        <f t="shared" ca="1" si="539"/>
        <v>171.66405294836832</v>
      </c>
      <c r="BZ368" s="1018">
        <f t="shared" ca="1" si="480"/>
        <v>55.84241921677723</v>
      </c>
      <c r="CA368" s="1018">
        <f t="shared" ca="1" si="481"/>
        <v>92.979999962808009</v>
      </c>
      <c r="CB368" s="1018">
        <f t="shared" ca="1" si="540"/>
        <v>4.5133587786259541</v>
      </c>
      <c r="CC368" s="1018">
        <f t="shared" si="482"/>
        <v>0</v>
      </c>
      <c r="CD368" s="1018">
        <f t="shared" ref="CD368:CD375" ca="1" si="543">SUM(BX368:CC368)+(BR368+BS368+BT368+BU368+BV368)*BN368</f>
        <v>401.2676604922288</v>
      </c>
      <c r="CE368" s="1018">
        <f t="shared" ca="1" si="541"/>
        <v>207.09049888711516</v>
      </c>
      <c r="CF368" s="1018">
        <f t="shared" ca="1" si="483"/>
        <v>18.25074478138032</v>
      </c>
      <c r="CG368" s="1018">
        <f t="shared" ca="1" si="484"/>
        <v>30386.760031206977</v>
      </c>
    </row>
    <row r="369" spans="4:85" x14ac:dyDescent="0.25">
      <c r="D369" s="1"/>
      <c r="F369" s="1"/>
      <c r="G369" s="3"/>
      <c r="H369" s="6"/>
      <c r="I369" s="3"/>
      <c r="J369" s="6"/>
      <c r="K369" s="8"/>
      <c r="L369" s="6"/>
      <c r="M369" s="1"/>
      <c r="N369" s="1"/>
      <c r="O369" s="1"/>
      <c r="P369" s="1"/>
      <c r="Q369" s="1" t="s">
        <v>16</v>
      </c>
      <c r="R369" s="4"/>
      <c r="S369" s="1"/>
      <c r="T369" s="77"/>
      <c r="U369" s="294"/>
      <c r="X369" s="176">
        <f t="shared" si="542"/>
        <v>0</v>
      </c>
      <c r="Y369" s="34">
        <f>X369/Calculation_sheet!M$67</f>
        <v>0</v>
      </c>
      <c r="Z369" s="176">
        <f ca="1">IF(AN369&gt;0,Y369*Calculation_sheet!C$87,0)</f>
        <v>0</v>
      </c>
      <c r="AA369" s="176">
        <f t="shared" ca="1" si="486"/>
        <v>0</v>
      </c>
      <c r="AB369" s="176">
        <f ca="1">IF(AP369&gt;0,AA369*Calculation_sheet!C$94,0)</f>
        <v>0</v>
      </c>
      <c r="AC369" s="176">
        <f t="shared" ca="1" si="529"/>
        <v>0</v>
      </c>
      <c r="AD369" s="958">
        <f ca="1">AC369*Calculation_sheet!C$99</f>
        <v>0</v>
      </c>
      <c r="AE369" s="176">
        <f t="shared" ca="1" si="529"/>
        <v>0</v>
      </c>
      <c r="AF369" s="176">
        <f t="shared" ca="1" si="530"/>
        <v>0</v>
      </c>
      <c r="AG369" s="958">
        <f ca="1">AF369*User_sheet!B$77/100</f>
        <v>0</v>
      </c>
      <c r="AH369" s="313"/>
      <c r="AI369" s="883">
        <v>103</v>
      </c>
      <c r="AJ369" s="985"/>
      <c r="AK369" s="1020">
        <f t="shared" ca="1" si="479"/>
        <v>401.2676604922288</v>
      </c>
      <c r="AL369" s="954">
        <f ca="1">AK369/'103'!I$24</f>
        <v>0.90299332881514216</v>
      </c>
      <c r="AM369" s="954">
        <f ca="1">0.8*(AK369*30+'103'!D$17*0.34*30*1)</f>
        <v>13082.777051813491</v>
      </c>
      <c r="AN369" s="954">
        <f ca="1">IF(AM369&lt;User_sheet!B$50,Y369,0)</f>
        <v>0</v>
      </c>
      <c r="AO369" s="954">
        <f ca="1">20-(User_sheet!B$57/('Freestanding '!AK369+'103'!D$17*1*0.34))</f>
        <v>9.5435044518291132</v>
      </c>
      <c r="AP369" s="954">
        <f ca="1">IF(AO369&lt;User_sheet!B$59,0,BC369*AA369)</f>
        <v>0</v>
      </c>
      <c r="AQ369" s="985"/>
      <c r="AR369" s="883">
        <v>0.32</v>
      </c>
      <c r="AS369" s="1020">
        <v>2.41</v>
      </c>
      <c r="AT369" s="883">
        <v>1.42</v>
      </c>
      <c r="AU369" s="883">
        <v>2</v>
      </c>
      <c r="AV369" s="883">
        <v>3.3</v>
      </c>
      <c r="AW369" s="883">
        <v>14356</v>
      </c>
      <c r="AX369" s="883">
        <v>75945.51234133933</v>
      </c>
      <c r="AY369" s="883">
        <v>62673.095488422703</v>
      </c>
      <c r="AZ369" s="886">
        <v>0</v>
      </c>
      <c r="BA369" s="886">
        <v>0</v>
      </c>
      <c r="BB369" s="883">
        <v>0.6</v>
      </c>
      <c r="BC369" s="888">
        <v>1</v>
      </c>
      <c r="BD369" s="889">
        <v>0</v>
      </c>
      <c r="BE369" s="889">
        <v>0</v>
      </c>
      <c r="BF369" s="890">
        <v>0</v>
      </c>
      <c r="BG369" s="883">
        <v>0</v>
      </c>
      <c r="BH369" s="883">
        <v>1</v>
      </c>
      <c r="BI369" s="890">
        <v>0</v>
      </c>
      <c r="BJ369" s="883">
        <v>1</v>
      </c>
      <c r="BK369" s="883">
        <v>0</v>
      </c>
      <c r="BL369" s="883">
        <v>0</v>
      </c>
      <c r="BM369" s="890">
        <v>0</v>
      </c>
      <c r="BN369" s="958">
        <v>7.0000000000000007E-2</v>
      </c>
      <c r="BO369" s="959">
        <v>17.100000000000001</v>
      </c>
      <c r="BP369" s="1018">
        <f t="shared" ca="1" si="531"/>
        <v>148.5</v>
      </c>
      <c r="BQ369" s="1018">
        <f t="shared" ca="1" si="532"/>
        <v>412.25249999999994</v>
      </c>
      <c r="BR369" s="1018">
        <f t="shared" ca="1" si="533"/>
        <v>148.44999999999999</v>
      </c>
      <c r="BS369" s="1018">
        <f t="shared" ca="1" si="534"/>
        <v>100.98500000000001</v>
      </c>
      <c r="BT369" s="1018">
        <f t="shared" ca="1" si="535"/>
        <v>148.5</v>
      </c>
      <c r="BU369" s="1018">
        <f t="shared" ca="1" si="536"/>
        <v>46.489999999999995</v>
      </c>
      <c r="BV369" s="1018">
        <f t="shared" ca="1" si="537"/>
        <v>2.15</v>
      </c>
      <c r="BW369" s="1018">
        <v>0</v>
      </c>
      <c r="BX369" s="1018">
        <f t="shared" ca="1" si="538"/>
        <v>45.00757958564931</v>
      </c>
      <c r="BY369" s="1018">
        <f t="shared" ca="1" si="539"/>
        <v>171.66405294836832</v>
      </c>
      <c r="BZ369" s="1018">
        <f t="shared" ca="1" si="480"/>
        <v>55.84241921677723</v>
      </c>
      <c r="CA369" s="1018">
        <f t="shared" ca="1" si="481"/>
        <v>92.979999962808009</v>
      </c>
      <c r="CB369" s="1018">
        <f t="shared" ca="1" si="540"/>
        <v>4.5133587786259541</v>
      </c>
      <c r="CC369" s="1018">
        <f t="shared" si="482"/>
        <v>0</v>
      </c>
      <c r="CD369" s="1018">
        <f t="shared" ca="1" si="543"/>
        <v>401.2676604922288</v>
      </c>
      <c r="CE369" s="1018">
        <f t="shared" ca="1" si="541"/>
        <v>207.09049888711516</v>
      </c>
      <c r="CF369" s="1018">
        <f t="shared" ca="1" si="483"/>
        <v>18.25074478138032</v>
      </c>
      <c r="CG369" s="1018">
        <f t="shared" ca="1" si="484"/>
        <v>30386.760031206977</v>
      </c>
    </row>
    <row r="370" spans="4:85" x14ac:dyDescent="0.25">
      <c r="D370" s="1"/>
      <c r="F370" s="1"/>
      <c r="G370" s="3"/>
      <c r="H370" s="6"/>
      <c r="I370" s="3"/>
      <c r="J370" s="3" t="s">
        <v>144</v>
      </c>
      <c r="K370" s="8"/>
      <c r="L370" s="6"/>
      <c r="M370" s="1" t="s">
        <v>16</v>
      </c>
      <c r="N370" s="4"/>
      <c r="O370" s="1" t="s">
        <v>19</v>
      </c>
      <c r="P370" s="4"/>
      <c r="Q370" s="1" t="s">
        <v>7</v>
      </c>
      <c r="R370" s="4"/>
      <c r="S370" s="1"/>
      <c r="T370" s="77"/>
      <c r="U370" s="294"/>
      <c r="X370" s="176">
        <f t="shared" si="542"/>
        <v>0</v>
      </c>
      <c r="Y370" s="34">
        <f>X370/Calculation_sheet!M$67</f>
        <v>0</v>
      </c>
      <c r="Z370" s="176">
        <f ca="1">IF(AN370&gt;0,Y370*Calculation_sheet!C$87,0)</f>
        <v>0</v>
      </c>
      <c r="AA370" s="176">
        <f t="shared" ca="1" si="486"/>
        <v>0</v>
      </c>
      <c r="AB370" s="176">
        <f ca="1">IF(AP370&gt;0,AA370*Calculation_sheet!C$94,0)</f>
        <v>0</v>
      </c>
      <c r="AC370" s="176">
        <f t="shared" ca="1" si="529"/>
        <v>0</v>
      </c>
      <c r="AD370" s="958">
        <f ca="1">AC370*Calculation_sheet!C$99</f>
        <v>0</v>
      </c>
      <c r="AE370" s="176">
        <f t="shared" ca="1" si="529"/>
        <v>0</v>
      </c>
      <c r="AF370" s="176">
        <f t="shared" ca="1" si="530"/>
        <v>0</v>
      </c>
      <c r="AG370" s="958">
        <f ca="1">AF370*User_sheet!B$77/100</f>
        <v>0</v>
      </c>
      <c r="AH370" s="313"/>
      <c r="AI370" s="883">
        <v>103</v>
      </c>
      <c r="AJ370" s="985"/>
      <c r="AK370" s="1020">
        <f t="shared" ca="1" si="479"/>
        <v>401.2676604922288</v>
      </c>
      <c r="AL370" s="954">
        <f ca="1">AK370/'103'!I$24</f>
        <v>0.90299332881514216</v>
      </c>
      <c r="AM370" s="954">
        <f ca="1">0.8*(AK370*30+'103'!D$17*0.34*30*1)</f>
        <v>13082.777051813491</v>
      </c>
      <c r="AN370" s="954">
        <f ca="1">IF(AM370&lt;User_sheet!B$50,Y370,0)</f>
        <v>0</v>
      </c>
      <c r="AO370" s="954">
        <f ca="1">20-(User_sheet!B$57/('Freestanding '!AK370+'103'!D$17*1*0.34))</f>
        <v>9.5435044518291132</v>
      </c>
      <c r="AP370" s="954">
        <f ca="1">IF(AO370&lt;User_sheet!B$59,0,BC370*AA370)</f>
        <v>0</v>
      </c>
      <c r="AQ370" s="985"/>
      <c r="AR370" s="883">
        <v>0.32</v>
      </c>
      <c r="AS370" s="1020">
        <v>2.41</v>
      </c>
      <c r="AT370" s="883">
        <v>1.42</v>
      </c>
      <c r="AU370" s="883">
        <v>2</v>
      </c>
      <c r="AV370" s="883">
        <v>3.3</v>
      </c>
      <c r="AW370" s="883">
        <v>14356</v>
      </c>
      <c r="AX370" s="883">
        <v>75945.51234133933</v>
      </c>
      <c r="AY370" s="883">
        <v>62673.095488422703</v>
      </c>
      <c r="AZ370" s="886">
        <v>0</v>
      </c>
      <c r="BA370" s="886">
        <v>0</v>
      </c>
      <c r="BB370" s="883">
        <v>0.6</v>
      </c>
      <c r="BC370" s="888">
        <v>1</v>
      </c>
      <c r="BD370" s="889">
        <v>0</v>
      </c>
      <c r="BE370" s="889">
        <v>0</v>
      </c>
      <c r="BF370" s="890">
        <v>0</v>
      </c>
      <c r="BG370" s="883">
        <v>0</v>
      </c>
      <c r="BH370" s="883">
        <v>1</v>
      </c>
      <c r="BI370" s="890">
        <v>0</v>
      </c>
      <c r="BJ370" s="883">
        <v>0</v>
      </c>
      <c r="BK370" s="883">
        <v>0</v>
      </c>
      <c r="BL370" s="883">
        <v>1</v>
      </c>
      <c r="BM370" s="890">
        <v>0</v>
      </c>
      <c r="BN370" s="958">
        <v>7.0000000000000007E-2</v>
      </c>
      <c r="BO370" s="959">
        <v>17.100000000000001</v>
      </c>
      <c r="BP370" s="1018">
        <f t="shared" ca="1" si="531"/>
        <v>148.5</v>
      </c>
      <c r="BQ370" s="1018">
        <f t="shared" ca="1" si="532"/>
        <v>412.25249999999994</v>
      </c>
      <c r="BR370" s="1018">
        <f t="shared" ca="1" si="533"/>
        <v>148.44999999999999</v>
      </c>
      <c r="BS370" s="1018">
        <f t="shared" ca="1" si="534"/>
        <v>100.98500000000001</v>
      </c>
      <c r="BT370" s="1018">
        <f t="shared" ca="1" si="535"/>
        <v>148.5</v>
      </c>
      <c r="BU370" s="1018">
        <f t="shared" ca="1" si="536"/>
        <v>46.489999999999995</v>
      </c>
      <c r="BV370" s="1018">
        <f t="shared" ca="1" si="537"/>
        <v>2.15</v>
      </c>
      <c r="BW370" s="1018">
        <v>0</v>
      </c>
      <c r="BX370" s="1018">
        <f t="shared" ca="1" si="538"/>
        <v>45.00757958564931</v>
      </c>
      <c r="BY370" s="1018">
        <f t="shared" ca="1" si="539"/>
        <v>171.66405294836832</v>
      </c>
      <c r="BZ370" s="1018">
        <f t="shared" ca="1" si="480"/>
        <v>55.84241921677723</v>
      </c>
      <c r="CA370" s="1018">
        <f t="shared" ca="1" si="481"/>
        <v>92.979999962808009</v>
      </c>
      <c r="CB370" s="1018">
        <f t="shared" ca="1" si="540"/>
        <v>4.5133587786259541</v>
      </c>
      <c r="CC370" s="1018">
        <f t="shared" si="482"/>
        <v>0</v>
      </c>
      <c r="CD370" s="1018">
        <f t="shared" ca="1" si="543"/>
        <v>401.2676604922288</v>
      </c>
      <c r="CE370" s="1018">
        <f t="shared" ca="1" si="541"/>
        <v>207.09049888711516</v>
      </c>
      <c r="CF370" s="1018">
        <f t="shared" ca="1" si="483"/>
        <v>18.25074478138032</v>
      </c>
      <c r="CG370" s="1018">
        <f t="shared" ca="1" si="484"/>
        <v>30386.760031206977</v>
      </c>
    </row>
    <row r="371" spans="4:85" x14ac:dyDescent="0.25">
      <c r="D371" s="1"/>
      <c r="F371" s="1"/>
      <c r="G371" s="3"/>
      <c r="H371" s="6"/>
      <c r="I371" s="3"/>
      <c r="J371" s="6" t="s">
        <v>190</v>
      </c>
      <c r="K371" s="8"/>
      <c r="L371" s="6"/>
      <c r="M371" s="1"/>
      <c r="N371" s="1"/>
      <c r="O371" s="1"/>
      <c r="P371" s="1"/>
      <c r="Q371" s="1" t="s">
        <v>22</v>
      </c>
      <c r="R371" s="4"/>
      <c r="S371" s="1"/>
      <c r="T371" s="77"/>
      <c r="U371" s="294"/>
      <c r="X371" s="176">
        <f t="shared" si="542"/>
        <v>0</v>
      </c>
      <c r="Y371" s="34">
        <f>X371/Calculation_sheet!M$67</f>
        <v>0</v>
      </c>
      <c r="Z371" s="176">
        <f ca="1">IF(AN371&gt;0,Y371*Calculation_sheet!C$87,0)</f>
        <v>0</v>
      </c>
      <c r="AA371" s="176">
        <f t="shared" ca="1" si="486"/>
        <v>0</v>
      </c>
      <c r="AB371" s="176">
        <f ca="1">IF(AP371&gt;0,AA371*Calculation_sheet!C$94,0)</f>
        <v>0</v>
      </c>
      <c r="AC371" s="176">
        <f t="shared" ca="1" si="529"/>
        <v>0</v>
      </c>
      <c r="AD371" s="958">
        <f ca="1">AC371*Calculation_sheet!C$99</f>
        <v>0</v>
      </c>
      <c r="AE371" s="176">
        <f t="shared" ca="1" si="529"/>
        <v>0</v>
      </c>
      <c r="AF371" s="176">
        <f t="shared" ca="1" si="530"/>
        <v>0</v>
      </c>
      <c r="AG371" s="958">
        <f ca="1">AF371*User_sheet!B$77/100</f>
        <v>0</v>
      </c>
      <c r="AH371" s="313"/>
      <c r="AI371" s="883">
        <v>103</v>
      </c>
      <c r="AJ371" s="985"/>
      <c r="AK371" s="1020">
        <f t="shared" ca="1" si="479"/>
        <v>401.2676604922288</v>
      </c>
      <c r="AL371" s="954">
        <f ca="1">AK371/'103'!I$24</f>
        <v>0.90299332881514216</v>
      </c>
      <c r="AM371" s="954">
        <f ca="1">0.8*(AK371*30+'103'!D$17*0.34*30*1)</f>
        <v>13082.777051813491</v>
      </c>
      <c r="AN371" s="954">
        <f ca="1">IF(AM371&lt;User_sheet!B$50,Y371,0)</f>
        <v>0</v>
      </c>
      <c r="AO371" s="954">
        <f ca="1">20-(User_sheet!B$57/('Freestanding '!AK371+'103'!D$17*1*0.34))</f>
        <v>9.5435044518291132</v>
      </c>
      <c r="AP371" s="954">
        <f ca="1">IF(AO371&lt;User_sheet!B$59,0,BC371*AA371)</f>
        <v>0</v>
      </c>
      <c r="AQ371" s="985"/>
      <c r="AR371" s="883">
        <v>0.32</v>
      </c>
      <c r="AS371" s="1020">
        <v>2.41</v>
      </c>
      <c r="AT371" s="883">
        <v>1.42</v>
      </c>
      <c r="AU371" s="883">
        <v>2</v>
      </c>
      <c r="AV371" s="883">
        <v>3.3</v>
      </c>
      <c r="AW371" s="883">
        <v>14356</v>
      </c>
      <c r="AX371" s="883">
        <v>75945.51234133933</v>
      </c>
      <c r="AY371" s="883">
        <v>62673.095488422703</v>
      </c>
      <c r="AZ371" s="886">
        <v>0</v>
      </c>
      <c r="BA371" s="886">
        <v>0</v>
      </c>
      <c r="BB371" s="883">
        <v>0.6</v>
      </c>
      <c r="BC371" s="888">
        <v>0</v>
      </c>
      <c r="BD371" s="889">
        <v>1</v>
      </c>
      <c r="BE371" s="889">
        <v>0</v>
      </c>
      <c r="BF371" s="890">
        <v>0</v>
      </c>
      <c r="BG371" s="883">
        <v>1</v>
      </c>
      <c r="BH371" s="883">
        <v>0</v>
      </c>
      <c r="BI371" s="890">
        <v>0</v>
      </c>
      <c r="BJ371" s="883">
        <v>0</v>
      </c>
      <c r="BK371" s="883">
        <v>1</v>
      </c>
      <c r="BL371" s="883">
        <v>0</v>
      </c>
      <c r="BM371" s="890">
        <v>0</v>
      </c>
      <c r="BN371" s="958">
        <v>7.0000000000000007E-2</v>
      </c>
      <c r="BO371" s="959">
        <v>17.100000000000001</v>
      </c>
      <c r="BP371" s="1018">
        <f t="shared" ca="1" si="531"/>
        <v>148.5</v>
      </c>
      <c r="BQ371" s="1018">
        <f t="shared" ca="1" si="532"/>
        <v>412.25249999999994</v>
      </c>
      <c r="BR371" s="1018">
        <f t="shared" ca="1" si="533"/>
        <v>148.44999999999999</v>
      </c>
      <c r="BS371" s="1018">
        <f t="shared" ca="1" si="534"/>
        <v>100.98500000000001</v>
      </c>
      <c r="BT371" s="1018">
        <f t="shared" ca="1" si="535"/>
        <v>148.5</v>
      </c>
      <c r="BU371" s="1018">
        <f t="shared" ca="1" si="536"/>
        <v>46.489999999999995</v>
      </c>
      <c r="BV371" s="1018">
        <f t="shared" ca="1" si="537"/>
        <v>2.15</v>
      </c>
      <c r="BW371" s="1018">
        <v>0</v>
      </c>
      <c r="BX371" s="1018">
        <f t="shared" ca="1" si="538"/>
        <v>45.00757958564931</v>
      </c>
      <c r="BY371" s="1018">
        <f t="shared" ca="1" si="539"/>
        <v>171.66405294836832</v>
      </c>
      <c r="BZ371" s="1018">
        <f t="shared" ca="1" si="480"/>
        <v>55.84241921677723</v>
      </c>
      <c r="CA371" s="1018">
        <f t="shared" ca="1" si="481"/>
        <v>92.979999962808009</v>
      </c>
      <c r="CB371" s="1018">
        <f t="shared" ca="1" si="540"/>
        <v>4.5133587786259541</v>
      </c>
      <c r="CC371" s="1018">
        <f t="shared" si="482"/>
        <v>0</v>
      </c>
      <c r="CD371" s="1018">
        <f t="shared" ca="1" si="543"/>
        <v>401.2676604922288</v>
      </c>
      <c r="CE371" s="1018">
        <f t="shared" ca="1" si="541"/>
        <v>207.09049888711516</v>
      </c>
      <c r="CF371" s="1018">
        <f t="shared" ca="1" si="483"/>
        <v>18.25074478138032</v>
      </c>
      <c r="CG371" s="1018">
        <f t="shared" ca="1" si="484"/>
        <v>30386.760031206977</v>
      </c>
    </row>
    <row r="372" spans="4:85" x14ac:dyDescent="0.25">
      <c r="D372" s="1"/>
      <c r="F372" s="1"/>
      <c r="G372" s="3"/>
      <c r="H372" s="6"/>
      <c r="I372" s="3"/>
      <c r="K372" s="8"/>
      <c r="L372" s="6"/>
      <c r="M372" s="1"/>
      <c r="N372" s="1"/>
      <c r="O372" s="1" t="s">
        <v>18</v>
      </c>
      <c r="P372" s="4"/>
      <c r="Q372" s="1" t="s">
        <v>7</v>
      </c>
      <c r="R372" s="4"/>
      <c r="S372" s="1"/>
      <c r="T372" s="77"/>
      <c r="U372" s="294"/>
      <c r="X372" s="176">
        <f t="shared" si="542"/>
        <v>0</v>
      </c>
      <c r="Y372" s="34">
        <f>X372/Calculation_sheet!M$67</f>
        <v>0</v>
      </c>
      <c r="Z372" s="176">
        <f ca="1">IF(AN372&gt;0,Y372*Calculation_sheet!C$87,0)</f>
        <v>0</v>
      </c>
      <c r="AA372" s="176">
        <f t="shared" ca="1" si="486"/>
        <v>0</v>
      </c>
      <c r="AB372" s="176">
        <f ca="1">IF(AP372&gt;0,AA372*Calculation_sheet!C$94,0)</f>
        <v>0</v>
      </c>
      <c r="AC372" s="176">
        <f t="shared" ca="1" si="529"/>
        <v>0</v>
      </c>
      <c r="AD372" s="958">
        <f ca="1">AC372*Calculation_sheet!C$99</f>
        <v>0</v>
      </c>
      <c r="AE372" s="176">
        <f t="shared" ca="1" si="529"/>
        <v>0</v>
      </c>
      <c r="AF372" s="176">
        <f t="shared" ca="1" si="530"/>
        <v>0</v>
      </c>
      <c r="AG372" s="958">
        <f ca="1">AF372*User_sheet!B$77/100</f>
        <v>0</v>
      </c>
      <c r="AH372" s="313"/>
      <c r="AI372" s="883">
        <v>103</v>
      </c>
      <c r="AJ372" s="985"/>
      <c r="AK372" s="1020">
        <f t="shared" ca="1" si="479"/>
        <v>401.2676604922288</v>
      </c>
      <c r="AL372" s="954">
        <f ca="1">AK372/'103'!I$24</f>
        <v>0.90299332881514216</v>
      </c>
      <c r="AM372" s="954">
        <f ca="1">0.8*(AK372*30+'103'!D$17*0.34*30*1)</f>
        <v>13082.777051813491</v>
      </c>
      <c r="AN372" s="954">
        <f ca="1">IF(AM372&lt;User_sheet!B$50,Y372,0)</f>
        <v>0</v>
      </c>
      <c r="AO372" s="954">
        <f ca="1">20-(User_sheet!B$57/('Freestanding '!AK372+'103'!D$17*1*0.34))</f>
        <v>9.5435044518291132</v>
      </c>
      <c r="AP372" s="954">
        <f ca="1">IF(AO372&lt;User_sheet!B$59,0,BC372*AA372)</f>
        <v>0</v>
      </c>
      <c r="AQ372" s="985"/>
      <c r="AR372" s="883">
        <v>0.32</v>
      </c>
      <c r="AS372" s="1020">
        <v>2.41</v>
      </c>
      <c r="AT372" s="883">
        <v>1.42</v>
      </c>
      <c r="AU372" s="883">
        <v>2</v>
      </c>
      <c r="AV372" s="883">
        <v>3.3</v>
      </c>
      <c r="AW372" s="883">
        <v>14356</v>
      </c>
      <c r="AX372" s="883">
        <v>75945.51234133933</v>
      </c>
      <c r="AY372" s="883">
        <v>62673.095488422703</v>
      </c>
      <c r="AZ372" s="886">
        <v>0</v>
      </c>
      <c r="BA372" s="886">
        <v>0</v>
      </c>
      <c r="BB372" s="883">
        <v>0.6</v>
      </c>
      <c r="BC372" s="888">
        <v>0</v>
      </c>
      <c r="BD372" s="889">
        <v>1</v>
      </c>
      <c r="BE372" s="889">
        <v>0</v>
      </c>
      <c r="BF372" s="890">
        <v>0</v>
      </c>
      <c r="BG372" s="883">
        <v>1</v>
      </c>
      <c r="BH372" s="883">
        <v>0</v>
      </c>
      <c r="BI372" s="890">
        <v>0</v>
      </c>
      <c r="BJ372" s="883">
        <v>0</v>
      </c>
      <c r="BK372" s="883">
        <v>0</v>
      </c>
      <c r="BL372" s="883">
        <v>1</v>
      </c>
      <c r="BM372" s="890">
        <v>0</v>
      </c>
      <c r="BN372" s="958">
        <v>7.0000000000000007E-2</v>
      </c>
      <c r="BO372" s="959">
        <v>17.100000000000001</v>
      </c>
      <c r="BP372" s="1018">
        <f t="shared" ca="1" si="531"/>
        <v>148.5</v>
      </c>
      <c r="BQ372" s="1018">
        <f t="shared" ca="1" si="532"/>
        <v>412.25249999999994</v>
      </c>
      <c r="BR372" s="1018">
        <f t="shared" ca="1" si="533"/>
        <v>148.44999999999999</v>
      </c>
      <c r="BS372" s="1018">
        <f t="shared" ca="1" si="534"/>
        <v>100.98500000000001</v>
      </c>
      <c r="BT372" s="1018">
        <f t="shared" ca="1" si="535"/>
        <v>148.5</v>
      </c>
      <c r="BU372" s="1018">
        <f t="shared" ca="1" si="536"/>
        <v>46.489999999999995</v>
      </c>
      <c r="BV372" s="1018">
        <f t="shared" ca="1" si="537"/>
        <v>2.15</v>
      </c>
      <c r="BW372" s="1018">
        <v>0</v>
      </c>
      <c r="BX372" s="1018">
        <f t="shared" ca="1" si="538"/>
        <v>45.00757958564931</v>
      </c>
      <c r="BY372" s="1018">
        <f t="shared" ca="1" si="539"/>
        <v>171.66405294836832</v>
      </c>
      <c r="BZ372" s="1018">
        <f t="shared" ca="1" si="480"/>
        <v>55.84241921677723</v>
      </c>
      <c r="CA372" s="1018">
        <f t="shared" ca="1" si="481"/>
        <v>92.979999962808009</v>
      </c>
      <c r="CB372" s="1018">
        <f t="shared" ca="1" si="540"/>
        <v>4.5133587786259541</v>
      </c>
      <c r="CC372" s="1018">
        <f t="shared" si="482"/>
        <v>0</v>
      </c>
      <c r="CD372" s="1018">
        <f t="shared" ca="1" si="543"/>
        <v>401.2676604922288</v>
      </c>
      <c r="CE372" s="1018">
        <f t="shared" ca="1" si="541"/>
        <v>207.09049888711516</v>
      </c>
      <c r="CF372" s="1018">
        <f t="shared" ca="1" si="483"/>
        <v>18.25074478138032</v>
      </c>
      <c r="CG372" s="1018">
        <f t="shared" ca="1" si="484"/>
        <v>30386.760031206977</v>
      </c>
    </row>
    <row r="373" spans="4:85" x14ac:dyDescent="0.25">
      <c r="D373" s="1"/>
      <c r="F373" s="1"/>
      <c r="G373" s="3"/>
      <c r="H373" s="6"/>
      <c r="I373" s="3"/>
      <c r="K373" s="8"/>
      <c r="L373" s="6"/>
      <c r="M373" s="1"/>
      <c r="N373" s="1"/>
      <c r="O373" s="1"/>
      <c r="P373" s="1"/>
      <c r="Q373" s="1" t="s">
        <v>22</v>
      </c>
      <c r="R373" s="4"/>
      <c r="S373" s="1"/>
      <c r="T373" s="77"/>
      <c r="U373" s="294"/>
      <c r="X373" s="176">
        <f t="shared" si="542"/>
        <v>0</v>
      </c>
      <c r="Y373" s="34">
        <f>X373/Calculation_sheet!M$67</f>
        <v>0</v>
      </c>
      <c r="Z373" s="176">
        <f ca="1">IF(AN373&gt;0,Y373*Calculation_sheet!C$87,0)</f>
        <v>0</v>
      </c>
      <c r="AA373" s="176">
        <f t="shared" ca="1" si="486"/>
        <v>0</v>
      </c>
      <c r="AB373" s="176">
        <f ca="1">IF(AP373&gt;0,AA373*Calculation_sheet!C$94,0)</f>
        <v>0</v>
      </c>
      <c r="AC373" s="176">
        <f t="shared" ca="1" si="529"/>
        <v>0</v>
      </c>
      <c r="AD373" s="958">
        <f ca="1">AC373*Calculation_sheet!C$99</f>
        <v>0</v>
      </c>
      <c r="AE373" s="176">
        <f t="shared" ca="1" si="529"/>
        <v>0</v>
      </c>
      <c r="AF373" s="176">
        <f t="shared" ca="1" si="530"/>
        <v>0</v>
      </c>
      <c r="AG373" s="958">
        <f ca="1">AF373*User_sheet!B$77/100</f>
        <v>0</v>
      </c>
      <c r="AH373" s="313"/>
      <c r="AI373" s="883">
        <v>103</v>
      </c>
      <c r="AJ373" s="985"/>
      <c r="AK373" s="1020">
        <f t="shared" ca="1" si="479"/>
        <v>401.2676604922288</v>
      </c>
      <c r="AL373" s="954">
        <f ca="1">AK373/'103'!I$24</f>
        <v>0.90299332881514216</v>
      </c>
      <c r="AM373" s="954">
        <f ca="1">0.8*(AK373*30+'103'!D$17*0.34*30*1)</f>
        <v>13082.777051813491</v>
      </c>
      <c r="AN373" s="954">
        <f ca="1">IF(AM373&lt;User_sheet!B$50,Y373,0)</f>
        <v>0</v>
      </c>
      <c r="AO373" s="954">
        <f ca="1">20-(User_sheet!B$57/('Freestanding '!AK373+'103'!D$17*1*0.34))</f>
        <v>9.5435044518291132</v>
      </c>
      <c r="AP373" s="954">
        <f ca="1">IF(AO373&lt;User_sheet!B$59,0,BC373*AA373)</f>
        <v>0</v>
      </c>
      <c r="AQ373" s="985"/>
      <c r="AR373" s="883">
        <v>0.32</v>
      </c>
      <c r="AS373" s="1020">
        <v>2.41</v>
      </c>
      <c r="AT373" s="883">
        <v>1.42</v>
      </c>
      <c r="AU373" s="883">
        <v>2</v>
      </c>
      <c r="AV373" s="883">
        <v>3.3</v>
      </c>
      <c r="AW373" s="883">
        <v>14356</v>
      </c>
      <c r="AX373" s="883">
        <v>75945.51234133933</v>
      </c>
      <c r="AY373" s="883">
        <v>62673.095488422703</v>
      </c>
      <c r="AZ373" s="886">
        <v>0</v>
      </c>
      <c r="BA373" s="886">
        <v>0</v>
      </c>
      <c r="BB373" s="883">
        <v>0.6</v>
      </c>
      <c r="BC373" s="888">
        <v>0</v>
      </c>
      <c r="BD373" s="889">
        <v>1</v>
      </c>
      <c r="BE373" s="889">
        <v>0</v>
      </c>
      <c r="BF373" s="890">
        <v>0</v>
      </c>
      <c r="BG373" s="883">
        <v>0</v>
      </c>
      <c r="BH373" s="883">
        <v>1</v>
      </c>
      <c r="BI373" s="890">
        <v>0</v>
      </c>
      <c r="BJ373" s="883">
        <v>0</v>
      </c>
      <c r="BK373" s="883">
        <v>1</v>
      </c>
      <c r="BL373" s="883">
        <v>0</v>
      </c>
      <c r="BM373" s="890">
        <v>0</v>
      </c>
      <c r="BN373" s="958">
        <v>7.0000000000000007E-2</v>
      </c>
      <c r="BO373" s="959">
        <v>17.100000000000001</v>
      </c>
      <c r="BP373" s="1018">
        <f t="shared" ca="1" si="531"/>
        <v>148.5</v>
      </c>
      <c r="BQ373" s="1018">
        <f t="shared" ca="1" si="532"/>
        <v>412.25249999999994</v>
      </c>
      <c r="BR373" s="1018">
        <f t="shared" ca="1" si="533"/>
        <v>148.44999999999999</v>
      </c>
      <c r="BS373" s="1018">
        <f t="shared" ca="1" si="534"/>
        <v>100.98500000000001</v>
      </c>
      <c r="BT373" s="1018">
        <f t="shared" ca="1" si="535"/>
        <v>148.5</v>
      </c>
      <c r="BU373" s="1018">
        <f t="shared" ca="1" si="536"/>
        <v>46.489999999999995</v>
      </c>
      <c r="BV373" s="1018">
        <f t="shared" ca="1" si="537"/>
        <v>2.15</v>
      </c>
      <c r="BW373" s="1018">
        <v>0</v>
      </c>
      <c r="BX373" s="1018">
        <f t="shared" ca="1" si="538"/>
        <v>45.00757958564931</v>
      </c>
      <c r="BY373" s="1018">
        <f t="shared" ca="1" si="539"/>
        <v>171.66405294836832</v>
      </c>
      <c r="BZ373" s="1018">
        <f t="shared" ca="1" si="480"/>
        <v>55.84241921677723</v>
      </c>
      <c r="CA373" s="1018">
        <f t="shared" ca="1" si="481"/>
        <v>92.979999962808009</v>
      </c>
      <c r="CB373" s="1018">
        <f t="shared" ca="1" si="540"/>
        <v>4.5133587786259541</v>
      </c>
      <c r="CC373" s="1018">
        <f t="shared" si="482"/>
        <v>0</v>
      </c>
      <c r="CD373" s="1018">
        <f t="shared" ca="1" si="543"/>
        <v>401.2676604922288</v>
      </c>
      <c r="CE373" s="1018">
        <f t="shared" ca="1" si="541"/>
        <v>207.09049888711516</v>
      </c>
      <c r="CF373" s="1018">
        <f t="shared" ca="1" si="483"/>
        <v>18.25074478138032</v>
      </c>
      <c r="CG373" s="1018">
        <f t="shared" ca="1" si="484"/>
        <v>30386.760031206977</v>
      </c>
    </row>
    <row r="374" spans="4:85" x14ac:dyDescent="0.25">
      <c r="D374" s="1"/>
      <c r="F374" s="1"/>
      <c r="G374" s="3"/>
      <c r="H374" s="6"/>
      <c r="I374" s="3"/>
      <c r="J374" s="6"/>
      <c r="K374" s="8"/>
      <c r="L374" s="3"/>
      <c r="M374" s="1" t="s">
        <v>22</v>
      </c>
      <c r="N374" s="4"/>
      <c r="O374" s="1" t="s">
        <v>20</v>
      </c>
      <c r="P374" s="4"/>
      <c r="Q374" s="1" t="s">
        <v>7</v>
      </c>
      <c r="R374" s="4"/>
      <c r="S374" s="1"/>
      <c r="T374" s="77"/>
      <c r="U374" s="294"/>
      <c r="X374" s="176">
        <f t="shared" si="542"/>
        <v>0</v>
      </c>
      <c r="Y374" s="34">
        <f>X374/Calculation_sheet!M$67</f>
        <v>0</v>
      </c>
      <c r="Z374" s="176">
        <f ca="1">IF(AN374&gt;0,Y374*Calculation_sheet!C$87,0)</f>
        <v>0</v>
      </c>
      <c r="AA374" s="176">
        <f t="shared" ca="1" si="486"/>
        <v>0</v>
      </c>
      <c r="AB374" s="176">
        <f ca="1">IF(AP374&gt;0,AA374*Calculation_sheet!C$94,0)</f>
        <v>0</v>
      </c>
      <c r="AC374" s="176">
        <f t="shared" ca="1" si="529"/>
        <v>0</v>
      </c>
      <c r="AD374" s="958">
        <f ca="1">AC374*Calculation_sheet!C$99</f>
        <v>0</v>
      </c>
      <c r="AE374" s="176">
        <f t="shared" ca="1" si="529"/>
        <v>0</v>
      </c>
      <c r="AF374" s="176">
        <f t="shared" ca="1" si="530"/>
        <v>0</v>
      </c>
      <c r="AG374" s="958">
        <f ca="1">AF374*User_sheet!B$77/100</f>
        <v>0</v>
      </c>
      <c r="AH374" s="313"/>
      <c r="AI374" s="883">
        <v>103</v>
      </c>
      <c r="AJ374" s="985"/>
      <c r="AK374" s="1020">
        <f t="shared" ca="1" si="479"/>
        <v>401.2676604922288</v>
      </c>
      <c r="AL374" s="954">
        <f ca="1">AK374/'103'!I$24</f>
        <v>0.90299332881514216</v>
      </c>
      <c r="AM374" s="954">
        <f ca="1">0.8*(AK374*30+'103'!D$17*0.34*30*1)</f>
        <v>13082.777051813491</v>
      </c>
      <c r="AN374" s="954">
        <f ca="1">IF(AM374&lt;User_sheet!B$50,Y374,0)</f>
        <v>0</v>
      </c>
      <c r="AO374" s="954">
        <f ca="1">20-(User_sheet!B$57/('Freestanding '!AK374+'103'!D$17*1*0.34))</f>
        <v>9.5435044518291132</v>
      </c>
      <c r="AP374" s="954">
        <f ca="1">IF(AO374&lt;User_sheet!B$59,0,BC374*AA374)</f>
        <v>0</v>
      </c>
      <c r="AQ374" s="985"/>
      <c r="AR374" s="883">
        <v>0.32</v>
      </c>
      <c r="AS374" s="1020">
        <v>2.41</v>
      </c>
      <c r="AT374" s="883">
        <v>1.42</v>
      </c>
      <c r="AU374" s="883">
        <v>2</v>
      </c>
      <c r="AV374" s="883">
        <v>3.3</v>
      </c>
      <c r="AW374" s="883">
        <v>14356</v>
      </c>
      <c r="AX374" s="883">
        <v>75945.51234133933</v>
      </c>
      <c r="AY374" s="883">
        <v>62673.095488422703</v>
      </c>
      <c r="AZ374" s="886">
        <v>0</v>
      </c>
      <c r="BA374" s="886">
        <v>0</v>
      </c>
      <c r="BB374" s="883">
        <v>0.6</v>
      </c>
      <c r="BC374" s="888">
        <v>0</v>
      </c>
      <c r="BD374" s="889">
        <v>1</v>
      </c>
      <c r="BE374" s="889">
        <v>0</v>
      </c>
      <c r="BF374" s="890">
        <v>0</v>
      </c>
      <c r="BG374" s="883">
        <v>0</v>
      </c>
      <c r="BH374" s="883">
        <v>1</v>
      </c>
      <c r="BI374" s="890">
        <v>0</v>
      </c>
      <c r="BJ374" s="883">
        <v>0</v>
      </c>
      <c r="BK374" s="883">
        <v>0</v>
      </c>
      <c r="BL374" s="883">
        <v>1</v>
      </c>
      <c r="BM374" s="890">
        <v>0</v>
      </c>
      <c r="BN374" s="958">
        <v>7.0000000000000007E-2</v>
      </c>
      <c r="BO374" s="959">
        <v>17.100000000000001</v>
      </c>
      <c r="BP374" s="1018">
        <f t="shared" ca="1" si="531"/>
        <v>148.5</v>
      </c>
      <c r="BQ374" s="1018">
        <f t="shared" ca="1" si="532"/>
        <v>412.25249999999994</v>
      </c>
      <c r="BR374" s="1018">
        <f t="shared" ca="1" si="533"/>
        <v>148.44999999999999</v>
      </c>
      <c r="BS374" s="1018">
        <f t="shared" ca="1" si="534"/>
        <v>100.98500000000001</v>
      </c>
      <c r="BT374" s="1018">
        <f t="shared" ca="1" si="535"/>
        <v>148.5</v>
      </c>
      <c r="BU374" s="1018">
        <f t="shared" ca="1" si="536"/>
        <v>46.489999999999995</v>
      </c>
      <c r="BV374" s="1018">
        <f t="shared" ca="1" si="537"/>
        <v>2.15</v>
      </c>
      <c r="BW374" s="1018">
        <v>0</v>
      </c>
      <c r="BX374" s="1018">
        <f t="shared" ca="1" si="538"/>
        <v>45.00757958564931</v>
      </c>
      <c r="BY374" s="1018">
        <f t="shared" ca="1" si="539"/>
        <v>171.66405294836832</v>
      </c>
      <c r="BZ374" s="1018">
        <f t="shared" ca="1" si="480"/>
        <v>55.84241921677723</v>
      </c>
      <c r="CA374" s="1018">
        <f t="shared" ca="1" si="481"/>
        <v>92.979999962808009</v>
      </c>
      <c r="CB374" s="1018">
        <f t="shared" ca="1" si="540"/>
        <v>4.5133587786259541</v>
      </c>
      <c r="CC374" s="1018">
        <f t="shared" si="482"/>
        <v>0</v>
      </c>
      <c r="CD374" s="1018">
        <f t="shared" ca="1" si="543"/>
        <v>401.2676604922288</v>
      </c>
      <c r="CE374" s="1018">
        <f t="shared" ca="1" si="541"/>
        <v>207.09049888711516</v>
      </c>
      <c r="CF374" s="1018">
        <f t="shared" ca="1" si="483"/>
        <v>18.25074478138032</v>
      </c>
      <c r="CG374" s="1018">
        <f t="shared" ca="1" si="484"/>
        <v>30386.760031206977</v>
      </c>
    </row>
    <row r="375" spans="4:85" x14ac:dyDescent="0.25">
      <c r="D375" s="1"/>
      <c r="F375" s="1"/>
      <c r="G375" s="3"/>
      <c r="H375" s="6"/>
      <c r="I375" s="3"/>
      <c r="J375" s="6"/>
      <c r="K375" s="8"/>
      <c r="L375" s="7"/>
      <c r="M375" s="1" t="s">
        <v>7</v>
      </c>
      <c r="N375" s="4"/>
      <c r="O375" s="1" t="s">
        <v>23</v>
      </c>
      <c r="P375" s="4"/>
      <c r="Q375" s="1" t="s">
        <v>7</v>
      </c>
      <c r="R375" s="4"/>
      <c r="S375" s="1"/>
      <c r="T375" s="77"/>
      <c r="U375" s="294"/>
      <c r="X375" s="176">
        <f t="shared" si="542"/>
        <v>0</v>
      </c>
      <c r="Y375" s="34">
        <f>X375/Calculation_sheet!M$67</f>
        <v>0</v>
      </c>
      <c r="Z375" s="176">
        <f ca="1">IF(AN375&gt;0,Y375*Calculation_sheet!C$87,0)</f>
        <v>0</v>
      </c>
      <c r="AA375" s="176">
        <f t="shared" ca="1" si="486"/>
        <v>0</v>
      </c>
      <c r="AB375" s="176">
        <f ca="1">IF(AP375&gt;0,AA375*Calculation_sheet!C$94,0)</f>
        <v>0</v>
      </c>
      <c r="AC375" s="176">
        <f t="shared" ca="1" si="529"/>
        <v>0</v>
      </c>
      <c r="AD375" s="958">
        <f ca="1">AC375*Calculation_sheet!C$99</f>
        <v>0</v>
      </c>
      <c r="AE375" s="176">
        <f t="shared" ca="1" si="529"/>
        <v>0</v>
      </c>
      <c r="AF375" s="176">
        <f t="shared" ca="1" si="530"/>
        <v>0</v>
      </c>
      <c r="AG375" s="958">
        <f ca="1">AF375*User_sheet!B$77/100</f>
        <v>0</v>
      </c>
      <c r="AH375" s="313"/>
      <c r="AI375" s="883">
        <v>103</v>
      </c>
      <c r="AJ375" s="985"/>
      <c r="AK375" s="1020">
        <f t="shared" ca="1" si="479"/>
        <v>401.2676604922288</v>
      </c>
      <c r="AL375" s="954">
        <f ca="1">AK375/'103'!I$24</f>
        <v>0.90299332881514216</v>
      </c>
      <c r="AM375" s="954">
        <f ca="1">0.8*(AK375*30+'103'!D$17*0.34*30*1)</f>
        <v>13082.777051813491</v>
      </c>
      <c r="AN375" s="954">
        <f ca="1">IF(AM375&lt;User_sheet!B$50,Y375,0)</f>
        <v>0</v>
      </c>
      <c r="AO375" s="954">
        <f ca="1">20-(User_sheet!B$57/('Freestanding '!AK375+'103'!D$17*1*0.34))</f>
        <v>9.5435044518291132</v>
      </c>
      <c r="AP375" s="954">
        <f ca="1">IF(AO375&lt;User_sheet!B$59,0,BC375*AA375)</f>
        <v>0</v>
      </c>
      <c r="AQ375" s="985"/>
      <c r="AR375" s="883">
        <v>0.32</v>
      </c>
      <c r="AS375" s="1020">
        <v>2.41</v>
      </c>
      <c r="AT375" s="883">
        <v>1.42</v>
      </c>
      <c r="AU375" s="883">
        <v>2</v>
      </c>
      <c r="AV375" s="883">
        <v>3.3</v>
      </c>
      <c r="AW375" s="883">
        <v>14356</v>
      </c>
      <c r="AX375" s="883">
        <v>75945.51234133933</v>
      </c>
      <c r="AY375" s="883">
        <v>62673.095488422703</v>
      </c>
      <c r="AZ375" s="886">
        <v>0</v>
      </c>
      <c r="BA375" s="886">
        <v>0</v>
      </c>
      <c r="BB375" s="883">
        <v>0.6</v>
      </c>
      <c r="BC375" s="888">
        <v>0</v>
      </c>
      <c r="BD375" s="889">
        <v>0</v>
      </c>
      <c r="BE375" s="889">
        <v>1</v>
      </c>
      <c r="BF375" s="890">
        <v>0</v>
      </c>
      <c r="BG375" s="883">
        <v>0</v>
      </c>
      <c r="BH375" s="883">
        <v>0</v>
      </c>
      <c r="BI375" s="890">
        <v>1</v>
      </c>
      <c r="BJ375" s="883">
        <v>0</v>
      </c>
      <c r="BK375" s="883">
        <v>0</v>
      </c>
      <c r="BL375" s="883">
        <v>1</v>
      </c>
      <c r="BM375" s="890">
        <v>0</v>
      </c>
      <c r="BN375" s="958">
        <v>7.0000000000000007E-2</v>
      </c>
      <c r="BO375" s="959">
        <v>17.100000000000001</v>
      </c>
      <c r="BP375" s="1018">
        <f t="shared" ca="1" si="531"/>
        <v>148.5</v>
      </c>
      <c r="BQ375" s="1018">
        <f t="shared" ca="1" si="532"/>
        <v>412.25249999999994</v>
      </c>
      <c r="BR375" s="1018">
        <f t="shared" ca="1" si="533"/>
        <v>148.44999999999999</v>
      </c>
      <c r="BS375" s="1018">
        <f t="shared" ca="1" si="534"/>
        <v>100.98500000000001</v>
      </c>
      <c r="BT375" s="1018">
        <f t="shared" ca="1" si="535"/>
        <v>148.5</v>
      </c>
      <c r="BU375" s="1018">
        <f t="shared" ca="1" si="536"/>
        <v>46.489999999999995</v>
      </c>
      <c r="BV375" s="1018">
        <f t="shared" ca="1" si="537"/>
        <v>2.15</v>
      </c>
      <c r="BW375" s="1018">
        <v>0</v>
      </c>
      <c r="BX375" s="1018">
        <f t="shared" ca="1" si="538"/>
        <v>45.00757958564931</v>
      </c>
      <c r="BY375" s="1018">
        <f t="shared" ca="1" si="539"/>
        <v>171.66405294836832</v>
      </c>
      <c r="BZ375" s="1018">
        <f t="shared" ca="1" si="480"/>
        <v>55.84241921677723</v>
      </c>
      <c r="CA375" s="1018">
        <f t="shared" ca="1" si="481"/>
        <v>92.979999962808009</v>
      </c>
      <c r="CB375" s="1018">
        <f t="shared" ca="1" si="540"/>
        <v>4.5133587786259541</v>
      </c>
      <c r="CC375" s="1018">
        <f t="shared" si="482"/>
        <v>0</v>
      </c>
      <c r="CD375" s="1018">
        <f t="shared" ca="1" si="543"/>
        <v>401.2676604922288</v>
      </c>
      <c r="CE375" s="1018">
        <f t="shared" ca="1" si="541"/>
        <v>207.09049888711516</v>
      </c>
      <c r="CF375" s="1018">
        <f t="shared" ca="1" si="483"/>
        <v>18.25074478138032</v>
      </c>
      <c r="CG375" s="1018">
        <f t="shared" ca="1" si="484"/>
        <v>30386.760031206977</v>
      </c>
    </row>
    <row r="376" spans="4:85" s="14" customFormat="1" x14ac:dyDescent="0.25">
      <c r="D376" s="15"/>
      <c r="F376" s="15"/>
      <c r="H376" s="15"/>
      <c r="J376" s="15"/>
      <c r="K376" s="16"/>
      <c r="L376" s="28"/>
      <c r="M376" s="15"/>
      <c r="N376" s="15"/>
      <c r="O376" s="15"/>
      <c r="P376" s="15"/>
      <c r="Q376" s="15"/>
      <c r="R376" s="15"/>
      <c r="S376" s="15"/>
      <c r="T376" s="80"/>
      <c r="U376" s="295"/>
      <c r="V376" s="292"/>
      <c r="W376" s="292"/>
      <c r="X376" s="292"/>
      <c r="Y376" s="277"/>
      <c r="Z376" s="292"/>
      <c r="AA376" s="292"/>
      <c r="AB376" s="292"/>
      <c r="AC376" s="292"/>
      <c r="AD376" s="277"/>
      <c r="AE376" s="292"/>
      <c r="AF376" s="292"/>
      <c r="AG376" s="277"/>
      <c r="AH376" s="313"/>
      <c r="AI376" s="887"/>
      <c r="AJ376" s="985"/>
      <c r="AK376" s="1020">
        <f t="shared" si="479"/>
        <v>0</v>
      </c>
      <c r="AL376" s="941"/>
      <c r="AM376" s="941"/>
      <c r="AN376" s="941"/>
      <c r="AO376" s="941"/>
      <c r="AP376" s="941"/>
      <c r="AQ376" s="985"/>
      <c r="AR376" s="887"/>
      <c r="AS376" s="887"/>
      <c r="AT376" s="887"/>
      <c r="AU376" s="887"/>
      <c r="AV376" s="887"/>
      <c r="AW376" s="887"/>
      <c r="AX376" s="887"/>
      <c r="AY376" s="887"/>
      <c r="AZ376" s="887"/>
      <c r="BA376" s="887"/>
      <c r="BB376" s="887"/>
      <c r="BC376" s="45"/>
      <c r="BD376" s="277"/>
      <c r="BE376" s="277"/>
      <c r="BF376" s="49"/>
      <c r="BG376" s="887"/>
      <c r="BH376" s="887"/>
      <c r="BI376" s="49"/>
      <c r="BJ376" s="887"/>
      <c r="BK376" s="887"/>
      <c r="BL376" s="887"/>
      <c r="BM376" s="49"/>
      <c r="BN376" s="277"/>
      <c r="BO376" s="49"/>
      <c r="BP376" s="946"/>
      <c r="BQ376" s="946"/>
      <c r="BR376" s="946"/>
      <c r="BS376" s="946"/>
      <c r="BT376" s="946"/>
      <c r="BU376" s="946"/>
      <c r="BV376" s="946"/>
      <c r="BW376" s="946"/>
      <c r="BX376" s="946"/>
      <c r="BY376" s="946"/>
      <c r="BZ376" s="946"/>
      <c r="CA376" s="946"/>
      <c r="CB376" s="946"/>
      <c r="CC376" s="946"/>
      <c r="CD376" s="946"/>
      <c r="CE376" s="946"/>
      <c r="CF376" s="946"/>
      <c r="CG376" s="946"/>
    </row>
    <row r="377" spans="4:85" x14ac:dyDescent="0.25">
      <c r="D377" s="1"/>
      <c r="F377" s="1"/>
      <c r="G377" s="3"/>
      <c r="H377" s="6"/>
      <c r="I377" s="3"/>
      <c r="J377" s="6"/>
      <c r="K377" s="8"/>
      <c r="L377" s="6"/>
      <c r="M377" s="1"/>
      <c r="N377" s="1"/>
      <c r="O377" s="1"/>
      <c r="P377" s="1"/>
      <c r="Q377" s="1" t="s">
        <v>16</v>
      </c>
      <c r="R377" s="4"/>
      <c r="S377" s="1"/>
      <c r="T377" s="77"/>
      <c r="U377" s="294"/>
      <c r="W377" s="176">
        <f t="shared" ref="W377:W385" si="544">V357-W357+V337-W337</f>
        <v>0</v>
      </c>
      <c r="X377" s="176">
        <f>W377</f>
        <v>0</v>
      </c>
      <c r="Y377" s="34">
        <f>X377/Calculation_sheet!M$67</f>
        <v>0</v>
      </c>
      <c r="Z377" s="176">
        <f ca="1">IF(AN377&gt;0,Y377*Calculation_sheet!C$87,0)</f>
        <v>0</v>
      </c>
      <c r="AA377" s="176">
        <f t="shared" ca="1" si="486"/>
        <v>0</v>
      </c>
      <c r="AB377" s="176">
        <f ca="1">IF(AP377&gt;0,AA377*Calculation_sheet!C$94,0)</f>
        <v>0</v>
      </c>
      <c r="AC377" s="176">
        <f t="shared" ref="AC377:AE385" ca="1" si="545">AA377-AB377</f>
        <v>0</v>
      </c>
      <c r="AD377" s="958">
        <f ca="1">AC377*Calculation_sheet!C$99</f>
        <v>0</v>
      </c>
      <c r="AE377" s="176">
        <f t="shared" ca="1" si="545"/>
        <v>0</v>
      </c>
      <c r="AF377" s="176">
        <f t="shared" ref="AF377:AF385" ca="1" si="546">Y377-AB377</f>
        <v>0</v>
      </c>
      <c r="AG377" s="958">
        <f ca="1">AF377*User_sheet!B$77/100</f>
        <v>0</v>
      </c>
      <c r="AH377" s="313"/>
      <c r="AI377" s="883">
        <v>103</v>
      </c>
      <c r="AJ377" s="985"/>
      <c r="AK377" s="1020">
        <f t="shared" ca="1" si="479"/>
        <v>204.75586941344633</v>
      </c>
      <c r="AL377" s="954">
        <f ca="1">AK377/'103'!I$24</f>
        <v>0.46077270191492847</v>
      </c>
      <c r="AM377" s="954">
        <f ca="1">0.8*(AK377*30+'103'!D$17*0.34*30*1)</f>
        <v>8366.4940659227123</v>
      </c>
      <c r="AN377" s="954">
        <f ca="1">IF(AM377&lt;User_sheet!B$50,Y377,0)</f>
        <v>0</v>
      </c>
      <c r="AO377" s="954">
        <f ca="1">20-(User_sheet!B$57/('Freestanding '!AK377+'103'!D$17*1*0.34))</f>
        <v>3.6490650776655045</v>
      </c>
      <c r="AP377" s="954">
        <f ca="1">IF(AO377&lt;User_sheet!B$59,0,BC377*AA377)</f>
        <v>0</v>
      </c>
      <c r="AQ377" s="985"/>
      <c r="AR377" s="883">
        <v>0.32</v>
      </c>
      <c r="AS377" s="883">
        <v>0.43</v>
      </c>
      <c r="AT377" s="883">
        <v>0.43</v>
      </c>
      <c r="AU377" s="883">
        <v>2</v>
      </c>
      <c r="AV377" s="883">
        <v>3.3</v>
      </c>
      <c r="AW377" s="883">
        <v>14356</v>
      </c>
      <c r="AX377" s="883">
        <v>74834</v>
      </c>
      <c r="AY377" s="883">
        <v>69246</v>
      </c>
      <c r="AZ377" s="886">
        <v>0</v>
      </c>
      <c r="BA377" s="886">
        <v>0</v>
      </c>
      <c r="BB377" s="883">
        <v>0.6</v>
      </c>
      <c r="BC377" s="888">
        <v>1</v>
      </c>
      <c r="BD377" s="889">
        <v>0</v>
      </c>
      <c r="BE377" s="889">
        <v>0</v>
      </c>
      <c r="BF377" s="890">
        <v>0</v>
      </c>
      <c r="BG377" s="883">
        <v>1</v>
      </c>
      <c r="BH377" s="883">
        <v>0</v>
      </c>
      <c r="BI377" s="890">
        <v>0</v>
      </c>
      <c r="BJ377" s="883">
        <v>1</v>
      </c>
      <c r="BK377" s="883">
        <v>0</v>
      </c>
      <c r="BL377" s="883">
        <v>0</v>
      </c>
      <c r="BM377" s="890">
        <v>0</v>
      </c>
      <c r="BN377" s="958">
        <v>5.0000000000000001E-3</v>
      </c>
      <c r="BO377" s="959">
        <v>2.5</v>
      </c>
      <c r="BP377" s="1018">
        <f t="shared" ref="BP377:BP385" ca="1" si="547">INDIRECT("'"&amp;AI377&amp;"'!"&amp;"B2")</f>
        <v>148.5</v>
      </c>
      <c r="BQ377" s="1018">
        <f t="shared" ref="BQ377:BQ385" ca="1" si="548">INDIRECT("'"&amp;AI377&amp;"'!"&amp;"C12")+INDIRECT("'"&amp;AI377&amp;"'!"&amp;"C13")+INDIRECT("'"&amp;AI377&amp;"'!"&amp;"C14")+INDIRECT("'"&amp;AI377&amp;"'!"&amp;"C15")+INDIRECT("'"&amp;AI377&amp;"'!"&amp;"C17")</f>
        <v>412.25249999999994</v>
      </c>
      <c r="BR377" s="1018">
        <f t="shared" ref="BR377:BR385" ca="1" si="549">INDIRECT("'"&amp;AI377&amp;"'!"&amp;"G5")</f>
        <v>148.44999999999999</v>
      </c>
      <c r="BS377" s="1018">
        <f t="shared" ref="BS377:BS385" ca="1" si="550">INDIRECT("'"&amp;AI377&amp;"'!"&amp;"G4")</f>
        <v>100.98500000000001</v>
      </c>
      <c r="BT377" s="1018">
        <f t="shared" ref="BT377:BT385" ca="1" si="551">INDIRECT("'"&amp;AI377&amp;"'!"&amp;"G6")</f>
        <v>148.5</v>
      </c>
      <c r="BU377" s="1018">
        <f t="shared" ref="BU377:BU385" ca="1" si="552">INDIRECT("'"&amp;AI377&amp;"'!"&amp;"G2")</f>
        <v>46.489999999999995</v>
      </c>
      <c r="BV377" s="1018">
        <f t="shared" ref="BV377:BV385" ca="1" si="553">INDIRECT("'"&amp;AI377&amp;"'!"&amp;"G3")</f>
        <v>2.15</v>
      </c>
      <c r="BW377" s="1018">
        <v>0</v>
      </c>
      <c r="BX377" s="1018">
        <f t="shared" ref="BX377:BX385" ca="1" si="554">IF(BR377=0,0,1/(1/(BR377*$BY$3)+1/(BR377*AR377)+1/(BR377*$BY$4)))</f>
        <v>45.00757958564931</v>
      </c>
      <c r="BY377" s="1018">
        <f t="shared" ref="BY377:BY385" ca="1" si="555">IF(BS377=0,0,1/(1/(BS377*$BY$3)+1/(BS377*AS377)+1/(BS377*$BY$4)))</f>
        <v>40.411542995408858</v>
      </c>
      <c r="BZ377" s="1018">
        <f t="shared" ca="1" si="480"/>
        <v>19.61051309095421</v>
      </c>
      <c r="CA377" s="1018">
        <f t="shared" ca="1" si="481"/>
        <v>92.979999962808009</v>
      </c>
      <c r="CB377" s="1018">
        <f t="shared" ref="CB377:CB385" ca="1" si="556">IF(BV377=0,0,1/(1/(BV377*$BY$3)+1/(BV377*AV377)+1/(BV377*$BY$4)))</f>
        <v>4.5133587786259541</v>
      </c>
      <c r="CC377" s="1018">
        <f t="shared" si="482"/>
        <v>0</v>
      </c>
      <c r="CD377" s="1018">
        <f ca="1">SUM(BX377:CC377)+(BR377+BS377+BT377+BU377+BV377)*BN377</f>
        <v>204.75586941344633</v>
      </c>
      <c r="CE377" s="1018">
        <f t="shared" ref="CE377:CE385" ca="1" si="557">0.34*BO377*(1/25)^0.66*(BR377+BS377+BU377+BV377)+0.6*BQ377*0.34</f>
        <v>114.37589872618642</v>
      </c>
      <c r="CF377" s="1018">
        <f t="shared" ca="1" si="483"/>
        <v>9.5739530441889826</v>
      </c>
      <c r="CG377" s="1018">
        <f t="shared" ca="1" si="484"/>
        <v>15940.248860452886</v>
      </c>
    </row>
    <row r="378" spans="4:85" x14ac:dyDescent="0.25">
      <c r="D378" s="1"/>
      <c r="F378" s="1"/>
      <c r="G378" s="3"/>
      <c r="H378" s="6"/>
      <c r="I378" s="3"/>
      <c r="J378" s="6"/>
      <c r="K378" s="8"/>
      <c r="L378" s="6"/>
      <c r="M378" s="1"/>
      <c r="N378" s="1"/>
      <c r="O378" s="1" t="s">
        <v>18</v>
      </c>
      <c r="P378" s="4"/>
      <c r="Q378" s="1" t="s">
        <v>7</v>
      </c>
      <c r="R378" s="4"/>
      <c r="S378" s="1"/>
      <c r="T378" s="77"/>
      <c r="U378" s="294"/>
      <c r="W378" s="176">
        <f t="shared" si="544"/>
        <v>0</v>
      </c>
      <c r="X378" s="176">
        <f t="shared" ref="X378:X385" si="558">W378</f>
        <v>0</v>
      </c>
      <c r="Y378" s="34">
        <f>X378/Calculation_sheet!M$67</f>
        <v>0</v>
      </c>
      <c r="Z378" s="176">
        <f ca="1">IF(AN378&gt;0,Y378*Calculation_sheet!C$87,0)</f>
        <v>0</v>
      </c>
      <c r="AA378" s="176">
        <f t="shared" ca="1" si="486"/>
        <v>0</v>
      </c>
      <c r="AB378" s="176">
        <f ca="1">IF(AP378&gt;0,AA378*Calculation_sheet!C$94,0)</f>
        <v>0</v>
      </c>
      <c r="AC378" s="176">
        <f t="shared" ca="1" si="545"/>
        <v>0</v>
      </c>
      <c r="AD378" s="958">
        <f ca="1">AC378*Calculation_sheet!C$99</f>
        <v>0</v>
      </c>
      <c r="AE378" s="176">
        <f t="shared" ca="1" si="545"/>
        <v>0</v>
      </c>
      <c r="AF378" s="176">
        <f t="shared" ca="1" si="546"/>
        <v>0</v>
      </c>
      <c r="AG378" s="958">
        <f ca="1">AF378*User_sheet!B$77/100</f>
        <v>0</v>
      </c>
      <c r="AH378" s="313"/>
      <c r="AI378" s="883">
        <v>103</v>
      </c>
      <c r="AJ378" s="985"/>
      <c r="AK378" s="1020">
        <f t="shared" ca="1" si="479"/>
        <v>204.75586941344633</v>
      </c>
      <c r="AL378" s="954">
        <f ca="1">AK378/'103'!I$24</f>
        <v>0.46077270191492847</v>
      </c>
      <c r="AM378" s="954">
        <f ca="1">0.8*(AK378*30+'103'!D$17*0.34*30*1)</f>
        <v>8366.4940659227123</v>
      </c>
      <c r="AN378" s="954">
        <f ca="1">IF(AM378&lt;User_sheet!B$50,Y378,0)</f>
        <v>0</v>
      </c>
      <c r="AO378" s="954">
        <f ca="1">20-(User_sheet!B$57/('Freestanding '!AK378+'103'!D$17*1*0.34))</f>
        <v>3.6490650776655045</v>
      </c>
      <c r="AP378" s="954">
        <f ca="1">IF(AO378&lt;User_sheet!B$59,0,BC378*AA378)</f>
        <v>0</v>
      </c>
      <c r="AQ378" s="985"/>
      <c r="AR378" s="883">
        <v>0.32</v>
      </c>
      <c r="AS378" s="883">
        <v>0.43</v>
      </c>
      <c r="AT378" s="883">
        <v>0.43</v>
      </c>
      <c r="AU378" s="883">
        <v>2</v>
      </c>
      <c r="AV378" s="883">
        <v>3.3</v>
      </c>
      <c r="AW378" s="883">
        <v>14356</v>
      </c>
      <c r="AX378" s="883">
        <v>74834</v>
      </c>
      <c r="AY378" s="883">
        <v>69246</v>
      </c>
      <c r="AZ378" s="886">
        <v>0</v>
      </c>
      <c r="BA378" s="886">
        <v>0</v>
      </c>
      <c r="BB378" s="883">
        <v>0.6</v>
      </c>
      <c r="BC378" s="888">
        <v>1</v>
      </c>
      <c r="BD378" s="889">
        <v>0</v>
      </c>
      <c r="BE378" s="889">
        <v>0</v>
      </c>
      <c r="BF378" s="890">
        <v>0</v>
      </c>
      <c r="BG378" s="883">
        <v>1</v>
      </c>
      <c r="BH378" s="883">
        <v>0</v>
      </c>
      <c r="BI378" s="890">
        <v>0</v>
      </c>
      <c r="BJ378" s="883">
        <v>0</v>
      </c>
      <c r="BK378" s="883">
        <v>0</v>
      </c>
      <c r="BL378" s="883">
        <v>1</v>
      </c>
      <c r="BM378" s="890">
        <v>0</v>
      </c>
      <c r="BN378" s="958">
        <v>5.0000000000000001E-3</v>
      </c>
      <c r="BO378" s="959">
        <v>2.5</v>
      </c>
      <c r="BP378" s="1018">
        <f t="shared" ca="1" si="547"/>
        <v>148.5</v>
      </c>
      <c r="BQ378" s="1018">
        <f t="shared" ca="1" si="548"/>
        <v>412.25249999999994</v>
      </c>
      <c r="BR378" s="1018">
        <f t="shared" ca="1" si="549"/>
        <v>148.44999999999999</v>
      </c>
      <c r="BS378" s="1018">
        <f t="shared" ca="1" si="550"/>
        <v>100.98500000000001</v>
      </c>
      <c r="BT378" s="1018">
        <f t="shared" ca="1" si="551"/>
        <v>148.5</v>
      </c>
      <c r="BU378" s="1018">
        <f t="shared" ca="1" si="552"/>
        <v>46.489999999999995</v>
      </c>
      <c r="BV378" s="1018">
        <f t="shared" ca="1" si="553"/>
        <v>2.15</v>
      </c>
      <c r="BW378" s="1018">
        <v>0</v>
      </c>
      <c r="BX378" s="1018">
        <f t="shared" ca="1" si="554"/>
        <v>45.00757958564931</v>
      </c>
      <c r="BY378" s="1018">
        <f t="shared" ca="1" si="555"/>
        <v>40.411542995408858</v>
      </c>
      <c r="BZ378" s="1018">
        <f t="shared" ca="1" si="480"/>
        <v>19.61051309095421</v>
      </c>
      <c r="CA378" s="1018">
        <f t="shared" ca="1" si="481"/>
        <v>92.979999962808009</v>
      </c>
      <c r="CB378" s="1018">
        <f t="shared" ca="1" si="556"/>
        <v>4.5133587786259541</v>
      </c>
      <c r="CC378" s="1018">
        <f t="shared" si="482"/>
        <v>0</v>
      </c>
      <c r="CD378" s="1018">
        <f t="shared" ref="CD378:CD385" ca="1" si="559">SUM(BX378:CC378)+(BR378+BS378+BT378+BU378+BV378)*BN378</f>
        <v>204.75586941344633</v>
      </c>
      <c r="CE378" s="1018">
        <f t="shared" ca="1" si="557"/>
        <v>114.37589872618642</v>
      </c>
      <c r="CF378" s="1018">
        <f t="shared" ca="1" si="483"/>
        <v>9.5739530441889826</v>
      </c>
      <c r="CG378" s="1018">
        <f t="shared" ca="1" si="484"/>
        <v>15940.248860452886</v>
      </c>
    </row>
    <row r="379" spans="4:85" x14ac:dyDescent="0.25">
      <c r="D379" s="1"/>
      <c r="F379" s="1"/>
      <c r="G379" s="3"/>
      <c r="H379" s="6"/>
      <c r="I379" s="3"/>
      <c r="J379" s="6"/>
      <c r="K379" s="8"/>
      <c r="L379" s="6"/>
      <c r="M379" s="1"/>
      <c r="N379" s="1"/>
      <c r="O379" s="1"/>
      <c r="P379" s="1"/>
      <c r="Q379" s="1" t="s">
        <v>16</v>
      </c>
      <c r="R379" s="4"/>
      <c r="S379" s="1"/>
      <c r="T379" s="77"/>
      <c r="U379" s="294"/>
      <c r="W379" s="176">
        <f t="shared" si="544"/>
        <v>0</v>
      </c>
      <c r="X379" s="176">
        <f t="shared" si="558"/>
        <v>0</v>
      </c>
      <c r="Y379" s="34">
        <f>X379/Calculation_sheet!M$67</f>
        <v>0</v>
      </c>
      <c r="Z379" s="176">
        <f ca="1">IF(AN379&gt;0,Y379*Calculation_sheet!C$87,0)</f>
        <v>0</v>
      </c>
      <c r="AA379" s="176">
        <f t="shared" ca="1" si="486"/>
        <v>0</v>
      </c>
      <c r="AB379" s="176">
        <f ca="1">IF(AP379&gt;0,AA379*Calculation_sheet!C$94,0)</f>
        <v>0</v>
      </c>
      <c r="AC379" s="176">
        <f t="shared" ca="1" si="545"/>
        <v>0</v>
      </c>
      <c r="AD379" s="958">
        <f ca="1">AC379*Calculation_sheet!C$99</f>
        <v>0</v>
      </c>
      <c r="AE379" s="176">
        <f t="shared" ca="1" si="545"/>
        <v>0</v>
      </c>
      <c r="AF379" s="176">
        <f t="shared" ca="1" si="546"/>
        <v>0</v>
      </c>
      <c r="AG379" s="958">
        <f ca="1">AF379*User_sheet!B$77/100</f>
        <v>0</v>
      </c>
      <c r="AH379" s="313"/>
      <c r="AI379" s="883">
        <v>103</v>
      </c>
      <c r="AJ379" s="985"/>
      <c r="AK379" s="1020">
        <f t="shared" ca="1" si="479"/>
        <v>204.75586941344633</v>
      </c>
      <c r="AL379" s="954">
        <f ca="1">AK379/'103'!I$24</f>
        <v>0.46077270191492847</v>
      </c>
      <c r="AM379" s="954">
        <f ca="1">0.8*(AK379*30+'103'!D$17*0.34*30*1)</f>
        <v>8366.4940659227123</v>
      </c>
      <c r="AN379" s="954">
        <f ca="1">IF(AM379&lt;User_sheet!B$50,Y379,0)</f>
        <v>0</v>
      </c>
      <c r="AO379" s="954">
        <f ca="1">20-(User_sheet!B$57/('Freestanding '!AK379+'103'!D$17*1*0.34))</f>
        <v>3.6490650776655045</v>
      </c>
      <c r="AP379" s="954">
        <f ca="1">IF(AO379&lt;User_sheet!B$59,0,BC379*AA379)</f>
        <v>0</v>
      </c>
      <c r="AQ379" s="985"/>
      <c r="AR379" s="883">
        <v>0.32</v>
      </c>
      <c r="AS379" s="883">
        <v>0.43</v>
      </c>
      <c r="AT379" s="883">
        <v>0.43</v>
      </c>
      <c r="AU379" s="883">
        <v>2</v>
      </c>
      <c r="AV379" s="883">
        <v>3.3</v>
      </c>
      <c r="AW379" s="883">
        <v>14356</v>
      </c>
      <c r="AX379" s="883">
        <v>74834</v>
      </c>
      <c r="AY379" s="883">
        <v>69246</v>
      </c>
      <c r="AZ379" s="886">
        <v>0</v>
      </c>
      <c r="BA379" s="886">
        <v>0</v>
      </c>
      <c r="BB379" s="883">
        <v>0.6</v>
      </c>
      <c r="BC379" s="888">
        <v>1</v>
      </c>
      <c r="BD379" s="889">
        <v>0</v>
      </c>
      <c r="BE379" s="889">
        <v>0</v>
      </c>
      <c r="BF379" s="890">
        <v>0</v>
      </c>
      <c r="BG379" s="883">
        <v>0</v>
      </c>
      <c r="BH379" s="883">
        <v>1</v>
      </c>
      <c r="BI379" s="890">
        <v>0</v>
      </c>
      <c r="BJ379" s="883">
        <v>1</v>
      </c>
      <c r="BK379" s="883">
        <v>0</v>
      </c>
      <c r="BL379" s="883">
        <v>0</v>
      </c>
      <c r="BM379" s="890">
        <v>0</v>
      </c>
      <c r="BN379" s="958">
        <v>5.0000000000000001E-3</v>
      </c>
      <c r="BO379" s="959">
        <v>2.5</v>
      </c>
      <c r="BP379" s="1018">
        <f t="shared" ca="1" si="547"/>
        <v>148.5</v>
      </c>
      <c r="BQ379" s="1018">
        <f t="shared" ca="1" si="548"/>
        <v>412.25249999999994</v>
      </c>
      <c r="BR379" s="1018">
        <f t="shared" ca="1" si="549"/>
        <v>148.44999999999999</v>
      </c>
      <c r="BS379" s="1018">
        <f t="shared" ca="1" si="550"/>
        <v>100.98500000000001</v>
      </c>
      <c r="BT379" s="1018">
        <f t="shared" ca="1" si="551"/>
        <v>148.5</v>
      </c>
      <c r="BU379" s="1018">
        <f t="shared" ca="1" si="552"/>
        <v>46.489999999999995</v>
      </c>
      <c r="BV379" s="1018">
        <f t="shared" ca="1" si="553"/>
        <v>2.15</v>
      </c>
      <c r="BW379" s="1018">
        <v>0</v>
      </c>
      <c r="BX379" s="1018">
        <f t="shared" ca="1" si="554"/>
        <v>45.00757958564931</v>
      </c>
      <c r="BY379" s="1018">
        <f t="shared" ca="1" si="555"/>
        <v>40.411542995408858</v>
      </c>
      <c r="BZ379" s="1018">
        <f t="shared" ca="1" si="480"/>
        <v>19.61051309095421</v>
      </c>
      <c r="CA379" s="1018">
        <f t="shared" ca="1" si="481"/>
        <v>92.979999962808009</v>
      </c>
      <c r="CB379" s="1018">
        <f t="shared" ca="1" si="556"/>
        <v>4.5133587786259541</v>
      </c>
      <c r="CC379" s="1018">
        <f t="shared" si="482"/>
        <v>0</v>
      </c>
      <c r="CD379" s="1018">
        <f t="shared" ca="1" si="559"/>
        <v>204.75586941344633</v>
      </c>
      <c r="CE379" s="1018">
        <f t="shared" ca="1" si="557"/>
        <v>114.37589872618642</v>
      </c>
      <c r="CF379" s="1018">
        <f t="shared" ca="1" si="483"/>
        <v>9.5739530441889826</v>
      </c>
      <c r="CG379" s="1018">
        <f t="shared" ca="1" si="484"/>
        <v>15940.248860452886</v>
      </c>
    </row>
    <row r="380" spans="4:85" x14ac:dyDescent="0.25">
      <c r="D380" s="1"/>
      <c r="F380" s="1"/>
      <c r="G380" s="3"/>
      <c r="H380" s="6"/>
      <c r="I380" s="3"/>
      <c r="J380" s="3" t="s">
        <v>143</v>
      </c>
      <c r="K380" s="8"/>
      <c r="L380" s="6"/>
      <c r="M380" s="1" t="s">
        <v>16</v>
      </c>
      <c r="N380" s="4"/>
      <c r="O380" s="1" t="s">
        <v>19</v>
      </c>
      <c r="P380" s="4"/>
      <c r="Q380" s="1" t="s">
        <v>7</v>
      </c>
      <c r="R380" s="4"/>
      <c r="S380" s="1"/>
      <c r="T380" s="77"/>
      <c r="U380" s="294"/>
      <c r="W380" s="176">
        <f t="shared" si="544"/>
        <v>0</v>
      </c>
      <c r="X380" s="176">
        <f t="shared" si="558"/>
        <v>0</v>
      </c>
      <c r="Y380" s="34">
        <f>X380/Calculation_sheet!M$67</f>
        <v>0</v>
      </c>
      <c r="Z380" s="176">
        <f ca="1">IF(AN380&gt;0,Y380*Calculation_sheet!C$87,0)</f>
        <v>0</v>
      </c>
      <c r="AA380" s="176">
        <f t="shared" ca="1" si="486"/>
        <v>0</v>
      </c>
      <c r="AB380" s="176">
        <f ca="1">IF(AP380&gt;0,AA380*Calculation_sheet!C$94,0)</f>
        <v>0</v>
      </c>
      <c r="AC380" s="176">
        <f t="shared" ca="1" si="545"/>
        <v>0</v>
      </c>
      <c r="AD380" s="958">
        <f ca="1">AC380*Calculation_sheet!C$99</f>
        <v>0</v>
      </c>
      <c r="AE380" s="176">
        <f t="shared" ca="1" si="545"/>
        <v>0</v>
      </c>
      <c r="AF380" s="176">
        <f t="shared" ca="1" si="546"/>
        <v>0</v>
      </c>
      <c r="AG380" s="958">
        <f ca="1">AF380*User_sheet!B$77/100</f>
        <v>0</v>
      </c>
      <c r="AH380" s="313"/>
      <c r="AI380" s="883">
        <v>103</v>
      </c>
      <c r="AJ380" s="985"/>
      <c r="AK380" s="1020">
        <f t="shared" ca="1" si="479"/>
        <v>204.75586941344633</v>
      </c>
      <c r="AL380" s="954">
        <f ca="1">AK380/'103'!I$24</f>
        <v>0.46077270191492847</v>
      </c>
      <c r="AM380" s="954">
        <f ca="1">0.8*(AK380*30+'103'!D$17*0.34*30*1)</f>
        <v>8366.4940659227123</v>
      </c>
      <c r="AN380" s="954">
        <f ca="1">IF(AM380&lt;User_sheet!B$50,Y380,0)</f>
        <v>0</v>
      </c>
      <c r="AO380" s="954">
        <f ca="1">20-(User_sheet!B$57/('Freestanding '!AK380+'103'!D$17*1*0.34))</f>
        <v>3.6490650776655045</v>
      </c>
      <c r="AP380" s="954">
        <f ca="1">IF(AO380&lt;User_sheet!B$59,0,BC380*AA380)</f>
        <v>0</v>
      </c>
      <c r="AQ380" s="985"/>
      <c r="AR380" s="883">
        <v>0.32</v>
      </c>
      <c r="AS380" s="883">
        <v>0.43</v>
      </c>
      <c r="AT380" s="883">
        <v>0.43</v>
      </c>
      <c r="AU380" s="883">
        <v>2</v>
      </c>
      <c r="AV380" s="883">
        <v>3.3</v>
      </c>
      <c r="AW380" s="883">
        <v>14356</v>
      </c>
      <c r="AX380" s="883">
        <v>74834</v>
      </c>
      <c r="AY380" s="883">
        <v>69246</v>
      </c>
      <c r="AZ380" s="886">
        <v>0</v>
      </c>
      <c r="BA380" s="886">
        <v>0</v>
      </c>
      <c r="BB380" s="883">
        <v>0.6</v>
      </c>
      <c r="BC380" s="888">
        <v>1</v>
      </c>
      <c r="BD380" s="889">
        <v>0</v>
      </c>
      <c r="BE380" s="889">
        <v>0</v>
      </c>
      <c r="BF380" s="890">
        <v>0</v>
      </c>
      <c r="BG380" s="883">
        <v>0</v>
      </c>
      <c r="BH380" s="883">
        <v>1</v>
      </c>
      <c r="BI380" s="890">
        <v>0</v>
      </c>
      <c r="BJ380" s="883">
        <v>0</v>
      </c>
      <c r="BK380" s="883">
        <v>0</v>
      </c>
      <c r="BL380" s="883">
        <v>1</v>
      </c>
      <c r="BM380" s="890">
        <v>0</v>
      </c>
      <c r="BN380" s="958">
        <v>5.0000000000000001E-3</v>
      </c>
      <c r="BO380" s="959">
        <v>2.5</v>
      </c>
      <c r="BP380" s="1018">
        <f t="shared" ca="1" si="547"/>
        <v>148.5</v>
      </c>
      <c r="BQ380" s="1018">
        <f t="shared" ca="1" si="548"/>
        <v>412.25249999999994</v>
      </c>
      <c r="BR380" s="1018">
        <f t="shared" ca="1" si="549"/>
        <v>148.44999999999999</v>
      </c>
      <c r="BS380" s="1018">
        <f t="shared" ca="1" si="550"/>
        <v>100.98500000000001</v>
      </c>
      <c r="BT380" s="1018">
        <f t="shared" ca="1" si="551"/>
        <v>148.5</v>
      </c>
      <c r="BU380" s="1018">
        <f t="shared" ca="1" si="552"/>
        <v>46.489999999999995</v>
      </c>
      <c r="BV380" s="1018">
        <f t="shared" ca="1" si="553"/>
        <v>2.15</v>
      </c>
      <c r="BW380" s="1018">
        <v>0</v>
      </c>
      <c r="BX380" s="1018">
        <f t="shared" ca="1" si="554"/>
        <v>45.00757958564931</v>
      </c>
      <c r="BY380" s="1018">
        <f t="shared" ca="1" si="555"/>
        <v>40.411542995408858</v>
      </c>
      <c r="BZ380" s="1018">
        <f t="shared" ca="1" si="480"/>
        <v>19.61051309095421</v>
      </c>
      <c r="CA380" s="1018">
        <f t="shared" ca="1" si="481"/>
        <v>92.979999962808009</v>
      </c>
      <c r="CB380" s="1018">
        <f t="shared" ca="1" si="556"/>
        <v>4.5133587786259541</v>
      </c>
      <c r="CC380" s="1018">
        <f t="shared" si="482"/>
        <v>0</v>
      </c>
      <c r="CD380" s="1018">
        <f t="shared" ca="1" si="559"/>
        <v>204.75586941344633</v>
      </c>
      <c r="CE380" s="1018">
        <f t="shared" ca="1" si="557"/>
        <v>114.37589872618642</v>
      </c>
      <c r="CF380" s="1018">
        <f t="shared" ca="1" si="483"/>
        <v>9.5739530441889826</v>
      </c>
      <c r="CG380" s="1018">
        <f t="shared" ca="1" si="484"/>
        <v>15940.248860452886</v>
      </c>
    </row>
    <row r="381" spans="4:85" x14ac:dyDescent="0.25">
      <c r="D381" s="1"/>
      <c r="F381" s="1"/>
      <c r="G381" s="3"/>
      <c r="H381" s="6"/>
      <c r="I381" s="3"/>
      <c r="J381" s="6" t="s">
        <v>190</v>
      </c>
      <c r="K381" s="8"/>
      <c r="L381" s="6"/>
      <c r="M381" s="1"/>
      <c r="N381" s="1"/>
      <c r="O381" s="1"/>
      <c r="P381" s="1"/>
      <c r="Q381" s="1" t="s">
        <v>22</v>
      </c>
      <c r="R381" s="4"/>
      <c r="S381" s="1"/>
      <c r="T381" s="77"/>
      <c r="U381" s="294"/>
      <c r="W381" s="176">
        <f t="shared" si="544"/>
        <v>0</v>
      </c>
      <c r="X381" s="176">
        <f t="shared" si="558"/>
        <v>0</v>
      </c>
      <c r="Y381" s="34">
        <f>X381/Calculation_sheet!M$67</f>
        <v>0</v>
      </c>
      <c r="Z381" s="176">
        <f ca="1">IF(AN381&gt;0,Y381*Calculation_sheet!C$87,0)</f>
        <v>0</v>
      </c>
      <c r="AA381" s="176">
        <f t="shared" ca="1" si="486"/>
        <v>0</v>
      </c>
      <c r="AB381" s="176">
        <f ca="1">IF(AP381&gt;0,AA381*Calculation_sheet!C$94,0)</f>
        <v>0</v>
      </c>
      <c r="AC381" s="176">
        <f t="shared" ca="1" si="545"/>
        <v>0</v>
      </c>
      <c r="AD381" s="958">
        <f ca="1">AC381*Calculation_sheet!C$99</f>
        <v>0</v>
      </c>
      <c r="AE381" s="176">
        <f t="shared" ca="1" si="545"/>
        <v>0</v>
      </c>
      <c r="AF381" s="176">
        <f t="shared" ca="1" si="546"/>
        <v>0</v>
      </c>
      <c r="AG381" s="958">
        <f ca="1">AF381*User_sheet!B$77/100</f>
        <v>0</v>
      </c>
      <c r="AH381" s="313"/>
      <c r="AI381" s="883">
        <v>103</v>
      </c>
      <c r="AJ381" s="985"/>
      <c r="AK381" s="1020">
        <f t="shared" ca="1" si="479"/>
        <v>204.75586941344633</v>
      </c>
      <c r="AL381" s="954">
        <f ca="1">AK381/'103'!I$24</f>
        <v>0.46077270191492847</v>
      </c>
      <c r="AM381" s="954">
        <f ca="1">0.8*(AK381*30+'103'!D$17*0.34*30*1)</f>
        <v>8366.4940659227123</v>
      </c>
      <c r="AN381" s="954">
        <f ca="1">IF(AM381&lt;User_sheet!B$50,Y381,0)</f>
        <v>0</v>
      </c>
      <c r="AO381" s="954">
        <f ca="1">20-(User_sheet!B$57/('Freestanding '!AK381+'103'!D$17*1*0.34))</f>
        <v>3.6490650776655045</v>
      </c>
      <c r="AP381" s="954">
        <f ca="1">IF(AO381&lt;User_sheet!B$59,0,BC381*AA381)</f>
        <v>0</v>
      </c>
      <c r="AQ381" s="985"/>
      <c r="AR381" s="883">
        <v>0.32</v>
      </c>
      <c r="AS381" s="883">
        <v>0.43</v>
      </c>
      <c r="AT381" s="883">
        <v>0.43</v>
      </c>
      <c r="AU381" s="883">
        <v>2</v>
      </c>
      <c r="AV381" s="883">
        <v>3.3</v>
      </c>
      <c r="AW381" s="883">
        <v>14356</v>
      </c>
      <c r="AX381" s="883">
        <v>74834</v>
      </c>
      <c r="AY381" s="883">
        <v>69246</v>
      </c>
      <c r="AZ381" s="886">
        <v>0</v>
      </c>
      <c r="BA381" s="886">
        <v>0</v>
      </c>
      <c r="BB381" s="883">
        <v>0.6</v>
      </c>
      <c r="BC381" s="888">
        <v>0</v>
      </c>
      <c r="BD381" s="889">
        <v>1</v>
      </c>
      <c r="BE381" s="889">
        <v>0</v>
      </c>
      <c r="BF381" s="890">
        <v>0</v>
      </c>
      <c r="BG381" s="883">
        <v>1</v>
      </c>
      <c r="BH381" s="883">
        <v>0</v>
      </c>
      <c r="BI381" s="890">
        <v>0</v>
      </c>
      <c r="BJ381" s="883">
        <v>0</v>
      </c>
      <c r="BK381" s="883">
        <v>1</v>
      </c>
      <c r="BL381" s="883">
        <v>0</v>
      </c>
      <c r="BM381" s="890">
        <v>0</v>
      </c>
      <c r="BN381" s="958">
        <v>5.0000000000000001E-3</v>
      </c>
      <c r="BO381" s="959">
        <v>2.5</v>
      </c>
      <c r="BP381" s="1018">
        <f t="shared" ca="1" si="547"/>
        <v>148.5</v>
      </c>
      <c r="BQ381" s="1018">
        <f t="shared" ca="1" si="548"/>
        <v>412.25249999999994</v>
      </c>
      <c r="BR381" s="1018">
        <f t="shared" ca="1" si="549"/>
        <v>148.44999999999999</v>
      </c>
      <c r="BS381" s="1018">
        <f t="shared" ca="1" si="550"/>
        <v>100.98500000000001</v>
      </c>
      <c r="BT381" s="1018">
        <f t="shared" ca="1" si="551"/>
        <v>148.5</v>
      </c>
      <c r="BU381" s="1018">
        <f t="shared" ca="1" si="552"/>
        <v>46.489999999999995</v>
      </c>
      <c r="BV381" s="1018">
        <f t="shared" ca="1" si="553"/>
        <v>2.15</v>
      </c>
      <c r="BW381" s="1018">
        <v>0</v>
      </c>
      <c r="BX381" s="1018">
        <f t="shared" ca="1" si="554"/>
        <v>45.00757958564931</v>
      </c>
      <c r="BY381" s="1018">
        <f t="shared" ca="1" si="555"/>
        <v>40.411542995408858</v>
      </c>
      <c r="BZ381" s="1018">
        <f t="shared" ca="1" si="480"/>
        <v>19.61051309095421</v>
      </c>
      <c r="CA381" s="1018">
        <f t="shared" ca="1" si="481"/>
        <v>92.979999962808009</v>
      </c>
      <c r="CB381" s="1018">
        <f t="shared" ca="1" si="556"/>
        <v>4.5133587786259541</v>
      </c>
      <c r="CC381" s="1018">
        <f t="shared" si="482"/>
        <v>0</v>
      </c>
      <c r="CD381" s="1018">
        <f t="shared" ca="1" si="559"/>
        <v>204.75586941344633</v>
      </c>
      <c r="CE381" s="1018">
        <f t="shared" ca="1" si="557"/>
        <v>114.37589872618642</v>
      </c>
      <c r="CF381" s="1018">
        <f t="shared" ca="1" si="483"/>
        <v>9.5739530441889826</v>
      </c>
      <c r="CG381" s="1018">
        <f t="shared" ca="1" si="484"/>
        <v>15940.248860452886</v>
      </c>
    </row>
    <row r="382" spans="4:85" x14ac:dyDescent="0.25">
      <c r="D382" s="1"/>
      <c r="F382" s="1"/>
      <c r="G382" s="3"/>
      <c r="H382" s="6"/>
      <c r="I382" s="3"/>
      <c r="K382" s="8"/>
      <c r="L382" s="6"/>
      <c r="M382" s="1"/>
      <c r="N382" s="1"/>
      <c r="O382" s="1" t="s">
        <v>18</v>
      </c>
      <c r="P382" s="4"/>
      <c r="Q382" s="1" t="s">
        <v>7</v>
      </c>
      <c r="R382" s="4"/>
      <c r="S382" s="1"/>
      <c r="T382" s="77"/>
      <c r="U382" s="294"/>
      <c r="W382" s="176">
        <f t="shared" si="544"/>
        <v>0</v>
      </c>
      <c r="X382" s="176">
        <f t="shared" si="558"/>
        <v>0</v>
      </c>
      <c r="Y382" s="34">
        <f>X382/Calculation_sheet!M$67</f>
        <v>0</v>
      </c>
      <c r="Z382" s="176">
        <f ca="1">IF(AN382&gt;0,Y382*Calculation_sheet!C$87,0)</f>
        <v>0</v>
      </c>
      <c r="AA382" s="176">
        <f t="shared" ca="1" si="486"/>
        <v>0</v>
      </c>
      <c r="AB382" s="176">
        <f ca="1">IF(AP382&gt;0,AA382*Calculation_sheet!C$94,0)</f>
        <v>0</v>
      </c>
      <c r="AC382" s="176">
        <f t="shared" ca="1" si="545"/>
        <v>0</v>
      </c>
      <c r="AD382" s="958">
        <f ca="1">AC382*Calculation_sheet!C$99</f>
        <v>0</v>
      </c>
      <c r="AE382" s="176">
        <f t="shared" ca="1" si="545"/>
        <v>0</v>
      </c>
      <c r="AF382" s="176">
        <f t="shared" ca="1" si="546"/>
        <v>0</v>
      </c>
      <c r="AG382" s="958">
        <f ca="1">AF382*User_sheet!B$77/100</f>
        <v>0</v>
      </c>
      <c r="AH382" s="313"/>
      <c r="AI382" s="883">
        <v>103</v>
      </c>
      <c r="AJ382" s="985"/>
      <c r="AK382" s="1020">
        <f t="shared" ca="1" si="479"/>
        <v>204.75586941344633</v>
      </c>
      <c r="AL382" s="954">
        <f ca="1">AK382/'103'!I$24</f>
        <v>0.46077270191492847</v>
      </c>
      <c r="AM382" s="954">
        <f ca="1">0.8*(AK382*30+'103'!D$17*0.34*30*1)</f>
        <v>8366.4940659227123</v>
      </c>
      <c r="AN382" s="954">
        <f ca="1">IF(AM382&lt;User_sheet!B$50,Y382,0)</f>
        <v>0</v>
      </c>
      <c r="AO382" s="954">
        <f ca="1">20-(User_sheet!B$57/('Freestanding '!AK382+'103'!D$17*1*0.34))</f>
        <v>3.6490650776655045</v>
      </c>
      <c r="AP382" s="954">
        <f ca="1">IF(AO382&lt;User_sheet!B$59,0,BC382*AA382)</f>
        <v>0</v>
      </c>
      <c r="AQ382" s="985"/>
      <c r="AR382" s="883">
        <v>0.32</v>
      </c>
      <c r="AS382" s="883">
        <v>0.43</v>
      </c>
      <c r="AT382" s="883">
        <v>0.43</v>
      </c>
      <c r="AU382" s="883">
        <v>2</v>
      </c>
      <c r="AV382" s="883">
        <v>3.3</v>
      </c>
      <c r="AW382" s="883">
        <v>14356</v>
      </c>
      <c r="AX382" s="883">
        <v>74834</v>
      </c>
      <c r="AY382" s="883">
        <v>69246</v>
      </c>
      <c r="AZ382" s="886">
        <v>0</v>
      </c>
      <c r="BA382" s="886">
        <v>0</v>
      </c>
      <c r="BB382" s="883">
        <v>0.6</v>
      </c>
      <c r="BC382" s="888">
        <v>0</v>
      </c>
      <c r="BD382" s="889">
        <v>1</v>
      </c>
      <c r="BE382" s="889">
        <v>0</v>
      </c>
      <c r="BF382" s="890">
        <v>0</v>
      </c>
      <c r="BG382" s="883">
        <v>1</v>
      </c>
      <c r="BH382" s="883">
        <v>0</v>
      </c>
      <c r="BI382" s="890">
        <v>0</v>
      </c>
      <c r="BJ382" s="883">
        <v>0</v>
      </c>
      <c r="BK382" s="883">
        <v>0</v>
      </c>
      <c r="BL382" s="883">
        <v>1</v>
      </c>
      <c r="BM382" s="890">
        <v>0</v>
      </c>
      <c r="BN382" s="958">
        <v>5.0000000000000001E-3</v>
      </c>
      <c r="BO382" s="959">
        <v>2.5</v>
      </c>
      <c r="BP382" s="1018">
        <f t="shared" ca="1" si="547"/>
        <v>148.5</v>
      </c>
      <c r="BQ382" s="1018">
        <f t="shared" ca="1" si="548"/>
        <v>412.25249999999994</v>
      </c>
      <c r="BR382" s="1018">
        <f t="shared" ca="1" si="549"/>
        <v>148.44999999999999</v>
      </c>
      <c r="BS382" s="1018">
        <f t="shared" ca="1" si="550"/>
        <v>100.98500000000001</v>
      </c>
      <c r="BT382" s="1018">
        <f t="shared" ca="1" si="551"/>
        <v>148.5</v>
      </c>
      <c r="BU382" s="1018">
        <f t="shared" ca="1" si="552"/>
        <v>46.489999999999995</v>
      </c>
      <c r="BV382" s="1018">
        <f t="shared" ca="1" si="553"/>
        <v>2.15</v>
      </c>
      <c r="BW382" s="1018">
        <v>0</v>
      </c>
      <c r="BX382" s="1018">
        <f t="shared" ca="1" si="554"/>
        <v>45.00757958564931</v>
      </c>
      <c r="BY382" s="1018">
        <f t="shared" ca="1" si="555"/>
        <v>40.411542995408858</v>
      </c>
      <c r="BZ382" s="1018">
        <f t="shared" ca="1" si="480"/>
        <v>19.61051309095421</v>
      </c>
      <c r="CA382" s="1018">
        <f t="shared" ca="1" si="481"/>
        <v>92.979999962808009</v>
      </c>
      <c r="CB382" s="1018">
        <f t="shared" ca="1" si="556"/>
        <v>4.5133587786259541</v>
      </c>
      <c r="CC382" s="1018">
        <f t="shared" si="482"/>
        <v>0</v>
      </c>
      <c r="CD382" s="1018">
        <f t="shared" ca="1" si="559"/>
        <v>204.75586941344633</v>
      </c>
      <c r="CE382" s="1018">
        <f t="shared" ca="1" si="557"/>
        <v>114.37589872618642</v>
      </c>
      <c r="CF382" s="1018">
        <f t="shared" ca="1" si="483"/>
        <v>9.5739530441889826</v>
      </c>
      <c r="CG382" s="1018">
        <f t="shared" ca="1" si="484"/>
        <v>15940.248860452886</v>
      </c>
    </row>
    <row r="383" spans="4:85" x14ac:dyDescent="0.25">
      <c r="D383" s="1"/>
      <c r="F383" s="1"/>
      <c r="G383" s="3"/>
      <c r="H383" s="6"/>
      <c r="I383" s="3"/>
      <c r="K383" s="8"/>
      <c r="L383" s="6"/>
      <c r="M383" s="1"/>
      <c r="N383" s="1"/>
      <c r="O383" s="1"/>
      <c r="P383" s="1"/>
      <c r="Q383" s="1" t="s">
        <v>22</v>
      </c>
      <c r="R383" s="4"/>
      <c r="S383" s="1"/>
      <c r="T383" s="77"/>
      <c r="U383" s="294"/>
      <c r="W383" s="176">
        <f t="shared" si="544"/>
        <v>0</v>
      </c>
      <c r="X383" s="176">
        <f t="shared" si="558"/>
        <v>0</v>
      </c>
      <c r="Y383" s="34">
        <f>X383/Calculation_sheet!M$67</f>
        <v>0</v>
      </c>
      <c r="Z383" s="176">
        <f ca="1">IF(AN383&gt;0,Y383*Calculation_sheet!C$87,0)</f>
        <v>0</v>
      </c>
      <c r="AA383" s="176">
        <f t="shared" ca="1" si="486"/>
        <v>0</v>
      </c>
      <c r="AB383" s="176">
        <f ca="1">IF(AP383&gt;0,AA383*Calculation_sheet!C$94,0)</f>
        <v>0</v>
      </c>
      <c r="AC383" s="176">
        <f t="shared" ca="1" si="545"/>
        <v>0</v>
      </c>
      <c r="AD383" s="958">
        <f ca="1">AC383*Calculation_sheet!C$99</f>
        <v>0</v>
      </c>
      <c r="AE383" s="176">
        <f t="shared" ca="1" si="545"/>
        <v>0</v>
      </c>
      <c r="AF383" s="176">
        <f t="shared" ca="1" si="546"/>
        <v>0</v>
      </c>
      <c r="AG383" s="958">
        <f ca="1">AF383*User_sheet!B$77/100</f>
        <v>0</v>
      </c>
      <c r="AH383" s="313"/>
      <c r="AI383" s="883">
        <v>103</v>
      </c>
      <c r="AJ383" s="985"/>
      <c r="AK383" s="1020">
        <f t="shared" ca="1" si="479"/>
        <v>204.75586941344633</v>
      </c>
      <c r="AL383" s="954">
        <f ca="1">AK383/'103'!I$24</f>
        <v>0.46077270191492847</v>
      </c>
      <c r="AM383" s="954">
        <f ca="1">0.8*(AK383*30+'103'!D$17*0.34*30*1)</f>
        <v>8366.4940659227123</v>
      </c>
      <c r="AN383" s="954">
        <f ca="1">IF(AM383&lt;User_sheet!B$50,Y383,0)</f>
        <v>0</v>
      </c>
      <c r="AO383" s="954">
        <f ca="1">20-(User_sheet!B$57/('Freestanding '!AK383+'103'!D$17*1*0.34))</f>
        <v>3.6490650776655045</v>
      </c>
      <c r="AP383" s="954">
        <f ca="1">IF(AO383&lt;User_sheet!B$59,0,BC383*AA383)</f>
        <v>0</v>
      </c>
      <c r="AQ383" s="985"/>
      <c r="AR383" s="883">
        <v>0.32</v>
      </c>
      <c r="AS383" s="883">
        <v>0.43</v>
      </c>
      <c r="AT383" s="883">
        <v>0.43</v>
      </c>
      <c r="AU383" s="883">
        <v>2</v>
      </c>
      <c r="AV383" s="883">
        <v>3.3</v>
      </c>
      <c r="AW383" s="883">
        <v>14356</v>
      </c>
      <c r="AX383" s="883">
        <v>74834</v>
      </c>
      <c r="AY383" s="883">
        <v>69246</v>
      </c>
      <c r="AZ383" s="886">
        <v>0</v>
      </c>
      <c r="BA383" s="886">
        <v>0</v>
      </c>
      <c r="BB383" s="883">
        <v>0.6</v>
      </c>
      <c r="BC383" s="888">
        <v>0</v>
      </c>
      <c r="BD383" s="889">
        <v>1</v>
      </c>
      <c r="BE383" s="889">
        <v>0</v>
      </c>
      <c r="BF383" s="890">
        <v>0</v>
      </c>
      <c r="BG383" s="883">
        <v>0</v>
      </c>
      <c r="BH383" s="883">
        <v>1</v>
      </c>
      <c r="BI383" s="890">
        <v>0</v>
      </c>
      <c r="BJ383" s="883">
        <v>0</v>
      </c>
      <c r="BK383" s="883">
        <v>1</v>
      </c>
      <c r="BL383" s="883">
        <v>0</v>
      </c>
      <c r="BM383" s="890">
        <v>0</v>
      </c>
      <c r="BN383" s="958">
        <v>5.0000000000000001E-3</v>
      </c>
      <c r="BO383" s="959">
        <v>2.5</v>
      </c>
      <c r="BP383" s="1018">
        <f t="shared" ca="1" si="547"/>
        <v>148.5</v>
      </c>
      <c r="BQ383" s="1018">
        <f t="shared" ca="1" si="548"/>
        <v>412.25249999999994</v>
      </c>
      <c r="BR383" s="1018">
        <f t="shared" ca="1" si="549"/>
        <v>148.44999999999999</v>
      </c>
      <c r="BS383" s="1018">
        <f t="shared" ca="1" si="550"/>
        <v>100.98500000000001</v>
      </c>
      <c r="BT383" s="1018">
        <f t="shared" ca="1" si="551"/>
        <v>148.5</v>
      </c>
      <c r="BU383" s="1018">
        <f t="shared" ca="1" si="552"/>
        <v>46.489999999999995</v>
      </c>
      <c r="BV383" s="1018">
        <f t="shared" ca="1" si="553"/>
        <v>2.15</v>
      </c>
      <c r="BW383" s="1018">
        <v>0</v>
      </c>
      <c r="BX383" s="1018">
        <f t="shared" ca="1" si="554"/>
        <v>45.00757958564931</v>
      </c>
      <c r="BY383" s="1018">
        <f t="shared" ca="1" si="555"/>
        <v>40.411542995408858</v>
      </c>
      <c r="BZ383" s="1018">
        <f t="shared" ca="1" si="480"/>
        <v>19.61051309095421</v>
      </c>
      <c r="CA383" s="1018">
        <f t="shared" ca="1" si="481"/>
        <v>92.979999962808009</v>
      </c>
      <c r="CB383" s="1018">
        <f t="shared" ca="1" si="556"/>
        <v>4.5133587786259541</v>
      </c>
      <c r="CC383" s="1018">
        <f t="shared" si="482"/>
        <v>0</v>
      </c>
      <c r="CD383" s="1018">
        <f t="shared" ca="1" si="559"/>
        <v>204.75586941344633</v>
      </c>
      <c r="CE383" s="1018">
        <f t="shared" ca="1" si="557"/>
        <v>114.37589872618642</v>
      </c>
      <c r="CF383" s="1018">
        <f t="shared" ca="1" si="483"/>
        <v>9.5739530441889826</v>
      </c>
      <c r="CG383" s="1018">
        <f t="shared" ca="1" si="484"/>
        <v>15940.248860452886</v>
      </c>
    </row>
    <row r="384" spans="4:85" x14ac:dyDescent="0.25">
      <c r="D384" s="1"/>
      <c r="F384" s="1"/>
      <c r="G384" s="3"/>
      <c r="H384" s="6"/>
      <c r="I384" s="3"/>
      <c r="J384" s="6"/>
      <c r="K384" s="8"/>
      <c r="L384" s="3"/>
      <c r="M384" s="1" t="s">
        <v>22</v>
      </c>
      <c r="N384" s="4"/>
      <c r="O384" s="1" t="s">
        <v>20</v>
      </c>
      <c r="P384" s="4"/>
      <c r="Q384" s="1" t="s">
        <v>7</v>
      </c>
      <c r="R384" s="4"/>
      <c r="S384" s="1"/>
      <c r="T384" s="77"/>
      <c r="U384" s="294"/>
      <c r="W384" s="176">
        <f t="shared" si="544"/>
        <v>0</v>
      </c>
      <c r="X384" s="176">
        <f t="shared" si="558"/>
        <v>0</v>
      </c>
      <c r="Y384" s="34">
        <f>X384/Calculation_sheet!M$67</f>
        <v>0</v>
      </c>
      <c r="Z384" s="176">
        <f ca="1">IF(AN384&gt;0,Y384*Calculation_sheet!C$87,0)</f>
        <v>0</v>
      </c>
      <c r="AA384" s="176">
        <f t="shared" ca="1" si="486"/>
        <v>0</v>
      </c>
      <c r="AB384" s="176">
        <f ca="1">IF(AP384&gt;0,AA384*Calculation_sheet!C$94,0)</f>
        <v>0</v>
      </c>
      <c r="AC384" s="176">
        <f t="shared" ca="1" si="545"/>
        <v>0</v>
      </c>
      <c r="AD384" s="958">
        <f ca="1">AC384*Calculation_sheet!C$99</f>
        <v>0</v>
      </c>
      <c r="AE384" s="176">
        <f t="shared" ca="1" si="545"/>
        <v>0</v>
      </c>
      <c r="AF384" s="176">
        <f t="shared" ca="1" si="546"/>
        <v>0</v>
      </c>
      <c r="AG384" s="958">
        <f ca="1">AF384*User_sheet!B$77/100</f>
        <v>0</v>
      </c>
      <c r="AH384" s="313"/>
      <c r="AI384" s="883">
        <v>103</v>
      </c>
      <c r="AJ384" s="985"/>
      <c r="AK384" s="1020">
        <f t="shared" ca="1" si="479"/>
        <v>204.75586941344633</v>
      </c>
      <c r="AL384" s="954">
        <f ca="1">AK384/'103'!I$24</f>
        <v>0.46077270191492847</v>
      </c>
      <c r="AM384" s="954">
        <f ca="1">0.8*(AK384*30+'103'!D$17*0.34*30*1)</f>
        <v>8366.4940659227123</v>
      </c>
      <c r="AN384" s="954">
        <f ca="1">IF(AM384&lt;User_sheet!B$50,Y384,0)</f>
        <v>0</v>
      </c>
      <c r="AO384" s="954">
        <f ca="1">20-(User_sheet!B$57/('Freestanding '!AK384+'103'!D$17*1*0.34))</f>
        <v>3.6490650776655045</v>
      </c>
      <c r="AP384" s="954">
        <f ca="1">IF(AO384&lt;User_sheet!B$59,0,BC384*AA384)</f>
        <v>0</v>
      </c>
      <c r="AQ384" s="985"/>
      <c r="AR384" s="883">
        <v>0.32</v>
      </c>
      <c r="AS384" s="883">
        <v>0.43</v>
      </c>
      <c r="AT384" s="883">
        <v>0.43</v>
      </c>
      <c r="AU384" s="883">
        <v>2</v>
      </c>
      <c r="AV384" s="883">
        <v>3.3</v>
      </c>
      <c r="AW384" s="883">
        <v>14356</v>
      </c>
      <c r="AX384" s="883">
        <v>74834</v>
      </c>
      <c r="AY384" s="883">
        <v>69246</v>
      </c>
      <c r="AZ384" s="886">
        <v>0</v>
      </c>
      <c r="BA384" s="886">
        <v>0</v>
      </c>
      <c r="BB384" s="883">
        <v>0.6</v>
      </c>
      <c r="BC384" s="888">
        <v>0</v>
      </c>
      <c r="BD384" s="889">
        <v>1</v>
      </c>
      <c r="BE384" s="889">
        <v>0</v>
      </c>
      <c r="BF384" s="890">
        <v>0</v>
      </c>
      <c r="BG384" s="883">
        <v>0</v>
      </c>
      <c r="BH384" s="883">
        <v>1</v>
      </c>
      <c r="BI384" s="890">
        <v>0</v>
      </c>
      <c r="BJ384" s="883">
        <v>0</v>
      </c>
      <c r="BK384" s="883">
        <v>0</v>
      </c>
      <c r="BL384" s="883">
        <v>1</v>
      </c>
      <c r="BM384" s="890">
        <v>0</v>
      </c>
      <c r="BN384" s="958">
        <v>5.0000000000000001E-3</v>
      </c>
      <c r="BO384" s="959">
        <v>2.5</v>
      </c>
      <c r="BP384" s="1018">
        <f t="shared" ca="1" si="547"/>
        <v>148.5</v>
      </c>
      <c r="BQ384" s="1018">
        <f t="shared" ca="1" si="548"/>
        <v>412.25249999999994</v>
      </c>
      <c r="BR384" s="1018">
        <f t="shared" ca="1" si="549"/>
        <v>148.44999999999999</v>
      </c>
      <c r="BS384" s="1018">
        <f t="shared" ca="1" si="550"/>
        <v>100.98500000000001</v>
      </c>
      <c r="BT384" s="1018">
        <f t="shared" ca="1" si="551"/>
        <v>148.5</v>
      </c>
      <c r="BU384" s="1018">
        <f t="shared" ca="1" si="552"/>
        <v>46.489999999999995</v>
      </c>
      <c r="BV384" s="1018">
        <f t="shared" ca="1" si="553"/>
        <v>2.15</v>
      </c>
      <c r="BW384" s="1018">
        <v>0</v>
      </c>
      <c r="BX384" s="1018">
        <f t="shared" ca="1" si="554"/>
        <v>45.00757958564931</v>
      </c>
      <c r="BY384" s="1018">
        <f t="shared" ca="1" si="555"/>
        <v>40.411542995408858</v>
      </c>
      <c r="BZ384" s="1018">
        <f t="shared" ca="1" si="480"/>
        <v>19.61051309095421</v>
      </c>
      <c r="CA384" s="1018">
        <f t="shared" ca="1" si="481"/>
        <v>92.979999962808009</v>
      </c>
      <c r="CB384" s="1018">
        <f t="shared" ca="1" si="556"/>
        <v>4.5133587786259541</v>
      </c>
      <c r="CC384" s="1018">
        <f t="shared" si="482"/>
        <v>0</v>
      </c>
      <c r="CD384" s="1018">
        <f t="shared" ca="1" si="559"/>
        <v>204.75586941344633</v>
      </c>
      <c r="CE384" s="1018">
        <f t="shared" ca="1" si="557"/>
        <v>114.37589872618642</v>
      </c>
      <c r="CF384" s="1018">
        <f t="shared" ca="1" si="483"/>
        <v>9.5739530441889826</v>
      </c>
      <c r="CG384" s="1018">
        <f t="shared" ca="1" si="484"/>
        <v>15940.248860452886</v>
      </c>
    </row>
    <row r="385" spans="4:85" x14ac:dyDescent="0.25">
      <c r="D385" s="1"/>
      <c r="F385" s="1"/>
      <c r="G385" s="3"/>
      <c r="H385" s="6"/>
      <c r="I385" s="3"/>
      <c r="J385" s="6"/>
      <c r="K385" s="8"/>
      <c r="L385" s="7"/>
      <c r="M385" s="1" t="s">
        <v>7</v>
      </c>
      <c r="N385" s="4"/>
      <c r="O385" s="1" t="s">
        <v>23</v>
      </c>
      <c r="P385" s="4"/>
      <c r="Q385" s="1" t="s">
        <v>7</v>
      </c>
      <c r="R385" s="4"/>
      <c r="S385" s="1"/>
      <c r="T385" s="77"/>
      <c r="U385" s="294"/>
      <c r="W385" s="176">
        <f t="shared" si="544"/>
        <v>0</v>
      </c>
      <c r="X385" s="176">
        <f t="shared" si="558"/>
        <v>0</v>
      </c>
      <c r="Y385" s="34">
        <f>X385/Calculation_sheet!M$67</f>
        <v>0</v>
      </c>
      <c r="Z385" s="176">
        <f ca="1">IF(AN385&gt;0,Y385*Calculation_sheet!C$87,0)</f>
        <v>0</v>
      </c>
      <c r="AA385" s="176">
        <f t="shared" ca="1" si="486"/>
        <v>0</v>
      </c>
      <c r="AB385" s="176">
        <f ca="1">IF(AP385&gt;0,AA385*Calculation_sheet!C$94,0)</f>
        <v>0</v>
      </c>
      <c r="AC385" s="176">
        <f t="shared" ca="1" si="545"/>
        <v>0</v>
      </c>
      <c r="AD385" s="958">
        <f ca="1">AC385*Calculation_sheet!C$99</f>
        <v>0</v>
      </c>
      <c r="AE385" s="176">
        <f t="shared" ca="1" si="545"/>
        <v>0</v>
      </c>
      <c r="AF385" s="176">
        <f t="shared" ca="1" si="546"/>
        <v>0</v>
      </c>
      <c r="AG385" s="958">
        <f ca="1">AF385*User_sheet!B$77/100</f>
        <v>0</v>
      </c>
      <c r="AH385" s="313"/>
      <c r="AI385" s="883">
        <v>103</v>
      </c>
      <c r="AJ385" s="985"/>
      <c r="AK385" s="1020">
        <f t="shared" ca="1" si="479"/>
        <v>204.75586941344633</v>
      </c>
      <c r="AL385" s="954">
        <f ca="1">AK385/'103'!I$24</f>
        <v>0.46077270191492847</v>
      </c>
      <c r="AM385" s="954">
        <f ca="1">0.8*(AK385*30+'103'!D$17*0.34*30*1)</f>
        <v>8366.4940659227123</v>
      </c>
      <c r="AN385" s="954">
        <f ca="1">IF(AM385&lt;User_sheet!B$50,Y385,0)</f>
        <v>0</v>
      </c>
      <c r="AO385" s="954">
        <f ca="1">20-(User_sheet!B$57/('Freestanding '!AK385+'103'!D$17*1*0.34))</f>
        <v>3.6490650776655045</v>
      </c>
      <c r="AP385" s="954">
        <f ca="1">IF(AO385&lt;User_sheet!B$59,0,BC385*AA385)</f>
        <v>0</v>
      </c>
      <c r="AQ385" s="985"/>
      <c r="AR385" s="883">
        <v>0.32</v>
      </c>
      <c r="AS385" s="883">
        <v>0.43</v>
      </c>
      <c r="AT385" s="883">
        <v>0.43</v>
      </c>
      <c r="AU385" s="883">
        <v>2</v>
      </c>
      <c r="AV385" s="883">
        <v>3.3</v>
      </c>
      <c r="AW385" s="883">
        <v>14356</v>
      </c>
      <c r="AX385" s="883">
        <v>74834</v>
      </c>
      <c r="AY385" s="883">
        <v>69246</v>
      </c>
      <c r="AZ385" s="886">
        <v>0</v>
      </c>
      <c r="BA385" s="886">
        <v>0</v>
      </c>
      <c r="BB385" s="883">
        <v>0.6</v>
      </c>
      <c r="BC385" s="888">
        <v>0</v>
      </c>
      <c r="BD385" s="889">
        <v>0</v>
      </c>
      <c r="BE385" s="889">
        <v>1</v>
      </c>
      <c r="BF385" s="890">
        <v>0</v>
      </c>
      <c r="BG385" s="883">
        <v>0</v>
      </c>
      <c r="BH385" s="883">
        <v>0</v>
      </c>
      <c r="BI385" s="890">
        <v>1</v>
      </c>
      <c r="BJ385" s="883">
        <v>0</v>
      </c>
      <c r="BK385" s="883">
        <v>0</v>
      </c>
      <c r="BL385" s="883">
        <v>1</v>
      </c>
      <c r="BM385" s="890">
        <v>0</v>
      </c>
      <c r="BN385" s="958">
        <v>5.0000000000000001E-3</v>
      </c>
      <c r="BO385" s="959">
        <v>2.5</v>
      </c>
      <c r="BP385" s="1018">
        <f t="shared" ca="1" si="547"/>
        <v>148.5</v>
      </c>
      <c r="BQ385" s="1018">
        <f t="shared" ca="1" si="548"/>
        <v>412.25249999999994</v>
      </c>
      <c r="BR385" s="1018">
        <f t="shared" ca="1" si="549"/>
        <v>148.44999999999999</v>
      </c>
      <c r="BS385" s="1018">
        <f t="shared" ca="1" si="550"/>
        <v>100.98500000000001</v>
      </c>
      <c r="BT385" s="1018">
        <f t="shared" ca="1" si="551"/>
        <v>148.5</v>
      </c>
      <c r="BU385" s="1018">
        <f t="shared" ca="1" si="552"/>
        <v>46.489999999999995</v>
      </c>
      <c r="BV385" s="1018">
        <f t="shared" ca="1" si="553"/>
        <v>2.15</v>
      </c>
      <c r="BW385" s="1018">
        <v>0</v>
      </c>
      <c r="BX385" s="1018">
        <f t="shared" ca="1" si="554"/>
        <v>45.00757958564931</v>
      </c>
      <c r="BY385" s="1018">
        <f t="shared" ca="1" si="555"/>
        <v>40.411542995408858</v>
      </c>
      <c r="BZ385" s="1018">
        <f t="shared" ca="1" si="480"/>
        <v>19.61051309095421</v>
      </c>
      <c r="CA385" s="1018">
        <f t="shared" ca="1" si="481"/>
        <v>92.979999962808009</v>
      </c>
      <c r="CB385" s="1018">
        <f t="shared" ca="1" si="556"/>
        <v>4.5133587786259541</v>
      </c>
      <c r="CC385" s="1018">
        <f t="shared" si="482"/>
        <v>0</v>
      </c>
      <c r="CD385" s="1018">
        <f t="shared" ca="1" si="559"/>
        <v>204.75586941344633</v>
      </c>
      <c r="CE385" s="1018">
        <f t="shared" ca="1" si="557"/>
        <v>114.37589872618642</v>
      </c>
      <c r="CF385" s="1018">
        <f t="shared" ca="1" si="483"/>
        <v>9.5739530441889826</v>
      </c>
      <c r="CG385" s="1018">
        <f t="shared" ca="1" si="484"/>
        <v>15940.248860452886</v>
      </c>
    </row>
    <row r="386" spans="4:85" s="9" customFormat="1" x14ac:dyDescent="0.25">
      <c r="D386" s="10"/>
      <c r="F386" s="10"/>
      <c r="J386" s="10"/>
      <c r="K386" s="219"/>
      <c r="M386" s="10"/>
      <c r="N386" s="10"/>
      <c r="O386" s="10"/>
      <c r="P386" s="10"/>
      <c r="Q386" s="10"/>
      <c r="R386" s="10"/>
      <c r="S386" s="10"/>
      <c r="T386" s="81"/>
      <c r="U386" s="81"/>
      <c r="V386" s="283"/>
      <c r="W386" s="283"/>
      <c r="X386" s="283"/>
      <c r="Y386" s="279"/>
      <c r="Z386" s="283"/>
      <c r="AA386" s="283"/>
      <c r="AB386" s="283"/>
      <c r="AC386" s="283"/>
      <c r="AD386" s="279"/>
      <c r="AE386" s="283"/>
      <c r="AF386" s="283"/>
      <c r="AG386" s="279"/>
      <c r="AH386" s="313"/>
      <c r="AI386" s="884"/>
      <c r="AJ386" s="985"/>
      <c r="AK386" s="1020">
        <f t="shared" si="479"/>
        <v>0</v>
      </c>
      <c r="AL386" s="916"/>
      <c r="AM386" s="916"/>
      <c r="AN386" s="916"/>
      <c r="AO386" s="916"/>
      <c r="AP386" s="916"/>
      <c r="AQ386" s="985"/>
      <c r="AR386" s="884"/>
      <c r="AS386" s="884"/>
      <c r="AT386" s="884"/>
      <c r="AU386" s="884"/>
      <c r="AV386" s="884"/>
      <c r="AW386" s="884"/>
      <c r="AX386" s="884"/>
      <c r="AY386" s="884"/>
      <c r="AZ386" s="884"/>
      <c r="BA386" s="884"/>
      <c r="BB386" s="884"/>
      <c r="BC386" s="47"/>
      <c r="BD386" s="279"/>
      <c r="BE386" s="279"/>
      <c r="BF386" s="51"/>
      <c r="BG386" s="884"/>
      <c r="BH386" s="884"/>
      <c r="BI386" s="51"/>
      <c r="BJ386" s="884"/>
      <c r="BK386" s="884"/>
      <c r="BL386" s="884"/>
      <c r="BM386" s="51"/>
      <c r="BN386" s="279"/>
      <c r="BO386" s="51"/>
    </row>
    <row r="387" spans="4:85" s="3" customFormat="1" x14ac:dyDescent="0.25">
      <c r="D387" s="450"/>
      <c r="E387" s="446"/>
      <c r="F387" s="450"/>
      <c r="G387" s="446"/>
      <c r="H387" s="446"/>
      <c r="I387" s="446"/>
      <c r="J387" s="446"/>
      <c r="K387" s="446"/>
      <c r="L387" s="446"/>
      <c r="M387" s="450"/>
      <c r="N387" s="450"/>
      <c r="O387" s="450"/>
      <c r="P387" s="450"/>
      <c r="Q387" s="450" t="s">
        <v>16</v>
      </c>
      <c r="R387" s="447">
        <v>0.81069999999999998</v>
      </c>
      <c r="S387" s="450"/>
      <c r="T387" s="456">
        <v>1.1024154372512319E-2</v>
      </c>
      <c r="U387" s="446"/>
      <c r="V387" s="176">
        <f t="shared" ref="V387:V469" si="560">T387</f>
        <v>1.1024154372512319E-2</v>
      </c>
      <c r="W387" s="176">
        <f>V387</f>
        <v>1.1024154372512319E-2</v>
      </c>
      <c r="X387" s="176">
        <f>W387</f>
        <v>1.1024154372512319E-2</v>
      </c>
      <c r="Y387" s="34">
        <f>X387/Calculation_sheet!M$67</f>
        <v>1.1024379777098218E-2</v>
      </c>
      <c r="Z387" s="176">
        <f ca="1">IF(AN387&gt;0,Y387*Calculation_sheet!C$87,0)</f>
        <v>0</v>
      </c>
      <c r="AA387" s="176">
        <f t="shared" ca="1" si="486"/>
        <v>1.1024379777098218E-2</v>
      </c>
      <c r="AB387" s="176">
        <f ca="1">IF(AP387&gt;0,AA387*Calculation_sheet!C$94,0)</f>
        <v>0</v>
      </c>
      <c r="AC387" s="176">
        <f t="shared" ref="AC387:AE395" ca="1" si="561">AA387-AB387</f>
        <v>1.1024379777098218E-2</v>
      </c>
      <c r="AD387" s="958">
        <f ca="1">AC387*Calculation_sheet!C$99</f>
        <v>6.6146278662589306E-3</v>
      </c>
      <c r="AE387" s="176">
        <f t="shared" ca="1" si="561"/>
        <v>4.4097519108392876E-3</v>
      </c>
      <c r="AF387" s="176">
        <f t="shared" ref="AF387:AF395" ca="1" si="562">Y387-AB387</f>
        <v>1.1024379777098218E-2</v>
      </c>
      <c r="AG387" s="958">
        <f ca="1">AF387*User_sheet!B$77/100</f>
        <v>0</v>
      </c>
      <c r="AH387" s="313"/>
      <c r="AI387" s="883">
        <v>104</v>
      </c>
      <c r="AJ387" s="985"/>
      <c r="AK387" s="1020">
        <f t="shared" ca="1" si="479"/>
        <v>127.83822269613444</v>
      </c>
      <c r="AL387" s="954">
        <f ca="1">AK387/'103'!I$24</f>
        <v>0.28768095121492981</v>
      </c>
      <c r="AM387" s="954">
        <f ca="1">0.8*(AK387*30+'104'!D$17*0.34*30*1)</f>
        <v>5987.8306247072269</v>
      </c>
      <c r="AN387" s="954">
        <f ca="1">IF(AM387&lt;User_sheet!B$50,Y387,0)</f>
        <v>1.1024379777098218E-2</v>
      </c>
      <c r="AO387" s="954">
        <f ca="1">20-(User_sheet!B$57/('Freestanding '!AK387+'104'!D$17*1*0.34))</f>
        <v>-2.8463376094057118</v>
      </c>
      <c r="AP387" s="954">
        <f ca="1">IF(AO387&lt;User_sheet!B$59,0,BC387*AA387)</f>
        <v>0</v>
      </c>
      <c r="AQ387" s="985"/>
      <c r="AR387" s="883">
        <v>0.24</v>
      </c>
      <c r="AS387" s="883">
        <v>0.32</v>
      </c>
      <c r="AT387" s="883">
        <v>0.45</v>
      </c>
      <c r="AU387" s="883">
        <v>2</v>
      </c>
      <c r="AV387" s="883">
        <v>3.3</v>
      </c>
      <c r="AW387" s="883">
        <v>14536.85461731979</v>
      </c>
      <c r="AX387" s="883">
        <v>73366.155837550017</v>
      </c>
      <c r="AY387" s="883">
        <v>65937.809199439725</v>
      </c>
      <c r="AZ387" s="886">
        <v>0</v>
      </c>
      <c r="BA387" s="886">
        <v>0</v>
      </c>
      <c r="BB387" s="883">
        <v>0.6</v>
      </c>
      <c r="BC387" s="46">
        <v>1</v>
      </c>
      <c r="BD387" s="199">
        <v>0</v>
      </c>
      <c r="BE387" s="199">
        <v>0</v>
      </c>
      <c r="BF387" s="50">
        <v>0</v>
      </c>
      <c r="BG387" s="886">
        <v>1</v>
      </c>
      <c r="BH387" s="886">
        <v>0</v>
      </c>
      <c r="BI387" s="50">
        <v>0</v>
      </c>
      <c r="BJ387" s="886">
        <v>1</v>
      </c>
      <c r="BK387" s="886">
        <v>0</v>
      </c>
      <c r="BL387" s="886">
        <v>0</v>
      </c>
      <c r="BM387" s="50">
        <v>0</v>
      </c>
      <c r="BN387" s="958">
        <v>7.0000000000000007E-2</v>
      </c>
      <c r="BO387" s="50">
        <v>6</v>
      </c>
      <c r="BP387" s="926">
        <f t="shared" ref="BP387:BP395" ca="1" si="563">INDIRECT("'"&amp;AI387&amp;"'!"&amp;"B2")</f>
        <v>162.63999999999999</v>
      </c>
      <c r="BQ387" s="926">
        <f t="shared" ref="BQ387:BQ395" ca="1" si="564">INDIRECT("'"&amp;AI387&amp;"'!"&amp;"C12")+INDIRECT("'"&amp;AI387&amp;"'!"&amp;"C13")+INDIRECT("'"&amp;AI387&amp;"'!"&amp;"C14")+INDIRECT("'"&amp;AI387&amp;"'!"&amp;"C15")+INDIRECT("'"&amp;AI387&amp;"'!"&amp;"C17")</f>
        <v>285.02799999999996</v>
      </c>
      <c r="BR387" s="926">
        <f t="shared" ref="BR387:BR395" ca="1" si="565">INDIRECT("'"&amp;AI387&amp;"'!"&amp;"G5")</f>
        <v>51.803914909975674</v>
      </c>
      <c r="BS387" s="926">
        <f t="shared" ref="BS387:BS395" ca="1" si="566">INDIRECT("'"&amp;AI387&amp;"'!"&amp;"G4")</f>
        <v>115.89999999999998</v>
      </c>
      <c r="BT387" s="926">
        <f t="shared" ref="BT387:BT395" ca="1" si="567">INDIRECT("'"&amp;AI387&amp;"'!"&amp;"G6")</f>
        <v>81.319999999999993</v>
      </c>
      <c r="BU387" s="926">
        <f t="shared" ref="BU387:BU395" ca="1" si="568">INDIRECT("'"&amp;AI387&amp;"'!"&amp;"G2")</f>
        <v>22.93</v>
      </c>
      <c r="BV387" s="926">
        <f t="shared" ref="BV387:BV395" ca="1" si="569">INDIRECT("'"&amp;AI387&amp;"'!"&amp;"G3")</f>
        <v>2.15</v>
      </c>
      <c r="BW387" s="926">
        <v>0</v>
      </c>
      <c r="BX387" s="926">
        <f t="shared" ref="BX387:BX395" ca="1" si="570">IF(BR387=0,0,1/(1/(BR387*$BY$3)+1/(BR387*AR387)+1/(BR387*$BY$4)))</f>
        <v>11.936385923957529</v>
      </c>
      <c r="BY387" s="926">
        <f t="shared" ref="BY387:BY395" ca="1" si="571">IF(BS387=0,0,1/(1/(BS387*$BY$3)+1/(BS387*AS387)+1/(BS387*$BY$4)))</f>
        <v>35.138959070237483</v>
      </c>
      <c r="BZ387" s="926">
        <f t="shared" ca="1" si="480"/>
        <v>11.202244897959185</v>
      </c>
      <c r="CA387" s="926">
        <f t="shared" ca="1" si="481"/>
        <v>45.859999981655996</v>
      </c>
      <c r="CB387" s="926">
        <f t="shared" ref="CB387:CB395" ca="1" si="572">IF(BV387=0,0,1/(1/(BV387*$BY$3)+1/(BV387*AV387)+1/(BV387*$BY$4)))</f>
        <v>4.5133587786259541</v>
      </c>
      <c r="CC387" s="926">
        <f t="shared" si="482"/>
        <v>0</v>
      </c>
      <c r="CD387" s="1018">
        <f ca="1">SUM(BX387:CC387)+(BR387+BS387+BT387+BU387+BV387)*BN387</f>
        <v>127.83822269613444</v>
      </c>
      <c r="CE387" s="1018">
        <f t="shared" ref="CE387:CE440" ca="1" si="573">0.34*BO387*(1/25)^0.66*(BR387+BS387+BU387+BV387)</f>
        <v>46.995963415681047</v>
      </c>
      <c r="CF387" s="926">
        <f t="shared" ca="1" si="483"/>
        <v>5.2450255833544643</v>
      </c>
      <c r="CG387" s="926">
        <f t="shared" ca="1" si="484"/>
        <v>8732.7577952618485</v>
      </c>
    </row>
    <row r="388" spans="4:85" s="3" customFormat="1" x14ac:dyDescent="0.25">
      <c r="D388" s="450"/>
      <c r="E388" s="446"/>
      <c r="F388" s="450"/>
      <c r="G388" s="446"/>
      <c r="H388" s="446"/>
      <c r="I388" s="446"/>
      <c r="J388" s="446"/>
      <c r="K388" s="446"/>
      <c r="L388" s="446"/>
      <c r="M388" s="450"/>
      <c r="N388" s="450"/>
      <c r="O388" s="450" t="s">
        <v>18</v>
      </c>
      <c r="P388" s="447">
        <v>0.962121212</v>
      </c>
      <c r="Q388" s="450" t="s">
        <v>7</v>
      </c>
      <c r="R388" s="447">
        <v>0.1893</v>
      </c>
      <c r="S388" s="450"/>
      <c r="T388" s="456">
        <v>2.5741611233706455E-3</v>
      </c>
      <c r="U388" s="446"/>
      <c r="V388" s="176">
        <f t="shared" si="560"/>
        <v>2.5741611233706455E-3</v>
      </c>
      <c r="W388" s="176">
        <f t="shared" ref="W388:X395" si="574">V388</f>
        <v>2.5741611233706455E-3</v>
      </c>
      <c r="X388" s="176">
        <f t="shared" si="574"/>
        <v>2.5741611233706455E-3</v>
      </c>
      <c r="Y388" s="34">
        <f>X388/Calculation_sheet!M$67</f>
        <v>2.57421375577241E-3</v>
      </c>
      <c r="Z388" s="176">
        <f ca="1">IF(AN388&gt;0,Y388*Calculation_sheet!C$87,0)</f>
        <v>0</v>
      </c>
      <c r="AA388" s="176">
        <f t="shared" ca="1" si="486"/>
        <v>2.57421375577241E-3</v>
      </c>
      <c r="AB388" s="176">
        <f ca="1">IF(AP388&gt;0,AA388*Calculation_sheet!C$94,0)</f>
        <v>0</v>
      </c>
      <c r="AC388" s="176">
        <f t="shared" ca="1" si="561"/>
        <v>2.57421375577241E-3</v>
      </c>
      <c r="AD388" s="958">
        <f ca="1">AC388*Calculation_sheet!C$99</f>
        <v>1.5445282534634461E-3</v>
      </c>
      <c r="AE388" s="176">
        <f t="shared" ca="1" si="561"/>
        <v>1.029685502308964E-3</v>
      </c>
      <c r="AF388" s="176">
        <f t="shared" ca="1" si="562"/>
        <v>2.57421375577241E-3</v>
      </c>
      <c r="AG388" s="958">
        <f ca="1">AF388*User_sheet!B$77/100</f>
        <v>0</v>
      </c>
      <c r="AH388" s="313"/>
      <c r="AI388" s="883">
        <v>104</v>
      </c>
      <c r="AJ388" s="985"/>
      <c r="AK388" s="1020">
        <f t="shared" ca="1" si="479"/>
        <v>127.83822269613444</v>
      </c>
      <c r="AL388" s="954">
        <f ca="1">AK388/'103'!I$24</f>
        <v>0.28768095121492981</v>
      </c>
      <c r="AM388" s="954">
        <f ca="1">0.8*(AK388*30+'104'!D$17*0.34*30*1)</f>
        <v>5987.8306247072269</v>
      </c>
      <c r="AN388" s="954">
        <f ca="1">IF(AM388&lt;User_sheet!B$50,Y388,0)</f>
        <v>2.57421375577241E-3</v>
      </c>
      <c r="AO388" s="954">
        <f ca="1">20-(User_sheet!B$57/('Freestanding '!AK388+'104'!D$17*1*0.34))</f>
        <v>-2.8463376094057118</v>
      </c>
      <c r="AP388" s="954">
        <f ca="1">IF(AO388&lt;User_sheet!B$59,0,BC388*AA388)</f>
        <v>0</v>
      </c>
      <c r="AQ388" s="985"/>
      <c r="AR388" s="883">
        <v>0.24</v>
      </c>
      <c r="AS388" s="883">
        <v>0.32</v>
      </c>
      <c r="AT388" s="883">
        <v>0.45</v>
      </c>
      <c r="AU388" s="883">
        <v>2</v>
      </c>
      <c r="AV388" s="883">
        <v>3.3</v>
      </c>
      <c r="AW388" s="883">
        <v>14536.85461731979</v>
      </c>
      <c r="AX388" s="883">
        <v>73366.155837550017</v>
      </c>
      <c r="AY388" s="883">
        <v>65937.809199439725</v>
      </c>
      <c r="AZ388" s="886">
        <v>0</v>
      </c>
      <c r="BA388" s="886">
        <v>0</v>
      </c>
      <c r="BB388" s="883">
        <v>0.6</v>
      </c>
      <c r="BC388" s="46">
        <v>1</v>
      </c>
      <c r="BD388" s="199">
        <v>0</v>
      </c>
      <c r="BE388" s="199">
        <v>0</v>
      </c>
      <c r="BF388" s="50">
        <v>0</v>
      </c>
      <c r="BG388" s="886">
        <v>1</v>
      </c>
      <c r="BH388" s="886">
        <v>0</v>
      </c>
      <c r="BI388" s="50">
        <v>0</v>
      </c>
      <c r="BJ388" s="886">
        <v>0</v>
      </c>
      <c r="BK388" s="886">
        <v>0</v>
      </c>
      <c r="BL388" s="886">
        <v>1</v>
      </c>
      <c r="BM388" s="50">
        <v>0</v>
      </c>
      <c r="BN388" s="958">
        <v>7.0000000000000007E-2</v>
      </c>
      <c r="BO388" s="50">
        <v>6</v>
      </c>
      <c r="BP388" s="926">
        <f t="shared" ca="1" si="563"/>
        <v>162.63999999999999</v>
      </c>
      <c r="BQ388" s="926">
        <f t="shared" ca="1" si="564"/>
        <v>285.02799999999996</v>
      </c>
      <c r="BR388" s="926">
        <f t="shared" ca="1" si="565"/>
        <v>51.803914909975674</v>
      </c>
      <c r="BS388" s="926">
        <f t="shared" ca="1" si="566"/>
        <v>115.89999999999998</v>
      </c>
      <c r="BT388" s="926">
        <f t="shared" ca="1" si="567"/>
        <v>81.319999999999993</v>
      </c>
      <c r="BU388" s="926">
        <f t="shared" ca="1" si="568"/>
        <v>22.93</v>
      </c>
      <c r="BV388" s="926">
        <f t="shared" ca="1" si="569"/>
        <v>2.15</v>
      </c>
      <c r="BW388" s="926">
        <v>0</v>
      </c>
      <c r="BX388" s="926">
        <f t="shared" ca="1" si="570"/>
        <v>11.936385923957529</v>
      </c>
      <c r="BY388" s="926">
        <f t="shared" ca="1" si="571"/>
        <v>35.138959070237483</v>
      </c>
      <c r="BZ388" s="926">
        <f t="shared" ca="1" si="480"/>
        <v>11.202244897959185</v>
      </c>
      <c r="CA388" s="926">
        <f t="shared" ca="1" si="481"/>
        <v>45.859999981655996</v>
      </c>
      <c r="CB388" s="926">
        <f t="shared" ca="1" si="572"/>
        <v>4.5133587786259541</v>
      </c>
      <c r="CC388" s="926">
        <f t="shared" si="482"/>
        <v>0</v>
      </c>
      <c r="CD388" s="1018">
        <f t="shared" ref="CD388:CD395" ca="1" si="575">SUM(BX388:CC388)+(BR388+BS388+BT388+BU388+BV388)*BN388</f>
        <v>127.83822269613444</v>
      </c>
      <c r="CE388" s="1018">
        <f t="shared" ca="1" si="573"/>
        <v>46.995963415681047</v>
      </c>
      <c r="CF388" s="926">
        <f t="shared" ca="1" si="483"/>
        <v>5.2450255833544643</v>
      </c>
      <c r="CG388" s="926">
        <f t="shared" ca="1" si="484"/>
        <v>8732.7577952618485</v>
      </c>
    </row>
    <row r="389" spans="4:85" s="3" customFormat="1" x14ac:dyDescent="0.25">
      <c r="D389" s="450"/>
      <c r="E389" s="446"/>
      <c r="F389" s="450"/>
      <c r="G389" s="446"/>
      <c r="H389" s="446"/>
      <c r="I389" s="446"/>
      <c r="J389" s="446"/>
      <c r="K389" s="446"/>
      <c r="L389" s="446"/>
      <c r="M389" s="450"/>
      <c r="N389" s="450"/>
      <c r="O389" s="450"/>
      <c r="P389" s="450"/>
      <c r="Q389" s="450" t="s">
        <v>16</v>
      </c>
      <c r="R389" s="447">
        <v>0.81069999999999998</v>
      </c>
      <c r="S389" s="450"/>
      <c r="T389" s="456">
        <v>4.340218271330111E-4</v>
      </c>
      <c r="U389" s="446"/>
      <c r="V389" s="176">
        <f t="shared" si="560"/>
        <v>4.340218271330111E-4</v>
      </c>
      <c r="W389" s="176">
        <f t="shared" si="574"/>
        <v>4.340218271330111E-4</v>
      </c>
      <c r="X389" s="176">
        <f t="shared" si="574"/>
        <v>4.340218271330111E-4</v>
      </c>
      <c r="Y389" s="34">
        <f>X389/Calculation_sheet!M$67</f>
        <v>4.3403070132933582E-4</v>
      </c>
      <c r="Z389" s="176">
        <f ca="1">IF(AN389&gt;0,Y389*Calculation_sheet!C$87,0)</f>
        <v>0</v>
      </c>
      <c r="AA389" s="176">
        <f t="shared" ca="1" si="486"/>
        <v>4.3403070132933582E-4</v>
      </c>
      <c r="AB389" s="176">
        <f ca="1">IF(AP389&gt;0,AA389*Calculation_sheet!C$94,0)</f>
        <v>0</v>
      </c>
      <c r="AC389" s="176">
        <f t="shared" ca="1" si="561"/>
        <v>4.3403070132933582E-4</v>
      </c>
      <c r="AD389" s="958">
        <f ca="1">AC389*Calculation_sheet!C$99</f>
        <v>2.6041842079760146E-4</v>
      </c>
      <c r="AE389" s="176">
        <f t="shared" ca="1" si="561"/>
        <v>1.7361228053173436E-4</v>
      </c>
      <c r="AF389" s="176">
        <f t="shared" ca="1" si="562"/>
        <v>4.3403070132933582E-4</v>
      </c>
      <c r="AG389" s="958">
        <f ca="1">AF389*User_sheet!B$77/100</f>
        <v>0</v>
      </c>
      <c r="AH389" s="313"/>
      <c r="AI389" s="883">
        <v>104</v>
      </c>
      <c r="AJ389" s="985"/>
      <c r="AK389" s="1020">
        <f t="shared" ca="1" si="479"/>
        <v>127.83822269613444</v>
      </c>
      <c r="AL389" s="954">
        <f ca="1">AK389/'103'!I$24</f>
        <v>0.28768095121492981</v>
      </c>
      <c r="AM389" s="954">
        <f ca="1">0.8*(AK389*30+'104'!D$17*0.34*30*1)</f>
        <v>5987.8306247072269</v>
      </c>
      <c r="AN389" s="954">
        <f ca="1">IF(AM389&lt;User_sheet!B$50,Y389,0)</f>
        <v>4.3403070132933582E-4</v>
      </c>
      <c r="AO389" s="954">
        <f ca="1">20-(User_sheet!B$57/('Freestanding '!AK389+'104'!D$17*1*0.34))</f>
        <v>-2.8463376094057118</v>
      </c>
      <c r="AP389" s="954">
        <f ca="1">IF(AO389&lt;User_sheet!B$59,0,BC389*AA389)</f>
        <v>0</v>
      </c>
      <c r="AQ389" s="985"/>
      <c r="AR389" s="883">
        <v>0.24</v>
      </c>
      <c r="AS389" s="883">
        <v>0.32</v>
      </c>
      <c r="AT389" s="883">
        <v>0.45</v>
      </c>
      <c r="AU389" s="883">
        <v>2</v>
      </c>
      <c r="AV389" s="883">
        <v>3.3</v>
      </c>
      <c r="AW389" s="883">
        <v>14536.85461731979</v>
      </c>
      <c r="AX389" s="883">
        <v>73366.155837550017</v>
      </c>
      <c r="AY389" s="883">
        <v>65937.809199439725</v>
      </c>
      <c r="AZ389" s="886">
        <v>0</v>
      </c>
      <c r="BA389" s="886">
        <v>0</v>
      </c>
      <c r="BB389" s="883">
        <v>0.6</v>
      </c>
      <c r="BC389" s="46">
        <v>1</v>
      </c>
      <c r="BD389" s="199">
        <v>0</v>
      </c>
      <c r="BE389" s="199">
        <v>0</v>
      </c>
      <c r="BF389" s="50">
        <v>0</v>
      </c>
      <c r="BG389" s="886">
        <v>0</v>
      </c>
      <c r="BH389" s="886">
        <v>1</v>
      </c>
      <c r="BI389" s="50">
        <v>0</v>
      </c>
      <c r="BJ389" s="886">
        <v>1</v>
      </c>
      <c r="BK389" s="886">
        <v>0</v>
      </c>
      <c r="BL389" s="886">
        <v>0</v>
      </c>
      <c r="BM389" s="50">
        <v>0</v>
      </c>
      <c r="BN389" s="958">
        <v>7.0000000000000007E-2</v>
      </c>
      <c r="BO389" s="50">
        <v>6</v>
      </c>
      <c r="BP389" s="926">
        <f t="shared" ca="1" si="563"/>
        <v>162.63999999999999</v>
      </c>
      <c r="BQ389" s="926">
        <f t="shared" ca="1" si="564"/>
        <v>285.02799999999996</v>
      </c>
      <c r="BR389" s="926">
        <f t="shared" ca="1" si="565"/>
        <v>51.803914909975674</v>
      </c>
      <c r="BS389" s="926">
        <f t="shared" ca="1" si="566"/>
        <v>115.89999999999998</v>
      </c>
      <c r="BT389" s="926">
        <f t="shared" ca="1" si="567"/>
        <v>81.319999999999993</v>
      </c>
      <c r="BU389" s="926">
        <f t="shared" ca="1" si="568"/>
        <v>22.93</v>
      </c>
      <c r="BV389" s="926">
        <f t="shared" ca="1" si="569"/>
        <v>2.15</v>
      </c>
      <c r="BW389" s="926">
        <v>0</v>
      </c>
      <c r="BX389" s="926">
        <f t="shared" ca="1" si="570"/>
        <v>11.936385923957529</v>
      </c>
      <c r="BY389" s="926">
        <f t="shared" ca="1" si="571"/>
        <v>35.138959070237483</v>
      </c>
      <c r="BZ389" s="926">
        <f t="shared" ca="1" si="480"/>
        <v>11.202244897959185</v>
      </c>
      <c r="CA389" s="926">
        <f t="shared" ca="1" si="481"/>
        <v>45.859999981655996</v>
      </c>
      <c r="CB389" s="926">
        <f t="shared" ca="1" si="572"/>
        <v>4.5133587786259541</v>
      </c>
      <c r="CC389" s="926">
        <f t="shared" si="482"/>
        <v>0</v>
      </c>
      <c r="CD389" s="1018">
        <f t="shared" ca="1" si="575"/>
        <v>127.83822269613444</v>
      </c>
      <c r="CE389" s="1018">
        <f t="shared" ca="1" si="573"/>
        <v>46.995963415681047</v>
      </c>
      <c r="CF389" s="926">
        <f t="shared" ca="1" si="483"/>
        <v>5.2450255833544643</v>
      </c>
      <c r="CG389" s="926">
        <f t="shared" ca="1" si="484"/>
        <v>8732.7577952618485</v>
      </c>
    </row>
    <row r="390" spans="4:85" s="3" customFormat="1" x14ac:dyDescent="0.25">
      <c r="D390" s="450"/>
      <c r="E390" s="446"/>
      <c r="F390" s="450"/>
      <c r="G390" s="446"/>
      <c r="H390" s="446"/>
      <c r="I390" s="446"/>
      <c r="J390" s="446"/>
      <c r="K390" s="446"/>
      <c r="L390" s="446"/>
      <c r="M390" s="450" t="s">
        <v>16</v>
      </c>
      <c r="N390" s="447">
        <v>0.5</v>
      </c>
      <c r="O390" s="450" t="s">
        <v>19</v>
      </c>
      <c r="P390" s="447">
        <v>3.7878787999999997E-2</v>
      </c>
      <c r="Q390" s="450" t="s">
        <v>7</v>
      </c>
      <c r="R390" s="447">
        <v>0.1893</v>
      </c>
      <c r="S390" s="450"/>
      <c r="T390" s="456">
        <v>1.0134492645402616E-4</v>
      </c>
      <c r="U390" s="446"/>
      <c r="V390" s="176">
        <f t="shared" si="560"/>
        <v>1.0134492645402616E-4</v>
      </c>
      <c r="W390" s="176">
        <f t="shared" si="574"/>
        <v>1.0134492645402616E-4</v>
      </c>
      <c r="X390" s="176">
        <f t="shared" si="574"/>
        <v>1.0134492645402616E-4</v>
      </c>
      <c r="Y390" s="34">
        <f>X390/Calculation_sheet!M$67</f>
        <v>1.0134699859583482E-4</v>
      </c>
      <c r="Z390" s="176">
        <f ca="1">IF(AN390&gt;0,Y390*Calculation_sheet!C$87,0)</f>
        <v>0</v>
      </c>
      <c r="AA390" s="176">
        <f t="shared" ca="1" si="486"/>
        <v>1.0134699859583482E-4</v>
      </c>
      <c r="AB390" s="176">
        <f ca="1">IF(AP390&gt;0,AA390*Calculation_sheet!C$94,0)</f>
        <v>0</v>
      </c>
      <c r="AC390" s="176">
        <f t="shared" ca="1" si="561"/>
        <v>1.0134699859583482E-4</v>
      </c>
      <c r="AD390" s="958">
        <f ca="1">AC390*Calculation_sheet!C$99</f>
        <v>6.0808199157500893E-5</v>
      </c>
      <c r="AE390" s="176">
        <f t="shared" ca="1" si="561"/>
        <v>4.0538799438333929E-5</v>
      </c>
      <c r="AF390" s="176">
        <f t="shared" ca="1" si="562"/>
        <v>1.0134699859583482E-4</v>
      </c>
      <c r="AG390" s="958">
        <f ca="1">AF390*User_sheet!B$77/100</f>
        <v>0</v>
      </c>
      <c r="AH390" s="313"/>
      <c r="AI390" s="883">
        <v>104</v>
      </c>
      <c r="AJ390" s="985"/>
      <c r="AK390" s="1020">
        <f t="shared" ca="1" si="479"/>
        <v>127.83822269613444</v>
      </c>
      <c r="AL390" s="954">
        <f ca="1">AK390/'103'!I$24</f>
        <v>0.28768095121492981</v>
      </c>
      <c r="AM390" s="954">
        <f ca="1">0.8*(AK390*30+'104'!D$17*0.34*30*1)</f>
        <v>5987.8306247072269</v>
      </c>
      <c r="AN390" s="954">
        <f ca="1">IF(AM390&lt;User_sheet!B$50,Y390,0)</f>
        <v>1.0134699859583482E-4</v>
      </c>
      <c r="AO390" s="954">
        <f ca="1">20-(User_sheet!B$57/('Freestanding '!AK390+'104'!D$17*1*0.34))</f>
        <v>-2.8463376094057118</v>
      </c>
      <c r="AP390" s="954">
        <f ca="1">IF(AO390&lt;User_sheet!B$59,0,BC390*AA390)</f>
        <v>0</v>
      </c>
      <c r="AQ390" s="985"/>
      <c r="AR390" s="883">
        <v>0.24</v>
      </c>
      <c r="AS390" s="883">
        <v>0.32</v>
      </c>
      <c r="AT390" s="883">
        <v>0.45</v>
      </c>
      <c r="AU390" s="883">
        <v>2</v>
      </c>
      <c r="AV390" s="883">
        <v>3.3</v>
      </c>
      <c r="AW390" s="883">
        <v>14536.85461731979</v>
      </c>
      <c r="AX390" s="883">
        <v>73366.155837550017</v>
      </c>
      <c r="AY390" s="883">
        <v>65937.809199439725</v>
      </c>
      <c r="AZ390" s="886">
        <v>0</v>
      </c>
      <c r="BA390" s="886">
        <v>0</v>
      </c>
      <c r="BB390" s="883">
        <v>0.6</v>
      </c>
      <c r="BC390" s="46">
        <v>1</v>
      </c>
      <c r="BD390" s="199">
        <v>0</v>
      </c>
      <c r="BE390" s="199">
        <v>0</v>
      </c>
      <c r="BF390" s="50">
        <v>0</v>
      </c>
      <c r="BG390" s="886">
        <v>0</v>
      </c>
      <c r="BH390" s="886">
        <v>1</v>
      </c>
      <c r="BI390" s="50">
        <v>0</v>
      </c>
      <c r="BJ390" s="886">
        <v>0</v>
      </c>
      <c r="BK390" s="886">
        <v>0</v>
      </c>
      <c r="BL390" s="886">
        <v>1</v>
      </c>
      <c r="BM390" s="50">
        <v>0</v>
      </c>
      <c r="BN390" s="958">
        <v>7.0000000000000007E-2</v>
      </c>
      <c r="BO390" s="50">
        <v>6</v>
      </c>
      <c r="BP390" s="926">
        <f t="shared" ca="1" si="563"/>
        <v>162.63999999999999</v>
      </c>
      <c r="BQ390" s="926">
        <f t="shared" ca="1" si="564"/>
        <v>285.02799999999996</v>
      </c>
      <c r="BR390" s="926">
        <f t="shared" ca="1" si="565"/>
        <v>51.803914909975674</v>
      </c>
      <c r="BS390" s="926">
        <f t="shared" ca="1" si="566"/>
        <v>115.89999999999998</v>
      </c>
      <c r="BT390" s="926">
        <f t="shared" ca="1" si="567"/>
        <v>81.319999999999993</v>
      </c>
      <c r="BU390" s="926">
        <f t="shared" ca="1" si="568"/>
        <v>22.93</v>
      </c>
      <c r="BV390" s="926">
        <f t="shared" ca="1" si="569"/>
        <v>2.15</v>
      </c>
      <c r="BW390" s="926">
        <v>0</v>
      </c>
      <c r="BX390" s="926">
        <f t="shared" ca="1" si="570"/>
        <v>11.936385923957529</v>
      </c>
      <c r="BY390" s="926">
        <f t="shared" ca="1" si="571"/>
        <v>35.138959070237483</v>
      </c>
      <c r="BZ390" s="926">
        <f t="shared" ca="1" si="480"/>
        <v>11.202244897959185</v>
      </c>
      <c r="CA390" s="926">
        <f t="shared" ca="1" si="481"/>
        <v>45.859999981655996</v>
      </c>
      <c r="CB390" s="926">
        <f t="shared" ca="1" si="572"/>
        <v>4.5133587786259541</v>
      </c>
      <c r="CC390" s="926">
        <f t="shared" si="482"/>
        <v>0</v>
      </c>
      <c r="CD390" s="1018">
        <f t="shared" ca="1" si="575"/>
        <v>127.83822269613444</v>
      </c>
      <c r="CE390" s="1018">
        <f t="shared" ca="1" si="573"/>
        <v>46.995963415681047</v>
      </c>
      <c r="CF390" s="926">
        <f t="shared" ca="1" si="483"/>
        <v>5.2450255833544643</v>
      </c>
      <c r="CG390" s="926">
        <f t="shared" ca="1" si="484"/>
        <v>8732.7577952618485</v>
      </c>
    </row>
    <row r="391" spans="4:85" x14ac:dyDescent="0.25">
      <c r="D391" s="445"/>
      <c r="E391" s="444"/>
      <c r="F391" s="445"/>
      <c r="G391" s="444"/>
      <c r="H391" s="444"/>
      <c r="I391" s="444"/>
      <c r="J391" s="444"/>
      <c r="K391" s="444"/>
      <c r="L391" s="444"/>
      <c r="M391" s="445"/>
      <c r="N391" s="445"/>
      <c r="O391" s="445"/>
      <c r="P391" s="445"/>
      <c r="Q391" s="445" t="s">
        <v>22</v>
      </c>
      <c r="R391" s="447">
        <v>0.81</v>
      </c>
      <c r="S391" s="445"/>
      <c r="T391" s="456">
        <v>8.2494977741432406E-3</v>
      </c>
      <c r="U391" s="444"/>
      <c r="V391" s="176">
        <f t="shared" si="560"/>
        <v>8.2494977741432406E-3</v>
      </c>
      <c r="W391" s="176">
        <f t="shared" si="574"/>
        <v>8.2494977741432406E-3</v>
      </c>
      <c r="X391" s="176">
        <f t="shared" si="574"/>
        <v>8.2494977741432406E-3</v>
      </c>
      <c r="Y391" s="34">
        <f>X391/Calculation_sheet!M$67</f>
        <v>8.2496664469109485E-3</v>
      </c>
      <c r="Z391" s="176">
        <f ca="1">IF(AN391&gt;0,Y391*Calculation_sheet!C$87,0)</f>
        <v>0</v>
      </c>
      <c r="AA391" s="176">
        <f t="shared" ca="1" si="486"/>
        <v>8.2496664469109485E-3</v>
      </c>
      <c r="AB391" s="176">
        <f ca="1">IF(AP391&gt;0,AA391*Calculation_sheet!C$94,0)</f>
        <v>0</v>
      </c>
      <c r="AC391" s="176">
        <f t="shared" ca="1" si="561"/>
        <v>8.2496664469109485E-3</v>
      </c>
      <c r="AD391" s="958">
        <f ca="1">AC391*Calculation_sheet!C$99</f>
        <v>4.9497998681465689E-3</v>
      </c>
      <c r="AE391" s="176">
        <f t="shared" ca="1" si="561"/>
        <v>3.2998665787643796E-3</v>
      </c>
      <c r="AF391" s="176">
        <f t="shared" ca="1" si="562"/>
        <v>8.2496664469109485E-3</v>
      </c>
      <c r="AG391" s="958">
        <f ca="1">AF391*User_sheet!B$77/100</f>
        <v>0</v>
      </c>
      <c r="AH391" s="313"/>
      <c r="AI391" s="883">
        <v>104</v>
      </c>
      <c r="AJ391" s="985"/>
      <c r="AK391" s="1020">
        <f t="shared" ca="1" si="479"/>
        <v>127.83822269613444</v>
      </c>
      <c r="AL391" s="954">
        <f ca="1">AK391/'103'!I$24</f>
        <v>0.28768095121492981</v>
      </c>
      <c r="AM391" s="954">
        <f ca="1">0.8*(AK391*30+'104'!D$17*0.34*30*1)</f>
        <v>5987.8306247072269</v>
      </c>
      <c r="AN391" s="954">
        <f ca="1">IF(AM391&lt;User_sheet!B$50,Y391,0)</f>
        <v>8.2496664469109485E-3</v>
      </c>
      <c r="AO391" s="954">
        <f ca="1">20-(User_sheet!B$57/('Freestanding '!AK391+'104'!D$17*1*0.34))</f>
        <v>-2.8463376094057118</v>
      </c>
      <c r="AP391" s="954">
        <f ca="1">IF(AO391&lt;User_sheet!B$59,0,BC391*AA391)</f>
        <v>0</v>
      </c>
      <c r="AQ391" s="985"/>
      <c r="AR391" s="883">
        <v>0.24</v>
      </c>
      <c r="AS391" s="883">
        <v>0.32</v>
      </c>
      <c r="AT391" s="883">
        <v>0.45</v>
      </c>
      <c r="AU391" s="883">
        <v>2</v>
      </c>
      <c r="AV391" s="883">
        <v>3.3</v>
      </c>
      <c r="AW391" s="883">
        <v>14536.85461731979</v>
      </c>
      <c r="AX391" s="883">
        <v>73366.155837550017</v>
      </c>
      <c r="AY391" s="883">
        <v>65937.809199439725</v>
      </c>
      <c r="AZ391" s="886">
        <v>0</v>
      </c>
      <c r="BA391" s="886">
        <v>0</v>
      </c>
      <c r="BB391" s="883">
        <v>0.6</v>
      </c>
      <c r="BC391" s="888">
        <v>0</v>
      </c>
      <c r="BD391" s="889">
        <v>1</v>
      </c>
      <c r="BE391" s="889">
        <v>0</v>
      </c>
      <c r="BF391" s="890">
        <v>0</v>
      </c>
      <c r="BG391" s="883">
        <v>1</v>
      </c>
      <c r="BH391" s="883">
        <v>0</v>
      </c>
      <c r="BI391" s="890">
        <v>0</v>
      </c>
      <c r="BJ391" s="883">
        <v>0</v>
      </c>
      <c r="BK391" s="883">
        <v>1</v>
      </c>
      <c r="BL391" s="883">
        <v>0</v>
      </c>
      <c r="BM391" s="890">
        <v>0</v>
      </c>
      <c r="BN391" s="958">
        <v>7.0000000000000007E-2</v>
      </c>
      <c r="BO391" s="50">
        <v>6</v>
      </c>
      <c r="BP391" s="1018">
        <f t="shared" ca="1" si="563"/>
        <v>162.63999999999999</v>
      </c>
      <c r="BQ391" s="1018">
        <f t="shared" ca="1" si="564"/>
        <v>285.02799999999996</v>
      </c>
      <c r="BR391" s="1018">
        <f t="shared" ca="1" si="565"/>
        <v>51.803914909975674</v>
      </c>
      <c r="BS391" s="1018">
        <f t="shared" ca="1" si="566"/>
        <v>115.89999999999998</v>
      </c>
      <c r="BT391" s="1018">
        <f t="shared" ca="1" si="567"/>
        <v>81.319999999999993</v>
      </c>
      <c r="BU391" s="1018">
        <f t="shared" ca="1" si="568"/>
        <v>22.93</v>
      </c>
      <c r="BV391" s="1018">
        <f t="shared" ca="1" si="569"/>
        <v>2.15</v>
      </c>
      <c r="BW391" s="1018">
        <v>0</v>
      </c>
      <c r="BX391" s="1018">
        <f t="shared" ca="1" si="570"/>
        <v>11.936385923957529</v>
      </c>
      <c r="BY391" s="1018">
        <f t="shared" ca="1" si="571"/>
        <v>35.138959070237483</v>
      </c>
      <c r="BZ391" s="1018">
        <f t="shared" ca="1" si="480"/>
        <v>11.202244897959185</v>
      </c>
      <c r="CA391" s="1018">
        <f t="shared" ca="1" si="481"/>
        <v>45.859999981655996</v>
      </c>
      <c r="CB391" s="1018">
        <f t="shared" ca="1" si="572"/>
        <v>4.5133587786259541</v>
      </c>
      <c r="CC391" s="1018">
        <f t="shared" si="482"/>
        <v>0</v>
      </c>
      <c r="CD391" s="1018">
        <f t="shared" ca="1" si="575"/>
        <v>127.83822269613444</v>
      </c>
      <c r="CE391" s="1018">
        <f t="shared" ca="1" si="573"/>
        <v>46.995963415681047</v>
      </c>
      <c r="CF391" s="1018">
        <f t="shared" ca="1" si="483"/>
        <v>5.2450255833544643</v>
      </c>
      <c r="CG391" s="1018">
        <f t="shared" ca="1" si="484"/>
        <v>8732.7577952618485</v>
      </c>
    </row>
    <row r="392" spans="4:85" x14ac:dyDescent="0.25">
      <c r="D392" s="445"/>
      <c r="E392" s="444"/>
      <c r="F392" s="445"/>
      <c r="G392" s="444"/>
      <c r="H392" s="445"/>
      <c r="I392" s="444"/>
      <c r="J392" s="445"/>
      <c r="K392" s="445"/>
      <c r="L392" s="445"/>
      <c r="M392" s="445"/>
      <c r="N392" s="445"/>
      <c r="O392" s="445" t="s">
        <v>18</v>
      </c>
      <c r="P392" s="447">
        <v>0.96078431399999997</v>
      </c>
      <c r="Q392" s="445" t="s">
        <v>7</v>
      </c>
      <c r="R392" s="447">
        <v>0.19</v>
      </c>
      <c r="S392" s="445"/>
      <c r="T392" s="456">
        <v>1.9350673791200192E-3</v>
      </c>
      <c r="U392" s="444"/>
      <c r="V392" s="176">
        <f t="shared" si="560"/>
        <v>1.9350673791200192E-3</v>
      </c>
      <c r="W392" s="176">
        <f t="shared" si="574"/>
        <v>1.9350673791200192E-3</v>
      </c>
      <c r="X392" s="176">
        <f t="shared" si="574"/>
        <v>1.9350673791200192E-3</v>
      </c>
      <c r="Y392" s="34">
        <f>X392/Calculation_sheet!M$67</f>
        <v>1.9351069443371359E-3</v>
      </c>
      <c r="Z392" s="176">
        <f ca="1">IF(AN392&gt;0,Y392*Calculation_sheet!C$87,0)</f>
        <v>0</v>
      </c>
      <c r="AA392" s="176">
        <f t="shared" ca="1" si="486"/>
        <v>1.9351069443371359E-3</v>
      </c>
      <c r="AB392" s="176">
        <f ca="1">IF(AP392&gt;0,AA392*Calculation_sheet!C$94,0)</f>
        <v>0</v>
      </c>
      <c r="AC392" s="176">
        <f t="shared" ca="1" si="561"/>
        <v>1.9351069443371359E-3</v>
      </c>
      <c r="AD392" s="958">
        <f ca="1">AC392*Calculation_sheet!C$99</f>
        <v>1.1610641666022815E-3</v>
      </c>
      <c r="AE392" s="176">
        <f t="shared" ca="1" si="561"/>
        <v>7.7404277773485434E-4</v>
      </c>
      <c r="AF392" s="176">
        <f t="shared" ca="1" si="562"/>
        <v>1.9351069443371359E-3</v>
      </c>
      <c r="AG392" s="958">
        <f ca="1">AF392*User_sheet!B$77/100</f>
        <v>0</v>
      </c>
      <c r="AH392" s="313"/>
      <c r="AI392" s="883">
        <v>104</v>
      </c>
      <c r="AJ392" s="985"/>
      <c r="AK392" s="1020">
        <f t="shared" ca="1" si="479"/>
        <v>127.83822269613444</v>
      </c>
      <c r="AL392" s="954">
        <f ca="1">AK392/'103'!I$24</f>
        <v>0.28768095121492981</v>
      </c>
      <c r="AM392" s="954">
        <f ca="1">0.8*(AK392*30+'104'!D$17*0.34*30*1)</f>
        <v>5987.8306247072269</v>
      </c>
      <c r="AN392" s="954">
        <f ca="1">IF(AM392&lt;User_sheet!B$50,Y392,0)</f>
        <v>1.9351069443371359E-3</v>
      </c>
      <c r="AO392" s="954">
        <f ca="1">20-(User_sheet!B$57/('Freestanding '!AK392+'104'!D$17*1*0.34))</f>
        <v>-2.8463376094057118</v>
      </c>
      <c r="AP392" s="954">
        <f ca="1">IF(AO392&lt;User_sheet!B$59,0,BC392*AA392)</f>
        <v>0</v>
      </c>
      <c r="AQ392" s="985"/>
      <c r="AR392" s="883">
        <v>0.24</v>
      </c>
      <c r="AS392" s="883">
        <v>0.32</v>
      </c>
      <c r="AT392" s="883">
        <v>0.45</v>
      </c>
      <c r="AU392" s="883">
        <v>2</v>
      </c>
      <c r="AV392" s="883">
        <v>3.3</v>
      </c>
      <c r="AW392" s="883">
        <v>14536.85461731979</v>
      </c>
      <c r="AX392" s="883">
        <v>73366.155837550017</v>
      </c>
      <c r="AY392" s="883">
        <v>65937.809199439725</v>
      </c>
      <c r="AZ392" s="886">
        <v>0</v>
      </c>
      <c r="BA392" s="886">
        <v>0</v>
      </c>
      <c r="BB392" s="883">
        <v>0.6</v>
      </c>
      <c r="BC392" s="888">
        <v>0</v>
      </c>
      <c r="BD392" s="889">
        <v>1</v>
      </c>
      <c r="BE392" s="889">
        <v>0</v>
      </c>
      <c r="BF392" s="890">
        <v>0</v>
      </c>
      <c r="BG392" s="883">
        <v>1</v>
      </c>
      <c r="BH392" s="883">
        <v>0</v>
      </c>
      <c r="BI392" s="890">
        <v>0</v>
      </c>
      <c r="BJ392" s="883">
        <v>0</v>
      </c>
      <c r="BK392" s="883">
        <v>0</v>
      </c>
      <c r="BL392" s="883">
        <v>1</v>
      </c>
      <c r="BM392" s="890">
        <v>0</v>
      </c>
      <c r="BN392" s="958">
        <v>7.0000000000000007E-2</v>
      </c>
      <c r="BO392" s="50">
        <v>6</v>
      </c>
      <c r="BP392" s="1018">
        <f t="shared" ca="1" si="563"/>
        <v>162.63999999999999</v>
      </c>
      <c r="BQ392" s="1018">
        <f t="shared" ca="1" si="564"/>
        <v>285.02799999999996</v>
      </c>
      <c r="BR392" s="1018">
        <f t="shared" ca="1" si="565"/>
        <v>51.803914909975674</v>
      </c>
      <c r="BS392" s="1018">
        <f t="shared" ca="1" si="566"/>
        <v>115.89999999999998</v>
      </c>
      <c r="BT392" s="1018">
        <f t="shared" ca="1" si="567"/>
        <v>81.319999999999993</v>
      </c>
      <c r="BU392" s="1018">
        <f t="shared" ca="1" si="568"/>
        <v>22.93</v>
      </c>
      <c r="BV392" s="1018">
        <f t="shared" ca="1" si="569"/>
        <v>2.15</v>
      </c>
      <c r="BW392" s="1018">
        <v>0</v>
      </c>
      <c r="BX392" s="1018">
        <f t="shared" ca="1" si="570"/>
        <v>11.936385923957529</v>
      </c>
      <c r="BY392" s="1018">
        <f t="shared" ca="1" si="571"/>
        <v>35.138959070237483</v>
      </c>
      <c r="BZ392" s="1018">
        <f t="shared" ca="1" si="480"/>
        <v>11.202244897959185</v>
      </c>
      <c r="CA392" s="1018">
        <f t="shared" ca="1" si="481"/>
        <v>45.859999981655996</v>
      </c>
      <c r="CB392" s="1018">
        <f t="shared" ca="1" si="572"/>
        <v>4.5133587786259541</v>
      </c>
      <c r="CC392" s="1018">
        <f t="shared" si="482"/>
        <v>0</v>
      </c>
      <c r="CD392" s="1018">
        <f t="shared" ca="1" si="575"/>
        <v>127.83822269613444</v>
      </c>
      <c r="CE392" s="1018">
        <f t="shared" ca="1" si="573"/>
        <v>46.995963415681047</v>
      </c>
      <c r="CF392" s="1018">
        <f t="shared" ca="1" si="483"/>
        <v>5.2450255833544643</v>
      </c>
      <c r="CG392" s="1018">
        <f t="shared" ca="1" si="484"/>
        <v>8732.7577952618485</v>
      </c>
    </row>
    <row r="393" spans="4:85" x14ac:dyDescent="0.25">
      <c r="D393" s="445"/>
      <c r="E393" s="444"/>
      <c r="F393" s="445"/>
      <c r="G393" s="444"/>
      <c r="H393" s="445"/>
      <c r="I393" s="444"/>
      <c r="J393" s="445"/>
      <c r="K393" s="445"/>
      <c r="L393" s="445"/>
      <c r="M393" s="445"/>
      <c r="N393" s="445"/>
      <c r="O393" s="445"/>
      <c r="P393" s="445"/>
      <c r="Q393" s="445" t="s">
        <v>22</v>
      </c>
      <c r="R393" s="447">
        <v>0.81</v>
      </c>
      <c r="S393" s="445"/>
      <c r="T393" s="456">
        <v>3.3671419240978602E-4</v>
      </c>
      <c r="U393" s="444"/>
      <c r="V393" s="176">
        <f t="shared" si="560"/>
        <v>3.3671419240978602E-4</v>
      </c>
      <c r="W393" s="176">
        <f t="shared" si="574"/>
        <v>3.3671419240978602E-4</v>
      </c>
      <c r="X393" s="176">
        <f t="shared" si="574"/>
        <v>3.3671419240978602E-4</v>
      </c>
      <c r="Y393" s="34">
        <f>X393/Calculation_sheet!M$67</f>
        <v>3.3672107701249946E-4</v>
      </c>
      <c r="Z393" s="176">
        <f ca="1">IF(AN393&gt;0,Y393*Calculation_sheet!C$87,0)</f>
        <v>0</v>
      </c>
      <c r="AA393" s="176">
        <f t="shared" ca="1" si="486"/>
        <v>3.3672107701249946E-4</v>
      </c>
      <c r="AB393" s="176">
        <f ca="1">IF(AP393&gt;0,AA393*Calculation_sheet!C$94,0)</f>
        <v>0</v>
      </c>
      <c r="AC393" s="176">
        <f t="shared" ca="1" si="561"/>
        <v>3.3672107701249946E-4</v>
      </c>
      <c r="AD393" s="958">
        <f ca="1">AC393*Calculation_sheet!C$99</f>
        <v>2.0203264620749967E-4</v>
      </c>
      <c r="AE393" s="176">
        <f t="shared" ca="1" si="561"/>
        <v>1.346884308049998E-4</v>
      </c>
      <c r="AF393" s="176">
        <f t="shared" ca="1" si="562"/>
        <v>3.3672107701249946E-4</v>
      </c>
      <c r="AG393" s="958">
        <f ca="1">AF393*User_sheet!B$77/100</f>
        <v>0</v>
      </c>
      <c r="AH393" s="313"/>
      <c r="AI393" s="883">
        <v>104</v>
      </c>
      <c r="AJ393" s="985"/>
      <c r="AK393" s="1020">
        <f t="shared" ca="1" si="479"/>
        <v>127.83822269613444</v>
      </c>
      <c r="AL393" s="954">
        <f ca="1">AK393/'103'!I$24</f>
        <v>0.28768095121492981</v>
      </c>
      <c r="AM393" s="954">
        <f ca="1">0.8*(AK393*30+'104'!D$17*0.34*30*1)</f>
        <v>5987.8306247072269</v>
      </c>
      <c r="AN393" s="954">
        <f ca="1">IF(AM393&lt;User_sheet!B$50,Y393,0)</f>
        <v>3.3672107701249946E-4</v>
      </c>
      <c r="AO393" s="954">
        <f ca="1">20-(User_sheet!B$57/('Freestanding '!AK393+'104'!D$17*1*0.34))</f>
        <v>-2.8463376094057118</v>
      </c>
      <c r="AP393" s="954">
        <f ca="1">IF(AO393&lt;User_sheet!B$59,0,BC393*AA393)</f>
        <v>0</v>
      </c>
      <c r="AQ393" s="985"/>
      <c r="AR393" s="883">
        <v>0.24</v>
      </c>
      <c r="AS393" s="883">
        <v>0.32</v>
      </c>
      <c r="AT393" s="883">
        <v>0.45</v>
      </c>
      <c r="AU393" s="883">
        <v>2</v>
      </c>
      <c r="AV393" s="883">
        <v>3.3</v>
      </c>
      <c r="AW393" s="883">
        <v>14536.85461731979</v>
      </c>
      <c r="AX393" s="883">
        <v>73366.155837550017</v>
      </c>
      <c r="AY393" s="883">
        <v>65937.809199439725</v>
      </c>
      <c r="AZ393" s="886">
        <v>0</v>
      </c>
      <c r="BA393" s="886">
        <v>0</v>
      </c>
      <c r="BB393" s="883">
        <v>0.6</v>
      </c>
      <c r="BC393" s="888">
        <v>0</v>
      </c>
      <c r="BD393" s="889">
        <v>1</v>
      </c>
      <c r="BE393" s="889">
        <v>0</v>
      </c>
      <c r="BF393" s="890">
        <v>0</v>
      </c>
      <c r="BG393" s="883">
        <v>0</v>
      </c>
      <c r="BH393" s="883">
        <v>1</v>
      </c>
      <c r="BI393" s="890">
        <v>0</v>
      </c>
      <c r="BJ393" s="883">
        <v>0</v>
      </c>
      <c r="BK393" s="883">
        <v>1</v>
      </c>
      <c r="BL393" s="883">
        <v>0</v>
      </c>
      <c r="BM393" s="890">
        <v>0</v>
      </c>
      <c r="BN393" s="958">
        <v>7.0000000000000007E-2</v>
      </c>
      <c r="BO393" s="50">
        <v>6</v>
      </c>
      <c r="BP393" s="1018">
        <f t="shared" ca="1" si="563"/>
        <v>162.63999999999999</v>
      </c>
      <c r="BQ393" s="1018">
        <f t="shared" ca="1" si="564"/>
        <v>285.02799999999996</v>
      </c>
      <c r="BR393" s="1018">
        <f t="shared" ca="1" si="565"/>
        <v>51.803914909975674</v>
      </c>
      <c r="BS393" s="1018">
        <f t="shared" ca="1" si="566"/>
        <v>115.89999999999998</v>
      </c>
      <c r="BT393" s="1018">
        <f t="shared" ca="1" si="567"/>
        <v>81.319999999999993</v>
      </c>
      <c r="BU393" s="1018">
        <f t="shared" ca="1" si="568"/>
        <v>22.93</v>
      </c>
      <c r="BV393" s="1018">
        <f t="shared" ca="1" si="569"/>
        <v>2.15</v>
      </c>
      <c r="BW393" s="1018">
        <v>0</v>
      </c>
      <c r="BX393" s="1018">
        <f t="shared" ca="1" si="570"/>
        <v>11.936385923957529</v>
      </c>
      <c r="BY393" s="1018">
        <f t="shared" ca="1" si="571"/>
        <v>35.138959070237483</v>
      </c>
      <c r="BZ393" s="1018">
        <f t="shared" ca="1" si="480"/>
        <v>11.202244897959185</v>
      </c>
      <c r="CA393" s="1018">
        <f t="shared" ca="1" si="481"/>
        <v>45.859999981655996</v>
      </c>
      <c r="CB393" s="1018">
        <f t="shared" ca="1" si="572"/>
        <v>4.5133587786259541</v>
      </c>
      <c r="CC393" s="1018">
        <f t="shared" si="482"/>
        <v>0</v>
      </c>
      <c r="CD393" s="1018">
        <f t="shared" ca="1" si="575"/>
        <v>127.83822269613444</v>
      </c>
      <c r="CE393" s="1018">
        <f t="shared" ca="1" si="573"/>
        <v>46.995963415681047</v>
      </c>
      <c r="CF393" s="1018">
        <f t="shared" ca="1" si="483"/>
        <v>5.2450255833544643</v>
      </c>
      <c r="CG393" s="1018">
        <f t="shared" ca="1" si="484"/>
        <v>8732.7577952618485</v>
      </c>
    </row>
    <row r="394" spans="4:85" x14ac:dyDescent="0.25">
      <c r="D394" s="445"/>
      <c r="E394" s="444"/>
      <c r="F394" s="445"/>
      <c r="G394" s="444"/>
      <c r="H394" s="445"/>
      <c r="I394" s="444"/>
      <c r="J394" s="445"/>
      <c r="K394" s="445"/>
      <c r="L394" s="445"/>
      <c r="M394" s="445" t="s">
        <v>22</v>
      </c>
      <c r="N394" s="447">
        <v>0.375</v>
      </c>
      <c r="O394" s="445" t="s">
        <v>20</v>
      </c>
      <c r="P394" s="447">
        <v>3.9215686E-2</v>
      </c>
      <c r="Q394" s="445" t="s">
        <v>7</v>
      </c>
      <c r="R394" s="447">
        <v>0.19</v>
      </c>
      <c r="S394" s="445"/>
      <c r="T394" s="456">
        <v>7.8982341429455967E-5</v>
      </c>
      <c r="U394" s="444"/>
      <c r="V394" s="176">
        <f t="shared" si="560"/>
        <v>7.8982341429455967E-5</v>
      </c>
      <c r="W394" s="176">
        <f t="shared" si="574"/>
        <v>7.8982341429455967E-5</v>
      </c>
      <c r="X394" s="176">
        <f t="shared" si="574"/>
        <v>7.8982341429455967E-5</v>
      </c>
      <c r="Y394" s="34">
        <f>X394/Calculation_sheet!M$67</f>
        <v>7.8983956336265291E-5</v>
      </c>
      <c r="Z394" s="176">
        <f ca="1">IF(AN394&gt;0,Y394*Calculation_sheet!C$87,0)</f>
        <v>0</v>
      </c>
      <c r="AA394" s="176">
        <f t="shared" ca="1" si="486"/>
        <v>7.8983956336265291E-5</v>
      </c>
      <c r="AB394" s="176">
        <f ca="1">IF(AP394&gt;0,AA394*Calculation_sheet!C$94,0)</f>
        <v>0</v>
      </c>
      <c r="AC394" s="176">
        <f t="shared" ca="1" si="561"/>
        <v>7.8983956336265291E-5</v>
      </c>
      <c r="AD394" s="958">
        <f ca="1">AC394*Calculation_sheet!C$99</f>
        <v>4.7390373801759171E-5</v>
      </c>
      <c r="AE394" s="176">
        <f t="shared" ca="1" si="561"/>
        <v>3.1593582534506121E-5</v>
      </c>
      <c r="AF394" s="176">
        <f t="shared" ca="1" si="562"/>
        <v>7.8983956336265291E-5</v>
      </c>
      <c r="AG394" s="958">
        <f ca="1">AF394*User_sheet!B$77/100</f>
        <v>0</v>
      </c>
      <c r="AH394" s="313"/>
      <c r="AI394" s="883">
        <v>104</v>
      </c>
      <c r="AJ394" s="985"/>
      <c r="AK394" s="1020">
        <f t="shared" ca="1" si="479"/>
        <v>127.83822269613444</v>
      </c>
      <c r="AL394" s="954">
        <f ca="1">AK394/'103'!I$24</f>
        <v>0.28768095121492981</v>
      </c>
      <c r="AM394" s="954">
        <f ca="1">0.8*(AK394*30+'104'!D$17*0.34*30*1)</f>
        <v>5987.8306247072269</v>
      </c>
      <c r="AN394" s="954">
        <f ca="1">IF(AM394&lt;User_sheet!B$50,Y394,0)</f>
        <v>7.8983956336265291E-5</v>
      </c>
      <c r="AO394" s="954">
        <f ca="1">20-(User_sheet!B$57/('Freestanding '!AK394+'104'!D$17*1*0.34))</f>
        <v>-2.8463376094057118</v>
      </c>
      <c r="AP394" s="954">
        <f ca="1">IF(AO394&lt;User_sheet!B$59,0,BC394*AA394)</f>
        <v>0</v>
      </c>
      <c r="AQ394" s="985"/>
      <c r="AR394" s="883">
        <v>0.24</v>
      </c>
      <c r="AS394" s="883">
        <v>0.32</v>
      </c>
      <c r="AT394" s="883">
        <v>0.45</v>
      </c>
      <c r="AU394" s="883">
        <v>2</v>
      </c>
      <c r="AV394" s="883">
        <v>3.3</v>
      </c>
      <c r="AW394" s="883">
        <v>14536.85461731979</v>
      </c>
      <c r="AX394" s="883">
        <v>73366.155837550017</v>
      </c>
      <c r="AY394" s="883">
        <v>65937.809199439725</v>
      </c>
      <c r="AZ394" s="886">
        <v>0</v>
      </c>
      <c r="BA394" s="886">
        <v>0</v>
      </c>
      <c r="BB394" s="883">
        <v>0.6</v>
      </c>
      <c r="BC394" s="888">
        <v>0</v>
      </c>
      <c r="BD394" s="889">
        <v>1</v>
      </c>
      <c r="BE394" s="889">
        <v>0</v>
      </c>
      <c r="BF394" s="890">
        <v>0</v>
      </c>
      <c r="BG394" s="883">
        <v>0</v>
      </c>
      <c r="BH394" s="883">
        <v>1</v>
      </c>
      <c r="BI394" s="890">
        <v>0</v>
      </c>
      <c r="BJ394" s="883">
        <v>0</v>
      </c>
      <c r="BK394" s="883">
        <v>0</v>
      </c>
      <c r="BL394" s="883">
        <v>1</v>
      </c>
      <c r="BM394" s="890">
        <v>0</v>
      </c>
      <c r="BN394" s="958">
        <v>7.0000000000000007E-2</v>
      </c>
      <c r="BO394" s="50">
        <v>6</v>
      </c>
      <c r="BP394" s="1018">
        <f t="shared" ca="1" si="563"/>
        <v>162.63999999999999</v>
      </c>
      <c r="BQ394" s="1018">
        <f t="shared" ca="1" si="564"/>
        <v>285.02799999999996</v>
      </c>
      <c r="BR394" s="1018">
        <f t="shared" ca="1" si="565"/>
        <v>51.803914909975674</v>
      </c>
      <c r="BS394" s="1018">
        <f t="shared" ca="1" si="566"/>
        <v>115.89999999999998</v>
      </c>
      <c r="BT394" s="1018">
        <f t="shared" ca="1" si="567"/>
        <v>81.319999999999993</v>
      </c>
      <c r="BU394" s="1018">
        <f t="shared" ca="1" si="568"/>
        <v>22.93</v>
      </c>
      <c r="BV394" s="1018">
        <f t="shared" ca="1" si="569"/>
        <v>2.15</v>
      </c>
      <c r="BW394" s="1018">
        <v>0</v>
      </c>
      <c r="BX394" s="1018">
        <f t="shared" ca="1" si="570"/>
        <v>11.936385923957529</v>
      </c>
      <c r="BY394" s="1018">
        <f t="shared" ca="1" si="571"/>
        <v>35.138959070237483</v>
      </c>
      <c r="BZ394" s="1018">
        <f t="shared" ca="1" si="480"/>
        <v>11.202244897959185</v>
      </c>
      <c r="CA394" s="1018">
        <f t="shared" ca="1" si="481"/>
        <v>45.859999981655996</v>
      </c>
      <c r="CB394" s="1018">
        <f t="shared" ca="1" si="572"/>
        <v>4.5133587786259541</v>
      </c>
      <c r="CC394" s="1018">
        <f t="shared" si="482"/>
        <v>0</v>
      </c>
      <c r="CD394" s="1018">
        <f t="shared" ca="1" si="575"/>
        <v>127.83822269613444</v>
      </c>
      <c r="CE394" s="1018">
        <f t="shared" ca="1" si="573"/>
        <v>46.995963415681047</v>
      </c>
      <c r="CF394" s="1018">
        <f t="shared" ca="1" si="483"/>
        <v>5.2450255833544643</v>
      </c>
      <c r="CG394" s="1018">
        <f t="shared" ca="1" si="484"/>
        <v>8732.7577952618485</v>
      </c>
    </row>
    <row r="395" spans="4:85" x14ac:dyDescent="0.25">
      <c r="D395" s="445"/>
      <c r="E395" s="444" t="s">
        <v>4</v>
      </c>
      <c r="F395" s="449">
        <v>0.87</v>
      </c>
      <c r="G395" s="444" t="s">
        <v>5</v>
      </c>
      <c r="H395" s="449">
        <v>1</v>
      </c>
      <c r="I395" s="444" t="s">
        <v>6</v>
      </c>
      <c r="J395" s="449">
        <v>1</v>
      </c>
      <c r="K395" s="448" t="s">
        <v>12</v>
      </c>
      <c r="L395" s="449">
        <v>0.49970000000000003</v>
      </c>
      <c r="M395" s="445" t="s">
        <v>7</v>
      </c>
      <c r="N395" s="447">
        <v>0.125</v>
      </c>
      <c r="O395" s="445" t="s">
        <v>23</v>
      </c>
      <c r="P395" s="447">
        <v>1</v>
      </c>
      <c r="Q395" s="445" t="s">
        <v>7</v>
      </c>
      <c r="R395" s="447">
        <v>1</v>
      </c>
      <c r="S395" s="445"/>
      <c r="T395" s="456">
        <v>3.5334205623675004E-3</v>
      </c>
      <c r="U395" s="444"/>
      <c r="V395" s="176">
        <f t="shared" si="560"/>
        <v>3.5334205623675004E-3</v>
      </c>
      <c r="W395" s="176">
        <f t="shared" si="574"/>
        <v>3.5334205623675004E-3</v>
      </c>
      <c r="X395" s="176">
        <f t="shared" si="574"/>
        <v>3.5334205623675004E-3</v>
      </c>
      <c r="Y395" s="34">
        <f>X395/Calculation_sheet!M$67</f>
        <v>3.5334928081989497E-3</v>
      </c>
      <c r="Z395" s="176">
        <f ca="1">IF(AN395&gt;0,Y395*Calculation_sheet!C$87,0)</f>
        <v>0</v>
      </c>
      <c r="AA395" s="176">
        <f t="shared" ca="1" si="486"/>
        <v>3.5334928081989497E-3</v>
      </c>
      <c r="AB395" s="176">
        <f ca="1">IF(AP395&gt;0,AA395*Calculation_sheet!C$94,0)</f>
        <v>0</v>
      </c>
      <c r="AC395" s="176">
        <f t="shared" ca="1" si="561"/>
        <v>3.5334928081989497E-3</v>
      </c>
      <c r="AD395" s="958">
        <f ca="1">AC395*Calculation_sheet!C$99</f>
        <v>2.1200956849193697E-3</v>
      </c>
      <c r="AE395" s="176">
        <f t="shared" ca="1" si="561"/>
        <v>1.41339712327958E-3</v>
      </c>
      <c r="AF395" s="176">
        <f t="shared" ca="1" si="562"/>
        <v>3.5334928081989497E-3</v>
      </c>
      <c r="AG395" s="958">
        <f ca="1">AF395*User_sheet!B$77/100</f>
        <v>0</v>
      </c>
      <c r="AH395" s="313"/>
      <c r="AI395" s="883">
        <v>104</v>
      </c>
      <c r="AJ395" s="985"/>
      <c r="AK395" s="1020">
        <f t="shared" ca="1" si="479"/>
        <v>127.83822269613444</v>
      </c>
      <c r="AL395" s="954">
        <f ca="1">AK395/'103'!I$24</f>
        <v>0.28768095121492981</v>
      </c>
      <c r="AM395" s="954">
        <f ca="1">0.8*(AK395*30+'104'!D$17*0.34*30*1)</f>
        <v>5987.8306247072269</v>
      </c>
      <c r="AN395" s="954">
        <f ca="1">IF(AM395&lt;User_sheet!B$50,Y395,0)</f>
        <v>3.5334928081989497E-3</v>
      </c>
      <c r="AO395" s="954">
        <f ca="1">20-(User_sheet!B$57/('Freestanding '!AK395+'104'!D$17*1*0.34))</f>
        <v>-2.8463376094057118</v>
      </c>
      <c r="AP395" s="954">
        <f ca="1">IF(AO395&lt;User_sheet!B$59,0,BC395*AA395)</f>
        <v>0</v>
      </c>
      <c r="AQ395" s="985"/>
      <c r="AR395" s="883">
        <v>0.24</v>
      </c>
      <c r="AS395" s="883">
        <v>0.32</v>
      </c>
      <c r="AT395" s="883">
        <v>0.45</v>
      </c>
      <c r="AU395" s="883">
        <v>2</v>
      </c>
      <c r="AV395" s="883">
        <v>3.3</v>
      </c>
      <c r="AW395" s="883">
        <v>14536.85461731979</v>
      </c>
      <c r="AX395" s="883">
        <v>73366.155837550017</v>
      </c>
      <c r="AY395" s="883">
        <v>65937.809199439725</v>
      </c>
      <c r="AZ395" s="886">
        <v>0</v>
      </c>
      <c r="BA395" s="886">
        <v>0</v>
      </c>
      <c r="BB395" s="883">
        <v>0.6</v>
      </c>
      <c r="BC395" s="888">
        <v>0</v>
      </c>
      <c r="BD395" s="889">
        <v>0</v>
      </c>
      <c r="BE395" s="889">
        <v>1</v>
      </c>
      <c r="BF395" s="890">
        <v>0</v>
      </c>
      <c r="BG395" s="883">
        <v>0</v>
      </c>
      <c r="BH395" s="883">
        <v>0</v>
      </c>
      <c r="BI395" s="890">
        <v>1</v>
      </c>
      <c r="BJ395" s="883">
        <v>0</v>
      </c>
      <c r="BK395" s="883">
        <v>0</v>
      </c>
      <c r="BL395" s="883">
        <v>1</v>
      </c>
      <c r="BM395" s="890">
        <v>0</v>
      </c>
      <c r="BN395" s="958">
        <v>7.0000000000000007E-2</v>
      </c>
      <c r="BO395" s="50">
        <v>6</v>
      </c>
      <c r="BP395" s="1018">
        <f t="shared" ca="1" si="563"/>
        <v>162.63999999999999</v>
      </c>
      <c r="BQ395" s="1018">
        <f t="shared" ca="1" si="564"/>
        <v>285.02799999999996</v>
      </c>
      <c r="BR395" s="1018">
        <f t="shared" ca="1" si="565"/>
        <v>51.803914909975674</v>
      </c>
      <c r="BS395" s="1018">
        <f t="shared" ca="1" si="566"/>
        <v>115.89999999999998</v>
      </c>
      <c r="BT395" s="1018">
        <f t="shared" ca="1" si="567"/>
        <v>81.319999999999993</v>
      </c>
      <c r="BU395" s="1018">
        <f t="shared" ca="1" si="568"/>
        <v>22.93</v>
      </c>
      <c r="BV395" s="1018">
        <f t="shared" ca="1" si="569"/>
        <v>2.15</v>
      </c>
      <c r="BW395" s="1018">
        <v>0</v>
      </c>
      <c r="BX395" s="1018">
        <f t="shared" ca="1" si="570"/>
        <v>11.936385923957529</v>
      </c>
      <c r="BY395" s="1018">
        <f t="shared" ca="1" si="571"/>
        <v>35.138959070237483</v>
      </c>
      <c r="BZ395" s="1018">
        <f t="shared" ca="1" si="480"/>
        <v>11.202244897959185</v>
      </c>
      <c r="CA395" s="1018">
        <f t="shared" ca="1" si="481"/>
        <v>45.859999981655996</v>
      </c>
      <c r="CB395" s="1018">
        <f t="shared" ca="1" si="572"/>
        <v>4.5133587786259541</v>
      </c>
      <c r="CC395" s="1018">
        <f t="shared" si="482"/>
        <v>0</v>
      </c>
      <c r="CD395" s="1018">
        <f t="shared" ca="1" si="575"/>
        <v>127.83822269613444</v>
      </c>
      <c r="CE395" s="1018">
        <f t="shared" ca="1" si="573"/>
        <v>46.995963415681047</v>
      </c>
      <c r="CF395" s="1018">
        <f t="shared" ca="1" si="483"/>
        <v>5.2450255833544643</v>
      </c>
      <c r="CG395" s="1018">
        <f t="shared" ca="1" si="484"/>
        <v>8732.7577952618485</v>
      </c>
    </row>
    <row r="396" spans="4:85" s="14" customFormat="1" x14ac:dyDescent="0.25">
      <c r="D396" s="459"/>
      <c r="E396" s="458"/>
      <c r="F396" s="459"/>
      <c r="G396" s="458"/>
      <c r="H396" s="459"/>
      <c r="I396" s="458"/>
      <c r="J396" s="459"/>
      <c r="K396" s="460"/>
      <c r="L396" s="459"/>
      <c r="M396" s="459"/>
      <c r="N396" s="459"/>
      <c r="O396" s="459"/>
      <c r="P396" s="459"/>
      <c r="Q396" s="459"/>
      <c r="R396" s="459"/>
      <c r="S396" s="459"/>
      <c r="T396" s="461"/>
      <c r="U396" s="458"/>
      <c r="V396" s="292"/>
      <c r="W396" s="292"/>
      <c r="X396" s="292"/>
      <c r="Y396" s="277"/>
      <c r="Z396" s="292"/>
      <c r="AA396" s="292"/>
      <c r="AB396" s="292"/>
      <c r="AC396" s="292"/>
      <c r="AD396" s="277"/>
      <c r="AE396" s="292"/>
      <c r="AF396" s="292"/>
      <c r="AG396" s="277"/>
      <c r="AH396" s="313"/>
      <c r="AI396" s="891"/>
      <c r="AJ396" s="985"/>
      <c r="AK396" s="1020">
        <f t="shared" si="479"/>
        <v>0</v>
      </c>
      <c r="AL396" s="955"/>
      <c r="AM396" s="955"/>
      <c r="AN396" s="955"/>
      <c r="AO396" s="955"/>
      <c r="AP396" s="955"/>
      <c r="AQ396" s="985"/>
      <c r="AR396" s="891"/>
      <c r="AS396" s="891"/>
      <c r="AT396" s="891"/>
      <c r="AU396" s="891"/>
      <c r="AV396" s="891"/>
      <c r="AW396" s="891"/>
      <c r="AX396" s="891"/>
      <c r="AY396" s="891"/>
      <c r="AZ396" s="891"/>
      <c r="BA396" s="891"/>
      <c r="BB396" s="891"/>
      <c r="BC396" s="892"/>
      <c r="BD396" s="893"/>
      <c r="BE396" s="893"/>
      <c r="BF396" s="894"/>
      <c r="BG396" s="891"/>
      <c r="BH396" s="891"/>
      <c r="BI396" s="894"/>
      <c r="BJ396" s="891"/>
      <c r="BK396" s="891"/>
      <c r="BL396" s="891"/>
      <c r="BM396" s="894"/>
      <c r="BN396" s="893"/>
      <c r="BO396" s="894"/>
      <c r="BP396" s="946"/>
      <c r="BQ396" s="946"/>
      <c r="BR396" s="946"/>
      <c r="BS396" s="946"/>
      <c r="BT396" s="946"/>
      <c r="BU396" s="946"/>
      <c r="BV396" s="946"/>
      <c r="BW396" s="946"/>
      <c r="BX396" s="946"/>
      <c r="BY396" s="946"/>
      <c r="BZ396" s="946"/>
      <c r="CA396" s="946"/>
      <c r="CB396" s="946"/>
      <c r="CC396" s="946"/>
      <c r="CD396" s="946"/>
      <c r="CE396" s="946"/>
      <c r="CF396" s="946"/>
      <c r="CG396" s="946"/>
    </row>
    <row r="397" spans="4:85" s="3" customFormat="1" x14ac:dyDescent="0.25">
      <c r="D397" s="450"/>
      <c r="E397" s="446"/>
      <c r="F397" s="450"/>
      <c r="G397" s="446"/>
      <c r="H397" s="450"/>
      <c r="I397" s="446"/>
      <c r="J397" s="450"/>
      <c r="K397" s="451"/>
      <c r="L397" s="450"/>
      <c r="M397" s="445"/>
      <c r="N397" s="445"/>
      <c r="O397" s="445"/>
      <c r="P397" s="445"/>
      <c r="Q397" s="445" t="s">
        <v>16</v>
      </c>
      <c r="R397" s="447">
        <v>0.81069999999999998</v>
      </c>
      <c r="S397" s="445"/>
      <c r="T397" s="456">
        <v>1.1037391299915775E-2</v>
      </c>
      <c r="U397" s="444"/>
      <c r="V397" s="176">
        <f t="shared" ref="V397:V405" si="576">T397</f>
        <v>1.1037391299915775E-2</v>
      </c>
      <c r="W397" s="176">
        <f>V397</f>
        <v>1.1037391299915775E-2</v>
      </c>
      <c r="X397" s="176">
        <f>W397</f>
        <v>1.1037391299915775E-2</v>
      </c>
      <c r="Y397" s="958">
        <f>X397/Calculation_sheet!M$67</f>
        <v>1.1037616975149565E-2</v>
      </c>
      <c r="Z397" s="176">
        <f ca="1">IF(AN397&gt;0,Y397*Calculation_sheet!C$87,0)</f>
        <v>0</v>
      </c>
      <c r="AA397" s="176">
        <f t="shared" ca="1" si="486"/>
        <v>1.1037616975149565E-2</v>
      </c>
      <c r="AB397" s="176">
        <f ca="1">IF(AP397&gt;0,AA397*Calculation_sheet!C$94,0)</f>
        <v>0</v>
      </c>
      <c r="AC397" s="176">
        <f t="shared" ref="AC397:AE405" ca="1" si="577">AA397-AB397</f>
        <v>1.1037616975149565E-2</v>
      </c>
      <c r="AD397" s="958">
        <f ca="1">AC397*Calculation_sheet!C$99</f>
        <v>6.622570185089739E-3</v>
      </c>
      <c r="AE397" s="176">
        <f t="shared" ca="1" si="577"/>
        <v>4.4150467900598263E-3</v>
      </c>
      <c r="AF397" s="176">
        <f t="shared" ref="AF397:AF405" ca="1" si="578">Y397-AB397</f>
        <v>1.1037616975149565E-2</v>
      </c>
      <c r="AG397" s="958">
        <f ca="1">AF397*User_sheet!B$77/100</f>
        <v>0</v>
      </c>
      <c r="AH397" s="313"/>
      <c r="AI397" s="883">
        <v>104</v>
      </c>
      <c r="AJ397" s="985"/>
      <c r="AK397" s="1020">
        <f t="shared" ca="1" si="479"/>
        <v>136.10813189538939</v>
      </c>
      <c r="AL397" s="954">
        <f ca="1">AK397/'103'!I$24</f>
        <v>0.30629115475755697</v>
      </c>
      <c r="AM397" s="954">
        <f ca="1">0.8*(AK397*30+'104'!D$17*0.34*30*1)</f>
        <v>6186.308445489346</v>
      </c>
      <c r="AN397" s="954">
        <f ca="1">IF(AM397&lt;User_sheet!B$50,Y397,0)</f>
        <v>1.1037616975149565E-2</v>
      </c>
      <c r="AO397" s="954">
        <f ca="1">20-(User_sheet!B$57/('Freestanding '!AK397+'104'!D$17*1*0.34))</f>
        <v>-2.1133493755465196</v>
      </c>
      <c r="AP397" s="954">
        <f ca="1">IF(AO397&lt;User_sheet!B$59,0,BC397*AA397)</f>
        <v>0</v>
      </c>
      <c r="AQ397" s="985"/>
      <c r="AR397" s="883">
        <v>0.24</v>
      </c>
      <c r="AS397" s="883">
        <v>0.32</v>
      </c>
      <c r="AT397" s="883">
        <v>0.83</v>
      </c>
      <c r="AU397" s="883">
        <v>2</v>
      </c>
      <c r="AV397" s="883">
        <v>3.3</v>
      </c>
      <c r="AW397" s="883">
        <v>14536.85461731979</v>
      </c>
      <c r="AX397" s="883">
        <v>73366.155837550017</v>
      </c>
      <c r="AY397" s="883">
        <v>69245.59826015502</v>
      </c>
      <c r="AZ397" s="886">
        <v>0</v>
      </c>
      <c r="BA397" s="886">
        <v>0</v>
      </c>
      <c r="BB397" s="883">
        <v>0.6</v>
      </c>
      <c r="BC397" s="46">
        <v>1</v>
      </c>
      <c r="BD397" s="199">
        <v>0</v>
      </c>
      <c r="BE397" s="199">
        <v>0</v>
      </c>
      <c r="BF397" s="50">
        <v>0</v>
      </c>
      <c r="BG397" s="886">
        <v>1</v>
      </c>
      <c r="BH397" s="886">
        <v>0</v>
      </c>
      <c r="BI397" s="50">
        <v>0</v>
      </c>
      <c r="BJ397" s="886">
        <v>1</v>
      </c>
      <c r="BK397" s="886">
        <v>0</v>
      </c>
      <c r="BL397" s="886">
        <v>0</v>
      </c>
      <c r="BM397" s="50">
        <v>0</v>
      </c>
      <c r="BN397" s="958">
        <v>7.0000000000000007E-2</v>
      </c>
      <c r="BO397" s="50">
        <v>6</v>
      </c>
      <c r="BP397" s="926">
        <f t="shared" ref="BP397:BP405" ca="1" si="579">INDIRECT("'"&amp;AI397&amp;"'!"&amp;"B2")</f>
        <v>162.63999999999999</v>
      </c>
      <c r="BQ397" s="926">
        <f t="shared" ref="BQ397:BQ405" ca="1" si="580">INDIRECT("'"&amp;AI397&amp;"'!"&amp;"C12")+INDIRECT("'"&amp;AI397&amp;"'!"&amp;"C13")+INDIRECT("'"&amp;AI397&amp;"'!"&amp;"C14")+INDIRECT("'"&amp;AI397&amp;"'!"&amp;"C15")+INDIRECT("'"&amp;AI397&amp;"'!"&amp;"C17")</f>
        <v>285.02799999999996</v>
      </c>
      <c r="BR397" s="926">
        <f t="shared" ref="BR397:BR405" ca="1" si="581">INDIRECT("'"&amp;AI397&amp;"'!"&amp;"G5")</f>
        <v>51.803914909975674</v>
      </c>
      <c r="BS397" s="926">
        <f t="shared" ref="BS397:BS405" ca="1" si="582">INDIRECT("'"&amp;AI397&amp;"'!"&amp;"G4")</f>
        <v>115.89999999999998</v>
      </c>
      <c r="BT397" s="926">
        <f t="shared" ref="BT397:BT405" ca="1" si="583">INDIRECT("'"&amp;AI397&amp;"'!"&amp;"G6")</f>
        <v>81.319999999999993</v>
      </c>
      <c r="BU397" s="926">
        <f t="shared" ref="BU397:BU405" ca="1" si="584">INDIRECT("'"&amp;AI397&amp;"'!"&amp;"G2")</f>
        <v>22.93</v>
      </c>
      <c r="BV397" s="926">
        <f t="shared" ref="BV397:BV405" ca="1" si="585">INDIRECT("'"&amp;AI397&amp;"'!"&amp;"G3")</f>
        <v>2.15</v>
      </c>
      <c r="BW397" s="926">
        <v>0</v>
      </c>
      <c r="BX397" s="926">
        <f t="shared" ref="BX397:BX405" ca="1" si="586">IF(BR397=0,0,1/(1/(BR397*$BY$3)+1/(BR397*AR397)+1/(BR397*$BY$4)))</f>
        <v>11.936385923957529</v>
      </c>
      <c r="BY397" s="926">
        <f t="shared" ref="BY397:BY405" ca="1" si="587">IF(BS397=0,0,1/(1/(BS397*$BY$3)+1/(BS397*AS397)+1/(BS397*$BY$4)))</f>
        <v>35.138959070237483</v>
      </c>
      <c r="BZ397" s="926">
        <f t="shared" ca="1" si="480"/>
        <v>19.47215409721413</v>
      </c>
      <c r="CA397" s="926">
        <f t="shared" ca="1" si="481"/>
        <v>45.859999981655996</v>
      </c>
      <c r="CB397" s="926">
        <f t="shared" ref="CB397:CB405" ca="1" si="588">IF(BV397=0,0,1/(1/(BV397*$BY$3)+1/(BV397*AV397)+1/(BV397*$BY$4)))</f>
        <v>4.5133587786259541</v>
      </c>
      <c r="CC397" s="926">
        <f t="shared" si="482"/>
        <v>0</v>
      </c>
      <c r="CD397" s="1018">
        <f ca="1">SUM(BX397:CC397)+(BR397+BS397+BT397+BU397+BV397)*BN397</f>
        <v>136.10813189538939</v>
      </c>
      <c r="CE397" s="1018">
        <f t="shared" ca="1" si="573"/>
        <v>46.995963415681047</v>
      </c>
      <c r="CF397" s="926">
        <f t="shared" ca="1" si="483"/>
        <v>5.4931228593321126</v>
      </c>
      <c r="CG397" s="926">
        <f t="shared" ca="1" si="484"/>
        <v>9145.8298358735938</v>
      </c>
    </row>
    <row r="398" spans="4:85" s="3" customFormat="1" x14ac:dyDescent="0.25">
      <c r="D398" s="450"/>
      <c r="E398" s="446"/>
      <c r="F398" s="450"/>
      <c r="G398" s="446"/>
      <c r="H398" s="450"/>
      <c r="I398" s="446"/>
      <c r="J398" s="450"/>
      <c r="K398" s="451"/>
      <c r="L398" s="450"/>
      <c r="M398" s="445"/>
      <c r="N398" s="445"/>
      <c r="O398" s="445" t="s">
        <v>18</v>
      </c>
      <c r="P398" s="447">
        <v>0.962121212</v>
      </c>
      <c r="Q398" s="445" t="s">
        <v>7</v>
      </c>
      <c r="R398" s="447">
        <v>0.1893</v>
      </c>
      <c r="S398" s="445"/>
      <c r="T398" s="456">
        <v>2.5772519712274036E-3</v>
      </c>
      <c r="U398" s="444"/>
      <c r="V398" s="176">
        <f t="shared" si="576"/>
        <v>2.5772519712274036E-3</v>
      </c>
      <c r="W398" s="176">
        <f t="shared" ref="W398:W405" si="589">V398</f>
        <v>2.5772519712274036E-3</v>
      </c>
      <c r="X398" s="176">
        <f t="shared" ref="X398:X405" si="590">W398</f>
        <v>2.5772519712274036E-3</v>
      </c>
      <c r="Y398" s="958">
        <f>X398/Calculation_sheet!M$67</f>
        <v>2.5773046668259685E-3</v>
      </c>
      <c r="Z398" s="176">
        <f ca="1">IF(AN398&gt;0,Y398*Calculation_sheet!C$87,0)</f>
        <v>0</v>
      </c>
      <c r="AA398" s="176">
        <f t="shared" ca="1" si="486"/>
        <v>2.5773046668259685E-3</v>
      </c>
      <c r="AB398" s="176">
        <f ca="1">IF(AP398&gt;0,AA398*Calculation_sheet!C$94,0)</f>
        <v>0</v>
      </c>
      <c r="AC398" s="176">
        <f t="shared" ca="1" si="577"/>
        <v>2.5773046668259685E-3</v>
      </c>
      <c r="AD398" s="958">
        <f ca="1">AC398*Calculation_sheet!C$99</f>
        <v>1.5463828000955809E-3</v>
      </c>
      <c r="AE398" s="176">
        <f t="shared" ca="1" si="577"/>
        <v>1.0309218667303875E-3</v>
      </c>
      <c r="AF398" s="176">
        <f t="shared" ca="1" si="578"/>
        <v>2.5773046668259685E-3</v>
      </c>
      <c r="AG398" s="958">
        <f ca="1">AF398*User_sheet!B$77/100</f>
        <v>0</v>
      </c>
      <c r="AH398" s="313"/>
      <c r="AI398" s="883">
        <v>104</v>
      </c>
      <c r="AJ398" s="985"/>
      <c r="AK398" s="1020">
        <f t="shared" ref="AK398:AK461" ca="1" si="591">CD398</f>
        <v>136.10813189538939</v>
      </c>
      <c r="AL398" s="954">
        <f ca="1">AK398/'103'!I$24</f>
        <v>0.30629115475755697</v>
      </c>
      <c r="AM398" s="954">
        <f ca="1">0.8*(AK398*30+'104'!D$17*0.34*30*1)</f>
        <v>6186.308445489346</v>
      </c>
      <c r="AN398" s="954">
        <f ca="1">IF(AM398&lt;User_sheet!B$50,Y398,0)</f>
        <v>2.5773046668259685E-3</v>
      </c>
      <c r="AO398" s="954">
        <f ca="1">20-(User_sheet!B$57/('Freestanding '!AK398+'104'!D$17*1*0.34))</f>
        <v>-2.1133493755465196</v>
      </c>
      <c r="AP398" s="954">
        <f ca="1">IF(AO398&lt;User_sheet!B$59,0,BC398*AA398)</f>
        <v>0</v>
      </c>
      <c r="AQ398" s="985"/>
      <c r="AR398" s="883">
        <v>0.24</v>
      </c>
      <c r="AS398" s="883">
        <v>0.32</v>
      </c>
      <c r="AT398" s="883">
        <v>0.83</v>
      </c>
      <c r="AU398" s="883">
        <v>2</v>
      </c>
      <c r="AV398" s="883">
        <v>3.3</v>
      </c>
      <c r="AW398" s="883">
        <v>14536.85461731979</v>
      </c>
      <c r="AX398" s="883">
        <v>73366.155837550017</v>
      </c>
      <c r="AY398" s="883">
        <v>69245.59826015502</v>
      </c>
      <c r="AZ398" s="886">
        <v>0</v>
      </c>
      <c r="BA398" s="886">
        <v>0</v>
      </c>
      <c r="BB398" s="883">
        <v>0.6</v>
      </c>
      <c r="BC398" s="46">
        <v>1</v>
      </c>
      <c r="BD398" s="199">
        <v>0</v>
      </c>
      <c r="BE398" s="199">
        <v>0</v>
      </c>
      <c r="BF398" s="50">
        <v>0</v>
      </c>
      <c r="BG398" s="886">
        <v>1</v>
      </c>
      <c r="BH398" s="886">
        <v>0</v>
      </c>
      <c r="BI398" s="50">
        <v>0</v>
      </c>
      <c r="BJ398" s="886">
        <v>0</v>
      </c>
      <c r="BK398" s="886">
        <v>0</v>
      </c>
      <c r="BL398" s="886">
        <v>1</v>
      </c>
      <c r="BM398" s="50">
        <v>0</v>
      </c>
      <c r="BN398" s="958">
        <v>7.0000000000000007E-2</v>
      </c>
      <c r="BO398" s="50">
        <v>6</v>
      </c>
      <c r="BP398" s="926">
        <f t="shared" ca="1" si="579"/>
        <v>162.63999999999999</v>
      </c>
      <c r="BQ398" s="926">
        <f t="shared" ca="1" si="580"/>
        <v>285.02799999999996</v>
      </c>
      <c r="BR398" s="926">
        <f t="shared" ca="1" si="581"/>
        <v>51.803914909975674</v>
      </c>
      <c r="BS398" s="926">
        <f t="shared" ca="1" si="582"/>
        <v>115.89999999999998</v>
      </c>
      <c r="BT398" s="926">
        <f t="shared" ca="1" si="583"/>
        <v>81.319999999999993</v>
      </c>
      <c r="BU398" s="926">
        <f t="shared" ca="1" si="584"/>
        <v>22.93</v>
      </c>
      <c r="BV398" s="926">
        <f t="shared" ca="1" si="585"/>
        <v>2.15</v>
      </c>
      <c r="BW398" s="926">
        <v>0</v>
      </c>
      <c r="BX398" s="926">
        <f t="shared" ca="1" si="586"/>
        <v>11.936385923957529</v>
      </c>
      <c r="BY398" s="926">
        <f t="shared" ca="1" si="587"/>
        <v>35.138959070237483</v>
      </c>
      <c r="BZ398" s="926">
        <f t="shared" ref="BZ398:BZ461" ca="1" si="592">IF(BT398=0,0,1/(1/(BT398*$BY$3)+1/(BT398*AT398)+1/(BT398*$BY$4)))*0.33</f>
        <v>19.47215409721413</v>
      </c>
      <c r="CA398" s="926">
        <f t="shared" ref="CA398:CA461" ca="1" si="593">IF(BU398=0,0,1/(1/(BU398*$BY$5)+1/(BU398*AU398)+1/(BU398*$BY$6)))</f>
        <v>45.859999981655996</v>
      </c>
      <c r="CB398" s="926">
        <f t="shared" ca="1" si="588"/>
        <v>4.5133587786259541</v>
      </c>
      <c r="CC398" s="926">
        <f t="shared" ref="CC398:CC461" si="594">0.67*IF(BW398=0,0,1/(1/(BW398*$BY$3)+1/(BW398*AS398)+1/(BW398*$BY$4)))</f>
        <v>0</v>
      </c>
      <c r="CD398" s="1018">
        <f t="shared" ref="CD398:CD405" ca="1" si="595">SUM(BX398:CC398)+(BR398+BS398+BT398+BU398+BV398)*BN398</f>
        <v>136.10813189538939</v>
      </c>
      <c r="CE398" s="1018">
        <f t="shared" ca="1" si="573"/>
        <v>46.995963415681047</v>
      </c>
      <c r="CF398" s="926">
        <f t="shared" ref="CF398:CF461" ca="1" si="596">(CD398+CE398)*($BY$7-$BV$5)/1000</f>
        <v>5.4931228593321126</v>
      </c>
      <c r="CG398" s="926">
        <f t="shared" ref="CG398:CG461" ca="1" si="597">$BV$8*(CD398+CE398)*($BY$10-$BV$7)*24/1000</f>
        <v>9145.8298358735938</v>
      </c>
    </row>
    <row r="399" spans="4:85" s="3" customFormat="1" x14ac:dyDescent="0.25">
      <c r="D399" s="450"/>
      <c r="E399" s="446"/>
      <c r="F399" s="450"/>
      <c r="G399" s="446"/>
      <c r="H399" s="450"/>
      <c r="I399" s="446"/>
      <c r="J399" s="450"/>
      <c r="K399" s="451"/>
      <c r="L399" s="450"/>
      <c r="M399" s="445"/>
      <c r="N399" s="445"/>
      <c r="O399" s="445"/>
      <c r="P399" s="445"/>
      <c r="Q399" s="445" t="s">
        <v>16</v>
      </c>
      <c r="R399" s="447">
        <v>0.81069999999999998</v>
      </c>
      <c r="S399" s="445"/>
      <c r="T399" s="456">
        <v>4.3454296600889625E-4</v>
      </c>
      <c r="U399" s="444"/>
      <c r="V399" s="176">
        <f t="shared" si="576"/>
        <v>4.3454296600889625E-4</v>
      </c>
      <c r="W399" s="176">
        <f t="shared" si="589"/>
        <v>4.3454296600889625E-4</v>
      </c>
      <c r="X399" s="176">
        <f t="shared" si="590"/>
        <v>4.3454296600889625E-4</v>
      </c>
      <c r="Y399" s="958">
        <f>X399/Calculation_sheet!M$67</f>
        <v>4.3455185086064982E-4</v>
      </c>
      <c r="Z399" s="176">
        <f ca="1">IF(AN399&gt;0,Y399*Calculation_sheet!C$87,0)</f>
        <v>0</v>
      </c>
      <c r="AA399" s="176">
        <f t="shared" ca="1" si="486"/>
        <v>4.3455185086064982E-4</v>
      </c>
      <c r="AB399" s="176">
        <f ca="1">IF(AP399&gt;0,AA399*Calculation_sheet!C$94,0)</f>
        <v>0</v>
      </c>
      <c r="AC399" s="176">
        <f t="shared" ca="1" si="577"/>
        <v>4.3455185086064982E-4</v>
      </c>
      <c r="AD399" s="958">
        <f ca="1">AC399*Calculation_sheet!C$99</f>
        <v>2.6073111051638987E-4</v>
      </c>
      <c r="AE399" s="176">
        <f t="shared" ca="1" si="577"/>
        <v>1.7382074034425995E-4</v>
      </c>
      <c r="AF399" s="176">
        <f t="shared" ca="1" si="578"/>
        <v>4.3455185086064982E-4</v>
      </c>
      <c r="AG399" s="958">
        <f ca="1">AF399*User_sheet!B$77/100</f>
        <v>0</v>
      </c>
      <c r="AH399" s="313"/>
      <c r="AI399" s="883">
        <v>104</v>
      </c>
      <c r="AJ399" s="985"/>
      <c r="AK399" s="1020">
        <f t="shared" ca="1" si="591"/>
        <v>136.10813189538939</v>
      </c>
      <c r="AL399" s="954">
        <f ca="1">AK399/'103'!I$24</f>
        <v>0.30629115475755697</v>
      </c>
      <c r="AM399" s="954">
        <f ca="1">0.8*(AK399*30+'104'!D$17*0.34*30*1)</f>
        <v>6186.308445489346</v>
      </c>
      <c r="AN399" s="954">
        <f ca="1">IF(AM399&lt;User_sheet!B$50,Y399,0)</f>
        <v>4.3455185086064982E-4</v>
      </c>
      <c r="AO399" s="954">
        <f ca="1">20-(User_sheet!B$57/('Freestanding '!AK399+'104'!D$17*1*0.34))</f>
        <v>-2.1133493755465196</v>
      </c>
      <c r="AP399" s="954">
        <f ca="1">IF(AO399&lt;User_sheet!B$59,0,BC399*AA399)</f>
        <v>0</v>
      </c>
      <c r="AQ399" s="985"/>
      <c r="AR399" s="883">
        <v>0.24</v>
      </c>
      <c r="AS399" s="883">
        <v>0.32</v>
      </c>
      <c r="AT399" s="883">
        <v>0.83</v>
      </c>
      <c r="AU399" s="883">
        <v>2</v>
      </c>
      <c r="AV399" s="883">
        <v>3.3</v>
      </c>
      <c r="AW399" s="883">
        <v>14536.85461731979</v>
      </c>
      <c r="AX399" s="883">
        <v>73366.155837550017</v>
      </c>
      <c r="AY399" s="883">
        <v>69245.59826015502</v>
      </c>
      <c r="AZ399" s="886">
        <v>0</v>
      </c>
      <c r="BA399" s="886">
        <v>0</v>
      </c>
      <c r="BB399" s="883">
        <v>0.6</v>
      </c>
      <c r="BC399" s="46">
        <v>1</v>
      </c>
      <c r="BD399" s="199">
        <v>0</v>
      </c>
      <c r="BE399" s="199">
        <v>0</v>
      </c>
      <c r="BF399" s="50">
        <v>0</v>
      </c>
      <c r="BG399" s="886">
        <v>0</v>
      </c>
      <c r="BH399" s="886">
        <v>1</v>
      </c>
      <c r="BI399" s="50">
        <v>0</v>
      </c>
      <c r="BJ399" s="886">
        <v>1</v>
      </c>
      <c r="BK399" s="886">
        <v>0</v>
      </c>
      <c r="BL399" s="886">
        <v>0</v>
      </c>
      <c r="BM399" s="50">
        <v>0</v>
      </c>
      <c r="BN399" s="958">
        <v>7.0000000000000007E-2</v>
      </c>
      <c r="BO399" s="50">
        <v>6</v>
      </c>
      <c r="BP399" s="926">
        <f t="shared" ca="1" si="579"/>
        <v>162.63999999999999</v>
      </c>
      <c r="BQ399" s="926">
        <f t="shared" ca="1" si="580"/>
        <v>285.02799999999996</v>
      </c>
      <c r="BR399" s="926">
        <f t="shared" ca="1" si="581"/>
        <v>51.803914909975674</v>
      </c>
      <c r="BS399" s="926">
        <f t="shared" ca="1" si="582"/>
        <v>115.89999999999998</v>
      </c>
      <c r="BT399" s="926">
        <f t="shared" ca="1" si="583"/>
        <v>81.319999999999993</v>
      </c>
      <c r="BU399" s="926">
        <f t="shared" ca="1" si="584"/>
        <v>22.93</v>
      </c>
      <c r="BV399" s="926">
        <f t="shared" ca="1" si="585"/>
        <v>2.15</v>
      </c>
      <c r="BW399" s="926">
        <v>0</v>
      </c>
      <c r="BX399" s="926">
        <f t="shared" ca="1" si="586"/>
        <v>11.936385923957529</v>
      </c>
      <c r="BY399" s="926">
        <f t="shared" ca="1" si="587"/>
        <v>35.138959070237483</v>
      </c>
      <c r="BZ399" s="926">
        <f t="shared" ca="1" si="592"/>
        <v>19.47215409721413</v>
      </c>
      <c r="CA399" s="926">
        <f t="shared" ca="1" si="593"/>
        <v>45.859999981655996</v>
      </c>
      <c r="CB399" s="926">
        <f t="shared" ca="1" si="588"/>
        <v>4.5133587786259541</v>
      </c>
      <c r="CC399" s="926">
        <f t="shared" si="594"/>
        <v>0</v>
      </c>
      <c r="CD399" s="1018">
        <f t="shared" ca="1" si="595"/>
        <v>136.10813189538939</v>
      </c>
      <c r="CE399" s="1018">
        <f t="shared" ca="1" si="573"/>
        <v>46.995963415681047</v>
      </c>
      <c r="CF399" s="926">
        <f t="shared" ca="1" si="596"/>
        <v>5.4931228593321126</v>
      </c>
      <c r="CG399" s="926">
        <f t="shared" ca="1" si="597"/>
        <v>9145.8298358735938</v>
      </c>
    </row>
    <row r="400" spans="4:85" s="3" customFormat="1" x14ac:dyDescent="0.25">
      <c r="D400" s="450"/>
      <c r="E400" s="446"/>
      <c r="F400" s="450"/>
      <c r="G400" s="446"/>
      <c r="H400" s="450"/>
      <c r="I400" s="446"/>
      <c r="J400" s="450"/>
      <c r="K400" s="451"/>
      <c r="L400" s="450"/>
      <c r="M400" s="445" t="s">
        <v>16</v>
      </c>
      <c r="N400" s="447">
        <v>0.5</v>
      </c>
      <c r="O400" s="445" t="s">
        <v>19</v>
      </c>
      <c r="P400" s="447">
        <v>3.7878787999999997E-2</v>
      </c>
      <c r="Q400" s="445" t="s">
        <v>7</v>
      </c>
      <c r="R400" s="447">
        <v>0.1893</v>
      </c>
      <c r="S400" s="445"/>
      <c r="T400" s="456">
        <v>1.0146661337792531E-4</v>
      </c>
      <c r="U400" s="444"/>
      <c r="V400" s="176">
        <f t="shared" si="576"/>
        <v>1.0146661337792531E-4</v>
      </c>
      <c r="W400" s="176">
        <f t="shared" si="589"/>
        <v>1.0146661337792531E-4</v>
      </c>
      <c r="X400" s="176">
        <f t="shared" si="590"/>
        <v>1.0146661337792531E-4</v>
      </c>
      <c r="Y400" s="958">
        <f>X400/Calculation_sheet!M$67</f>
        <v>1.0146868800779697E-4</v>
      </c>
      <c r="Z400" s="176">
        <f ca="1">IF(AN400&gt;0,Y400*Calculation_sheet!C$87,0)</f>
        <v>0</v>
      </c>
      <c r="AA400" s="176">
        <f t="shared" ca="1" si="486"/>
        <v>1.0146868800779697E-4</v>
      </c>
      <c r="AB400" s="176">
        <f ca="1">IF(AP400&gt;0,AA400*Calculation_sheet!C$94,0)</f>
        <v>0</v>
      </c>
      <c r="AC400" s="176">
        <f t="shared" ca="1" si="577"/>
        <v>1.0146868800779697E-4</v>
      </c>
      <c r="AD400" s="958">
        <f ca="1">AC400*Calculation_sheet!C$99</f>
        <v>6.0881212804678178E-5</v>
      </c>
      <c r="AE400" s="176">
        <f t="shared" ca="1" si="577"/>
        <v>4.0587475203118794E-5</v>
      </c>
      <c r="AF400" s="176">
        <f t="shared" ca="1" si="578"/>
        <v>1.0146868800779697E-4</v>
      </c>
      <c r="AG400" s="958">
        <f ca="1">AF400*User_sheet!B$77/100</f>
        <v>0</v>
      </c>
      <c r="AH400" s="313"/>
      <c r="AI400" s="883">
        <v>104</v>
      </c>
      <c r="AJ400" s="985"/>
      <c r="AK400" s="1020">
        <f t="shared" ca="1" si="591"/>
        <v>136.10813189538939</v>
      </c>
      <c r="AL400" s="954">
        <f ca="1">AK400/'103'!I$24</f>
        <v>0.30629115475755697</v>
      </c>
      <c r="AM400" s="954">
        <f ca="1">0.8*(AK400*30+'104'!D$17*0.34*30*1)</f>
        <v>6186.308445489346</v>
      </c>
      <c r="AN400" s="954">
        <f ca="1">IF(AM400&lt;User_sheet!B$50,Y400,0)</f>
        <v>1.0146868800779697E-4</v>
      </c>
      <c r="AO400" s="954">
        <f ca="1">20-(User_sheet!B$57/('Freestanding '!AK400+'104'!D$17*1*0.34))</f>
        <v>-2.1133493755465196</v>
      </c>
      <c r="AP400" s="954">
        <f ca="1">IF(AO400&lt;User_sheet!B$59,0,BC400*AA400)</f>
        <v>0</v>
      </c>
      <c r="AQ400" s="985"/>
      <c r="AR400" s="883">
        <v>0.24</v>
      </c>
      <c r="AS400" s="883">
        <v>0.32</v>
      </c>
      <c r="AT400" s="883">
        <v>0.83</v>
      </c>
      <c r="AU400" s="883">
        <v>2</v>
      </c>
      <c r="AV400" s="883">
        <v>3.3</v>
      </c>
      <c r="AW400" s="883">
        <v>14536.85461731979</v>
      </c>
      <c r="AX400" s="883">
        <v>73366.155837550017</v>
      </c>
      <c r="AY400" s="883">
        <v>69245.59826015502</v>
      </c>
      <c r="AZ400" s="886">
        <v>0</v>
      </c>
      <c r="BA400" s="886">
        <v>0</v>
      </c>
      <c r="BB400" s="883">
        <v>0.6</v>
      </c>
      <c r="BC400" s="46">
        <v>1</v>
      </c>
      <c r="BD400" s="199">
        <v>0</v>
      </c>
      <c r="BE400" s="199">
        <v>0</v>
      </c>
      <c r="BF400" s="50">
        <v>0</v>
      </c>
      <c r="BG400" s="886">
        <v>0</v>
      </c>
      <c r="BH400" s="886">
        <v>1</v>
      </c>
      <c r="BI400" s="50">
        <v>0</v>
      </c>
      <c r="BJ400" s="886">
        <v>0</v>
      </c>
      <c r="BK400" s="886">
        <v>0</v>
      </c>
      <c r="BL400" s="886">
        <v>1</v>
      </c>
      <c r="BM400" s="50">
        <v>0</v>
      </c>
      <c r="BN400" s="958">
        <v>7.0000000000000007E-2</v>
      </c>
      <c r="BO400" s="50">
        <v>6</v>
      </c>
      <c r="BP400" s="926">
        <f t="shared" ca="1" si="579"/>
        <v>162.63999999999999</v>
      </c>
      <c r="BQ400" s="926">
        <f t="shared" ca="1" si="580"/>
        <v>285.02799999999996</v>
      </c>
      <c r="BR400" s="926">
        <f t="shared" ca="1" si="581"/>
        <v>51.803914909975674</v>
      </c>
      <c r="BS400" s="926">
        <f t="shared" ca="1" si="582"/>
        <v>115.89999999999998</v>
      </c>
      <c r="BT400" s="926">
        <f t="shared" ca="1" si="583"/>
        <v>81.319999999999993</v>
      </c>
      <c r="BU400" s="926">
        <f t="shared" ca="1" si="584"/>
        <v>22.93</v>
      </c>
      <c r="BV400" s="926">
        <f t="shared" ca="1" si="585"/>
        <v>2.15</v>
      </c>
      <c r="BW400" s="926">
        <v>0</v>
      </c>
      <c r="BX400" s="926">
        <f t="shared" ca="1" si="586"/>
        <v>11.936385923957529</v>
      </c>
      <c r="BY400" s="926">
        <f t="shared" ca="1" si="587"/>
        <v>35.138959070237483</v>
      </c>
      <c r="BZ400" s="926">
        <f t="shared" ca="1" si="592"/>
        <v>19.47215409721413</v>
      </c>
      <c r="CA400" s="926">
        <f t="shared" ca="1" si="593"/>
        <v>45.859999981655996</v>
      </c>
      <c r="CB400" s="926">
        <f t="shared" ca="1" si="588"/>
        <v>4.5133587786259541</v>
      </c>
      <c r="CC400" s="926">
        <f t="shared" si="594"/>
        <v>0</v>
      </c>
      <c r="CD400" s="1018">
        <f t="shared" ca="1" si="595"/>
        <v>136.10813189538939</v>
      </c>
      <c r="CE400" s="1018">
        <f t="shared" ca="1" si="573"/>
        <v>46.995963415681047</v>
      </c>
      <c r="CF400" s="926">
        <f t="shared" ca="1" si="596"/>
        <v>5.4931228593321126</v>
      </c>
      <c r="CG400" s="926">
        <f t="shared" ca="1" si="597"/>
        <v>9145.8298358735938</v>
      </c>
    </row>
    <row r="401" spans="4:85" s="3" customFormat="1" x14ac:dyDescent="0.25">
      <c r="D401" s="450"/>
      <c r="E401" s="446"/>
      <c r="F401" s="450"/>
      <c r="G401" s="446"/>
      <c r="H401" s="450"/>
      <c r="I401" s="446"/>
      <c r="J401" s="450"/>
      <c r="K401" s="451"/>
      <c r="L401" s="450"/>
      <c r="M401" s="445"/>
      <c r="N401" s="445"/>
      <c r="O401" s="445"/>
      <c r="P401" s="445"/>
      <c r="Q401" s="445" t="s">
        <v>22</v>
      </c>
      <c r="R401" s="447">
        <v>0.81</v>
      </c>
      <c r="S401" s="445"/>
      <c r="T401" s="456">
        <v>8.2594031146765324E-3</v>
      </c>
      <c r="U401" s="444"/>
      <c r="V401" s="176">
        <f t="shared" si="576"/>
        <v>8.2594031146765324E-3</v>
      </c>
      <c r="W401" s="176">
        <f t="shared" si="589"/>
        <v>8.2594031146765324E-3</v>
      </c>
      <c r="X401" s="176">
        <f t="shared" si="590"/>
        <v>8.2594031146765324E-3</v>
      </c>
      <c r="Y401" s="958">
        <f>X401/Calculation_sheet!M$67</f>
        <v>8.2595719899730795E-3</v>
      </c>
      <c r="Z401" s="176">
        <f ca="1">IF(AN401&gt;0,Y401*Calculation_sheet!C$87,0)</f>
        <v>0</v>
      </c>
      <c r="AA401" s="176">
        <f ca="1">Y401-Z401</f>
        <v>8.2595719899730795E-3</v>
      </c>
      <c r="AB401" s="176">
        <f ca="1">IF(AP401&gt;0,AA401*Calculation_sheet!C$94,0)</f>
        <v>0</v>
      </c>
      <c r="AC401" s="176">
        <f t="shared" ca="1" si="577"/>
        <v>8.2595719899730795E-3</v>
      </c>
      <c r="AD401" s="958">
        <f ca="1">AC401*Calculation_sheet!C$99</f>
        <v>4.9557431939838475E-3</v>
      </c>
      <c r="AE401" s="176">
        <f t="shared" ca="1" si="577"/>
        <v>3.303828795989232E-3</v>
      </c>
      <c r="AF401" s="176">
        <f t="shared" ca="1" si="578"/>
        <v>8.2595719899730795E-3</v>
      </c>
      <c r="AG401" s="958">
        <f ca="1">AF401*User_sheet!B$77/100</f>
        <v>0</v>
      </c>
      <c r="AH401" s="313"/>
      <c r="AI401" s="883">
        <v>104</v>
      </c>
      <c r="AJ401" s="985"/>
      <c r="AK401" s="1020">
        <f t="shared" ca="1" si="591"/>
        <v>136.10813189538939</v>
      </c>
      <c r="AL401" s="954">
        <f ca="1">AK401/'103'!I$24</f>
        <v>0.30629115475755697</v>
      </c>
      <c r="AM401" s="954">
        <f ca="1">0.8*(AK401*30+'104'!D$17*0.34*30*1)</f>
        <v>6186.308445489346</v>
      </c>
      <c r="AN401" s="954">
        <f ca="1">IF(AM401&lt;User_sheet!B$50,Y401,0)</f>
        <v>8.2595719899730795E-3</v>
      </c>
      <c r="AO401" s="954">
        <f ca="1">20-(User_sheet!B$57/('Freestanding '!AK401+'104'!D$17*1*0.34))</f>
        <v>-2.1133493755465196</v>
      </c>
      <c r="AP401" s="954">
        <f ca="1">IF(AO401&lt;User_sheet!B$59,0,BC401*AA401)</f>
        <v>0</v>
      </c>
      <c r="AQ401" s="985"/>
      <c r="AR401" s="883">
        <v>0.24</v>
      </c>
      <c r="AS401" s="883">
        <v>0.32</v>
      </c>
      <c r="AT401" s="883">
        <v>0.83</v>
      </c>
      <c r="AU401" s="883">
        <v>2</v>
      </c>
      <c r="AV401" s="883">
        <v>3.3</v>
      </c>
      <c r="AW401" s="883">
        <v>14536.85461731979</v>
      </c>
      <c r="AX401" s="883">
        <v>73366.155837550017</v>
      </c>
      <c r="AY401" s="883">
        <v>69245.59826015502</v>
      </c>
      <c r="AZ401" s="886">
        <v>0</v>
      </c>
      <c r="BA401" s="886">
        <v>0</v>
      </c>
      <c r="BB401" s="883">
        <v>0.6</v>
      </c>
      <c r="BC401" s="888">
        <v>0</v>
      </c>
      <c r="BD401" s="889">
        <v>1</v>
      </c>
      <c r="BE401" s="889">
        <v>0</v>
      </c>
      <c r="BF401" s="890">
        <v>0</v>
      </c>
      <c r="BG401" s="883">
        <v>1</v>
      </c>
      <c r="BH401" s="883">
        <v>0</v>
      </c>
      <c r="BI401" s="890">
        <v>0</v>
      </c>
      <c r="BJ401" s="883">
        <v>0</v>
      </c>
      <c r="BK401" s="883">
        <v>1</v>
      </c>
      <c r="BL401" s="883">
        <v>0</v>
      </c>
      <c r="BM401" s="890">
        <v>0</v>
      </c>
      <c r="BN401" s="958">
        <v>7.0000000000000007E-2</v>
      </c>
      <c r="BO401" s="50">
        <v>6</v>
      </c>
      <c r="BP401" s="926">
        <f t="shared" ca="1" si="579"/>
        <v>162.63999999999999</v>
      </c>
      <c r="BQ401" s="926">
        <f t="shared" ca="1" si="580"/>
        <v>285.02799999999996</v>
      </c>
      <c r="BR401" s="926">
        <f t="shared" ca="1" si="581"/>
        <v>51.803914909975674</v>
      </c>
      <c r="BS401" s="926">
        <f t="shared" ca="1" si="582"/>
        <v>115.89999999999998</v>
      </c>
      <c r="BT401" s="926">
        <f t="shared" ca="1" si="583"/>
        <v>81.319999999999993</v>
      </c>
      <c r="BU401" s="926">
        <f t="shared" ca="1" si="584"/>
        <v>22.93</v>
      </c>
      <c r="BV401" s="926">
        <f t="shared" ca="1" si="585"/>
        <v>2.15</v>
      </c>
      <c r="BW401" s="926">
        <v>0</v>
      </c>
      <c r="BX401" s="926">
        <f t="shared" ca="1" si="586"/>
        <v>11.936385923957529</v>
      </c>
      <c r="BY401" s="926">
        <f t="shared" ca="1" si="587"/>
        <v>35.138959070237483</v>
      </c>
      <c r="BZ401" s="926">
        <f t="shared" ca="1" si="592"/>
        <v>19.47215409721413</v>
      </c>
      <c r="CA401" s="926">
        <f t="shared" ca="1" si="593"/>
        <v>45.859999981655996</v>
      </c>
      <c r="CB401" s="926">
        <f t="shared" ca="1" si="588"/>
        <v>4.5133587786259541</v>
      </c>
      <c r="CC401" s="926">
        <f t="shared" si="594"/>
        <v>0</v>
      </c>
      <c r="CD401" s="1018">
        <f t="shared" ca="1" si="595"/>
        <v>136.10813189538939</v>
      </c>
      <c r="CE401" s="1018">
        <f t="shared" ca="1" si="573"/>
        <v>46.995963415681047</v>
      </c>
      <c r="CF401" s="926">
        <f t="shared" ca="1" si="596"/>
        <v>5.4931228593321126</v>
      </c>
      <c r="CG401" s="926">
        <f t="shared" ca="1" si="597"/>
        <v>9145.8298358735938</v>
      </c>
    </row>
    <row r="402" spans="4:85" x14ac:dyDescent="0.25">
      <c r="D402" s="450"/>
      <c r="E402" s="446"/>
      <c r="F402" s="450"/>
      <c r="G402" s="446"/>
      <c r="H402" s="450"/>
      <c r="I402" s="446"/>
      <c r="J402" s="450"/>
      <c r="K402" s="451"/>
      <c r="L402" s="450"/>
      <c r="M402" s="445"/>
      <c r="N402" s="445"/>
      <c r="O402" s="445" t="s">
        <v>18</v>
      </c>
      <c r="P402" s="447">
        <v>0.96078431399999997</v>
      </c>
      <c r="Q402" s="445" t="s">
        <v>7</v>
      </c>
      <c r="R402" s="447">
        <v>0.19</v>
      </c>
      <c r="S402" s="445"/>
      <c r="T402" s="456">
        <v>1.9373908540599269E-3</v>
      </c>
      <c r="U402" s="444"/>
      <c r="V402" s="176">
        <f t="shared" si="576"/>
        <v>1.9373908540599269E-3</v>
      </c>
      <c r="W402" s="176">
        <f t="shared" si="589"/>
        <v>1.9373908540599269E-3</v>
      </c>
      <c r="X402" s="176">
        <f t="shared" si="590"/>
        <v>1.9373908540599269E-3</v>
      </c>
      <c r="Y402" s="958">
        <f>X402/Calculation_sheet!M$67</f>
        <v>1.9374304667838082E-3</v>
      </c>
      <c r="Z402" s="176">
        <f ca="1">IF(AN402&gt;0,Y402*Calculation_sheet!C$87,0)</f>
        <v>0</v>
      </c>
      <c r="AA402" s="176">
        <f ca="1">Y402-Z402</f>
        <v>1.9374304667838082E-3</v>
      </c>
      <c r="AB402" s="176">
        <f ca="1">IF(AP402&gt;0,AA402*Calculation_sheet!C$94,0)</f>
        <v>0</v>
      </c>
      <c r="AC402" s="176">
        <f t="shared" ca="1" si="577"/>
        <v>1.9374304667838082E-3</v>
      </c>
      <c r="AD402" s="958">
        <f ca="1">AC402*Calculation_sheet!C$99</f>
        <v>1.1624582800702848E-3</v>
      </c>
      <c r="AE402" s="176">
        <f t="shared" ca="1" si="577"/>
        <v>7.7497218671352341E-4</v>
      </c>
      <c r="AF402" s="176">
        <f t="shared" ca="1" si="578"/>
        <v>1.9374304667838082E-3</v>
      </c>
      <c r="AG402" s="958">
        <f ca="1">AF402*User_sheet!B$77/100</f>
        <v>0</v>
      </c>
      <c r="AH402" s="313"/>
      <c r="AI402" s="883">
        <v>104</v>
      </c>
      <c r="AJ402" s="985"/>
      <c r="AK402" s="1020">
        <f t="shared" ca="1" si="591"/>
        <v>136.10813189538939</v>
      </c>
      <c r="AL402" s="954">
        <f ca="1">AK402/'103'!I$24</f>
        <v>0.30629115475755697</v>
      </c>
      <c r="AM402" s="954">
        <f ca="1">0.8*(AK402*30+'104'!D$17*0.34*30*1)</f>
        <v>6186.308445489346</v>
      </c>
      <c r="AN402" s="954">
        <f ca="1">IF(AM402&lt;User_sheet!B$50,Y402,0)</f>
        <v>1.9374304667838082E-3</v>
      </c>
      <c r="AO402" s="954">
        <f ca="1">20-(User_sheet!B$57/('Freestanding '!AK402+'104'!D$17*1*0.34))</f>
        <v>-2.1133493755465196</v>
      </c>
      <c r="AP402" s="954">
        <f ca="1">IF(AO402&lt;User_sheet!B$59,0,BC402*AA402)</f>
        <v>0</v>
      </c>
      <c r="AQ402" s="985"/>
      <c r="AR402" s="883">
        <v>0.24</v>
      </c>
      <c r="AS402" s="883">
        <v>0.32</v>
      </c>
      <c r="AT402" s="883">
        <v>0.83</v>
      </c>
      <c r="AU402" s="883">
        <v>2</v>
      </c>
      <c r="AV402" s="883">
        <v>3.3</v>
      </c>
      <c r="AW402" s="883">
        <v>14536.85461731979</v>
      </c>
      <c r="AX402" s="883">
        <v>73366.155837550017</v>
      </c>
      <c r="AY402" s="883">
        <v>69245.59826015502</v>
      </c>
      <c r="AZ402" s="886">
        <v>0</v>
      </c>
      <c r="BA402" s="886">
        <v>0</v>
      </c>
      <c r="BB402" s="883">
        <v>0.6</v>
      </c>
      <c r="BC402" s="888">
        <v>0</v>
      </c>
      <c r="BD402" s="889">
        <v>1</v>
      </c>
      <c r="BE402" s="889">
        <v>0</v>
      </c>
      <c r="BF402" s="890">
        <v>0</v>
      </c>
      <c r="BG402" s="883">
        <v>1</v>
      </c>
      <c r="BH402" s="883">
        <v>0</v>
      </c>
      <c r="BI402" s="890">
        <v>0</v>
      </c>
      <c r="BJ402" s="883">
        <v>0</v>
      </c>
      <c r="BK402" s="883">
        <v>0</v>
      </c>
      <c r="BL402" s="883">
        <v>1</v>
      </c>
      <c r="BM402" s="890">
        <v>0</v>
      </c>
      <c r="BN402" s="958">
        <v>7.0000000000000007E-2</v>
      </c>
      <c r="BO402" s="50">
        <v>6</v>
      </c>
      <c r="BP402" s="926">
        <f t="shared" ca="1" si="579"/>
        <v>162.63999999999999</v>
      </c>
      <c r="BQ402" s="926">
        <f t="shared" ca="1" si="580"/>
        <v>285.02799999999996</v>
      </c>
      <c r="BR402" s="926">
        <f t="shared" ca="1" si="581"/>
        <v>51.803914909975674</v>
      </c>
      <c r="BS402" s="926">
        <f t="shared" ca="1" si="582"/>
        <v>115.89999999999998</v>
      </c>
      <c r="BT402" s="926">
        <f t="shared" ca="1" si="583"/>
        <v>81.319999999999993</v>
      </c>
      <c r="BU402" s="926">
        <f t="shared" ca="1" si="584"/>
        <v>22.93</v>
      </c>
      <c r="BV402" s="926">
        <f t="shared" ca="1" si="585"/>
        <v>2.15</v>
      </c>
      <c r="BW402" s="926">
        <v>0</v>
      </c>
      <c r="BX402" s="926">
        <f t="shared" ca="1" si="586"/>
        <v>11.936385923957529</v>
      </c>
      <c r="BY402" s="926">
        <f t="shared" ca="1" si="587"/>
        <v>35.138959070237483</v>
      </c>
      <c r="BZ402" s="926">
        <f t="shared" ca="1" si="592"/>
        <v>19.47215409721413</v>
      </c>
      <c r="CA402" s="926">
        <f t="shared" ca="1" si="593"/>
        <v>45.859999981655996</v>
      </c>
      <c r="CB402" s="926">
        <f t="shared" ca="1" si="588"/>
        <v>4.5133587786259541</v>
      </c>
      <c r="CC402" s="926">
        <f t="shared" si="594"/>
        <v>0</v>
      </c>
      <c r="CD402" s="1018">
        <f t="shared" ca="1" si="595"/>
        <v>136.10813189538939</v>
      </c>
      <c r="CE402" s="1018">
        <f t="shared" ca="1" si="573"/>
        <v>46.995963415681047</v>
      </c>
      <c r="CF402" s="926">
        <f t="shared" ca="1" si="596"/>
        <v>5.4931228593321126</v>
      </c>
      <c r="CG402" s="926">
        <f t="shared" ca="1" si="597"/>
        <v>9145.8298358735938</v>
      </c>
    </row>
    <row r="403" spans="4:85" x14ac:dyDescent="0.25">
      <c r="D403" s="450"/>
      <c r="E403" s="446"/>
      <c r="F403" s="450"/>
      <c r="G403" s="446"/>
      <c r="H403" s="450"/>
      <c r="I403" s="446"/>
      <c r="J403" s="450"/>
      <c r="K403" s="445"/>
      <c r="L403" s="445"/>
      <c r="M403" s="445"/>
      <c r="N403" s="445"/>
      <c r="O403" s="445"/>
      <c r="P403" s="445"/>
      <c r="Q403" s="445" t="s">
        <v>22</v>
      </c>
      <c r="R403" s="447">
        <v>0.81</v>
      </c>
      <c r="S403" s="445"/>
      <c r="T403" s="456">
        <v>3.371184920204441E-4</v>
      </c>
      <c r="U403" s="444"/>
      <c r="V403" s="176">
        <f t="shared" si="576"/>
        <v>3.371184920204441E-4</v>
      </c>
      <c r="W403" s="176">
        <f t="shared" si="589"/>
        <v>3.371184920204441E-4</v>
      </c>
      <c r="X403" s="176">
        <f t="shared" si="590"/>
        <v>3.371184920204441E-4</v>
      </c>
      <c r="Y403" s="958">
        <f>X403/Calculation_sheet!M$67</f>
        <v>3.3712538488964069E-4</v>
      </c>
      <c r="Z403" s="176">
        <f ca="1">IF(AN403&gt;0,Y403*Calculation_sheet!C$87,0)</f>
        <v>0</v>
      </c>
      <c r="AA403" s="176">
        <f ca="1">Y403-Z403</f>
        <v>3.3712538488964069E-4</v>
      </c>
      <c r="AB403" s="176">
        <f ca="1">IF(AP403&gt;0,AA403*Calculation_sheet!C$94,0)</f>
        <v>0</v>
      </c>
      <c r="AC403" s="176">
        <f t="shared" ca="1" si="577"/>
        <v>3.3712538488964069E-4</v>
      </c>
      <c r="AD403" s="958">
        <f ca="1">AC403*Calculation_sheet!C$99</f>
        <v>2.0227523093378441E-4</v>
      </c>
      <c r="AE403" s="176">
        <f t="shared" ca="1" si="577"/>
        <v>1.3485015395585628E-4</v>
      </c>
      <c r="AF403" s="176">
        <f t="shared" ca="1" si="578"/>
        <v>3.3712538488964069E-4</v>
      </c>
      <c r="AG403" s="958">
        <f ca="1">AF403*User_sheet!B$77/100</f>
        <v>0</v>
      </c>
      <c r="AH403" s="313"/>
      <c r="AI403" s="883">
        <v>104</v>
      </c>
      <c r="AJ403" s="985"/>
      <c r="AK403" s="1020">
        <f t="shared" ca="1" si="591"/>
        <v>136.10813189538939</v>
      </c>
      <c r="AL403" s="954">
        <f ca="1">AK403/'103'!I$24</f>
        <v>0.30629115475755697</v>
      </c>
      <c r="AM403" s="954">
        <f ca="1">0.8*(AK403*30+'104'!D$17*0.34*30*1)</f>
        <v>6186.308445489346</v>
      </c>
      <c r="AN403" s="954">
        <f ca="1">IF(AM403&lt;User_sheet!B$50,Y403,0)</f>
        <v>3.3712538488964069E-4</v>
      </c>
      <c r="AO403" s="954">
        <f ca="1">20-(User_sheet!B$57/('Freestanding '!AK403+'104'!D$17*1*0.34))</f>
        <v>-2.1133493755465196</v>
      </c>
      <c r="AP403" s="954">
        <f ca="1">IF(AO403&lt;User_sheet!B$59,0,BC403*AA403)</f>
        <v>0</v>
      </c>
      <c r="AQ403" s="985"/>
      <c r="AR403" s="883">
        <v>0.24</v>
      </c>
      <c r="AS403" s="883">
        <v>0.32</v>
      </c>
      <c r="AT403" s="883">
        <v>0.83</v>
      </c>
      <c r="AU403" s="883">
        <v>2</v>
      </c>
      <c r="AV403" s="883">
        <v>3.3</v>
      </c>
      <c r="AW403" s="883">
        <v>14536.85461731979</v>
      </c>
      <c r="AX403" s="883">
        <v>73366.155837550017</v>
      </c>
      <c r="AY403" s="883">
        <v>69245.59826015502</v>
      </c>
      <c r="AZ403" s="886">
        <v>0</v>
      </c>
      <c r="BA403" s="886">
        <v>0</v>
      </c>
      <c r="BB403" s="883">
        <v>0.6</v>
      </c>
      <c r="BC403" s="888">
        <v>0</v>
      </c>
      <c r="BD403" s="889">
        <v>1</v>
      </c>
      <c r="BE403" s="889">
        <v>0</v>
      </c>
      <c r="BF403" s="890">
        <v>0</v>
      </c>
      <c r="BG403" s="883">
        <v>0</v>
      </c>
      <c r="BH403" s="883">
        <v>1</v>
      </c>
      <c r="BI403" s="890">
        <v>0</v>
      </c>
      <c r="BJ403" s="883">
        <v>0</v>
      </c>
      <c r="BK403" s="883">
        <v>1</v>
      </c>
      <c r="BL403" s="883">
        <v>0</v>
      </c>
      <c r="BM403" s="890">
        <v>0</v>
      </c>
      <c r="BN403" s="958">
        <v>7.0000000000000007E-2</v>
      </c>
      <c r="BO403" s="50">
        <v>6</v>
      </c>
      <c r="BP403" s="926">
        <f t="shared" ca="1" si="579"/>
        <v>162.63999999999999</v>
      </c>
      <c r="BQ403" s="926">
        <f t="shared" ca="1" si="580"/>
        <v>285.02799999999996</v>
      </c>
      <c r="BR403" s="926">
        <f t="shared" ca="1" si="581"/>
        <v>51.803914909975674</v>
      </c>
      <c r="BS403" s="926">
        <f t="shared" ca="1" si="582"/>
        <v>115.89999999999998</v>
      </c>
      <c r="BT403" s="926">
        <f t="shared" ca="1" si="583"/>
        <v>81.319999999999993</v>
      </c>
      <c r="BU403" s="926">
        <f t="shared" ca="1" si="584"/>
        <v>22.93</v>
      </c>
      <c r="BV403" s="926">
        <f t="shared" ca="1" si="585"/>
        <v>2.15</v>
      </c>
      <c r="BW403" s="926">
        <v>0</v>
      </c>
      <c r="BX403" s="926">
        <f t="shared" ca="1" si="586"/>
        <v>11.936385923957529</v>
      </c>
      <c r="BY403" s="926">
        <f t="shared" ca="1" si="587"/>
        <v>35.138959070237483</v>
      </c>
      <c r="BZ403" s="926">
        <f t="shared" ca="1" si="592"/>
        <v>19.47215409721413</v>
      </c>
      <c r="CA403" s="926">
        <f t="shared" ca="1" si="593"/>
        <v>45.859999981655996</v>
      </c>
      <c r="CB403" s="926">
        <f t="shared" ca="1" si="588"/>
        <v>4.5133587786259541</v>
      </c>
      <c r="CC403" s="926">
        <f t="shared" si="594"/>
        <v>0</v>
      </c>
      <c r="CD403" s="1018">
        <f t="shared" ca="1" si="595"/>
        <v>136.10813189538939</v>
      </c>
      <c r="CE403" s="1018">
        <f t="shared" ca="1" si="573"/>
        <v>46.995963415681047</v>
      </c>
      <c r="CF403" s="926">
        <f t="shared" ca="1" si="596"/>
        <v>5.4931228593321126</v>
      </c>
      <c r="CG403" s="926">
        <f t="shared" ca="1" si="597"/>
        <v>9145.8298358735938</v>
      </c>
    </row>
    <row r="404" spans="4:85" x14ac:dyDescent="0.25">
      <c r="D404" s="450"/>
      <c r="E404" s="446"/>
      <c r="F404" s="450"/>
      <c r="G404" s="446"/>
      <c r="H404" s="450"/>
      <c r="I404" s="446"/>
      <c r="J404" s="450"/>
      <c r="K404" s="445"/>
      <c r="L404" s="445"/>
      <c r="M404" s="445" t="s">
        <v>22</v>
      </c>
      <c r="N404" s="447">
        <v>0.375</v>
      </c>
      <c r="O404" s="445" t="s">
        <v>20</v>
      </c>
      <c r="P404" s="447">
        <v>3.9215686E-2</v>
      </c>
      <c r="Q404" s="445" t="s">
        <v>7</v>
      </c>
      <c r="R404" s="447">
        <v>0.19</v>
      </c>
      <c r="S404" s="445"/>
      <c r="T404" s="456">
        <v>7.9077177140597996E-5</v>
      </c>
      <c r="U404" s="444"/>
      <c r="V404" s="176">
        <f t="shared" si="576"/>
        <v>7.9077177140597996E-5</v>
      </c>
      <c r="W404" s="176">
        <f t="shared" si="589"/>
        <v>7.9077177140597996E-5</v>
      </c>
      <c r="X404" s="176">
        <f t="shared" si="590"/>
        <v>7.9077177140597996E-5</v>
      </c>
      <c r="Y404" s="958">
        <f>X404/Calculation_sheet!M$67</f>
        <v>7.9078793986458928E-5</v>
      </c>
      <c r="Z404" s="176">
        <f ca="1">IF(AN404&gt;0,Y404*Calculation_sheet!C$87,0)</f>
        <v>0</v>
      </c>
      <c r="AA404" s="176">
        <f ca="1">Y404-Z404</f>
        <v>7.9078793986458928E-5</v>
      </c>
      <c r="AB404" s="176">
        <f ca="1">IF(AP404&gt;0,AA404*Calculation_sheet!C$94,0)</f>
        <v>0</v>
      </c>
      <c r="AC404" s="176">
        <f t="shared" ca="1" si="577"/>
        <v>7.9078793986458928E-5</v>
      </c>
      <c r="AD404" s="958">
        <f ca="1">AC404*Calculation_sheet!C$99</f>
        <v>4.7447276391875358E-5</v>
      </c>
      <c r="AE404" s="176">
        <f t="shared" ca="1" si="577"/>
        <v>3.163151759458357E-5</v>
      </c>
      <c r="AF404" s="176">
        <f t="shared" ca="1" si="578"/>
        <v>7.9078793986458928E-5</v>
      </c>
      <c r="AG404" s="958">
        <f ca="1">AF404*User_sheet!B$77/100</f>
        <v>0</v>
      </c>
      <c r="AH404" s="313"/>
      <c r="AI404" s="883">
        <v>104</v>
      </c>
      <c r="AJ404" s="985"/>
      <c r="AK404" s="1020">
        <f t="shared" ca="1" si="591"/>
        <v>136.10813189538939</v>
      </c>
      <c r="AL404" s="954">
        <f ca="1">AK404/'103'!I$24</f>
        <v>0.30629115475755697</v>
      </c>
      <c r="AM404" s="954">
        <f ca="1">0.8*(AK404*30+'104'!D$17*0.34*30*1)</f>
        <v>6186.308445489346</v>
      </c>
      <c r="AN404" s="954">
        <f ca="1">IF(AM404&lt;User_sheet!B$50,Y404,0)</f>
        <v>7.9078793986458928E-5</v>
      </c>
      <c r="AO404" s="954">
        <f ca="1">20-(User_sheet!B$57/('Freestanding '!AK404+'104'!D$17*1*0.34))</f>
        <v>-2.1133493755465196</v>
      </c>
      <c r="AP404" s="954">
        <f ca="1">IF(AO404&lt;User_sheet!B$59,0,BC404*AA404)</f>
        <v>0</v>
      </c>
      <c r="AQ404" s="985"/>
      <c r="AR404" s="883">
        <v>0.24</v>
      </c>
      <c r="AS404" s="883">
        <v>0.32</v>
      </c>
      <c r="AT404" s="883">
        <v>0.83</v>
      </c>
      <c r="AU404" s="883">
        <v>2</v>
      </c>
      <c r="AV404" s="883">
        <v>3.3</v>
      </c>
      <c r="AW404" s="883">
        <v>14536.85461731979</v>
      </c>
      <c r="AX404" s="883">
        <v>73366.155837550017</v>
      </c>
      <c r="AY404" s="883">
        <v>69245.59826015502</v>
      </c>
      <c r="AZ404" s="886">
        <v>0</v>
      </c>
      <c r="BA404" s="886">
        <v>0</v>
      </c>
      <c r="BB404" s="883">
        <v>0.6</v>
      </c>
      <c r="BC404" s="888">
        <v>0</v>
      </c>
      <c r="BD404" s="889">
        <v>1</v>
      </c>
      <c r="BE404" s="889">
        <v>0</v>
      </c>
      <c r="BF404" s="890">
        <v>0</v>
      </c>
      <c r="BG404" s="883">
        <v>0</v>
      </c>
      <c r="BH404" s="883">
        <v>1</v>
      </c>
      <c r="BI404" s="890">
        <v>0</v>
      </c>
      <c r="BJ404" s="883">
        <v>0</v>
      </c>
      <c r="BK404" s="883">
        <v>0</v>
      </c>
      <c r="BL404" s="883">
        <v>1</v>
      </c>
      <c r="BM404" s="890">
        <v>0</v>
      </c>
      <c r="BN404" s="958">
        <v>7.0000000000000007E-2</v>
      </c>
      <c r="BO404" s="50">
        <v>6</v>
      </c>
      <c r="BP404" s="926">
        <f t="shared" ca="1" si="579"/>
        <v>162.63999999999999</v>
      </c>
      <c r="BQ404" s="926">
        <f t="shared" ca="1" si="580"/>
        <v>285.02799999999996</v>
      </c>
      <c r="BR404" s="926">
        <f t="shared" ca="1" si="581"/>
        <v>51.803914909975674</v>
      </c>
      <c r="BS404" s="926">
        <f t="shared" ca="1" si="582"/>
        <v>115.89999999999998</v>
      </c>
      <c r="BT404" s="926">
        <f t="shared" ca="1" si="583"/>
        <v>81.319999999999993</v>
      </c>
      <c r="BU404" s="926">
        <f t="shared" ca="1" si="584"/>
        <v>22.93</v>
      </c>
      <c r="BV404" s="926">
        <f t="shared" ca="1" si="585"/>
        <v>2.15</v>
      </c>
      <c r="BW404" s="926">
        <v>0</v>
      </c>
      <c r="BX404" s="926">
        <f t="shared" ca="1" si="586"/>
        <v>11.936385923957529</v>
      </c>
      <c r="BY404" s="926">
        <f t="shared" ca="1" si="587"/>
        <v>35.138959070237483</v>
      </c>
      <c r="BZ404" s="926">
        <f t="shared" ca="1" si="592"/>
        <v>19.47215409721413</v>
      </c>
      <c r="CA404" s="926">
        <f t="shared" ca="1" si="593"/>
        <v>45.859999981655996</v>
      </c>
      <c r="CB404" s="926">
        <f t="shared" ca="1" si="588"/>
        <v>4.5133587786259541</v>
      </c>
      <c r="CC404" s="926">
        <f t="shared" si="594"/>
        <v>0</v>
      </c>
      <c r="CD404" s="1018">
        <f t="shared" ca="1" si="595"/>
        <v>136.10813189538939</v>
      </c>
      <c r="CE404" s="1018">
        <f t="shared" ca="1" si="573"/>
        <v>46.995963415681047</v>
      </c>
      <c r="CF404" s="926">
        <f t="shared" ca="1" si="596"/>
        <v>5.4931228593321126</v>
      </c>
      <c r="CG404" s="926">
        <f t="shared" ca="1" si="597"/>
        <v>9145.8298358735938</v>
      </c>
    </row>
    <row r="405" spans="4:85" x14ac:dyDescent="0.25">
      <c r="D405" s="450"/>
      <c r="E405" s="446"/>
      <c r="F405" s="450"/>
      <c r="G405" s="446"/>
      <c r="H405" s="450"/>
      <c r="I405" s="446"/>
      <c r="J405" s="450"/>
      <c r="K405" s="448" t="s">
        <v>228</v>
      </c>
      <c r="L405" s="449">
        <v>0.50029999999999997</v>
      </c>
      <c r="M405" s="445" t="s">
        <v>7</v>
      </c>
      <c r="N405" s="447">
        <v>0.125</v>
      </c>
      <c r="O405" s="445" t="s">
        <v>23</v>
      </c>
      <c r="P405" s="447">
        <v>1</v>
      </c>
      <c r="Q405" s="445" t="s">
        <v>7</v>
      </c>
      <c r="R405" s="447">
        <v>1</v>
      </c>
      <c r="S405" s="445"/>
      <c r="T405" s="456">
        <v>3.5376632126324996E-3</v>
      </c>
      <c r="U405" s="444"/>
      <c r="V405" s="176">
        <f t="shared" si="576"/>
        <v>3.5376632126324996E-3</v>
      </c>
      <c r="W405" s="176">
        <f t="shared" si="589"/>
        <v>3.5376632126324996E-3</v>
      </c>
      <c r="X405" s="176">
        <f t="shared" si="590"/>
        <v>3.5376632126324996E-3</v>
      </c>
      <c r="Y405" s="958">
        <f>X405/Calculation_sheet!M$67</f>
        <v>3.537735545210995E-3</v>
      </c>
      <c r="Z405" s="176">
        <f ca="1">IF(AN405&gt;0,Y405*Calculation_sheet!C$87,0)</f>
        <v>0</v>
      </c>
      <c r="AA405" s="176">
        <f ca="1">Y405-Z405</f>
        <v>3.537735545210995E-3</v>
      </c>
      <c r="AB405" s="176">
        <f ca="1">IF(AP405&gt;0,AA405*Calculation_sheet!C$94,0)</f>
        <v>0</v>
      </c>
      <c r="AC405" s="176">
        <f t="shared" ca="1" si="577"/>
        <v>3.537735545210995E-3</v>
      </c>
      <c r="AD405" s="958">
        <f ca="1">AC405*Calculation_sheet!C$99</f>
        <v>2.1226413271265968E-3</v>
      </c>
      <c r="AE405" s="176">
        <f t="shared" ca="1" si="577"/>
        <v>1.4150942180843982E-3</v>
      </c>
      <c r="AF405" s="176">
        <f t="shared" ca="1" si="578"/>
        <v>3.537735545210995E-3</v>
      </c>
      <c r="AG405" s="958">
        <f ca="1">AF405*User_sheet!B$77/100</f>
        <v>0</v>
      </c>
      <c r="AH405" s="313"/>
      <c r="AI405" s="883">
        <v>104</v>
      </c>
      <c r="AJ405" s="985"/>
      <c r="AK405" s="1020">
        <f t="shared" ca="1" si="591"/>
        <v>136.10813189538939</v>
      </c>
      <c r="AL405" s="954">
        <f ca="1">AK405/'103'!I$24</f>
        <v>0.30629115475755697</v>
      </c>
      <c r="AM405" s="954">
        <f ca="1">0.8*(AK405*30+'104'!D$17*0.34*30*1)</f>
        <v>6186.308445489346</v>
      </c>
      <c r="AN405" s="954">
        <f ca="1">IF(AM405&lt;User_sheet!B$50,Y405,0)</f>
        <v>3.537735545210995E-3</v>
      </c>
      <c r="AO405" s="954">
        <f ca="1">20-(User_sheet!B$57/('Freestanding '!AK405+'104'!D$17*1*0.34))</f>
        <v>-2.1133493755465196</v>
      </c>
      <c r="AP405" s="954">
        <f ca="1">IF(AO405&lt;User_sheet!B$59,0,BC405*AA405)</f>
        <v>0</v>
      </c>
      <c r="AQ405" s="985"/>
      <c r="AR405" s="883">
        <v>0.24</v>
      </c>
      <c r="AS405" s="883">
        <v>0.32</v>
      </c>
      <c r="AT405" s="883">
        <v>0.83</v>
      </c>
      <c r="AU405" s="883">
        <v>2</v>
      </c>
      <c r="AV405" s="883">
        <v>3.3</v>
      </c>
      <c r="AW405" s="883">
        <v>14536.85461731979</v>
      </c>
      <c r="AX405" s="883">
        <v>73366.155837550017</v>
      </c>
      <c r="AY405" s="883">
        <v>69245.59826015502</v>
      </c>
      <c r="AZ405" s="886">
        <v>0</v>
      </c>
      <c r="BA405" s="886">
        <v>0</v>
      </c>
      <c r="BB405" s="883">
        <v>0.6</v>
      </c>
      <c r="BC405" s="888">
        <v>0</v>
      </c>
      <c r="BD405" s="889">
        <v>0</v>
      </c>
      <c r="BE405" s="889">
        <v>1</v>
      </c>
      <c r="BF405" s="890">
        <v>0</v>
      </c>
      <c r="BG405" s="883">
        <v>0</v>
      </c>
      <c r="BH405" s="883">
        <v>0</v>
      </c>
      <c r="BI405" s="890">
        <v>1</v>
      </c>
      <c r="BJ405" s="883">
        <v>0</v>
      </c>
      <c r="BK405" s="883">
        <v>0</v>
      </c>
      <c r="BL405" s="883">
        <v>1</v>
      </c>
      <c r="BM405" s="890">
        <v>0</v>
      </c>
      <c r="BN405" s="958">
        <v>7.0000000000000007E-2</v>
      </c>
      <c r="BO405" s="50">
        <v>6</v>
      </c>
      <c r="BP405" s="926">
        <f t="shared" ca="1" si="579"/>
        <v>162.63999999999999</v>
      </c>
      <c r="BQ405" s="926">
        <f t="shared" ca="1" si="580"/>
        <v>285.02799999999996</v>
      </c>
      <c r="BR405" s="926">
        <f t="shared" ca="1" si="581"/>
        <v>51.803914909975674</v>
      </c>
      <c r="BS405" s="926">
        <f t="shared" ca="1" si="582"/>
        <v>115.89999999999998</v>
      </c>
      <c r="BT405" s="926">
        <f t="shared" ca="1" si="583"/>
        <v>81.319999999999993</v>
      </c>
      <c r="BU405" s="926">
        <f t="shared" ca="1" si="584"/>
        <v>22.93</v>
      </c>
      <c r="BV405" s="926">
        <f t="shared" ca="1" si="585"/>
        <v>2.15</v>
      </c>
      <c r="BW405" s="926">
        <v>0</v>
      </c>
      <c r="BX405" s="926">
        <f t="shared" ca="1" si="586"/>
        <v>11.936385923957529</v>
      </c>
      <c r="BY405" s="926">
        <f t="shared" ca="1" si="587"/>
        <v>35.138959070237483</v>
      </c>
      <c r="BZ405" s="926">
        <f t="shared" ca="1" si="592"/>
        <v>19.47215409721413</v>
      </c>
      <c r="CA405" s="926">
        <f t="shared" ca="1" si="593"/>
        <v>45.859999981655996</v>
      </c>
      <c r="CB405" s="926">
        <f t="shared" ca="1" si="588"/>
        <v>4.5133587786259541</v>
      </c>
      <c r="CC405" s="926">
        <f t="shared" si="594"/>
        <v>0</v>
      </c>
      <c r="CD405" s="1018">
        <f t="shared" ca="1" si="595"/>
        <v>136.10813189538939</v>
      </c>
      <c r="CE405" s="1018">
        <f t="shared" ca="1" si="573"/>
        <v>46.995963415681047</v>
      </c>
      <c r="CF405" s="926">
        <f t="shared" ca="1" si="596"/>
        <v>5.4931228593321126</v>
      </c>
      <c r="CG405" s="926">
        <f t="shared" ca="1" si="597"/>
        <v>9145.8298358735938</v>
      </c>
    </row>
    <row r="406" spans="4:85" s="14" customFormat="1" x14ac:dyDescent="0.25">
      <c r="D406" s="453"/>
      <c r="E406" s="452"/>
      <c r="F406" s="453"/>
      <c r="G406" s="452"/>
      <c r="H406" s="453"/>
      <c r="I406" s="452"/>
      <c r="J406" s="453"/>
      <c r="K406" s="454"/>
      <c r="L406" s="453"/>
      <c r="M406" s="453"/>
      <c r="N406" s="453"/>
      <c r="O406" s="453"/>
      <c r="P406" s="453"/>
      <c r="Q406" s="453"/>
      <c r="R406" s="453"/>
      <c r="S406" s="453"/>
      <c r="T406" s="457"/>
      <c r="U406" s="452"/>
      <c r="V406" s="292"/>
      <c r="W406" s="292"/>
      <c r="X406" s="292"/>
      <c r="Y406" s="277"/>
      <c r="Z406" s="292"/>
      <c r="AA406" s="292"/>
      <c r="AB406" s="292"/>
      <c r="AC406" s="292"/>
      <c r="AD406" s="277"/>
      <c r="AE406" s="292"/>
      <c r="AF406" s="292"/>
      <c r="AG406" s="277"/>
      <c r="AH406" s="313"/>
      <c r="AI406" s="885"/>
      <c r="AJ406" s="985"/>
      <c r="AK406" s="1020">
        <f t="shared" si="591"/>
        <v>0</v>
      </c>
      <c r="AL406" s="955"/>
      <c r="AM406" s="955"/>
      <c r="AN406" s="955"/>
      <c r="AO406" s="955"/>
      <c r="AP406" s="955"/>
      <c r="AQ406" s="985"/>
      <c r="AR406" s="885"/>
      <c r="AS406" s="885"/>
      <c r="AT406" s="885"/>
      <c r="AU406" s="885"/>
      <c r="AV406" s="885"/>
      <c r="AW406" s="885"/>
      <c r="AX406" s="885"/>
      <c r="AY406" s="885"/>
      <c r="AZ406" s="885"/>
      <c r="BA406" s="885"/>
      <c r="BB406" s="885"/>
      <c r="BC406" s="335"/>
      <c r="BD406" s="278"/>
      <c r="BE406" s="278"/>
      <c r="BF406" s="52"/>
      <c r="BG406" s="885"/>
      <c r="BH406" s="885"/>
      <c r="BI406" s="52"/>
      <c r="BJ406" s="885"/>
      <c r="BK406" s="885"/>
      <c r="BL406" s="885"/>
      <c r="BM406" s="52"/>
      <c r="BN406" s="278"/>
      <c r="BO406" s="52"/>
      <c r="BP406" s="946"/>
      <c r="BQ406" s="946"/>
      <c r="BR406" s="946"/>
      <c r="BS406" s="946"/>
      <c r="BT406" s="946"/>
      <c r="BU406" s="946"/>
      <c r="BV406" s="946"/>
      <c r="BW406" s="946"/>
      <c r="BX406" s="946"/>
      <c r="BY406" s="946"/>
      <c r="BZ406" s="946"/>
      <c r="CA406" s="946"/>
      <c r="CB406" s="946"/>
      <c r="CC406" s="946"/>
      <c r="CD406" s="946"/>
      <c r="CE406" s="946"/>
      <c r="CF406" s="946"/>
      <c r="CG406" s="946"/>
    </row>
    <row r="407" spans="4:85" x14ac:dyDescent="0.25">
      <c r="D407" s="445"/>
      <c r="E407" s="444"/>
      <c r="F407" s="450"/>
      <c r="G407" s="446"/>
      <c r="H407" s="450"/>
      <c r="I407" s="446"/>
      <c r="J407" s="450"/>
      <c r="K407" s="451"/>
      <c r="L407" s="450"/>
      <c r="M407" s="445"/>
      <c r="N407" s="445"/>
      <c r="O407" s="445"/>
      <c r="P407" s="445"/>
      <c r="Q407" s="445" t="s">
        <v>16</v>
      </c>
      <c r="R407" s="447">
        <v>0.81069999999999998</v>
      </c>
      <c r="S407" s="445"/>
      <c r="T407" s="456">
        <v>0</v>
      </c>
      <c r="U407" s="444"/>
      <c r="V407" s="176">
        <f t="shared" si="560"/>
        <v>0</v>
      </c>
      <c r="W407" s="176">
        <f>V407</f>
        <v>0</v>
      </c>
      <c r="X407" s="176">
        <f>W407</f>
        <v>0</v>
      </c>
      <c r="Y407" s="34">
        <f>X407/Calculation_sheet!M$67</f>
        <v>0</v>
      </c>
      <c r="Z407" s="176">
        <f ca="1">IF(AN407&gt;0,Y407*Calculation_sheet!C$87,0)</f>
        <v>0</v>
      </c>
      <c r="AA407" s="176">
        <f t="shared" ref="AA407:AA415" ca="1" si="598">Y407-Z407</f>
        <v>0</v>
      </c>
      <c r="AB407" s="176">
        <f ca="1">IF(AP407&gt;0,AA407*Calculation_sheet!C$94,0)</f>
        <v>0</v>
      </c>
      <c r="AC407" s="176">
        <f t="shared" ref="AC407:AE415" ca="1" si="599">AA407-AB407</f>
        <v>0</v>
      </c>
      <c r="AD407" s="958">
        <f ca="1">AC407*Calculation_sheet!C$99</f>
        <v>0</v>
      </c>
      <c r="AE407" s="176">
        <f t="shared" ca="1" si="599"/>
        <v>0</v>
      </c>
      <c r="AF407" s="176">
        <f t="shared" ref="AF407:AF415" ca="1" si="600">Y407-AB407</f>
        <v>0</v>
      </c>
      <c r="AG407" s="958">
        <f ca="1">AF407*User_sheet!B$77/100</f>
        <v>0</v>
      </c>
      <c r="AH407" s="313"/>
      <c r="AI407" s="883">
        <v>104</v>
      </c>
      <c r="AJ407" s="985"/>
      <c r="AK407" s="1020">
        <f t="shared" ca="1" si="591"/>
        <v>149.92859793460215</v>
      </c>
      <c r="AL407" s="954">
        <f ca="1">AK407/'103'!I$24</f>
        <v>0.33739206286267714</v>
      </c>
      <c r="AM407" s="954">
        <f ca="1">0.8*(AK407*30+'104'!D$17*0.34*30*1)</f>
        <v>6517.9996304304514</v>
      </c>
      <c r="AN407" s="954">
        <f ca="1">IF(AM407&lt;User_sheet!B$50,Y407,0)</f>
        <v>0</v>
      </c>
      <c r="AO407" s="954">
        <f ca="1">20-(User_sheet!B$57/('Freestanding '!AK407+'104'!D$17*1*0.34))</f>
        <v>-0.98803432901785015</v>
      </c>
      <c r="AP407" s="954">
        <f ca="1">IF(AO407&lt;User_sheet!B$59,0,BC407*AA407)</f>
        <v>0</v>
      </c>
      <c r="AQ407" s="985"/>
      <c r="AR407" s="883">
        <v>0.24</v>
      </c>
      <c r="AS407" s="883">
        <v>0.54</v>
      </c>
      <c r="AT407" s="883">
        <v>0.45</v>
      </c>
      <c r="AU407" s="883">
        <v>2</v>
      </c>
      <c r="AV407" s="883">
        <v>3.3</v>
      </c>
      <c r="AW407" s="883">
        <v>14536.85461731979</v>
      </c>
      <c r="AX407" s="883">
        <v>75022.04959166942</v>
      </c>
      <c r="AY407" s="883">
        <v>65937.809199439725</v>
      </c>
      <c r="AZ407" s="886">
        <v>0</v>
      </c>
      <c r="BA407" s="886">
        <v>0</v>
      </c>
      <c r="BB407" s="883">
        <v>0.6</v>
      </c>
      <c r="BC407" s="888">
        <v>1</v>
      </c>
      <c r="BD407" s="889">
        <v>0</v>
      </c>
      <c r="BE407" s="889">
        <v>0</v>
      </c>
      <c r="BF407" s="890">
        <v>0</v>
      </c>
      <c r="BG407" s="883">
        <v>1</v>
      </c>
      <c r="BH407" s="883">
        <v>0</v>
      </c>
      <c r="BI407" s="890">
        <v>0</v>
      </c>
      <c r="BJ407" s="883">
        <v>1</v>
      </c>
      <c r="BK407" s="883">
        <v>0</v>
      </c>
      <c r="BL407" s="883">
        <v>0</v>
      </c>
      <c r="BM407" s="890">
        <v>0</v>
      </c>
      <c r="BN407" s="958">
        <v>7.0000000000000007E-2</v>
      </c>
      <c r="BO407" s="50">
        <v>12</v>
      </c>
      <c r="BP407" s="1018">
        <f t="shared" ref="BP407:BP415" ca="1" si="601">INDIRECT("'"&amp;AI407&amp;"'!"&amp;"B2")</f>
        <v>162.63999999999999</v>
      </c>
      <c r="BQ407" s="1018">
        <f t="shared" ref="BQ407:BQ415" ca="1" si="602">INDIRECT("'"&amp;AI407&amp;"'!"&amp;"C12")+INDIRECT("'"&amp;AI407&amp;"'!"&amp;"C13")+INDIRECT("'"&amp;AI407&amp;"'!"&amp;"C14")+INDIRECT("'"&amp;AI407&amp;"'!"&amp;"C15")+INDIRECT("'"&amp;AI407&amp;"'!"&amp;"C17")</f>
        <v>285.02799999999996</v>
      </c>
      <c r="BR407" s="1018">
        <f t="shared" ref="BR407:BR415" ca="1" si="603">INDIRECT("'"&amp;AI407&amp;"'!"&amp;"G5")</f>
        <v>51.803914909975674</v>
      </c>
      <c r="BS407" s="1018">
        <f t="shared" ref="BS407:BS415" ca="1" si="604">INDIRECT("'"&amp;AI407&amp;"'!"&amp;"G4")</f>
        <v>115.89999999999998</v>
      </c>
      <c r="BT407" s="1018">
        <f t="shared" ref="BT407:BT415" ca="1" si="605">INDIRECT("'"&amp;AI407&amp;"'!"&amp;"G6")</f>
        <v>81.319999999999993</v>
      </c>
      <c r="BU407" s="1018">
        <f t="shared" ref="BU407:BU415" ca="1" si="606">INDIRECT("'"&amp;AI407&amp;"'!"&amp;"G2")</f>
        <v>22.93</v>
      </c>
      <c r="BV407" s="1018">
        <f t="shared" ref="BV407:BV415" ca="1" si="607">INDIRECT("'"&amp;AI407&amp;"'!"&amp;"G3")</f>
        <v>2.15</v>
      </c>
      <c r="BW407" s="1018">
        <v>0</v>
      </c>
      <c r="BX407" s="1018">
        <f t="shared" ref="BX407:BX415" ca="1" si="608">IF(BR407=0,0,1/(1/(BR407*$BY$3)+1/(BR407*AR407)+1/(BR407*$BY$4)))</f>
        <v>11.936385923957529</v>
      </c>
      <c r="BY407" s="1018">
        <f t="shared" ref="BY407:BY415" ca="1" si="609">IF(BS407=0,0,1/(1/(BS407*$BY$3)+1/(BS407*AS407)+1/(BS407*$BY$4)))</f>
        <v>57.229334308705177</v>
      </c>
      <c r="BZ407" s="1018">
        <f t="shared" ca="1" si="592"/>
        <v>11.202244897959185</v>
      </c>
      <c r="CA407" s="1018">
        <f t="shared" ca="1" si="593"/>
        <v>45.859999981655996</v>
      </c>
      <c r="CB407" s="1018">
        <f t="shared" ref="CB407:CB415" ca="1" si="610">IF(BV407=0,0,1/(1/(BV407*$BY$3)+1/(BV407*AV407)+1/(BV407*$BY$4)))</f>
        <v>4.5133587786259541</v>
      </c>
      <c r="CC407" s="1018">
        <f t="shared" si="594"/>
        <v>0</v>
      </c>
      <c r="CD407" s="1018">
        <f ca="1">SUM(BX407:CC407)+(BR407+BS407+BT407+BU407+BV407)*BN407</f>
        <v>149.92859793460215</v>
      </c>
      <c r="CE407" s="1018">
        <f t="shared" ca="1" si="573"/>
        <v>93.991926831362093</v>
      </c>
      <c r="CF407" s="1018">
        <f t="shared" ca="1" si="596"/>
        <v>7.3176157429789273</v>
      </c>
      <c r="CG407" s="1018">
        <f t="shared" ca="1" si="597"/>
        <v>12183.537507430194</v>
      </c>
    </row>
    <row r="408" spans="4:85" x14ac:dyDescent="0.25">
      <c r="D408" s="445"/>
      <c r="E408" s="444"/>
      <c r="F408" s="450"/>
      <c r="G408" s="446"/>
      <c r="H408" s="450"/>
      <c r="I408" s="446"/>
      <c r="J408" s="450"/>
      <c r="K408" s="451"/>
      <c r="L408" s="450"/>
      <c r="M408" s="445"/>
      <c r="N408" s="445"/>
      <c r="O408" s="445" t="s">
        <v>18</v>
      </c>
      <c r="P408" s="447">
        <v>0.962121212</v>
      </c>
      <c r="Q408" s="445" t="s">
        <v>7</v>
      </c>
      <c r="R408" s="447">
        <v>0.1893</v>
      </c>
      <c r="S408" s="445"/>
      <c r="T408" s="456">
        <v>0</v>
      </c>
      <c r="U408" s="444"/>
      <c r="V408" s="176">
        <f t="shared" si="560"/>
        <v>0</v>
      </c>
      <c r="W408" s="176">
        <f t="shared" ref="W408:X415" si="611">V408</f>
        <v>0</v>
      </c>
      <c r="X408" s="176">
        <f t="shared" si="611"/>
        <v>0</v>
      </c>
      <c r="Y408" s="34">
        <f>X408/Calculation_sheet!M$67</f>
        <v>0</v>
      </c>
      <c r="Z408" s="176">
        <f ca="1">IF(AN408&gt;0,Y408*Calculation_sheet!C$87,0)</f>
        <v>0</v>
      </c>
      <c r="AA408" s="176">
        <f t="shared" ca="1" si="598"/>
        <v>0</v>
      </c>
      <c r="AB408" s="176">
        <f ca="1">IF(AP408&gt;0,AA408*Calculation_sheet!C$94,0)</f>
        <v>0</v>
      </c>
      <c r="AC408" s="176">
        <f t="shared" ca="1" si="599"/>
        <v>0</v>
      </c>
      <c r="AD408" s="958">
        <f ca="1">AC408*Calculation_sheet!C$99</f>
        <v>0</v>
      </c>
      <c r="AE408" s="176">
        <f t="shared" ca="1" si="599"/>
        <v>0</v>
      </c>
      <c r="AF408" s="176">
        <f t="shared" ca="1" si="600"/>
        <v>0</v>
      </c>
      <c r="AG408" s="958">
        <f ca="1">AF408*User_sheet!B$77/100</f>
        <v>0</v>
      </c>
      <c r="AH408" s="313"/>
      <c r="AI408" s="883">
        <v>104</v>
      </c>
      <c r="AJ408" s="985"/>
      <c r="AK408" s="1020">
        <f t="shared" ca="1" si="591"/>
        <v>149.92859793460215</v>
      </c>
      <c r="AL408" s="954">
        <f ca="1">AK408/'103'!I$24</f>
        <v>0.33739206286267714</v>
      </c>
      <c r="AM408" s="954">
        <f ca="1">0.8*(AK408*30+'104'!D$17*0.34*30*1)</f>
        <v>6517.9996304304514</v>
      </c>
      <c r="AN408" s="954">
        <f ca="1">IF(AM408&lt;User_sheet!B$50,Y408,0)</f>
        <v>0</v>
      </c>
      <c r="AO408" s="954">
        <f ca="1">20-(User_sheet!B$57/('Freestanding '!AK408+'104'!D$17*1*0.34))</f>
        <v>-0.98803432901785015</v>
      </c>
      <c r="AP408" s="954">
        <f ca="1">IF(AO408&lt;User_sheet!B$59,0,BC408*AA408)</f>
        <v>0</v>
      </c>
      <c r="AQ408" s="985"/>
      <c r="AR408" s="883">
        <v>0.24</v>
      </c>
      <c r="AS408" s="883">
        <v>0.54</v>
      </c>
      <c r="AT408" s="883">
        <v>0.45</v>
      </c>
      <c r="AU408" s="883">
        <v>2</v>
      </c>
      <c r="AV408" s="883">
        <v>3.3</v>
      </c>
      <c r="AW408" s="883">
        <v>14536.85461731979</v>
      </c>
      <c r="AX408" s="883">
        <v>75022.04959166942</v>
      </c>
      <c r="AY408" s="883">
        <v>65937.809199439725</v>
      </c>
      <c r="AZ408" s="886">
        <v>0</v>
      </c>
      <c r="BA408" s="886">
        <v>0</v>
      </c>
      <c r="BB408" s="883">
        <v>0.6</v>
      </c>
      <c r="BC408" s="888">
        <v>1</v>
      </c>
      <c r="BD408" s="889">
        <v>0</v>
      </c>
      <c r="BE408" s="889">
        <v>0</v>
      </c>
      <c r="BF408" s="890">
        <v>0</v>
      </c>
      <c r="BG408" s="883">
        <v>1</v>
      </c>
      <c r="BH408" s="883">
        <v>0</v>
      </c>
      <c r="BI408" s="890">
        <v>0</v>
      </c>
      <c r="BJ408" s="883">
        <v>0</v>
      </c>
      <c r="BK408" s="883">
        <v>0</v>
      </c>
      <c r="BL408" s="883">
        <v>1</v>
      </c>
      <c r="BM408" s="890">
        <v>0</v>
      </c>
      <c r="BN408" s="958">
        <v>7.0000000000000007E-2</v>
      </c>
      <c r="BO408" s="50">
        <v>12</v>
      </c>
      <c r="BP408" s="1018">
        <f t="shared" ca="1" si="601"/>
        <v>162.63999999999999</v>
      </c>
      <c r="BQ408" s="1018">
        <f t="shared" ca="1" si="602"/>
        <v>285.02799999999996</v>
      </c>
      <c r="BR408" s="1018">
        <f t="shared" ca="1" si="603"/>
        <v>51.803914909975674</v>
      </c>
      <c r="BS408" s="1018">
        <f t="shared" ca="1" si="604"/>
        <v>115.89999999999998</v>
      </c>
      <c r="BT408" s="1018">
        <f t="shared" ca="1" si="605"/>
        <v>81.319999999999993</v>
      </c>
      <c r="BU408" s="1018">
        <f t="shared" ca="1" si="606"/>
        <v>22.93</v>
      </c>
      <c r="BV408" s="1018">
        <f t="shared" ca="1" si="607"/>
        <v>2.15</v>
      </c>
      <c r="BW408" s="1018">
        <v>0</v>
      </c>
      <c r="BX408" s="1018">
        <f t="shared" ca="1" si="608"/>
        <v>11.936385923957529</v>
      </c>
      <c r="BY408" s="1018">
        <f t="shared" ca="1" si="609"/>
        <v>57.229334308705177</v>
      </c>
      <c r="BZ408" s="1018">
        <f t="shared" ca="1" si="592"/>
        <v>11.202244897959185</v>
      </c>
      <c r="CA408" s="1018">
        <f t="shared" ca="1" si="593"/>
        <v>45.859999981655996</v>
      </c>
      <c r="CB408" s="1018">
        <f t="shared" ca="1" si="610"/>
        <v>4.5133587786259541</v>
      </c>
      <c r="CC408" s="1018">
        <f t="shared" si="594"/>
        <v>0</v>
      </c>
      <c r="CD408" s="1018">
        <f t="shared" ref="CD408:CD415" ca="1" si="612">SUM(BX408:CC408)+(BR408+BS408+BT408+BU408+BV408)*BN408</f>
        <v>149.92859793460215</v>
      </c>
      <c r="CE408" s="1018">
        <f t="shared" ca="1" si="573"/>
        <v>93.991926831362093</v>
      </c>
      <c r="CF408" s="1018">
        <f t="shared" ca="1" si="596"/>
        <v>7.3176157429789273</v>
      </c>
      <c r="CG408" s="1018">
        <f t="shared" ca="1" si="597"/>
        <v>12183.537507430194</v>
      </c>
    </row>
    <row r="409" spans="4:85" x14ac:dyDescent="0.25">
      <c r="D409" s="445"/>
      <c r="E409" s="444"/>
      <c r="F409" s="450"/>
      <c r="G409" s="446"/>
      <c r="H409" s="450"/>
      <c r="I409" s="446"/>
      <c r="J409" s="450"/>
      <c r="K409" s="451"/>
      <c r="L409" s="450"/>
      <c r="M409" s="445"/>
      <c r="N409" s="445"/>
      <c r="O409" s="445"/>
      <c r="P409" s="445"/>
      <c r="Q409" s="445" t="s">
        <v>16</v>
      </c>
      <c r="R409" s="447">
        <v>0.81069999999999998</v>
      </c>
      <c r="S409" s="445"/>
      <c r="T409" s="456">
        <v>0</v>
      </c>
      <c r="U409" s="444"/>
      <c r="V409" s="176">
        <f t="shared" si="560"/>
        <v>0</v>
      </c>
      <c r="W409" s="176">
        <f t="shared" si="611"/>
        <v>0</v>
      </c>
      <c r="X409" s="176">
        <f t="shared" si="611"/>
        <v>0</v>
      </c>
      <c r="Y409" s="34">
        <f>X409/Calculation_sheet!M$67</f>
        <v>0</v>
      </c>
      <c r="Z409" s="176">
        <f ca="1">IF(AN409&gt;0,Y409*Calculation_sheet!C$87,0)</f>
        <v>0</v>
      </c>
      <c r="AA409" s="176">
        <f t="shared" ca="1" si="598"/>
        <v>0</v>
      </c>
      <c r="AB409" s="176">
        <f ca="1">IF(AP409&gt;0,AA409*Calculation_sheet!C$94,0)</f>
        <v>0</v>
      </c>
      <c r="AC409" s="176">
        <f t="shared" ca="1" si="599"/>
        <v>0</v>
      </c>
      <c r="AD409" s="958">
        <f ca="1">AC409*Calculation_sheet!C$99</f>
        <v>0</v>
      </c>
      <c r="AE409" s="176">
        <f t="shared" ca="1" si="599"/>
        <v>0</v>
      </c>
      <c r="AF409" s="176">
        <f t="shared" ca="1" si="600"/>
        <v>0</v>
      </c>
      <c r="AG409" s="958">
        <f ca="1">AF409*User_sheet!B$77/100</f>
        <v>0</v>
      </c>
      <c r="AH409" s="313"/>
      <c r="AI409" s="883">
        <v>104</v>
      </c>
      <c r="AJ409" s="985"/>
      <c r="AK409" s="1020">
        <f t="shared" ca="1" si="591"/>
        <v>149.92859793460215</v>
      </c>
      <c r="AL409" s="954">
        <f ca="1">AK409/'103'!I$24</f>
        <v>0.33739206286267714</v>
      </c>
      <c r="AM409" s="954">
        <f ca="1">0.8*(AK409*30+'104'!D$17*0.34*30*1)</f>
        <v>6517.9996304304514</v>
      </c>
      <c r="AN409" s="954">
        <f ca="1">IF(AM409&lt;User_sheet!B$50,Y409,0)</f>
        <v>0</v>
      </c>
      <c r="AO409" s="954">
        <f ca="1">20-(User_sheet!B$57/('Freestanding '!AK409+'104'!D$17*1*0.34))</f>
        <v>-0.98803432901785015</v>
      </c>
      <c r="AP409" s="954">
        <f ca="1">IF(AO409&lt;User_sheet!B$59,0,BC409*AA409)</f>
        <v>0</v>
      </c>
      <c r="AQ409" s="985"/>
      <c r="AR409" s="883">
        <v>0.24</v>
      </c>
      <c r="AS409" s="883">
        <v>0.54</v>
      </c>
      <c r="AT409" s="883">
        <v>0.45</v>
      </c>
      <c r="AU409" s="883">
        <v>2</v>
      </c>
      <c r="AV409" s="883">
        <v>3.3</v>
      </c>
      <c r="AW409" s="883">
        <v>14536.85461731979</v>
      </c>
      <c r="AX409" s="883">
        <v>75022.04959166942</v>
      </c>
      <c r="AY409" s="883">
        <v>65937.809199439725</v>
      </c>
      <c r="AZ409" s="886">
        <v>0</v>
      </c>
      <c r="BA409" s="886">
        <v>0</v>
      </c>
      <c r="BB409" s="883">
        <v>0.6</v>
      </c>
      <c r="BC409" s="888">
        <v>1</v>
      </c>
      <c r="BD409" s="889">
        <v>0</v>
      </c>
      <c r="BE409" s="889">
        <v>0</v>
      </c>
      <c r="BF409" s="890">
        <v>0</v>
      </c>
      <c r="BG409" s="883">
        <v>0</v>
      </c>
      <c r="BH409" s="883">
        <v>1</v>
      </c>
      <c r="BI409" s="890">
        <v>0</v>
      </c>
      <c r="BJ409" s="883">
        <v>1</v>
      </c>
      <c r="BK409" s="883">
        <v>0</v>
      </c>
      <c r="BL409" s="883">
        <v>0</v>
      </c>
      <c r="BM409" s="890">
        <v>0</v>
      </c>
      <c r="BN409" s="958">
        <v>7.0000000000000007E-2</v>
      </c>
      <c r="BO409" s="50">
        <v>12</v>
      </c>
      <c r="BP409" s="1018">
        <f t="shared" ca="1" si="601"/>
        <v>162.63999999999999</v>
      </c>
      <c r="BQ409" s="1018">
        <f t="shared" ca="1" si="602"/>
        <v>285.02799999999996</v>
      </c>
      <c r="BR409" s="1018">
        <f t="shared" ca="1" si="603"/>
        <v>51.803914909975674</v>
      </c>
      <c r="BS409" s="1018">
        <f t="shared" ca="1" si="604"/>
        <v>115.89999999999998</v>
      </c>
      <c r="BT409" s="1018">
        <f t="shared" ca="1" si="605"/>
        <v>81.319999999999993</v>
      </c>
      <c r="BU409" s="1018">
        <f t="shared" ca="1" si="606"/>
        <v>22.93</v>
      </c>
      <c r="BV409" s="1018">
        <f t="shared" ca="1" si="607"/>
        <v>2.15</v>
      </c>
      <c r="BW409" s="1018">
        <v>0</v>
      </c>
      <c r="BX409" s="1018">
        <f t="shared" ca="1" si="608"/>
        <v>11.936385923957529</v>
      </c>
      <c r="BY409" s="1018">
        <f t="shared" ca="1" si="609"/>
        <v>57.229334308705177</v>
      </c>
      <c r="BZ409" s="1018">
        <f t="shared" ca="1" si="592"/>
        <v>11.202244897959185</v>
      </c>
      <c r="CA409" s="1018">
        <f t="shared" ca="1" si="593"/>
        <v>45.859999981655996</v>
      </c>
      <c r="CB409" s="1018">
        <f t="shared" ca="1" si="610"/>
        <v>4.5133587786259541</v>
      </c>
      <c r="CC409" s="1018">
        <f t="shared" si="594"/>
        <v>0</v>
      </c>
      <c r="CD409" s="1018">
        <f t="shared" ca="1" si="612"/>
        <v>149.92859793460215</v>
      </c>
      <c r="CE409" s="1018">
        <f t="shared" ca="1" si="573"/>
        <v>93.991926831362093</v>
      </c>
      <c r="CF409" s="1018">
        <f t="shared" ca="1" si="596"/>
        <v>7.3176157429789273</v>
      </c>
      <c r="CG409" s="1018">
        <f t="shared" ca="1" si="597"/>
        <v>12183.537507430194</v>
      </c>
    </row>
    <row r="410" spans="4:85" x14ac:dyDescent="0.25">
      <c r="D410" s="445"/>
      <c r="E410" s="444"/>
      <c r="F410" s="450"/>
      <c r="G410" s="446"/>
      <c r="H410" s="450"/>
      <c r="I410" s="446"/>
      <c r="J410" s="450"/>
      <c r="K410" s="451"/>
      <c r="L410" s="450"/>
      <c r="M410" s="445" t="s">
        <v>16</v>
      </c>
      <c r="N410" s="447">
        <v>0.5</v>
      </c>
      <c r="O410" s="445" t="s">
        <v>19</v>
      </c>
      <c r="P410" s="447">
        <v>3.7878787999999997E-2</v>
      </c>
      <c r="Q410" s="445" t="s">
        <v>7</v>
      </c>
      <c r="R410" s="447">
        <v>0.1893</v>
      </c>
      <c r="S410" s="445"/>
      <c r="T410" s="456">
        <v>0</v>
      </c>
      <c r="U410" s="444"/>
      <c r="V410" s="176">
        <f t="shared" si="560"/>
        <v>0</v>
      </c>
      <c r="W410" s="176">
        <f t="shared" si="611"/>
        <v>0</v>
      </c>
      <c r="X410" s="176">
        <f t="shared" si="611"/>
        <v>0</v>
      </c>
      <c r="Y410" s="34">
        <f>X410/Calculation_sheet!M$67</f>
        <v>0</v>
      </c>
      <c r="Z410" s="176">
        <f ca="1">IF(AN410&gt;0,Y410*Calculation_sheet!C$87,0)</f>
        <v>0</v>
      </c>
      <c r="AA410" s="176">
        <f t="shared" ca="1" si="598"/>
        <v>0</v>
      </c>
      <c r="AB410" s="176">
        <f ca="1">IF(AP410&gt;0,AA410*Calculation_sheet!C$94,0)</f>
        <v>0</v>
      </c>
      <c r="AC410" s="176">
        <f t="shared" ca="1" si="599"/>
        <v>0</v>
      </c>
      <c r="AD410" s="958">
        <f ca="1">AC410*Calculation_sheet!C$99</f>
        <v>0</v>
      </c>
      <c r="AE410" s="176">
        <f t="shared" ca="1" si="599"/>
        <v>0</v>
      </c>
      <c r="AF410" s="176">
        <f t="shared" ca="1" si="600"/>
        <v>0</v>
      </c>
      <c r="AG410" s="958">
        <f ca="1">AF410*User_sheet!B$77/100</f>
        <v>0</v>
      </c>
      <c r="AH410" s="313"/>
      <c r="AI410" s="883">
        <v>104</v>
      </c>
      <c r="AJ410" s="985"/>
      <c r="AK410" s="1020">
        <f t="shared" ca="1" si="591"/>
        <v>149.92859793460215</v>
      </c>
      <c r="AL410" s="954">
        <f ca="1">AK410/'103'!I$24</f>
        <v>0.33739206286267714</v>
      </c>
      <c r="AM410" s="954">
        <f ca="1">0.8*(AK410*30+'104'!D$17*0.34*30*1)</f>
        <v>6517.9996304304514</v>
      </c>
      <c r="AN410" s="954">
        <f ca="1">IF(AM410&lt;User_sheet!B$50,Y410,0)</f>
        <v>0</v>
      </c>
      <c r="AO410" s="954">
        <f ca="1">20-(User_sheet!B$57/('Freestanding '!AK410+'104'!D$17*1*0.34))</f>
        <v>-0.98803432901785015</v>
      </c>
      <c r="AP410" s="954">
        <f ca="1">IF(AO410&lt;User_sheet!B$59,0,BC410*AA410)</f>
        <v>0</v>
      </c>
      <c r="AQ410" s="985"/>
      <c r="AR410" s="883">
        <v>0.24</v>
      </c>
      <c r="AS410" s="883">
        <v>0.54</v>
      </c>
      <c r="AT410" s="883">
        <v>0.45</v>
      </c>
      <c r="AU410" s="883">
        <v>2</v>
      </c>
      <c r="AV410" s="883">
        <v>3.3</v>
      </c>
      <c r="AW410" s="883">
        <v>14536.85461731979</v>
      </c>
      <c r="AX410" s="883">
        <v>75022.04959166942</v>
      </c>
      <c r="AY410" s="883">
        <v>65937.809199439725</v>
      </c>
      <c r="AZ410" s="886">
        <v>0</v>
      </c>
      <c r="BA410" s="886">
        <v>0</v>
      </c>
      <c r="BB410" s="883">
        <v>0.6</v>
      </c>
      <c r="BC410" s="888">
        <v>1</v>
      </c>
      <c r="BD410" s="889">
        <v>0</v>
      </c>
      <c r="BE410" s="889">
        <v>0</v>
      </c>
      <c r="BF410" s="890">
        <v>0</v>
      </c>
      <c r="BG410" s="883">
        <v>0</v>
      </c>
      <c r="BH410" s="883">
        <v>1</v>
      </c>
      <c r="BI410" s="890">
        <v>0</v>
      </c>
      <c r="BJ410" s="883">
        <v>0</v>
      </c>
      <c r="BK410" s="883">
        <v>0</v>
      </c>
      <c r="BL410" s="883">
        <v>1</v>
      </c>
      <c r="BM410" s="890">
        <v>0</v>
      </c>
      <c r="BN410" s="958">
        <v>7.0000000000000007E-2</v>
      </c>
      <c r="BO410" s="50">
        <v>12</v>
      </c>
      <c r="BP410" s="1018">
        <f t="shared" ca="1" si="601"/>
        <v>162.63999999999999</v>
      </c>
      <c r="BQ410" s="1018">
        <f t="shared" ca="1" si="602"/>
        <v>285.02799999999996</v>
      </c>
      <c r="BR410" s="1018">
        <f t="shared" ca="1" si="603"/>
        <v>51.803914909975674</v>
      </c>
      <c r="BS410" s="1018">
        <f t="shared" ca="1" si="604"/>
        <v>115.89999999999998</v>
      </c>
      <c r="BT410" s="1018">
        <f t="shared" ca="1" si="605"/>
        <v>81.319999999999993</v>
      </c>
      <c r="BU410" s="1018">
        <f t="shared" ca="1" si="606"/>
        <v>22.93</v>
      </c>
      <c r="BV410" s="1018">
        <f t="shared" ca="1" si="607"/>
        <v>2.15</v>
      </c>
      <c r="BW410" s="1018">
        <v>0</v>
      </c>
      <c r="BX410" s="1018">
        <f t="shared" ca="1" si="608"/>
        <v>11.936385923957529</v>
      </c>
      <c r="BY410" s="1018">
        <f t="shared" ca="1" si="609"/>
        <v>57.229334308705177</v>
      </c>
      <c r="BZ410" s="1018">
        <f t="shared" ca="1" si="592"/>
        <v>11.202244897959185</v>
      </c>
      <c r="CA410" s="1018">
        <f t="shared" ca="1" si="593"/>
        <v>45.859999981655996</v>
      </c>
      <c r="CB410" s="1018">
        <f t="shared" ca="1" si="610"/>
        <v>4.5133587786259541</v>
      </c>
      <c r="CC410" s="1018">
        <f t="shared" si="594"/>
        <v>0</v>
      </c>
      <c r="CD410" s="1018">
        <f t="shared" ca="1" si="612"/>
        <v>149.92859793460215</v>
      </c>
      <c r="CE410" s="1018">
        <f t="shared" ca="1" si="573"/>
        <v>93.991926831362093</v>
      </c>
      <c r="CF410" s="1018">
        <f t="shared" ca="1" si="596"/>
        <v>7.3176157429789273</v>
      </c>
      <c r="CG410" s="1018">
        <f t="shared" ca="1" si="597"/>
        <v>12183.537507430194</v>
      </c>
    </row>
    <row r="411" spans="4:85" x14ac:dyDescent="0.25">
      <c r="D411" s="445"/>
      <c r="E411" s="444"/>
      <c r="F411" s="450"/>
      <c r="G411" s="446"/>
      <c r="H411" s="450"/>
      <c r="I411" s="446"/>
      <c r="J411" s="450"/>
      <c r="K411" s="451"/>
      <c r="L411" s="450"/>
      <c r="M411" s="445"/>
      <c r="N411" s="445"/>
      <c r="O411" s="445"/>
      <c r="P411" s="445"/>
      <c r="Q411" s="445" t="s">
        <v>22</v>
      </c>
      <c r="R411" s="447">
        <v>0.81</v>
      </c>
      <c r="S411" s="445"/>
      <c r="T411" s="456">
        <v>0</v>
      </c>
      <c r="U411" s="444"/>
      <c r="V411" s="176">
        <f t="shared" si="560"/>
        <v>0</v>
      </c>
      <c r="W411" s="176">
        <f t="shared" si="611"/>
        <v>0</v>
      </c>
      <c r="X411" s="176">
        <f t="shared" si="611"/>
        <v>0</v>
      </c>
      <c r="Y411" s="34">
        <f>X411/Calculation_sheet!M$67</f>
        <v>0</v>
      </c>
      <c r="Z411" s="176">
        <f ca="1">IF(AN411&gt;0,Y411*Calculation_sheet!C$87,0)</f>
        <v>0</v>
      </c>
      <c r="AA411" s="176">
        <f t="shared" ca="1" si="598"/>
        <v>0</v>
      </c>
      <c r="AB411" s="176">
        <f ca="1">IF(AP411&gt;0,AA411*Calculation_sheet!C$94,0)</f>
        <v>0</v>
      </c>
      <c r="AC411" s="176">
        <f t="shared" ca="1" si="599"/>
        <v>0</v>
      </c>
      <c r="AD411" s="958">
        <f ca="1">AC411*Calculation_sheet!C$99</f>
        <v>0</v>
      </c>
      <c r="AE411" s="176">
        <f t="shared" ca="1" si="599"/>
        <v>0</v>
      </c>
      <c r="AF411" s="176">
        <f t="shared" ca="1" si="600"/>
        <v>0</v>
      </c>
      <c r="AG411" s="958">
        <f ca="1">AF411*User_sheet!B$77/100</f>
        <v>0</v>
      </c>
      <c r="AH411" s="313"/>
      <c r="AI411" s="883">
        <v>104</v>
      </c>
      <c r="AJ411" s="985"/>
      <c r="AK411" s="1020">
        <f t="shared" ca="1" si="591"/>
        <v>149.92859793460215</v>
      </c>
      <c r="AL411" s="954">
        <f ca="1">AK411/'103'!I$24</f>
        <v>0.33739206286267714</v>
      </c>
      <c r="AM411" s="954">
        <f ca="1">0.8*(AK411*30+'104'!D$17*0.34*30*1)</f>
        <v>6517.9996304304514</v>
      </c>
      <c r="AN411" s="954">
        <f ca="1">IF(AM411&lt;User_sheet!B$50,Y411,0)</f>
        <v>0</v>
      </c>
      <c r="AO411" s="954">
        <f ca="1">20-(User_sheet!B$57/('Freestanding '!AK411+'104'!D$17*1*0.34))</f>
        <v>-0.98803432901785015</v>
      </c>
      <c r="AP411" s="954">
        <f ca="1">IF(AO411&lt;User_sheet!B$59,0,BC411*AA411)</f>
        <v>0</v>
      </c>
      <c r="AQ411" s="985"/>
      <c r="AR411" s="883">
        <v>0.24</v>
      </c>
      <c r="AS411" s="883">
        <v>0.54</v>
      </c>
      <c r="AT411" s="883">
        <v>0.45</v>
      </c>
      <c r="AU411" s="883">
        <v>2</v>
      </c>
      <c r="AV411" s="883">
        <v>3.3</v>
      </c>
      <c r="AW411" s="883">
        <v>14536.85461731979</v>
      </c>
      <c r="AX411" s="883">
        <v>75022.04959166942</v>
      </c>
      <c r="AY411" s="883">
        <v>65937.809199439725</v>
      </c>
      <c r="AZ411" s="886">
        <v>0</v>
      </c>
      <c r="BA411" s="886">
        <v>0</v>
      </c>
      <c r="BB411" s="883">
        <v>0.6</v>
      </c>
      <c r="BC411" s="888">
        <v>0</v>
      </c>
      <c r="BD411" s="889">
        <v>1</v>
      </c>
      <c r="BE411" s="889">
        <v>0</v>
      </c>
      <c r="BF411" s="890">
        <v>0</v>
      </c>
      <c r="BG411" s="883">
        <v>1</v>
      </c>
      <c r="BH411" s="883">
        <v>0</v>
      </c>
      <c r="BI411" s="890">
        <v>0</v>
      </c>
      <c r="BJ411" s="883">
        <v>0</v>
      </c>
      <c r="BK411" s="883">
        <v>1</v>
      </c>
      <c r="BL411" s="883">
        <v>0</v>
      </c>
      <c r="BM411" s="890">
        <v>0</v>
      </c>
      <c r="BN411" s="958">
        <v>7.0000000000000007E-2</v>
      </c>
      <c r="BO411" s="50">
        <v>12</v>
      </c>
      <c r="BP411" s="1018">
        <f t="shared" ca="1" si="601"/>
        <v>162.63999999999999</v>
      </c>
      <c r="BQ411" s="1018">
        <f t="shared" ca="1" si="602"/>
        <v>285.02799999999996</v>
      </c>
      <c r="BR411" s="1018">
        <f t="shared" ca="1" si="603"/>
        <v>51.803914909975674</v>
      </c>
      <c r="BS411" s="1018">
        <f t="shared" ca="1" si="604"/>
        <v>115.89999999999998</v>
      </c>
      <c r="BT411" s="1018">
        <f t="shared" ca="1" si="605"/>
        <v>81.319999999999993</v>
      </c>
      <c r="BU411" s="1018">
        <f t="shared" ca="1" si="606"/>
        <v>22.93</v>
      </c>
      <c r="BV411" s="1018">
        <f t="shared" ca="1" si="607"/>
        <v>2.15</v>
      </c>
      <c r="BW411" s="1018">
        <v>0</v>
      </c>
      <c r="BX411" s="1018">
        <f t="shared" ca="1" si="608"/>
        <v>11.936385923957529</v>
      </c>
      <c r="BY411" s="1018">
        <f t="shared" ca="1" si="609"/>
        <v>57.229334308705177</v>
      </c>
      <c r="BZ411" s="1018">
        <f t="shared" ca="1" si="592"/>
        <v>11.202244897959185</v>
      </c>
      <c r="CA411" s="1018">
        <f t="shared" ca="1" si="593"/>
        <v>45.859999981655996</v>
      </c>
      <c r="CB411" s="1018">
        <f t="shared" ca="1" si="610"/>
        <v>4.5133587786259541</v>
      </c>
      <c r="CC411" s="1018">
        <f t="shared" si="594"/>
        <v>0</v>
      </c>
      <c r="CD411" s="1018">
        <f t="shared" ca="1" si="612"/>
        <v>149.92859793460215</v>
      </c>
      <c r="CE411" s="1018">
        <f t="shared" ca="1" si="573"/>
        <v>93.991926831362093</v>
      </c>
      <c r="CF411" s="1018">
        <f t="shared" ca="1" si="596"/>
        <v>7.3176157429789273</v>
      </c>
      <c r="CG411" s="1018">
        <f t="shared" ca="1" si="597"/>
        <v>12183.537507430194</v>
      </c>
    </row>
    <row r="412" spans="4:85" x14ac:dyDescent="0.25">
      <c r="D412" s="445"/>
      <c r="E412" s="444"/>
      <c r="F412" s="450"/>
      <c r="G412" s="446"/>
      <c r="H412" s="450"/>
      <c r="I412" s="446"/>
      <c r="J412" s="450"/>
      <c r="K412" s="451"/>
      <c r="L412" s="450"/>
      <c r="M412" s="445"/>
      <c r="N412" s="445"/>
      <c r="O412" s="445" t="s">
        <v>18</v>
      </c>
      <c r="P412" s="447">
        <v>0.96078431399999997</v>
      </c>
      <c r="Q412" s="445" t="s">
        <v>7</v>
      </c>
      <c r="R412" s="447">
        <v>0.19</v>
      </c>
      <c r="S412" s="445"/>
      <c r="T412" s="456">
        <v>0</v>
      </c>
      <c r="U412" s="444"/>
      <c r="V412" s="176">
        <f t="shared" si="560"/>
        <v>0</v>
      </c>
      <c r="W412" s="176">
        <f t="shared" si="611"/>
        <v>0</v>
      </c>
      <c r="X412" s="176">
        <f t="shared" si="611"/>
        <v>0</v>
      </c>
      <c r="Y412" s="34">
        <f>X412/Calculation_sheet!M$67</f>
        <v>0</v>
      </c>
      <c r="Z412" s="176">
        <f ca="1">IF(AN412&gt;0,Y412*Calculation_sheet!C$87,0)</f>
        <v>0</v>
      </c>
      <c r="AA412" s="176">
        <f t="shared" ca="1" si="598"/>
        <v>0</v>
      </c>
      <c r="AB412" s="176">
        <f ca="1">IF(AP412&gt;0,AA412*Calculation_sheet!C$94,0)</f>
        <v>0</v>
      </c>
      <c r="AC412" s="176">
        <f t="shared" ca="1" si="599"/>
        <v>0</v>
      </c>
      <c r="AD412" s="958">
        <f ca="1">AC412*Calculation_sheet!C$99</f>
        <v>0</v>
      </c>
      <c r="AE412" s="176">
        <f t="shared" ca="1" si="599"/>
        <v>0</v>
      </c>
      <c r="AF412" s="176">
        <f t="shared" ca="1" si="600"/>
        <v>0</v>
      </c>
      <c r="AG412" s="958">
        <f ca="1">AF412*User_sheet!B$77/100</f>
        <v>0</v>
      </c>
      <c r="AH412" s="313"/>
      <c r="AI412" s="883">
        <v>104</v>
      </c>
      <c r="AJ412" s="985"/>
      <c r="AK412" s="1020">
        <f t="shared" ca="1" si="591"/>
        <v>149.92859793460215</v>
      </c>
      <c r="AL412" s="954">
        <f ca="1">AK412/'103'!I$24</f>
        <v>0.33739206286267714</v>
      </c>
      <c r="AM412" s="954">
        <f ca="1">0.8*(AK412*30+'104'!D$17*0.34*30*1)</f>
        <v>6517.9996304304514</v>
      </c>
      <c r="AN412" s="954">
        <f ca="1">IF(AM412&lt;User_sheet!B$50,Y412,0)</f>
        <v>0</v>
      </c>
      <c r="AO412" s="954">
        <f ca="1">20-(User_sheet!B$57/('Freestanding '!AK412+'104'!D$17*1*0.34))</f>
        <v>-0.98803432901785015</v>
      </c>
      <c r="AP412" s="954">
        <f ca="1">IF(AO412&lt;User_sheet!B$59,0,BC412*AA412)</f>
        <v>0</v>
      </c>
      <c r="AQ412" s="985"/>
      <c r="AR412" s="883">
        <v>0.24</v>
      </c>
      <c r="AS412" s="883">
        <v>0.54</v>
      </c>
      <c r="AT412" s="883">
        <v>0.45</v>
      </c>
      <c r="AU412" s="883">
        <v>2</v>
      </c>
      <c r="AV412" s="883">
        <v>3.3</v>
      </c>
      <c r="AW412" s="883">
        <v>14536.85461731979</v>
      </c>
      <c r="AX412" s="883">
        <v>75022.04959166942</v>
      </c>
      <c r="AY412" s="883">
        <v>65937.809199439725</v>
      </c>
      <c r="AZ412" s="886">
        <v>0</v>
      </c>
      <c r="BA412" s="886">
        <v>0</v>
      </c>
      <c r="BB412" s="883">
        <v>0.6</v>
      </c>
      <c r="BC412" s="888">
        <v>0</v>
      </c>
      <c r="BD412" s="889">
        <v>1</v>
      </c>
      <c r="BE412" s="889">
        <v>0</v>
      </c>
      <c r="BF412" s="890">
        <v>0</v>
      </c>
      <c r="BG412" s="883">
        <v>1</v>
      </c>
      <c r="BH412" s="883">
        <v>0</v>
      </c>
      <c r="BI412" s="890">
        <v>0</v>
      </c>
      <c r="BJ412" s="883">
        <v>0</v>
      </c>
      <c r="BK412" s="883">
        <v>0</v>
      </c>
      <c r="BL412" s="883">
        <v>1</v>
      </c>
      <c r="BM412" s="890">
        <v>0</v>
      </c>
      <c r="BN412" s="958">
        <v>7.0000000000000007E-2</v>
      </c>
      <c r="BO412" s="50">
        <v>12</v>
      </c>
      <c r="BP412" s="1018">
        <f t="shared" ca="1" si="601"/>
        <v>162.63999999999999</v>
      </c>
      <c r="BQ412" s="1018">
        <f t="shared" ca="1" si="602"/>
        <v>285.02799999999996</v>
      </c>
      <c r="BR412" s="1018">
        <f t="shared" ca="1" si="603"/>
        <v>51.803914909975674</v>
      </c>
      <c r="BS412" s="1018">
        <f t="shared" ca="1" si="604"/>
        <v>115.89999999999998</v>
      </c>
      <c r="BT412" s="1018">
        <f t="shared" ca="1" si="605"/>
        <v>81.319999999999993</v>
      </c>
      <c r="BU412" s="1018">
        <f t="shared" ca="1" si="606"/>
        <v>22.93</v>
      </c>
      <c r="BV412" s="1018">
        <f t="shared" ca="1" si="607"/>
        <v>2.15</v>
      </c>
      <c r="BW412" s="1018">
        <v>0</v>
      </c>
      <c r="BX412" s="1018">
        <f t="shared" ca="1" si="608"/>
        <v>11.936385923957529</v>
      </c>
      <c r="BY412" s="1018">
        <f t="shared" ca="1" si="609"/>
        <v>57.229334308705177</v>
      </c>
      <c r="BZ412" s="1018">
        <f t="shared" ca="1" si="592"/>
        <v>11.202244897959185</v>
      </c>
      <c r="CA412" s="1018">
        <f t="shared" ca="1" si="593"/>
        <v>45.859999981655996</v>
      </c>
      <c r="CB412" s="1018">
        <f t="shared" ca="1" si="610"/>
        <v>4.5133587786259541</v>
      </c>
      <c r="CC412" s="1018">
        <f t="shared" si="594"/>
        <v>0</v>
      </c>
      <c r="CD412" s="1018">
        <f t="shared" ca="1" si="612"/>
        <v>149.92859793460215</v>
      </c>
      <c r="CE412" s="1018">
        <f t="shared" ca="1" si="573"/>
        <v>93.991926831362093</v>
      </c>
      <c r="CF412" s="1018">
        <f t="shared" ca="1" si="596"/>
        <v>7.3176157429789273</v>
      </c>
      <c r="CG412" s="1018">
        <f t="shared" ca="1" si="597"/>
        <v>12183.537507430194</v>
      </c>
    </row>
    <row r="413" spans="4:85" x14ac:dyDescent="0.25">
      <c r="D413" s="445"/>
      <c r="E413" s="444"/>
      <c r="F413" s="445"/>
      <c r="G413" s="444"/>
      <c r="H413" s="445"/>
      <c r="I413" s="444"/>
      <c r="J413" s="445"/>
      <c r="K413" s="445"/>
      <c r="L413" s="445"/>
      <c r="M413" s="445"/>
      <c r="N413" s="445"/>
      <c r="O413" s="445"/>
      <c r="P413" s="445"/>
      <c r="Q413" s="445" t="s">
        <v>22</v>
      </c>
      <c r="R413" s="447">
        <v>0.81</v>
      </c>
      <c r="S413" s="445"/>
      <c r="T413" s="456">
        <v>0</v>
      </c>
      <c r="U413" s="444"/>
      <c r="V413" s="176">
        <f t="shared" si="560"/>
        <v>0</v>
      </c>
      <c r="W413" s="176">
        <f t="shared" si="611"/>
        <v>0</v>
      </c>
      <c r="X413" s="176">
        <f t="shared" si="611"/>
        <v>0</v>
      </c>
      <c r="Y413" s="34">
        <f>X413/Calculation_sheet!M$67</f>
        <v>0</v>
      </c>
      <c r="Z413" s="176">
        <f ca="1">IF(AN413&gt;0,Y413*Calculation_sheet!C$87,0)</f>
        <v>0</v>
      </c>
      <c r="AA413" s="176">
        <f t="shared" ca="1" si="598"/>
        <v>0</v>
      </c>
      <c r="AB413" s="176">
        <f ca="1">IF(AP413&gt;0,AA413*Calculation_sheet!C$94,0)</f>
        <v>0</v>
      </c>
      <c r="AC413" s="176">
        <f t="shared" ca="1" si="599"/>
        <v>0</v>
      </c>
      <c r="AD413" s="958">
        <f ca="1">AC413*Calculation_sheet!C$99</f>
        <v>0</v>
      </c>
      <c r="AE413" s="176">
        <f t="shared" ca="1" si="599"/>
        <v>0</v>
      </c>
      <c r="AF413" s="176">
        <f t="shared" ca="1" si="600"/>
        <v>0</v>
      </c>
      <c r="AG413" s="958">
        <f ca="1">AF413*User_sheet!B$77/100</f>
        <v>0</v>
      </c>
      <c r="AH413" s="313"/>
      <c r="AI413" s="883">
        <v>104</v>
      </c>
      <c r="AJ413" s="985"/>
      <c r="AK413" s="1020">
        <f t="shared" ca="1" si="591"/>
        <v>149.92859793460215</v>
      </c>
      <c r="AL413" s="954">
        <f ca="1">AK413/'103'!I$24</f>
        <v>0.33739206286267714</v>
      </c>
      <c r="AM413" s="954">
        <f ca="1">0.8*(AK413*30+'104'!D$17*0.34*30*1)</f>
        <v>6517.9996304304514</v>
      </c>
      <c r="AN413" s="954">
        <f ca="1">IF(AM413&lt;User_sheet!B$50,Y413,0)</f>
        <v>0</v>
      </c>
      <c r="AO413" s="954">
        <f ca="1">20-(User_sheet!B$57/('Freestanding '!AK413+'104'!D$17*1*0.34))</f>
        <v>-0.98803432901785015</v>
      </c>
      <c r="AP413" s="954">
        <f ca="1">IF(AO413&lt;User_sheet!B$59,0,BC413*AA413)</f>
        <v>0</v>
      </c>
      <c r="AQ413" s="985"/>
      <c r="AR413" s="883">
        <v>0.24</v>
      </c>
      <c r="AS413" s="883">
        <v>0.54</v>
      </c>
      <c r="AT413" s="883">
        <v>0.45</v>
      </c>
      <c r="AU413" s="883">
        <v>2</v>
      </c>
      <c r="AV413" s="883">
        <v>3.3</v>
      </c>
      <c r="AW413" s="883">
        <v>14536.85461731979</v>
      </c>
      <c r="AX413" s="883">
        <v>75022.04959166942</v>
      </c>
      <c r="AY413" s="883">
        <v>65937.809199439725</v>
      </c>
      <c r="AZ413" s="886">
        <v>0</v>
      </c>
      <c r="BA413" s="886">
        <v>0</v>
      </c>
      <c r="BB413" s="883">
        <v>0.6</v>
      </c>
      <c r="BC413" s="888">
        <v>0</v>
      </c>
      <c r="BD413" s="889">
        <v>1</v>
      </c>
      <c r="BE413" s="889">
        <v>0</v>
      </c>
      <c r="BF413" s="890">
        <v>0</v>
      </c>
      <c r="BG413" s="883">
        <v>0</v>
      </c>
      <c r="BH413" s="883">
        <v>1</v>
      </c>
      <c r="BI413" s="890">
        <v>0</v>
      </c>
      <c r="BJ413" s="883">
        <v>0</v>
      </c>
      <c r="BK413" s="883">
        <v>1</v>
      </c>
      <c r="BL413" s="883">
        <v>0</v>
      </c>
      <c r="BM413" s="890">
        <v>0</v>
      </c>
      <c r="BN413" s="958">
        <v>7.0000000000000007E-2</v>
      </c>
      <c r="BO413" s="50">
        <v>12</v>
      </c>
      <c r="BP413" s="1018">
        <f t="shared" ca="1" si="601"/>
        <v>162.63999999999999</v>
      </c>
      <c r="BQ413" s="1018">
        <f t="shared" ca="1" si="602"/>
        <v>285.02799999999996</v>
      </c>
      <c r="BR413" s="1018">
        <f t="shared" ca="1" si="603"/>
        <v>51.803914909975674</v>
      </c>
      <c r="BS413" s="1018">
        <f t="shared" ca="1" si="604"/>
        <v>115.89999999999998</v>
      </c>
      <c r="BT413" s="1018">
        <f t="shared" ca="1" si="605"/>
        <v>81.319999999999993</v>
      </c>
      <c r="BU413" s="1018">
        <f t="shared" ca="1" si="606"/>
        <v>22.93</v>
      </c>
      <c r="BV413" s="1018">
        <f t="shared" ca="1" si="607"/>
        <v>2.15</v>
      </c>
      <c r="BW413" s="1018">
        <v>0</v>
      </c>
      <c r="BX413" s="1018">
        <f t="shared" ca="1" si="608"/>
        <v>11.936385923957529</v>
      </c>
      <c r="BY413" s="1018">
        <f t="shared" ca="1" si="609"/>
        <v>57.229334308705177</v>
      </c>
      <c r="BZ413" s="1018">
        <f t="shared" ca="1" si="592"/>
        <v>11.202244897959185</v>
      </c>
      <c r="CA413" s="1018">
        <f t="shared" ca="1" si="593"/>
        <v>45.859999981655996</v>
      </c>
      <c r="CB413" s="1018">
        <f t="shared" ca="1" si="610"/>
        <v>4.5133587786259541</v>
      </c>
      <c r="CC413" s="1018">
        <f t="shared" si="594"/>
        <v>0</v>
      </c>
      <c r="CD413" s="1018">
        <f t="shared" ca="1" si="612"/>
        <v>149.92859793460215</v>
      </c>
      <c r="CE413" s="1018">
        <f t="shared" ca="1" si="573"/>
        <v>93.991926831362093</v>
      </c>
      <c r="CF413" s="1018">
        <f t="shared" ca="1" si="596"/>
        <v>7.3176157429789273</v>
      </c>
      <c r="CG413" s="1018">
        <f t="shared" ca="1" si="597"/>
        <v>12183.537507430194</v>
      </c>
    </row>
    <row r="414" spans="4:85" x14ac:dyDescent="0.25">
      <c r="D414" s="445"/>
      <c r="E414" s="444"/>
      <c r="F414" s="445"/>
      <c r="G414" s="444"/>
      <c r="H414" s="444"/>
      <c r="I414" s="444"/>
      <c r="J414" s="445"/>
      <c r="K414" s="445"/>
      <c r="L414" s="445"/>
      <c r="M414" s="445" t="s">
        <v>22</v>
      </c>
      <c r="N414" s="447">
        <v>0.375</v>
      </c>
      <c r="O414" s="445" t="s">
        <v>20</v>
      </c>
      <c r="P414" s="447">
        <v>3.9215686E-2</v>
      </c>
      <c r="Q414" s="445" t="s">
        <v>7</v>
      </c>
      <c r="R414" s="447">
        <v>0.19</v>
      </c>
      <c r="S414" s="445"/>
      <c r="T414" s="456">
        <v>0</v>
      </c>
      <c r="U414" s="444"/>
      <c r="V414" s="176">
        <f t="shared" si="560"/>
        <v>0</v>
      </c>
      <c r="W414" s="176">
        <f t="shared" si="611"/>
        <v>0</v>
      </c>
      <c r="X414" s="176">
        <f t="shared" si="611"/>
        <v>0</v>
      </c>
      <c r="Y414" s="34">
        <f>X414/Calculation_sheet!M$67</f>
        <v>0</v>
      </c>
      <c r="Z414" s="176">
        <f ca="1">IF(AN414&gt;0,Y414*Calculation_sheet!C$87,0)</f>
        <v>0</v>
      </c>
      <c r="AA414" s="176">
        <f t="shared" ca="1" si="598"/>
        <v>0</v>
      </c>
      <c r="AB414" s="176">
        <f ca="1">IF(AP414&gt;0,AA414*Calculation_sheet!C$94,0)</f>
        <v>0</v>
      </c>
      <c r="AC414" s="176">
        <f t="shared" ca="1" si="599"/>
        <v>0</v>
      </c>
      <c r="AD414" s="958">
        <f ca="1">AC414*Calculation_sheet!C$99</f>
        <v>0</v>
      </c>
      <c r="AE414" s="176">
        <f t="shared" ca="1" si="599"/>
        <v>0</v>
      </c>
      <c r="AF414" s="176">
        <f t="shared" ca="1" si="600"/>
        <v>0</v>
      </c>
      <c r="AG414" s="958">
        <f ca="1">AF414*User_sheet!B$77/100</f>
        <v>0</v>
      </c>
      <c r="AH414" s="313"/>
      <c r="AI414" s="883">
        <v>104</v>
      </c>
      <c r="AJ414" s="985"/>
      <c r="AK414" s="1020">
        <f t="shared" ca="1" si="591"/>
        <v>149.92859793460215</v>
      </c>
      <c r="AL414" s="954">
        <f ca="1">AK414/'103'!I$24</f>
        <v>0.33739206286267714</v>
      </c>
      <c r="AM414" s="954">
        <f ca="1">0.8*(AK414*30+'104'!D$17*0.34*30*1)</f>
        <v>6517.9996304304514</v>
      </c>
      <c r="AN414" s="954">
        <f ca="1">IF(AM414&lt;User_sheet!B$50,Y414,0)</f>
        <v>0</v>
      </c>
      <c r="AO414" s="954">
        <f ca="1">20-(User_sheet!B$57/('Freestanding '!AK414+'104'!D$17*1*0.34))</f>
        <v>-0.98803432901785015</v>
      </c>
      <c r="AP414" s="954">
        <f ca="1">IF(AO414&lt;User_sheet!B$59,0,BC414*AA414)</f>
        <v>0</v>
      </c>
      <c r="AQ414" s="985"/>
      <c r="AR414" s="883">
        <v>0.24</v>
      </c>
      <c r="AS414" s="883">
        <v>0.54</v>
      </c>
      <c r="AT414" s="883">
        <v>0.45</v>
      </c>
      <c r="AU414" s="883">
        <v>2</v>
      </c>
      <c r="AV414" s="883">
        <v>3.3</v>
      </c>
      <c r="AW414" s="883">
        <v>14536.85461731979</v>
      </c>
      <c r="AX414" s="883">
        <v>75022.04959166942</v>
      </c>
      <c r="AY414" s="883">
        <v>65937.809199439725</v>
      </c>
      <c r="AZ414" s="886">
        <v>0</v>
      </c>
      <c r="BA414" s="886">
        <v>0</v>
      </c>
      <c r="BB414" s="883">
        <v>0.6</v>
      </c>
      <c r="BC414" s="888">
        <v>0</v>
      </c>
      <c r="BD414" s="889">
        <v>1</v>
      </c>
      <c r="BE414" s="889">
        <v>0</v>
      </c>
      <c r="BF414" s="890">
        <v>0</v>
      </c>
      <c r="BG414" s="883">
        <v>0</v>
      </c>
      <c r="BH414" s="883">
        <v>1</v>
      </c>
      <c r="BI414" s="890">
        <v>0</v>
      </c>
      <c r="BJ414" s="883">
        <v>0</v>
      </c>
      <c r="BK414" s="883">
        <v>0</v>
      </c>
      <c r="BL414" s="883">
        <v>1</v>
      </c>
      <c r="BM414" s="890">
        <v>0</v>
      </c>
      <c r="BN414" s="958">
        <v>7.0000000000000007E-2</v>
      </c>
      <c r="BO414" s="50">
        <v>12</v>
      </c>
      <c r="BP414" s="1018">
        <f t="shared" ca="1" si="601"/>
        <v>162.63999999999999</v>
      </c>
      <c r="BQ414" s="1018">
        <f t="shared" ca="1" si="602"/>
        <v>285.02799999999996</v>
      </c>
      <c r="BR414" s="1018">
        <f t="shared" ca="1" si="603"/>
        <v>51.803914909975674</v>
      </c>
      <c r="BS414" s="1018">
        <f t="shared" ca="1" si="604"/>
        <v>115.89999999999998</v>
      </c>
      <c r="BT414" s="1018">
        <f t="shared" ca="1" si="605"/>
        <v>81.319999999999993</v>
      </c>
      <c r="BU414" s="1018">
        <f t="shared" ca="1" si="606"/>
        <v>22.93</v>
      </c>
      <c r="BV414" s="1018">
        <f t="shared" ca="1" si="607"/>
        <v>2.15</v>
      </c>
      <c r="BW414" s="1018">
        <v>0</v>
      </c>
      <c r="BX414" s="1018">
        <f t="shared" ca="1" si="608"/>
        <v>11.936385923957529</v>
      </c>
      <c r="BY414" s="1018">
        <f t="shared" ca="1" si="609"/>
        <v>57.229334308705177</v>
      </c>
      <c r="BZ414" s="1018">
        <f t="shared" ca="1" si="592"/>
        <v>11.202244897959185</v>
      </c>
      <c r="CA414" s="1018">
        <f t="shared" ca="1" si="593"/>
        <v>45.859999981655996</v>
      </c>
      <c r="CB414" s="1018">
        <f t="shared" ca="1" si="610"/>
        <v>4.5133587786259541</v>
      </c>
      <c r="CC414" s="1018">
        <f t="shared" si="594"/>
        <v>0</v>
      </c>
      <c r="CD414" s="1018">
        <f t="shared" ca="1" si="612"/>
        <v>149.92859793460215</v>
      </c>
      <c r="CE414" s="1018">
        <f t="shared" ca="1" si="573"/>
        <v>93.991926831362093</v>
      </c>
      <c r="CF414" s="1018">
        <f t="shared" ca="1" si="596"/>
        <v>7.3176157429789273</v>
      </c>
      <c r="CG414" s="1018">
        <f t="shared" ca="1" si="597"/>
        <v>12183.537507430194</v>
      </c>
    </row>
    <row r="415" spans="4:85" x14ac:dyDescent="0.25">
      <c r="D415" s="445"/>
      <c r="E415" s="444"/>
      <c r="F415" s="445"/>
      <c r="G415" s="444"/>
      <c r="H415" s="444"/>
      <c r="I415" s="444"/>
      <c r="J415" s="445"/>
      <c r="K415" s="448" t="s">
        <v>12</v>
      </c>
      <c r="L415" s="449">
        <v>0</v>
      </c>
      <c r="M415" s="445" t="s">
        <v>7</v>
      </c>
      <c r="N415" s="447">
        <v>0.125</v>
      </c>
      <c r="O415" s="445" t="s">
        <v>23</v>
      </c>
      <c r="P415" s="447">
        <v>1</v>
      </c>
      <c r="Q415" s="445" t="s">
        <v>7</v>
      </c>
      <c r="R415" s="447">
        <v>1</v>
      </c>
      <c r="S415" s="445"/>
      <c r="T415" s="456">
        <v>0</v>
      </c>
      <c r="U415" s="444"/>
      <c r="V415" s="176">
        <f t="shared" si="560"/>
        <v>0</v>
      </c>
      <c r="W415" s="176">
        <f t="shared" si="611"/>
        <v>0</v>
      </c>
      <c r="X415" s="176">
        <f t="shared" si="611"/>
        <v>0</v>
      </c>
      <c r="Y415" s="34">
        <f>X415/Calculation_sheet!M$67</f>
        <v>0</v>
      </c>
      <c r="Z415" s="176">
        <f ca="1">IF(AN415&gt;0,Y415*Calculation_sheet!C$87,0)</f>
        <v>0</v>
      </c>
      <c r="AA415" s="176">
        <f t="shared" ca="1" si="598"/>
        <v>0</v>
      </c>
      <c r="AB415" s="176">
        <f ca="1">IF(AP415&gt;0,AA415*Calculation_sheet!C$94,0)</f>
        <v>0</v>
      </c>
      <c r="AC415" s="176">
        <f t="shared" ca="1" si="599"/>
        <v>0</v>
      </c>
      <c r="AD415" s="958">
        <f ca="1">AC415*Calculation_sheet!C$99</f>
        <v>0</v>
      </c>
      <c r="AE415" s="176">
        <f t="shared" ca="1" si="599"/>
        <v>0</v>
      </c>
      <c r="AF415" s="176">
        <f t="shared" ca="1" si="600"/>
        <v>0</v>
      </c>
      <c r="AG415" s="958">
        <f ca="1">AF415*User_sheet!B$77/100</f>
        <v>0</v>
      </c>
      <c r="AH415" s="313"/>
      <c r="AI415" s="883">
        <v>104</v>
      </c>
      <c r="AJ415" s="985"/>
      <c r="AK415" s="1020">
        <f t="shared" ca="1" si="591"/>
        <v>149.92859793460215</v>
      </c>
      <c r="AL415" s="954">
        <f ca="1">AK415/'103'!I$24</f>
        <v>0.33739206286267714</v>
      </c>
      <c r="AM415" s="954">
        <f ca="1">0.8*(AK415*30+'104'!D$17*0.34*30*1)</f>
        <v>6517.9996304304514</v>
      </c>
      <c r="AN415" s="954">
        <f ca="1">IF(AM415&lt;User_sheet!B$50,Y415,0)</f>
        <v>0</v>
      </c>
      <c r="AO415" s="954">
        <f ca="1">20-(User_sheet!B$57/('Freestanding '!AK415+'104'!D$17*1*0.34))</f>
        <v>-0.98803432901785015</v>
      </c>
      <c r="AP415" s="954">
        <f ca="1">IF(AO415&lt;User_sheet!B$59,0,BC415*AA415)</f>
        <v>0</v>
      </c>
      <c r="AQ415" s="985"/>
      <c r="AR415" s="883">
        <v>0.24</v>
      </c>
      <c r="AS415" s="883">
        <v>0.54</v>
      </c>
      <c r="AT415" s="883">
        <v>0.45</v>
      </c>
      <c r="AU415" s="883">
        <v>2</v>
      </c>
      <c r="AV415" s="883">
        <v>3.3</v>
      </c>
      <c r="AW415" s="883">
        <v>14536.85461731979</v>
      </c>
      <c r="AX415" s="883">
        <v>75022.04959166942</v>
      </c>
      <c r="AY415" s="883">
        <v>65937.809199439725</v>
      </c>
      <c r="AZ415" s="886">
        <v>0</v>
      </c>
      <c r="BA415" s="886">
        <v>0</v>
      </c>
      <c r="BB415" s="883">
        <v>0.6</v>
      </c>
      <c r="BC415" s="888">
        <v>0</v>
      </c>
      <c r="BD415" s="889">
        <v>0</v>
      </c>
      <c r="BE415" s="889">
        <v>1</v>
      </c>
      <c r="BF415" s="890">
        <v>0</v>
      </c>
      <c r="BG415" s="883">
        <v>0</v>
      </c>
      <c r="BH415" s="883">
        <v>0</v>
      </c>
      <c r="BI415" s="890">
        <v>1</v>
      </c>
      <c r="BJ415" s="883">
        <v>0</v>
      </c>
      <c r="BK415" s="883">
        <v>0</v>
      </c>
      <c r="BL415" s="883">
        <v>1</v>
      </c>
      <c r="BM415" s="890">
        <v>0</v>
      </c>
      <c r="BN415" s="958">
        <v>7.0000000000000007E-2</v>
      </c>
      <c r="BO415" s="50">
        <v>12</v>
      </c>
      <c r="BP415" s="1018">
        <f t="shared" ca="1" si="601"/>
        <v>162.63999999999999</v>
      </c>
      <c r="BQ415" s="1018">
        <f t="shared" ca="1" si="602"/>
        <v>285.02799999999996</v>
      </c>
      <c r="BR415" s="1018">
        <f t="shared" ca="1" si="603"/>
        <v>51.803914909975674</v>
      </c>
      <c r="BS415" s="1018">
        <f t="shared" ca="1" si="604"/>
        <v>115.89999999999998</v>
      </c>
      <c r="BT415" s="1018">
        <f t="shared" ca="1" si="605"/>
        <v>81.319999999999993</v>
      </c>
      <c r="BU415" s="1018">
        <f t="shared" ca="1" si="606"/>
        <v>22.93</v>
      </c>
      <c r="BV415" s="1018">
        <f t="shared" ca="1" si="607"/>
        <v>2.15</v>
      </c>
      <c r="BW415" s="1018">
        <v>0</v>
      </c>
      <c r="BX415" s="1018">
        <f t="shared" ca="1" si="608"/>
        <v>11.936385923957529</v>
      </c>
      <c r="BY415" s="1018">
        <f t="shared" ca="1" si="609"/>
        <v>57.229334308705177</v>
      </c>
      <c r="BZ415" s="1018">
        <f t="shared" ca="1" si="592"/>
        <v>11.202244897959185</v>
      </c>
      <c r="CA415" s="1018">
        <f t="shared" ca="1" si="593"/>
        <v>45.859999981655996</v>
      </c>
      <c r="CB415" s="1018">
        <f t="shared" ca="1" si="610"/>
        <v>4.5133587786259541</v>
      </c>
      <c r="CC415" s="1018">
        <f t="shared" si="594"/>
        <v>0</v>
      </c>
      <c r="CD415" s="1018">
        <f t="shared" ca="1" si="612"/>
        <v>149.92859793460215</v>
      </c>
      <c r="CE415" s="1018">
        <f t="shared" ca="1" si="573"/>
        <v>93.991926831362093</v>
      </c>
      <c r="CF415" s="1018">
        <f t="shared" ca="1" si="596"/>
        <v>7.3176157429789273</v>
      </c>
      <c r="CG415" s="1018">
        <f t="shared" ca="1" si="597"/>
        <v>12183.537507430194</v>
      </c>
    </row>
    <row r="416" spans="4:85" s="14" customFormat="1" x14ac:dyDescent="0.25">
      <c r="D416" s="453"/>
      <c r="E416" s="452"/>
      <c r="F416" s="453"/>
      <c r="G416" s="452"/>
      <c r="H416" s="452"/>
      <c r="I416" s="452"/>
      <c r="J416" s="453"/>
      <c r="K416" s="454"/>
      <c r="L416" s="453"/>
      <c r="M416" s="453"/>
      <c r="N416" s="453"/>
      <c r="O416" s="453"/>
      <c r="P416" s="453"/>
      <c r="Q416" s="453"/>
      <c r="R416" s="453"/>
      <c r="S416" s="453"/>
      <c r="T416" s="457"/>
      <c r="U416" s="452"/>
      <c r="V416" s="292"/>
      <c r="W416" s="292"/>
      <c r="X416" s="292"/>
      <c r="Y416" s="277"/>
      <c r="Z416" s="292"/>
      <c r="AA416" s="292"/>
      <c r="AB416" s="292"/>
      <c r="AC416" s="292"/>
      <c r="AD416" s="277"/>
      <c r="AE416" s="292"/>
      <c r="AF416" s="292"/>
      <c r="AG416" s="277"/>
      <c r="AH416" s="313"/>
      <c r="AI416" s="28"/>
      <c r="AJ416" s="985"/>
      <c r="AK416" s="1020">
        <f t="shared" si="591"/>
        <v>0</v>
      </c>
      <c r="AL416" s="955"/>
      <c r="AM416" s="955"/>
      <c r="AN416" s="955"/>
      <c r="AO416" s="955"/>
      <c r="AP416" s="955"/>
      <c r="AQ416" s="985"/>
      <c r="AR416" s="28"/>
      <c r="AS416" s="28"/>
      <c r="AT416" s="28"/>
      <c r="AU416" s="28"/>
      <c r="AV416" s="28"/>
      <c r="AW416" s="28"/>
      <c r="AX416" s="28"/>
      <c r="AY416" s="28"/>
      <c r="AZ416" s="28"/>
      <c r="BA416" s="28"/>
      <c r="BB416" s="28"/>
      <c r="BC416" s="45"/>
      <c r="BD416" s="277"/>
      <c r="BE416" s="277"/>
      <c r="BF416" s="49"/>
      <c r="BG416" s="28"/>
      <c r="BH416" s="28"/>
      <c r="BI416" s="49"/>
      <c r="BJ416" s="28"/>
      <c r="BK416" s="28"/>
      <c r="BL416" s="28"/>
      <c r="BM416" s="49"/>
      <c r="BN416" s="277"/>
      <c r="BO416" s="49"/>
      <c r="BP416" s="946"/>
      <c r="BQ416" s="946"/>
      <c r="BR416" s="946"/>
      <c r="BS416" s="946"/>
      <c r="BT416" s="946"/>
      <c r="BU416" s="946"/>
      <c r="BV416" s="946"/>
      <c r="BW416" s="946"/>
      <c r="BX416" s="946"/>
      <c r="BY416" s="946"/>
      <c r="BZ416" s="946"/>
      <c r="CA416" s="946"/>
      <c r="CB416" s="946"/>
      <c r="CC416" s="946"/>
      <c r="CD416" s="946"/>
      <c r="CE416" s="946"/>
      <c r="CF416" s="946"/>
      <c r="CG416" s="946"/>
    </row>
    <row r="417" spans="3:85" x14ac:dyDescent="0.25">
      <c r="D417" s="445"/>
      <c r="E417" s="444"/>
      <c r="F417" s="445"/>
      <c r="G417" s="444"/>
      <c r="H417" s="444"/>
      <c r="I417" s="444"/>
      <c r="J417" s="445"/>
      <c r="K417" s="448"/>
      <c r="L417" s="450"/>
      <c r="M417" s="445"/>
      <c r="N417" s="445"/>
      <c r="O417" s="445"/>
      <c r="P417" s="445"/>
      <c r="Q417" s="445" t="s">
        <v>16</v>
      </c>
      <c r="R417" s="447">
        <v>0.81069999999999998</v>
      </c>
      <c r="S417" s="445"/>
      <c r="T417" s="456">
        <v>5.4554797362451593E-4</v>
      </c>
      <c r="U417" s="444"/>
      <c r="V417" s="176">
        <f t="shared" si="560"/>
        <v>5.4554797362451593E-4</v>
      </c>
      <c r="W417" s="176">
        <f>V417</f>
        <v>5.4554797362451593E-4</v>
      </c>
      <c r="X417" s="176">
        <f>W417</f>
        <v>5.4554797362451593E-4</v>
      </c>
      <c r="Y417" s="34">
        <f>X417/Calculation_sheet!M$67</f>
        <v>5.4555912813223847E-4</v>
      </c>
      <c r="Z417" s="176">
        <f ca="1">IF(AN417&gt;0,Y417*Calculation_sheet!C$87,0)</f>
        <v>0</v>
      </c>
      <c r="AA417" s="176">
        <f t="shared" ref="AA417:AA425" ca="1" si="613">Y417-Z417</f>
        <v>5.4555912813223847E-4</v>
      </c>
      <c r="AB417" s="176">
        <f ca="1">IF(AP417&gt;0,AA417*Calculation_sheet!C$94,0)</f>
        <v>0</v>
      </c>
      <c r="AC417" s="176">
        <f t="shared" ref="AC417:AE425" ca="1" si="614">AA417-AB417</f>
        <v>5.4555912813223847E-4</v>
      </c>
      <c r="AD417" s="958">
        <f ca="1">AC417*Calculation_sheet!C$99</f>
        <v>3.2733547687934308E-4</v>
      </c>
      <c r="AE417" s="176">
        <f t="shared" ca="1" si="614"/>
        <v>2.1822365125289539E-4</v>
      </c>
      <c r="AF417" s="176">
        <f t="shared" ref="AF417:AF425" ca="1" si="615">Y417-AB417</f>
        <v>5.4555912813223847E-4</v>
      </c>
      <c r="AG417" s="958">
        <f ca="1">AF417*User_sheet!B$77/100</f>
        <v>0</v>
      </c>
      <c r="AH417" s="313"/>
      <c r="AI417" s="2">
        <v>104</v>
      </c>
      <c r="AJ417" s="985"/>
      <c r="AK417" s="1020">
        <f t="shared" ca="1" si="591"/>
        <v>158.19850713385708</v>
      </c>
      <c r="AL417" s="954">
        <f ca="1">AK417/'103'!I$24</f>
        <v>0.35600226640530425</v>
      </c>
      <c r="AM417" s="954">
        <f ca="1">0.8*(AK417*30+'104'!D$17*0.34*30*1)</f>
        <v>6716.4774512125705</v>
      </c>
      <c r="AN417" s="954">
        <f ca="1">IF(AM417&lt;User_sheet!B$50,Y417,0)</f>
        <v>5.4555912813223847E-4</v>
      </c>
      <c r="AO417" s="954">
        <f ca="1">20-(User_sheet!B$57/('Freestanding '!AK417+'104'!D$17*1*0.34))</f>
        <v>-0.36781944012967571</v>
      </c>
      <c r="AP417" s="954">
        <f ca="1">IF(AO417&lt;User_sheet!B$59,0,BC417*AA417)</f>
        <v>0</v>
      </c>
      <c r="AQ417" s="985"/>
      <c r="AR417" s="2">
        <v>0.24</v>
      </c>
      <c r="AS417" s="2">
        <v>0.54</v>
      </c>
      <c r="AT417" s="2">
        <v>0.83</v>
      </c>
      <c r="AU417" s="2">
        <v>2</v>
      </c>
      <c r="AV417" s="2">
        <v>3.3</v>
      </c>
      <c r="AW417" s="2">
        <v>14536.85461731979</v>
      </c>
      <c r="AX417" s="2">
        <v>75022.04959166942</v>
      </c>
      <c r="AY417" s="2">
        <v>69245.59826015502</v>
      </c>
      <c r="AZ417" s="27">
        <v>0</v>
      </c>
      <c r="BA417" s="27">
        <v>0</v>
      </c>
      <c r="BB417" s="2">
        <v>0.6</v>
      </c>
      <c r="BC417" s="30">
        <v>1</v>
      </c>
      <c r="BD417" s="34">
        <v>0</v>
      </c>
      <c r="BE417" s="34">
        <v>0</v>
      </c>
      <c r="BF417" s="40">
        <v>0</v>
      </c>
      <c r="BG417" s="2">
        <v>1</v>
      </c>
      <c r="BH417" s="2">
        <v>0</v>
      </c>
      <c r="BI417" s="40">
        <v>0</v>
      </c>
      <c r="BJ417" s="2">
        <v>1</v>
      </c>
      <c r="BK417" s="2">
        <v>0</v>
      </c>
      <c r="BL417" s="2">
        <v>0</v>
      </c>
      <c r="BM417" s="40">
        <v>0</v>
      </c>
      <c r="BN417" s="958">
        <v>7.0000000000000007E-2</v>
      </c>
      <c r="BO417" s="50">
        <v>12</v>
      </c>
      <c r="BP417" s="1018">
        <f t="shared" ref="BP417:BP425" ca="1" si="616">INDIRECT("'"&amp;AI417&amp;"'!"&amp;"B2")</f>
        <v>162.63999999999999</v>
      </c>
      <c r="BQ417" s="1018">
        <f t="shared" ref="BQ417:BQ425" ca="1" si="617">INDIRECT("'"&amp;AI417&amp;"'!"&amp;"C12")+INDIRECT("'"&amp;AI417&amp;"'!"&amp;"C13")+INDIRECT("'"&amp;AI417&amp;"'!"&amp;"C14")+INDIRECT("'"&amp;AI417&amp;"'!"&amp;"C15")+INDIRECT("'"&amp;AI417&amp;"'!"&amp;"C17")</f>
        <v>285.02799999999996</v>
      </c>
      <c r="BR417" s="1018">
        <f t="shared" ref="BR417:BR425" ca="1" si="618">INDIRECT("'"&amp;AI417&amp;"'!"&amp;"G5")</f>
        <v>51.803914909975674</v>
      </c>
      <c r="BS417" s="1018">
        <f t="shared" ref="BS417:BS425" ca="1" si="619">INDIRECT("'"&amp;AI417&amp;"'!"&amp;"G4")</f>
        <v>115.89999999999998</v>
      </c>
      <c r="BT417" s="1018">
        <f t="shared" ref="BT417:BT425" ca="1" si="620">INDIRECT("'"&amp;AI417&amp;"'!"&amp;"G6")</f>
        <v>81.319999999999993</v>
      </c>
      <c r="BU417" s="1018">
        <f t="shared" ref="BU417:BU425" ca="1" si="621">INDIRECT("'"&amp;AI417&amp;"'!"&amp;"G2")</f>
        <v>22.93</v>
      </c>
      <c r="BV417" s="1018">
        <f t="shared" ref="BV417:BV425" ca="1" si="622">INDIRECT("'"&amp;AI417&amp;"'!"&amp;"G3")</f>
        <v>2.15</v>
      </c>
      <c r="BW417" s="1018">
        <v>0</v>
      </c>
      <c r="BX417" s="1018">
        <f t="shared" ref="BX417:BX425" ca="1" si="623">IF(BR417=0,0,1/(1/(BR417*$BY$3)+1/(BR417*AR417)+1/(BR417*$BY$4)))</f>
        <v>11.936385923957529</v>
      </c>
      <c r="BY417" s="1018">
        <f t="shared" ref="BY417:BY425" ca="1" si="624">IF(BS417=0,0,1/(1/(BS417*$BY$3)+1/(BS417*AS417)+1/(BS417*$BY$4)))</f>
        <v>57.229334308705177</v>
      </c>
      <c r="BZ417" s="1018">
        <f t="shared" ca="1" si="592"/>
        <v>19.47215409721413</v>
      </c>
      <c r="CA417" s="1018">
        <f t="shared" ca="1" si="593"/>
        <v>45.859999981655996</v>
      </c>
      <c r="CB417" s="1018">
        <f t="shared" ref="CB417:CB425" ca="1" si="625">IF(BV417=0,0,1/(1/(BV417*$BY$3)+1/(BV417*AV417)+1/(BV417*$BY$4)))</f>
        <v>4.5133587786259541</v>
      </c>
      <c r="CC417" s="1018">
        <f t="shared" si="594"/>
        <v>0</v>
      </c>
      <c r="CD417" s="1018">
        <f ca="1">SUM(BX417:CC417)+(BR417+BS417+BT417+BU417+BV417)*BN417</f>
        <v>158.19850713385708</v>
      </c>
      <c r="CE417" s="1018">
        <f t="shared" ca="1" si="573"/>
        <v>93.991926831362093</v>
      </c>
      <c r="CF417" s="1018">
        <f t="shared" ca="1" si="596"/>
        <v>7.5657130189565747</v>
      </c>
      <c r="CG417" s="1018">
        <f t="shared" ca="1" si="597"/>
        <v>12596.609548041939</v>
      </c>
    </row>
    <row r="418" spans="3:85" x14ac:dyDescent="0.25">
      <c r="D418" s="445"/>
      <c r="E418" s="444"/>
      <c r="F418" s="445"/>
      <c r="G418" s="444"/>
      <c r="H418" s="444"/>
      <c r="I418" s="444"/>
      <c r="J418" s="445"/>
      <c r="K418" s="448"/>
      <c r="L418" s="450"/>
      <c r="M418" s="445"/>
      <c r="N418" s="445"/>
      <c r="O418" s="445" t="s">
        <v>18</v>
      </c>
      <c r="P418" s="447">
        <v>0.962121212</v>
      </c>
      <c r="Q418" s="445" t="s">
        <v>7</v>
      </c>
      <c r="R418" s="447">
        <v>0.1893</v>
      </c>
      <c r="S418" s="445"/>
      <c r="T418" s="456">
        <v>1.2738649488975066E-4</v>
      </c>
      <c r="U418" s="444"/>
      <c r="V418" s="176">
        <f t="shared" si="560"/>
        <v>1.2738649488975066E-4</v>
      </c>
      <c r="W418" s="176">
        <f t="shared" ref="W418:X425" si="626">V418</f>
        <v>1.2738649488975066E-4</v>
      </c>
      <c r="X418" s="176">
        <f t="shared" si="626"/>
        <v>1.2738649488975066E-4</v>
      </c>
      <c r="Y418" s="34">
        <f>X418/Calculation_sheet!M$67</f>
        <v>1.2738909948863049E-4</v>
      </c>
      <c r="Z418" s="176">
        <f ca="1">IF(AN418&gt;0,Y418*Calculation_sheet!C$87,0)</f>
        <v>0</v>
      </c>
      <c r="AA418" s="176">
        <f t="shared" ca="1" si="613"/>
        <v>1.2738909948863049E-4</v>
      </c>
      <c r="AB418" s="176">
        <f ca="1">IF(AP418&gt;0,AA418*Calculation_sheet!C$94,0)</f>
        <v>0</v>
      </c>
      <c r="AC418" s="176">
        <f t="shared" ca="1" si="614"/>
        <v>1.2738909948863049E-4</v>
      </c>
      <c r="AD418" s="958">
        <f ca="1">AC418*Calculation_sheet!C$99</f>
        <v>7.643345969317829E-5</v>
      </c>
      <c r="AE418" s="176">
        <f t="shared" ca="1" si="614"/>
        <v>5.0955639795452202E-5</v>
      </c>
      <c r="AF418" s="176">
        <f t="shared" ca="1" si="615"/>
        <v>1.2738909948863049E-4</v>
      </c>
      <c r="AG418" s="958">
        <f ca="1">AF418*User_sheet!B$77/100</f>
        <v>0</v>
      </c>
      <c r="AH418" s="313"/>
      <c r="AI418" s="2">
        <v>104</v>
      </c>
      <c r="AJ418" s="985"/>
      <c r="AK418" s="1020">
        <f t="shared" ca="1" si="591"/>
        <v>158.19850713385708</v>
      </c>
      <c r="AL418" s="954">
        <f ca="1">AK418/'103'!I$24</f>
        <v>0.35600226640530425</v>
      </c>
      <c r="AM418" s="954">
        <f ca="1">0.8*(AK418*30+'104'!D$17*0.34*30*1)</f>
        <v>6716.4774512125705</v>
      </c>
      <c r="AN418" s="954">
        <f ca="1">IF(AM418&lt;User_sheet!B$50,Y418,0)</f>
        <v>1.2738909948863049E-4</v>
      </c>
      <c r="AO418" s="954">
        <f ca="1">20-(User_sheet!B$57/('Freestanding '!AK418+'104'!D$17*1*0.34))</f>
        <v>-0.36781944012967571</v>
      </c>
      <c r="AP418" s="954">
        <f ca="1">IF(AO418&lt;User_sheet!B$59,0,BC418*AA418)</f>
        <v>0</v>
      </c>
      <c r="AQ418" s="985"/>
      <c r="AR418" s="2">
        <v>0.24</v>
      </c>
      <c r="AS418" s="2">
        <v>0.54</v>
      </c>
      <c r="AT418" s="2">
        <v>0.83</v>
      </c>
      <c r="AU418" s="2">
        <v>2</v>
      </c>
      <c r="AV418" s="2">
        <v>3.3</v>
      </c>
      <c r="AW418" s="2">
        <v>14536.85461731979</v>
      </c>
      <c r="AX418" s="2">
        <v>75022.04959166942</v>
      </c>
      <c r="AY418" s="2">
        <v>69245.59826015502</v>
      </c>
      <c r="AZ418" s="27">
        <v>0</v>
      </c>
      <c r="BA418" s="27">
        <v>0</v>
      </c>
      <c r="BB418" s="2">
        <v>0.6</v>
      </c>
      <c r="BC418" s="30">
        <v>1</v>
      </c>
      <c r="BD418" s="34">
        <v>0</v>
      </c>
      <c r="BE418" s="34">
        <v>0</v>
      </c>
      <c r="BF418" s="40">
        <v>0</v>
      </c>
      <c r="BG418" s="2">
        <v>1</v>
      </c>
      <c r="BH418" s="2">
        <v>0</v>
      </c>
      <c r="BI418" s="40">
        <v>0</v>
      </c>
      <c r="BJ418" s="2">
        <v>0</v>
      </c>
      <c r="BK418" s="2">
        <v>0</v>
      </c>
      <c r="BL418" s="2">
        <v>1</v>
      </c>
      <c r="BM418" s="40">
        <v>0</v>
      </c>
      <c r="BN418" s="958">
        <v>7.0000000000000007E-2</v>
      </c>
      <c r="BO418" s="50">
        <v>12</v>
      </c>
      <c r="BP418" s="1018">
        <f t="shared" ca="1" si="616"/>
        <v>162.63999999999999</v>
      </c>
      <c r="BQ418" s="1018">
        <f t="shared" ca="1" si="617"/>
        <v>285.02799999999996</v>
      </c>
      <c r="BR418" s="1018">
        <f t="shared" ca="1" si="618"/>
        <v>51.803914909975674</v>
      </c>
      <c r="BS418" s="1018">
        <f t="shared" ca="1" si="619"/>
        <v>115.89999999999998</v>
      </c>
      <c r="BT418" s="1018">
        <f t="shared" ca="1" si="620"/>
        <v>81.319999999999993</v>
      </c>
      <c r="BU418" s="1018">
        <f t="shared" ca="1" si="621"/>
        <v>22.93</v>
      </c>
      <c r="BV418" s="1018">
        <f t="shared" ca="1" si="622"/>
        <v>2.15</v>
      </c>
      <c r="BW418" s="1018">
        <v>0</v>
      </c>
      <c r="BX418" s="1018">
        <f t="shared" ca="1" si="623"/>
        <v>11.936385923957529</v>
      </c>
      <c r="BY418" s="1018">
        <f t="shared" ca="1" si="624"/>
        <v>57.229334308705177</v>
      </c>
      <c r="BZ418" s="1018">
        <f t="shared" ca="1" si="592"/>
        <v>19.47215409721413</v>
      </c>
      <c r="CA418" s="1018">
        <f t="shared" ca="1" si="593"/>
        <v>45.859999981655996</v>
      </c>
      <c r="CB418" s="1018">
        <f t="shared" ca="1" si="625"/>
        <v>4.5133587786259541</v>
      </c>
      <c r="CC418" s="1018">
        <f t="shared" si="594"/>
        <v>0</v>
      </c>
      <c r="CD418" s="1018">
        <f t="shared" ref="CD418:CD425" ca="1" si="627">SUM(BX418:CC418)+(BR418+BS418+BT418+BU418+BV418)*BN418</f>
        <v>158.19850713385708</v>
      </c>
      <c r="CE418" s="1018">
        <f t="shared" ca="1" si="573"/>
        <v>93.991926831362093</v>
      </c>
      <c r="CF418" s="1018">
        <f t="shared" ca="1" si="596"/>
        <v>7.5657130189565747</v>
      </c>
      <c r="CG418" s="1018">
        <f t="shared" ca="1" si="597"/>
        <v>12596.609548041939</v>
      </c>
    </row>
    <row r="419" spans="3:85" x14ac:dyDescent="0.25">
      <c r="D419" s="445"/>
      <c r="E419" s="444"/>
      <c r="F419" s="445"/>
      <c r="G419" s="444"/>
      <c r="H419" s="444"/>
      <c r="I419" s="444"/>
      <c r="J419" s="445"/>
      <c r="K419" s="448"/>
      <c r="L419" s="450"/>
      <c r="M419" s="445"/>
      <c r="N419" s="445"/>
      <c r="O419" s="445"/>
      <c r="P419" s="445"/>
      <c r="Q419" s="445" t="s">
        <v>16</v>
      </c>
      <c r="R419" s="447">
        <v>0.81069999999999998</v>
      </c>
      <c r="S419" s="445"/>
      <c r="T419" s="456">
        <v>2.147826674956692E-5</v>
      </c>
      <c r="U419" s="444"/>
      <c r="V419" s="176">
        <f t="shared" si="560"/>
        <v>2.147826674956692E-5</v>
      </c>
      <c r="W419" s="176">
        <f t="shared" si="626"/>
        <v>2.147826674956692E-5</v>
      </c>
      <c r="X419" s="176">
        <f t="shared" si="626"/>
        <v>2.147826674956692E-5</v>
      </c>
      <c r="Y419" s="34">
        <f>X419/Calculation_sheet!M$67</f>
        <v>2.1478705903415724E-5</v>
      </c>
      <c r="Z419" s="176">
        <f ca="1">IF(AN419&gt;0,Y419*Calculation_sheet!C$87,0)</f>
        <v>0</v>
      </c>
      <c r="AA419" s="176">
        <f t="shared" ca="1" si="613"/>
        <v>2.1478705903415724E-5</v>
      </c>
      <c r="AB419" s="176">
        <f ca="1">IF(AP419&gt;0,AA419*Calculation_sheet!C$94,0)</f>
        <v>0</v>
      </c>
      <c r="AC419" s="176">
        <f t="shared" ca="1" si="614"/>
        <v>2.1478705903415724E-5</v>
      </c>
      <c r="AD419" s="958">
        <f ca="1">AC419*Calculation_sheet!C$99</f>
        <v>1.2887223542049435E-5</v>
      </c>
      <c r="AE419" s="176">
        <f t="shared" ca="1" si="614"/>
        <v>8.5914823613662898E-6</v>
      </c>
      <c r="AF419" s="176">
        <f t="shared" ca="1" si="615"/>
        <v>2.1478705903415724E-5</v>
      </c>
      <c r="AG419" s="958">
        <f ca="1">AF419*User_sheet!B$77/100</f>
        <v>0</v>
      </c>
      <c r="AH419" s="313"/>
      <c r="AI419" s="2">
        <v>104</v>
      </c>
      <c r="AJ419" s="985"/>
      <c r="AK419" s="1020">
        <f t="shared" ca="1" si="591"/>
        <v>158.19850713385708</v>
      </c>
      <c r="AL419" s="954">
        <f ca="1">AK419/'103'!I$24</f>
        <v>0.35600226640530425</v>
      </c>
      <c r="AM419" s="954">
        <f ca="1">0.8*(AK419*30+'104'!D$17*0.34*30*1)</f>
        <v>6716.4774512125705</v>
      </c>
      <c r="AN419" s="954">
        <f ca="1">IF(AM419&lt;User_sheet!B$50,Y419,0)</f>
        <v>2.1478705903415724E-5</v>
      </c>
      <c r="AO419" s="954">
        <f ca="1">20-(User_sheet!B$57/('Freestanding '!AK419+'104'!D$17*1*0.34))</f>
        <v>-0.36781944012967571</v>
      </c>
      <c r="AP419" s="954">
        <f ca="1">IF(AO419&lt;User_sheet!B$59,0,BC419*AA419)</f>
        <v>0</v>
      </c>
      <c r="AQ419" s="985"/>
      <c r="AR419" s="2">
        <v>0.24</v>
      </c>
      <c r="AS419" s="2">
        <v>0.54</v>
      </c>
      <c r="AT419" s="2">
        <v>0.83</v>
      </c>
      <c r="AU419" s="2">
        <v>2</v>
      </c>
      <c r="AV419" s="2">
        <v>3.3</v>
      </c>
      <c r="AW419" s="2">
        <v>14536.85461731979</v>
      </c>
      <c r="AX419" s="2">
        <v>75022.04959166942</v>
      </c>
      <c r="AY419" s="2">
        <v>69245.59826015502</v>
      </c>
      <c r="AZ419" s="27">
        <v>0</v>
      </c>
      <c r="BA419" s="27">
        <v>0</v>
      </c>
      <c r="BB419" s="2">
        <v>0.6</v>
      </c>
      <c r="BC419" s="30">
        <v>1</v>
      </c>
      <c r="BD419" s="34">
        <v>0</v>
      </c>
      <c r="BE419" s="34">
        <v>0</v>
      </c>
      <c r="BF419" s="40">
        <v>0</v>
      </c>
      <c r="BG419" s="2">
        <v>0</v>
      </c>
      <c r="BH419" s="2">
        <v>1</v>
      </c>
      <c r="BI419" s="40">
        <v>0</v>
      </c>
      <c r="BJ419" s="2">
        <v>1</v>
      </c>
      <c r="BK419" s="2">
        <v>0</v>
      </c>
      <c r="BL419" s="2">
        <v>0</v>
      </c>
      <c r="BM419" s="40">
        <v>0</v>
      </c>
      <c r="BN419" s="958">
        <v>7.0000000000000007E-2</v>
      </c>
      <c r="BO419" s="50">
        <v>12</v>
      </c>
      <c r="BP419" s="1018">
        <f t="shared" ca="1" si="616"/>
        <v>162.63999999999999</v>
      </c>
      <c r="BQ419" s="1018">
        <f t="shared" ca="1" si="617"/>
        <v>285.02799999999996</v>
      </c>
      <c r="BR419" s="1018">
        <f t="shared" ca="1" si="618"/>
        <v>51.803914909975674</v>
      </c>
      <c r="BS419" s="1018">
        <f t="shared" ca="1" si="619"/>
        <v>115.89999999999998</v>
      </c>
      <c r="BT419" s="1018">
        <f t="shared" ca="1" si="620"/>
        <v>81.319999999999993</v>
      </c>
      <c r="BU419" s="1018">
        <f t="shared" ca="1" si="621"/>
        <v>22.93</v>
      </c>
      <c r="BV419" s="1018">
        <f t="shared" ca="1" si="622"/>
        <v>2.15</v>
      </c>
      <c r="BW419" s="1018">
        <v>0</v>
      </c>
      <c r="BX419" s="1018">
        <f t="shared" ca="1" si="623"/>
        <v>11.936385923957529</v>
      </c>
      <c r="BY419" s="1018">
        <f t="shared" ca="1" si="624"/>
        <v>57.229334308705177</v>
      </c>
      <c r="BZ419" s="1018">
        <f t="shared" ca="1" si="592"/>
        <v>19.47215409721413</v>
      </c>
      <c r="CA419" s="1018">
        <f t="shared" ca="1" si="593"/>
        <v>45.859999981655996</v>
      </c>
      <c r="CB419" s="1018">
        <f t="shared" ca="1" si="625"/>
        <v>4.5133587786259541</v>
      </c>
      <c r="CC419" s="1018">
        <f t="shared" si="594"/>
        <v>0</v>
      </c>
      <c r="CD419" s="1018">
        <f t="shared" ca="1" si="627"/>
        <v>158.19850713385708</v>
      </c>
      <c r="CE419" s="1018">
        <f t="shared" ca="1" si="573"/>
        <v>93.991926831362093</v>
      </c>
      <c r="CF419" s="1018">
        <f t="shared" ca="1" si="596"/>
        <v>7.5657130189565747</v>
      </c>
      <c r="CG419" s="1018">
        <f t="shared" ca="1" si="597"/>
        <v>12596.609548041939</v>
      </c>
    </row>
    <row r="420" spans="3:85" x14ac:dyDescent="0.25">
      <c r="D420" s="445"/>
      <c r="E420" s="444"/>
      <c r="F420" s="445"/>
      <c r="G420" s="444"/>
      <c r="H420" s="444"/>
      <c r="I420" s="444"/>
      <c r="J420" s="445"/>
      <c r="K420" s="448"/>
      <c r="L420" s="450"/>
      <c r="M420" s="445" t="s">
        <v>16</v>
      </c>
      <c r="N420" s="447">
        <v>0.5</v>
      </c>
      <c r="O420" s="445" t="s">
        <v>19</v>
      </c>
      <c r="P420" s="447">
        <v>3.7878787999999997E-2</v>
      </c>
      <c r="Q420" s="445" t="s">
        <v>7</v>
      </c>
      <c r="R420" s="447">
        <v>0.1893</v>
      </c>
      <c r="S420" s="445"/>
      <c r="T420" s="456">
        <v>5.0152163509226824E-6</v>
      </c>
      <c r="U420" s="444"/>
      <c r="V420" s="176">
        <f t="shared" si="560"/>
        <v>5.0152163509226824E-6</v>
      </c>
      <c r="W420" s="176">
        <f t="shared" si="626"/>
        <v>5.0152163509226824E-6</v>
      </c>
      <c r="X420" s="176">
        <f t="shared" si="626"/>
        <v>5.0152163509226824E-6</v>
      </c>
      <c r="Y420" s="34">
        <f>X420/Calculation_sheet!M$67</f>
        <v>5.0153188941860087E-6</v>
      </c>
      <c r="Z420" s="176">
        <f ca="1">IF(AN420&gt;0,Y420*Calculation_sheet!C$87,0)</f>
        <v>0</v>
      </c>
      <c r="AA420" s="176">
        <f t="shared" ca="1" si="613"/>
        <v>5.0153188941860087E-6</v>
      </c>
      <c r="AB420" s="176">
        <f ca="1">IF(AP420&gt;0,AA420*Calculation_sheet!C$94,0)</f>
        <v>0</v>
      </c>
      <c r="AC420" s="176">
        <f t="shared" ca="1" si="614"/>
        <v>5.0153188941860087E-6</v>
      </c>
      <c r="AD420" s="958">
        <f ca="1">AC420*Calculation_sheet!C$99</f>
        <v>3.0091913365116052E-6</v>
      </c>
      <c r="AE420" s="176">
        <f t="shared" ca="1" si="614"/>
        <v>2.0061275576744035E-6</v>
      </c>
      <c r="AF420" s="176">
        <f t="shared" ca="1" si="615"/>
        <v>5.0153188941860087E-6</v>
      </c>
      <c r="AG420" s="958">
        <f ca="1">AF420*User_sheet!B$77/100</f>
        <v>0</v>
      </c>
      <c r="AH420" s="313"/>
      <c r="AI420" s="2">
        <v>104</v>
      </c>
      <c r="AJ420" s="985"/>
      <c r="AK420" s="1020">
        <f t="shared" ca="1" si="591"/>
        <v>158.19850713385708</v>
      </c>
      <c r="AL420" s="954">
        <f ca="1">AK420/'103'!I$24</f>
        <v>0.35600226640530425</v>
      </c>
      <c r="AM420" s="954">
        <f ca="1">0.8*(AK420*30+'104'!D$17*0.34*30*1)</f>
        <v>6716.4774512125705</v>
      </c>
      <c r="AN420" s="954">
        <f ca="1">IF(AM420&lt;User_sheet!B$50,Y420,0)</f>
        <v>5.0153188941860087E-6</v>
      </c>
      <c r="AO420" s="954">
        <f ca="1">20-(User_sheet!B$57/('Freestanding '!AK420+'104'!D$17*1*0.34))</f>
        <v>-0.36781944012967571</v>
      </c>
      <c r="AP420" s="954">
        <f ca="1">IF(AO420&lt;User_sheet!B$59,0,BC420*AA420)</f>
        <v>0</v>
      </c>
      <c r="AQ420" s="985"/>
      <c r="AR420" s="2">
        <v>0.24</v>
      </c>
      <c r="AS420" s="2">
        <v>0.54</v>
      </c>
      <c r="AT420" s="2">
        <v>0.83</v>
      </c>
      <c r="AU420" s="2">
        <v>2</v>
      </c>
      <c r="AV420" s="2">
        <v>3.3</v>
      </c>
      <c r="AW420" s="2">
        <v>14536.85461731979</v>
      </c>
      <c r="AX420" s="2">
        <v>75022.04959166942</v>
      </c>
      <c r="AY420" s="2">
        <v>69245.59826015502</v>
      </c>
      <c r="AZ420" s="27">
        <v>0</v>
      </c>
      <c r="BA420" s="27">
        <v>0</v>
      </c>
      <c r="BB420" s="2">
        <v>0.6</v>
      </c>
      <c r="BC420" s="30">
        <v>1</v>
      </c>
      <c r="BD420" s="34">
        <v>0</v>
      </c>
      <c r="BE420" s="34">
        <v>0</v>
      </c>
      <c r="BF420" s="40">
        <v>0</v>
      </c>
      <c r="BG420" s="2">
        <v>0</v>
      </c>
      <c r="BH420" s="2">
        <v>1</v>
      </c>
      <c r="BI420" s="40">
        <v>0</v>
      </c>
      <c r="BJ420" s="2">
        <v>0</v>
      </c>
      <c r="BK420" s="2">
        <v>0</v>
      </c>
      <c r="BL420" s="2">
        <v>1</v>
      </c>
      <c r="BM420" s="40">
        <v>0</v>
      </c>
      <c r="BN420" s="958">
        <v>7.0000000000000007E-2</v>
      </c>
      <c r="BO420" s="50">
        <v>12</v>
      </c>
      <c r="BP420" s="1018">
        <f t="shared" ca="1" si="616"/>
        <v>162.63999999999999</v>
      </c>
      <c r="BQ420" s="1018">
        <f t="shared" ca="1" si="617"/>
        <v>285.02799999999996</v>
      </c>
      <c r="BR420" s="1018">
        <f t="shared" ca="1" si="618"/>
        <v>51.803914909975674</v>
      </c>
      <c r="BS420" s="1018">
        <f t="shared" ca="1" si="619"/>
        <v>115.89999999999998</v>
      </c>
      <c r="BT420" s="1018">
        <f t="shared" ca="1" si="620"/>
        <v>81.319999999999993</v>
      </c>
      <c r="BU420" s="1018">
        <f t="shared" ca="1" si="621"/>
        <v>22.93</v>
      </c>
      <c r="BV420" s="1018">
        <f t="shared" ca="1" si="622"/>
        <v>2.15</v>
      </c>
      <c r="BW420" s="1018">
        <v>0</v>
      </c>
      <c r="BX420" s="1018">
        <f t="shared" ca="1" si="623"/>
        <v>11.936385923957529</v>
      </c>
      <c r="BY420" s="1018">
        <f t="shared" ca="1" si="624"/>
        <v>57.229334308705177</v>
      </c>
      <c r="BZ420" s="1018">
        <f t="shared" ca="1" si="592"/>
        <v>19.47215409721413</v>
      </c>
      <c r="CA420" s="1018">
        <f t="shared" ca="1" si="593"/>
        <v>45.859999981655996</v>
      </c>
      <c r="CB420" s="1018">
        <f t="shared" ca="1" si="625"/>
        <v>4.5133587786259541</v>
      </c>
      <c r="CC420" s="1018">
        <f t="shared" si="594"/>
        <v>0</v>
      </c>
      <c r="CD420" s="1018">
        <f t="shared" ca="1" si="627"/>
        <v>158.19850713385708</v>
      </c>
      <c r="CE420" s="1018">
        <f t="shared" ca="1" si="573"/>
        <v>93.991926831362093</v>
      </c>
      <c r="CF420" s="1018">
        <f t="shared" ca="1" si="596"/>
        <v>7.5657130189565747</v>
      </c>
      <c r="CG420" s="1018">
        <f t="shared" ca="1" si="597"/>
        <v>12596.609548041939</v>
      </c>
    </row>
    <row r="421" spans="3:85" x14ac:dyDescent="0.25">
      <c r="D421" s="445"/>
      <c r="E421" s="444"/>
      <c r="F421" s="445"/>
      <c r="G421" s="444"/>
      <c r="H421" s="444"/>
      <c r="I421" s="444"/>
      <c r="J421" s="445"/>
      <c r="K421" s="448"/>
      <c r="L421" s="450"/>
      <c r="M421" s="445"/>
      <c r="N421" s="445"/>
      <c r="O421" s="445"/>
      <c r="P421" s="445"/>
      <c r="Q421" s="445" t="s">
        <v>22</v>
      </c>
      <c r="R421" s="447">
        <v>0.81</v>
      </c>
      <c r="S421" s="445"/>
      <c r="T421" s="456">
        <v>4.0823963834589981E-4</v>
      </c>
      <c r="U421" s="444"/>
      <c r="V421" s="176">
        <f t="shared" si="560"/>
        <v>4.0823963834589981E-4</v>
      </c>
      <c r="W421" s="176">
        <f t="shared" si="626"/>
        <v>4.0823963834589981E-4</v>
      </c>
      <c r="X421" s="176">
        <f t="shared" si="626"/>
        <v>4.0823963834589981E-4</v>
      </c>
      <c r="Y421" s="34">
        <f>X421/Calculation_sheet!M$67</f>
        <v>4.0824798538854087E-4</v>
      </c>
      <c r="Z421" s="176">
        <f ca="1">IF(AN421&gt;0,Y421*Calculation_sheet!C$87,0)</f>
        <v>0</v>
      </c>
      <c r="AA421" s="176">
        <f t="shared" ca="1" si="613"/>
        <v>4.0824798538854087E-4</v>
      </c>
      <c r="AB421" s="176">
        <f ca="1">IF(AP421&gt;0,AA421*Calculation_sheet!C$94,0)</f>
        <v>0</v>
      </c>
      <c r="AC421" s="176">
        <f t="shared" ca="1" si="614"/>
        <v>4.0824798538854087E-4</v>
      </c>
      <c r="AD421" s="958">
        <f ca="1">AC421*Calculation_sheet!C$99</f>
        <v>2.4494879123312452E-4</v>
      </c>
      <c r="AE421" s="176">
        <f t="shared" ca="1" si="614"/>
        <v>1.6329919415541635E-4</v>
      </c>
      <c r="AF421" s="176">
        <f t="shared" ca="1" si="615"/>
        <v>4.0824798538854087E-4</v>
      </c>
      <c r="AG421" s="958">
        <f ca="1">AF421*User_sheet!B$77/100</f>
        <v>0</v>
      </c>
      <c r="AH421" s="313"/>
      <c r="AI421" s="2">
        <v>104</v>
      </c>
      <c r="AJ421" s="985"/>
      <c r="AK421" s="1020">
        <f t="shared" ca="1" si="591"/>
        <v>158.19850713385708</v>
      </c>
      <c r="AL421" s="954">
        <f ca="1">AK421/'103'!I$24</f>
        <v>0.35600226640530425</v>
      </c>
      <c r="AM421" s="954">
        <f ca="1">0.8*(AK421*30+'104'!D$17*0.34*30*1)</f>
        <v>6716.4774512125705</v>
      </c>
      <c r="AN421" s="954">
        <f ca="1">IF(AM421&lt;User_sheet!B$50,Y421,0)</f>
        <v>4.0824798538854087E-4</v>
      </c>
      <c r="AO421" s="954">
        <f ca="1">20-(User_sheet!B$57/('Freestanding '!AK421+'104'!D$17*1*0.34))</f>
        <v>-0.36781944012967571</v>
      </c>
      <c r="AP421" s="954">
        <f ca="1">IF(AO421&lt;User_sheet!B$59,0,BC421*AA421)</f>
        <v>0</v>
      </c>
      <c r="AQ421" s="985"/>
      <c r="AR421" s="2">
        <v>0.24</v>
      </c>
      <c r="AS421" s="2">
        <v>0.54</v>
      </c>
      <c r="AT421" s="2">
        <v>0.83</v>
      </c>
      <c r="AU421" s="2">
        <v>2</v>
      </c>
      <c r="AV421" s="2">
        <v>3.3</v>
      </c>
      <c r="AW421" s="2">
        <v>14536.85461731979</v>
      </c>
      <c r="AX421" s="2">
        <v>75022.04959166942</v>
      </c>
      <c r="AY421" s="2">
        <v>69245.59826015502</v>
      </c>
      <c r="AZ421" s="27">
        <v>0</v>
      </c>
      <c r="BA421" s="27">
        <v>0</v>
      </c>
      <c r="BB421" s="2">
        <v>0.6</v>
      </c>
      <c r="BC421" s="30">
        <v>0</v>
      </c>
      <c r="BD421" s="34">
        <v>1</v>
      </c>
      <c r="BE421" s="34">
        <v>0</v>
      </c>
      <c r="BF421" s="40">
        <v>0</v>
      </c>
      <c r="BG421" s="2">
        <v>1</v>
      </c>
      <c r="BH421" s="2">
        <v>0</v>
      </c>
      <c r="BI421" s="40">
        <v>0</v>
      </c>
      <c r="BJ421" s="2">
        <v>0</v>
      </c>
      <c r="BK421" s="2">
        <v>1</v>
      </c>
      <c r="BL421" s="2">
        <v>0</v>
      </c>
      <c r="BM421" s="40">
        <v>0</v>
      </c>
      <c r="BN421" s="958">
        <v>7.0000000000000007E-2</v>
      </c>
      <c r="BO421" s="50">
        <v>12</v>
      </c>
      <c r="BP421" s="1018">
        <f t="shared" ca="1" si="616"/>
        <v>162.63999999999999</v>
      </c>
      <c r="BQ421" s="1018">
        <f t="shared" ca="1" si="617"/>
        <v>285.02799999999996</v>
      </c>
      <c r="BR421" s="1018">
        <f t="shared" ca="1" si="618"/>
        <v>51.803914909975674</v>
      </c>
      <c r="BS421" s="1018">
        <f t="shared" ca="1" si="619"/>
        <v>115.89999999999998</v>
      </c>
      <c r="BT421" s="1018">
        <f t="shared" ca="1" si="620"/>
        <v>81.319999999999993</v>
      </c>
      <c r="BU421" s="1018">
        <f t="shared" ca="1" si="621"/>
        <v>22.93</v>
      </c>
      <c r="BV421" s="1018">
        <f t="shared" ca="1" si="622"/>
        <v>2.15</v>
      </c>
      <c r="BW421" s="1018">
        <v>0</v>
      </c>
      <c r="BX421" s="1018">
        <f t="shared" ca="1" si="623"/>
        <v>11.936385923957529</v>
      </c>
      <c r="BY421" s="1018">
        <f t="shared" ca="1" si="624"/>
        <v>57.229334308705177</v>
      </c>
      <c r="BZ421" s="1018">
        <f t="shared" ca="1" si="592"/>
        <v>19.47215409721413</v>
      </c>
      <c r="CA421" s="1018">
        <f t="shared" ca="1" si="593"/>
        <v>45.859999981655996</v>
      </c>
      <c r="CB421" s="1018">
        <f t="shared" ca="1" si="625"/>
        <v>4.5133587786259541</v>
      </c>
      <c r="CC421" s="1018">
        <f t="shared" si="594"/>
        <v>0</v>
      </c>
      <c r="CD421" s="1018">
        <f t="shared" ca="1" si="627"/>
        <v>158.19850713385708</v>
      </c>
      <c r="CE421" s="1018">
        <f t="shared" ca="1" si="573"/>
        <v>93.991926831362093</v>
      </c>
      <c r="CF421" s="1018">
        <f t="shared" ca="1" si="596"/>
        <v>7.5657130189565747</v>
      </c>
      <c r="CG421" s="1018">
        <f t="shared" ca="1" si="597"/>
        <v>12596.609548041939</v>
      </c>
    </row>
    <row r="422" spans="3:85" x14ac:dyDescent="0.25">
      <c r="D422" s="445"/>
      <c r="E422" s="444"/>
      <c r="F422" s="445"/>
      <c r="G422" s="444"/>
      <c r="H422" s="444"/>
      <c r="I422" s="444"/>
      <c r="J422" s="445"/>
      <c r="K422" s="445"/>
      <c r="L422" s="445"/>
      <c r="M422" s="445"/>
      <c r="N422" s="445"/>
      <c r="O422" s="445" t="s">
        <v>18</v>
      </c>
      <c r="P422" s="447">
        <v>0.96078431399999997</v>
      </c>
      <c r="Q422" s="445" t="s">
        <v>7</v>
      </c>
      <c r="R422" s="447">
        <v>0.19</v>
      </c>
      <c r="S422" s="445"/>
      <c r="T422" s="456">
        <v>9.5759915167556729E-5</v>
      </c>
      <c r="U422" s="444"/>
      <c r="V422" s="176">
        <f t="shared" si="560"/>
        <v>9.5759915167556729E-5</v>
      </c>
      <c r="W422" s="176">
        <f t="shared" si="626"/>
        <v>9.5759915167556729E-5</v>
      </c>
      <c r="X422" s="176">
        <f t="shared" si="626"/>
        <v>9.5759915167556729E-5</v>
      </c>
      <c r="Y422" s="34">
        <f>X422/Calculation_sheet!M$67</f>
        <v>9.5761873115830551E-5</v>
      </c>
      <c r="Z422" s="176">
        <f ca="1">IF(AN422&gt;0,Y422*Calculation_sheet!C$87,0)</f>
        <v>0</v>
      </c>
      <c r="AA422" s="176">
        <f t="shared" ca="1" si="613"/>
        <v>9.5761873115830551E-5</v>
      </c>
      <c r="AB422" s="176">
        <f ca="1">IF(AP422&gt;0,AA422*Calculation_sheet!C$94,0)</f>
        <v>0</v>
      </c>
      <c r="AC422" s="176">
        <f t="shared" ca="1" si="614"/>
        <v>9.5761873115830551E-5</v>
      </c>
      <c r="AD422" s="958">
        <f ca="1">AC422*Calculation_sheet!C$99</f>
        <v>5.7457123869498327E-5</v>
      </c>
      <c r="AE422" s="176">
        <f t="shared" ca="1" si="614"/>
        <v>3.8304749246332224E-5</v>
      </c>
      <c r="AF422" s="176">
        <f t="shared" ca="1" si="615"/>
        <v>9.5761873115830551E-5</v>
      </c>
      <c r="AG422" s="958">
        <f ca="1">AF422*User_sheet!B$77/100</f>
        <v>0</v>
      </c>
      <c r="AH422" s="313"/>
      <c r="AI422" s="2">
        <v>104</v>
      </c>
      <c r="AJ422" s="985"/>
      <c r="AK422" s="1020">
        <f t="shared" ca="1" si="591"/>
        <v>158.19850713385708</v>
      </c>
      <c r="AL422" s="954">
        <f ca="1">AK422/'103'!I$24</f>
        <v>0.35600226640530425</v>
      </c>
      <c r="AM422" s="954">
        <f ca="1">0.8*(AK422*30+'104'!D$17*0.34*30*1)</f>
        <v>6716.4774512125705</v>
      </c>
      <c r="AN422" s="954">
        <f ca="1">IF(AM422&lt;User_sheet!B$50,Y422,0)</f>
        <v>9.5761873115830551E-5</v>
      </c>
      <c r="AO422" s="954">
        <f ca="1">20-(User_sheet!B$57/('Freestanding '!AK422+'104'!D$17*1*0.34))</f>
        <v>-0.36781944012967571</v>
      </c>
      <c r="AP422" s="954">
        <f ca="1">IF(AO422&lt;User_sheet!B$59,0,BC422*AA422)</f>
        <v>0</v>
      </c>
      <c r="AQ422" s="985"/>
      <c r="AR422" s="2">
        <v>0.24</v>
      </c>
      <c r="AS422" s="2">
        <v>0.54</v>
      </c>
      <c r="AT422" s="2">
        <v>0.83</v>
      </c>
      <c r="AU422" s="2">
        <v>2</v>
      </c>
      <c r="AV422" s="2">
        <v>3.3</v>
      </c>
      <c r="AW422" s="2">
        <v>14536.85461731979</v>
      </c>
      <c r="AX422" s="2">
        <v>75022.04959166942</v>
      </c>
      <c r="AY422" s="2">
        <v>69245.59826015502</v>
      </c>
      <c r="AZ422" s="27">
        <v>0</v>
      </c>
      <c r="BA422" s="27">
        <v>0</v>
      </c>
      <c r="BB422" s="2">
        <v>0.6</v>
      </c>
      <c r="BC422" s="30">
        <v>0</v>
      </c>
      <c r="BD422" s="34">
        <v>1</v>
      </c>
      <c r="BE422" s="34">
        <v>0</v>
      </c>
      <c r="BF422" s="40">
        <v>0</v>
      </c>
      <c r="BG422" s="2">
        <v>1</v>
      </c>
      <c r="BH422" s="2">
        <v>0</v>
      </c>
      <c r="BI422" s="40">
        <v>0</v>
      </c>
      <c r="BJ422" s="2">
        <v>0</v>
      </c>
      <c r="BK422" s="2">
        <v>0</v>
      </c>
      <c r="BL422" s="2">
        <v>1</v>
      </c>
      <c r="BM422" s="40">
        <v>0</v>
      </c>
      <c r="BN422" s="958">
        <v>7.0000000000000007E-2</v>
      </c>
      <c r="BO422" s="50">
        <v>12</v>
      </c>
      <c r="BP422" s="1018">
        <f t="shared" ca="1" si="616"/>
        <v>162.63999999999999</v>
      </c>
      <c r="BQ422" s="1018">
        <f t="shared" ca="1" si="617"/>
        <v>285.02799999999996</v>
      </c>
      <c r="BR422" s="1018">
        <f t="shared" ca="1" si="618"/>
        <v>51.803914909975674</v>
      </c>
      <c r="BS422" s="1018">
        <f t="shared" ca="1" si="619"/>
        <v>115.89999999999998</v>
      </c>
      <c r="BT422" s="1018">
        <f t="shared" ca="1" si="620"/>
        <v>81.319999999999993</v>
      </c>
      <c r="BU422" s="1018">
        <f t="shared" ca="1" si="621"/>
        <v>22.93</v>
      </c>
      <c r="BV422" s="1018">
        <f t="shared" ca="1" si="622"/>
        <v>2.15</v>
      </c>
      <c r="BW422" s="1018">
        <v>0</v>
      </c>
      <c r="BX422" s="1018">
        <f t="shared" ca="1" si="623"/>
        <v>11.936385923957529</v>
      </c>
      <c r="BY422" s="1018">
        <f t="shared" ca="1" si="624"/>
        <v>57.229334308705177</v>
      </c>
      <c r="BZ422" s="1018">
        <f t="shared" ca="1" si="592"/>
        <v>19.47215409721413</v>
      </c>
      <c r="CA422" s="1018">
        <f t="shared" ca="1" si="593"/>
        <v>45.859999981655996</v>
      </c>
      <c r="CB422" s="1018">
        <f t="shared" ca="1" si="625"/>
        <v>4.5133587786259541</v>
      </c>
      <c r="CC422" s="1018">
        <f t="shared" si="594"/>
        <v>0</v>
      </c>
      <c r="CD422" s="1018">
        <f t="shared" ca="1" si="627"/>
        <v>158.19850713385708</v>
      </c>
      <c r="CE422" s="1018">
        <f t="shared" ca="1" si="573"/>
        <v>93.991926831362093</v>
      </c>
      <c r="CF422" s="1018">
        <f t="shared" ca="1" si="596"/>
        <v>7.5657130189565747</v>
      </c>
      <c r="CG422" s="1018">
        <f t="shared" ca="1" si="597"/>
        <v>12596.609548041939</v>
      </c>
    </row>
    <row r="423" spans="3:85" x14ac:dyDescent="0.25">
      <c r="D423" s="445"/>
      <c r="E423" s="444"/>
      <c r="F423" s="445"/>
      <c r="G423" s="444"/>
      <c r="H423" s="445"/>
      <c r="I423" s="444" t="s">
        <v>6</v>
      </c>
      <c r="J423" s="449">
        <v>0.26470000000000005</v>
      </c>
      <c r="K423" s="445"/>
      <c r="L423" s="445"/>
      <c r="M423" s="445"/>
      <c r="N423" s="445"/>
      <c r="O423" s="445"/>
      <c r="P423" s="445"/>
      <c r="Q423" s="445" t="s">
        <v>22</v>
      </c>
      <c r="R423" s="447">
        <v>0.81</v>
      </c>
      <c r="S423" s="445"/>
      <c r="T423" s="456">
        <v>1.6662842260064591E-5</v>
      </c>
      <c r="U423" s="444"/>
      <c r="V423" s="176">
        <f t="shared" si="560"/>
        <v>1.6662842260064591E-5</v>
      </c>
      <c r="W423" s="176">
        <f t="shared" si="626"/>
        <v>1.6662842260064591E-5</v>
      </c>
      <c r="X423" s="176">
        <f t="shared" si="626"/>
        <v>1.6662842260064591E-5</v>
      </c>
      <c r="Y423" s="34">
        <f>X423/Calculation_sheet!M$67</f>
        <v>1.6663182955680109E-5</v>
      </c>
      <c r="Z423" s="176">
        <f ca="1">IF(AN423&gt;0,Y423*Calculation_sheet!C$87,0)</f>
        <v>0</v>
      </c>
      <c r="AA423" s="176">
        <f t="shared" ca="1" si="613"/>
        <v>1.6663182955680109E-5</v>
      </c>
      <c r="AB423" s="176">
        <f ca="1">IF(AP423&gt;0,AA423*Calculation_sheet!C$94,0)</f>
        <v>0</v>
      </c>
      <c r="AC423" s="176">
        <f t="shared" ca="1" si="614"/>
        <v>1.6663182955680109E-5</v>
      </c>
      <c r="AD423" s="958">
        <f ca="1">AC423*Calculation_sheet!C$99</f>
        <v>9.9979097734080651E-6</v>
      </c>
      <c r="AE423" s="176">
        <f t="shared" ca="1" si="614"/>
        <v>6.665273182272044E-6</v>
      </c>
      <c r="AF423" s="176">
        <f t="shared" ca="1" si="615"/>
        <v>1.6663182955680109E-5</v>
      </c>
      <c r="AG423" s="958">
        <f ca="1">AF423*User_sheet!B$77/100</f>
        <v>0</v>
      </c>
      <c r="AH423" s="313"/>
      <c r="AI423" s="2">
        <v>104</v>
      </c>
      <c r="AJ423" s="985"/>
      <c r="AK423" s="1020">
        <f t="shared" ca="1" si="591"/>
        <v>158.19850713385708</v>
      </c>
      <c r="AL423" s="954">
        <f ca="1">AK423/'103'!I$24</f>
        <v>0.35600226640530425</v>
      </c>
      <c r="AM423" s="954">
        <f ca="1">0.8*(AK423*30+'104'!D$17*0.34*30*1)</f>
        <v>6716.4774512125705</v>
      </c>
      <c r="AN423" s="954">
        <f ca="1">IF(AM423&lt;User_sheet!B$50,Y423,0)</f>
        <v>1.6663182955680109E-5</v>
      </c>
      <c r="AO423" s="954">
        <f ca="1">20-(User_sheet!B$57/('Freestanding '!AK423+'104'!D$17*1*0.34))</f>
        <v>-0.36781944012967571</v>
      </c>
      <c r="AP423" s="954">
        <f ca="1">IF(AO423&lt;User_sheet!B$59,0,BC423*AA423)</f>
        <v>0</v>
      </c>
      <c r="AQ423" s="985"/>
      <c r="AR423" s="2">
        <v>0.24</v>
      </c>
      <c r="AS423" s="2">
        <v>0.54</v>
      </c>
      <c r="AT423" s="2">
        <v>0.83</v>
      </c>
      <c r="AU423" s="2">
        <v>2</v>
      </c>
      <c r="AV423" s="2">
        <v>3.3</v>
      </c>
      <c r="AW423" s="2">
        <v>14536.85461731979</v>
      </c>
      <c r="AX423" s="2">
        <v>75022.04959166942</v>
      </c>
      <c r="AY423" s="2">
        <v>69245.59826015502</v>
      </c>
      <c r="AZ423" s="27">
        <v>0</v>
      </c>
      <c r="BA423" s="27">
        <v>0</v>
      </c>
      <c r="BB423" s="2">
        <v>0.6</v>
      </c>
      <c r="BC423" s="30">
        <v>0</v>
      </c>
      <c r="BD423" s="34">
        <v>1</v>
      </c>
      <c r="BE423" s="34">
        <v>0</v>
      </c>
      <c r="BF423" s="40">
        <v>0</v>
      </c>
      <c r="BG423" s="2">
        <v>0</v>
      </c>
      <c r="BH423" s="2">
        <v>1</v>
      </c>
      <c r="BI423" s="40">
        <v>0</v>
      </c>
      <c r="BJ423" s="2">
        <v>0</v>
      </c>
      <c r="BK423" s="2">
        <v>1</v>
      </c>
      <c r="BL423" s="2">
        <v>0</v>
      </c>
      <c r="BM423" s="40">
        <v>0</v>
      </c>
      <c r="BN423" s="958">
        <v>7.0000000000000007E-2</v>
      </c>
      <c r="BO423" s="50">
        <v>12</v>
      </c>
      <c r="BP423" s="1018">
        <f t="shared" ca="1" si="616"/>
        <v>162.63999999999999</v>
      </c>
      <c r="BQ423" s="1018">
        <f t="shared" ca="1" si="617"/>
        <v>285.02799999999996</v>
      </c>
      <c r="BR423" s="1018">
        <f t="shared" ca="1" si="618"/>
        <v>51.803914909975674</v>
      </c>
      <c r="BS423" s="1018">
        <f t="shared" ca="1" si="619"/>
        <v>115.89999999999998</v>
      </c>
      <c r="BT423" s="1018">
        <f t="shared" ca="1" si="620"/>
        <v>81.319999999999993</v>
      </c>
      <c r="BU423" s="1018">
        <f t="shared" ca="1" si="621"/>
        <v>22.93</v>
      </c>
      <c r="BV423" s="1018">
        <f t="shared" ca="1" si="622"/>
        <v>2.15</v>
      </c>
      <c r="BW423" s="1018">
        <v>0</v>
      </c>
      <c r="BX423" s="1018">
        <f t="shared" ca="1" si="623"/>
        <v>11.936385923957529</v>
      </c>
      <c r="BY423" s="1018">
        <f t="shared" ca="1" si="624"/>
        <v>57.229334308705177</v>
      </c>
      <c r="BZ423" s="1018">
        <f t="shared" ca="1" si="592"/>
        <v>19.47215409721413</v>
      </c>
      <c r="CA423" s="1018">
        <f t="shared" ca="1" si="593"/>
        <v>45.859999981655996</v>
      </c>
      <c r="CB423" s="1018">
        <f t="shared" ca="1" si="625"/>
        <v>4.5133587786259541</v>
      </c>
      <c r="CC423" s="1018">
        <f t="shared" si="594"/>
        <v>0</v>
      </c>
      <c r="CD423" s="1018">
        <f t="shared" ca="1" si="627"/>
        <v>158.19850713385708</v>
      </c>
      <c r="CE423" s="1018">
        <f t="shared" ca="1" si="573"/>
        <v>93.991926831362093</v>
      </c>
      <c r="CF423" s="1018">
        <f t="shared" ca="1" si="596"/>
        <v>7.5657130189565747</v>
      </c>
      <c r="CG423" s="1018">
        <f t="shared" ca="1" si="597"/>
        <v>12596.609548041939</v>
      </c>
    </row>
    <row r="424" spans="3:85" x14ac:dyDescent="0.25">
      <c r="D424" s="445"/>
      <c r="E424" s="444"/>
      <c r="F424" s="445"/>
      <c r="G424" s="444"/>
      <c r="H424" s="445"/>
      <c r="I424" s="444"/>
      <c r="J424" s="445"/>
      <c r="K424" s="445"/>
      <c r="L424" s="445"/>
      <c r="M424" s="445" t="s">
        <v>22</v>
      </c>
      <c r="N424" s="447">
        <v>0.375</v>
      </c>
      <c r="O424" s="445" t="s">
        <v>20</v>
      </c>
      <c r="P424" s="447">
        <v>3.9215686E-2</v>
      </c>
      <c r="Q424" s="445" t="s">
        <v>7</v>
      </c>
      <c r="R424" s="447">
        <v>0.19</v>
      </c>
      <c r="S424" s="445"/>
      <c r="T424" s="456">
        <v>3.9085679375460146E-6</v>
      </c>
      <c r="U424" s="444"/>
      <c r="V424" s="176">
        <f t="shared" si="560"/>
        <v>3.9085679375460146E-6</v>
      </c>
      <c r="W424" s="176">
        <f t="shared" si="626"/>
        <v>3.9085679375460146E-6</v>
      </c>
      <c r="X424" s="176">
        <f t="shared" si="626"/>
        <v>3.9085679375460146E-6</v>
      </c>
      <c r="Y424" s="34">
        <f>X424/Calculation_sheet!M$67</f>
        <v>3.9086478538015066E-6</v>
      </c>
      <c r="Z424" s="176">
        <f ca="1">IF(AN424&gt;0,Y424*Calculation_sheet!C$87,0)</f>
        <v>0</v>
      </c>
      <c r="AA424" s="176">
        <f t="shared" ca="1" si="613"/>
        <v>3.9086478538015066E-6</v>
      </c>
      <c r="AB424" s="176">
        <f ca="1">IF(AP424&gt;0,AA424*Calculation_sheet!C$94,0)</f>
        <v>0</v>
      </c>
      <c r="AC424" s="176">
        <f t="shared" ca="1" si="614"/>
        <v>3.9086478538015066E-6</v>
      </c>
      <c r="AD424" s="958">
        <f ca="1">AC424*Calculation_sheet!C$99</f>
        <v>2.3451887122809038E-6</v>
      </c>
      <c r="AE424" s="176">
        <f t="shared" ca="1" si="614"/>
        <v>1.5634591415206028E-6</v>
      </c>
      <c r="AF424" s="176">
        <f t="shared" ca="1" si="615"/>
        <v>3.9086478538015066E-6</v>
      </c>
      <c r="AG424" s="958">
        <f ca="1">AF424*User_sheet!B$77/100</f>
        <v>0</v>
      </c>
      <c r="AH424" s="313"/>
      <c r="AI424" s="2">
        <v>104</v>
      </c>
      <c r="AJ424" s="985"/>
      <c r="AK424" s="1020">
        <f t="shared" ca="1" si="591"/>
        <v>158.19850713385708</v>
      </c>
      <c r="AL424" s="954">
        <f ca="1">AK424/'103'!I$24</f>
        <v>0.35600226640530425</v>
      </c>
      <c r="AM424" s="954">
        <f ca="1">0.8*(AK424*30+'104'!D$17*0.34*30*1)</f>
        <v>6716.4774512125705</v>
      </c>
      <c r="AN424" s="954">
        <f ca="1">IF(AM424&lt;User_sheet!B$50,Y424,0)</f>
        <v>3.9086478538015066E-6</v>
      </c>
      <c r="AO424" s="954">
        <f ca="1">20-(User_sheet!B$57/('Freestanding '!AK424+'104'!D$17*1*0.34))</f>
        <v>-0.36781944012967571</v>
      </c>
      <c r="AP424" s="954">
        <f ca="1">IF(AO424&lt;User_sheet!B$59,0,BC424*AA424)</f>
        <v>0</v>
      </c>
      <c r="AQ424" s="985"/>
      <c r="AR424" s="2">
        <v>0.24</v>
      </c>
      <c r="AS424" s="2">
        <v>0.54</v>
      </c>
      <c r="AT424" s="2">
        <v>0.83</v>
      </c>
      <c r="AU424" s="2">
        <v>2</v>
      </c>
      <c r="AV424" s="2">
        <v>3.3</v>
      </c>
      <c r="AW424" s="2">
        <v>14536.85461731979</v>
      </c>
      <c r="AX424" s="2">
        <v>75022.04959166942</v>
      </c>
      <c r="AY424" s="2">
        <v>69245.59826015502</v>
      </c>
      <c r="AZ424" s="27">
        <v>0</v>
      </c>
      <c r="BA424" s="27">
        <v>0</v>
      </c>
      <c r="BB424" s="2">
        <v>0.6</v>
      </c>
      <c r="BC424" s="30">
        <v>0</v>
      </c>
      <c r="BD424" s="34">
        <v>1</v>
      </c>
      <c r="BE424" s="34">
        <v>0</v>
      </c>
      <c r="BF424" s="40">
        <v>0</v>
      </c>
      <c r="BG424" s="2">
        <v>0</v>
      </c>
      <c r="BH424" s="2">
        <v>1</v>
      </c>
      <c r="BI424" s="40">
        <v>0</v>
      </c>
      <c r="BJ424" s="2">
        <v>0</v>
      </c>
      <c r="BK424" s="2">
        <v>0</v>
      </c>
      <c r="BL424" s="2">
        <v>1</v>
      </c>
      <c r="BM424" s="40">
        <v>0</v>
      </c>
      <c r="BN424" s="958">
        <v>7.0000000000000007E-2</v>
      </c>
      <c r="BO424" s="50">
        <v>12</v>
      </c>
      <c r="BP424" s="1018">
        <f t="shared" ca="1" si="616"/>
        <v>162.63999999999999</v>
      </c>
      <c r="BQ424" s="1018">
        <f t="shared" ca="1" si="617"/>
        <v>285.02799999999996</v>
      </c>
      <c r="BR424" s="1018">
        <f t="shared" ca="1" si="618"/>
        <v>51.803914909975674</v>
      </c>
      <c r="BS424" s="1018">
        <f t="shared" ca="1" si="619"/>
        <v>115.89999999999998</v>
      </c>
      <c r="BT424" s="1018">
        <f t="shared" ca="1" si="620"/>
        <v>81.319999999999993</v>
      </c>
      <c r="BU424" s="1018">
        <f t="shared" ca="1" si="621"/>
        <v>22.93</v>
      </c>
      <c r="BV424" s="1018">
        <f t="shared" ca="1" si="622"/>
        <v>2.15</v>
      </c>
      <c r="BW424" s="1018">
        <v>0</v>
      </c>
      <c r="BX424" s="1018">
        <f t="shared" ca="1" si="623"/>
        <v>11.936385923957529</v>
      </c>
      <c r="BY424" s="1018">
        <f t="shared" ca="1" si="624"/>
        <v>57.229334308705177</v>
      </c>
      <c r="BZ424" s="1018">
        <f t="shared" ca="1" si="592"/>
        <v>19.47215409721413</v>
      </c>
      <c r="CA424" s="1018">
        <f t="shared" ca="1" si="593"/>
        <v>45.859999981655996</v>
      </c>
      <c r="CB424" s="1018">
        <f t="shared" ca="1" si="625"/>
        <v>4.5133587786259541</v>
      </c>
      <c r="CC424" s="1018">
        <f t="shared" si="594"/>
        <v>0</v>
      </c>
      <c r="CD424" s="1018">
        <f t="shared" ca="1" si="627"/>
        <v>158.19850713385708</v>
      </c>
      <c r="CE424" s="1018">
        <f t="shared" ca="1" si="573"/>
        <v>93.991926831362093</v>
      </c>
      <c r="CF424" s="1018">
        <f t="shared" ca="1" si="596"/>
        <v>7.5657130189565747</v>
      </c>
      <c r="CG424" s="1018">
        <f t="shared" ca="1" si="597"/>
        <v>12596.609548041939</v>
      </c>
    </row>
    <row r="425" spans="3:85" x14ac:dyDescent="0.25">
      <c r="C425" s="445" t="s">
        <v>14</v>
      </c>
      <c r="D425" s="447">
        <v>0.22259999999999999</v>
      </c>
      <c r="E425" s="444"/>
      <c r="F425" s="445"/>
      <c r="G425" s="444"/>
      <c r="H425" s="445"/>
      <c r="I425" s="444"/>
      <c r="J425" s="445"/>
      <c r="K425" s="448" t="s">
        <v>13</v>
      </c>
      <c r="L425" s="449">
        <v>1</v>
      </c>
      <c r="M425" s="445" t="s">
        <v>7</v>
      </c>
      <c r="N425" s="447">
        <v>0.125</v>
      </c>
      <c r="O425" s="445" t="s">
        <v>23</v>
      </c>
      <c r="P425" s="447">
        <v>1</v>
      </c>
      <c r="Q425" s="445" t="s">
        <v>7</v>
      </c>
      <c r="R425" s="447">
        <v>1</v>
      </c>
      <c r="S425" s="445"/>
      <c r="T425" s="456">
        <v>1.7485698790368904E-4</v>
      </c>
      <c r="U425" s="444"/>
      <c r="V425" s="176">
        <f t="shared" si="560"/>
        <v>1.7485698790368904E-4</v>
      </c>
      <c r="W425" s="176">
        <f t="shared" si="626"/>
        <v>1.7485698790368904E-4</v>
      </c>
      <c r="X425" s="176">
        <f t="shared" si="626"/>
        <v>1.7485698790368904E-4</v>
      </c>
      <c r="Y425" s="34">
        <f>X425/Calculation_sheet!M$67</f>
        <v>1.7486056310461767E-4</v>
      </c>
      <c r="Z425" s="176">
        <f ca="1">IF(AN425&gt;0,Y425*Calculation_sheet!C$87,0)</f>
        <v>0</v>
      </c>
      <c r="AA425" s="176">
        <f t="shared" ca="1" si="613"/>
        <v>1.7486056310461767E-4</v>
      </c>
      <c r="AB425" s="176">
        <f ca="1">IF(AP425&gt;0,AA425*Calculation_sheet!C$94,0)</f>
        <v>0</v>
      </c>
      <c r="AC425" s="176">
        <f t="shared" ca="1" si="614"/>
        <v>1.7486056310461767E-4</v>
      </c>
      <c r="AD425" s="958">
        <f ca="1">AC425*Calculation_sheet!C$99</f>
        <v>1.0491633786277059E-4</v>
      </c>
      <c r="AE425" s="176">
        <f t="shared" ca="1" si="614"/>
        <v>6.9944225241847072E-5</v>
      </c>
      <c r="AF425" s="176">
        <f t="shared" ca="1" si="615"/>
        <v>1.7486056310461767E-4</v>
      </c>
      <c r="AG425" s="958">
        <f ca="1">AF425*User_sheet!B$77/100</f>
        <v>0</v>
      </c>
      <c r="AH425" s="313"/>
      <c r="AI425" s="2">
        <v>104</v>
      </c>
      <c r="AJ425" s="985"/>
      <c r="AK425" s="1020">
        <f t="shared" ca="1" si="591"/>
        <v>158.19850713385708</v>
      </c>
      <c r="AL425" s="954">
        <f ca="1">AK425/'103'!I$24</f>
        <v>0.35600226640530425</v>
      </c>
      <c r="AM425" s="954">
        <f ca="1">0.8*(AK425*30+'104'!D$17*0.34*30*1)</f>
        <v>6716.4774512125705</v>
      </c>
      <c r="AN425" s="954">
        <f ca="1">IF(AM425&lt;User_sheet!B$50,Y425,0)</f>
        <v>1.7486056310461767E-4</v>
      </c>
      <c r="AO425" s="954">
        <f ca="1">20-(User_sheet!B$57/('Freestanding '!AK425+'104'!D$17*1*0.34))</f>
        <v>-0.36781944012967571</v>
      </c>
      <c r="AP425" s="954">
        <f ca="1">IF(AO425&lt;User_sheet!B$59,0,BC425*AA425)</f>
        <v>0</v>
      </c>
      <c r="AQ425" s="985"/>
      <c r="AR425" s="2">
        <v>0.24</v>
      </c>
      <c r="AS425" s="2">
        <v>0.54</v>
      </c>
      <c r="AT425" s="2">
        <v>0.83</v>
      </c>
      <c r="AU425" s="2">
        <v>2</v>
      </c>
      <c r="AV425" s="2">
        <v>3.3</v>
      </c>
      <c r="AW425" s="2">
        <v>14536.85461731979</v>
      </c>
      <c r="AX425" s="2">
        <v>75022.04959166942</v>
      </c>
      <c r="AY425" s="2">
        <v>69245.59826015502</v>
      </c>
      <c r="AZ425" s="27">
        <v>0</v>
      </c>
      <c r="BA425" s="27">
        <v>0</v>
      </c>
      <c r="BB425" s="2">
        <v>0.6</v>
      </c>
      <c r="BC425" s="30">
        <v>0</v>
      </c>
      <c r="BD425" s="34">
        <v>0</v>
      </c>
      <c r="BE425" s="34">
        <v>1</v>
      </c>
      <c r="BF425" s="40">
        <v>0</v>
      </c>
      <c r="BG425" s="2">
        <v>0</v>
      </c>
      <c r="BH425" s="2">
        <v>0</v>
      </c>
      <c r="BI425" s="40">
        <v>1</v>
      </c>
      <c r="BJ425" s="2">
        <v>0</v>
      </c>
      <c r="BK425" s="2">
        <v>0</v>
      </c>
      <c r="BL425" s="2">
        <v>1</v>
      </c>
      <c r="BM425" s="40">
        <v>0</v>
      </c>
      <c r="BN425" s="958">
        <v>7.0000000000000007E-2</v>
      </c>
      <c r="BO425" s="50">
        <v>12</v>
      </c>
      <c r="BP425" s="1018">
        <f t="shared" ca="1" si="616"/>
        <v>162.63999999999999</v>
      </c>
      <c r="BQ425" s="1018">
        <f t="shared" ca="1" si="617"/>
        <v>285.02799999999996</v>
      </c>
      <c r="BR425" s="1018">
        <f t="shared" ca="1" si="618"/>
        <v>51.803914909975674</v>
      </c>
      <c r="BS425" s="1018">
        <f t="shared" ca="1" si="619"/>
        <v>115.89999999999998</v>
      </c>
      <c r="BT425" s="1018">
        <f t="shared" ca="1" si="620"/>
        <v>81.319999999999993</v>
      </c>
      <c r="BU425" s="1018">
        <f t="shared" ca="1" si="621"/>
        <v>22.93</v>
      </c>
      <c r="BV425" s="1018">
        <f t="shared" ca="1" si="622"/>
        <v>2.15</v>
      </c>
      <c r="BW425" s="1018">
        <v>0</v>
      </c>
      <c r="BX425" s="1018">
        <f t="shared" ca="1" si="623"/>
        <v>11.936385923957529</v>
      </c>
      <c r="BY425" s="1018">
        <f t="shared" ca="1" si="624"/>
        <v>57.229334308705177</v>
      </c>
      <c r="BZ425" s="1018">
        <f t="shared" ca="1" si="592"/>
        <v>19.47215409721413</v>
      </c>
      <c r="CA425" s="1018">
        <f t="shared" ca="1" si="593"/>
        <v>45.859999981655996</v>
      </c>
      <c r="CB425" s="1018">
        <f t="shared" ca="1" si="625"/>
        <v>4.5133587786259541</v>
      </c>
      <c r="CC425" s="1018">
        <f t="shared" si="594"/>
        <v>0</v>
      </c>
      <c r="CD425" s="1018">
        <f t="shared" ca="1" si="627"/>
        <v>158.19850713385708</v>
      </c>
      <c r="CE425" s="1018">
        <f t="shared" ca="1" si="573"/>
        <v>93.991926831362093</v>
      </c>
      <c r="CF425" s="1018">
        <f t="shared" ca="1" si="596"/>
        <v>7.5657130189565747</v>
      </c>
      <c r="CG425" s="1018">
        <f t="shared" ca="1" si="597"/>
        <v>12596.609548041939</v>
      </c>
    </row>
    <row r="426" spans="3:85" s="14" customFormat="1" x14ac:dyDescent="0.25">
      <c r="C426" s="453"/>
      <c r="D426" s="453"/>
      <c r="E426" s="452"/>
      <c r="F426" s="453"/>
      <c r="G426" s="452"/>
      <c r="H426" s="453"/>
      <c r="I426" s="452"/>
      <c r="J426" s="453"/>
      <c r="K426" s="454"/>
      <c r="L426" s="453"/>
      <c r="M426" s="453"/>
      <c r="N426" s="453"/>
      <c r="O426" s="453"/>
      <c r="P426" s="453"/>
      <c r="Q426" s="453"/>
      <c r="R426" s="453"/>
      <c r="S426" s="453"/>
      <c r="T426" s="457"/>
      <c r="U426" s="452"/>
      <c r="V426" s="292"/>
      <c r="W426" s="292"/>
      <c r="X426" s="292"/>
      <c r="Y426" s="277"/>
      <c r="Z426" s="292"/>
      <c r="AA426" s="292"/>
      <c r="AB426" s="292"/>
      <c r="AC426" s="292"/>
      <c r="AD426" s="277"/>
      <c r="AE426" s="292"/>
      <c r="AF426" s="292"/>
      <c r="AG426" s="277"/>
      <c r="AH426" s="313"/>
      <c r="AI426" s="28"/>
      <c r="AJ426" s="985"/>
      <c r="AK426" s="1020">
        <f t="shared" si="591"/>
        <v>0</v>
      </c>
      <c r="AL426" s="955"/>
      <c r="AM426" s="955"/>
      <c r="AN426" s="955"/>
      <c r="AO426" s="955"/>
      <c r="AP426" s="955"/>
      <c r="AQ426" s="985"/>
      <c r="AR426" s="28"/>
      <c r="AS426" s="28"/>
      <c r="AT426" s="28"/>
      <c r="AU426" s="28"/>
      <c r="AV426" s="28"/>
      <c r="AW426" s="28"/>
      <c r="AX426" s="28"/>
      <c r="AY426" s="28"/>
      <c r="AZ426" s="28"/>
      <c r="BA426" s="28"/>
      <c r="BB426" s="28"/>
      <c r="BC426" s="45"/>
      <c r="BD426" s="277"/>
      <c r="BE426" s="277"/>
      <c r="BF426" s="49"/>
      <c r="BG426" s="28"/>
      <c r="BH426" s="28"/>
      <c r="BI426" s="49"/>
      <c r="BJ426" s="28"/>
      <c r="BK426" s="28"/>
      <c r="BL426" s="28"/>
      <c r="BM426" s="49"/>
      <c r="BN426" s="277"/>
      <c r="BO426" s="49"/>
      <c r="BP426" s="946"/>
      <c r="BQ426" s="946"/>
      <c r="BR426" s="946"/>
      <c r="BS426" s="946"/>
      <c r="BT426" s="946"/>
      <c r="BU426" s="946"/>
      <c r="BV426" s="946"/>
      <c r="BW426" s="946"/>
      <c r="BX426" s="946"/>
      <c r="BY426" s="946"/>
      <c r="BZ426" s="946"/>
      <c r="CA426" s="946"/>
      <c r="CB426" s="946"/>
      <c r="CC426" s="946"/>
      <c r="CD426" s="946"/>
      <c r="CE426" s="946"/>
      <c r="CF426" s="946"/>
      <c r="CG426" s="946"/>
    </row>
    <row r="427" spans="3:85" x14ac:dyDescent="0.25">
      <c r="C427" s="445"/>
      <c r="D427" s="450"/>
      <c r="E427" s="444"/>
      <c r="F427" s="445"/>
      <c r="G427" s="444"/>
      <c r="H427" s="445"/>
      <c r="I427" s="444"/>
      <c r="J427" s="445"/>
      <c r="K427" s="448"/>
      <c r="L427" s="450"/>
      <c r="M427" s="445"/>
      <c r="N427" s="445"/>
      <c r="O427" s="445"/>
      <c r="P427" s="445"/>
      <c r="Q427" s="445" t="s">
        <v>16</v>
      </c>
      <c r="R427" s="447">
        <v>0.81069999999999998</v>
      </c>
      <c r="S427" s="445"/>
      <c r="T427" s="456">
        <v>0</v>
      </c>
      <c r="U427" s="444"/>
      <c r="V427" s="176">
        <f t="shared" si="560"/>
        <v>0</v>
      </c>
      <c r="W427" s="176">
        <f>V427</f>
        <v>0</v>
      </c>
      <c r="X427" s="176">
        <f>W427-W427*Calculation_sheet!O$79</f>
        <v>0</v>
      </c>
      <c r="Y427" s="34">
        <f>X427/Calculation_sheet!M$67</f>
        <v>0</v>
      </c>
      <c r="Z427" s="176">
        <f ca="1">IF(AN427&gt;0,Y427*Calculation_sheet!C$87,0)</f>
        <v>0</v>
      </c>
      <c r="AA427" s="176">
        <f t="shared" ref="AA427:AA435" ca="1" si="628">Y427-Z427</f>
        <v>0</v>
      </c>
      <c r="AB427" s="176">
        <f ca="1">IF(AP427&gt;0,AA427*Calculation_sheet!C$94,0)</f>
        <v>0</v>
      </c>
      <c r="AC427" s="176">
        <f t="shared" ref="AC427:AE435" ca="1" si="629">AA427-AB427</f>
        <v>0</v>
      </c>
      <c r="AD427" s="958">
        <f ca="1">AC427*Calculation_sheet!C$99</f>
        <v>0</v>
      </c>
      <c r="AE427" s="176">
        <f t="shared" ca="1" si="629"/>
        <v>0</v>
      </c>
      <c r="AF427" s="176">
        <f t="shared" ref="AF427:AF435" ca="1" si="630">Y427-AB427</f>
        <v>0</v>
      </c>
      <c r="AG427" s="958">
        <f ca="1">AF427*User_sheet!B$77/100</f>
        <v>0</v>
      </c>
      <c r="AH427" s="313"/>
      <c r="AI427" s="2">
        <v>104</v>
      </c>
      <c r="AJ427" s="985"/>
      <c r="AK427" s="1020">
        <f t="shared" ca="1" si="591"/>
        <v>160.50593412353626</v>
      </c>
      <c r="AL427" s="954">
        <f ca="1">AK427/'103'!I$24</f>
        <v>0.36119478846365405</v>
      </c>
      <c r="AM427" s="954">
        <f ca="1">0.8*(AK427*30+'104'!D$17*0.34*30*1)</f>
        <v>6771.8556989648705</v>
      </c>
      <c r="AN427" s="954">
        <f ca="1">IF(AM427&lt;User_sheet!B$50,Y427,0)</f>
        <v>0</v>
      </c>
      <c r="AO427" s="954">
        <f ca="1">20-(User_sheet!B$57/('Freestanding '!AK427+'104'!D$17*1*0.34))</f>
        <v>-0.20125739255059827</v>
      </c>
      <c r="AP427" s="954">
        <f ca="1">IF(AO427&lt;User_sheet!B$59,0,BC427*AA427)</f>
        <v>0</v>
      </c>
      <c r="AQ427" s="985"/>
      <c r="AR427" s="2">
        <v>0.47</v>
      </c>
      <c r="AS427" s="2">
        <v>0.54</v>
      </c>
      <c r="AT427" s="2">
        <v>0.45</v>
      </c>
      <c r="AU427" s="2">
        <v>2</v>
      </c>
      <c r="AV427" s="2">
        <v>3.3</v>
      </c>
      <c r="AW427" s="2">
        <v>12848.541887298286</v>
      </c>
      <c r="AX427" s="2">
        <v>75022.04959166942</v>
      </c>
      <c r="AY427" s="2">
        <v>65937.809199439725</v>
      </c>
      <c r="AZ427" s="27">
        <v>0</v>
      </c>
      <c r="BA427" s="27">
        <v>0</v>
      </c>
      <c r="BB427" s="2">
        <v>0.6</v>
      </c>
      <c r="BC427" s="30">
        <v>1</v>
      </c>
      <c r="BD427" s="34">
        <v>0</v>
      </c>
      <c r="BE427" s="34">
        <v>0</v>
      </c>
      <c r="BF427" s="40">
        <v>0</v>
      </c>
      <c r="BG427" s="2">
        <v>1</v>
      </c>
      <c r="BH427" s="2">
        <v>0</v>
      </c>
      <c r="BI427" s="40">
        <v>0</v>
      </c>
      <c r="BJ427" s="2">
        <v>1</v>
      </c>
      <c r="BK427" s="2">
        <v>0</v>
      </c>
      <c r="BL427" s="2">
        <v>0</v>
      </c>
      <c r="BM427" s="40">
        <v>0</v>
      </c>
      <c r="BN427" s="958">
        <v>7.0000000000000007E-2</v>
      </c>
      <c r="BO427" s="50">
        <v>12</v>
      </c>
      <c r="BP427" s="1018">
        <f t="shared" ref="BP427:BP435" ca="1" si="631">INDIRECT("'"&amp;AI427&amp;"'!"&amp;"B2")</f>
        <v>162.63999999999999</v>
      </c>
      <c r="BQ427" s="1018">
        <f t="shared" ref="BQ427:BQ435" ca="1" si="632">INDIRECT("'"&amp;AI427&amp;"'!"&amp;"C12")+INDIRECT("'"&amp;AI427&amp;"'!"&amp;"C13")+INDIRECT("'"&amp;AI427&amp;"'!"&amp;"C14")+INDIRECT("'"&amp;AI427&amp;"'!"&amp;"C15")+INDIRECT("'"&amp;AI427&amp;"'!"&amp;"C17")</f>
        <v>285.02799999999996</v>
      </c>
      <c r="BR427" s="1018">
        <f t="shared" ref="BR427:BR435" ca="1" si="633">INDIRECT("'"&amp;AI427&amp;"'!"&amp;"G5")</f>
        <v>51.803914909975674</v>
      </c>
      <c r="BS427" s="1018">
        <f t="shared" ref="BS427:BS435" ca="1" si="634">INDIRECT("'"&amp;AI427&amp;"'!"&amp;"G4")</f>
        <v>115.89999999999998</v>
      </c>
      <c r="BT427" s="1018">
        <f t="shared" ref="BT427:BT435" ca="1" si="635">INDIRECT("'"&amp;AI427&amp;"'!"&amp;"G6")</f>
        <v>81.319999999999993</v>
      </c>
      <c r="BU427" s="1018">
        <f t="shared" ref="BU427:BU435" ca="1" si="636">INDIRECT("'"&amp;AI427&amp;"'!"&amp;"G2")</f>
        <v>22.93</v>
      </c>
      <c r="BV427" s="1018">
        <f t="shared" ref="BV427:BV435" ca="1" si="637">INDIRECT("'"&amp;AI427&amp;"'!"&amp;"G3")</f>
        <v>2.15</v>
      </c>
      <c r="BW427" s="1018">
        <v>0</v>
      </c>
      <c r="BX427" s="1018">
        <f t="shared" ref="BX427:BX435" ca="1" si="638">IF(BR427=0,0,1/(1/(BR427*$BY$3)+1/(BR427*AR427)+1/(BR427*$BY$4)))</f>
        <v>22.513722112891656</v>
      </c>
      <c r="BY427" s="1018">
        <f t="shared" ref="BY427:BY435" ca="1" si="639">IF(BS427=0,0,1/(1/(BS427*$BY$3)+1/(BS427*AS427)+1/(BS427*$BY$4)))</f>
        <v>57.229334308705177</v>
      </c>
      <c r="BZ427" s="1018">
        <f t="shared" ca="1" si="592"/>
        <v>11.202244897959185</v>
      </c>
      <c r="CA427" s="1018">
        <f t="shared" ca="1" si="593"/>
        <v>45.859999981655996</v>
      </c>
      <c r="CB427" s="1018">
        <f t="shared" ref="CB427:CB435" ca="1" si="640">IF(BV427=0,0,1/(1/(BV427*$BY$3)+1/(BV427*AV427)+1/(BV427*$BY$4)))</f>
        <v>4.5133587786259541</v>
      </c>
      <c r="CC427" s="1018">
        <f t="shared" si="594"/>
        <v>0</v>
      </c>
      <c r="CD427" s="1018">
        <f ca="1">SUM(BX427:CC427)+(BR427+BS427+BT427+BU427+BV427)*BN427</f>
        <v>160.50593412353626</v>
      </c>
      <c r="CE427" s="1018">
        <f t="shared" ca="1" si="573"/>
        <v>93.991926831362093</v>
      </c>
      <c r="CF427" s="1018">
        <f t="shared" ca="1" si="596"/>
        <v>7.6349358286469506</v>
      </c>
      <c r="CG427" s="1018">
        <f t="shared" ca="1" si="597"/>
        <v>12711.862757264027</v>
      </c>
    </row>
    <row r="428" spans="3:85" x14ac:dyDescent="0.25">
      <c r="C428" s="445"/>
      <c r="D428" s="450"/>
      <c r="E428" s="444"/>
      <c r="F428" s="445"/>
      <c r="G428" s="444"/>
      <c r="H428" s="445"/>
      <c r="I428" s="444"/>
      <c r="J428" s="445"/>
      <c r="K428" s="448"/>
      <c r="L428" s="450"/>
      <c r="M428" s="445"/>
      <c r="N428" s="445"/>
      <c r="O428" s="445" t="s">
        <v>18</v>
      </c>
      <c r="P428" s="447">
        <v>0.962121212</v>
      </c>
      <c r="Q428" s="445" t="s">
        <v>7</v>
      </c>
      <c r="R428" s="447">
        <v>0.1893</v>
      </c>
      <c r="S428" s="445"/>
      <c r="T428" s="456">
        <v>0</v>
      </c>
      <c r="U428" s="444"/>
      <c r="V428" s="176">
        <f t="shared" si="560"/>
        <v>0</v>
      </c>
      <c r="W428" s="176">
        <f t="shared" ref="W428:W435" si="641">V428</f>
        <v>0</v>
      </c>
      <c r="X428" s="176">
        <f>W428-W428*Calculation_sheet!O$79</f>
        <v>0</v>
      </c>
      <c r="Y428" s="34">
        <f>X428/Calculation_sheet!M$67</f>
        <v>0</v>
      </c>
      <c r="Z428" s="176">
        <f ca="1">IF(AN428&gt;0,Y428*Calculation_sheet!C$87,0)</f>
        <v>0</v>
      </c>
      <c r="AA428" s="176">
        <f t="shared" ca="1" si="628"/>
        <v>0</v>
      </c>
      <c r="AB428" s="176">
        <f ca="1">IF(AP428&gt;0,AA428*Calculation_sheet!C$94,0)</f>
        <v>0</v>
      </c>
      <c r="AC428" s="176">
        <f t="shared" ca="1" si="629"/>
        <v>0</v>
      </c>
      <c r="AD428" s="958">
        <f ca="1">AC428*Calculation_sheet!C$99</f>
        <v>0</v>
      </c>
      <c r="AE428" s="176">
        <f t="shared" ca="1" si="629"/>
        <v>0</v>
      </c>
      <c r="AF428" s="176">
        <f t="shared" ca="1" si="630"/>
        <v>0</v>
      </c>
      <c r="AG428" s="958">
        <f ca="1">AF428*User_sheet!B$77/100</f>
        <v>0</v>
      </c>
      <c r="AH428" s="313"/>
      <c r="AI428" s="2">
        <v>104</v>
      </c>
      <c r="AJ428" s="985"/>
      <c r="AK428" s="1020">
        <f t="shared" ca="1" si="591"/>
        <v>160.50593412353626</v>
      </c>
      <c r="AL428" s="954">
        <f ca="1">AK428/'103'!I$24</f>
        <v>0.36119478846365405</v>
      </c>
      <c r="AM428" s="954">
        <f ca="1">0.8*(AK428*30+'104'!D$17*0.34*30*1)</f>
        <v>6771.8556989648705</v>
      </c>
      <c r="AN428" s="954">
        <f ca="1">IF(AM428&lt;User_sheet!B$50,Y428,0)</f>
        <v>0</v>
      </c>
      <c r="AO428" s="954">
        <f ca="1">20-(User_sheet!B$57/('Freestanding '!AK428+'104'!D$17*1*0.34))</f>
        <v>-0.20125739255059827</v>
      </c>
      <c r="AP428" s="954">
        <f ca="1">IF(AO428&lt;User_sheet!B$59,0,BC428*AA428)</f>
        <v>0</v>
      </c>
      <c r="AQ428" s="985"/>
      <c r="AR428" s="2">
        <v>0.47</v>
      </c>
      <c r="AS428" s="2">
        <v>0.54</v>
      </c>
      <c r="AT428" s="2">
        <v>0.45</v>
      </c>
      <c r="AU428" s="2">
        <v>2</v>
      </c>
      <c r="AV428" s="2">
        <v>3.3</v>
      </c>
      <c r="AW428" s="2">
        <v>12848.541887298286</v>
      </c>
      <c r="AX428" s="2">
        <v>75022.04959166942</v>
      </c>
      <c r="AY428" s="2">
        <v>65937.809199439725</v>
      </c>
      <c r="AZ428" s="27">
        <v>0</v>
      </c>
      <c r="BA428" s="27">
        <v>0</v>
      </c>
      <c r="BB428" s="2">
        <v>0.6</v>
      </c>
      <c r="BC428" s="30">
        <v>1</v>
      </c>
      <c r="BD428" s="34">
        <v>0</v>
      </c>
      <c r="BE428" s="34">
        <v>0</v>
      </c>
      <c r="BF428" s="40">
        <v>0</v>
      </c>
      <c r="BG428" s="2">
        <v>1</v>
      </c>
      <c r="BH428" s="2">
        <v>0</v>
      </c>
      <c r="BI428" s="40">
        <v>0</v>
      </c>
      <c r="BJ428" s="2">
        <v>0</v>
      </c>
      <c r="BK428" s="2">
        <v>0</v>
      </c>
      <c r="BL428" s="2">
        <v>1</v>
      </c>
      <c r="BM428" s="40">
        <v>0</v>
      </c>
      <c r="BN428" s="958">
        <v>7.0000000000000007E-2</v>
      </c>
      <c r="BO428" s="50">
        <v>12</v>
      </c>
      <c r="BP428" s="1018">
        <f t="shared" ca="1" si="631"/>
        <v>162.63999999999999</v>
      </c>
      <c r="BQ428" s="1018">
        <f t="shared" ca="1" si="632"/>
        <v>285.02799999999996</v>
      </c>
      <c r="BR428" s="1018">
        <f t="shared" ca="1" si="633"/>
        <v>51.803914909975674</v>
      </c>
      <c r="BS428" s="1018">
        <f t="shared" ca="1" si="634"/>
        <v>115.89999999999998</v>
      </c>
      <c r="BT428" s="1018">
        <f t="shared" ca="1" si="635"/>
        <v>81.319999999999993</v>
      </c>
      <c r="BU428" s="1018">
        <f t="shared" ca="1" si="636"/>
        <v>22.93</v>
      </c>
      <c r="BV428" s="1018">
        <f t="shared" ca="1" si="637"/>
        <v>2.15</v>
      </c>
      <c r="BW428" s="1018">
        <v>0</v>
      </c>
      <c r="BX428" s="1018">
        <f t="shared" ca="1" si="638"/>
        <v>22.513722112891656</v>
      </c>
      <c r="BY428" s="1018">
        <f t="shared" ca="1" si="639"/>
        <v>57.229334308705177</v>
      </c>
      <c r="BZ428" s="1018">
        <f t="shared" ca="1" si="592"/>
        <v>11.202244897959185</v>
      </c>
      <c r="CA428" s="1018">
        <f t="shared" ca="1" si="593"/>
        <v>45.859999981655996</v>
      </c>
      <c r="CB428" s="1018">
        <f t="shared" ca="1" si="640"/>
        <v>4.5133587786259541</v>
      </c>
      <c r="CC428" s="1018">
        <f t="shared" si="594"/>
        <v>0</v>
      </c>
      <c r="CD428" s="1018">
        <f t="shared" ref="CD428:CD435" ca="1" si="642">SUM(BX428:CC428)+(BR428+BS428+BT428+BU428+BV428)*BN428</f>
        <v>160.50593412353626</v>
      </c>
      <c r="CE428" s="1018">
        <f t="shared" ca="1" si="573"/>
        <v>93.991926831362093</v>
      </c>
      <c r="CF428" s="1018">
        <f t="shared" ca="1" si="596"/>
        <v>7.6349358286469506</v>
      </c>
      <c r="CG428" s="1018">
        <f t="shared" ca="1" si="597"/>
        <v>12711.862757264027</v>
      </c>
    </row>
    <row r="429" spans="3:85" x14ac:dyDescent="0.25">
      <c r="C429" s="445"/>
      <c r="D429" s="450"/>
      <c r="E429" s="444"/>
      <c r="F429" s="445"/>
      <c r="G429" s="444"/>
      <c r="H429" s="445"/>
      <c r="I429" s="444"/>
      <c r="J429" s="445"/>
      <c r="K429" s="448"/>
      <c r="L429" s="450"/>
      <c r="M429" s="445"/>
      <c r="N429" s="445"/>
      <c r="O429" s="445"/>
      <c r="P429" s="445"/>
      <c r="Q429" s="445" t="s">
        <v>16</v>
      </c>
      <c r="R429" s="447">
        <v>0.81069999999999998</v>
      </c>
      <c r="S429" s="445"/>
      <c r="T429" s="456">
        <v>0</v>
      </c>
      <c r="U429" s="444"/>
      <c r="V429" s="176">
        <f t="shared" si="560"/>
        <v>0</v>
      </c>
      <c r="W429" s="176">
        <f t="shared" si="641"/>
        <v>0</v>
      </c>
      <c r="X429" s="176">
        <f>W429-W429*Calculation_sheet!O$79</f>
        <v>0</v>
      </c>
      <c r="Y429" s="34">
        <f>X429/Calculation_sheet!M$67</f>
        <v>0</v>
      </c>
      <c r="Z429" s="176">
        <f ca="1">IF(AN429&gt;0,Y429*Calculation_sheet!C$87,0)</f>
        <v>0</v>
      </c>
      <c r="AA429" s="176">
        <f t="shared" ca="1" si="628"/>
        <v>0</v>
      </c>
      <c r="AB429" s="176">
        <f ca="1">IF(AP429&gt;0,AA429*Calculation_sheet!C$94,0)</f>
        <v>0</v>
      </c>
      <c r="AC429" s="176">
        <f t="shared" ca="1" si="629"/>
        <v>0</v>
      </c>
      <c r="AD429" s="958">
        <f ca="1">AC429*Calculation_sheet!C$99</f>
        <v>0</v>
      </c>
      <c r="AE429" s="176">
        <f t="shared" ca="1" si="629"/>
        <v>0</v>
      </c>
      <c r="AF429" s="176">
        <f t="shared" ca="1" si="630"/>
        <v>0</v>
      </c>
      <c r="AG429" s="958">
        <f ca="1">AF429*User_sheet!B$77/100</f>
        <v>0</v>
      </c>
      <c r="AH429" s="313"/>
      <c r="AI429" s="2">
        <v>104</v>
      </c>
      <c r="AJ429" s="985"/>
      <c r="AK429" s="1020">
        <f t="shared" ca="1" si="591"/>
        <v>160.50593412353626</v>
      </c>
      <c r="AL429" s="954">
        <f ca="1">AK429/'103'!I$24</f>
        <v>0.36119478846365405</v>
      </c>
      <c r="AM429" s="954">
        <f ca="1">0.8*(AK429*30+'104'!D$17*0.34*30*1)</f>
        <v>6771.8556989648705</v>
      </c>
      <c r="AN429" s="954">
        <f ca="1">IF(AM429&lt;User_sheet!B$50,Y429,0)</f>
        <v>0</v>
      </c>
      <c r="AO429" s="954">
        <f ca="1">20-(User_sheet!B$57/('Freestanding '!AK429+'104'!D$17*1*0.34))</f>
        <v>-0.20125739255059827</v>
      </c>
      <c r="AP429" s="954">
        <f ca="1">IF(AO429&lt;User_sheet!B$59,0,BC429*AA429)</f>
        <v>0</v>
      </c>
      <c r="AQ429" s="985"/>
      <c r="AR429" s="2">
        <v>0.47</v>
      </c>
      <c r="AS429" s="2">
        <v>0.54</v>
      </c>
      <c r="AT429" s="2">
        <v>0.45</v>
      </c>
      <c r="AU429" s="2">
        <v>2</v>
      </c>
      <c r="AV429" s="2">
        <v>3.3</v>
      </c>
      <c r="AW429" s="2">
        <v>12848.541887298286</v>
      </c>
      <c r="AX429" s="2">
        <v>75022.04959166942</v>
      </c>
      <c r="AY429" s="2">
        <v>65937.809199439725</v>
      </c>
      <c r="AZ429" s="27">
        <v>0</v>
      </c>
      <c r="BA429" s="27">
        <v>0</v>
      </c>
      <c r="BB429" s="2">
        <v>0.6</v>
      </c>
      <c r="BC429" s="30">
        <v>1</v>
      </c>
      <c r="BD429" s="34">
        <v>0</v>
      </c>
      <c r="BE429" s="34">
        <v>0</v>
      </c>
      <c r="BF429" s="40">
        <v>0</v>
      </c>
      <c r="BG429" s="2">
        <v>0</v>
      </c>
      <c r="BH429" s="2">
        <v>1</v>
      </c>
      <c r="BI429" s="40">
        <v>0</v>
      </c>
      <c r="BJ429" s="2">
        <v>1</v>
      </c>
      <c r="BK429" s="2">
        <v>0</v>
      </c>
      <c r="BL429" s="2">
        <v>0</v>
      </c>
      <c r="BM429" s="40">
        <v>0</v>
      </c>
      <c r="BN429" s="958">
        <v>7.0000000000000007E-2</v>
      </c>
      <c r="BO429" s="50">
        <v>12</v>
      </c>
      <c r="BP429" s="1018">
        <f t="shared" ca="1" si="631"/>
        <v>162.63999999999999</v>
      </c>
      <c r="BQ429" s="1018">
        <f t="shared" ca="1" si="632"/>
        <v>285.02799999999996</v>
      </c>
      <c r="BR429" s="1018">
        <f t="shared" ca="1" si="633"/>
        <v>51.803914909975674</v>
      </c>
      <c r="BS429" s="1018">
        <f t="shared" ca="1" si="634"/>
        <v>115.89999999999998</v>
      </c>
      <c r="BT429" s="1018">
        <f t="shared" ca="1" si="635"/>
        <v>81.319999999999993</v>
      </c>
      <c r="BU429" s="1018">
        <f t="shared" ca="1" si="636"/>
        <v>22.93</v>
      </c>
      <c r="BV429" s="1018">
        <f t="shared" ca="1" si="637"/>
        <v>2.15</v>
      </c>
      <c r="BW429" s="1018">
        <v>0</v>
      </c>
      <c r="BX429" s="1018">
        <f t="shared" ca="1" si="638"/>
        <v>22.513722112891656</v>
      </c>
      <c r="BY429" s="1018">
        <f t="shared" ca="1" si="639"/>
        <v>57.229334308705177</v>
      </c>
      <c r="BZ429" s="1018">
        <f t="shared" ca="1" si="592"/>
        <v>11.202244897959185</v>
      </c>
      <c r="CA429" s="1018">
        <f t="shared" ca="1" si="593"/>
        <v>45.859999981655996</v>
      </c>
      <c r="CB429" s="1018">
        <f t="shared" ca="1" si="640"/>
        <v>4.5133587786259541</v>
      </c>
      <c r="CC429" s="1018">
        <f t="shared" si="594"/>
        <v>0</v>
      </c>
      <c r="CD429" s="1018">
        <f t="shared" ca="1" si="642"/>
        <v>160.50593412353626</v>
      </c>
      <c r="CE429" s="1018">
        <f t="shared" ca="1" si="573"/>
        <v>93.991926831362093</v>
      </c>
      <c r="CF429" s="1018">
        <f t="shared" ca="1" si="596"/>
        <v>7.6349358286469506</v>
      </c>
      <c r="CG429" s="1018">
        <f t="shared" ca="1" si="597"/>
        <v>12711.862757264027</v>
      </c>
    </row>
    <row r="430" spans="3:85" x14ac:dyDescent="0.25">
      <c r="C430" s="445"/>
      <c r="D430" s="450"/>
      <c r="E430" s="444"/>
      <c r="F430" s="445"/>
      <c r="G430" s="444"/>
      <c r="H430" s="445"/>
      <c r="I430" s="444"/>
      <c r="J430" s="445"/>
      <c r="K430" s="448"/>
      <c r="L430" s="450"/>
      <c r="M430" s="445" t="s">
        <v>16</v>
      </c>
      <c r="N430" s="447">
        <v>0.5</v>
      </c>
      <c r="O430" s="445" t="s">
        <v>19</v>
      </c>
      <c r="P430" s="447">
        <v>3.7878787999999997E-2</v>
      </c>
      <c r="Q430" s="445" t="s">
        <v>7</v>
      </c>
      <c r="R430" s="447">
        <v>0.1893</v>
      </c>
      <c r="S430" s="445"/>
      <c r="T430" s="456">
        <v>0</v>
      </c>
      <c r="U430" s="444"/>
      <c r="V430" s="176">
        <f t="shared" si="560"/>
        <v>0</v>
      </c>
      <c r="W430" s="176">
        <f t="shared" si="641"/>
        <v>0</v>
      </c>
      <c r="X430" s="176">
        <f>W430-W430*Calculation_sheet!O$79</f>
        <v>0</v>
      </c>
      <c r="Y430" s="34">
        <f>X430/Calculation_sheet!M$67</f>
        <v>0</v>
      </c>
      <c r="Z430" s="176">
        <f ca="1">IF(AN430&gt;0,Y430*Calculation_sheet!C$87,0)</f>
        <v>0</v>
      </c>
      <c r="AA430" s="176">
        <f t="shared" ca="1" si="628"/>
        <v>0</v>
      </c>
      <c r="AB430" s="176">
        <f ca="1">IF(AP430&gt;0,AA430*Calculation_sheet!C$94,0)</f>
        <v>0</v>
      </c>
      <c r="AC430" s="176">
        <f t="shared" ca="1" si="629"/>
        <v>0</v>
      </c>
      <c r="AD430" s="958">
        <f ca="1">AC430*Calculation_sheet!C$99</f>
        <v>0</v>
      </c>
      <c r="AE430" s="176">
        <f t="shared" ca="1" si="629"/>
        <v>0</v>
      </c>
      <c r="AF430" s="176">
        <f t="shared" ca="1" si="630"/>
        <v>0</v>
      </c>
      <c r="AG430" s="958">
        <f ca="1">AF430*User_sheet!B$77/100</f>
        <v>0</v>
      </c>
      <c r="AH430" s="313"/>
      <c r="AI430" s="2">
        <v>104</v>
      </c>
      <c r="AJ430" s="985"/>
      <c r="AK430" s="1020">
        <f t="shared" ca="1" si="591"/>
        <v>160.50593412353626</v>
      </c>
      <c r="AL430" s="954">
        <f ca="1">AK430/'103'!I$24</f>
        <v>0.36119478846365405</v>
      </c>
      <c r="AM430" s="954">
        <f ca="1">0.8*(AK430*30+'104'!D$17*0.34*30*1)</f>
        <v>6771.8556989648705</v>
      </c>
      <c r="AN430" s="954">
        <f ca="1">IF(AM430&lt;User_sheet!B$50,Y430,0)</f>
        <v>0</v>
      </c>
      <c r="AO430" s="954">
        <f ca="1">20-(User_sheet!B$57/('Freestanding '!AK430+'104'!D$17*1*0.34))</f>
        <v>-0.20125739255059827</v>
      </c>
      <c r="AP430" s="954">
        <f ca="1">IF(AO430&lt;User_sheet!B$59,0,BC430*AA430)</f>
        <v>0</v>
      </c>
      <c r="AQ430" s="985"/>
      <c r="AR430" s="2">
        <v>0.47</v>
      </c>
      <c r="AS430" s="2">
        <v>0.54</v>
      </c>
      <c r="AT430" s="2">
        <v>0.45</v>
      </c>
      <c r="AU430" s="2">
        <v>2</v>
      </c>
      <c r="AV430" s="2">
        <v>3.3</v>
      </c>
      <c r="AW430" s="2">
        <v>12848.541887298286</v>
      </c>
      <c r="AX430" s="2">
        <v>75022.04959166942</v>
      </c>
      <c r="AY430" s="2">
        <v>65937.809199439725</v>
      </c>
      <c r="AZ430" s="27">
        <v>0</v>
      </c>
      <c r="BA430" s="27">
        <v>0</v>
      </c>
      <c r="BB430" s="2">
        <v>0.6</v>
      </c>
      <c r="BC430" s="30">
        <v>1</v>
      </c>
      <c r="BD430" s="34">
        <v>0</v>
      </c>
      <c r="BE430" s="34">
        <v>0</v>
      </c>
      <c r="BF430" s="40">
        <v>0</v>
      </c>
      <c r="BG430" s="2">
        <v>0</v>
      </c>
      <c r="BH430" s="2">
        <v>1</v>
      </c>
      <c r="BI430" s="40">
        <v>0</v>
      </c>
      <c r="BJ430" s="2">
        <v>0</v>
      </c>
      <c r="BK430" s="2">
        <v>0</v>
      </c>
      <c r="BL430" s="2">
        <v>1</v>
      </c>
      <c r="BM430" s="40">
        <v>0</v>
      </c>
      <c r="BN430" s="958">
        <v>7.0000000000000007E-2</v>
      </c>
      <c r="BO430" s="50">
        <v>12</v>
      </c>
      <c r="BP430" s="1018">
        <f t="shared" ca="1" si="631"/>
        <v>162.63999999999999</v>
      </c>
      <c r="BQ430" s="1018">
        <f t="shared" ca="1" si="632"/>
        <v>285.02799999999996</v>
      </c>
      <c r="BR430" s="1018">
        <f t="shared" ca="1" si="633"/>
        <v>51.803914909975674</v>
      </c>
      <c r="BS430" s="1018">
        <f t="shared" ca="1" si="634"/>
        <v>115.89999999999998</v>
      </c>
      <c r="BT430" s="1018">
        <f t="shared" ca="1" si="635"/>
        <v>81.319999999999993</v>
      </c>
      <c r="BU430" s="1018">
        <f t="shared" ca="1" si="636"/>
        <v>22.93</v>
      </c>
      <c r="BV430" s="1018">
        <f t="shared" ca="1" si="637"/>
        <v>2.15</v>
      </c>
      <c r="BW430" s="1018">
        <v>0</v>
      </c>
      <c r="BX430" s="1018">
        <f t="shared" ca="1" si="638"/>
        <v>22.513722112891656</v>
      </c>
      <c r="BY430" s="1018">
        <f t="shared" ca="1" si="639"/>
        <v>57.229334308705177</v>
      </c>
      <c r="BZ430" s="1018">
        <f t="shared" ca="1" si="592"/>
        <v>11.202244897959185</v>
      </c>
      <c r="CA430" s="1018">
        <f t="shared" ca="1" si="593"/>
        <v>45.859999981655996</v>
      </c>
      <c r="CB430" s="1018">
        <f t="shared" ca="1" si="640"/>
        <v>4.5133587786259541</v>
      </c>
      <c r="CC430" s="1018">
        <f t="shared" si="594"/>
        <v>0</v>
      </c>
      <c r="CD430" s="1018">
        <f t="shared" ca="1" si="642"/>
        <v>160.50593412353626</v>
      </c>
      <c r="CE430" s="1018">
        <f t="shared" ca="1" si="573"/>
        <v>93.991926831362093</v>
      </c>
      <c r="CF430" s="1018">
        <f t="shared" ca="1" si="596"/>
        <v>7.6349358286469506</v>
      </c>
      <c r="CG430" s="1018">
        <f t="shared" ca="1" si="597"/>
        <v>12711.862757264027</v>
      </c>
    </row>
    <row r="431" spans="3:85" x14ac:dyDescent="0.25">
      <c r="C431" s="445"/>
      <c r="D431" s="450"/>
      <c r="E431" s="444"/>
      <c r="F431" s="445"/>
      <c r="G431" s="444"/>
      <c r="H431" s="445"/>
      <c r="I431" s="444"/>
      <c r="J431" s="445"/>
      <c r="K431" s="448"/>
      <c r="L431" s="450"/>
      <c r="M431" s="445"/>
      <c r="N431" s="445"/>
      <c r="O431" s="445"/>
      <c r="P431" s="445"/>
      <c r="Q431" s="445" t="s">
        <v>22</v>
      </c>
      <c r="R431" s="447">
        <v>0.81</v>
      </c>
      <c r="S431" s="445"/>
      <c r="T431" s="456">
        <v>0</v>
      </c>
      <c r="U431" s="444"/>
      <c r="V431" s="176">
        <f t="shared" si="560"/>
        <v>0</v>
      </c>
      <c r="W431" s="176">
        <f t="shared" si="641"/>
        <v>0</v>
      </c>
      <c r="X431" s="176">
        <f>W431-W431*Calculation_sheet!O$79</f>
        <v>0</v>
      </c>
      <c r="Y431" s="34">
        <f>X431/Calculation_sheet!M$67</f>
        <v>0</v>
      </c>
      <c r="Z431" s="176">
        <f ca="1">IF(AN431&gt;0,Y431*Calculation_sheet!C$87,0)</f>
        <v>0</v>
      </c>
      <c r="AA431" s="176">
        <f t="shared" ca="1" si="628"/>
        <v>0</v>
      </c>
      <c r="AB431" s="176">
        <f ca="1">IF(AP431&gt;0,AA431*Calculation_sheet!C$94,0)</f>
        <v>0</v>
      </c>
      <c r="AC431" s="176">
        <f t="shared" ca="1" si="629"/>
        <v>0</v>
      </c>
      <c r="AD431" s="958">
        <f ca="1">AC431*Calculation_sheet!C$99</f>
        <v>0</v>
      </c>
      <c r="AE431" s="176">
        <f t="shared" ca="1" si="629"/>
        <v>0</v>
      </c>
      <c r="AF431" s="176">
        <f t="shared" ca="1" si="630"/>
        <v>0</v>
      </c>
      <c r="AG431" s="958">
        <f ca="1">AF431*User_sheet!B$77/100</f>
        <v>0</v>
      </c>
      <c r="AH431" s="313"/>
      <c r="AI431" s="2">
        <v>104</v>
      </c>
      <c r="AJ431" s="985"/>
      <c r="AK431" s="1020">
        <f t="shared" ca="1" si="591"/>
        <v>160.50593412353626</v>
      </c>
      <c r="AL431" s="954">
        <f ca="1">AK431/'103'!I$24</f>
        <v>0.36119478846365405</v>
      </c>
      <c r="AM431" s="954">
        <f ca="1">0.8*(AK431*30+'104'!D$17*0.34*30*1)</f>
        <v>6771.8556989648705</v>
      </c>
      <c r="AN431" s="954">
        <f ca="1">IF(AM431&lt;User_sheet!B$50,Y431,0)</f>
        <v>0</v>
      </c>
      <c r="AO431" s="954">
        <f ca="1">20-(User_sheet!B$57/('Freestanding '!AK431+'104'!D$17*1*0.34))</f>
        <v>-0.20125739255059827</v>
      </c>
      <c r="AP431" s="954">
        <f ca="1">IF(AO431&lt;User_sheet!B$59,0,BC431*AA431)</f>
        <v>0</v>
      </c>
      <c r="AQ431" s="985"/>
      <c r="AR431" s="2">
        <v>0.47</v>
      </c>
      <c r="AS431" s="2">
        <v>0.54</v>
      </c>
      <c r="AT431" s="2">
        <v>0.45</v>
      </c>
      <c r="AU431" s="2">
        <v>2</v>
      </c>
      <c r="AV431" s="2">
        <v>3.3</v>
      </c>
      <c r="AW431" s="2">
        <v>12848.541887298286</v>
      </c>
      <c r="AX431" s="2">
        <v>75022.04959166942</v>
      </c>
      <c r="AY431" s="2">
        <v>65937.809199439725</v>
      </c>
      <c r="AZ431" s="27">
        <v>0</v>
      </c>
      <c r="BA431" s="27">
        <v>0</v>
      </c>
      <c r="BB431" s="2">
        <v>0.6</v>
      </c>
      <c r="BC431" s="30">
        <v>0</v>
      </c>
      <c r="BD431" s="34">
        <v>1</v>
      </c>
      <c r="BE431" s="34">
        <v>0</v>
      </c>
      <c r="BF431" s="40">
        <v>0</v>
      </c>
      <c r="BG431" s="2">
        <v>1</v>
      </c>
      <c r="BH431" s="2">
        <v>0</v>
      </c>
      <c r="BI431" s="40">
        <v>0</v>
      </c>
      <c r="BJ431" s="2">
        <v>0</v>
      </c>
      <c r="BK431" s="2">
        <v>1</v>
      </c>
      <c r="BL431" s="2">
        <v>0</v>
      </c>
      <c r="BM431" s="40">
        <v>0</v>
      </c>
      <c r="BN431" s="958">
        <v>7.0000000000000007E-2</v>
      </c>
      <c r="BO431" s="50">
        <v>12</v>
      </c>
      <c r="BP431" s="1018">
        <f t="shared" ca="1" si="631"/>
        <v>162.63999999999999</v>
      </c>
      <c r="BQ431" s="1018">
        <f t="shared" ca="1" si="632"/>
        <v>285.02799999999996</v>
      </c>
      <c r="BR431" s="1018">
        <f t="shared" ca="1" si="633"/>
        <v>51.803914909975674</v>
      </c>
      <c r="BS431" s="1018">
        <f t="shared" ca="1" si="634"/>
        <v>115.89999999999998</v>
      </c>
      <c r="BT431" s="1018">
        <f t="shared" ca="1" si="635"/>
        <v>81.319999999999993</v>
      </c>
      <c r="BU431" s="1018">
        <f t="shared" ca="1" si="636"/>
        <v>22.93</v>
      </c>
      <c r="BV431" s="1018">
        <f t="shared" ca="1" si="637"/>
        <v>2.15</v>
      </c>
      <c r="BW431" s="1018">
        <v>0</v>
      </c>
      <c r="BX431" s="1018">
        <f t="shared" ca="1" si="638"/>
        <v>22.513722112891656</v>
      </c>
      <c r="BY431" s="1018">
        <f t="shared" ca="1" si="639"/>
        <v>57.229334308705177</v>
      </c>
      <c r="BZ431" s="1018">
        <f t="shared" ca="1" si="592"/>
        <v>11.202244897959185</v>
      </c>
      <c r="CA431" s="1018">
        <f t="shared" ca="1" si="593"/>
        <v>45.859999981655996</v>
      </c>
      <c r="CB431" s="1018">
        <f t="shared" ca="1" si="640"/>
        <v>4.5133587786259541</v>
      </c>
      <c r="CC431" s="1018">
        <f t="shared" si="594"/>
        <v>0</v>
      </c>
      <c r="CD431" s="1018">
        <f t="shared" ca="1" si="642"/>
        <v>160.50593412353626</v>
      </c>
      <c r="CE431" s="1018">
        <f t="shared" ca="1" si="573"/>
        <v>93.991926831362093</v>
      </c>
      <c r="CF431" s="1018">
        <f t="shared" ca="1" si="596"/>
        <v>7.6349358286469506</v>
      </c>
      <c r="CG431" s="1018">
        <f t="shared" ca="1" si="597"/>
        <v>12711.862757264027</v>
      </c>
    </row>
    <row r="432" spans="3:85" x14ac:dyDescent="0.25">
      <c r="C432" s="445"/>
      <c r="D432" s="450"/>
      <c r="E432" s="444"/>
      <c r="F432" s="445"/>
      <c r="G432" s="444"/>
      <c r="H432" s="445"/>
      <c r="I432" s="444"/>
      <c r="J432" s="445"/>
      <c r="K432" s="448"/>
      <c r="L432" s="450"/>
      <c r="M432" s="445"/>
      <c r="N432" s="445"/>
      <c r="O432" s="445" t="s">
        <v>18</v>
      </c>
      <c r="P432" s="447">
        <v>0.96078431399999997</v>
      </c>
      <c r="Q432" s="445" t="s">
        <v>7</v>
      </c>
      <c r="R432" s="447">
        <v>0.19</v>
      </c>
      <c r="S432" s="445"/>
      <c r="T432" s="456">
        <v>0</v>
      </c>
      <c r="U432" s="444"/>
      <c r="V432" s="176">
        <f t="shared" si="560"/>
        <v>0</v>
      </c>
      <c r="W432" s="176">
        <f t="shared" si="641"/>
        <v>0</v>
      </c>
      <c r="X432" s="176">
        <f>W432-W432*Calculation_sheet!O$79</f>
        <v>0</v>
      </c>
      <c r="Y432" s="34">
        <f>X432/Calculation_sheet!M$67</f>
        <v>0</v>
      </c>
      <c r="Z432" s="176">
        <f ca="1">IF(AN432&gt;0,Y432*Calculation_sheet!C$87,0)</f>
        <v>0</v>
      </c>
      <c r="AA432" s="176">
        <f t="shared" ca="1" si="628"/>
        <v>0</v>
      </c>
      <c r="AB432" s="176">
        <f ca="1">IF(AP432&gt;0,AA432*Calculation_sheet!C$94,0)</f>
        <v>0</v>
      </c>
      <c r="AC432" s="176">
        <f t="shared" ca="1" si="629"/>
        <v>0</v>
      </c>
      <c r="AD432" s="958">
        <f ca="1">AC432*Calculation_sheet!C$99</f>
        <v>0</v>
      </c>
      <c r="AE432" s="176">
        <f t="shared" ca="1" si="629"/>
        <v>0</v>
      </c>
      <c r="AF432" s="176">
        <f t="shared" ca="1" si="630"/>
        <v>0</v>
      </c>
      <c r="AG432" s="958">
        <f ca="1">AF432*User_sheet!B$77/100</f>
        <v>0</v>
      </c>
      <c r="AH432" s="313"/>
      <c r="AI432" s="2">
        <v>104</v>
      </c>
      <c r="AJ432" s="985"/>
      <c r="AK432" s="1020">
        <f t="shared" ca="1" si="591"/>
        <v>160.50593412353626</v>
      </c>
      <c r="AL432" s="954">
        <f ca="1">AK432/'103'!I$24</f>
        <v>0.36119478846365405</v>
      </c>
      <c r="AM432" s="954">
        <f ca="1">0.8*(AK432*30+'104'!D$17*0.34*30*1)</f>
        <v>6771.8556989648705</v>
      </c>
      <c r="AN432" s="954">
        <f ca="1">IF(AM432&lt;User_sheet!B$50,Y432,0)</f>
        <v>0</v>
      </c>
      <c r="AO432" s="954">
        <f ca="1">20-(User_sheet!B$57/('Freestanding '!AK432+'104'!D$17*1*0.34))</f>
        <v>-0.20125739255059827</v>
      </c>
      <c r="AP432" s="954">
        <f ca="1">IF(AO432&lt;User_sheet!B$59,0,BC432*AA432)</f>
        <v>0</v>
      </c>
      <c r="AQ432" s="985"/>
      <c r="AR432" s="2">
        <v>0.47</v>
      </c>
      <c r="AS432" s="2">
        <v>0.54</v>
      </c>
      <c r="AT432" s="2">
        <v>0.45</v>
      </c>
      <c r="AU432" s="2">
        <v>2</v>
      </c>
      <c r="AV432" s="2">
        <v>3.3</v>
      </c>
      <c r="AW432" s="2">
        <v>12848.541887298286</v>
      </c>
      <c r="AX432" s="2">
        <v>75022.04959166942</v>
      </c>
      <c r="AY432" s="2">
        <v>65937.809199439725</v>
      </c>
      <c r="AZ432" s="27">
        <v>0</v>
      </c>
      <c r="BA432" s="27">
        <v>0</v>
      </c>
      <c r="BB432" s="2">
        <v>0.6</v>
      </c>
      <c r="BC432" s="30">
        <v>0</v>
      </c>
      <c r="BD432" s="34">
        <v>1</v>
      </c>
      <c r="BE432" s="34">
        <v>0</v>
      </c>
      <c r="BF432" s="40">
        <v>0</v>
      </c>
      <c r="BG432" s="2">
        <v>1</v>
      </c>
      <c r="BH432" s="2">
        <v>0</v>
      </c>
      <c r="BI432" s="40">
        <v>0</v>
      </c>
      <c r="BJ432" s="2">
        <v>0</v>
      </c>
      <c r="BK432" s="2">
        <v>0</v>
      </c>
      <c r="BL432" s="2">
        <v>1</v>
      </c>
      <c r="BM432" s="40">
        <v>0</v>
      </c>
      <c r="BN432" s="958">
        <v>7.0000000000000007E-2</v>
      </c>
      <c r="BO432" s="50">
        <v>12</v>
      </c>
      <c r="BP432" s="1018">
        <f t="shared" ca="1" si="631"/>
        <v>162.63999999999999</v>
      </c>
      <c r="BQ432" s="1018">
        <f t="shared" ca="1" si="632"/>
        <v>285.02799999999996</v>
      </c>
      <c r="BR432" s="1018">
        <f t="shared" ca="1" si="633"/>
        <v>51.803914909975674</v>
      </c>
      <c r="BS432" s="1018">
        <f t="shared" ca="1" si="634"/>
        <v>115.89999999999998</v>
      </c>
      <c r="BT432" s="1018">
        <f t="shared" ca="1" si="635"/>
        <v>81.319999999999993</v>
      </c>
      <c r="BU432" s="1018">
        <f t="shared" ca="1" si="636"/>
        <v>22.93</v>
      </c>
      <c r="BV432" s="1018">
        <f t="shared" ca="1" si="637"/>
        <v>2.15</v>
      </c>
      <c r="BW432" s="1018">
        <v>0</v>
      </c>
      <c r="BX432" s="1018">
        <f t="shared" ca="1" si="638"/>
        <v>22.513722112891656</v>
      </c>
      <c r="BY432" s="1018">
        <f t="shared" ca="1" si="639"/>
        <v>57.229334308705177</v>
      </c>
      <c r="BZ432" s="1018">
        <f t="shared" ca="1" si="592"/>
        <v>11.202244897959185</v>
      </c>
      <c r="CA432" s="1018">
        <f t="shared" ca="1" si="593"/>
        <v>45.859999981655996</v>
      </c>
      <c r="CB432" s="1018">
        <f t="shared" ca="1" si="640"/>
        <v>4.5133587786259541</v>
      </c>
      <c r="CC432" s="1018">
        <f t="shared" si="594"/>
        <v>0</v>
      </c>
      <c r="CD432" s="1018">
        <f t="shared" ca="1" si="642"/>
        <v>160.50593412353626</v>
      </c>
      <c r="CE432" s="1018">
        <f t="shared" ca="1" si="573"/>
        <v>93.991926831362093</v>
      </c>
      <c r="CF432" s="1018">
        <f t="shared" ca="1" si="596"/>
        <v>7.6349358286469506</v>
      </c>
      <c r="CG432" s="1018">
        <f t="shared" ca="1" si="597"/>
        <v>12711.862757264027</v>
      </c>
    </row>
    <row r="433" spans="3:85" x14ac:dyDescent="0.25">
      <c r="C433" s="445"/>
      <c r="D433" s="445"/>
      <c r="E433" s="444"/>
      <c r="F433" s="445"/>
      <c r="G433" s="444" t="s">
        <v>9</v>
      </c>
      <c r="H433" s="449">
        <v>0.62519999999999998</v>
      </c>
      <c r="I433" s="444"/>
      <c r="J433" s="445"/>
      <c r="K433" s="444"/>
      <c r="L433" s="444"/>
      <c r="M433" s="445"/>
      <c r="N433" s="445"/>
      <c r="O433" s="445"/>
      <c r="P433" s="445"/>
      <c r="Q433" s="445" t="s">
        <v>22</v>
      </c>
      <c r="R433" s="447">
        <v>0.81</v>
      </c>
      <c r="S433" s="445"/>
      <c r="T433" s="456">
        <v>0</v>
      </c>
      <c r="U433" s="444"/>
      <c r="V433" s="176">
        <f t="shared" si="560"/>
        <v>0</v>
      </c>
      <c r="W433" s="176">
        <f t="shared" si="641"/>
        <v>0</v>
      </c>
      <c r="X433" s="176">
        <f>W433-W433*Calculation_sheet!O$79</f>
        <v>0</v>
      </c>
      <c r="Y433" s="34">
        <f>X433/Calculation_sheet!M$67</f>
        <v>0</v>
      </c>
      <c r="Z433" s="176">
        <f ca="1">IF(AN433&gt;0,Y433*Calculation_sheet!C$87,0)</f>
        <v>0</v>
      </c>
      <c r="AA433" s="176">
        <f t="shared" ca="1" si="628"/>
        <v>0</v>
      </c>
      <c r="AB433" s="176">
        <f ca="1">IF(AP433&gt;0,AA433*Calculation_sheet!C$94,0)</f>
        <v>0</v>
      </c>
      <c r="AC433" s="176">
        <f t="shared" ca="1" si="629"/>
        <v>0</v>
      </c>
      <c r="AD433" s="958">
        <f ca="1">AC433*Calculation_sheet!C$99</f>
        <v>0</v>
      </c>
      <c r="AE433" s="176">
        <f t="shared" ca="1" si="629"/>
        <v>0</v>
      </c>
      <c r="AF433" s="176">
        <f t="shared" ca="1" si="630"/>
        <v>0</v>
      </c>
      <c r="AG433" s="958">
        <f ca="1">AF433*User_sheet!B$77/100</f>
        <v>0</v>
      </c>
      <c r="AH433" s="313"/>
      <c r="AI433" s="2">
        <v>104</v>
      </c>
      <c r="AJ433" s="985"/>
      <c r="AK433" s="1020">
        <f t="shared" ca="1" si="591"/>
        <v>160.50593412353626</v>
      </c>
      <c r="AL433" s="954">
        <f ca="1">AK433/'103'!I$24</f>
        <v>0.36119478846365405</v>
      </c>
      <c r="AM433" s="954">
        <f ca="1">0.8*(AK433*30+'104'!D$17*0.34*30*1)</f>
        <v>6771.8556989648705</v>
      </c>
      <c r="AN433" s="954">
        <f ca="1">IF(AM433&lt;User_sheet!B$50,Y433,0)</f>
        <v>0</v>
      </c>
      <c r="AO433" s="954">
        <f ca="1">20-(User_sheet!B$57/('Freestanding '!AK433+'104'!D$17*1*0.34))</f>
        <v>-0.20125739255059827</v>
      </c>
      <c r="AP433" s="954">
        <f ca="1">IF(AO433&lt;User_sheet!B$59,0,BC433*AA433)</f>
        <v>0</v>
      </c>
      <c r="AQ433" s="985"/>
      <c r="AR433" s="2">
        <v>0.47</v>
      </c>
      <c r="AS433" s="2">
        <v>0.54</v>
      </c>
      <c r="AT433" s="2">
        <v>0.45</v>
      </c>
      <c r="AU433" s="2">
        <v>2</v>
      </c>
      <c r="AV433" s="2">
        <v>3.3</v>
      </c>
      <c r="AW433" s="2">
        <v>12848.541887298286</v>
      </c>
      <c r="AX433" s="2">
        <v>75022.04959166942</v>
      </c>
      <c r="AY433" s="2">
        <v>65937.809199439725</v>
      </c>
      <c r="AZ433" s="27">
        <v>0</v>
      </c>
      <c r="BA433" s="27">
        <v>0</v>
      </c>
      <c r="BB433" s="2">
        <v>0.6</v>
      </c>
      <c r="BC433" s="30">
        <v>0</v>
      </c>
      <c r="BD433" s="34">
        <v>1</v>
      </c>
      <c r="BE433" s="34">
        <v>0</v>
      </c>
      <c r="BF433" s="40">
        <v>0</v>
      </c>
      <c r="BG433" s="2">
        <v>0</v>
      </c>
      <c r="BH433" s="2">
        <v>1</v>
      </c>
      <c r="BI433" s="40">
        <v>0</v>
      </c>
      <c r="BJ433" s="2">
        <v>0</v>
      </c>
      <c r="BK433" s="2">
        <v>1</v>
      </c>
      <c r="BL433" s="2">
        <v>0</v>
      </c>
      <c r="BM433" s="40">
        <v>0</v>
      </c>
      <c r="BN433" s="958">
        <v>7.0000000000000007E-2</v>
      </c>
      <c r="BO433" s="50">
        <v>12</v>
      </c>
      <c r="BP433" s="1018">
        <f t="shared" ca="1" si="631"/>
        <v>162.63999999999999</v>
      </c>
      <c r="BQ433" s="1018">
        <f t="shared" ca="1" si="632"/>
        <v>285.02799999999996</v>
      </c>
      <c r="BR433" s="1018">
        <f t="shared" ca="1" si="633"/>
        <v>51.803914909975674</v>
      </c>
      <c r="BS433" s="1018">
        <f t="shared" ca="1" si="634"/>
        <v>115.89999999999998</v>
      </c>
      <c r="BT433" s="1018">
        <f t="shared" ca="1" si="635"/>
        <v>81.319999999999993</v>
      </c>
      <c r="BU433" s="1018">
        <f t="shared" ca="1" si="636"/>
        <v>22.93</v>
      </c>
      <c r="BV433" s="1018">
        <f t="shared" ca="1" si="637"/>
        <v>2.15</v>
      </c>
      <c r="BW433" s="1018">
        <v>0</v>
      </c>
      <c r="BX433" s="1018">
        <f t="shared" ca="1" si="638"/>
        <v>22.513722112891656</v>
      </c>
      <c r="BY433" s="1018">
        <f t="shared" ca="1" si="639"/>
        <v>57.229334308705177</v>
      </c>
      <c r="BZ433" s="1018">
        <f t="shared" ca="1" si="592"/>
        <v>11.202244897959185</v>
      </c>
      <c r="CA433" s="1018">
        <f t="shared" ca="1" si="593"/>
        <v>45.859999981655996</v>
      </c>
      <c r="CB433" s="1018">
        <f t="shared" ca="1" si="640"/>
        <v>4.5133587786259541</v>
      </c>
      <c r="CC433" s="1018">
        <f t="shared" si="594"/>
        <v>0</v>
      </c>
      <c r="CD433" s="1018">
        <f t="shared" ca="1" si="642"/>
        <v>160.50593412353626</v>
      </c>
      <c r="CE433" s="1018">
        <f t="shared" ca="1" si="573"/>
        <v>93.991926831362093</v>
      </c>
      <c r="CF433" s="1018">
        <f t="shared" ca="1" si="596"/>
        <v>7.6349358286469506</v>
      </c>
      <c r="CG433" s="1018">
        <f t="shared" ca="1" si="597"/>
        <v>12711.862757264027</v>
      </c>
    </row>
    <row r="434" spans="3:85" x14ac:dyDescent="0.25">
      <c r="C434" s="445"/>
      <c r="D434" s="445"/>
      <c r="E434" s="444"/>
      <c r="F434" s="445"/>
      <c r="G434" s="444"/>
      <c r="H434" s="445"/>
      <c r="I434" s="444"/>
      <c r="J434" s="445"/>
      <c r="K434" s="448"/>
      <c r="L434" s="450"/>
      <c r="M434" s="445" t="s">
        <v>22</v>
      </c>
      <c r="N434" s="447">
        <v>0.375</v>
      </c>
      <c r="O434" s="445" t="s">
        <v>20</v>
      </c>
      <c r="P434" s="447">
        <v>3.9215686E-2</v>
      </c>
      <c r="Q434" s="445" t="s">
        <v>7</v>
      </c>
      <c r="R434" s="447">
        <v>0.19</v>
      </c>
      <c r="S434" s="445"/>
      <c r="T434" s="456">
        <v>0</v>
      </c>
      <c r="U434" s="444"/>
      <c r="V434" s="176">
        <f t="shared" si="560"/>
        <v>0</v>
      </c>
      <c r="W434" s="176">
        <f t="shared" si="641"/>
        <v>0</v>
      </c>
      <c r="X434" s="176">
        <f>W434-W434*Calculation_sheet!O$79</f>
        <v>0</v>
      </c>
      <c r="Y434" s="34">
        <f>X434/Calculation_sheet!M$67</f>
        <v>0</v>
      </c>
      <c r="Z434" s="176">
        <f ca="1">IF(AN434&gt;0,Y434*Calculation_sheet!C$87,0)</f>
        <v>0</v>
      </c>
      <c r="AA434" s="176">
        <f t="shared" ca="1" si="628"/>
        <v>0</v>
      </c>
      <c r="AB434" s="176">
        <f ca="1">IF(AP434&gt;0,AA434*Calculation_sheet!C$94,0)</f>
        <v>0</v>
      </c>
      <c r="AC434" s="176">
        <f t="shared" ca="1" si="629"/>
        <v>0</v>
      </c>
      <c r="AD434" s="958">
        <f ca="1">AC434*Calculation_sheet!C$99</f>
        <v>0</v>
      </c>
      <c r="AE434" s="176">
        <f t="shared" ca="1" si="629"/>
        <v>0</v>
      </c>
      <c r="AF434" s="176">
        <f t="shared" ca="1" si="630"/>
        <v>0</v>
      </c>
      <c r="AG434" s="958">
        <f ca="1">AF434*User_sheet!B$77/100</f>
        <v>0</v>
      </c>
      <c r="AH434" s="313"/>
      <c r="AI434" s="2">
        <v>104</v>
      </c>
      <c r="AJ434" s="985"/>
      <c r="AK434" s="1020">
        <f t="shared" ca="1" si="591"/>
        <v>160.50593412353626</v>
      </c>
      <c r="AL434" s="954">
        <f ca="1">AK434/'103'!I$24</f>
        <v>0.36119478846365405</v>
      </c>
      <c r="AM434" s="954">
        <f ca="1">0.8*(AK434*30+'104'!D$17*0.34*30*1)</f>
        <v>6771.8556989648705</v>
      </c>
      <c r="AN434" s="954">
        <f ca="1">IF(AM434&lt;User_sheet!B$50,Y434,0)</f>
        <v>0</v>
      </c>
      <c r="AO434" s="954">
        <f ca="1">20-(User_sheet!B$57/('Freestanding '!AK434+'104'!D$17*1*0.34))</f>
        <v>-0.20125739255059827</v>
      </c>
      <c r="AP434" s="954">
        <f ca="1">IF(AO434&lt;User_sheet!B$59,0,BC434*AA434)</f>
        <v>0</v>
      </c>
      <c r="AQ434" s="985"/>
      <c r="AR434" s="2">
        <v>0.47</v>
      </c>
      <c r="AS434" s="2">
        <v>0.54</v>
      </c>
      <c r="AT434" s="2">
        <v>0.45</v>
      </c>
      <c r="AU434" s="2">
        <v>2</v>
      </c>
      <c r="AV434" s="2">
        <v>3.3</v>
      </c>
      <c r="AW434" s="2">
        <v>12848.541887298286</v>
      </c>
      <c r="AX434" s="2">
        <v>75022.04959166942</v>
      </c>
      <c r="AY434" s="2">
        <v>65937.809199439725</v>
      </c>
      <c r="AZ434" s="27">
        <v>0</v>
      </c>
      <c r="BA434" s="27">
        <v>0</v>
      </c>
      <c r="BB434" s="2">
        <v>0.6</v>
      </c>
      <c r="BC434" s="30">
        <v>0</v>
      </c>
      <c r="BD434" s="34">
        <v>1</v>
      </c>
      <c r="BE434" s="34">
        <v>0</v>
      </c>
      <c r="BF434" s="40">
        <v>0</v>
      </c>
      <c r="BG434" s="2">
        <v>0</v>
      </c>
      <c r="BH434" s="2">
        <v>1</v>
      </c>
      <c r="BI434" s="40">
        <v>0</v>
      </c>
      <c r="BJ434" s="2">
        <v>0</v>
      </c>
      <c r="BK434" s="2">
        <v>0</v>
      </c>
      <c r="BL434" s="2">
        <v>1</v>
      </c>
      <c r="BM434" s="40">
        <v>0</v>
      </c>
      <c r="BN434" s="958">
        <v>7.0000000000000007E-2</v>
      </c>
      <c r="BO434" s="50">
        <v>12</v>
      </c>
      <c r="BP434" s="1018">
        <f t="shared" ca="1" si="631"/>
        <v>162.63999999999999</v>
      </c>
      <c r="BQ434" s="1018">
        <f t="shared" ca="1" si="632"/>
        <v>285.02799999999996</v>
      </c>
      <c r="BR434" s="1018">
        <f t="shared" ca="1" si="633"/>
        <v>51.803914909975674</v>
      </c>
      <c r="BS434" s="1018">
        <f t="shared" ca="1" si="634"/>
        <v>115.89999999999998</v>
      </c>
      <c r="BT434" s="1018">
        <f t="shared" ca="1" si="635"/>
        <v>81.319999999999993</v>
      </c>
      <c r="BU434" s="1018">
        <f t="shared" ca="1" si="636"/>
        <v>22.93</v>
      </c>
      <c r="BV434" s="1018">
        <f t="shared" ca="1" si="637"/>
        <v>2.15</v>
      </c>
      <c r="BW434" s="1018">
        <v>0</v>
      </c>
      <c r="BX434" s="1018">
        <f t="shared" ca="1" si="638"/>
        <v>22.513722112891656</v>
      </c>
      <c r="BY434" s="1018">
        <f t="shared" ca="1" si="639"/>
        <v>57.229334308705177</v>
      </c>
      <c r="BZ434" s="1018">
        <f t="shared" ca="1" si="592"/>
        <v>11.202244897959185</v>
      </c>
      <c r="CA434" s="1018">
        <f t="shared" ca="1" si="593"/>
        <v>45.859999981655996</v>
      </c>
      <c r="CB434" s="1018">
        <f t="shared" ca="1" si="640"/>
        <v>4.5133587786259541</v>
      </c>
      <c r="CC434" s="1018">
        <f t="shared" si="594"/>
        <v>0</v>
      </c>
      <c r="CD434" s="1018">
        <f t="shared" ca="1" si="642"/>
        <v>160.50593412353626</v>
      </c>
      <c r="CE434" s="1018">
        <f t="shared" ca="1" si="573"/>
        <v>93.991926831362093</v>
      </c>
      <c r="CF434" s="1018">
        <f t="shared" ca="1" si="596"/>
        <v>7.6349358286469506</v>
      </c>
      <c r="CG434" s="1018">
        <f t="shared" ca="1" si="597"/>
        <v>12711.862757264027</v>
      </c>
    </row>
    <row r="435" spans="3:85" x14ac:dyDescent="0.25">
      <c r="C435" s="444"/>
      <c r="D435" s="445"/>
      <c r="E435" s="444" t="s">
        <v>8</v>
      </c>
      <c r="F435" s="449">
        <v>0.13</v>
      </c>
      <c r="G435" s="444"/>
      <c r="H435" s="445"/>
      <c r="I435" s="444"/>
      <c r="J435" s="445"/>
      <c r="K435" s="444" t="s">
        <v>12</v>
      </c>
      <c r="L435" s="455">
        <v>0</v>
      </c>
      <c r="M435" s="445" t="s">
        <v>7</v>
      </c>
      <c r="N435" s="447">
        <v>0.125</v>
      </c>
      <c r="O435" s="445" t="s">
        <v>23</v>
      </c>
      <c r="P435" s="447">
        <v>1</v>
      </c>
      <c r="Q435" s="445" t="s">
        <v>7</v>
      </c>
      <c r="R435" s="447">
        <v>1</v>
      </c>
      <c r="S435" s="445"/>
      <c r="T435" s="456">
        <v>0</v>
      </c>
      <c r="U435" s="444"/>
      <c r="V435" s="176">
        <f t="shared" si="560"/>
        <v>0</v>
      </c>
      <c r="W435" s="176">
        <f t="shared" si="641"/>
        <v>0</v>
      </c>
      <c r="X435" s="176">
        <f>W435-W435*Calculation_sheet!O$79</f>
        <v>0</v>
      </c>
      <c r="Y435" s="34">
        <f>X435/Calculation_sheet!M$67</f>
        <v>0</v>
      </c>
      <c r="Z435" s="176">
        <f ca="1">IF(AN435&gt;0,Y435*Calculation_sheet!C$87,0)</f>
        <v>0</v>
      </c>
      <c r="AA435" s="176">
        <f t="shared" ca="1" si="628"/>
        <v>0</v>
      </c>
      <c r="AB435" s="176">
        <f ca="1">IF(AP435&gt;0,AA435*Calculation_sheet!C$94,0)</f>
        <v>0</v>
      </c>
      <c r="AC435" s="176">
        <f t="shared" ca="1" si="629"/>
        <v>0</v>
      </c>
      <c r="AD435" s="958">
        <f ca="1">AC435*Calculation_sheet!C$99</f>
        <v>0</v>
      </c>
      <c r="AE435" s="176">
        <f t="shared" ca="1" si="629"/>
        <v>0</v>
      </c>
      <c r="AF435" s="176">
        <f t="shared" ca="1" si="630"/>
        <v>0</v>
      </c>
      <c r="AG435" s="958">
        <f ca="1">AF435*User_sheet!B$77/100</f>
        <v>0</v>
      </c>
      <c r="AH435" s="313"/>
      <c r="AI435" s="2">
        <v>104</v>
      </c>
      <c r="AJ435" s="985"/>
      <c r="AK435" s="1020">
        <f t="shared" ca="1" si="591"/>
        <v>160.50593412353626</v>
      </c>
      <c r="AL435" s="954">
        <f ca="1">AK435/'103'!I$24</f>
        <v>0.36119478846365405</v>
      </c>
      <c r="AM435" s="954">
        <f ca="1">0.8*(AK435*30+'104'!D$17*0.34*30*1)</f>
        <v>6771.8556989648705</v>
      </c>
      <c r="AN435" s="954">
        <f ca="1">IF(AM435&lt;User_sheet!B$50,Y435,0)</f>
        <v>0</v>
      </c>
      <c r="AO435" s="954">
        <f ca="1">20-(User_sheet!B$57/('Freestanding '!AK435+'104'!D$17*1*0.34))</f>
        <v>-0.20125739255059827</v>
      </c>
      <c r="AP435" s="954">
        <f ca="1">IF(AO435&lt;User_sheet!B$59,0,BC435*AA435)</f>
        <v>0</v>
      </c>
      <c r="AQ435" s="985"/>
      <c r="AR435" s="2">
        <v>0.47</v>
      </c>
      <c r="AS435" s="2">
        <v>0.54</v>
      </c>
      <c r="AT435" s="2">
        <v>0.45</v>
      </c>
      <c r="AU435" s="2">
        <v>2</v>
      </c>
      <c r="AV435" s="2">
        <v>3.3</v>
      </c>
      <c r="AW435" s="2">
        <v>12848.541887298286</v>
      </c>
      <c r="AX435" s="2">
        <v>75022.04959166942</v>
      </c>
      <c r="AY435" s="2">
        <v>65937.809199439725</v>
      </c>
      <c r="AZ435" s="27">
        <v>0</v>
      </c>
      <c r="BA435" s="27">
        <v>0</v>
      </c>
      <c r="BB435" s="2">
        <v>0.6</v>
      </c>
      <c r="BC435" s="30">
        <v>0</v>
      </c>
      <c r="BD435" s="34">
        <v>0</v>
      </c>
      <c r="BE435" s="34">
        <v>1</v>
      </c>
      <c r="BF435" s="40">
        <v>0</v>
      </c>
      <c r="BG435" s="2">
        <v>0</v>
      </c>
      <c r="BH435" s="2">
        <v>0</v>
      </c>
      <c r="BI435" s="40">
        <v>1</v>
      </c>
      <c r="BJ435" s="2">
        <v>0</v>
      </c>
      <c r="BK435" s="2">
        <v>0</v>
      </c>
      <c r="BL435" s="2">
        <v>1</v>
      </c>
      <c r="BM435" s="40">
        <v>0</v>
      </c>
      <c r="BN435" s="958">
        <v>7.0000000000000007E-2</v>
      </c>
      <c r="BO435" s="50">
        <v>12</v>
      </c>
      <c r="BP435" s="1018">
        <f t="shared" ca="1" si="631"/>
        <v>162.63999999999999</v>
      </c>
      <c r="BQ435" s="1018">
        <f t="shared" ca="1" si="632"/>
        <v>285.02799999999996</v>
      </c>
      <c r="BR435" s="1018">
        <f t="shared" ca="1" si="633"/>
        <v>51.803914909975674</v>
      </c>
      <c r="BS435" s="1018">
        <f t="shared" ca="1" si="634"/>
        <v>115.89999999999998</v>
      </c>
      <c r="BT435" s="1018">
        <f t="shared" ca="1" si="635"/>
        <v>81.319999999999993</v>
      </c>
      <c r="BU435" s="1018">
        <f t="shared" ca="1" si="636"/>
        <v>22.93</v>
      </c>
      <c r="BV435" s="1018">
        <f t="shared" ca="1" si="637"/>
        <v>2.15</v>
      </c>
      <c r="BW435" s="1018">
        <v>0</v>
      </c>
      <c r="BX435" s="1018">
        <f t="shared" ca="1" si="638"/>
        <v>22.513722112891656</v>
      </c>
      <c r="BY435" s="1018">
        <f t="shared" ca="1" si="639"/>
        <v>57.229334308705177</v>
      </c>
      <c r="BZ435" s="1018">
        <f t="shared" ca="1" si="592"/>
        <v>11.202244897959185</v>
      </c>
      <c r="CA435" s="1018">
        <f t="shared" ca="1" si="593"/>
        <v>45.859999981655996</v>
      </c>
      <c r="CB435" s="1018">
        <f t="shared" ca="1" si="640"/>
        <v>4.5133587786259541</v>
      </c>
      <c r="CC435" s="1018">
        <f t="shared" si="594"/>
        <v>0</v>
      </c>
      <c r="CD435" s="1018">
        <f t="shared" ca="1" si="642"/>
        <v>160.50593412353626</v>
      </c>
      <c r="CE435" s="1018">
        <f t="shared" ca="1" si="573"/>
        <v>93.991926831362093</v>
      </c>
      <c r="CF435" s="1018">
        <f t="shared" ca="1" si="596"/>
        <v>7.6349358286469506</v>
      </c>
      <c r="CG435" s="1018">
        <f t="shared" ca="1" si="597"/>
        <v>12711.862757264027</v>
      </c>
    </row>
    <row r="436" spans="3:85" s="14" customFormat="1" x14ac:dyDescent="0.25">
      <c r="D436" s="15"/>
      <c r="F436" s="15"/>
      <c r="H436" s="15"/>
      <c r="J436" s="15"/>
      <c r="K436" s="16"/>
      <c r="L436" s="15"/>
      <c r="M436" s="15"/>
      <c r="N436" s="15"/>
      <c r="O436" s="15"/>
      <c r="P436" s="15"/>
      <c r="Q436" s="15"/>
      <c r="R436" s="15"/>
      <c r="S436" s="15"/>
      <c r="T436" s="80"/>
      <c r="U436" s="273"/>
      <c r="V436" s="292"/>
      <c r="W436" s="292"/>
      <c r="X436" s="292"/>
      <c r="Y436" s="277"/>
      <c r="Z436" s="292"/>
      <c r="AA436" s="292"/>
      <c r="AB436" s="292"/>
      <c r="AC436" s="292"/>
      <c r="AD436" s="277"/>
      <c r="AE436" s="292"/>
      <c r="AF436" s="292"/>
      <c r="AG436" s="277"/>
      <c r="AH436" s="313"/>
      <c r="AI436" s="28"/>
      <c r="AJ436" s="985"/>
      <c r="AK436" s="1020">
        <f t="shared" si="591"/>
        <v>0</v>
      </c>
      <c r="AL436" s="955"/>
      <c r="AM436" s="955"/>
      <c r="AN436" s="955"/>
      <c r="AO436" s="955"/>
      <c r="AP436" s="955"/>
      <c r="AQ436" s="985"/>
      <c r="AR436" s="28"/>
      <c r="AS436" s="28"/>
      <c r="AT436" s="28"/>
      <c r="AU436" s="28"/>
      <c r="AV436" s="28"/>
      <c r="AW436" s="28"/>
      <c r="AX436" s="28"/>
      <c r="AY436" s="28"/>
      <c r="AZ436" s="28"/>
      <c r="BA436" s="28"/>
      <c r="BB436" s="28"/>
      <c r="BC436" s="45"/>
      <c r="BD436" s="277"/>
      <c r="BE436" s="277"/>
      <c r="BF436" s="49"/>
      <c r="BG436" s="28"/>
      <c r="BH436" s="28"/>
      <c r="BI436" s="49"/>
      <c r="BJ436" s="28"/>
      <c r="BK436" s="28"/>
      <c r="BL436" s="28"/>
      <c r="BM436" s="49"/>
      <c r="BN436" s="277"/>
      <c r="BO436" s="49"/>
      <c r="BP436" s="946"/>
      <c r="BQ436" s="946"/>
      <c r="BR436" s="946"/>
      <c r="BS436" s="946"/>
      <c r="BT436" s="946"/>
      <c r="BU436" s="946"/>
      <c r="BV436" s="946"/>
      <c r="BW436" s="946"/>
      <c r="BX436" s="946"/>
      <c r="BY436" s="946"/>
      <c r="BZ436" s="946"/>
      <c r="CA436" s="946"/>
      <c r="CB436" s="946"/>
      <c r="CC436" s="946"/>
      <c r="CD436" s="946"/>
      <c r="CE436" s="946"/>
      <c r="CF436" s="946"/>
      <c r="CG436" s="946"/>
    </row>
    <row r="437" spans="3:85" x14ac:dyDescent="0.25">
      <c r="D437" s="1"/>
      <c r="F437" s="1"/>
      <c r="G437" s="3"/>
      <c r="H437" s="6"/>
      <c r="I437" s="3"/>
      <c r="J437" s="6"/>
      <c r="K437" s="8"/>
      <c r="L437" s="6"/>
      <c r="M437" s="6"/>
      <c r="N437" s="6"/>
      <c r="O437" s="6"/>
      <c r="P437" s="6"/>
      <c r="Q437" s="6" t="s">
        <v>16</v>
      </c>
      <c r="R437" s="4"/>
      <c r="S437" s="1"/>
      <c r="T437" s="77"/>
      <c r="X437" s="176">
        <f>W427-X427</f>
        <v>0</v>
      </c>
      <c r="Y437" s="34">
        <f>X437/Calculation_sheet!M$67</f>
        <v>0</v>
      </c>
      <c r="Z437" s="176">
        <f ca="1">IF(AN437&gt;0,Y437*Calculation_sheet!C$87,0)</f>
        <v>0</v>
      </c>
      <c r="AA437" s="176">
        <f t="shared" ref="AA437:AA445" ca="1" si="643">Y437-Z437</f>
        <v>0</v>
      </c>
      <c r="AB437" s="176">
        <f ca="1">IF(AP437&gt;0,AA437*Calculation_sheet!C$94,0)</f>
        <v>0</v>
      </c>
      <c r="AC437" s="176">
        <f t="shared" ref="AC437:AE445" ca="1" si="644">AA437-AB437</f>
        <v>0</v>
      </c>
      <c r="AD437" s="958">
        <f ca="1">AC437*Calculation_sheet!C$99</f>
        <v>0</v>
      </c>
      <c r="AE437" s="176">
        <f t="shared" ca="1" si="644"/>
        <v>0</v>
      </c>
      <c r="AF437" s="176">
        <f t="shared" ref="AF437:AF445" ca="1" si="645">Y437-AB437</f>
        <v>0</v>
      </c>
      <c r="AG437" s="958">
        <f ca="1">AF437*User_sheet!B$77/100</f>
        <v>0</v>
      </c>
      <c r="AH437" s="313"/>
      <c r="AI437" s="2">
        <v>104</v>
      </c>
      <c r="AJ437" s="985"/>
      <c r="AK437" s="1020">
        <f t="shared" ca="1" si="591"/>
        <v>153.69830041184997</v>
      </c>
      <c r="AL437" s="954">
        <f ca="1">AK437/'103'!I$24</f>
        <v>0.3458752189296202</v>
      </c>
      <c r="AM437" s="954">
        <f ca="1">0.8*(AK437*30+'104'!D$17*0.34*30*1)</f>
        <v>6608.4724898843997</v>
      </c>
      <c r="AN437" s="954">
        <f ca="1">IF(AM437&lt;User_sheet!B$50,Y437,0)</f>
        <v>0</v>
      </c>
      <c r="AO437" s="954">
        <f ca="1">20-(User_sheet!B$57/('Freestanding '!AK437+'104'!D$17*1*0.34))</f>
        <v>-0.70069902074950008</v>
      </c>
      <c r="AP437" s="954">
        <f ca="1">IF(AO437&lt;User_sheet!B$59,0,BC437*AA437)</f>
        <v>0</v>
      </c>
      <c r="AQ437" s="985"/>
      <c r="AR437" s="2">
        <v>0.32</v>
      </c>
      <c r="AS437" s="2">
        <v>0.54</v>
      </c>
      <c r="AT437" s="2">
        <v>0.45</v>
      </c>
      <c r="AU437" s="2">
        <v>2</v>
      </c>
      <c r="AV437" s="2">
        <v>3.3</v>
      </c>
      <c r="AW437" s="2">
        <v>14356</v>
      </c>
      <c r="AX437" s="2">
        <v>75022.04959166942</v>
      </c>
      <c r="AY437" s="2">
        <v>65937.809199439725</v>
      </c>
      <c r="AZ437" s="27">
        <v>0</v>
      </c>
      <c r="BA437" s="27">
        <v>0</v>
      </c>
      <c r="BB437" s="2">
        <v>0.6</v>
      </c>
      <c r="BC437" s="30">
        <v>1</v>
      </c>
      <c r="BD437" s="34">
        <v>0</v>
      </c>
      <c r="BE437" s="34">
        <v>0</v>
      </c>
      <c r="BF437" s="40">
        <v>0</v>
      </c>
      <c r="BG437" s="2">
        <v>1</v>
      </c>
      <c r="BH437" s="2">
        <v>0</v>
      </c>
      <c r="BI437" s="40">
        <v>0</v>
      </c>
      <c r="BJ437" s="2">
        <v>1</v>
      </c>
      <c r="BK437" s="2">
        <v>0</v>
      </c>
      <c r="BL437" s="2">
        <v>0</v>
      </c>
      <c r="BM437" s="40">
        <v>0</v>
      </c>
      <c r="BN437" s="958">
        <v>7.0000000000000007E-2</v>
      </c>
      <c r="BO437" s="50">
        <v>12</v>
      </c>
      <c r="BP437" s="1018">
        <f t="shared" ref="BP437:BP445" ca="1" si="646">INDIRECT("'"&amp;AI437&amp;"'!"&amp;"B2")</f>
        <v>162.63999999999999</v>
      </c>
      <c r="BQ437" s="1018">
        <f t="shared" ref="BQ437:BQ445" ca="1" si="647">INDIRECT("'"&amp;AI437&amp;"'!"&amp;"C12")+INDIRECT("'"&amp;AI437&amp;"'!"&amp;"C13")+INDIRECT("'"&amp;AI437&amp;"'!"&amp;"C14")+INDIRECT("'"&amp;AI437&amp;"'!"&amp;"C15")+INDIRECT("'"&amp;AI437&amp;"'!"&amp;"C17")</f>
        <v>285.02799999999996</v>
      </c>
      <c r="BR437" s="1018">
        <f t="shared" ref="BR437:BR445" ca="1" si="648">INDIRECT("'"&amp;AI437&amp;"'!"&amp;"G5")</f>
        <v>51.803914909975674</v>
      </c>
      <c r="BS437" s="1018">
        <f t="shared" ref="BS437:BS445" ca="1" si="649">INDIRECT("'"&amp;AI437&amp;"'!"&amp;"G4")</f>
        <v>115.89999999999998</v>
      </c>
      <c r="BT437" s="1018">
        <f t="shared" ref="BT437:BT445" ca="1" si="650">INDIRECT("'"&amp;AI437&amp;"'!"&amp;"G6")</f>
        <v>81.319999999999993</v>
      </c>
      <c r="BU437" s="1018">
        <f t="shared" ref="BU437:BU445" ca="1" si="651">INDIRECT("'"&amp;AI437&amp;"'!"&amp;"G2")</f>
        <v>22.93</v>
      </c>
      <c r="BV437" s="1018">
        <f t="shared" ref="BV437:BV445" ca="1" si="652">INDIRECT("'"&amp;AI437&amp;"'!"&amp;"G3")</f>
        <v>2.15</v>
      </c>
      <c r="BW437" s="1018">
        <v>0</v>
      </c>
      <c r="BX437" s="1018">
        <f t="shared" ref="BX437:BX445" ca="1" si="653">IF(BR437=0,0,1/(1/(BR437*$BY$3)+1/(BR437*AR437)+1/(BR437*$BY$4)))</f>
        <v>15.70608840120536</v>
      </c>
      <c r="BY437" s="1018">
        <f t="shared" ref="BY437:BY445" ca="1" si="654">IF(BS437=0,0,1/(1/(BS437*$BY$3)+1/(BS437*AS437)+1/(BS437*$BY$4)))</f>
        <v>57.229334308705177</v>
      </c>
      <c r="BZ437" s="1018">
        <f t="shared" ca="1" si="592"/>
        <v>11.202244897959185</v>
      </c>
      <c r="CA437" s="1018">
        <f t="shared" ca="1" si="593"/>
        <v>45.859999981655996</v>
      </c>
      <c r="CB437" s="1018">
        <f t="shared" ref="CB437:CB445" ca="1" si="655">IF(BV437=0,0,1/(1/(BV437*$BY$3)+1/(BV437*AV437)+1/(BV437*$BY$4)))</f>
        <v>4.5133587786259541</v>
      </c>
      <c r="CC437" s="1018">
        <f t="shared" si="594"/>
        <v>0</v>
      </c>
      <c r="CD437" s="1018">
        <f ca="1">SUM(BX437:CC437)+(BR437+BS437+BT437+BU437+BV437)*BN437</f>
        <v>153.69830041184997</v>
      </c>
      <c r="CE437" s="1018">
        <f t="shared" ca="1" si="573"/>
        <v>93.991926831362093</v>
      </c>
      <c r="CF437" s="1018">
        <f t="shared" ca="1" si="596"/>
        <v>7.430706817296362</v>
      </c>
      <c r="CG437" s="1018">
        <f t="shared" ca="1" si="597"/>
        <v>12371.829622525751</v>
      </c>
    </row>
    <row r="438" spans="3:85" x14ac:dyDescent="0.25">
      <c r="D438" s="1"/>
      <c r="F438" s="1"/>
      <c r="G438" s="3"/>
      <c r="H438" s="6"/>
      <c r="I438" s="3"/>
      <c r="J438" s="6"/>
      <c r="K438" s="8"/>
      <c r="L438" s="6"/>
      <c r="M438" s="6"/>
      <c r="N438" s="6"/>
      <c r="O438" s="6" t="s">
        <v>18</v>
      </c>
      <c r="P438" s="4"/>
      <c r="Q438" s="6" t="s">
        <v>7</v>
      </c>
      <c r="R438" s="4"/>
      <c r="S438" s="1"/>
      <c r="T438" s="77"/>
      <c r="X438" s="176">
        <f t="shared" ref="X438:X445" si="656">W428-X428</f>
        <v>0</v>
      </c>
      <c r="Y438" s="34">
        <f>X438/Calculation_sheet!M$67</f>
        <v>0</v>
      </c>
      <c r="Z438" s="176">
        <f ca="1">IF(AN438&gt;0,Y438*Calculation_sheet!C$87,0)</f>
        <v>0</v>
      </c>
      <c r="AA438" s="176">
        <f t="shared" ca="1" si="643"/>
        <v>0</v>
      </c>
      <c r="AB438" s="176">
        <f ca="1">IF(AP438&gt;0,AA438*Calculation_sheet!C$94,0)</f>
        <v>0</v>
      </c>
      <c r="AC438" s="176">
        <f t="shared" ca="1" si="644"/>
        <v>0</v>
      </c>
      <c r="AD438" s="958">
        <f ca="1">AC438*Calculation_sheet!C$99</f>
        <v>0</v>
      </c>
      <c r="AE438" s="176">
        <f t="shared" ca="1" si="644"/>
        <v>0</v>
      </c>
      <c r="AF438" s="176">
        <f t="shared" ca="1" si="645"/>
        <v>0</v>
      </c>
      <c r="AG438" s="958">
        <f ca="1">AF438*User_sheet!B$77/100</f>
        <v>0</v>
      </c>
      <c r="AH438" s="313"/>
      <c r="AI438" s="2">
        <v>104</v>
      </c>
      <c r="AJ438" s="985"/>
      <c r="AK438" s="1020">
        <f t="shared" ca="1" si="591"/>
        <v>153.69830041184997</v>
      </c>
      <c r="AL438" s="954">
        <f ca="1">AK438/'103'!I$24</f>
        <v>0.3458752189296202</v>
      </c>
      <c r="AM438" s="954">
        <f ca="1">0.8*(AK438*30+'104'!D$17*0.34*30*1)</f>
        <v>6608.4724898843997</v>
      </c>
      <c r="AN438" s="954">
        <f ca="1">IF(AM438&lt;User_sheet!B$50,Y438,0)</f>
        <v>0</v>
      </c>
      <c r="AO438" s="954">
        <f ca="1">20-(User_sheet!B$57/('Freestanding '!AK438+'104'!D$17*1*0.34))</f>
        <v>-0.70069902074950008</v>
      </c>
      <c r="AP438" s="954">
        <f ca="1">IF(AO438&lt;User_sheet!B$59,0,BC438*AA438)</f>
        <v>0</v>
      </c>
      <c r="AQ438" s="985"/>
      <c r="AR438" s="2">
        <v>0.32</v>
      </c>
      <c r="AS438" s="2">
        <v>0.54</v>
      </c>
      <c r="AT438" s="2">
        <v>0.45</v>
      </c>
      <c r="AU438" s="2">
        <v>2</v>
      </c>
      <c r="AV438" s="2">
        <v>3.3</v>
      </c>
      <c r="AW438" s="2">
        <v>14356</v>
      </c>
      <c r="AX438" s="2">
        <v>75022.04959166942</v>
      </c>
      <c r="AY438" s="2">
        <v>65937.809199439725</v>
      </c>
      <c r="AZ438" s="27">
        <v>0</v>
      </c>
      <c r="BA438" s="27">
        <v>0</v>
      </c>
      <c r="BB438" s="2">
        <v>0.6</v>
      </c>
      <c r="BC438" s="30">
        <v>1</v>
      </c>
      <c r="BD438" s="34">
        <v>0</v>
      </c>
      <c r="BE438" s="34">
        <v>0</v>
      </c>
      <c r="BF438" s="40">
        <v>0</v>
      </c>
      <c r="BG438" s="2">
        <v>1</v>
      </c>
      <c r="BH438" s="2">
        <v>0</v>
      </c>
      <c r="BI438" s="40">
        <v>0</v>
      </c>
      <c r="BJ438" s="2">
        <v>0</v>
      </c>
      <c r="BK438" s="2">
        <v>0</v>
      </c>
      <c r="BL438" s="2">
        <v>1</v>
      </c>
      <c r="BM438" s="40">
        <v>0</v>
      </c>
      <c r="BN438" s="958">
        <v>7.0000000000000007E-2</v>
      </c>
      <c r="BO438" s="50">
        <v>12</v>
      </c>
      <c r="BP438" s="1018">
        <f t="shared" ca="1" si="646"/>
        <v>162.63999999999999</v>
      </c>
      <c r="BQ438" s="1018">
        <f t="shared" ca="1" si="647"/>
        <v>285.02799999999996</v>
      </c>
      <c r="BR438" s="1018">
        <f t="shared" ca="1" si="648"/>
        <v>51.803914909975674</v>
      </c>
      <c r="BS438" s="1018">
        <f t="shared" ca="1" si="649"/>
        <v>115.89999999999998</v>
      </c>
      <c r="BT438" s="1018">
        <f t="shared" ca="1" si="650"/>
        <v>81.319999999999993</v>
      </c>
      <c r="BU438" s="1018">
        <f t="shared" ca="1" si="651"/>
        <v>22.93</v>
      </c>
      <c r="BV438" s="1018">
        <f t="shared" ca="1" si="652"/>
        <v>2.15</v>
      </c>
      <c r="BW438" s="1018">
        <v>0</v>
      </c>
      <c r="BX438" s="1018">
        <f t="shared" ca="1" si="653"/>
        <v>15.70608840120536</v>
      </c>
      <c r="BY438" s="1018">
        <f t="shared" ca="1" si="654"/>
        <v>57.229334308705177</v>
      </c>
      <c r="BZ438" s="1018">
        <f t="shared" ca="1" si="592"/>
        <v>11.202244897959185</v>
      </c>
      <c r="CA438" s="1018">
        <f t="shared" ca="1" si="593"/>
        <v>45.859999981655996</v>
      </c>
      <c r="CB438" s="1018">
        <f t="shared" ca="1" si="655"/>
        <v>4.5133587786259541</v>
      </c>
      <c r="CC438" s="1018">
        <f t="shared" si="594"/>
        <v>0</v>
      </c>
      <c r="CD438" s="1018">
        <f t="shared" ref="CD438:CD445" ca="1" si="657">SUM(BX438:CC438)+(BR438+BS438+BT438+BU438+BV438)*BN438</f>
        <v>153.69830041184997</v>
      </c>
      <c r="CE438" s="1018">
        <f t="shared" ca="1" si="573"/>
        <v>93.991926831362093</v>
      </c>
      <c r="CF438" s="1018">
        <f t="shared" ca="1" si="596"/>
        <v>7.430706817296362</v>
      </c>
      <c r="CG438" s="1018">
        <f t="shared" ca="1" si="597"/>
        <v>12371.829622525751</v>
      </c>
    </row>
    <row r="439" spans="3:85" x14ac:dyDescent="0.25">
      <c r="D439" s="1"/>
      <c r="F439" s="1"/>
      <c r="G439" s="3"/>
      <c r="H439" s="6"/>
      <c r="I439" s="3"/>
      <c r="J439" s="6"/>
      <c r="K439" s="8"/>
      <c r="L439" s="6"/>
      <c r="M439" s="6"/>
      <c r="N439" s="6"/>
      <c r="O439" s="6"/>
      <c r="P439" s="6"/>
      <c r="Q439" s="6" t="s">
        <v>16</v>
      </c>
      <c r="R439" s="4"/>
      <c r="S439" s="1"/>
      <c r="T439" s="77"/>
      <c r="X439" s="176">
        <f t="shared" si="656"/>
        <v>0</v>
      </c>
      <c r="Y439" s="34">
        <f>X439/Calculation_sheet!M$67</f>
        <v>0</v>
      </c>
      <c r="Z439" s="176">
        <f ca="1">IF(AN439&gt;0,Y439*Calculation_sheet!C$87,0)</f>
        <v>0</v>
      </c>
      <c r="AA439" s="176">
        <f t="shared" ca="1" si="643"/>
        <v>0</v>
      </c>
      <c r="AB439" s="176">
        <f ca="1">IF(AP439&gt;0,AA439*Calculation_sheet!C$94,0)</f>
        <v>0</v>
      </c>
      <c r="AC439" s="176">
        <f t="shared" ca="1" si="644"/>
        <v>0</v>
      </c>
      <c r="AD439" s="958">
        <f ca="1">AC439*Calculation_sheet!C$99</f>
        <v>0</v>
      </c>
      <c r="AE439" s="176">
        <f t="shared" ca="1" si="644"/>
        <v>0</v>
      </c>
      <c r="AF439" s="176">
        <f t="shared" ca="1" si="645"/>
        <v>0</v>
      </c>
      <c r="AG439" s="958">
        <f ca="1">AF439*User_sheet!B$77/100</f>
        <v>0</v>
      </c>
      <c r="AH439" s="313"/>
      <c r="AI439" s="2">
        <v>104</v>
      </c>
      <c r="AJ439" s="985"/>
      <c r="AK439" s="1020">
        <f t="shared" ca="1" si="591"/>
        <v>153.69830041184997</v>
      </c>
      <c r="AL439" s="954">
        <f ca="1">AK439/'103'!I$24</f>
        <v>0.3458752189296202</v>
      </c>
      <c r="AM439" s="954">
        <f ca="1">0.8*(AK439*30+'104'!D$17*0.34*30*1)</f>
        <v>6608.4724898843997</v>
      </c>
      <c r="AN439" s="954">
        <f ca="1">IF(AM439&lt;User_sheet!B$50,Y439,0)</f>
        <v>0</v>
      </c>
      <c r="AO439" s="954">
        <f ca="1">20-(User_sheet!B$57/('Freestanding '!AK439+'104'!D$17*1*0.34))</f>
        <v>-0.70069902074950008</v>
      </c>
      <c r="AP439" s="954">
        <f ca="1">IF(AO439&lt;User_sheet!B$59,0,BC439*AA439)</f>
        <v>0</v>
      </c>
      <c r="AQ439" s="985"/>
      <c r="AR439" s="2">
        <v>0.32</v>
      </c>
      <c r="AS439" s="2">
        <v>0.54</v>
      </c>
      <c r="AT439" s="2">
        <v>0.45</v>
      </c>
      <c r="AU439" s="2">
        <v>2</v>
      </c>
      <c r="AV439" s="2">
        <v>3.3</v>
      </c>
      <c r="AW439" s="2">
        <v>14356</v>
      </c>
      <c r="AX439" s="2">
        <v>75022.04959166942</v>
      </c>
      <c r="AY439" s="2">
        <v>65937.809199439725</v>
      </c>
      <c r="AZ439" s="27">
        <v>0</v>
      </c>
      <c r="BA439" s="27">
        <v>0</v>
      </c>
      <c r="BB439" s="2">
        <v>0.6</v>
      </c>
      <c r="BC439" s="30">
        <v>1</v>
      </c>
      <c r="BD439" s="34">
        <v>0</v>
      </c>
      <c r="BE439" s="34">
        <v>0</v>
      </c>
      <c r="BF439" s="40">
        <v>0</v>
      </c>
      <c r="BG439" s="2">
        <v>0</v>
      </c>
      <c r="BH439" s="2">
        <v>1</v>
      </c>
      <c r="BI439" s="40">
        <v>0</v>
      </c>
      <c r="BJ439" s="2">
        <v>1</v>
      </c>
      <c r="BK439" s="2">
        <v>0</v>
      </c>
      <c r="BL439" s="2">
        <v>0</v>
      </c>
      <c r="BM439" s="40">
        <v>0</v>
      </c>
      <c r="BN439" s="958">
        <v>7.0000000000000007E-2</v>
      </c>
      <c r="BO439" s="50">
        <v>12</v>
      </c>
      <c r="BP439" s="1018">
        <f t="shared" ca="1" si="646"/>
        <v>162.63999999999999</v>
      </c>
      <c r="BQ439" s="1018">
        <f t="shared" ca="1" si="647"/>
        <v>285.02799999999996</v>
      </c>
      <c r="BR439" s="1018">
        <f t="shared" ca="1" si="648"/>
        <v>51.803914909975674</v>
      </c>
      <c r="BS439" s="1018">
        <f t="shared" ca="1" si="649"/>
        <v>115.89999999999998</v>
      </c>
      <c r="BT439" s="1018">
        <f t="shared" ca="1" si="650"/>
        <v>81.319999999999993</v>
      </c>
      <c r="BU439" s="1018">
        <f t="shared" ca="1" si="651"/>
        <v>22.93</v>
      </c>
      <c r="BV439" s="1018">
        <f t="shared" ca="1" si="652"/>
        <v>2.15</v>
      </c>
      <c r="BW439" s="1018">
        <v>0</v>
      </c>
      <c r="BX439" s="1018">
        <f t="shared" ca="1" si="653"/>
        <v>15.70608840120536</v>
      </c>
      <c r="BY439" s="1018">
        <f t="shared" ca="1" si="654"/>
        <v>57.229334308705177</v>
      </c>
      <c r="BZ439" s="1018">
        <f t="shared" ca="1" si="592"/>
        <v>11.202244897959185</v>
      </c>
      <c r="CA439" s="1018">
        <f t="shared" ca="1" si="593"/>
        <v>45.859999981655996</v>
      </c>
      <c r="CB439" s="1018">
        <f t="shared" ca="1" si="655"/>
        <v>4.5133587786259541</v>
      </c>
      <c r="CC439" s="1018">
        <f t="shared" si="594"/>
        <v>0</v>
      </c>
      <c r="CD439" s="1018">
        <f t="shared" ca="1" si="657"/>
        <v>153.69830041184997</v>
      </c>
      <c r="CE439" s="1018">
        <f t="shared" ca="1" si="573"/>
        <v>93.991926831362093</v>
      </c>
      <c r="CF439" s="1018">
        <f t="shared" ca="1" si="596"/>
        <v>7.430706817296362</v>
      </c>
      <c r="CG439" s="1018">
        <f t="shared" ca="1" si="597"/>
        <v>12371.829622525751</v>
      </c>
    </row>
    <row r="440" spans="3:85" x14ac:dyDescent="0.25">
      <c r="D440" s="1"/>
      <c r="F440" s="1"/>
      <c r="G440" s="3"/>
      <c r="H440" s="6"/>
      <c r="I440" s="3"/>
      <c r="J440" s="3" t="s">
        <v>144</v>
      </c>
      <c r="K440" s="8"/>
      <c r="L440" s="6"/>
      <c r="M440" s="6" t="s">
        <v>16</v>
      </c>
      <c r="N440" s="4"/>
      <c r="O440" s="6" t="s">
        <v>19</v>
      </c>
      <c r="P440" s="4"/>
      <c r="Q440" s="6" t="s">
        <v>7</v>
      </c>
      <c r="R440" s="4"/>
      <c r="S440" s="1"/>
      <c r="T440" s="77"/>
      <c r="X440" s="176">
        <f t="shared" si="656"/>
        <v>0</v>
      </c>
      <c r="Y440" s="34">
        <f>X440/Calculation_sheet!M$67</f>
        <v>0</v>
      </c>
      <c r="Z440" s="176">
        <f ca="1">IF(AN440&gt;0,Y440*Calculation_sheet!C$87,0)</f>
        <v>0</v>
      </c>
      <c r="AA440" s="176">
        <f t="shared" ca="1" si="643"/>
        <v>0</v>
      </c>
      <c r="AB440" s="176">
        <f ca="1">IF(AP440&gt;0,AA440*Calculation_sheet!C$94,0)</f>
        <v>0</v>
      </c>
      <c r="AC440" s="176">
        <f t="shared" ca="1" si="644"/>
        <v>0</v>
      </c>
      <c r="AD440" s="958">
        <f ca="1">AC440*Calculation_sheet!C$99</f>
        <v>0</v>
      </c>
      <c r="AE440" s="176">
        <f t="shared" ca="1" si="644"/>
        <v>0</v>
      </c>
      <c r="AF440" s="176">
        <f t="shared" ca="1" si="645"/>
        <v>0</v>
      </c>
      <c r="AG440" s="958">
        <f ca="1">AF440*User_sheet!B$77/100</f>
        <v>0</v>
      </c>
      <c r="AH440" s="313"/>
      <c r="AI440" s="2">
        <v>104</v>
      </c>
      <c r="AJ440" s="985"/>
      <c r="AK440" s="1020">
        <f t="shared" ca="1" si="591"/>
        <v>153.69830041184997</v>
      </c>
      <c r="AL440" s="954">
        <f ca="1">AK440/'103'!I$24</f>
        <v>0.3458752189296202</v>
      </c>
      <c r="AM440" s="954">
        <f ca="1">0.8*(AK440*30+'104'!D$17*0.34*30*1)</f>
        <v>6608.4724898843997</v>
      </c>
      <c r="AN440" s="954">
        <f ca="1">IF(AM440&lt;User_sheet!B$50,Y440,0)</f>
        <v>0</v>
      </c>
      <c r="AO440" s="954">
        <f ca="1">20-(User_sheet!B$57/('Freestanding '!AK440+'104'!D$17*1*0.34))</f>
        <v>-0.70069902074950008</v>
      </c>
      <c r="AP440" s="954">
        <f ca="1">IF(AO440&lt;User_sheet!B$59,0,BC440*AA440)</f>
        <v>0</v>
      </c>
      <c r="AQ440" s="985"/>
      <c r="AR440" s="2">
        <v>0.32</v>
      </c>
      <c r="AS440" s="2">
        <v>0.54</v>
      </c>
      <c r="AT440" s="2">
        <v>0.45</v>
      </c>
      <c r="AU440" s="2">
        <v>2</v>
      </c>
      <c r="AV440" s="2">
        <v>3.3</v>
      </c>
      <c r="AW440" s="2">
        <v>14356</v>
      </c>
      <c r="AX440" s="2">
        <v>75022.04959166942</v>
      </c>
      <c r="AY440" s="2">
        <v>65937.809199439725</v>
      </c>
      <c r="AZ440" s="27">
        <v>0</v>
      </c>
      <c r="BA440" s="27">
        <v>0</v>
      </c>
      <c r="BB440" s="2">
        <v>0.6</v>
      </c>
      <c r="BC440" s="30">
        <v>1</v>
      </c>
      <c r="BD440" s="34">
        <v>0</v>
      </c>
      <c r="BE440" s="34">
        <v>0</v>
      </c>
      <c r="BF440" s="40">
        <v>0</v>
      </c>
      <c r="BG440" s="2">
        <v>0</v>
      </c>
      <c r="BH440" s="2">
        <v>1</v>
      </c>
      <c r="BI440" s="40">
        <v>0</v>
      </c>
      <c r="BJ440" s="2">
        <v>0</v>
      </c>
      <c r="BK440" s="2">
        <v>0</v>
      </c>
      <c r="BL440" s="2">
        <v>1</v>
      </c>
      <c r="BM440" s="40">
        <v>0</v>
      </c>
      <c r="BN440" s="958">
        <v>7.0000000000000007E-2</v>
      </c>
      <c r="BO440" s="50">
        <v>12</v>
      </c>
      <c r="BP440" s="1018">
        <f t="shared" ca="1" si="646"/>
        <v>162.63999999999999</v>
      </c>
      <c r="BQ440" s="1018">
        <f t="shared" ca="1" si="647"/>
        <v>285.02799999999996</v>
      </c>
      <c r="BR440" s="1018">
        <f t="shared" ca="1" si="648"/>
        <v>51.803914909975674</v>
      </c>
      <c r="BS440" s="1018">
        <f t="shared" ca="1" si="649"/>
        <v>115.89999999999998</v>
      </c>
      <c r="BT440" s="1018">
        <f t="shared" ca="1" si="650"/>
        <v>81.319999999999993</v>
      </c>
      <c r="BU440" s="1018">
        <f t="shared" ca="1" si="651"/>
        <v>22.93</v>
      </c>
      <c r="BV440" s="1018">
        <f t="shared" ca="1" si="652"/>
        <v>2.15</v>
      </c>
      <c r="BW440" s="1018">
        <v>0</v>
      </c>
      <c r="BX440" s="1018">
        <f t="shared" ca="1" si="653"/>
        <v>15.70608840120536</v>
      </c>
      <c r="BY440" s="1018">
        <f t="shared" ca="1" si="654"/>
        <v>57.229334308705177</v>
      </c>
      <c r="BZ440" s="1018">
        <f t="shared" ca="1" si="592"/>
        <v>11.202244897959185</v>
      </c>
      <c r="CA440" s="1018">
        <f t="shared" ca="1" si="593"/>
        <v>45.859999981655996</v>
      </c>
      <c r="CB440" s="1018">
        <f t="shared" ca="1" si="655"/>
        <v>4.5133587786259541</v>
      </c>
      <c r="CC440" s="1018">
        <f t="shared" si="594"/>
        <v>0</v>
      </c>
      <c r="CD440" s="1018">
        <f t="shared" ca="1" si="657"/>
        <v>153.69830041184997</v>
      </c>
      <c r="CE440" s="1018">
        <f t="shared" ca="1" si="573"/>
        <v>93.991926831362093</v>
      </c>
      <c r="CF440" s="1018">
        <f t="shared" ca="1" si="596"/>
        <v>7.430706817296362</v>
      </c>
      <c r="CG440" s="1018">
        <f t="shared" ca="1" si="597"/>
        <v>12371.829622525751</v>
      </c>
    </row>
    <row r="441" spans="3:85" x14ac:dyDescent="0.25">
      <c r="D441" s="1"/>
      <c r="F441" s="1"/>
      <c r="G441" s="3"/>
      <c r="H441" s="6"/>
      <c r="I441" s="3"/>
      <c r="J441" s="6" t="s">
        <v>190</v>
      </c>
      <c r="K441" s="8"/>
      <c r="L441" s="6"/>
      <c r="M441" s="6"/>
      <c r="N441" s="1"/>
      <c r="O441" s="6"/>
      <c r="P441" s="6"/>
      <c r="Q441" s="6" t="s">
        <v>22</v>
      </c>
      <c r="R441" s="4"/>
      <c r="S441" s="1"/>
      <c r="T441" s="77"/>
      <c r="X441" s="176">
        <f t="shared" si="656"/>
        <v>0</v>
      </c>
      <c r="Y441" s="34">
        <f>X441/Calculation_sheet!M$67</f>
        <v>0</v>
      </c>
      <c r="Z441" s="176">
        <f ca="1">IF(AN441&gt;0,Y441*Calculation_sheet!C$87,0)</f>
        <v>0</v>
      </c>
      <c r="AA441" s="176">
        <f t="shared" ca="1" si="643"/>
        <v>0</v>
      </c>
      <c r="AB441" s="176">
        <f ca="1">IF(AP441&gt;0,AA441*Calculation_sheet!C$94,0)</f>
        <v>0</v>
      </c>
      <c r="AC441" s="176">
        <f t="shared" ca="1" si="644"/>
        <v>0</v>
      </c>
      <c r="AD441" s="958">
        <f ca="1">AC441*Calculation_sheet!C$99</f>
        <v>0</v>
      </c>
      <c r="AE441" s="176">
        <f t="shared" ca="1" si="644"/>
        <v>0</v>
      </c>
      <c r="AF441" s="176">
        <f t="shared" ca="1" si="645"/>
        <v>0</v>
      </c>
      <c r="AG441" s="958">
        <f ca="1">AF441*User_sheet!B$77/100</f>
        <v>0</v>
      </c>
      <c r="AH441" s="313"/>
      <c r="AI441" s="2">
        <v>104</v>
      </c>
      <c r="AJ441" s="985"/>
      <c r="AK441" s="1020">
        <f t="shared" ca="1" si="591"/>
        <v>153.69830041184997</v>
      </c>
      <c r="AL441" s="954">
        <f ca="1">AK441/'103'!I$24</f>
        <v>0.3458752189296202</v>
      </c>
      <c r="AM441" s="954">
        <f ca="1">0.8*(AK441*30+'104'!D$17*0.34*30*1)</f>
        <v>6608.4724898843997</v>
      </c>
      <c r="AN441" s="954">
        <f ca="1">IF(AM441&lt;User_sheet!B$50,Y441,0)</f>
        <v>0</v>
      </c>
      <c r="AO441" s="954">
        <f ca="1">20-(User_sheet!B$57/('Freestanding '!AK441+'104'!D$17*1*0.34))</f>
        <v>-0.70069902074950008</v>
      </c>
      <c r="AP441" s="954">
        <f ca="1">IF(AO441&lt;User_sheet!B$59,0,BC441*AA441)</f>
        <v>0</v>
      </c>
      <c r="AQ441" s="985"/>
      <c r="AR441" s="2">
        <v>0.32</v>
      </c>
      <c r="AS441" s="2">
        <v>0.54</v>
      </c>
      <c r="AT441" s="2">
        <v>0.45</v>
      </c>
      <c r="AU441" s="2">
        <v>2</v>
      </c>
      <c r="AV441" s="2">
        <v>3.3</v>
      </c>
      <c r="AW441" s="2">
        <v>14356</v>
      </c>
      <c r="AX441" s="2">
        <v>75022.04959166942</v>
      </c>
      <c r="AY441" s="2">
        <v>65937.809199439725</v>
      </c>
      <c r="AZ441" s="27">
        <v>0</v>
      </c>
      <c r="BA441" s="27">
        <v>0</v>
      </c>
      <c r="BB441" s="2">
        <v>0.6</v>
      </c>
      <c r="BC441" s="30">
        <v>0</v>
      </c>
      <c r="BD441" s="34">
        <v>1</v>
      </c>
      <c r="BE441" s="34">
        <v>0</v>
      </c>
      <c r="BF441" s="40">
        <v>0</v>
      </c>
      <c r="BG441" s="2">
        <v>1</v>
      </c>
      <c r="BH441" s="2">
        <v>0</v>
      </c>
      <c r="BI441" s="40">
        <v>0</v>
      </c>
      <c r="BJ441" s="2">
        <v>0</v>
      </c>
      <c r="BK441" s="2">
        <v>1</v>
      </c>
      <c r="BL441" s="2">
        <v>0</v>
      </c>
      <c r="BM441" s="40">
        <v>0</v>
      </c>
      <c r="BN441" s="958">
        <v>7.0000000000000007E-2</v>
      </c>
      <c r="BO441" s="50">
        <v>12</v>
      </c>
      <c r="BP441" s="1018">
        <f t="shared" ca="1" si="646"/>
        <v>162.63999999999999</v>
      </c>
      <c r="BQ441" s="1018">
        <f t="shared" ca="1" si="647"/>
        <v>285.02799999999996</v>
      </c>
      <c r="BR441" s="1018">
        <f t="shared" ca="1" si="648"/>
        <v>51.803914909975674</v>
      </c>
      <c r="BS441" s="1018">
        <f t="shared" ca="1" si="649"/>
        <v>115.89999999999998</v>
      </c>
      <c r="BT441" s="1018">
        <f t="shared" ca="1" si="650"/>
        <v>81.319999999999993</v>
      </c>
      <c r="BU441" s="1018">
        <f t="shared" ca="1" si="651"/>
        <v>22.93</v>
      </c>
      <c r="BV441" s="1018">
        <f t="shared" ca="1" si="652"/>
        <v>2.15</v>
      </c>
      <c r="BW441" s="1018">
        <v>0</v>
      </c>
      <c r="BX441" s="1018">
        <f t="shared" ca="1" si="653"/>
        <v>15.70608840120536</v>
      </c>
      <c r="BY441" s="1018">
        <f t="shared" ca="1" si="654"/>
        <v>57.229334308705177</v>
      </c>
      <c r="BZ441" s="1018">
        <f t="shared" ca="1" si="592"/>
        <v>11.202244897959185</v>
      </c>
      <c r="CA441" s="1018">
        <f t="shared" ca="1" si="593"/>
        <v>45.859999981655996</v>
      </c>
      <c r="CB441" s="1018">
        <f t="shared" ca="1" si="655"/>
        <v>4.5133587786259541</v>
      </c>
      <c r="CC441" s="1018">
        <f t="shared" si="594"/>
        <v>0</v>
      </c>
      <c r="CD441" s="1018">
        <f t="shared" ca="1" si="657"/>
        <v>153.69830041184997</v>
      </c>
      <c r="CE441" s="1018">
        <f t="shared" ref="CE441:CE445" ca="1" si="658">0.34*BO441*(1/25)^0.66*(BR441+BS441+BU441+BV441)</f>
        <v>93.991926831362093</v>
      </c>
      <c r="CF441" s="1018">
        <f t="shared" ca="1" si="596"/>
        <v>7.430706817296362</v>
      </c>
      <c r="CG441" s="1018">
        <f t="shared" ca="1" si="597"/>
        <v>12371.829622525751</v>
      </c>
    </row>
    <row r="442" spans="3:85" x14ac:dyDescent="0.25">
      <c r="D442" s="1"/>
      <c r="F442" s="1"/>
      <c r="G442" s="3"/>
      <c r="H442" s="6"/>
      <c r="I442" s="3"/>
      <c r="K442" s="8"/>
      <c r="L442" s="6"/>
      <c r="M442" s="1"/>
      <c r="N442" s="1"/>
      <c r="O442" s="1" t="s">
        <v>18</v>
      </c>
      <c r="P442" s="4"/>
      <c r="Q442" s="1" t="s">
        <v>7</v>
      </c>
      <c r="R442" s="4"/>
      <c r="S442" s="1"/>
      <c r="T442" s="77"/>
      <c r="X442" s="176">
        <f t="shared" si="656"/>
        <v>0</v>
      </c>
      <c r="Y442" s="34">
        <f>X442/Calculation_sheet!M$67</f>
        <v>0</v>
      </c>
      <c r="Z442" s="176">
        <f ca="1">IF(AN442&gt;0,Y442*Calculation_sheet!C$87,0)</f>
        <v>0</v>
      </c>
      <c r="AA442" s="176">
        <f t="shared" ca="1" si="643"/>
        <v>0</v>
      </c>
      <c r="AB442" s="176">
        <f ca="1">IF(AP442&gt;0,AA442*Calculation_sheet!C$94,0)</f>
        <v>0</v>
      </c>
      <c r="AC442" s="176">
        <f t="shared" ca="1" si="644"/>
        <v>0</v>
      </c>
      <c r="AD442" s="958">
        <f ca="1">AC442*Calculation_sheet!C$99</f>
        <v>0</v>
      </c>
      <c r="AE442" s="176">
        <f t="shared" ca="1" si="644"/>
        <v>0</v>
      </c>
      <c r="AF442" s="176">
        <f t="shared" ca="1" si="645"/>
        <v>0</v>
      </c>
      <c r="AG442" s="958">
        <f ca="1">AF442*User_sheet!B$77/100</f>
        <v>0</v>
      </c>
      <c r="AH442" s="313"/>
      <c r="AI442" s="2">
        <v>104</v>
      </c>
      <c r="AJ442" s="985"/>
      <c r="AK442" s="1020">
        <f t="shared" ca="1" si="591"/>
        <v>153.69830041184997</v>
      </c>
      <c r="AL442" s="954">
        <f ca="1">AK442/'103'!I$24</f>
        <v>0.3458752189296202</v>
      </c>
      <c r="AM442" s="954">
        <f ca="1">0.8*(AK442*30+'104'!D$17*0.34*30*1)</f>
        <v>6608.4724898843997</v>
      </c>
      <c r="AN442" s="954">
        <f ca="1">IF(AM442&lt;User_sheet!B$50,Y442,0)</f>
        <v>0</v>
      </c>
      <c r="AO442" s="954">
        <f ca="1">20-(User_sheet!B$57/('Freestanding '!AK442+'104'!D$17*1*0.34))</f>
        <v>-0.70069902074950008</v>
      </c>
      <c r="AP442" s="954">
        <f ca="1">IF(AO442&lt;User_sheet!B$59,0,BC442*AA442)</f>
        <v>0</v>
      </c>
      <c r="AQ442" s="985"/>
      <c r="AR442" s="2">
        <v>0.32</v>
      </c>
      <c r="AS442" s="2">
        <v>0.54</v>
      </c>
      <c r="AT442" s="2">
        <v>0.45</v>
      </c>
      <c r="AU442" s="2">
        <v>2</v>
      </c>
      <c r="AV442" s="2">
        <v>3.3</v>
      </c>
      <c r="AW442" s="2">
        <v>14356</v>
      </c>
      <c r="AX442" s="2">
        <v>75022.04959166942</v>
      </c>
      <c r="AY442" s="2">
        <v>65937.809199439725</v>
      </c>
      <c r="AZ442" s="27">
        <v>0</v>
      </c>
      <c r="BA442" s="27">
        <v>0</v>
      </c>
      <c r="BB442" s="2">
        <v>0.6</v>
      </c>
      <c r="BC442" s="30">
        <v>0</v>
      </c>
      <c r="BD442" s="34">
        <v>1</v>
      </c>
      <c r="BE442" s="34">
        <v>0</v>
      </c>
      <c r="BF442" s="40">
        <v>0</v>
      </c>
      <c r="BG442" s="2">
        <v>1</v>
      </c>
      <c r="BH442" s="2">
        <v>0</v>
      </c>
      <c r="BI442" s="40">
        <v>0</v>
      </c>
      <c r="BJ442" s="2">
        <v>0</v>
      </c>
      <c r="BK442" s="2">
        <v>0</v>
      </c>
      <c r="BL442" s="2">
        <v>1</v>
      </c>
      <c r="BM442" s="40">
        <v>0</v>
      </c>
      <c r="BN442" s="958">
        <v>7.0000000000000007E-2</v>
      </c>
      <c r="BO442" s="50">
        <v>12</v>
      </c>
      <c r="BP442" s="1018">
        <f t="shared" ca="1" si="646"/>
        <v>162.63999999999999</v>
      </c>
      <c r="BQ442" s="1018">
        <f t="shared" ca="1" si="647"/>
        <v>285.02799999999996</v>
      </c>
      <c r="BR442" s="1018">
        <f t="shared" ca="1" si="648"/>
        <v>51.803914909975674</v>
      </c>
      <c r="BS442" s="1018">
        <f t="shared" ca="1" si="649"/>
        <v>115.89999999999998</v>
      </c>
      <c r="BT442" s="1018">
        <f t="shared" ca="1" si="650"/>
        <v>81.319999999999993</v>
      </c>
      <c r="BU442" s="1018">
        <f t="shared" ca="1" si="651"/>
        <v>22.93</v>
      </c>
      <c r="BV442" s="1018">
        <f t="shared" ca="1" si="652"/>
        <v>2.15</v>
      </c>
      <c r="BW442" s="1018">
        <v>0</v>
      </c>
      <c r="BX442" s="1018">
        <f t="shared" ca="1" si="653"/>
        <v>15.70608840120536</v>
      </c>
      <c r="BY442" s="1018">
        <f t="shared" ca="1" si="654"/>
        <v>57.229334308705177</v>
      </c>
      <c r="BZ442" s="1018">
        <f t="shared" ca="1" si="592"/>
        <v>11.202244897959185</v>
      </c>
      <c r="CA442" s="1018">
        <f t="shared" ca="1" si="593"/>
        <v>45.859999981655996</v>
      </c>
      <c r="CB442" s="1018">
        <f t="shared" ca="1" si="655"/>
        <v>4.5133587786259541</v>
      </c>
      <c r="CC442" s="1018">
        <f t="shared" si="594"/>
        <v>0</v>
      </c>
      <c r="CD442" s="1018">
        <f t="shared" ca="1" si="657"/>
        <v>153.69830041184997</v>
      </c>
      <c r="CE442" s="1018">
        <f t="shared" ca="1" si="658"/>
        <v>93.991926831362093</v>
      </c>
      <c r="CF442" s="1018">
        <f t="shared" ca="1" si="596"/>
        <v>7.430706817296362</v>
      </c>
      <c r="CG442" s="1018">
        <f t="shared" ca="1" si="597"/>
        <v>12371.829622525751</v>
      </c>
    </row>
    <row r="443" spans="3:85" x14ac:dyDescent="0.25">
      <c r="D443" s="1"/>
      <c r="F443" s="1"/>
      <c r="G443" s="3"/>
      <c r="H443" s="6"/>
      <c r="I443" s="3"/>
      <c r="K443" s="8"/>
      <c r="L443" s="6"/>
      <c r="M443" s="1"/>
      <c r="N443" s="1"/>
      <c r="O443" s="1"/>
      <c r="P443" s="1"/>
      <c r="Q443" s="1" t="s">
        <v>22</v>
      </c>
      <c r="R443" s="4"/>
      <c r="S443" s="1"/>
      <c r="T443" s="77"/>
      <c r="X443" s="176">
        <f t="shared" si="656"/>
        <v>0</v>
      </c>
      <c r="Y443" s="34">
        <f>X443/Calculation_sheet!M$67</f>
        <v>0</v>
      </c>
      <c r="Z443" s="176">
        <f ca="1">IF(AN443&gt;0,Y443*Calculation_sheet!C$87,0)</f>
        <v>0</v>
      </c>
      <c r="AA443" s="176">
        <f t="shared" ca="1" si="643"/>
        <v>0</v>
      </c>
      <c r="AB443" s="176">
        <f ca="1">IF(AP443&gt;0,AA443*Calculation_sheet!C$94,0)</f>
        <v>0</v>
      </c>
      <c r="AC443" s="176">
        <f t="shared" ca="1" si="644"/>
        <v>0</v>
      </c>
      <c r="AD443" s="958">
        <f ca="1">AC443*Calculation_sheet!C$99</f>
        <v>0</v>
      </c>
      <c r="AE443" s="176">
        <f t="shared" ca="1" si="644"/>
        <v>0</v>
      </c>
      <c r="AF443" s="176">
        <f t="shared" ca="1" si="645"/>
        <v>0</v>
      </c>
      <c r="AG443" s="958">
        <f ca="1">AF443*User_sheet!B$77/100</f>
        <v>0</v>
      </c>
      <c r="AH443" s="313"/>
      <c r="AI443" s="2">
        <v>104</v>
      </c>
      <c r="AJ443" s="985"/>
      <c r="AK443" s="1020">
        <f t="shared" ca="1" si="591"/>
        <v>153.69830041184997</v>
      </c>
      <c r="AL443" s="954">
        <f ca="1">AK443/'103'!I$24</f>
        <v>0.3458752189296202</v>
      </c>
      <c r="AM443" s="954">
        <f ca="1">0.8*(AK443*30+'104'!D$17*0.34*30*1)</f>
        <v>6608.4724898843997</v>
      </c>
      <c r="AN443" s="954">
        <f ca="1">IF(AM443&lt;User_sheet!B$50,Y443,0)</f>
        <v>0</v>
      </c>
      <c r="AO443" s="954">
        <f ca="1">20-(User_sheet!B$57/('Freestanding '!AK443+'104'!D$17*1*0.34))</f>
        <v>-0.70069902074950008</v>
      </c>
      <c r="AP443" s="954">
        <f ca="1">IF(AO443&lt;User_sheet!B$59,0,BC443*AA443)</f>
        <v>0</v>
      </c>
      <c r="AQ443" s="985"/>
      <c r="AR443" s="2">
        <v>0.32</v>
      </c>
      <c r="AS443" s="2">
        <v>0.54</v>
      </c>
      <c r="AT443" s="2">
        <v>0.45</v>
      </c>
      <c r="AU443" s="2">
        <v>2</v>
      </c>
      <c r="AV443" s="2">
        <v>3.3</v>
      </c>
      <c r="AW443" s="2">
        <v>14356</v>
      </c>
      <c r="AX443" s="2">
        <v>75022.04959166942</v>
      </c>
      <c r="AY443" s="2">
        <v>65937.809199439725</v>
      </c>
      <c r="AZ443" s="27">
        <v>0</v>
      </c>
      <c r="BA443" s="27">
        <v>0</v>
      </c>
      <c r="BB443" s="2">
        <v>0.6</v>
      </c>
      <c r="BC443" s="30">
        <v>0</v>
      </c>
      <c r="BD443" s="34">
        <v>1</v>
      </c>
      <c r="BE443" s="34">
        <v>0</v>
      </c>
      <c r="BF443" s="40">
        <v>0</v>
      </c>
      <c r="BG443" s="2">
        <v>0</v>
      </c>
      <c r="BH443" s="2">
        <v>1</v>
      </c>
      <c r="BI443" s="40">
        <v>0</v>
      </c>
      <c r="BJ443" s="2">
        <v>0</v>
      </c>
      <c r="BK443" s="2">
        <v>1</v>
      </c>
      <c r="BL443" s="2">
        <v>0</v>
      </c>
      <c r="BM443" s="40">
        <v>0</v>
      </c>
      <c r="BN443" s="958">
        <v>7.0000000000000007E-2</v>
      </c>
      <c r="BO443" s="50">
        <v>12</v>
      </c>
      <c r="BP443" s="1018">
        <f t="shared" ca="1" si="646"/>
        <v>162.63999999999999</v>
      </c>
      <c r="BQ443" s="1018">
        <f t="shared" ca="1" si="647"/>
        <v>285.02799999999996</v>
      </c>
      <c r="BR443" s="1018">
        <f t="shared" ca="1" si="648"/>
        <v>51.803914909975674</v>
      </c>
      <c r="BS443" s="1018">
        <f t="shared" ca="1" si="649"/>
        <v>115.89999999999998</v>
      </c>
      <c r="BT443" s="1018">
        <f t="shared" ca="1" si="650"/>
        <v>81.319999999999993</v>
      </c>
      <c r="BU443" s="1018">
        <f t="shared" ca="1" si="651"/>
        <v>22.93</v>
      </c>
      <c r="BV443" s="1018">
        <f t="shared" ca="1" si="652"/>
        <v>2.15</v>
      </c>
      <c r="BW443" s="1018">
        <v>0</v>
      </c>
      <c r="BX443" s="1018">
        <f t="shared" ca="1" si="653"/>
        <v>15.70608840120536</v>
      </c>
      <c r="BY443" s="1018">
        <f t="shared" ca="1" si="654"/>
        <v>57.229334308705177</v>
      </c>
      <c r="BZ443" s="1018">
        <f t="shared" ca="1" si="592"/>
        <v>11.202244897959185</v>
      </c>
      <c r="CA443" s="1018">
        <f t="shared" ca="1" si="593"/>
        <v>45.859999981655996</v>
      </c>
      <c r="CB443" s="1018">
        <f t="shared" ca="1" si="655"/>
        <v>4.5133587786259541</v>
      </c>
      <c r="CC443" s="1018">
        <f t="shared" si="594"/>
        <v>0</v>
      </c>
      <c r="CD443" s="1018">
        <f t="shared" ca="1" si="657"/>
        <v>153.69830041184997</v>
      </c>
      <c r="CE443" s="1018">
        <f t="shared" ca="1" si="658"/>
        <v>93.991926831362093</v>
      </c>
      <c r="CF443" s="1018">
        <f t="shared" ca="1" si="596"/>
        <v>7.430706817296362</v>
      </c>
      <c r="CG443" s="1018">
        <f t="shared" ca="1" si="597"/>
        <v>12371.829622525751</v>
      </c>
    </row>
    <row r="444" spans="3:85" x14ac:dyDescent="0.25">
      <c r="D444" s="1"/>
      <c r="F444" s="1"/>
      <c r="G444" s="3"/>
      <c r="H444" s="6"/>
      <c r="I444" s="3"/>
      <c r="J444" s="6"/>
      <c r="K444" s="8"/>
      <c r="L444" s="6"/>
      <c r="M444" s="1" t="s">
        <v>22</v>
      </c>
      <c r="N444" s="4"/>
      <c r="O444" s="1" t="s">
        <v>20</v>
      </c>
      <c r="P444" s="4"/>
      <c r="Q444" s="1" t="s">
        <v>7</v>
      </c>
      <c r="R444" s="4"/>
      <c r="S444" s="1"/>
      <c r="T444" s="77"/>
      <c r="X444" s="176">
        <f t="shared" si="656"/>
        <v>0</v>
      </c>
      <c r="Y444" s="34">
        <f>X444/Calculation_sheet!M$67</f>
        <v>0</v>
      </c>
      <c r="Z444" s="176">
        <f ca="1">IF(AN444&gt;0,Y444*Calculation_sheet!C$87,0)</f>
        <v>0</v>
      </c>
      <c r="AA444" s="176">
        <f t="shared" ca="1" si="643"/>
        <v>0</v>
      </c>
      <c r="AB444" s="176">
        <f ca="1">IF(AP444&gt;0,AA444*Calculation_sheet!C$94,0)</f>
        <v>0</v>
      </c>
      <c r="AC444" s="176">
        <f t="shared" ca="1" si="644"/>
        <v>0</v>
      </c>
      <c r="AD444" s="958">
        <f ca="1">AC444*Calculation_sheet!C$99</f>
        <v>0</v>
      </c>
      <c r="AE444" s="176">
        <f t="shared" ca="1" si="644"/>
        <v>0</v>
      </c>
      <c r="AF444" s="176">
        <f t="shared" ca="1" si="645"/>
        <v>0</v>
      </c>
      <c r="AG444" s="958">
        <f ca="1">AF444*User_sheet!B$77/100</f>
        <v>0</v>
      </c>
      <c r="AH444" s="313"/>
      <c r="AI444" s="2">
        <v>104</v>
      </c>
      <c r="AJ444" s="985"/>
      <c r="AK444" s="1020">
        <f t="shared" ca="1" si="591"/>
        <v>153.69830041184997</v>
      </c>
      <c r="AL444" s="954">
        <f ca="1">AK444/'103'!I$24</f>
        <v>0.3458752189296202</v>
      </c>
      <c r="AM444" s="954">
        <f ca="1">0.8*(AK444*30+'104'!D$17*0.34*30*1)</f>
        <v>6608.4724898843997</v>
      </c>
      <c r="AN444" s="954">
        <f ca="1">IF(AM444&lt;User_sheet!B$50,Y444,0)</f>
        <v>0</v>
      </c>
      <c r="AO444" s="954">
        <f ca="1">20-(User_sheet!B$57/('Freestanding '!AK444+'104'!D$17*1*0.34))</f>
        <v>-0.70069902074950008</v>
      </c>
      <c r="AP444" s="954">
        <f ca="1">IF(AO444&lt;User_sheet!B$59,0,BC444*AA444)</f>
        <v>0</v>
      </c>
      <c r="AQ444" s="985"/>
      <c r="AR444" s="2">
        <v>0.32</v>
      </c>
      <c r="AS444" s="2">
        <v>0.54</v>
      </c>
      <c r="AT444" s="2">
        <v>0.45</v>
      </c>
      <c r="AU444" s="2">
        <v>2</v>
      </c>
      <c r="AV444" s="2">
        <v>3.3</v>
      </c>
      <c r="AW444" s="2">
        <v>14356</v>
      </c>
      <c r="AX444" s="2">
        <v>75022.04959166942</v>
      </c>
      <c r="AY444" s="2">
        <v>65937.809199439725</v>
      </c>
      <c r="AZ444" s="27">
        <v>0</v>
      </c>
      <c r="BA444" s="27">
        <v>0</v>
      </c>
      <c r="BB444" s="2">
        <v>0.6</v>
      </c>
      <c r="BC444" s="30">
        <v>0</v>
      </c>
      <c r="BD444" s="34">
        <v>1</v>
      </c>
      <c r="BE444" s="34">
        <v>0</v>
      </c>
      <c r="BF444" s="40">
        <v>0</v>
      </c>
      <c r="BG444" s="2">
        <v>0</v>
      </c>
      <c r="BH444" s="2">
        <v>1</v>
      </c>
      <c r="BI444" s="40">
        <v>0</v>
      </c>
      <c r="BJ444" s="2">
        <v>0</v>
      </c>
      <c r="BK444" s="2">
        <v>0</v>
      </c>
      <c r="BL444" s="2">
        <v>1</v>
      </c>
      <c r="BM444" s="40">
        <v>0</v>
      </c>
      <c r="BN444" s="958">
        <v>7.0000000000000007E-2</v>
      </c>
      <c r="BO444" s="50">
        <v>12</v>
      </c>
      <c r="BP444" s="1018">
        <f t="shared" ca="1" si="646"/>
        <v>162.63999999999999</v>
      </c>
      <c r="BQ444" s="1018">
        <f t="shared" ca="1" si="647"/>
        <v>285.02799999999996</v>
      </c>
      <c r="BR444" s="1018">
        <f t="shared" ca="1" si="648"/>
        <v>51.803914909975674</v>
      </c>
      <c r="BS444" s="1018">
        <f t="shared" ca="1" si="649"/>
        <v>115.89999999999998</v>
      </c>
      <c r="BT444" s="1018">
        <f t="shared" ca="1" si="650"/>
        <v>81.319999999999993</v>
      </c>
      <c r="BU444" s="1018">
        <f t="shared" ca="1" si="651"/>
        <v>22.93</v>
      </c>
      <c r="BV444" s="1018">
        <f t="shared" ca="1" si="652"/>
        <v>2.15</v>
      </c>
      <c r="BW444" s="1018">
        <v>0</v>
      </c>
      <c r="BX444" s="1018">
        <f t="shared" ca="1" si="653"/>
        <v>15.70608840120536</v>
      </c>
      <c r="BY444" s="1018">
        <f t="shared" ca="1" si="654"/>
        <v>57.229334308705177</v>
      </c>
      <c r="BZ444" s="1018">
        <f t="shared" ca="1" si="592"/>
        <v>11.202244897959185</v>
      </c>
      <c r="CA444" s="1018">
        <f t="shared" ca="1" si="593"/>
        <v>45.859999981655996</v>
      </c>
      <c r="CB444" s="1018">
        <f t="shared" ca="1" si="655"/>
        <v>4.5133587786259541</v>
      </c>
      <c r="CC444" s="1018">
        <f t="shared" si="594"/>
        <v>0</v>
      </c>
      <c r="CD444" s="1018">
        <f t="shared" ca="1" si="657"/>
        <v>153.69830041184997</v>
      </c>
      <c r="CE444" s="1018">
        <f t="shared" ca="1" si="658"/>
        <v>93.991926831362093</v>
      </c>
      <c r="CF444" s="1018">
        <f t="shared" ca="1" si="596"/>
        <v>7.430706817296362</v>
      </c>
      <c r="CG444" s="1018">
        <f t="shared" ca="1" si="597"/>
        <v>12371.829622525751</v>
      </c>
    </row>
    <row r="445" spans="3:85" x14ac:dyDescent="0.25">
      <c r="D445" s="1"/>
      <c r="F445" s="1"/>
      <c r="G445" s="3"/>
      <c r="H445" s="6"/>
      <c r="I445" s="3"/>
      <c r="J445" s="6"/>
      <c r="K445" s="8"/>
      <c r="L445" s="5"/>
      <c r="M445" s="1" t="s">
        <v>7</v>
      </c>
      <c r="N445" s="4"/>
      <c r="O445" s="1" t="s">
        <v>23</v>
      </c>
      <c r="P445" s="4"/>
      <c r="Q445" s="1" t="s">
        <v>7</v>
      </c>
      <c r="R445" s="4"/>
      <c r="S445" s="1"/>
      <c r="T445" s="77"/>
      <c r="X445" s="176">
        <f t="shared" si="656"/>
        <v>0</v>
      </c>
      <c r="Y445" s="34">
        <f>X445/Calculation_sheet!M$67</f>
        <v>0</v>
      </c>
      <c r="Z445" s="176">
        <f ca="1">IF(AN445&gt;0,Y445*Calculation_sheet!C$87,0)</f>
        <v>0</v>
      </c>
      <c r="AA445" s="176">
        <f t="shared" ca="1" si="643"/>
        <v>0</v>
      </c>
      <c r="AB445" s="176">
        <f ca="1">IF(AP445&gt;0,AA445*Calculation_sheet!C$94,0)</f>
        <v>0</v>
      </c>
      <c r="AC445" s="176">
        <f t="shared" ca="1" si="644"/>
        <v>0</v>
      </c>
      <c r="AD445" s="958">
        <f ca="1">AC445*Calculation_sheet!C$99</f>
        <v>0</v>
      </c>
      <c r="AE445" s="176">
        <f t="shared" ca="1" si="644"/>
        <v>0</v>
      </c>
      <c r="AF445" s="176">
        <f t="shared" ca="1" si="645"/>
        <v>0</v>
      </c>
      <c r="AG445" s="958">
        <f ca="1">AF445*User_sheet!B$77/100</f>
        <v>0</v>
      </c>
      <c r="AH445" s="313"/>
      <c r="AI445" s="2">
        <v>104</v>
      </c>
      <c r="AJ445" s="985"/>
      <c r="AK445" s="1020">
        <f t="shared" ca="1" si="591"/>
        <v>153.69830041184997</v>
      </c>
      <c r="AL445" s="954">
        <f ca="1">AK445/'103'!I$24</f>
        <v>0.3458752189296202</v>
      </c>
      <c r="AM445" s="954">
        <f ca="1">0.8*(AK445*30+'104'!D$17*0.34*30*1)</f>
        <v>6608.4724898843997</v>
      </c>
      <c r="AN445" s="954">
        <f ca="1">IF(AM445&lt;User_sheet!B$50,Y445,0)</f>
        <v>0</v>
      </c>
      <c r="AO445" s="954">
        <f ca="1">20-(User_sheet!B$57/('Freestanding '!AK445+'104'!D$17*1*0.34))</f>
        <v>-0.70069902074950008</v>
      </c>
      <c r="AP445" s="954">
        <f ca="1">IF(AO445&lt;User_sheet!B$59,0,BC445*AA445)</f>
        <v>0</v>
      </c>
      <c r="AQ445" s="985"/>
      <c r="AR445" s="2">
        <v>0.32</v>
      </c>
      <c r="AS445" s="2">
        <v>0.54</v>
      </c>
      <c r="AT445" s="2">
        <v>0.45</v>
      </c>
      <c r="AU445" s="2">
        <v>2</v>
      </c>
      <c r="AV445" s="2">
        <v>3.3</v>
      </c>
      <c r="AW445" s="2">
        <v>14356</v>
      </c>
      <c r="AX445" s="2">
        <v>75022.04959166942</v>
      </c>
      <c r="AY445" s="2">
        <v>65937.809199439725</v>
      </c>
      <c r="AZ445" s="27">
        <v>0</v>
      </c>
      <c r="BA445" s="27">
        <v>0</v>
      </c>
      <c r="BB445" s="2">
        <v>0.6</v>
      </c>
      <c r="BC445" s="30">
        <v>0</v>
      </c>
      <c r="BD445" s="34">
        <v>0</v>
      </c>
      <c r="BE445" s="34">
        <v>1</v>
      </c>
      <c r="BF445" s="40">
        <v>0</v>
      </c>
      <c r="BG445" s="2">
        <v>0</v>
      </c>
      <c r="BH445" s="2">
        <v>0</v>
      </c>
      <c r="BI445" s="40">
        <v>1</v>
      </c>
      <c r="BJ445" s="2">
        <v>0</v>
      </c>
      <c r="BK445" s="2">
        <v>0</v>
      </c>
      <c r="BL445" s="2">
        <v>1</v>
      </c>
      <c r="BM445" s="40">
        <v>0</v>
      </c>
      <c r="BN445" s="958">
        <v>7.0000000000000007E-2</v>
      </c>
      <c r="BO445" s="50">
        <v>12</v>
      </c>
      <c r="BP445" s="1018">
        <f t="shared" ca="1" si="646"/>
        <v>162.63999999999999</v>
      </c>
      <c r="BQ445" s="1018">
        <f t="shared" ca="1" si="647"/>
        <v>285.02799999999996</v>
      </c>
      <c r="BR445" s="1018">
        <f t="shared" ca="1" si="648"/>
        <v>51.803914909975674</v>
      </c>
      <c r="BS445" s="1018">
        <f t="shared" ca="1" si="649"/>
        <v>115.89999999999998</v>
      </c>
      <c r="BT445" s="1018">
        <f t="shared" ca="1" si="650"/>
        <v>81.319999999999993</v>
      </c>
      <c r="BU445" s="1018">
        <f t="shared" ca="1" si="651"/>
        <v>22.93</v>
      </c>
      <c r="BV445" s="1018">
        <f t="shared" ca="1" si="652"/>
        <v>2.15</v>
      </c>
      <c r="BW445" s="1018">
        <v>0</v>
      </c>
      <c r="BX445" s="1018">
        <f t="shared" ca="1" si="653"/>
        <v>15.70608840120536</v>
      </c>
      <c r="BY445" s="1018">
        <f t="shared" ca="1" si="654"/>
        <v>57.229334308705177</v>
      </c>
      <c r="BZ445" s="1018">
        <f t="shared" ca="1" si="592"/>
        <v>11.202244897959185</v>
      </c>
      <c r="CA445" s="1018">
        <f t="shared" ca="1" si="593"/>
        <v>45.859999981655996</v>
      </c>
      <c r="CB445" s="1018">
        <f t="shared" ca="1" si="655"/>
        <v>4.5133587786259541</v>
      </c>
      <c r="CC445" s="1018">
        <f t="shared" si="594"/>
        <v>0</v>
      </c>
      <c r="CD445" s="1018">
        <f t="shared" ca="1" si="657"/>
        <v>153.69830041184997</v>
      </c>
      <c r="CE445" s="1018">
        <f t="shared" ca="1" si="658"/>
        <v>93.991926831362093</v>
      </c>
      <c r="CF445" s="1018">
        <f t="shared" ca="1" si="596"/>
        <v>7.430706817296362</v>
      </c>
      <c r="CG445" s="1018">
        <f t="shared" ca="1" si="597"/>
        <v>12371.829622525751</v>
      </c>
    </row>
    <row r="446" spans="3:85" s="14" customFormat="1" x14ac:dyDescent="0.25">
      <c r="D446" s="15"/>
      <c r="F446" s="15"/>
      <c r="H446" s="15"/>
      <c r="J446" s="15"/>
      <c r="M446" s="15"/>
      <c r="N446" s="15"/>
      <c r="O446" s="15"/>
      <c r="P446" s="15"/>
      <c r="Q446" s="15"/>
      <c r="R446" s="15"/>
      <c r="S446" s="15"/>
      <c r="T446" s="80"/>
      <c r="U446" s="273"/>
      <c r="V446" s="292"/>
      <c r="W446" s="292"/>
      <c r="X446" s="292"/>
      <c r="Y446" s="277"/>
      <c r="Z446" s="292"/>
      <c r="AA446" s="292"/>
      <c r="AB446" s="292"/>
      <c r="AC446" s="292"/>
      <c r="AD446" s="277"/>
      <c r="AE446" s="292"/>
      <c r="AF446" s="292"/>
      <c r="AG446" s="277"/>
      <c r="AH446" s="313"/>
      <c r="AI446" s="28"/>
      <c r="AJ446" s="985"/>
      <c r="AK446" s="1020">
        <f t="shared" si="591"/>
        <v>0</v>
      </c>
      <c r="AL446" s="955"/>
      <c r="AM446" s="955"/>
      <c r="AN446" s="955"/>
      <c r="AO446" s="955"/>
      <c r="AP446" s="955"/>
      <c r="AQ446" s="985"/>
      <c r="AR446" s="28"/>
      <c r="AS446" s="28"/>
      <c r="AT446" s="28"/>
      <c r="AU446" s="28"/>
      <c r="AV446" s="28"/>
      <c r="AW446" s="28"/>
      <c r="AX446" s="28"/>
      <c r="AY446" s="28"/>
      <c r="AZ446" s="28"/>
      <c r="BA446" s="28"/>
      <c r="BB446" s="28"/>
      <c r="BC446" s="45"/>
      <c r="BD446" s="277"/>
      <c r="BE446" s="277"/>
      <c r="BF446" s="49"/>
      <c r="BG446" s="28"/>
      <c r="BH446" s="28"/>
      <c r="BI446" s="49"/>
      <c r="BJ446" s="28"/>
      <c r="BK446" s="28"/>
      <c r="BL446" s="28"/>
      <c r="BM446" s="49"/>
      <c r="BN446" s="277"/>
      <c r="BO446" s="49"/>
      <c r="BP446" s="946"/>
      <c r="BQ446" s="946"/>
      <c r="BR446" s="946"/>
      <c r="BS446" s="946"/>
      <c r="BT446" s="946"/>
      <c r="BU446" s="946"/>
      <c r="BV446" s="946"/>
      <c r="BW446" s="946"/>
      <c r="BX446" s="946"/>
      <c r="BY446" s="946"/>
      <c r="BZ446" s="946"/>
      <c r="CA446" s="946"/>
      <c r="CB446" s="946"/>
      <c r="CC446" s="946"/>
      <c r="CD446" s="946"/>
      <c r="CE446" s="946"/>
      <c r="CF446" s="946"/>
      <c r="CG446" s="946"/>
    </row>
    <row r="447" spans="3:85" x14ac:dyDescent="0.25">
      <c r="C447" s="462"/>
      <c r="D447" s="463"/>
      <c r="E447" s="468" t="s">
        <v>15</v>
      </c>
      <c r="F447" s="469">
        <v>0.47734599999999999</v>
      </c>
      <c r="G447" s="462"/>
      <c r="H447" s="462"/>
      <c r="I447" s="462" t="s">
        <v>10</v>
      </c>
      <c r="J447" s="466">
        <v>0.73529999999999995</v>
      </c>
      <c r="K447" s="463"/>
      <c r="L447" s="463"/>
      <c r="M447" s="463"/>
      <c r="N447" s="463"/>
      <c r="O447" s="463"/>
      <c r="P447" s="463"/>
      <c r="Q447" s="463" t="s">
        <v>16</v>
      </c>
      <c r="R447" s="464">
        <v>0.81069999999999998</v>
      </c>
      <c r="S447" s="463"/>
      <c r="T447" s="471">
        <v>1.515456837952801E-3</v>
      </c>
      <c r="U447" s="462"/>
      <c r="V447" s="176">
        <f t="shared" si="560"/>
        <v>1.515456837952801E-3</v>
      </c>
      <c r="W447" s="176">
        <f>V447-V447*Calculation_sheet!J$69</f>
        <v>1.515456837952801E-3</v>
      </c>
      <c r="X447" s="176">
        <f>W447-W447*Calculation_sheet!J$79</f>
        <v>1.515456837952801E-3</v>
      </c>
      <c r="Y447" s="34">
        <f>X447/Calculation_sheet!M$67</f>
        <v>1.5154878236329234E-3</v>
      </c>
      <c r="Z447" s="176">
        <f ca="1">IF(AN447&gt;0,Y447*Calculation_sheet!C$87,0)</f>
        <v>0</v>
      </c>
      <c r="AA447" s="176">
        <f t="shared" ref="AA447:AA455" ca="1" si="659">Y447-Z447</f>
        <v>1.5154878236329234E-3</v>
      </c>
      <c r="AB447" s="176">
        <f ca="1">IF(AP447&gt;0,AA447*Calculation_sheet!C$94,0)</f>
        <v>0</v>
      </c>
      <c r="AC447" s="176">
        <f t="shared" ref="AC447:AE455" ca="1" si="660">AA447-AB447</f>
        <v>1.5154878236329234E-3</v>
      </c>
      <c r="AD447" s="958">
        <f ca="1">AC447*Calculation_sheet!C$99</f>
        <v>9.0929269417975396E-4</v>
      </c>
      <c r="AE447" s="176">
        <f t="shared" ca="1" si="660"/>
        <v>6.0619512945316945E-4</v>
      </c>
      <c r="AF447" s="176">
        <f t="shared" ref="AF447:AF455" ca="1" si="661">Y447-AB447</f>
        <v>1.5154878236329234E-3</v>
      </c>
      <c r="AG447" s="958">
        <f ca="1">AF447*User_sheet!B$77/100</f>
        <v>0</v>
      </c>
      <c r="AH447" s="313"/>
      <c r="AI447" s="2">
        <v>104</v>
      </c>
      <c r="AJ447" s="985"/>
      <c r="AK447" s="1020">
        <f t="shared" ca="1" si="591"/>
        <v>168.77584332279122</v>
      </c>
      <c r="AL447" s="954">
        <f ca="1">AK447/'103'!I$24</f>
        <v>0.37980499200628121</v>
      </c>
      <c r="AM447" s="954">
        <f ca="1">0.8*(AK447*30+'104'!D$17*0.34*30*1)</f>
        <v>6970.3335197469896</v>
      </c>
      <c r="AN447" s="954">
        <f ca="1">IF(AM447&lt;User_sheet!B$50,Y447,0)</f>
        <v>1.5154878236329234E-3</v>
      </c>
      <c r="AO447" s="954">
        <f ca="1">20-(User_sheet!B$57/('Freestanding '!AK447+'104'!D$17*1*0.34))</f>
        <v>0.37396638016747374</v>
      </c>
      <c r="AP447" s="954">
        <f ca="1">IF(AO447&lt;User_sheet!B$59,0,BC447*AA447)</f>
        <v>0</v>
      </c>
      <c r="AQ447" s="985"/>
      <c r="AR447" s="2">
        <v>0.47</v>
      </c>
      <c r="AS447" s="2">
        <v>0.54</v>
      </c>
      <c r="AT447" s="2">
        <v>0.83</v>
      </c>
      <c r="AU447" s="2">
        <v>2</v>
      </c>
      <c r="AV447" s="2">
        <v>3.3</v>
      </c>
      <c r="AW447" s="2">
        <v>12848.541887298286</v>
      </c>
      <c r="AX447" s="2">
        <v>75022.04959166942</v>
      </c>
      <c r="AY447" s="2">
        <v>69245.59826015502</v>
      </c>
      <c r="AZ447" s="27">
        <v>0</v>
      </c>
      <c r="BA447" s="27">
        <v>0</v>
      </c>
      <c r="BB447" s="2">
        <v>0.6</v>
      </c>
      <c r="BC447" s="30">
        <v>1</v>
      </c>
      <c r="BD447" s="34">
        <v>0</v>
      </c>
      <c r="BE447" s="34">
        <v>0</v>
      </c>
      <c r="BF447" s="40">
        <v>0</v>
      </c>
      <c r="BG447" s="2">
        <v>1</v>
      </c>
      <c r="BH447" s="2">
        <v>0</v>
      </c>
      <c r="BI447" s="40">
        <v>0</v>
      </c>
      <c r="BJ447" s="2">
        <v>1</v>
      </c>
      <c r="BK447" s="2">
        <v>0</v>
      </c>
      <c r="BL447" s="2">
        <v>0</v>
      </c>
      <c r="BM447" s="40">
        <v>0</v>
      </c>
      <c r="BN447" s="958">
        <v>7.0000000000000007E-2</v>
      </c>
      <c r="BO447" s="50">
        <v>12</v>
      </c>
      <c r="BP447" s="1018">
        <f t="shared" ref="BP447:BP455" ca="1" si="662">INDIRECT("'"&amp;AI447&amp;"'!"&amp;"B2")</f>
        <v>162.63999999999999</v>
      </c>
      <c r="BQ447" s="1018">
        <f t="shared" ref="BQ447:BQ455" ca="1" si="663">INDIRECT("'"&amp;AI447&amp;"'!"&amp;"C12")+INDIRECT("'"&amp;AI447&amp;"'!"&amp;"C13")+INDIRECT("'"&amp;AI447&amp;"'!"&amp;"C14")+INDIRECT("'"&amp;AI447&amp;"'!"&amp;"C15")+INDIRECT("'"&amp;AI447&amp;"'!"&amp;"C17")</f>
        <v>285.02799999999996</v>
      </c>
      <c r="BR447" s="1018">
        <f t="shared" ref="BR447:BR455" ca="1" si="664">INDIRECT("'"&amp;AI447&amp;"'!"&amp;"G5")</f>
        <v>51.803914909975674</v>
      </c>
      <c r="BS447" s="1018">
        <f t="shared" ref="BS447:BS455" ca="1" si="665">INDIRECT("'"&amp;AI447&amp;"'!"&amp;"G4")</f>
        <v>115.89999999999998</v>
      </c>
      <c r="BT447" s="1018">
        <f t="shared" ref="BT447:BT455" ca="1" si="666">INDIRECT("'"&amp;AI447&amp;"'!"&amp;"G6")</f>
        <v>81.319999999999993</v>
      </c>
      <c r="BU447" s="1018">
        <f t="shared" ref="BU447:BU455" ca="1" si="667">INDIRECT("'"&amp;AI447&amp;"'!"&amp;"G2")</f>
        <v>22.93</v>
      </c>
      <c r="BV447" s="1018">
        <f t="shared" ref="BV447:BV455" ca="1" si="668">INDIRECT("'"&amp;AI447&amp;"'!"&amp;"G3")</f>
        <v>2.15</v>
      </c>
      <c r="BW447" s="1018">
        <v>0</v>
      </c>
      <c r="BX447" s="1018">
        <f t="shared" ref="BX447:BX455" ca="1" si="669">IF(BR447=0,0,1/(1/(BR447*$BY$3)+1/(BR447*AR447)+1/(BR447*$BY$4)))</f>
        <v>22.513722112891656</v>
      </c>
      <c r="BY447" s="1018">
        <f t="shared" ref="BY447:BY455" ca="1" si="670">IF(BS447=0,0,1/(1/(BS447*$BY$3)+1/(BS447*AS447)+1/(BS447*$BY$4)))</f>
        <v>57.229334308705177</v>
      </c>
      <c r="BZ447" s="1018">
        <f t="shared" ca="1" si="592"/>
        <v>19.47215409721413</v>
      </c>
      <c r="CA447" s="1018">
        <f t="shared" ca="1" si="593"/>
        <v>45.859999981655996</v>
      </c>
      <c r="CB447" s="1018">
        <f t="shared" ref="CB447:CB455" ca="1" si="671">IF(BV447=0,0,1/(1/(BV447*$BY$3)+1/(BV447*AV447)+1/(BV447*$BY$4)))</f>
        <v>4.5133587786259541</v>
      </c>
      <c r="CC447" s="1018">
        <f t="shared" si="594"/>
        <v>0</v>
      </c>
      <c r="CD447" s="1018">
        <f ca="1">SUM(BX447:CC447)+(BR447+BS447+BT447+BU447+BV447)*BN447</f>
        <v>168.77584332279122</v>
      </c>
      <c r="CE447" s="1018">
        <f t="shared" ref="CE447:CE455" ca="1" si="672">0.34*BO447*(1/25)^0.66*(BR447+BS447+BU447+BV447)</f>
        <v>93.991926831362093</v>
      </c>
      <c r="CF447" s="1018">
        <f t="shared" ca="1" si="596"/>
        <v>7.8830331046245989</v>
      </c>
      <c r="CG447" s="1018">
        <f t="shared" ca="1" si="597"/>
        <v>13124.934797875771</v>
      </c>
    </row>
    <row r="448" spans="3:85" x14ac:dyDescent="0.25">
      <c r="C448" s="462"/>
      <c r="D448" s="463"/>
      <c r="E448" s="462"/>
      <c r="F448" s="463"/>
      <c r="G448" s="462"/>
      <c r="H448" s="463"/>
      <c r="I448" s="462"/>
      <c r="J448" s="463"/>
      <c r="K448" s="463"/>
      <c r="L448" s="467"/>
      <c r="M448" s="463"/>
      <c r="N448" s="463"/>
      <c r="O448" s="463" t="s">
        <v>18</v>
      </c>
      <c r="P448" s="464">
        <v>0.962121212</v>
      </c>
      <c r="Q448" s="463" t="s">
        <v>7</v>
      </c>
      <c r="R448" s="464">
        <v>0.1893</v>
      </c>
      <c r="S448" s="463"/>
      <c r="T448" s="471">
        <v>3.5386206910628497E-4</v>
      </c>
      <c r="U448" s="462"/>
      <c r="V448" s="176">
        <f t="shared" si="560"/>
        <v>3.5386206910628497E-4</v>
      </c>
      <c r="W448" s="176">
        <f>V448-V448*Calculation_sheet!J$69</f>
        <v>3.5386206910628497E-4</v>
      </c>
      <c r="X448" s="176">
        <f>W448-W448*Calculation_sheet!J$79</f>
        <v>3.5386206910628497E-4</v>
      </c>
      <c r="Y448" s="34">
        <f>X448/Calculation_sheet!M$67</f>
        <v>3.5386930432183594E-4</v>
      </c>
      <c r="Z448" s="176">
        <f ca="1">IF(AN448&gt;0,Y448*Calculation_sheet!C$87,0)</f>
        <v>0</v>
      </c>
      <c r="AA448" s="176">
        <f t="shared" ca="1" si="659"/>
        <v>3.5386930432183594E-4</v>
      </c>
      <c r="AB448" s="176">
        <f ca="1">IF(AP448&gt;0,AA448*Calculation_sheet!C$94,0)</f>
        <v>0</v>
      </c>
      <c r="AC448" s="176">
        <f t="shared" ca="1" si="660"/>
        <v>3.5386930432183594E-4</v>
      </c>
      <c r="AD448" s="958">
        <f ca="1">AC448*Calculation_sheet!C$99</f>
        <v>2.1232158259310157E-4</v>
      </c>
      <c r="AE448" s="176">
        <f t="shared" ca="1" si="660"/>
        <v>1.4154772172873437E-4</v>
      </c>
      <c r="AF448" s="176">
        <f t="shared" ca="1" si="661"/>
        <v>3.5386930432183594E-4</v>
      </c>
      <c r="AG448" s="958">
        <f ca="1">AF448*User_sheet!B$77/100</f>
        <v>0</v>
      </c>
      <c r="AH448" s="313"/>
      <c r="AI448" s="2">
        <v>104</v>
      </c>
      <c r="AJ448" s="985"/>
      <c r="AK448" s="1020">
        <f t="shared" ca="1" si="591"/>
        <v>168.77584332279122</v>
      </c>
      <c r="AL448" s="954">
        <f ca="1">AK448/'103'!I$24</f>
        <v>0.37980499200628121</v>
      </c>
      <c r="AM448" s="954">
        <f ca="1">0.8*(AK448*30+'104'!D$17*0.34*30*1)</f>
        <v>6970.3335197469896</v>
      </c>
      <c r="AN448" s="954">
        <f ca="1">IF(AM448&lt;User_sheet!B$50,Y448,0)</f>
        <v>3.5386930432183594E-4</v>
      </c>
      <c r="AO448" s="954">
        <f ca="1">20-(User_sheet!B$57/('Freestanding '!AK448+'104'!D$17*1*0.34))</f>
        <v>0.37396638016747374</v>
      </c>
      <c r="AP448" s="954">
        <f ca="1">IF(AO448&lt;User_sheet!B$59,0,BC448*AA448)</f>
        <v>0</v>
      </c>
      <c r="AQ448" s="985"/>
      <c r="AR448" s="2">
        <v>0.47</v>
      </c>
      <c r="AS448" s="2">
        <v>0.54</v>
      </c>
      <c r="AT448" s="2">
        <v>0.83</v>
      </c>
      <c r="AU448" s="2">
        <v>2</v>
      </c>
      <c r="AV448" s="2">
        <v>3.3</v>
      </c>
      <c r="AW448" s="2">
        <v>12848.541887298286</v>
      </c>
      <c r="AX448" s="2">
        <v>75022.04959166942</v>
      </c>
      <c r="AY448" s="2">
        <v>69245.59826015502</v>
      </c>
      <c r="AZ448" s="27">
        <v>0</v>
      </c>
      <c r="BA448" s="27">
        <v>0</v>
      </c>
      <c r="BB448" s="2">
        <v>0.6</v>
      </c>
      <c r="BC448" s="30">
        <v>1</v>
      </c>
      <c r="BD448" s="34">
        <v>0</v>
      </c>
      <c r="BE448" s="34">
        <v>0</v>
      </c>
      <c r="BF448" s="40">
        <v>0</v>
      </c>
      <c r="BG448" s="2">
        <v>1</v>
      </c>
      <c r="BH448" s="2">
        <v>0</v>
      </c>
      <c r="BI448" s="40">
        <v>0</v>
      </c>
      <c r="BJ448" s="2">
        <v>0</v>
      </c>
      <c r="BK448" s="2">
        <v>0</v>
      </c>
      <c r="BL448" s="2">
        <v>1</v>
      </c>
      <c r="BM448" s="40">
        <v>0</v>
      </c>
      <c r="BN448" s="958">
        <v>7.0000000000000007E-2</v>
      </c>
      <c r="BO448" s="50">
        <v>12</v>
      </c>
      <c r="BP448" s="1018">
        <f t="shared" ca="1" si="662"/>
        <v>162.63999999999999</v>
      </c>
      <c r="BQ448" s="1018">
        <f t="shared" ca="1" si="663"/>
        <v>285.02799999999996</v>
      </c>
      <c r="BR448" s="1018">
        <f t="shared" ca="1" si="664"/>
        <v>51.803914909975674</v>
      </c>
      <c r="BS448" s="1018">
        <f t="shared" ca="1" si="665"/>
        <v>115.89999999999998</v>
      </c>
      <c r="BT448" s="1018">
        <f t="shared" ca="1" si="666"/>
        <v>81.319999999999993</v>
      </c>
      <c r="BU448" s="1018">
        <f t="shared" ca="1" si="667"/>
        <v>22.93</v>
      </c>
      <c r="BV448" s="1018">
        <f t="shared" ca="1" si="668"/>
        <v>2.15</v>
      </c>
      <c r="BW448" s="1018">
        <v>0</v>
      </c>
      <c r="BX448" s="1018">
        <f t="shared" ca="1" si="669"/>
        <v>22.513722112891656</v>
      </c>
      <c r="BY448" s="1018">
        <f t="shared" ca="1" si="670"/>
        <v>57.229334308705177</v>
      </c>
      <c r="BZ448" s="1018">
        <f t="shared" ca="1" si="592"/>
        <v>19.47215409721413</v>
      </c>
      <c r="CA448" s="1018">
        <f t="shared" ca="1" si="593"/>
        <v>45.859999981655996</v>
      </c>
      <c r="CB448" s="1018">
        <f t="shared" ca="1" si="671"/>
        <v>4.5133587786259541</v>
      </c>
      <c r="CC448" s="1018">
        <f t="shared" si="594"/>
        <v>0</v>
      </c>
      <c r="CD448" s="1018">
        <f t="shared" ref="CD448:CD455" ca="1" si="673">SUM(BX448:CC448)+(BR448+BS448+BT448+BU448+BV448)*BN448</f>
        <v>168.77584332279122</v>
      </c>
      <c r="CE448" s="1018">
        <f t="shared" ca="1" si="672"/>
        <v>93.991926831362093</v>
      </c>
      <c r="CF448" s="1018">
        <f t="shared" ca="1" si="596"/>
        <v>7.8830331046245989</v>
      </c>
      <c r="CG448" s="1018">
        <f t="shared" ca="1" si="597"/>
        <v>13124.934797875771</v>
      </c>
    </row>
    <row r="449" spans="3:85" x14ac:dyDescent="0.25">
      <c r="C449" s="462"/>
      <c r="D449" s="463"/>
      <c r="E449" s="462"/>
      <c r="F449" s="463"/>
      <c r="G449" s="462"/>
      <c r="H449" s="463"/>
      <c r="I449" s="462"/>
      <c r="J449" s="463"/>
      <c r="K449" s="463"/>
      <c r="L449" s="467"/>
      <c r="M449" s="463"/>
      <c r="N449" s="463"/>
      <c r="O449" s="463"/>
      <c r="P449" s="463"/>
      <c r="Q449" s="463" t="s">
        <v>16</v>
      </c>
      <c r="R449" s="464">
        <v>0.81069999999999998</v>
      </c>
      <c r="S449" s="463"/>
      <c r="T449" s="471">
        <v>5.9663655235952221E-5</v>
      </c>
      <c r="U449" s="462"/>
      <c r="V449" s="176">
        <f t="shared" si="560"/>
        <v>5.9663655235952221E-5</v>
      </c>
      <c r="W449" s="176">
        <f>V449-V449*Calculation_sheet!J$69</f>
        <v>5.9663655235952221E-5</v>
      </c>
      <c r="X449" s="176">
        <f>W449-W449*Calculation_sheet!J$79</f>
        <v>5.9663655235952221E-5</v>
      </c>
      <c r="Y449" s="34">
        <f>X449/Calculation_sheet!M$67</f>
        <v>5.9664875144622511E-5</v>
      </c>
      <c r="Z449" s="176">
        <f ca="1">IF(AN449&gt;0,Y449*Calculation_sheet!C$87,0)</f>
        <v>0</v>
      </c>
      <c r="AA449" s="176">
        <f t="shared" ca="1" si="659"/>
        <v>5.9664875144622511E-5</v>
      </c>
      <c r="AB449" s="176">
        <f ca="1">IF(AP449&gt;0,AA449*Calculation_sheet!C$94,0)</f>
        <v>0</v>
      </c>
      <c r="AC449" s="176">
        <f t="shared" ca="1" si="660"/>
        <v>5.9664875144622511E-5</v>
      </c>
      <c r="AD449" s="958">
        <f ca="1">AC449*Calculation_sheet!C$99</f>
        <v>3.5798925086773506E-5</v>
      </c>
      <c r="AE449" s="176">
        <f t="shared" ca="1" si="660"/>
        <v>2.3865950057849004E-5</v>
      </c>
      <c r="AF449" s="176">
        <f t="shared" ca="1" si="661"/>
        <v>5.9664875144622511E-5</v>
      </c>
      <c r="AG449" s="958">
        <f ca="1">AF449*User_sheet!B$77/100</f>
        <v>0</v>
      </c>
      <c r="AH449" s="313"/>
      <c r="AI449" s="2">
        <v>104</v>
      </c>
      <c r="AJ449" s="985"/>
      <c r="AK449" s="1020">
        <f t="shared" ca="1" si="591"/>
        <v>168.77584332279122</v>
      </c>
      <c r="AL449" s="954">
        <f ca="1">AK449/'103'!I$24</f>
        <v>0.37980499200628121</v>
      </c>
      <c r="AM449" s="954">
        <f ca="1">0.8*(AK449*30+'104'!D$17*0.34*30*1)</f>
        <v>6970.3335197469896</v>
      </c>
      <c r="AN449" s="954">
        <f ca="1">IF(AM449&lt;User_sheet!B$50,Y449,0)</f>
        <v>5.9664875144622511E-5</v>
      </c>
      <c r="AO449" s="954">
        <f ca="1">20-(User_sheet!B$57/('Freestanding '!AK449+'104'!D$17*1*0.34))</f>
        <v>0.37396638016747374</v>
      </c>
      <c r="AP449" s="954">
        <f ca="1">IF(AO449&lt;User_sheet!B$59,0,BC449*AA449)</f>
        <v>0</v>
      </c>
      <c r="AQ449" s="985"/>
      <c r="AR449" s="2">
        <v>0.47</v>
      </c>
      <c r="AS449" s="2">
        <v>0.54</v>
      </c>
      <c r="AT449" s="2">
        <v>0.83</v>
      </c>
      <c r="AU449" s="2">
        <v>2</v>
      </c>
      <c r="AV449" s="2">
        <v>3.3</v>
      </c>
      <c r="AW449" s="2">
        <v>12848.541887298286</v>
      </c>
      <c r="AX449" s="2">
        <v>75022.04959166942</v>
      </c>
      <c r="AY449" s="2">
        <v>69245.59826015502</v>
      </c>
      <c r="AZ449" s="27">
        <v>0</v>
      </c>
      <c r="BA449" s="27">
        <v>0</v>
      </c>
      <c r="BB449" s="2">
        <v>0.6</v>
      </c>
      <c r="BC449" s="30">
        <v>1</v>
      </c>
      <c r="BD449" s="34">
        <v>0</v>
      </c>
      <c r="BE449" s="34">
        <v>0</v>
      </c>
      <c r="BF449" s="40">
        <v>0</v>
      </c>
      <c r="BG449" s="2">
        <v>0</v>
      </c>
      <c r="BH449" s="2">
        <v>1</v>
      </c>
      <c r="BI449" s="40">
        <v>0</v>
      </c>
      <c r="BJ449" s="2">
        <v>1</v>
      </c>
      <c r="BK449" s="2">
        <v>0</v>
      </c>
      <c r="BL449" s="2">
        <v>0</v>
      </c>
      <c r="BM449" s="40">
        <v>0</v>
      </c>
      <c r="BN449" s="958">
        <v>7.0000000000000007E-2</v>
      </c>
      <c r="BO449" s="50">
        <v>12</v>
      </c>
      <c r="BP449" s="1018">
        <f t="shared" ca="1" si="662"/>
        <v>162.63999999999999</v>
      </c>
      <c r="BQ449" s="1018">
        <f t="shared" ca="1" si="663"/>
        <v>285.02799999999996</v>
      </c>
      <c r="BR449" s="1018">
        <f t="shared" ca="1" si="664"/>
        <v>51.803914909975674</v>
      </c>
      <c r="BS449" s="1018">
        <f t="shared" ca="1" si="665"/>
        <v>115.89999999999998</v>
      </c>
      <c r="BT449" s="1018">
        <f t="shared" ca="1" si="666"/>
        <v>81.319999999999993</v>
      </c>
      <c r="BU449" s="1018">
        <f t="shared" ca="1" si="667"/>
        <v>22.93</v>
      </c>
      <c r="BV449" s="1018">
        <f t="shared" ca="1" si="668"/>
        <v>2.15</v>
      </c>
      <c r="BW449" s="1018">
        <v>0</v>
      </c>
      <c r="BX449" s="1018">
        <f t="shared" ca="1" si="669"/>
        <v>22.513722112891656</v>
      </c>
      <c r="BY449" s="1018">
        <f t="shared" ca="1" si="670"/>
        <v>57.229334308705177</v>
      </c>
      <c r="BZ449" s="1018">
        <f t="shared" ca="1" si="592"/>
        <v>19.47215409721413</v>
      </c>
      <c r="CA449" s="1018">
        <f t="shared" ca="1" si="593"/>
        <v>45.859999981655996</v>
      </c>
      <c r="CB449" s="1018">
        <f t="shared" ca="1" si="671"/>
        <v>4.5133587786259541</v>
      </c>
      <c r="CC449" s="1018">
        <f t="shared" si="594"/>
        <v>0</v>
      </c>
      <c r="CD449" s="1018">
        <f t="shared" ca="1" si="673"/>
        <v>168.77584332279122</v>
      </c>
      <c r="CE449" s="1018">
        <f t="shared" ca="1" si="672"/>
        <v>93.991926831362093</v>
      </c>
      <c r="CF449" s="1018">
        <f t="shared" ca="1" si="596"/>
        <v>7.8830331046245989</v>
      </c>
      <c r="CG449" s="1018">
        <f t="shared" ca="1" si="597"/>
        <v>13124.934797875771</v>
      </c>
    </row>
    <row r="450" spans="3:85" x14ac:dyDescent="0.25">
      <c r="C450" s="462"/>
      <c r="D450" s="463"/>
      <c r="E450" s="462"/>
      <c r="F450" s="463"/>
      <c r="G450" s="462"/>
      <c r="H450" s="463"/>
      <c r="I450" s="462"/>
      <c r="J450" s="463"/>
      <c r="K450" s="463"/>
      <c r="L450" s="467"/>
      <c r="M450" s="463" t="s">
        <v>16</v>
      </c>
      <c r="N450" s="464">
        <v>0.5</v>
      </c>
      <c r="O450" s="463" t="s">
        <v>19</v>
      </c>
      <c r="P450" s="464">
        <v>3.7878787999999997E-2</v>
      </c>
      <c r="Q450" s="463" t="s">
        <v>7</v>
      </c>
      <c r="R450" s="464">
        <v>0.1893</v>
      </c>
      <c r="S450" s="463"/>
      <c r="T450" s="471">
        <v>1.3931577570205695E-5</v>
      </c>
      <c r="U450" s="462"/>
      <c r="V450" s="176">
        <f t="shared" si="560"/>
        <v>1.3931577570205695E-5</v>
      </c>
      <c r="W450" s="176">
        <f>V450-V450*Calculation_sheet!J$69</f>
        <v>1.3931577570205695E-5</v>
      </c>
      <c r="X450" s="176">
        <f>W450-W450*Calculation_sheet!J$79</f>
        <v>1.3931577570205695E-5</v>
      </c>
      <c r="Y450" s="34">
        <f>X450/Calculation_sheet!M$67</f>
        <v>1.3931862421212585E-5</v>
      </c>
      <c r="Z450" s="176">
        <f ca="1">IF(AN450&gt;0,Y450*Calculation_sheet!C$87,0)</f>
        <v>0</v>
      </c>
      <c r="AA450" s="176">
        <f t="shared" ca="1" si="659"/>
        <v>1.3931862421212585E-5</v>
      </c>
      <c r="AB450" s="176">
        <f ca="1">IF(AP450&gt;0,AA450*Calculation_sheet!C$94,0)</f>
        <v>0</v>
      </c>
      <c r="AC450" s="176">
        <f t="shared" ca="1" si="660"/>
        <v>1.3931862421212585E-5</v>
      </c>
      <c r="AD450" s="958">
        <f ca="1">AC450*Calculation_sheet!C$99</f>
        <v>8.3591174527275508E-6</v>
      </c>
      <c r="AE450" s="176">
        <f t="shared" ca="1" si="660"/>
        <v>5.5727449684850345E-6</v>
      </c>
      <c r="AF450" s="176">
        <f t="shared" ca="1" si="661"/>
        <v>1.3931862421212585E-5</v>
      </c>
      <c r="AG450" s="958">
        <f ca="1">AF450*User_sheet!B$77/100</f>
        <v>0</v>
      </c>
      <c r="AH450" s="313"/>
      <c r="AI450" s="2">
        <v>104</v>
      </c>
      <c r="AJ450" s="985"/>
      <c r="AK450" s="1020">
        <f t="shared" ca="1" si="591"/>
        <v>168.77584332279122</v>
      </c>
      <c r="AL450" s="954">
        <f ca="1">AK450/'103'!I$24</f>
        <v>0.37980499200628121</v>
      </c>
      <c r="AM450" s="954">
        <f ca="1">0.8*(AK450*30+'104'!D$17*0.34*30*1)</f>
        <v>6970.3335197469896</v>
      </c>
      <c r="AN450" s="954">
        <f ca="1">IF(AM450&lt;User_sheet!B$50,Y450,0)</f>
        <v>1.3931862421212585E-5</v>
      </c>
      <c r="AO450" s="954">
        <f ca="1">20-(User_sheet!B$57/('Freestanding '!AK450+'104'!D$17*1*0.34))</f>
        <v>0.37396638016747374</v>
      </c>
      <c r="AP450" s="954">
        <f ca="1">IF(AO450&lt;User_sheet!B$59,0,BC450*AA450)</f>
        <v>0</v>
      </c>
      <c r="AQ450" s="985"/>
      <c r="AR450" s="2">
        <v>0.47</v>
      </c>
      <c r="AS450" s="2">
        <v>0.54</v>
      </c>
      <c r="AT450" s="2">
        <v>0.83</v>
      </c>
      <c r="AU450" s="2">
        <v>2</v>
      </c>
      <c r="AV450" s="2">
        <v>3.3</v>
      </c>
      <c r="AW450" s="2">
        <v>12848.541887298286</v>
      </c>
      <c r="AX450" s="2">
        <v>75022.04959166942</v>
      </c>
      <c r="AY450" s="2">
        <v>69245.59826015502</v>
      </c>
      <c r="AZ450" s="27">
        <v>0</v>
      </c>
      <c r="BA450" s="27">
        <v>0</v>
      </c>
      <c r="BB450" s="2">
        <v>0.6</v>
      </c>
      <c r="BC450" s="30">
        <v>1</v>
      </c>
      <c r="BD450" s="34">
        <v>0</v>
      </c>
      <c r="BE450" s="34">
        <v>0</v>
      </c>
      <c r="BF450" s="40">
        <v>0</v>
      </c>
      <c r="BG450" s="2">
        <v>0</v>
      </c>
      <c r="BH450" s="2">
        <v>1</v>
      </c>
      <c r="BI450" s="40">
        <v>0</v>
      </c>
      <c r="BJ450" s="2">
        <v>0</v>
      </c>
      <c r="BK450" s="2">
        <v>0</v>
      </c>
      <c r="BL450" s="2">
        <v>1</v>
      </c>
      <c r="BM450" s="40">
        <v>0</v>
      </c>
      <c r="BN450" s="958">
        <v>7.0000000000000007E-2</v>
      </c>
      <c r="BO450" s="50">
        <v>12</v>
      </c>
      <c r="BP450" s="1018">
        <f t="shared" ca="1" si="662"/>
        <v>162.63999999999999</v>
      </c>
      <c r="BQ450" s="1018">
        <f t="shared" ca="1" si="663"/>
        <v>285.02799999999996</v>
      </c>
      <c r="BR450" s="1018">
        <f t="shared" ca="1" si="664"/>
        <v>51.803914909975674</v>
      </c>
      <c r="BS450" s="1018">
        <f t="shared" ca="1" si="665"/>
        <v>115.89999999999998</v>
      </c>
      <c r="BT450" s="1018">
        <f t="shared" ca="1" si="666"/>
        <v>81.319999999999993</v>
      </c>
      <c r="BU450" s="1018">
        <f t="shared" ca="1" si="667"/>
        <v>22.93</v>
      </c>
      <c r="BV450" s="1018">
        <f t="shared" ca="1" si="668"/>
        <v>2.15</v>
      </c>
      <c r="BW450" s="1018">
        <v>0</v>
      </c>
      <c r="BX450" s="1018">
        <f t="shared" ca="1" si="669"/>
        <v>22.513722112891656</v>
      </c>
      <c r="BY450" s="1018">
        <f t="shared" ca="1" si="670"/>
        <v>57.229334308705177</v>
      </c>
      <c r="BZ450" s="1018">
        <f t="shared" ca="1" si="592"/>
        <v>19.47215409721413</v>
      </c>
      <c r="CA450" s="1018">
        <f t="shared" ca="1" si="593"/>
        <v>45.859999981655996</v>
      </c>
      <c r="CB450" s="1018">
        <f t="shared" ca="1" si="671"/>
        <v>4.5133587786259541</v>
      </c>
      <c r="CC450" s="1018">
        <f t="shared" si="594"/>
        <v>0</v>
      </c>
      <c r="CD450" s="1018">
        <f t="shared" ca="1" si="673"/>
        <v>168.77584332279122</v>
      </c>
      <c r="CE450" s="1018">
        <f t="shared" ca="1" si="672"/>
        <v>93.991926831362093</v>
      </c>
      <c r="CF450" s="1018">
        <f t="shared" ca="1" si="596"/>
        <v>7.8830331046245989</v>
      </c>
      <c r="CG450" s="1018">
        <f t="shared" ca="1" si="597"/>
        <v>13124.934797875771</v>
      </c>
    </row>
    <row r="451" spans="3:85" x14ac:dyDescent="0.25">
      <c r="D451" s="463"/>
      <c r="E451" s="462"/>
      <c r="F451" s="463"/>
      <c r="G451" s="462"/>
      <c r="H451" s="463"/>
      <c r="I451" s="462"/>
      <c r="J451" s="463"/>
      <c r="K451" s="463"/>
      <c r="L451" s="467"/>
      <c r="M451" s="463"/>
      <c r="N451" s="463"/>
      <c r="O451" s="463"/>
      <c r="P451" s="463"/>
      <c r="Q451" s="463" t="s">
        <v>22</v>
      </c>
      <c r="R451" s="464">
        <v>0.81</v>
      </c>
      <c r="S451" s="463"/>
      <c r="T451" s="471">
        <v>1.1340332681365323E-3</v>
      </c>
      <c r="U451" s="462"/>
      <c r="V451" s="176">
        <f t="shared" si="560"/>
        <v>1.1340332681365323E-3</v>
      </c>
      <c r="W451" s="176">
        <f>V451-V451*Calculation_sheet!J$69</f>
        <v>1.1340332681365323E-3</v>
      </c>
      <c r="X451" s="176">
        <f>W451-W451*Calculation_sheet!J$79</f>
        <v>1.1340332681365323E-3</v>
      </c>
      <c r="Y451" s="34">
        <f>X451/Calculation_sheet!M$67</f>
        <v>1.1340564550668458E-3</v>
      </c>
      <c r="Z451" s="176">
        <f ca="1">IF(AN451&gt;0,Y451*Calculation_sheet!C$87,0)</f>
        <v>0</v>
      </c>
      <c r="AA451" s="176">
        <f t="shared" ca="1" si="659"/>
        <v>1.1340564550668458E-3</v>
      </c>
      <c r="AB451" s="176">
        <f ca="1">IF(AP451&gt;0,AA451*Calculation_sheet!C$94,0)</f>
        <v>0</v>
      </c>
      <c r="AC451" s="176">
        <f t="shared" ca="1" si="660"/>
        <v>1.1340564550668458E-3</v>
      </c>
      <c r="AD451" s="958">
        <f ca="1">AC451*Calculation_sheet!C$99</f>
        <v>6.8043387304010747E-4</v>
      </c>
      <c r="AE451" s="176">
        <f t="shared" ca="1" si="660"/>
        <v>4.5362258202673832E-4</v>
      </c>
      <c r="AF451" s="176">
        <f t="shared" ca="1" si="661"/>
        <v>1.1340564550668458E-3</v>
      </c>
      <c r="AG451" s="958">
        <f ca="1">AF451*User_sheet!B$77/100</f>
        <v>0</v>
      </c>
      <c r="AH451" s="313"/>
      <c r="AI451" s="2">
        <v>104</v>
      </c>
      <c r="AJ451" s="985"/>
      <c r="AK451" s="1020">
        <f t="shared" ca="1" si="591"/>
        <v>168.77584332279122</v>
      </c>
      <c r="AL451" s="954">
        <f ca="1">AK451/'103'!I$24</f>
        <v>0.37980499200628121</v>
      </c>
      <c r="AM451" s="954">
        <f ca="1">0.8*(AK451*30+'104'!D$17*0.34*30*1)</f>
        <v>6970.3335197469896</v>
      </c>
      <c r="AN451" s="954">
        <f ca="1">IF(AM451&lt;User_sheet!B$50,Y451,0)</f>
        <v>1.1340564550668458E-3</v>
      </c>
      <c r="AO451" s="954">
        <f ca="1">20-(User_sheet!B$57/('Freestanding '!AK451+'104'!D$17*1*0.34))</f>
        <v>0.37396638016747374</v>
      </c>
      <c r="AP451" s="954">
        <f ca="1">IF(AO451&lt;User_sheet!B$59,0,BC451*AA451)</f>
        <v>0</v>
      </c>
      <c r="AQ451" s="985"/>
      <c r="AR451" s="2">
        <v>0.47</v>
      </c>
      <c r="AS451" s="2">
        <v>0.54</v>
      </c>
      <c r="AT451" s="2">
        <v>0.83</v>
      </c>
      <c r="AU451" s="2">
        <v>2</v>
      </c>
      <c r="AV451" s="2">
        <v>3.3</v>
      </c>
      <c r="AW451" s="2">
        <v>12848.541887298286</v>
      </c>
      <c r="AX451" s="2">
        <v>75022.04959166942</v>
      </c>
      <c r="AY451" s="2">
        <v>69245.59826015502</v>
      </c>
      <c r="AZ451" s="27">
        <v>0</v>
      </c>
      <c r="BA451" s="27">
        <v>0</v>
      </c>
      <c r="BB451" s="2">
        <v>0.6</v>
      </c>
      <c r="BC451" s="30">
        <v>0</v>
      </c>
      <c r="BD451" s="34">
        <v>1</v>
      </c>
      <c r="BE451" s="34">
        <v>0</v>
      </c>
      <c r="BF451" s="40">
        <v>0</v>
      </c>
      <c r="BG451" s="2">
        <v>1</v>
      </c>
      <c r="BH451" s="2">
        <v>0</v>
      </c>
      <c r="BI451" s="40">
        <v>0</v>
      </c>
      <c r="BJ451" s="2">
        <v>0</v>
      </c>
      <c r="BK451" s="2">
        <v>1</v>
      </c>
      <c r="BL451" s="2">
        <v>0</v>
      </c>
      <c r="BM451" s="40">
        <v>0</v>
      </c>
      <c r="BN451" s="958">
        <v>7.0000000000000007E-2</v>
      </c>
      <c r="BO451" s="50">
        <v>12</v>
      </c>
      <c r="BP451" s="1018">
        <f t="shared" ca="1" si="662"/>
        <v>162.63999999999999</v>
      </c>
      <c r="BQ451" s="1018">
        <f t="shared" ca="1" si="663"/>
        <v>285.02799999999996</v>
      </c>
      <c r="BR451" s="1018">
        <f t="shared" ca="1" si="664"/>
        <v>51.803914909975674</v>
      </c>
      <c r="BS451" s="1018">
        <f t="shared" ca="1" si="665"/>
        <v>115.89999999999998</v>
      </c>
      <c r="BT451" s="1018">
        <f t="shared" ca="1" si="666"/>
        <v>81.319999999999993</v>
      </c>
      <c r="BU451" s="1018">
        <f t="shared" ca="1" si="667"/>
        <v>22.93</v>
      </c>
      <c r="BV451" s="1018">
        <f t="shared" ca="1" si="668"/>
        <v>2.15</v>
      </c>
      <c r="BW451" s="1018">
        <v>0</v>
      </c>
      <c r="BX451" s="1018">
        <f t="shared" ca="1" si="669"/>
        <v>22.513722112891656</v>
      </c>
      <c r="BY451" s="1018">
        <f t="shared" ca="1" si="670"/>
        <v>57.229334308705177</v>
      </c>
      <c r="BZ451" s="1018">
        <f t="shared" ca="1" si="592"/>
        <v>19.47215409721413</v>
      </c>
      <c r="CA451" s="1018">
        <f t="shared" ca="1" si="593"/>
        <v>45.859999981655996</v>
      </c>
      <c r="CB451" s="1018">
        <f t="shared" ca="1" si="671"/>
        <v>4.5133587786259541</v>
      </c>
      <c r="CC451" s="1018">
        <f t="shared" si="594"/>
        <v>0</v>
      </c>
      <c r="CD451" s="1018">
        <f t="shared" ca="1" si="673"/>
        <v>168.77584332279122</v>
      </c>
      <c r="CE451" s="1018">
        <f t="shared" ca="1" si="672"/>
        <v>93.991926831362093</v>
      </c>
      <c r="CF451" s="1018">
        <f t="shared" ca="1" si="596"/>
        <v>7.8830331046245989</v>
      </c>
      <c r="CG451" s="1018">
        <f t="shared" ca="1" si="597"/>
        <v>13124.934797875771</v>
      </c>
    </row>
    <row r="452" spans="3:85" x14ac:dyDescent="0.25">
      <c r="D452" s="463"/>
      <c r="E452" s="462"/>
      <c r="F452" s="463"/>
      <c r="G452" s="462"/>
      <c r="H452" s="463"/>
      <c r="I452" s="462"/>
      <c r="J452" s="463"/>
      <c r="K452" s="463"/>
      <c r="L452" s="467"/>
      <c r="M452" s="463"/>
      <c r="N452" s="463"/>
      <c r="O452" s="463" t="s">
        <v>18</v>
      </c>
      <c r="P452" s="464">
        <v>0.96078431399999997</v>
      </c>
      <c r="Q452" s="463" t="s">
        <v>7</v>
      </c>
      <c r="R452" s="464">
        <v>0.19</v>
      </c>
      <c r="S452" s="463"/>
      <c r="T452" s="471">
        <v>2.6600780363696428E-4</v>
      </c>
      <c r="U452" s="462"/>
      <c r="V452" s="176">
        <f t="shared" si="560"/>
        <v>2.6600780363696428E-4</v>
      </c>
      <c r="W452" s="176">
        <f>V452-V452*Calculation_sheet!J$69</f>
        <v>2.6600780363696428E-4</v>
      </c>
      <c r="X452" s="176">
        <f>W452-W452*Calculation_sheet!J$79</f>
        <v>2.6600780363696428E-4</v>
      </c>
      <c r="Y452" s="34">
        <f>X452/Calculation_sheet!M$67</f>
        <v>2.66013242546544E-4</v>
      </c>
      <c r="Z452" s="176">
        <f ca="1">IF(AN452&gt;0,Y452*Calculation_sheet!C$87,0)</f>
        <v>0</v>
      </c>
      <c r="AA452" s="176">
        <f t="shared" ca="1" si="659"/>
        <v>2.66013242546544E-4</v>
      </c>
      <c r="AB452" s="176">
        <f ca="1">IF(AP452&gt;0,AA452*Calculation_sheet!C$94,0)</f>
        <v>0</v>
      </c>
      <c r="AC452" s="176">
        <f t="shared" ca="1" si="660"/>
        <v>2.66013242546544E-4</v>
      </c>
      <c r="AD452" s="958">
        <f ca="1">AC452*Calculation_sheet!C$99</f>
        <v>1.5960794552792639E-4</v>
      </c>
      <c r="AE452" s="176">
        <f t="shared" ca="1" si="660"/>
        <v>1.0640529701861761E-4</v>
      </c>
      <c r="AF452" s="176">
        <f t="shared" ca="1" si="661"/>
        <v>2.66013242546544E-4</v>
      </c>
      <c r="AG452" s="958">
        <f ca="1">AF452*User_sheet!B$77/100</f>
        <v>0</v>
      </c>
      <c r="AH452" s="313"/>
      <c r="AI452" s="2">
        <v>104</v>
      </c>
      <c r="AJ452" s="985"/>
      <c r="AK452" s="1020">
        <f t="shared" ca="1" si="591"/>
        <v>168.77584332279122</v>
      </c>
      <c r="AL452" s="954">
        <f ca="1">AK452/'103'!I$24</f>
        <v>0.37980499200628121</v>
      </c>
      <c r="AM452" s="954">
        <f ca="1">0.8*(AK452*30+'104'!D$17*0.34*30*1)</f>
        <v>6970.3335197469896</v>
      </c>
      <c r="AN452" s="954">
        <f ca="1">IF(AM452&lt;User_sheet!B$50,Y452,0)</f>
        <v>2.66013242546544E-4</v>
      </c>
      <c r="AO452" s="954">
        <f ca="1">20-(User_sheet!B$57/('Freestanding '!AK452+'104'!D$17*1*0.34))</f>
        <v>0.37396638016747374</v>
      </c>
      <c r="AP452" s="954">
        <f ca="1">IF(AO452&lt;User_sheet!B$59,0,BC452*AA452)</f>
        <v>0</v>
      </c>
      <c r="AQ452" s="985"/>
      <c r="AR452" s="2">
        <v>0.47</v>
      </c>
      <c r="AS452" s="2">
        <v>0.54</v>
      </c>
      <c r="AT452" s="2">
        <v>0.83</v>
      </c>
      <c r="AU452" s="2">
        <v>2</v>
      </c>
      <c r="AV452" s="2">
        <v>3.3</v>
      </c>
      <c r="AW452" s="2">
        <v>12848.541887298286</v>
      </c>
      <c r="AX452" s="2">
        <v>75022.04959166942</v>
      </c>
      <c r="AY452" s="2">
        <v>69245.59826015502</v>
      </c>
      <c r="AZ452" s="27">
        <v>0</v>
      </c>
      <c r="BA452" s="27">
        <v>0</v>
      </c>
      <c r="BB452" s="2">
        <v>0.6</v>
      </c>
      <c r="BC452" s="30">
        <v>0</v>
      </c>
      <c r="BD452" s="34">
        <v>1</v>
      </c>
      <c r="BE452" s="34">
        <v>0</v>
      </c>
      <c r="BF452" s="40">
        <v>0</v>
      </c>
      <c r="BG452" s="2">
        <v>1</v>
      </c>
      <c r="BH452" s="2">
        <v>0</v>
      </c>
      <c r="BI452" s="40">
        <v>0</v>
      </c>
      <c r="BJ452" s="2">
        <v>0</v>
      </c>
      <c r="BK452" s="2">
        <v>0</v>
      </c>
      <c r="BL452" s="2">
        <v>1</v>
      </c>
      <c r="BM452" s="40">
        <v>0</v>
      </c>
      <c r="BN452" s="958">
        <v>7.0000000000000007E-2</v>
      </c>
      <c r="BO452" s="50">
        <v>12</v>
      </c>
      <c r="BP452" s="1018">
        <f t="shared" ca="1" si="662"/>
        <v>162.63999999999999</v>
      </c>
      <c r="BQ452" s="1018">
        <f t="shared" ca="1" si="663"/>
        <v>285.02799999999996</v>
      </c>
      <c r="BR452" s="1018">
        <f t="shared" ca="1" si="664"/>
        <v>51.803914909975674</v>
      </c>
      <c r="BS452" s="1018">
        <f t="shared" ca="1" si="665"/>
        <v>115.89999999999998</v>
      </c>
      <c r="BT452" s="1018">
        <f t="shared" ca="1" si="666"/>
        <v>81.319999999999993</v>
      </c>
      <c r="BU452" s="1018">
        <f t="shared" ca="1" si="667"/>
        <v>22.93</v>
      </c>
      <c r="BV452" s="1018">
        <f t="shared" ca="1" si="668"/>
        <v>2.15</v>
      </c>
      <c r="BW452" s="1018">
        <v>0</v>
      </c>
      <c r="BX452" s="1018">
        <f t="shared" ca="1" si="669"/>
        <v>22.513722112891656</v>
      </c>
      <c r="BY452" s="1018">
        <f t="shared" ca="1" si="670"/>
        <v>57.229334308705177</v>
      </c>
      <c r="BZ452" s="1018">
        <f t="shared" ca="1" si="592"/>
        <v>19.47215409721413</v>
      </c>
      <c r="CA452" s="1018">
        <f t="shared" ca="1" si="593"/>
        <v>45.859999981655996</v>
      </c>
      <c r="CB452" s="1018">
        <f t="shared" ca="1" si="671"/>
        <v>4.5133587786259541</v>
      </c>
      <c r="CC452" s="1018">
        <f t="shared" si="594"/>
        <v>0</v>
      </c>
      <c r="CD452" s="1018">
        <f t="shared" ca="1" si="673"/>
        <v>168.77584332279122</v>
      </c>
      <c r="CE452" s="1018">
        <f t="shared" ca="1" si="672"/>
        <v>93.991926831362093</v>
      </c>
      <c r="CF452" s="1018">
        <f t="shared" ca="1" si="596"/>
        <v>7.8830331046245989</v>
      </c>
      <c r="CG452" s="1018">
        <f t="shared" ca="1" si="597"/>
        <v>13124.934797875771</v>
      </c>
    </row>
    <row r="453" spans="3:85" x14ac:dyDescent="0.25">
      <c r="D453" s="463"/>
      <c r="E453" s="462"/>
      <c r="F453" s="463"/>
      <c r="G453" s="462"/>
      <c r="H453" s="463"/>
      <c r="I453" s="462"/>
      <c r="J453" s="463"/>
      <c r="K453" s="463"/>
      <c r="L453" s="467"/>
      <c r="M453" s="463"/>
      <c r="N453" s="463"/>
      <c r="O453" s="463"/>
      <c r="P453" s="463"/>
      <c r="Q453" s="463" t="s">
        <v>22</v>
      </c>
      <c r="R453" s="464">
        <v>0.81</v>
      </c>
      <c r="S453" s="463"/>
      <c r="T453" s="471">
        <v>4.6287071831603659E-5</v>
      </c>
      <c r="U453" s="462"/>
      <c r="V453" s="176">
        <f t="shared" si="560"/>
        <v>4.6287071831603659E-5</v>
      </c>
      <c r="W453" s="176">
        <f>V453-V453*Calculation_sheet!J$69</f>
        <v>4.6287071831603659E-5</v>
      </c>
      <c r="X453" s="176">
        <f>W453-W453*Calculation_sheet!J$79</f>
        <v>4.6287071831603659E-5</v>
      </c>
      <c r="Y453" s="34">
        <f>X453/Calculation_sheet!M$67</f>
        <v>4.6288018236915682E-5</v>
      </c>
      <c r="Z453" s="176">
        <f ca="1">IF(AN453&gt;0,Y453*Calculation_sheet!C$87,0)</f>
        <v>0</v>
      </c>
      <c r="AA453" s="176">
        <f t="shared" ca="1" si="659"/>
        <v>4.6288018236915682E-5</v>
      </c>
      <c r="AB453" s="176">
        <f ca="1">IF(AP453&gt;0,AA453*Calculation_sheet!C$94,0)</f>
        <v>0</v>
      </c>
      <c r="AC453" s="176">
        <f t="shared" ca="1" si="660"/>
        <v>4.6288018236915682E-5</v>
      </c>
      <c r="AD453" s="958">
        <f ca="1">AC453*Calculation_sheet!C$99</f>
        <v>2.7772810942149408E-5</v>
      </c>
      <c r="AE453" s="176">
        <f t="shared" ca="1" si="660"/>
        <v>1.8515207294766274E-5</v>
      </c>
      <c r="AF453" s="176">
        <f t="shared" ca="1" si="661"/>
        <v>4.6288018236915682E-5</v>
      </c>
      <c r="AG453" s="958">
        <f ca="1">AF453*User_sheet!B$77/100</f>
        <v>0</v>
      </c>
      <c r="AH453" s="313"/>
      <c r="AI453" s="2">
        <v>104</v>
      </c>
      <c r="AJ453" s="985"/>
      <c r="AK453" s="1020">
        <f t="shared" ca="1" si="591"/>
        <v>168.77584332279122</v>
      </c>
      <c r="AL453" s="954">
        <f ca="1">AK453/'103'!I$24</f>
        <v>0.37980499200628121</v>
      </c>
      <c r="AM453" s="954">
        <f ca="1">0.8*(AK453*30+'104'!D$17*0.34*30*1)</f>
        <v>6970.3335197469896</v>
      </c>
      <c r="AN453" s="954">
        <f ca="1">IF(AM453&lt;User_sheet!B$50,Y453,0)</f>
        <v>4.6288018236915682E-5</v>
      </c>
      <c r="AO453" s="954">
        <f ca="1">20-(User_sheet!B$57/('Freestanding '!AK453+'104'!D$17*1*0.34))</f>
        <v>0.37396638016747374</v>
      </c>
      <c r="AP453" s="954">
        <f ca="1">IF(AO453&lt;User_sheet!B$59,0,BC453*AA453)</f>
        <v>0</v>
      </c>
      <c r="AQ453" s="985"/>
      <c r="AR453" s="2">
        <v>0.47</v>
      </c>
      <c r="AS453" s="2">
        <v>0.54</v>
      </c>
      <c r="AT453" s="2">
        <v>0.83</v>
      </c>
      <c r="AU453" s="2">
        <v>2</v>
      </c>
      <c r="AV453" s="2">
        <v>3.3</v>
      </c>
      <c r="AW453" s="2">
        <v>12848.541887298286</v>
      </c>
      <c r="AX453" s="2">
        <v>75022.04959166942</v>
      </c>
      <c r="AY453" s="2">
        <v>69245.59826015502</v>
      </c>
      <c r="AZ453" s="27">
        <v>0</v>
      </c>
      <c r="BA453" s="27">
        <v>0</v>
      </c>
      <c r="BB453" s="2">
        <v>0.6</v>
      </c>
      <c r="BC453" s="30">
        <v>0</v>
      </c>
      <c r="BD453" s="34">
        <v>1</v>
      </c>
      <c r="BE453" s="34">
        <v>0</v>
      </c>
      <c r="BF453" s="40">
        <v>0</v>
      </c>
      <c r="BG453" s="2">
        <v>0</v>
      </c>
      <c r="BH453" s="2">
        <v>1</v>
      </c>
      <c r="BI453" s="40">
        <v>0</v>
      </c>
      <c r="BJ453" s="2">
        <v>0</v>
      </c>
      <c r="BK453" s="2">
        <v>1</v>
      </c>
      <c r="BL453" s="2">
        <v>0</v>
      </c>
      <c r="BM453" s="40">
        <v>0</v>
      </c>
      <c r="BN453" s="958">
        <v>7.0000000000000007E-2</v>
      </c>
      <c r="BO453" s="50">
        <v>12</v>
      </c>
      <c r="BP453" s="1018">
        <f t="shared" ca="1" si="662"/>
        <v>162.63999999999999</v>
      </c>
      <c r="BQ453" s="1018">
        <f t="shared" ca="1" si="663"/>
        <v>285.02799999999996</v>
      </c>
      <c r="BR453" s="1018">
        <f t="shared" ca="1" si="664"/>
        <v>51.803914909975674</v>
      </c>
      <c r="BS453" s="1018">
        <f t="shared" ca="1" si="665"/>
        <v>115.89999999999998</v>
      </c>
      <c r="BT453" s="1018">
        <f t="shared" ca="1" si="666"/>
        <v>81.319999999999993</v>
      </c>
      <c r="BU453" s="1018">
        <f t="shared" ca="1" si="667"/>
        <v>22.93</v>
      </c>
      <c r="BV453" s="1018">
        <f t="shared" ca="1" si="668"/>
        <v>2.15</v>
      </c>
      <c r="BW453" s="1018">
        <v>0</v>
      </c>
      <c r="BX453" s="1018">
        <f t="shared" ca="1" si="669"/>
        <v>22.513722112891656</v>
      </c>
      <c r="BY453" s="1018">
        <f t="shared" ca="1" si="670"/>
        <v>57.229334308705177</v>
      </c>
      <c r="BZ453" s="1018">
        <f t="shared" ca="1" si="592"/>
        <v>19.47215409721413</v>
      </c>
      <c r="CA453" s="1018">
        <f t="shared" ca="1" si="593"/>
        <v>45.859999981655996</v>
      </c>
      <c r="CB453" s="1018">
        <f t="shared" ca="1" si="671"/>
        <v>4.5133587786259541</v>
      </c>
      <c r="CC453" s="1018">
        <f t="shared" si="594"/>
        <v>0</v>
      </c>
      <c r="CD453" s="1018">
        <f t="shared" ca="1" si="673"/>
        <v>168.77584332279122</v>
      </c>
      <c r="CE453" s="1018">
        <f t="shared" ca="1" si="672"/>
        <v>93.991926831362093</v>
      </c>
      <c r="CF453" s="1018">
        <f t="shared" ca="1" si="596"/>
        <v>7.8830331046245989</v>
      </c>
      <c r="CG453" s="1018">
        <f t="shared" ca="1" si="597"/>
        <v>13124.934797875771</v>
      </c>
    </row>
    <row r="454" spans="3:85" x14ac:dyDescent="0.25">
      <c r="D454" s="463"/>
      <c r="E454" s="462"/>
      <c r="F454" s="463"/>
      <c r="G454" s="462"/>
      <c r="H454" s="463"/>
      <c r="I454" s="462"/>
      <c r="J454" s="463"/>
      <c r="K454" s="463"/>
      <c r="L454" s="467"/>
      <c r="M454" s="463" t="s">
        <v>22</v>
      </c>
      <c r="N454" s="464">
        <v>0.375</v>
      </c>
      <c r="O454" s="463" t="s">
        <v>20</v>
      </c>
      <c r="P454" s="464">
        <v>3.9215686E-2</v>
      </c>
      <c r="Q454" s="463" t="s">
        <v>7</v>
      </c>
      <c r="R454" s="464">
        <v>0.19</v>
      </c>
      <c r="S454" s="463"/>
      <c r="T454" s="471">
        <v>1.0857461293832957E-5</v>
      </c>
      <c r="U454" s="462"/>
      <c r="V454" s="176">
        <f t="shared" si="560"/>
        <v>1.0857461293832957E-5</v>
      </c>
      <c r="W454" s="176">
        <f>V454-V454*Calculation_sheet!J$69</f>
        <v>1.0857461293832957E-5</v>
      </c>
      <c r="X454" s="176">
        <f>W454-W454*Calculation_sheet!J$79</f>
        <v>1.0857461293832957E-5</v>
      </c>
      <c r="Y454" s="34">
        <f>X454/Calculation_sheet!M$67</f>
        <v>1.0857683290140714E-5</v>
      </c>
      <c r="Z454" s="176">
        <f ca="1">IF(AN454&gt;0,Y454*Calculation_sheet!C$87,0)</f>
        <v>0</v>
      </c>
      <c r="AA454" s="176">
        <f t="shared" ca="1" si="659"/>
        <v>1.0857683290140714E-5</v>
      </c>
      <c r="AB454" s="176">
        <f ca="1">IF(AP454&gt;0,AA454*Calculation_sheet!C$94,0)</f>
        <v>0</v>
      </c>
      <c r="AC454" s="176">
        <f t="shared" ca="1" si="660"/>
        <v>1.0857683290140714E-5</v>
      </c>
      <c r="AD454" s="958">
        <f ca="1">AC454*Calculation_sheet!C$99</f>
        <v>6.5146099740844283E-6</v>
      </c>
      <c r="AE454" s="176">
        <f t="shared" ca="1" si="660"/>
        <v>4.3430733160562855E-6</v>
      </c>
      <c r="AF454" s="176">
        <f t="shared" ca="1" si="661"/>
        <v>1.0857683290140714E-5</v>
      </c>
      <c r="AG454" s="958">
        <f ca="1">AF454*User_sheet!B$77/100</f>
        <v>0</v>
      </c>
      <c r="AH454" s="313"/>
      <c r="AI454" s="2">
        <v>104</v>
      </c>
      <c r="AJ454" s="985"/>
      <c r="AK454" s="1020">
        <f t="shared" ca="1" si="591"/>
        <v>168.77584332279122</v>
      </c>
      <c r="AL454" s="954">
        <f ca="1">AK454/'103'!I$24</f>
        <v>0.37980499200628121</v>
      </c>
      <c r="AM454" s="954">
        <f ca="1">0.8*(AK454*30+'104'!D$17*0.34*30*1)</f>
        <v>6970.3335197469896</v>
      </c>
      <c r="AN454" s="954">
        <f ca="1">IF(AM454&lt;User_sheet!B$50,Y454,0)</f>
        <v>1.0857683290140714E-5</v>
      </c>
      <c r="AO454" s="954">
        <f ca="1">20-(User_sheet!B$57/('Freestanding '!AK454+'104'!D$17*1*0.34))</f>
        <v>0.37396638016747374</v>
      </c>
      <c r="AP454" s="954">
        <f ca="1">IF(AO454&lt;User_sheet!B$59,0,BC454*AA454)</f>
        <v>0</v>
      </c>
      <c r="AQ454" s="985"/>
      <c r="AR454" s="2">
        <v>0.47</v>
      </c>
      <c r="AS454" s="2">
        <v>0.54</v>
      </c>
      <c r="AT454" s="2">
        <v>0.83</v>
      </c>
      <c r="AU454" s="2">
        <v>2</v>
      </c>
      <c r="AV454" s="2">
        <v>3.3</v>
      </c>
      <c r="AW454" s="2">
        <v>12848.541887298286</v>
      </c>
      <c r="AX454" s="2">
        <v>75022.04959166942</v>
      </c>
      <c r="AY454" s="2">
        <v>69245.59826015502</v>
      </c>
      <c r="AZ454" s="27">
        <v>0</v>
      </c>
      <c r="BA454" s="27">
        <v>0</v>
      </c>
      <c r="BB454" s="2">
        <v>0.6</v>
      </c>
      <c r="BC454" s="30">
        <v>0</v>
      </c>
      <c r="BD454" s="34">
        <v>1</v>
      </c>
      <c r="BE454" s="34">
        <v>0</v>
      </c>
      <c r="BF454" s="40">
        <v>0</v>
      </c>
      <c r="BG454" s="2">
        <v>0</v>
      </c>
      <c r="BH454" s="2">
        <v>1</v>
      </c>
      <c r="BI454" s="40">
        <v>0</v>
      </c>
      <c r="BJ454" s="2">
        <v>0</v>
      </c>
      <c r="BK454" s="2">
        <v>0</v>
      </c>
      <c r="BL454" s="2">
        <v>1</v>
      </c>
      <c r="BM454" s="40">
        <v>0</v>
      </c>
      <c r="BN454" s="958">
        <v>7.0000000000000007E-2</v>
      </c>
      <c r="BO454" s="50">
        <v>12</v>
      </c>
      <c r="BP454" s="1018">
        <f t="shared" ca="1" si="662"/>
        <v>162.63999999999999</v>
      </c>
      <c r="BQ454" s="1018">
        <f t="shared" ca="1" si="663"/>
        <v>285.02799999999996</v>
      </c>
      <c r="BR454" s="1018">
        <f t="shared" ca="1" si="664"/>
        <v>51.803914909975674</v>
      </c>
      <c r="BS454" s="1018">
        <f t="shared" ca="1" si="665"/>
        <v>115.89999999999998</v>
      </c>
      <c r="BT454" s="1018">
        <f t="shared" ca="1" si="666"/>
        <v>81.319999999999993</v>
      </c>
      <c r="BU454" s="1018">
        <f t="shared" ca="1" si="667"/>
        <v>22.93</v>
      </c>
      <c r="BV454" s="1018">
        <f t="shared" ca="1" si="668"/>
        <v>2.15</v>
      </c>
      <c r="BW454" s="1018">
        <v>0</v>
      </c>
      <c r="BX454" s="1018">
        <f t="shared" ca="1" si="669"/>
        <v>22.513722112891656</v>
      </c>
      <c r="BY454" s="1018">
        <f t="shared" ca="1" si="670"/>
        <v>57.229334308705177</v>
      </c>
      <c r="BZ454" s="1018">
        <f t="shared" ca="1" si="592"/>
        <v>19.47215409721413</v>
      </c>
      <c r="CA454" s="1018">
        <f t="shared" ca="1" si="593"/>
        <v>45.859999981655996</v>
      </c>
      <c r="CB454" s="1018">
        <f t="shared" ca="1" si="671"/>
        <v>4.5133587786259541</v>
      </c>
      <c r="CC454" s="1018">
        <f t="shared" si="594"/>
        <v>0</v>
      </c>
      <c r="CD454" s="1018">
        <f t="shared" ca="1" si="673"/>
        <v>168.77584332279122</v>
      </c>
      <c r="CE454" s="1018">
        <f t="shared" ca="1" si="672"/>
        <v>93.991926831362093</v>
      </c>
      <c r="CF454" s="1018">
        <f t="shared" ca="1" si="596"/>
        <v>7.8830331046245989</v>
      </c>
      <c r="CG454" s="1018">
        <f t="shared" ca="1" si="597"/>
        <v>13124.934797875771</v>
      </c>
    </row>
    <row r="455" spans="3:85" x14ac:dyDescent="0.25">
      <c r="D455" s="463"/>
      <c r="E455" s="462"/>
      <c r="F455" s="463"/>
      <c r="G455" s="462"/>
      <c r="H455" s="463"/>
      <c r="I455" s="462"/>
      <c r="J455" s="463"/>
      <c r="K455" s="465" t="s">
        <v>13</v>
      </c>
      <c r="L455" s="466">
        <v>1</v>
      </c>
      <c r="M455" s="463" t="s">
        <v>7</v>
      </c>
      <c r="N455" s="464">
        <v>0.125</v>
      </c>
      <c r="O455" s="463" t="s">
        <v>23</v>
      </c>
      <c r="P455" s="464">
        <v>1</v>
      </c>
      <c r="Q455" s="463" t="s">
        <v>7</v>
      </c>
      <c r="R455" s="464">
        <v>1</v>
      </c>
      <c r="S455" s="463"/>
      <c r="T455" s="471">
        <v>4.8572853496631105E-4</v>
      </c>
      <c r="U455" s="470"/>
      <c r="V455" s="176">
        <f t="shared" si="560"/>
        <v>4.8572853496631105E-4</v>
      </c>
      <c r="W455" s="176">
        <f>V455-V455*Calculation_sheet!J$69</f>
        <v>4.8572853496631105E-4</v>
      </c>
      <c r="X455" s="176">
        <f>W455-W455*Calculation_sheet!J$79</f>
        <v>4.8572853496631105E-4</v>
      </c>
      <c r="Y455" s="34">
        <f>X455/Calculation_sheet!M$67</f>
        <v>4.8573846638014868E-4</v>
      </c>
      <c r="Z455" s="176">
        <f ca="1">IF(AN455&gt;0,Y455*Calculation_sheet!C$87,0)</f>
        <v>0</v>
      </c>
      <c r="AA455" s="176">
        <f t="shared" ca="1" si="659"/>
        <v>4.8573846638014868E-4</v>
      </c>
      <c r="AB455" s="176">
        <f ca="1">IF(AP455&gt;0,AA455*Calculation_sheet!C$94,0)</f>
        <v>0</v>
      </c>
      <c r="AC455" s="176">
        <f t="shared" ca="1" si="660"/>
        <v>4.8573846638014868E-4</v>
      </c>
      <c r="AD455" s="958">
        <f ca="1">AC455*Calculation_sheet!C$99</f>
        <v>2.9144307982808919E-4</v>
      </c>
      <c r="AE455" s="176">
        <f t="shared" ca="1" si="660"/>
        <v>1.9429538655205949E-4</v>
      </c>
      <c r="AF455" s="176">
        <f t="shared" ca="1" si="661"/>
        <v>4.8573846638014868E-4</v>
      </c>
      <c r="AG455" s="958">
        <f ca="1">AF455*User_sheet!B$77/100</f>
        <v>0</v>
      </c>
      <c r="AH455" s="313"/>
      <c r="AI455" s="2">
        <v>104</v>
      </c>
      <c r="AJ455" s="985"/>
      <c r="AK455" s="1020">
        <f t="shared" ca="1" si="591"/>
        <v>168.77584332279122</v>
      </c>
      <c r="AL455" s="954">
        <f ca="1">AK455/'103'!I$24</f>
        <v>0.37980499200628121</v>
      </c>
      <c r="AM455" s="954">
        <f ca="1">0.8*(AK455*30+'104'!D$17*0.34*30*1)</f>
        <v>6970.3335197469896</v>
      </c>
      <c r="AN455" s="954">
        <f ca="1">IF(AM455&lt;User_sheet!B$50,Y455,0)</f>
        <v>4.8573846638014868E-4</v>
      </c>
      <c r="AO455" s="954">
        <f ca="1">20-(User_sheet!B$57/('Freestanding '!AK455+'104'!D$17*1*0.34))</f>
        <v>0.37396638016747374</v>
      </c>
      <c r="AP455" s="954">
        <f ca="1">IF(AO455&lt;User_sheet!B$59,0,BC455*AA455)</f>
        <v>0</v>
      </c>
      <c r="AQ455" s="985"/>
      <c r="AR455" s="2">
        <v>0.47</v>
      </c>
      <c r="AS455" s="2">
        <v>0.54</v>
      </c>
      <c r="AT455" s="2">
        <v>0.83</v>
      </c>
      <c r="AU455" s="2">
        <v>2</v>
      </c>
      <c r="AV455" s="2">
        <v>3.3</v>
      </c>
      <c r="AW455" s="2">
        <v>12848.541887298286</v>
      </c>
      <c r="AX455" s="2">
        <v>75022.04959166942</v>
      </c>
      <c r="AY455" s="2">
        <v>69245.59826015502</v>
      </c>
      <c r="AZ455" s="27">
        <v>0</v>
      </c>
      <c r="BA455" s="27">
        <v>0</v>
      </c>
      <c r="BB455" s="2">
        <v>0.6</v>
      </c>
      <c r="BC455" s="30">
        <v>0</v>
      </c>
      <c r="BD455" s="34">
        <v>0</v>
      </c>
      <c r="BE455" s="34">
        <v>1</v>
      </c>
      <c r="BF455" s="40">
        <v>0</v>
      </c>
      <c r="BG455" s="2">
        <v>0</v>
      </c>
      <c r="BH455" s="2">
        <v>0</v>
      </c>
      <c r="BI455" s="40">
        <v>1</v>
      </c>
      <c r="BJ455" s="2">
        <v>0</v>
      </c>
      <c r="BK455" s="2">
        <v>0</v>
      </c>
      <c r="BL455" s="2">
        <v>1</v>
      </c>
      <c r="BM455" s="40">
        <v>0</v>
      </c>
      <c r="BN455" s="958">
        <v>7.0000000000000007E-2</v>
      </c>
      <c r="BO455" s="50">
        <v>12</v>
      </c>
      <c r="BP455" s="1018">
        <f t="shared" ca="1" si="662"/>
        <v>162.63999999999999</v>
      </c>
      <c r="BQ455" s="1018">
        <f t="shared" ca="1" si="663"/>
        <v>285.02799999999996</v>
      </c>
      <c r="BR455" s="1018">
        <f t="shared" ca="1" si="664"/>
        <v>51.803914909975674</v>
      </c>
      <c r="BS455" s="1018">
        <f t="shared" ca="1" si="665"/>
        <v>115.89999999999998</v>
      </c>
      <c r="BT455" s="1018">
        <f t="shared" ca="1" si="666"/>
        <v>81.319999999999993</v>
      </c>
      <c r="BU455" s="1018">
        <f t="shared" ca="1" si="667"/>
        <v>22.93</v>
      </c>
      <c r="BV455" s="1018">
        <f t="shared" ca="1" si="668"/>
        <v>2.15</v>
      </c>
      <c r="BW455" s="1018">
        <v>0</v>
      </c>
      <c r="BX455" s="1018">
        <f t="shared" ca="1" si="669"/>
        <v>22.513722112891656</v>
      </c>
      <c r="BY455" s="1018">
        <f t="shared" ca="1" si="670"/>
        <v>57.229334308705177</v>
      </c>
      <c r="BZ455" s="1018">
        <f t="shared" ca="1" si="592"/>
        <v>19.47215409721413</v>
      </c>
      <c r="CA455" s="1018">
        <f t="shared" ca="1" si="593"/>
        <v>45.859999981655996</v>
      </c>
      <c r="CB455" s="1018">
        <f t="shared" ca="1" si="671"/>
        <v>4.5133587786259541</v>
      </c>
      <c r="CC455" s="1018">
        <f t="shared" si="594"/>
        <v>0</v>
      </c>
      <c r="CD455" s="1018">
        <f t="shared" ca="1" si="673"/>
        <v>168.77584332279122</v>
      </c>
      <c r="CE455" s="1018">
        <f t="shared" ca="1" si="672"/>
        <v>93.991926831362093</v>
      </c>
      <c r="CF455" s="1018">
        <f t="shared" ca="1" si="596"/>
        <v>7.8830331046245989</v>
      </c>
      <c r="CG455" s="1018">
        <f t="shared" ca="1" si="597"/>
        <v>13124.934797875771</v>
      </c>
    </row>
    <row r="456" spans="3:85" s="14" customFormat="1" x14ac:dyDescent="0.25">
      <c r="D456" s="15"/>
      <c r="F456" s="15"/>
      <c r="H456" s="15"/>
      <c r="J456" s="15"/>
      <c r="K456" s="16"/>
      <c r="L456" s="15"/>
      <c r="M456" s="15"/>
      <c r="N456" s="15"/>
      <c r="O456" s="15"/>
      <c r="P456" s="15"/>
      <c r="Q456" s="15"/>
      <c r="R456" s="15"/>
      <c r="S456" s="15"/>
      <c r="T456" s="80"/>
      <c r="U456" s="273"/>
      <c r="V456" s="292"/>
      <c r="W456" s="292"/>
      <c r="X456" s="292"/>
      <c r="Y456" s="277"/>
      <c r="Z456" s="292"/>
      <c r="AA456" s="292"/>
      <c r="AB456" s="292"/>
      <c r="AC456" s="292"/>
      <c r="AD456" s="277"/>
      <c r="AE456" s="292"/>
      <c r="AF456" s="292"/>
      <c r="AG456" s="277"/>
      <c r="AH456" s="313"/>
      <c r="AI456" s="28"/>
      <c r="AJ456" s="985"/>
      <c r="AK456" s="1020">
        <f t="shared" si="591"/>
        <v>0</v>
      </c>
      <c r="AL456" s="955"/>
      <c r="AM456" s="955"/>
      <c r="AN456" s="955"/>
      <c r="AO456" s="955"/>
      <c r="AP456" s="955"/>
      <c r="AQ456" s="985"/>
      <c r="AR456" s="28"/>
      <c r="AS456" s="28"/>
      <c r="AT456" s="28"/>
      <c r="AU456" s="28"/>
      <c r="AV456" s="28"/>
      <c r="AW456" s="28"/>
      <c r="AX456" s="28"/>
      <c r="AY456" s="28"/>
      <c r="AZ456" s="28"/>
      <c r="BA456" s="28"/>
      <c r="BB456" s="28"/>
      <c r="BC456" s="45"/>
      <c r="BD456" s="277"/>
      <c r="BE456" s="277"/>
      <c r="BF456" s="49"/>
      <c r="BG456" s="28"/>
      <c r="BH456" s="28"/>
      <c r="BI456" s="49"/>
      <c r="BJ456" s="28"/>
      <c r="BK456" s="28"/>
      <c r="BL456" s="28"/>
      <c r="BM456" s="49"/>
      <c r="BN456" s="277"/>
      <c r="BO456" s="49"/>
      <c r="BP456" s="946"/>
      <c r="BQ456" s="946"/>
      <c r="BR456" s="946"/>
      <c r="BS456" s="946"/>
      <c r="BT456" s="946"/>
      <c r="BU456" s="946"/>
      <c r="BV456" s="946"/>
      <c r="BW456" s="946"/>
      <c r="BX456" s="946"/>
      <c r="BY456" s="946"/>
      <c r="BZ456" s="946"/>
      <c r="CA456" s="946"/>
      <c r="CB456" s="946"/>
      <c r="CC456" s="946"/>
      <c r="CD456" s="946"/>
      <c r="CE456" s="946"/>
      <c r="CF456" s="946"/>
      <c r="CG456" s="946"/>
    </row>
    <row r="457" spans="3:85" x14ac:dyDescent="0.25">
      <c r="D457" s="1"/>
      <c r="F457" s="1"/>
      <c r="G457" s="3"/>
      <c r="H457" s="6"/>
      <c r="I457" s="3"/>
      <c r="J457" s="6"/>
      <c r="K457" s="8"/>
      <c r="L457" s="6"/>
      <c r="M457" s="6"/>
      <c r="N457" s="6"/>
      <c r="O457" s="6"/>
      <c r="P457" s="6"/>
      <c r="Q457" s="6" t="s">
        <v>16</v>
      </c>
      <c r="R457" s="4"/>
      <c r="S457" s="1"/>
      <c r="T457" s="77"/>
      <c r="X457" s="176">
        <f>W447-X447</f>
        <v>0</v>
      </c>
      <c r="Y457" s="34">
        <f>X457/Calculation_sheet!M$67</f>
        <v>0</v>
      </c>
      <c r="Z457" s="176">
        <f ca="1">IF(AN457&gt;0,Y457*Calculation_sheet!C$87,0)</f>
        <v>0</v>
      </c>
      <c r="AA457" s="176">
        <f t="shared" ref="AA457:AA465" ca="1" si="674">Y457-Z457</f>
        <v>0</v>
      </c>
      <c r="AB457" s="176">
        <f ca="1">IF(AP457&gt;0,AA457*Calculation_sheet!C$94,0)</f>
        <v>0</v>
      </c>
      <c r="AC457" s="176">
        <f t="shared" ref="AC457:AE465" ca="1" si="675">AA457-AB457</f>
        <v>0</v>
      </c>
      <c r="AD457" s="958">
        <f ca="1">AC457*Calculation_sheet!C$99</f>
        <v>0</v>
      </c>
      <c r="AE457" s="176">
        <f t="shared" ca="1" si="675"/>
        <v>0</v>
      </c>
      <c r="AF457" s="176">
        <f t="shared" ref="AF457:AF465" ca="1" si="676">Y457-AB457</f>
        <v>0</v>
      </c>
      <c r="AG457" s="958">
        <f ca="1">AF457*User_sheet!B$77/100</f>
        <v>0</v>
      </c>
      <c r="AH457" s="313"/>
      <c r="AI457" s="2">
        <v>104</v>
      </c>
      <c r="AJ457" s="985"/>
      <c r="AK457" s="1020">
        <f t="shared" ca="1" si="591"/>
        <v>161.96820961110492</v>
      </c>
      <c r="AL457" s="954">
        <f ca="1">AK457/'103'!I$24</f>
        <v>0.36448542247224736</v>
      </c>
      <c r="AM457" s="954">
        <f ca="1">0.8*(AK457*30+'104'!D$17*0.34*30*1)</f>
        <v>6806.9503106665188</v>
      </c>
      <c r="AN457" s="954">
        <f ca="1">IF(AM457&lt;User_sheet!B$50,Y457,0)</f>
        <v>0</v>
      </c>
      <c r="AO457" s="954">
        <f ca="1">20-(User_sheet!B$57/('Freestanding '!AK457+'104'!D$17*1*0.34))</f>
        <v>-9.7105716437191347E-2</v>
      </c>
      <c r="AP457" s="954">
        <f ca="1">IF(AO457&lt;User_sheet!B$59,0,BC457*AA457)</f>
        <v>0</v>
      </c>
      <c r="AQ457" s="985"/>
      <c r="AR457" s="2">
        <v>0.32</v>
      </c>
      <c r="AS457" s="2">
        <v>0.54</v>
      </c>
      <c r="AT457" s="2">
        <v>0.83</v>
      </c>
      <c r="AU457" s="2">
        <v>2</v>
      </c>
      <c r="AV457" s="2">
        <v>3.3</v>
      </c>
      <c r="AW457" s="2">
        <v>14356</v>
      </c>
      <c r="AX457" s="2">
        <v>75022.04959166942</v>
      </c>
      <c r="AY457" s="2">
        <v>69245.59826015502</v>
      </c>
      <c r="AZ457" s="27">
        <v>0</v>
      </c>
      <c r="BA457" s="27">
        <v>0</v>
      </c>
      <c r="BB457" s="2">
        <v>0.6</v>
      </c>
      <c r="BC457" s="30">
        <v>1</v>
      </c>
      <c r="BD457" s="34">
        <v>0</v>
      </c>
      <c r="BE457" s="34">
        <v>0</v>
      </c>
      <c r="BF457" s="40">
        <v>0</v>
      </c>
      <c r="BG457" s="2">
        <v>1</v>
      </c>
      <c r="BH457" s="2">
        <v>0</v>
      </c>
      <c r="BI457" s="40">
        <v>0</v>
      </c>
      <c r="BJ457" s="2">
        <v>1</v>
      </c>
      <c r="BK457" s="2">
        <v>0</v>
      </c>
      <c r="BL457" s="2">
        <v>0</v>
      </c>
      <c r="BM457" s="40">
        <v>0</v>
      </c>
      <c r="BN457" s="958">
        <v>7.0000000000000007E-2</v>
      </c>
      <c r="BO457" s="50">
        <v>12</v>
      </c>
      <c r="BP457" s="1018">
        <f t="shared" ref="BP457:BP465" ca="1" si="677">INDIRECT("'"&amp;AI457&amp;"'!"&amp;"B2")</f>
        <v>162.63999999999999</v>
      </c>
      <c r="BQ457" s="1018">
        <f t="shared" ref="BQ457:BQ465" ca="1" si="678">INDIRECT("'"&amp;AI457&amp;"'!"&amp;"C12")+INDIRECT("'"&amp;AI457&amp;"'!"&amp;"C13")+INDIRECT("'"&amp;AI457&amp;"'!"&amp;"C14")+INDIRECT("'"&amp;AI457&amp;"'!"&amp;"C15")+INDIRECT("'"&amp;AI457&amp;"'!"&amp;"C17")</f>
        <v>285.02799999999996</v>
      </c>
      <c r="BR457" s="1018">
        <f t="shared" ref="BR457:BR465" ca="1" si="679">INDIRECT("'"&amp;AI457&amp;"'!"&amp;"G5")</f>
        <v>51.803914909975674</v>
      </c>
      <c r="BS457" s="1018">
        <f t="shared" ref="BS457:BS465" ca="1" si="680">INDIRECT("'"&amp;AI457&amp;"'!"&amp;"G4")</f>
        <v>115.89999999999998</v>
      </c>
      <c r="BT457" s="1018">
        <f t="shared" ref="BT457:BT465" ca="1" si="681">INDIRECT("'"&amp;AI457&amp;"'!"&amp;"G6")</f>
        <v>81.319999999999993</v>
      </c>
      <c r="BU457" s="1018">
        <f t="shared" ref="BU457:BU465" ca="1" si="682">INDIRECT("'"&amp;AI457&amp;"'!"&amp;"G2")</f>
        <v>22.93</v>
      </c>
      <c r="BV457" s="1018">
        <f t="shared" ref="BV457:BV465" ca="1" si="683">INDIRECT("'"&amp;AI457&amp;"'!"&amp;"G3")</f>
        <v>2.15</v>
      </c>
      <c r="BW457" s="1018">
        <v>0</v>
      </c>
      <c r="BX457" s="1018">
        <f t="shared" ref="BX457:BX465" ca="1" si="684">IF(BR457=0,0,1/(1/(BR457*$BY$3)+1/(BR457*AR457)+1/(BR457*$BY$4)))</f>
        <v>15.70608840120536</v>
      </c>
      <c r="BY457" s="1018">
        <f t="shared" ref="BY457:BY465" ca="1" si="685">IF(BS457=0,0,1/(1/(BS457*$BY$3)+1/(BS457*AS457)+1/(BS457*$BY$4)))</f>
        <v>57.229334308705177</v>
      </c>
      <c r="BZ457" s="1018">
        <f t="shared" ca="1" si="592"/>
        <v>19.47215409721413</v>
      </c>
      <c r="CA457" s="1018">
        <f t="shared" ca="1" si="593"/>
        <v>45.859999981655996</v>
      </c>
      <c r="CB457" s="1018">
        <f t="shared" ref="CB457:CB465" ca="1" si="686">IF(BV457=0,0,1/(1/(BV457*$BY$3)+1/(BV457*AV457)+1/(BV457*$BY$4)))</f>
        <v>4.5133587786259541</v>
      </c>
      <c r="CC457" s="1018">
        <f t="shared" si="594"/>
        <v>0</v>
      </c>
      <c r="CD457" s="1018">
        <f ca="1">SUM(BX457:CC457)+(BR457+BS457+BT457+BU457+BV457)*BN457</f>
        <v>161.96820961110492</v>
      </c>
      <c r="CE457" s="1018">
        <f t="shared" ref="CE457:CE465" ca="1" si="687">0.34*BO457*(1/25)^0.66*(BR457+BS457+BU457+BV457)</f>
        <v>93.991926831362093</v>
      </c>
      <c r="CF457" s="1018">
        <f t="shared" ca="1" si="596"/>
        <v>7.6788040932740103</v>
      </c>
      <c r="CG457" s="1018">
        <f t="shared" ca="1" si="597"/>
        <v>12784.901663137496</v>
      </c>
    </row>
    <row r="458" spans="3:85" x14ac:dyDescent="0.25">
      <c r="D458" s="1"/>
      <c r="F458" s="1"/>
      <c r="G458" s="3"/>
      <c r="H458" s="6"/>
      <c r="I458" s="3"/>
      <c r="J458" s="6"/>
      <c r="K458" s="8"/>
      <c r="L458" s="6"/>
      <c r="M458" s="6"/>
      <c r="N458" s="6"/>
      <c r="O458" s="6" t="s">
        <v>18</v>
      </c>
      <c r="P458" s="4"/>
      <c r="Q458" s="6" t="s">
        <v>7</v>
      </c>
      <c r="R458" s="4"/>
      <c r="S458" s="1"/>
      <c r="T458" s="77"/>
      <c r="X458" s="176">
        <f t="shared" ref="X458:X465" si="688">W448-X448</f>
        <v>0</v>
      </c>
      <c r="Y458" s="34">
        <f>X458/Calculation_sheet!M$67</f>
        <v>0</v>
      </c>
      <c r="Z458" s="176">
        <f ca="1">IF(AN458&gt;0,Y458*Calculation_sheet!C$87,0)</f>
        <v>0</v>
      </c>
      <c r="AA458" s="176">
        <f t="shared" ca="1" si="674"/>
        <v>0</v>
      </c>
      <c r="AB458" s="176">
        <f ca="1">IF(AP458&gt;0,AA458*Calculation_sheet!C$94,0)</f>
        <v>0</v>
      </c>
      <c r="AC458" s="176">
        <f t="shared" ca="1" si="675"/>
        <v>0</v>
      </c>
      <c r="AD458" s="958">
        <f ca="1">AC458*Calculation_sheet!C$99</f>
        <v>0</v>
      </c>
      <c r="AE458" s="176">
        <f t="shared" ca="1" si="675"/>
        <v>0</v>
      </c>
      <c r="AF458" s="176">
        <f t="shared" ca="1" si="676"/>
        <v>0</v>
      </c>
      <c r="AG458" s="958">
        <f ca="1">AF458*User_sheet!B$77/100</f>
        <v>0</v>
      </c>
      <c r="AH458" s="313"/>
      <c r="AI458" s="2">
        <v>104</v>
      </c>
      <c r="AJ458" s="985"/>
      <c r="AK458" s="1020">
        <f t="shared" ca="1" si="591"/>
        <v>161.96820961110492</v>
      </c>
      <c r="AL458" s="954">
        <f ca="1">AK458/'103'!I$24</f>
        <v>0.36448542247224736</v>
      </c>
      <c r="AM458" s="954">
        <f ca="1">0.8*(AK458*30+'104'!D$17*0.34*30*1)</f>
        <v>6806.9503106665188</v>
      </c>
      <c r="AN458" s="954">
        <f ca="1">IF(AM458&lt;User_sheet!B$50,Y458,0)</f>
        <v>0</v>
      </c>
      <c r="AO458" s="954">
        <f ca="1">20-(User_sheet!B$57/('Freestanding '!AK458+'104'!D$17*1*0.34))</f>
        <v>-9.7105716437191347E-2</v>
      </c>
      <c r="AP458" s="954">
        <f ca="1">IF(AO458&lt;User_sheet!B$59,0,BC458*AA458)</f>
        <v>0</v>
      </c>
      <c r="AQ458" s="985"/>
      <c r="AR458" s="2">
        <v>0.32</v>
      </c>
      <c r="AS458" s="2">
        <v>0.54</v>
      </c>
      <c r="AT458" s="2">
        <v>0.83</v>
      </c>
      <c r="AU458" s="2">
        <v>2</v>
      </c>
      <c r="AV458" s="2">
        <v>3.3</v>
      </c>
      <c r="AW458" s="2">
        <v>14356</v>
      </c>
      <c r="AX458" s="2">
        <v>75022.04959166942</v>
      </c>
      <c r="AY458" s="2">
        <v>69245.59826015502</v>
      </c>
      <c r="AZ458" s="27">
        <v>0</v>
      </c>
      <c r="BA458" s="27">
        <v>0</v>
      </c>
      <c r="BB458" s="2">
        <v>0.6</v>
      </c>
      <c r="BC458" s="30">
        <v>1</v>
      </c>
      <c r="BD458" s="34">
        <v>0</v>
      </c>
      <c r="BE458" s="34">
        <v>0</v>
      </c>
      <c r="BF458" s="40">
        <v>0</v>
      </c>
      <c r="BG458" s="2">
        <v>1</v>
      </c>
      <c r="BH458" s="2">
        <v>0</v>
      </c>
      <c r="BI458" s="40">
        <v>0</v>
      </c>
      <c r="BJ458" s="2">
        <v>0</v>
      </c>
      <c r="BK458" s="2">
        <v>0</v>
      </c>
      <c r="BL458" s="2">
        <v>1</v>
      </c>
      <c r="BM458" s="40">
        <v>0</v>
      </c>
      <c r="BN458" s="958">
        <v>7.0000000000000007E-2</v>
      </c>
      <c r="BO458" s="50">
        <v>12</v>
      </c>
      <c r="BP458" s="1018">
        <f t="shared" ca="1" si="677"/>
        <v>162.63999999999999</v>
      </c>
      <c r="BQ458" s="1018">
        <f t="shared" ca="1" si="678"/>
        <v>285.02799999999996</v>
      </c>
      <c r="BR458" s="1018">
        <f t="shared" ca="1" si="679"/>
        <v>51.803914909975674</v>
      </c>
      <c r="BS458" s="1018">
        <f t="shared" ca="1" si="680"/>
        <v>115.89999999999998</v>
      </c>
      <c r="BT458" s="1018">
        <f t="shared" ca="1" si="681"/>
        <v>81.319999999999993</v>
      </c>
      <c r="BU458" s="1018">
        <f t="shared" ca="1" si="682"/>
        <v>22.93</v>
      </c>
      <c r="BV458" s="1018">
        <f t="shared" ca="1" si="683"/>
        <v>2.15</v>
      </c>
      <c r="BW458" s="1018">
        <v>0</v>
      </c>
      <c r="BX458" s="1018">
        <f t="shared" ca="1" si="684"/>
        <v>15.70608840120536</v>
      </c>
      <c r="BY458" s="1018">
        <f t="shared" ca="1" si="685"/>
        <v>57.229334308705177</v>
      </c>
      <c r="BZ458" s="1018">
        <f t="shared" ca="1" si="592"/>
        <v>19.47215409721413</v>
      </c>
      <c r="CA458" s="1018">
        <f t="shared" ca="1" si="593"/>
        <v>45.859999981655996</v>
      </c>
      <c r="CB458" s="1018">
        <f t="shared" ca="1" si="686"/>
        <v>4.5133587786259541</v>
      </c>
      <c r="CC458" s="1018">
        <f t="shared" si="594"/>
        <v>0</v>
      </c>
      <c r="CD458" s="1018">
        <f t="shared" ref="CD458:CD465" ca="1" si="689">SUM(BX458:CC458)+(BR458+BS458+BT458+BU458+BV458)*BN458</f>
        <v>161.96820961110492</v>
      </c>
      <c r="CE458" s="1018">
        <f t="shared" ca="1" si="687"/>
        <v>93.991926831362093</v>
      </c>
      <c r="CF458" s="1018">
        <f t="shared" ca="1" si="596"/>
        <v>7.6788040932740103</v>
      </c>
      <c r="CG458" s="1018">
        <f t="shared" ca="1" si="597"/>
        <v>12784.901663137496</v>
      </c>
    </row>
    <row r="459" spans="3:85" x14ac:dyDescent="0.25">
      <c r="D459" s="1"/>
      <c r="F459" s="1"/>
      <c r="G459" s="3"/>
      <c r="H459" s="6"/>
      <c r="I459" s="3"/>
      <c r="J459" s="6"/>
      <c r="K459" s="8"/>
      <c r="L459" s="6"/>
      <c r="M459" s="6"/>
      <c r="N459" s="6"/>
      <c r="O459" s="6"/>
      <c r="P459" s="6"/>
      <c r="Q459" s="6" t="s">
        <v>16</v>
      </c>
      <c r="R459" s="4"/>
      <c r="S459" s="1"/>
      <c r="T459" s="77"/>
      <c r="X459" s="176">
        <f t="shared" si="688"/>
        <v>0</v>
      </c>
      <c r="Y459" s="34">
        <f>X459/Calculation_sheet!M$67</f>
        <v>0</v>
      </c>
      <c r="Z459" s="176">
        <f ca="1">IF(AN459&gt;0,Y459*Calculation_sheet!C$87,0)</f>
        <v>0</v>
      </c>
      <c r="AA459" s="176">
        <f t="shared" ca="1" si="674"/>
        <v>0</v>
      </c>
      <c r="AB459" s="176">
        <f ca="1">IF(AP459&gt;0,AA459*Calculation_sheet!C$94,0)</f>
        <v>0</v>
      </c>
      <c r="AC459" s="176">
        <f t="shared" ca="1" si="675"/>
        <v>0</v>
      </c>
      <c r="AD459" s="958">
        <f ca="1">AC459*Calculation_sheet!C$99</f>
        <v>0</v>
      </c>
      <c r="AE459" s="176">
        <f t="shared" ca="1" si="675"/>
        <v>0</v>
      </c>
      <c r="AF459" s="176">
        <f t="shared" ca="1" si="676"/>
        <v>0</v>
      </c>
      <c r="AG459" s="958">
        <f ca="1">AF459*User_sheet!B$77/100</f>
        <v>0</v>
      </c>
      <c r="AH459" s="313"/>
      <c r="AI459" s="2">
        <v>104</v>
      </c>
      <c r="AJ459" s="985"/>
      <c r="AK459" s="1020">
        <f t="shared" ca="1" si="591"/>
        <v>161.96820961110492</v>
      </c>
      <c r="AL459" s="954">
        <f ca="1">AK459/'103'!I$24</f>
        <v>0.36448542247224736</v>
      </c>
      <c r="AM459" s="954">
        <f ca="1">0.8*(AK459*30+'104'!D$17*0.34*30*1)</f>
        <v>6806.9503106665188</v>
      </c>
      <c r="AN459" s="954">
        <f ca="1">IF(AM459&lt;User_sheet!B$50,Y459,0)</f>
        <v>0</v>
      </c>
      <c r="AO459" s="954">
        <f ca="1">20-(User_sheet!B$57/('Freestanding '!AK459+'104'!D$17*1*0.34))</f>
        <v>-9.7105716437191347E-2</v>
      </c>
      <c r="AP459" s="954">
        <f ca="1">IF(AO459&lt;User_sheet!B$59,0,BC459*AA459)</f>
        <v>0</v>
      </c>
      <c r="AQ459" s="985"/>
      <c r="AR459" s="2">
        <v>0.32</v>
      </c>
      <c r="AS459" s="2">
        <v>0.54</v>
      </c>
      <c r="AT459" s="2">
        <v>0.83</v>
      </c>
      <c r="AU459" s="2">
        <v>2</v>
      </c>
      <c r="AV459" s="2">
        <v>3.3</v>
      </c>
      <c r="AW459" s="2">
        <v>14356</v>
      </c>
      <c r="AX459" s="2">
        <v>75022.04959166942</v>
      </c>
      <c r="AY459" s="2">
        <v>69245.59826015502</v>
      </c>
      <c r="AZ459" s="27">
        <v>0</v>
      </c>
      <c r="BA459" s="27">
        <v>0</v>
      </c>
      <c r="BB459" s="2">
        <v>0.6</v>
      </c>
      <c r="BC459" s="30">
        <v>1</v>
      </c>
      <c r="BD459" s="34">
        <v>0</v>
      </c>
      <c r="BE459" s="34">
        <v>0</v>
      </c>
      <c r="BF459" s="40">
        <v>0</v>
      </c>
      <c r="BG459" s="2">
        <v>0</v>
      </c>
      <c r="BH459" s="2">
        <v>1</v>
      </c>
      <c r="BI459" s="40">
        <v>0</v>
      </c>
      <c r="BJ459" s="2">
        <v>1</v>
      </c>
      <c r="BK459" s="2">
        <v>0</v>
      </c>
      <c r="BL459" s="2">
        <v>0</v>
      </c>
      <c r="BM459" s="40">
        <v>0</v>
      </c>
      <c r="BN459" s="958">
        <v>7.0000000000000007E-2</v>
      </c>
      <c r="BO459" s="50">
        <v>12</v>
      </c>
      <c r="BP459" s="1018">
        <f t="shared" ca="1" si="677"/>
        <v>162.63999999999999</v>
      </c>
      <c r="BQ459" s="1018">
        <f t="shared" ca="1" si="678"/>
        <v>285.02799999999996</v>
      </c>
      <c r="BR459" s="1018">
        <f t="shared" ca="1" si="679"/>
        <v>51.803914909975674</v>
      </c>
      <c r="BS459" s="1018">
        <f t="shared" ca="1" si="680"/>
        <v>115.89999999999998</v>
      </c>
      <c r="BT459" s="1018">
        <f t="shared" ca="1" si="681"/>
        <v>81.319999999999993</v>
      </c>
      <c r="BU459" s="1018">
        <f t="shared" ca="1" si="682"/>
        <v>22.93</v>
      </c>
      <c r="BV459" s="1018">
        <f t="shared" ca="1" si="683"/>
        <v>2.15</v>
      </c>
      <c r="BW459" s="1018">
        <v>0</v>
      </c>
      <c r="BX459" s="1018">
        <f t="shared" ca="1" si="684"/>
        <v>15.70608840120536</v>
      </c>
      <c r="BY459" s="1018">
        <f t="shared" ca="1" si="685"/>
        <v>57.229334308705177</v>
      </c>
      <c r="BZ459" s="1018">
        <f t="shared" ca="1" si="592"/>
        <v>19.47215409721413</v>
      </c>
      <c r="CA459" s="1018">
        <f t="shared" ca="1" si="593"/>
        <v>45.859999981655996</v>
      </c>
      <c r="CB459" s="1018">
        <f t="shared" ca="1" si="686"/>
        <v>4.5133587786259541</v>
      </c>
      <c r="CC459" s="1018">
        <f t="shared" si="594"/>
        <v>0</v>
      </c>
      <c r="CD459" s="1018">
        <f t="shared" ca="1" si="689"/>
        <v>161.96820961110492</v>
      </c>
      <c r="CE459" s="1018">
        <f t="shared" ca="1" si="687"/>
        <v>93.991926831362093</v>
      </c>
      <c r="CF459" s="1018">
        <f t="shared" ca="1" si="596"/>
        <v>7.6788040932740103</v>
      </c>
      <c r="CG459" s="1018">
        <f t="shared" ca="1" si="597"/>
        <v>12784.901663137496</v>
      </c>
    </row>
    <row r="460" spans="3:85" x14ac:dyDescent="0.25">
      <c r="D460" s="1"/>
      <c r="F460" s="1"/>
      <c r="G460" s="3"/>
      <c r="H460" s="6"/>
      <c r="I460" s="3"/>
      <c r="J460" s="3" t="s">
        <v>144</v>
      </c>
      <c r="K460" s="8"/>
      <c r="L460" s="6"/>
      <c r="M460" s="6" t="s">
        <v>16</v>
      </c>
      <c r="N460" s="4"/>
      <c r="O460" s="6" t="s">
        <v>19</v>
      </c>
      <c r="P460" s="4"/>
      <c r="Q460" s="6" t="s">
        <v>7</v>
      </c>
      <c r="R460" s="4"/>
      <c r="S460" s="1"/>
      <c r="T460" s="77"/>
      <c r="X460" s="176">
        <f t="shared" si="688"/>
        <v>0</v>
      </c>
      <c r="Y460" s="34">
        <f>X460/Calculation_sheet!M$67</f>
        <v>0</v>
      </c>
      <c r="Z460" s="176">
        <f ca="1">IF(AN460&gt;0,Y460*Calculation_sheet!C$87,0)</f>
        <v>0</v>
      </c>
      <c r="AA460" s="176">
        <f t="shared" ca="1" si="674"/>
        <v>0</v>
      </c>
      <c r="AB460" s="176">
        <f ca="1">IF(AP460&gt;0,AA460*Calculation_sheet!C$94,0)</f>
        <v>0</v>
      </c>
      <c r="AC460" s="176">
        <f t="shared" ca="1" si="675"/>
        <v>0</v>
      </c>
      <c r="AD460" s="958">
        <f ca="1">AC460*Calculation_sheet!C$99</f>
        <v>0</v>
      </c>
      <c r="AE460" s="176">
        <f t="shared" ca="1" si="675"/>
        <v>0</v>
      </c>
      <c r="AF460" s="176">
        <f t="shared" ca="1" si="676"/>
        <v>0</v>
      </c>
      <c r="AG460" s="958">
        <f ca="1">AF460*User_sheet!B$77/100</f>
        <v>0</v>
      </c>
      <c r="AH460" s="313"/>
      <c r="AI460" s="2">
        <v>104</v>
      </c>
      <c r="AJ460" s="985"/>
      <c r="AK460" s="1020">
        <f t="shared" ca="1" si="591"/>
        <v>161.96820961110492</v>
      </c>
      <c r="AL460" s="954">
        <f ca="1">AK460/'103'!I$24</f>
        <v>0.36448542247224736</v>
      </c>
      <c r="AM460" s="954">
        <f ca="1">0.8*(AK460*30+'104'!D$17*0.34*30*1)</f>
        <v>6806.9503106665188</v>
      </c>
      <c r="AN460" s="954">
        <f ca="1">IF(AM460&lt;User_sheet!B$50,Y460,0)</f>
        <v>0</v>
      </c>
      <c r="AO460" s="954">
        <f ca="1">20-(User_sheet!B$57/('Freestanding '!AK460+'104'!D$17*1*0.34))</f>
        <v>-9.7105716437191347E-2</v>
      </c>
      <c r="AP460" s="954">
        <f ca="1">IF(AO460&lt;User_sheet!B$59,0,BC460*AA460)</f>
        <v>0</v>
      </c>
      <c r="AQ460" s="985"/>
      <c r="AR460" s="2">
        <v>0.32</v>
      </c>
      <c r="AS460" s="2">
        <v>0.54</v>
      </c>
      <c r="AT460" s="2">
        <v>0.83</v>
      </c>
      <c r="AU460" s="2">
        <v>2</v>
      </c>
      <c r="AV460" s="2">
        <v>3.3</v>
      </c>
      <c r="AW460" s="2">
        <v>14356</v>
      </c>
      <c r="AX460" s="2">
        <v>75022.04959166942</v>
      </c>
      <c r="AY460" s="2">
        <v>69245.59826015502</v>
      </c>
      <c r="AZ460" s="27">
        <v>0</v>
      </c>
      <c r="BA460" s="27">
        <v>0</v>
      </c>
      <c r="BB460" s="2">
        <v>0.6</v>
      </c>
      <c r="BC460" s="30">
        <v>1</v>
      </c>
      <c r="BD460" s="34">
        <v>0</v>
      </c>
      <c r="BE460" s="34">
        <v>0</v>
      </c>
      <c r="BF460" s="40">
        <v>0</v>
      </c>
      <c r="BG460" s="2">
        <v>0</v>
      </c>
      <c r="BH460" s="2">
        <v>1</v>
      </c>
      <c r="BI460" s="40">
        <v>0</v>
      </c>
      <c r="BJ460" s="2">
        <v>0</v>
      </c>
      <c r="BK460" s="2">
        <v>0</v>
      </c>
      <c r="BL460" s="2">
        <v>1</v>
      </c>
      <c r="BM460" s="40">
        <v>0</v>
      </c>
      <c r="BN460" s="958">
        <v>7.0000000000000007E-2</v>
      </c>
      <c r="BO460" s="50">
        <v>12</v>
      </c>
      <c r="BP460" s="1018">
        <f t="shared" ca="1" si="677"/>
        <v>162.63999999999999</v>
      </c>
      <c r="BQ460" s="1018">
        <f t="shared" ca="1" si="678"/>
        <v>285.02799999999996</v>
      </c>
      <c r="BR460" s="1018">
        <f t="shared" ca="1" si="679"/>
        <v>51.803914909975674</v>
      </c>
      <c r="BS460" s="1018">
        <f t="shared" ca="1" si="680"/>
        <v>115.89999999999998</v>
      </c>
      <c r="BT460" s="1018">
        <f t="shared" ca="1" si="681"/>
        <v>81.319999999999993</v>
      </c>
      <c r="BU460" s="1018">
        <f t="shared" ca="1" si="682"/>
        <v>22.93</v>
      </c>
      <c r="BV460" s="1018">
        <f t="shared" ca="1" si="683"/>
        <v>2.15</v>
      </c>
      <c r="BW460" s="1018">
        <v>0</v>
      </c>
      <c r="BX460" s="1018">
        <f t="shared" ca="1" si="684"/>
        <v>15.70608840120536</v>
      </c>
      <c r="BY460" s="1018">
        <f t="shared" ca="1" si="685"/>
        <v>57.229334308705177</v>
      </c>
      <c r="BZ460" s="1018">
        <f t="shared" ca="1" si="592"/>
        <v>19.47215409721413</v>
      </c>
      <c r="CA460" s="1018">
        <f t="shared" ca="1" si="593"/>
        <v>45.859999981655996</v>
      </c>
      <c r="CB460" s="1018">
        <f t="shared" ca="1" si="686"/>
        <v>4.5133587786259541</v>
      </c>
      <c r="CC460" s="1018">
        <f t="shared" si="594"/>
        <v>0</v>
      </c>
      <c r="CD460" s="1018">
        <f t="shared" ca="1" si="689"/>
        <v>161.96820961110492</v>
      </c>
      <c r="CE460" s="1018">
        <f t="shared" ca="1" si="687"/>
        <v>93.991926831362093</v>
      </c>
      <c r="CF460" s="1018">
        <f t="shared" ca="1" si="596"/>
        <v>7.6788040932740103</v>
      </c>
      <c r="CG460" s="1018">
        <f t="shared" ca="1" si="597"/>
        <v>12784.901663137496</v>
      </c>
    </row>
    <row r="461" spans="3:85" x14ac:dyDescent="0.25">
      <c r="D461" s="1"/>
      <c r="F461" s="1"/>
      <c r="G461" s="3"/>
      <c r="H461" s="6"/>
      <c r="I461" s="3"/>
      <c r="J461" s="6" t="s">
        <v>190</v>
      </c>
      <c r="K461" s="8"/>
      <c r="L461" s="6"/>
      <c r="M461" s="6"/>
      <c r="N461" s="1"/>
      <c r="O461" s="6"/>
      <c r="P461" s="6"/>
      <c r="Q461" s="6" t="s">
        <v>22</v>
      </c>
      <c r="R461" s="4"/>
      <c r="S461" s="1"/>
      <c r="T461" s="77"/>
      <c r="X461" s="176">
        <f t="shared" si="688"/>
        <v>0</v>
      </c>
      <c r="Y461" s="34">
        <f>X461/Calculation_sheet!M$67</f>
        <v>0</v>
      </c>
      <c r="Z461" s="176">
        <f ca="1">IF(AN461&gt;0,Y461*Calculation_sheet!C$87,0)</f>
        <v>0</v>
      </c>
      <c r="AA461" s="176">
        <f t="shared" ca="1" si="674"/>
        <v>0</v>
      </c>
      <c r="AB461" s="176">
        <f ca="1">IF(AP461&gt;0,AA461*Calculation_sheet!C$94,0)</f>
        <v>0</v>
      </c>
      <c r="AC461" s="176">
        <f t="shared" ca="1" si="675"/>
        <v>0</v>
      </c>
      <c r="AD461" s="958">
        <f ca="1">AC461*Calculation_sheet!C$99</f>
        <v>0</v>
      </c>
      <c r="AE461" s="176">
        <f t="shared" ca="1" si="675"/>
        <v>0</v>
      </c>
      <c r="AF461" s="176">
        <f t="shared" ca="1" si="676"/>
        <v>0</v>
      </c>
      <c r="AG461" s="958">
        <f ca="1">AF461*User_sheet!B$77/100</f>
        <v>0</v>
      </c>
      <c r="AH461" s="313"/>
      <c r="AI461" s="2">
        <v>104</v>
      </c>
      <c r="AJ461" s="985"/>
      <c r="AK461" s="1020">
        <f t="shared" ca="1" si="591"/>
        <v>161.96820961110492</v>
      </c>
      <c r="AL461" s="954">
        <f ca="1">AK461/'103'!I$24</f>
        <v>0.36448542247224736</v>
      </c>
      <c r="AM461" s="954">
        <f ca="1">0.8*(AK461*30+'104'!D$17*0.34*30*1)</f>
        <v>6806.9503106665188</v>
      </c>
      <c r="AN461" s="954">
        <f ca="1">IF(AM461&lt;User_sheet!B$50,Y461,0)</f>
        <v>0</v>
      </c>
      <c r="AO461" s="954">
        <f ca="1">20-(User_sheet!B$57/('Freestanding '!AK461+'104'!D$17*1*0.34))</f>
        <v>-9.7105716437191347E-2</v>
      </c>
      <c r="AP461" s="954">
        <f ca="1">IF(AO461&lt;User_sheet!B$59,0,BC461*AA461)</f>
        <v>0</v>
      </c>
      <c r="AQ461" s="985"/>
      <c r="AR461" s="2">
        <v>0.32</v>
      </c>
      <c r="AS461" s="2">
        <v>0.54</v>
      </c>
      <c r="AT461" s="2">
        <v>0.83</v>
      </c>
      <c r="AU461" s="2">
        <v>2</v>
      </c>
      <c r="AV461" s="2">
        <v>3.3</v>
      </c>
      <c r="AW461" s="2">
        <v>14356</v>
      </c>
      <c r="AX461" s="2">
        <v>75022.04959166942</v>
      </c>
      <c r="AY461" s="2">
        <v>69245.59826015502</v>
      </c>
      <c r="AZ461" s="27">
        <v>0</v>
      </c>
      <c r="BA461" s="27">
        <v>0</v>
      </c>
      <c r="BB461" s="2">
        <v>0.6</v>
      </c>
      <c r="BC461" s="30">
        <v>0</v>
      </c>
      <c r="BD461" s="34">
        <v>1</v>
      </c>
      <c r="BE461" s="34">
        <v>0</v>
      </c>
      <c r="BF461" s="40">
        <v>0</v>
      </c>
      <c r="BG461" s="2">
        <v>1</v>
      </c>
      <c r="BH461" s="2">
        <v>0</v>
      </c>
      <c r="BI461" s="40">
        <v>0</v>
      </c>
      <c r="BJ461" s="2">
        <v>0</v>
      </c>
      <c r="BK461" s="2">
        <v>1</v>
      </c>
      <c r="BL461" s="2">
        <v>0</v>
      </c>
      <c r="BM461" s="40">
        <v>0</v>
      </c>
      <c r="BN461" s="958">
        <v>7.0000000000000007E-2</v>
      </c>
      <c r="BO461" s="50">
        <v>12</v>
      </c>
      <c r="BP461" s="1018">
        <f t="shared" ca="1" si="677"/>
        <v>162.63999999999999</v>
      </c>
      <c r="BQ461" s="1018">
        <f t="shared" ca="1" si="678"/>
        <v>285.02799999999996</v>
      </c>
      <c r="BR461" s="1018">
        <f t="shared" ca="1" si="679"/>
        <v>51.803914909975674</v>
      </c>
      <c r="BS461" s="1018">
        <f t="shared" ca="1" si="680"/>
        <v>115.89999999999998</v>
      </c>
      <c r="BT461" s="1018">
        <f t="shared" ca="1" si="681"/>
        <v>81.319999999999993</v>
      </c>
      <c r="BU461" s="1018">
        <f t="shared" ca="1" si="682"/>
        <v>22.93</v>
      </c>
      <c r="BV461" s="1018">
        <f t="shared" ca="1" si="683"/>
        <v>2.15</v>
      </c>
      <c r="BW461" s="1018">
        <v>0</v>
      </c>
      <c r="BX461" s="1018">
        <f t="shared" ca="1" si="684"/>
        <v>15.70608840120536</v>
      </c>
      <c r="BY461" s="1018">
        <f t="shared" ca="1" si="685"/>
        <v>57.229334308705177</v>
      </c>
      <c r="BZ461" s="1018">
        <f t="shared" ca="1" si="592"/>
        <v>19.47215409721413</v>
      </c>
      <c r="CA461" s="1018">
        <f t="shared" ca="1" si="593"/>
        <v>45.859999981655996</v>
      </c>
      <c r="CB461" s="1018">
        <f t="shared" ca="1" si="686"/>
        <v>4.5133587786259541</v>
      </c>
      <c r="CC461" s="1018">
        <f t="shared" si="594"/>
        <v>0</v>
      </c>
      <c r="CD461" s="1018">
        <f t="shared" ca="1" si="689"/>
        <v>161.96820961110492</v>
      </c>
      <c r="CE461" s="1018">
        <f t="shared" ca="1" si="687"/>
        <v>93.991926831362093</v>
      </c>
      <c r="CF461" s="1018">
        <f t="shared" ca="1" si="596"/>
        <v>7.6788040932740103</v>
      </c>
      <c r="CG461" s="1018">
        <f t="shared" ca="1" si="597"/>
        <v>12784.901663137496</v>
      </c>
    </row>
    <row r="462" spans="3:85" x14ac:dyDescent="0.25">
      <c r="D462" s="1"/>
      <c r="F462" s="1"/>
      <c r="G462" s="3"/>
      <c r="H462" s="6"/>
      <c r="I462" s="3"/>
      <c r="K462" s="8"/>
      <c r="L462" s="6"/>
      <c r="M462" s="1"/>
      <c r="N462" s="1"/>
      <c r="O462" s="1" t="s">
        <v>18</v>
      </c>
      <c r="P462" s="4"/>
      <c r="Q462" s="1" t="s">
        <v>7</v>
      </c>
      <c r="R462" s="4"/>
      <c r="S462" s="1"/>
      <c r="T462" s="77"/>
      <c r="X462" s="176">
        <f t="shared" si="688"/>
        <v>0</v>
      </c>
      <c r="Y462" s="34">
        <f>X462/Calculation_sheet!M$67</f>
        <v>0</v>
      </c>
      <c r="Z462" s="176">
        <f ca="1">IF(AN462&gt;0,Y462*Calculation_sheet!C$87,0)</f>
        <v>0</v>
      </c>
      <c r="AA462" s="176">
        <f t="shared" ca="1" si="674"/>
        <v>0</v>
      </c>
      <c r="AB462" s="176">
        <f ca="1">IF(AP462&gt;0,AA462*Calculation_sheet!C$94,0)</f>
        <v>0</v>
      </c>
      <c r="AC462" s="176">
        <f t="shared" ca="1" si="675"/>
        <v>0</v>
      </c>
      <c r="AD462" s="958">
        <f ca="1">AC462*Calculation_sheet!C$99</f>
        <v>0</v>
      </c>
      <c r="AE462" s="176">
        <f t="shared" ca="1" si="675"/>
        <v>0</v>
      </c>
      <c r="AF462" s="176">
        <f t="shared" ca="1" si="676"/>
        <v>0</v>
      </c>
      <c r="AG462" s="958">
        <f ca="1">AF462*User_sheet!B$77/100</f>
        <v>0</v>
      </c>
      <c r="AH462" s="313"/>
      <c r="AI462" s="2">
        <v>104</v>
      </c>
      <c r="AJ462" s="985"/>
      <c r="AK462" s="1020">
        <f t="shared" ref="AK462:AK502" ca="1" si="690">CD462</f>
        <v>161.96820961110492</v>
      </c>
      <c r="AL462" s="954">
        <f ca="1">AK462/'103'!I$24</f>
        <v>0.36448542247224736</v>
      </c>
      <c r="AM462" s="954">
        <f ca="1">0.8*(AK462*30+'104'!D$17*0.34*30*1)</f>
        <v>6806.9503106665188</v>
      </c>
      <c r="AN462" s="954">
        <f ca="1">IF(AM462&lt;User_sheet!B$50,Y462,0)</f>
        <v>0</v>
      </c>
      <c r="AO462" s="954">
        <f ca="1">20-(User_sheet!B$57/('Freestanding '!AK462+'104'!D$17*1*0.34))</f>
        <v>-9.7105716437191347E-2</v>
      </c>
      <c r="AP462" s="954">
        <f ca="1">IF(AO462&lt;User_sheet!B$59,0,BC462*AA462)</f>
        <v>0</v>
      </c>
      <c r="AQ462" s="985"/>
      <c r="AR462" s="2">
        <v>0.32</v>
      </c>
      <c r="AS462" s="2">
        <v>0.54</v>
      </c>
      <c r="AT462" s="2">
        <v>0.83</v>
      </c>
      <c r="AU462" s="2">
        <v>2</v>
      </c>
      <c r="AV462" s="2">
        <v>3.3</v>
      </c>
      <c r="AW462" s="2">
        <v>14356</v>
      </c>
      <c r="AX462" s="2">
        <v>75022.04959166942</v>
      </c>
      <c r="AY462" s="2">
        <v>69245.59826015502</v>
      </c>
      <c r="AZ462" s="27">
        <v>0</v>
      </c>
      <c r="BA462" s="27">
        <v>0</v>
      </c>
      <c r="BB462" s="2">
        <v>0.6</v>
      </c>
      <c r="BC462" s="30">
        <v>0</v>
      </c>
      <c r="BD462" s="34">
        <v>1</v>
      </c>
      <c r="BE462" s="34">
        <v>0</v>
      </c>
      <c r="BF462" s="40">
        <v>0</v>
      </c>
      <c r="BG462" s="2">
        <v>1</v>
      </c>
      <c r="BH462" s="2">
        <v>0</v>
      </c>
      <c r="BI462" s="40">
        <v>0</v>
      </c>
      <c r="BJ462" s="2">
        <v>0</v>
      </c>
      <c r="BK462" s="2">
        <v>0</v>
      </c>
      <c r="BL462" s="2">
        <v>1</v>
      </c>
      <c r="BM462" s="40">
        <v>0</v>
      </c>
      <c r="BN462" s="958">
        <v>7.0000000000000007E-2</v>
      </c>
      <c r="BO462" s="50">
        <v>12</v>
      </c>
      <c r="BP462" s="1018">
        <f t="shared" ca="1" si="677"/>
        <v>162.63999999999999</v>
      </c>
      <c r="BQ462" s="1018">
        <f t="shared" ca="1" si="678"/>
        <v>285.02799999999996</v>
      </c>
      <c r="BR462" s="1018">
        <f t="shared" ca="1" si="679"/>
        <v>51.803914909975674</v>
      </c>
      <c r="BS462" s="1018">
        <f t="shared" ca="1" si="680"/>
        <v>115.89999999999998</v>
      </c>
      <c r="BT462" s="1018">
        <f t="shared" ca="1" si="681"/>
        <v>81.319999999999993</v>
      </c>
      <c r="BU462" s="1018">
        <f t="shared" ca="1" si="682"/>
        <v>22.93</v>
      </c>
      <c r="BV462" s="1018">
        <f t="shared" ca="1" si="683"/>
        <v>2.15</v>
      </c>
      <c r="BW462" s="1018">
        <v>0</v>
      </c>
      <c r="BX462" s="1018">
        <f t="shared" ca="1" si="684"/>
        <v>15.70608840120536</v>
      </c>
      <c r="BY462" s="1018">
        <f t="shared" ca="1" si="685"/>
        <v>57.229334308705177</v>
      </c>
      <c r="BZ462" s="1018">
        <f t="shared" ref="BZ462:BZ502" ca="1" si="691">IF(BT462=0,0,1/(1/(BT462*$BY$3)+1/(BT462*AT462)+1/(BT462*$BY$4)))*0.33</f>
        <v>19.47215409721413</v>
      </c>
      <c r="CA462" s="1018">
        <f t="shared" ref="CA462:CA502" ca="1" si="692">IF(BU462=0,0,1/(1/(BU462*$BY$5)+1/(BU462*AU462)+1/(BU462*$BY$6)))</f>
        <v>45.859999981655996</v>
      </c>
      <c r="CB462" s="1018">
        <f t="shared" ca="1" si="686"/>
        <v>4.5133587786259541</v>
      </c>
      <c r="CC462" s="1018">
        <f t="shared" ref="CC462:CC502" si="693">0.67*IF(BW462=0,0,1/(1/(BW462*$BY$3)+1/(BW462*AS462)+1/(BW462*$BY$4)))</f>
        <v>0</v>
      </c>
      <c r="CD462" s="1018">
        <f t="shared" ca="1" si="689"/>
        <v>161.96820961110492</v>
      </c>
      <c r="CE462" s="1018">
        <f t="shared" ca="1" si="687"/>
        <v>93.991926831362093</v>
      </c>
      <c r="CF462" s="1018">
        <f t="shared" ref="CF462:CF502" ca="1" si="694">(CD462+CE462)*($BY$7-$BV$5)/1000</f>
        <v>7.6788040932740103</v>
      </c>
      <c r="CG462" s="1018">
        <f t="shared" ref="CG462:CG502" ca="1" si="695">$BV$8*(CD462+CE462)*($BY$10-$BV$7)*24/1000</f>
        <v>12784.901663137496</v>
      </c>
    </row>
    <row r="463" spans="3:85" x14ac:dyDescent="0.25">
      <c r="D463" s="1"/>
      <c r="F463" s="1"/>
      <c r="G463" s="3"/>
      <c r="H463" s="6"/>
      <c r="I463" s="3"/>
      <c r="K463" s="8"/>
      <c r="L463" s="6"/>
      <c r="M463" s="1"/>
      <c r="N463" s="1"/>
      <c r="O463" s="1"/>
      <c r="P463" s="1"/>
      <c r="Q463" s="1" t="s">
        <v>22</v>
      </c>
      <c r="R463" s="4"/>
      <c r="S463" s="1"/>
      <c r="T463" s="77"/>
      <c r="X463" s="176">
        <f t="shared" si="688"/>
        <v>0</v>
      </c>
      <c r="Y463" s="34">
        <f>X463/Calculation_sheet!M$67</f>
        <v>0</v>
      </c>
      <c r="Z463" s="176">
        <f ca="1">IF(AN463&gt;0,Y463*Calculation_sheet!C$87,0)</f>
        <v>0</v>
      </c>
      <c r="AA463" s="176">
        <f t="shared" ca="1" si="674"/>
        <v>0</v>
      </c>
      <c r="AB463" s="176">
        <f ca="1">IF(AP463&gt;0,AA463*Calculation_sheet!C$94,0)</f>
        <v>0</v>
      </c>
      <c r="AC463" s="176">
        <f t="shared" ca="1" si="675"/>
        <v>0</v>
      </c>
      <c r="AD463" s="958">
        <f ca="1">AC463*Calculation_sheet!C$99</f>
        <v>0</v>
      </c>
      <c r="AE463" s="176">
        <f t="shared" ca="1" si="675"/>
        <v>0</v>
      </c>
      <c r="AF463" s="176">
        <f t="shared" ca="1" si="676"/>
        <v>0</v>
      </c>
      <c r="AG463" s="958">
        <f ca="1">AF463*User_sheet!B$77/100</f>
        <v>0</v>
      </c>
      <c r="AH463" s="313"/>
      <c r="AI463" s="2">
        <v>104</v>
      </c>
      <c r="AJ463" s="985"/>
      <c r="AK463" s="1020">
        <f t="shared" ca="1" si="690"/>
        <v>161.96820961110492</v>
      </c>
      <c r="AL463" s="954">
        <f ca="1">AK463/'103'!I$24</f>
        <v>0.36448542247224736</v>
      </c>
      <c r="AM463" s="954">
        <f ca="1">0.8*(AK463*30+'104'!D$17*0.34*30*1)</f>
        <v>6806.9503106665188</v>
      </c>
      <c r="AN463" s="954">
        <f ca="1">IF(AM463&lt;User_sheet!B$50,Y463,0)</f>
        <v>0</v>
      </c>
      <c r="AO463" s="954">
        <f ca="1">20-(User_sheet!B$57/('Freestanding '!AK463+'104'!D$17*1*0.34))</f>
        <v>-9.7105716437191347E-2</v>
      </c>
      <c r="AP463" s="954">
        <f ca="1">IF(AO463&lt;User_sheet!B$59,0,BC463*AA463)</f>
        <v>0</v>
      </c>
      <c r="AQ463" s="985"/>
      <c r="AR463" s="2">
        <v>0.32</v>
      </c>
      <c r="AS463" s="2">
        <v>0.54</v>
      </c>
      <c r="AT463" s="2">
        <v>0.83</v>
      </c>
      <c r="AU463" s="2">
        <v>2</v>
      </c>
      <c r="AV463" s="2">
        <v>3.3</v>
      </c>
      <c r="AW463" s="2">
        <v>14356</v>
      </c>
      <c r="AX463" s="2">
        <v>75022.04959166942</v>
      </c>
      <c r="AY463" s="2">
        <v>69245.59826015502</v>
      </c>
      <c r="AZ463" s="27">
        <v>0</v>
      </c>
      <c r="BA463" s="27">
        <v>0</v>
      </c>
      <c r="BB463" s="2">
        <v>0.6</v>
      </c>
      <c r="BC463" s="30">
        <v>0</v>
      </c>
      <c r="BD463" s="34">
        <v>1</v>
      </c>
      <c r="BE463" s="34">
        <v>0</v>
      </c>
      <c r="BF463" s="40">
        <v>0</v>
      </c>
      <c r="BG463" s="2">
        <v>0</v>
      </c>
      <c r="BH463" s="2">
        <v>1</v>
      </c>
      <c r="BI463" s="40">
        <v>0</v>
      </c>
      <c r="BJ463" s="2">
        <v>0</v>
      </c>
      <c r="BK463" s="2">
        <v>1</v>
      </c>
      <c r="BL463" s="2">
        <v>0</v>
      </c>
      <c r="BM463" s="40">
        <v>0</v>
      </c>
      <c r="BN463" s="958">
        <v>7.0000000000000007E-2</v>
      </c>
      <c r="BO463" s="50">
        <v>12</v>
      </c>
      <c r="BP463" s="1018">
        <f t="shared" ca="1" si="677"/>
        <v>162.63999999999999</v>
      </c>
      <c r="BQ463" s="1018">
        <f t="shared" ca="1" si="678"/>
        <v>285.02799999999996</v>
      </c>
      <c r="BR463" s="1018">
        <f t="shared" ca="1" si="679"/>
        <v>51.803914909975674</v>
      </c>
      <c r="BS463" s="1018">
        <f t="shared" ca="1" si="680"/>
        <v>115.89999999999998</v>
      </c>
      <c r="BT463" s="1018">
        <f t="shared" ca="1" si="681"/>
        <v>81.319999999999993</v>
      </c>
      <c r="BU463" s="1018">
        <f t="shared" ca="1" si="682"/>
        <v>22.93</v>
      </c>
      <c r="BV463" s="1018">
        <f t="shared" ca="1" si="683"/>
        <v>2.15</v>
      </c>
      <c r="BW463" s="1018">
        <v>0</v>
      </c>
      <c r="BX463" s="1018">
        <f t="shared" ca="1" si="684"/>
        <v>15.70608840120536</v>
      </c>
      <c r="BY463" s="1018">
        <f t="shared" ca="1" si="685"/>
        <v>57.229334308705177</v>
      </c>
      <c r="BZ463" s="1018">
        <f t="shared" ca="1" si="691"/>
        <v>19.47215409721413</v>
      </c>
      <c r="CA463" s="1018">
        <f t="shared" ca="1" si="692"/>
        <v>45.859999981655996</v>
      </c>
      <c r="CB463" s="1018">
        <f t="shared" ca="1" si="686"/>
        <v>4.5133587786259541</v>
      </c>
      <c r="CC463" s="1018">
        <f t="shared" si="693"/>
        <v>0</v>
      </c>
      <c r="CD463" s="1018">
        <f t="shared" ca="1" si="689"/>
        <v>161.96820961110492</v>
      </c>
      <c r="CE463" s="1018">
        <f t="shared" ca="1" si="687"/>
        <v>93.991926831362093</v>
      </c>
      <c r="CF463" s="1018">
        <f t="shared" ca="1" si="694"/>
        <v>7.6788040932740103</v>
      </c>
      <c r="CG463" s="1018">
        <f t="shared" ca="1" si="695"/>
        <v>12784.901663137496</v>
      </c>
    </row>
    <row r="464" spans="3:85" x14ac:dyDescent="0.25">
      <c r="D464" s="1"/>
      <c r="F464" s="1"/>
      <c r="G464" s="3"/>
      <c r="H464" s="6"/>
      <c r="I464" s="3"/>
      <c r="J464" s="6"/>
      <c r="K464" s="8"/>
      <c r="L464" s="6"/>
      <c r="M464" s="1" t="s">
        <v>22</v>
      </c>
      <c r="N464" s="4"/>
      <c r="O464" s="1" t="s">
        <v>20</v>
      </c>
      <c r="P464" s="4"/>
      <c r="Q464" s="1" t="s">
        <v>7</v>
      </c>
      <c r="R464" s="4"/>
      <c r="S464" s="1"/>
      <c r="T464" s="77"/>
      <c r="X464" s="176">
        <f t="shared" si="688"/>
        <v>0</v>
      </c>
      <c r="Y464" s="34">
        <f>X464/Calculation_sheet!M$67</f>
        <v>0</v>
      </c>
      <c r="Z464" s="176">
        <f ca="1">IF(AN464&gt;0,Y464*Calculation_sheet!C$87,0)</f>
        <v>0</v>
      </c>
      <c r="AA464" s="176">
        <f t="shared" ca="1" si="674"/>
        <v>0</v>
      </c>
      <c r="AB464" s="176">
        <f ca="1">IF(AP464&gt;0,AA464*Calculation_sheet!C$94,0)</f>
        <v>0</v>
      </c>
      <c r="AC464" s="176">
        <f t="shared" ca="1" si="675"/>
        <v>0</v>
      </c>
      <c r="AD464" s="958">
        <f ca="1">AC464*Calculation_sheet!C$99</f>
        <v>0</v>
      </c>
      <c r="AE464" s="176">
        <f t="shared" ca="1" si="675"/>
        <v>0</v>
      </c>
      <c r="AF464" s="176">
        <f t="shared" ca="1" si="676"/>
        <v>0</v>
      </c>
      <c r="AG464" s="958">
        <f ca="1">AF464*User_sheet!B$77/100</f>
        <v>0</v>
      </c>
      <c r="AH464" s="313"/>
      <c r="AI464" s="2">
        <v>104</v>
      </c>
      <c r="AJ464" s="985"/>
      <c r="AK464" s="1020">
        <f t="shared" ca="1" si="690"/>
        <v>161.96820961110492</v>
      </c>
      <c r="AL464" s="954">
        <f ca="1">AK464/'103'!I$24</f>
        <v>0.36448542247224736</v>
      </c>
      <c r="AM464" s="954">
        <f ca="1">0.8*(AK464*30+'104'!D$17*0.34*30*1)</f>
        <v>6806.9503106665188</v>
      </c>
      <c r="AN464" s="954">
        <f ca="1">IF(AM464&lt;User_sheet!B$50,Y464,0)</f>
        <v>0</v>
      </c>
      <c r="AO464" s="954">
        <f ca="1">20-(User_sheet!B$57/('Freestanding '!AK464+'104'!D$17*1*0.34))</f>
        <v>-9.7105716437191347E-2</v>
      </c>
      <c r="AP464" s="954">
        <f ca="1">IF(AO464&lt;User_sheet!B$59,0,BC464*AA464)</f>
        <v>0</v>
      </c>
      <c r="AQ464" s="985"/>
      <c r="AR464" s="2">
        <v>0.32</v>
      </c>
      <c r="AS464" s="2">
        <v>0.54</v>
      </c>
      <c r="AT464" s="2">
        <v>0.83</v>
      </c>
      <c r="AU464" s="2">
        <v>2</v>
      </c>
      <c r="AV464" s="2">
        <v>3.3</v>
      </c>
      <c r="AW464" s="2">
        <v>14356</v>
      </c>
      <c r="AX464" s="2">
        <v>75022.04959166942</v>
      </c>
      <c r="AY464" s="2">
        <v>69245.59826015502</v>
      </c>
      <c r="AZ464" s="27">
        <v>0</v>
      </c>
      <c r="BA464" s="27">
        <v>0</v>
      </c>
      <c r="BB464" s="2">
        <v>0.6</v>
      </c>
      <c r="BC464" s="30">
        <v>0</v>
      </c>
      <c r="BD464" s="34">
        <v>1</v>
      </c>
      <c r="BE464" s="34">
        <v>0</v>
      </c>
      <c r="BF464" s="40">
        <v>0</v>
      </c>
      <c r="BG464" s="2">
        <v>0</v>
      </c>
      <c r="BH464" s="2">
        <v>1</v>
      </c>
      <c r="BI464" s="40">
        <v>0</v>
      </c>
      <c r="BJ464" s="2">
        <v>0</v>
      </c>
      <c r="BK464" s="2">
        <v>0</v>
      </c>
      <c r="BL464" s="2">
        <v>1</v>
      </c>
      <c r="BM464" s="40">
        <v>0</v>
      </c>
      <c r="BN464" s="958">
        <v>7.0000000000000007E-2</v>
      </c>
      <c r="BO464" s="50">
        <v>12</v>
      </c>
      <c r="BP464" s="1018">
        <f t="shared" ca="1" si="677"/>
        <v>162.63999999999999</v>
      </c>
      <c r="BQ464" s="1018">
        <f t="shared" ca="1" si="678"/>
        <v>285.02799999999996</v>
      </c>
      <c r="BR464" s="1018">
        <f t="shared" ca="1" si="679"/>
        <v>51.803914909975674</v>
      </c>
      <c r="BS464" s="1018">
        <f t="shared" ca="1" si="680"/>
        <v>115.89999999999998</v>
      </c>
      <c r="BT464" s="1018">
        <f t="shared" ca="1" si="681"/>
        <v>81.319999999999993</v>
      </c>
      <c r="BU464" s="1018">
        <f t="shared" ca="1" si="682"/>
        <v>22.93</v>
      </c>
      <c r="BV464" s="1018">
        <f t="shared" ca="1" si="683"/>
        <v>2.15</v>
      </c>
      <c r="BW464" s="1018">
        <v>0</v>
      </c>
      <c r="BX464" s="1018">
        <f t="shared" ca="1" si="684"/>
        <v>15.70608840120536</v>
      </c>
      <c r="BY464" s="1018">
        <f t="shared" ca="1" si="685"/>
        <v>57.229334308705177</v>
      </c>
      <c r="BZ464" s="1018">
        <f t="shared" ca="1" si="691"/>
        <v>19.47215409721413</v>
      </c>
      <c r="CA464" s="1018">
        <f t="shared" ca="1" si="692"/>
        <v>45.859999981655996</v>
      </c>
      <c r="CB464" s="1018">
        <f t="shared" ca="1" si="686"/>
        <v>4.5133587786259541</v>
      </c>
      <c r="CC464" s="1018">
        <f t="shared" si="693"/>
        <v>0</v>
      </c>
      <c r="CD464" s="1018">
        <f t="shared" ca="1" si="689"/>
        <v>161.96820961110492</v>
      </c>
      <c r="CE464" s="1018">
        <f t="shared" ca="1" si="687"/>
        <v>93.991926831362093</v>
      </c>
      <c r="CF464" s="1018">
        <f t="shared" ca="1" si="694"/>
        <v>7.6788040932740103</v>
      </c>
      <c r="CG464" s="1018">
        <f t="shared" ca="1" si="695"/>
        <v>12784.901663137496</v>
      </c>
    </row>
    <row r="465" spans="4:85" x14ac:dyDescent="0.25">
      <c r="D465" s="1"/>
      <c r="F465" s="1"/>
      <c r="G465" s="3"/>
      <c r="H465" s="6"/>
      <c r="I465" s="3"/>
      <c r="J465" s="6"/>
      <c r="K465" s="8"/>
      <c r="L465" s="5"/>
      <c r="M465" s="1" t="s">
        <v>7</v>
      </c>
      <c r="N465" s="4"/>
      <c r="O465" s="1" t="s">
        <v>23</v>
      </c>
      <c r="P465" s="4"/>
      <c r="Q465" s="1" t="s">
        <v>7</v>
      </c>
      <c r="R465" s="4"/>
      <c r="S465" s="1"/>
      <c r="T465" s="77"/>
      <c r="X465" s="176">
        <f t="shared" si="688"/>
        <v>0</v>
      </c>
      <c r="Y465" s="34">
        <f>X465/Calculation_sheet!M$67</f>
        <v>0</v>
      </c>
      <c r="Z465" s="176">
        <f ca="1">IF(AN465&gt;0,Y465*Calculation_sheet!C$87,0)</f>
        <v>0</v>
      </c>
      <c r="AA465" s="176">
        <f t="shared" ca="1" si="674"/>
        <v>0</v>
      </c>
      <c r="AB465" s="176">
        <f ca="1">IF(AP465&gt;0,AA465*Calculation_sheet!C$94,0)</f>
        <v>0</v>
      </c>
      <c r="AC465" s="176">
        <f t="shared" ca="1" si="675"/>
        <v>0</v>
      </c>
      <c r="AD465" s="958">
        <f ca="1">AC465*Calculation_sheet!C$99</f>
        <v>0</v>
      </c>
      <c r="AE465" s="176">
        <f t="shared" ca="1" si="675"/>
        <v>0</v>
      </c>
      <c r="AF465" s="176">
        <f t="shared" ca="1" si="676"/>
        <v>0</v>
      </c>
      <c r="AG465" s="958">
        <f ca="1">AF465*User_sheet!B$77/100</f>
        <v>0</v>
      </c>
      <c r="AH465" s="313"/>
      <c r="AI465" s="2">
        <v>104</v>
      </c>
      <c r="AJ465" s="985"/>
      <c r="AK465" s="1020">
        <f t="shared" ca="1" si="690"/>
        <v>161.96820961110492</v>
      </c>
      <c r="AL465" s="954">
        <f ca="1">AK465/'103'!I$24</f>
        <v>0.36448542247224736</v>
      </c>
      <c r="AM465" s="954">
        <f ca="1">0.8*(AK465*30+'104'!D$17*0.34*30*1)</f>
        <v>6806.9503106665188</v>
      </c>
      <c r="AN465" s="954">
        <f ca="1">IF(AM465&lt;User_sheet!B$50,Y465,0)</f>
        <v>0</v>
      </c>
      <c r="AO465" s="954">
        <f ca="1">20-(User_sheet!B$57/('Freestanding '!AK465+'104'!D$17*1*0.34))</f>
        <v>-9.7105716437191347E-2</v>
      </c>
      <c r="AP465" s="954">
        <f ca="1">IF(AO465&lt;User_sheet!B$59,0,BC465*AA465)</f>
        <v>0</v>
      </c>
      <c r="AQ465" s="985"/>
      <c r="AR465" s="2">
        <v>0.32</v>
      </c>
      <c r="AS465" s="2">
        <v>0.54</v>
      </c>
      <c r="AT465" s="2">
        <v>0.83</v>
      </c>
      <c r="AU465" s="2">
        <v>2</v>
      </c>
      <c r="AV465" s="2">
        <v>3.3</v>
      </c>
      <c r="AW465" s="2">
        <v>14356</v>
      </c>
      <c r="AX465" s="2">
        <v>75022.04959166942</v>
      </c>
      <c r="AY465" s="2">
        <v>69245.59826015502</v>
      </c>
      <c r="AZ465" s="27">
        <v>0</v>
      </c>
      <c r="BA465" s="27">
        <v>0</v>
      </c>
      <c r="BB465" s="2">
        <v>0.6</v>
      </c>
      <c r="BC465" s="30">
        <v>0</v>
      </c>
      <c r="BD465" s="34">
        <v>0</v>
      </c>
      <c r="BE465" s="34">
        <v>1</v>
      </c>
      <c r="BF465" s="40">
        <v>0</v>
      </c>
      <c r="BG465" s="2">
        <v>0</v>
      </c>
      <c r="BH465" s="2">
        <v>0</v>
      </c>
      <c r="BI465" s="40">
        <v>1</v>
      </c>
      <c r="BJ465" s="2">
        <v>0</v>
      </c>
      <c r="BK465" s="2">
        <v>0</v>
      </c>
      <c r="BL465" s="2">
        <v>1</v>
      </c>
      <c r="BM465" s="40">
        <v>0</v>
      </c>
      <c r="BN465" s="958">
        <v>7.0000000000000007E-2</v>
      </c>
      <c r="BO465" s="50">
        <v>12</v>
      </c>
      <c r="BP465" s="1018">
        <f t="shared" ca="1" si="677"/>
        <v>162.63999999999999</v>
      </c>
      <c r="BQ465" s="1018">
        <f t="shared" ca="1" si="678"/>
        <v>285.02799999999996</v>
      </c>
      <c r="BR465" s="1018">
        <f t="shared" ca="1" si="679"/>
        <v>51.803914909975674</v>
      </c>
      <c r="BS465" s="1018">
        <f t="shared" ca="1" si="680"/>
        <v>115.89999999999998</v>
      </c>
      <c r="BT465" s="1018">
        <f t="shared" ca="1" si="681"/>
        <v>81.319999999999993</v>
      </c>
      <c r="BU465" s="1018">
        <f t="shared" ca="1" si="682"/>
        <v>22.93</v>
      </c>
      <c r="BV465" s="1018">
        <f t="shared" ca="1" si="683"/>
        <v>2.15</v>
      </c>
      <c r="BW465" s="1018">
        <v>0</v>
      </c>
      <c r="BX465" s="1018">
        <f t="shared" ca="1" si="684"/>
        <v>15.70608840120536</v>
      </c>
      <c r="BY465" s="1018">
        <f t="shared" ca="1" si="685"/>
        <v>57.229334308705177</v>
      </c>
      <c r="BZ465" s="1018">
        <f t="shared" ca="1" si="691"/>
        <v>19.47215409721413</v>
      </c>
      <c r="CA465" s="1018">
        <f t="shared" ca="1" si="692"/>
        <v>45.859999981655996</v>
      </c>
      <c r="CB465" s="1018">
        <f t="shared" ca="1" si="686"/>
        <v>4.5133587786259541</v>
      </c>
      <c r="CC465" s="1018">
        <f t="shared" si="693"/>
        <v>0</v>
      </c>
      <c r="CD465" s="1018">
        <f t="shared" ca="1" si="689"/>
        <v>161.96820961110492</v>
      </c>
      <c r="CE465" s="1018">
        <f t="shared" ca="1" si="687"/>
        <v>93.991926831362093</v>
      </c>
      <c r="CF465" s="1018">
        <f t="shared" ca="1" si="694"/>
        <v>7.6788040932740103</v>
      </c>
      <c r="CG465" s="1018">
        <f t="shared" ca="1" si="695"/>
        <v>12784.901663137496</v>
      </c>
    </row>
    <row r="466" spans="4:85" s="14" customFormat="1" x14ac:dyDescent="0.25">
      <c r="D466" s="15"/>
      <c r="F466" s="15"/>
      <c r="H466" s="15"/>
      <c r="J466" s="15"/>
      <c r="K466" s="16"/>
      <c r="L466" s="15"/>
      <c r="M466" s="15"/>
      <c r="N466" s="15"/>
      <c r="O466" s="15"/>
      <c r="P466" s="15"/>
      <c r="Q466" s="15"/>
      <c r="R466" s="15"/>
      <c r="S466" s="15"/>
      <c r="T466" s="80"/>
      <c r="U466" s="292"/>
      <c r="V466" s="292"/>
      <c r="W466" s="292"/>
      <c r="X466" s="292"/>
      <c r="Y466" s="277"/>
      <c r="Z466" s="292"/>
      <c r="AA466" s="292"/>
      <c r="AB466" s="292"/>
      <c r="AC466" s="292"/>
      <c r="AD466" s="277"/>
      <c r="AE466" s="292"/>
      <c r="AF466" s="292"/>
      <c r="AG466" s="277"/>
      <c r="AH466" s="313"/>
      <c r="AI466" s="28"/>
      <c r="AJ466" s="985"/>
      <c r="AK466" s="1020">
        <f t="shared" si="690"/>
        <v>0</v>
      </c>
      <c r="AL466" s="955"/>
      <c r="AM466" s="955"/>
      <c r="AN466" s="955"/>
      <c r="AO466" s="955"/>
      <c r="AP466" s="955"/>
      <c r="AQ466" s="985"/>
      <c r="AR466" s="28"/>
      <c r="AS466" s="28"/>
      <c r="AT466" s="28"/>
      <c r="AU466" s="28"/>
      <c r="AV466" s="28"/>
      <c r="AW466" s="28"/>
      <c r="AX466" s="28"/>
      <c r="AY466" s="28"/>
      <c r="AZ466" s="28"/>
      <c r="BA466" s="28"/>
      <c r="BB466" s="28"/>
      <c r="BC466" s="45"/>
      <c r="BD466" s="277"/>
      <c r="BE466" s="277"/>
      <c r="BF466" s="49"/>
      <c r="BG466" s="28"/>
      <c r="BH466" s="28"/>
      <c r="BI466" s="49"/>
      <c r="BJ466" s="28"/>
      <c r="BK466" s="28"/>
      <c r="BL466" s="28"/>
      <c r="BM466" s="49"/>
      <c r="BN466" s="277"/>
      <c r="BO466" s="49"/>
      <c r="BP466" s="946"/>
      <c r="BQ466" s="946"/>
      <c r="BR466" s="946"/>
      <c r="BS466" s="946"/>
      <c r="BT466" s="946"/>
      <c r="BU466" s="946"/>
      <c r="BV466" s="946"/>
      <c r="BW466" s="946"/>
      <c r="BX466" s="946"/>
      <c r="BY466" s="946"/>
      <c r="BZ466" s="946"/>
      <c r="CA466" s="946"/>
      <c r="CB466" s="946"/>
      <c r="CC466" s="946"/>
      <c r="CD466" s="946"/>
      <c r="CE466" s="946"/>
      <c r="CF466" s="946"/>
      <c r="CG466" s="946"/>
    </row>
    <row r="467" spans="4:85" s="3" customFormat="1" x14ac:dyDescent="0.25">
      <c r="D467" s="478"/>
      <c r="E467" s="474"/>
      <c r="F467" s="478"/>
      <c r="G467" s="474"/>
      <c r="H467" s="478"/>
      <c r="I467" s="474"/>
      <c r="J467" s="478"/>
      <c r="K467" s="479"/>
      <c r="L467" s="478"/>
      <c r="M467" s="478"/>
      <c r="N467" s="478"/>
      <c r="O467" s="478"/>
      <c r="P467" s="478"/>
      <c r="Q467" s="478" t="s">
        <v>16</v>
      </c>
      <c r="R467" s="475">
        <v>0.81069999999999998</v>
      </c>
      <c r="S467" s="478"/>
      <c r="T467" s="483">
        <v>1.2355479900498694E-3</v>
      </c>
      <c r="U467" s="474"/>
      <c r="V467" s="176">
        <f t="shared" si="560"/>
        <v>1.2355479900498694E-3</v>
      </c>
      <c r="W467" s="176">
        <f>V467-V467*Calculation_sheet!E$69</f>
        <v>1.2355479900498694E-3</v>
      </c>
      <c r="X467" s="176">
        <f>W467-W467*Calculation_sheet!E$79</f>
        <v>1.2355479900498694E-3</v>
      </c>
      <c r="Y467" s="34">
        <f>X467/Calculation_sheet!M$67</f>
        <v>1.2355732525937023E-3</v>
      </c>
      <c r="Z467" s="176">
        <f ca="1">IF(AN467&gt;0,Y467*Calculation_sheet!C$87,0)</f>
        <v>0</v>
      </c>
      <c r="AA467" s="176">
        <f t="shared" ref="AA467:AA475" ca="1" si="696">Y467-Z467</f>
        <v>1.2355732525937023E-3</v>
      </c>
      <c r="AB467" s="176">
        <f ca="1">IF(AP467&gt;0,AA467*Calculation_sheet!C$94,0)</f>
        <v>0</v>
      </c>
      <c r="AC467" s="176">
        <f t="shared" ref="AC467:AE475" ca="1" si="697">AA467-AB467</f>
        <v>1.2355732525937023E-3</v>
      </c>
      <c r="AD467" s="958">
        <f ca="1">AC467*Calculation_sheet!C$99</f>
        <v>7.4134395155622129E-4</v>
      </c>
      <c r="AE467" s="176">
        <f t="shared" ca="1" si="697"/>
        <v>4.9422930103748097E-4</v>
      </c>
      <c r="AF467" s="176">
        <f t="shared" ref="AF467:AF475" ca="1" si="698">Y467-AB467</f>
        <v>1.2355732525937023E-3</v>
      </c>
      <c r="AG467" s="958">
        <f ca="1">AF467*User_sheet!B$77/100</f>
        <v>0</v>
      </c>
      <c r="AH467" s="313"/>
      <c r="AI467" s="2">
        <v>104</v>
      </c>
      <c r="AJ467" s="985"/>
      <c r="AK467" s="1020">
        <f t="shared" ca="1" si="690"/>
        <v>203.1708432849567</v>
      </c>
      <c r="AL467" s="954">
        <f ca="1">AK467/'103'!I$24</f>
        <v>0.45720583580299679</v>
      </c>
      <c r="AM467" s="954">
        <f ca="1">0.8*(AK467*30+'104'!D$17*0.34*30*1)</f>
        <v>7795.8135188389615</v>
      </c>
      <c r="AN467" s="954">
        <f ca="1">IF(AM467&lt;User_sheet!B$50,Y467,0)</f>
        <v>1.2355732525937023E-3</v>
      </c>
      <c r="AO467" s="954">
        <f ca="1">20-(User_sheet!B$57/('Freestanding '!AK467+'104'!D$17*1*0.34))</f>
        <v>2.4521200167992525</v>
      </c>
      <c r="AP467" s="954">
        <f ca="1">IF(AO467&lt;User_sheet!B$59,0,BC467*AA467)</f>
        <v>0</v>
      </c>
      <c r="AQ467" s="985"/>
      <c r="AR467" s="2">
        <v>0.47</v>
      </c>
      <c r="AS467" s="2">
        <v>0.54</v>
      </c>
      <c r="AT467" s="2">
        <v>0.83</v>
      </c>
      <c r="AU467" s="2">
        <v>3.5</v>
      </c>
      <c r="AV467" s="2">
        <v>3.3</v>
      </c>
      <c r="AW467" s="2">
        <v>12848.541887298286</v>
      </c>
      <c r="AX467" s="2">
        <v>75022.04959166942</v>
      </c>
      <c r="AY467" s="2">
        <v>69245.59826015502</v>
      </c>
      <c r="AZ467" s="27">
        <v>0</v>
      </c>
      <c r="BA467" s="27">
        <v>0</v>
      </c>
      <c r="BB467" s="2">
        <v>0.75</v>
      </c>
      <c r="BC467" s="46">
        <v>1</v>
      </c>
      <c r="BD467" s="199">
        <v>0</v>
      </c>
      <c r="BE467" s="199">
        <v>0</v>
      </c>
      <c r="BF467" s="50">
        <v>0</v>
      </c>
      <c r="BG467" s="27">
        <v>1</v>
      </c>
      <c r="BH467" s="27">
        <v>0</v>
      </c>
      <c r="BI467" s="50">
        <v>0</v>
      </c>
      <c r="BJ467" s="27">
        <v>1</v>
      </c>
      <c r="BK467" s="27">
        <v>0</v>
      </c>
      <c r="BL467" s="27">
        <v>0</v>
      </c>
      <c r="BM467" s="50">
        <v>0</v>
      </c>
      <c r="BN467" s="958">
        <v>7.0000000000000007E-2</v>
      </c>
      <c r="BO467" s="50">
        <v>12</v>
      </c>
      <c r="BP467" s="926">
        <f t="shared" ref="BP467:BP475" ca="1" si="699">INDIRECT("'"&amp;AI467&amp;"'!"&amp;"B2")</f>
        <v>162.63999999999999</v>
      </c>
      <c r="BQ467" s="926">
        <f t="shared" ref="BQ467:BQ475" ca="1" si="700">INDIRECT("'"&amp;AI467&amp;"'!"&amp;"C12")+INDIRECT("'"&amp;AI467&amp;"'!"&amp;"C13")+INDIRECT("'"&amp;AI467&amp;"'!"&amp;"C14")+INDIRECT("'"&amp;AI467&amp;"'!"&amp;"C15")+INDIRECT("'"&amp;AI467&amp;"'!"&amp;"C17")</f>
        <v>285.02799999999996</v>
      </c>
      <c r="BR467" s="926">
        <f t="shared" ref="BR467:BR475" ca="1" si="701">INDIRECT("'"&amp;AI467&amp;"'!"&amp;"G5")</f>
        <v>51.803914909975674</v>
      </c>
      <c r="BS467" s="926">
        <f t="shared" ref="BS467:BS475" ca="1" si="702">INDIRECT("'"&amp;AI467&amp;"'!"&amp;"G4")</f>
        <v>115.89999999999998</v>
      </c>
      <c r="BT467" s="926">
        <f t="shared" ref="BT467:BT475" ca="1" si="703">INDIRECT("'"&amp;AI467&amp;"'!"&amp;"G6")</f>
        <v>81.319999999999993</v>
      </c>
      <c r="BU467" s="926">
        <f t="shared" ref="BU467:BU475" ca="1" si="704">INDIRECT("'"&amp;AI467&amp;"'!"&amp;"G2")</f>
        <v>22.93</v>
      </c>
      <c r="BV467" s="926">
        <f t="shared" ref="BV467:BV475" ca="1" si="705">INDIRECT("'"&amp;AI467&amp;"'!"&amp;"G3")</f>
        <v>2.15</v>
      </c>
      <c r="BW467" s="926">
        <v>0</v>
      </c>
      <c r="BX467" s="926">
        <f t="shared" ref="BX467:BX475" ca="1" si="706">IF(BR467=0,0,1/(1/(BR467*$BY$3)+1/(BR467*AR467)+1/(BR467*$BY$4)))</f>
        <v>22.513722112891656</v>
      </c>
      <c r="BY467" s="926">
        <f t="shared" ref="BY467:BY475" ca="1" si="707">IF(BS467=0,0,1/(1/(BS467*$BY$3)+1/(BS467*AS467)+1/(BS467*$BY$4)))</f>
        <v>57.229334308705177</v>
      </c>
      <c r="BZ467" s="926">
        <f t="shared" ca="1" si="691"/>
        <v>19.47215409721413</v>
      </c>
      <c r="CA467" s="926">
        <f t="shared" ca="1" si="692"/>
        <v>80.254999943821502</v>
      </c>
      <c r="CB467" s="926">
        <f t="shared" ref="CB467:CB475" ca="1" si="708">IF(BV467=0,0,1/(1/(BV467*$BY$3)+1/(BV467*AV467)+1/(BV467*$BY$4)))</f>
        <v>4.5133587786259541</v>
      </c>
      <c r="CC467" s="926">
        <f t="shared" si="693"/>
        <v>0</v>
      </c>
      <c r="CD467" s="1018">
        <f ca="1">SUM(BX467:CC467)+(BR467+BS467+BT467+BU467+BV467)*BN467</f>
        <v>203.1708432849567</v>
      </c>
      <c r="CE467" s="1018">
        <f t="shared" ref="CE467:CE475" ca="1" si="709">0.34*BO467*(1/25)^0.66*(BR467+BS467+BU467+BV467)</f>
        <v>93.991926831362093</v>
      </c>
      <c r="CF467" s="926">
        <f t="shared" ca="1" si="694"/>
        <v>8.914883103489565</v>
      </c>
      <c r="CG467" s="926">
        <f t="shared" ca="1" si="695"/>
        <v>14842.923771985983</v>
      </c>
    </row>
    <row r="468" spans="4:85" s="3" customFormat="1" x14ac:dyDescent="0.25">
      <c r="D468" s="478"/>
      <c r="E468" s="474"/>
      <c r="F468" s="478"/>
      <c r="G468" s="474"/>
      <c r="H468" s="478"/>
      <c r="I468" s="474"/>
      <c r="J468" s="478"/>
      <c r="K468" s="479"/>
      <c r="L468" s="478"/>
      <c r="M468" s="478"/>
      <c r="N468" s="478"/>
      <c r="O468" s="478" t="s">
        <v>18</v>
      </c>
      <c r="P468" s="475">
        <v>0.962121212</v>
      </c>
      <c r="Q468" s="478" t="s">
        <v>7</v>
      </c>
      <c r="R468" s="475">
        <v>0.1893</v>
      </c>
      <c r="S468" s="478"/>
      <c r="T468" s="483">
        <v>2.8850281795539704E-4</v>
      </c>
      <c r="U468" s="474"/>
      <c r="V468" s="176">
        <f t="shared" si="560"/>
        <v>2.8850281795539704E-4</v>
      </c>
      <c r="W468" s="176">
        <f>V468-V468*Calculation_sheet!E$69</f>
        <v>2.8850281795539704E-4</v>
      </c>
      <c r="X468" s="176">
        <f>W468-W468*Calculation_sheet!E$79</f>
        <v>2.8850281795539704E-4</v>
      </c>
      <c r="Y468" s="34">
        <f>X468/Calculation_sheet!M$67</f>
        <v>2.8850871680768215E-4</v>
      </c>
      <c r="Z468" s="176">
        <f ca="1">IF(AN468&gt;0,Y468*Calculation_sheet!C$87,0)</f>
        <v>0</v>
      </c>
      <c r="AA468" s="176">
        <f t="shared" ca="1" si="696"/>
        <v>2.8850871680768215E-4</v>
      </c>
      <c r="AB468" s="176">
        <f ca="1">IF(AP468&gt;0,AA468*Calculation_sheet!C$94,0)</f>
        <v>0</v>
      </c>
      <c r="AC468" s="176">
        <f t="shared" ca="1" si="697"/>
        <v>2.8850871680768215E-4</v>
      </c>
      <c r="AD468" s="958">
        <f ca="1">AC468*Calculation_sheet!C$99</f>
        <v>1.7310523008460927E-4</v>
      </c>
      <c r="AE468" s="176">
        <f t="shared" ca="1" si="697"/>
        <v>1.1540348672307288E-4</v>
      </c>
      <c r="AF468" s="176">
        <f t="shared" ca="1" si="698"/>
        <v>2.8850871680768215E-4</v>
      </c>
      <c r="AG468" s="958">
        <f ca="1">AF468*User_sheet!B$77/100</f>
        <v>0</v>
      </c>
      <c r="AH468" s="313"/>
      <c r="AI468" s="2">
        <v>104</v>
      </c>
      <c r="AJ468" s="985"/>
      <c r="AK468" s="1020">
        <f t="shared" ca="1" si="690"/>
        <v>203.1708432849567</v>
      </c>
      <c r="AL468" s="954">
        <f ca="1">AK468/'103'!I$24</f>
        <v>0.45720583580299679</v>
      </c>
      <c r="AM468" s="954">
        <f ca="1">0.8*(AK468*30+'104'!D$17*0.34*30*1)</f>
        <v>7795.8135188389615</v>
      </c>
      <c r="AN468" s="954">
        <f ca="1">IF(AM468&lt;User_sheet!B$50,Y468,0)</f>
        <v>2.8850871680768215E-4</v>
      </c>
      <c r="AO468" s="954">
        <f ca="1">20-(User_sheet!B$57/('Freestanding '!AK468+'104'!D$17*1*0.34))</f>
        <v>2.4521200167992525</v>
      </c>
      <c r="AP468" s="954">
        <f ca="1">IF(AO468&lt;User_sheet!B$59,0,BC468*AA468)</f>
        <v>0</v>
      </c>
      <c r="AQ468" s="985"/>
      <c r="AR468" s="2">
        <v>0.47</v>
      </c>
      <c r="AS468" s="2">
        <v>0.54</v>
      </c>
      <c r="AT468" s="2">
        <v>0.83</v>
      </c>
      <c r="AU468" s="2">
        <v>3.5</v>
      </c>
      <c r="AV468" s="2">
        <v>3.3</v>
      </c>
      <c r="AW468" s="2">
        <v>12848.541887298286</v>
      </c>
      <c r="AX468" s="2">
        <v>75022.04959166942</v>
      </c>
      <c r="AY468" s="2">
        <v>69245.59826015502</v>
      </c>
      <c r="AZ468" s="27">
        <v>0</v>
      </c>
      <c r="BA468" s="27">
        <v>0</v>
      </c>
      <c r="BB468" s="2">
        <v>0.75</v>
      </c>
      <c r="BC468" s="46">
        <v>1</v>
      </c>
      <c r="BD468" s="199">
        <v>0</v>
      </c>
      <c r="BE468" s="199">
        <v>0</v>
      </c>
      <c r="BF468" s="50">
        <v>0</v>
      </c>
      <c r="BG468" s="27">
        <v>1</v>
      </c>
      <c r="BH468" s="27">
        <v>0</v>
      </c>
      <c r="BI468" s="50">
        <v>0</v>
      </c>
      <c r="BJ468" s="27">
        <v>0</v>
      </c>
      <c r="BK468" s="27">
        <v>0</v>
      </c>
      <c r="BL468" s="27">
        <v>1</v>
      </c>
      <c r="BM468" s="50">
        <v>0</v>
      </c>
      <c r="BN468" s="958">
        <v>7.0000000000000007E-2</v>
      </c>
      <c r="BO468" s="50">
        <v>12</v>
      </c>
      <c r="BP468" s="926">
        <f t="shared" ca="1" si="699"/>
        <v>162.63999999999999</v>
      </c>
      <c r="BQ468" s="926">
        <f t="shared" ca="1" si="700"/>
        <v>285.02799999999996</v>
      </c>
      <c r="BR468" s="926">
        <f t="shared" ca="1" si="701"/>
        <v>51.803914909975674</v>
      </c>
      <c r="BS468" s="926">
        <f t="shared" ca="1" si="702"/>
        <v>115.89999999999998</v>
      </c>
      <c r="BT468" s="926">
        <f t="shared" ca="1" si="703"/>
        <v>81.319999999999993</v>
      </c>
      <c r="BU468" s="926">
        <f t="shared" ca="1" si="704"/>
        <v>22.93</v>
      </c>
      <c r="BV468" s="926">
        <f t="shared" ca="1" si="705"/>
        <v>2.15</v>
      </c>
      <c r="BW468" s="926">
        <v>0</v>
      </c>
      <c r="BX468" s="926">
        <f t="shared" ca="1" si="706"/>
        <v>22.513722112891656</v>
      </c>
      <c r="BY468" s="926">
        <f t="shared" ca="1" si="707"/>
        <v>57.229334308705177</v>
      </c>
      <c r="BZ468" s="926">
        <f t="shared" ca="1" si="691"/>
        <v>19.47215409721413</v>
      </c>
      <c r="CA468" s="926">
        <f t="shared" ca="1" si="692"/>
        <v>80.254999943821502</v>
      </c>
      <c r="CB468" s="926">
        <f t="shared" ca="1" si="708"/>
        <v>4.5133587786259541</v>
      </c>
      <c r="CC468" s="926">
        <f t="shared" si="693"/>
        <v>0</v>
      </c>
      <c r="CD468" s="1018">
        <f t="shared" ref="CD468:CD475" ca="1" si="710">SUM(BX468:CC468)+(BR468+BS468+BT468+BU468+BV468)*BN468</f>
        <v>203.1708432849567</v>
      </c>
      <c r="CE468" s="1018">
        <f t="shared" ca="1" si="709"/>
        <v>93.991926831362093</v>
      </c>
      <c r="CF468" s="926">
        <f t="shared" ca="1" si="694"/>
        <v>8.914883103489565</v>
      </c>
      <c r="CG468" s="926">
        <f t="shared" ca="1" si="695"/>
        <v>14842.923771985983</v>
      </c>
    </row>
    <row r="469" spans="4:85" s="3" customFormat="1" x14ac:dyDescent="0.25">
      <c r="D469" s="478"/>
      <c r="E469" s="474"/>
      <c r="F469" s="478"/>
      <c r="G469" s="474"/>
      <c r="H469" s="478"/>
      <c r="I469" s="474"/>
      <c r="J469" s="478"/>
      <c r="K469" s="479"/>
      <c r="L469" s="478"/>
      <c r="M469" s="478"/>
      <c r="N469" s="478"/>
      <c r="O469" s="478"/>
      <c r="P469" s="478"/>
      <c r="Q469" s="478" t="s">
        <v>16</v>
      </c>
      <c r="R469" s="475">
        <v>0.81069999999999998</v>
      </c>
      <c r="S469" s="478"/>
      <c r="T469" s="483">
        <v>4.8643621817294583E-5</v>
      </c>
      <c r="U469" s="474"/>
      <c r="V469" s="176">
        <f t="shared" si="560"/>
        <v>4.8643621817294583E-5</v>
      </c>
      <c r="W469" s="176">
        <f>V469-V469*Calculation_sheet!E$69</f>
        <v>4.8643621817294583E-5</v>
      </c>
      <c r="X469" s="176">
        <f>W469-W469*Calculation_sheet!E$79</f>
        <v>4.8643621817294583E-5</v>
      </c>
      <c r="Y469" s="34">
        <f>X469/Calculation_sheet!M$67</f>
        <v>4.8644616405637765E-5</v>
      </c>
      <c r="Z469" s="176">
        <f ca="1">IF(AN469&gt;0,Y469*Calculation_sheet!C$87,0)</f>
        <v>0</v>
      </c>
      <c r="AA469" s="176">
        <f t="shared" ca="1" si="696"/>
        <v>4.8644616405637765E-5</v>
      </c>
      <c r="AB469" s="176">
        <f ca="1">IF(AP469&gt;0,AA469*Calculation_sheet!C$94,0)</f>
        <v>0</v>
      </c>
      <c r="AC469" s="176">
        <f t="shared" ca="1" si="697"/>
        <v>4.8644616405637765E-5</v>
      </c>
      <c r="AD469" s="958">
        <f ca="1">AC469*Calculation_sheet!C$99</f>
        <v>2.9186769843382657E-5</v>
      </c>
      <c r="AE469" s="176">
        <f t="shared" ca="1" si="697"/>
        <v>1.9457846562255108E-5</v>
      </c>
      <c r="AF469" s="176">
        <f t="shared" ca="1" si="698"/>
        <v>4.8644616405637765E-5</v>
      </c>
      <c r="AG469" s="958">
        <f ca="1">AF469*User_sheet!B$77/100</f>
        <v>0</v>
      </c>
      <c r="AH469" s="313"/>
      <c r="AI469" s="2">
        <v>104</v>
      </c>
      <c r="AJ469" s="985"/>
      <c r="AK469" s="1020">
        <f t="shared" ca="1" si="690"/>
        <v>203.1708432849567</v>
      </c>
      <c r="AL469" s="954">
        <f ca="1">AK469/'103'!I$24</f>
        <v>0.45720583580299679</v>
      </c>
      <c r="AM469" s="954">
        <f ca="1">0.8*(AK469*30+'104'!D$17*0.34*30*1)</f>
        <v>7795.8135188389615</v>
      </c>
      <c r="AN469" s="954">
        <f ca="1">IF(AM469&lt;User_sheet!B$50,Y469,0)</f>
        <v>4.8644616405637765E-5</v>
      </c>
      <c r="AO469" s="954">
        <f ca="1">20-(User_sheet!B$57/('Freestanding '!AK469+'104'!D$17*1*0.34))</f>
        <v>2.4521200167992525</v>
      </c>
      <c r="AP469" s="954">
        <f ca="1">IF(AO469&lt;User_sheet!B$59,0,BC469*AA469)</f>
        <v>0</v>
      </c>
      <c r="AQ469" s="985"/>
      <c r="AR469" s="2">
        <v>0.47</v>
      </c>
      <c r="AS469" s="2">
        <v>0.54</v>
      </c>
      <c r="AT469" s="2">
        <v>0.83</v>
      </c>
      <c r="AU469" s="2">
        <v>3.5</v>
      </c>
      <c r="AV469" s="2">
        <v>3.3</v>
      </c>
      <c r="AW469" s="2">
        <v>12848.541887298286</v>
      </c>
      <c r="AX469" s="2">
        <v>75022.04959166942</v>
      </c>
      <c r="AY469" s="2">
        <v>69245.59826015502</v>
      </c>
      <c r="AZ469" s="27">
        <v>0</v>
      </c>
      <c r="BA469" s="27">
        <v>0</v>
      </c>
      <c r="BB469" s="2">
        <v>0.75</v>
      </c>
      <c r="BC469" s="46">
        <v>1</v>
      </c>
      <c r="BD469" s="199">
        <v>0</v>
      </c>
      <c r="BE469" s="199">
        <v>0</v>
      </c>
      <c r="BF469" s="50">
        <v>0</v>
      </c>
      <c r="BG469" s="27">
        <v>0</v>
      </c>
      <c r="BH469" s="27">
        <v>1</v>
      </c>
      <c r="BI469" s="50">
        <v>0</v>
      </c>
      <c r="BJ469" s="27">
        <v>1</v>
      </c>
      <c r="BK469" s="27">
        <v>0</v>
      </c>
      <c r="BL469" s="27">
        <v>0</v>
      </c>
      <c r="BM469" s="50">
        <v>0</v>
      </c>
      <c r="BN469" s="958">
        <v>7.0000000000000007E-2</v>
      </c>
      <c r="BO469" s="50">
        <v>12</v>
      </c>
      <c r="BP469" s="926">
        <f t="shared" ca="1" si="699"/>
        <v>162.63999999999999</v>
      </c>
      <c r="BQ469" s="926">
        <f t="shared" ca="1" si="700"/>
        <v>285.02799999999996</v>
      </c>
      <c r="BR469" s="926">
        <f t="shared" ca="1" si="701"/>
        <v>51.803914909975674</v>
      </c>
      <c r="BS469" s="926">
        <f t="shared" ca="1" si="702"/>
        <v>115.89999999999998</v>
      </c>
      <c r="BT469" s="926">
        <f t="shared" ca="1" si="703"/>
        <v>81.319999999999993</v>
      </c>
      <c r="BU469" s="926">
        <f t="shared" ca="1" si="704"/>
        <v>22.93</v>
      </c>
      <c r="BV469" s="926">
        <f t="shared" ca="1" si="705"/>
        <v>2.15</v>
      </c>
      <c r="BW469" s="926">
        <v>0</v>
      </c>
      <c r="BX469" s="926">
        <f t="shared" ca="1" si="706"/>
        <v>22.513722112891656</v>
      </c>
      <c r="BY469" s="926">
        <f t="shared" ca="1" si="707"/>
        <v>57.229334308705177</v>
      </c>
      <c r="BZ469" s="926">
        <f t="shared" ca="1" si="691"/>
        <v>19.47215409721413</v>
      </c>
      <c r="CA469" s="926">
        <f t="shared" ca="1" si="692"/>
        <v>80.254999943821502</v>
      </c>
      <c r="CB469" s="926">
        <f t="shared" ca="1" si="708"/>
        <v>4.5133587786259541</v>
      </c>
      <c r="CC469" s="926">
        <f t="shared" si="693"/>
        <v>0</v>
      </c>
      <c r="CD469" s="1018">
        <f t="shared" ca="1" si="710"/>
        <v>203.1708432849567</v>
      </c>
      <c r="CE469" s="1018">
        <f t="shared" ca="1" si="709"/>
        <v>93.991926831362093</v>
      </c>
      <c r="CF469" s="926">
        <f t="shared" ca="1" si="694"/>
        <v>8.914883103489565</v>
      </c>
      <c r="CG469" s="926">
        <f t="shared" ca="1" si="695"/>
        <v>14842.923771985983</v>
      </c>
    </row>
    <row r="470" spans="4:85" s="3" customFormat="1" x14ac:dyDescent="0.25">
      <c r="D470" s="478"/>
      <c r="E470" s="474"/>
      <c r="F470" s="478"/>
      <c r="G470" s="474"/>
      <c r="H470" s="478"/>
      <c r="I470" s="474"/>
      <c r="J470" s="478"/>
      <c r="K470" s="479"/>
      <c r="L470" s="478"/>
      <c r="M470" s="478" t="s">
        <v>16</v>
      </c>
      <c r="N470" s="475">
        <v>0.5</v>
      </c>
      <c r="O470" s="478" t="s">
        <v>19</v>
      </c>
      <c r="P470" s="475">
        <v>3.7878787999999997E-2</v>
      </c>
      <c r="Q470" s="478" t="s">
        <v>7</v>
      </c>
      <c r="R470" s="475">
        <v>0.1893</v>
      </c>
      <c r="S470" s="478"/>
      <c r="T470" s="483">
        <v>1.1358378697439086E-5</v>
      </c>
      <c r="U470" s="474"/>
      <c r="V470" s="176">
        <f t="shared" ref="V470:V475" si="711">T470</f>
        <v>1.1358378697439086E-5</v>
      </c>
      <c r="W470" s="176">
        <f>V470-V470*Calculation_sheet!E$69</f>
        <v>1.1358378697439086E-5</v>
      </c>
      <c r="X470" s="176">
        <f>W470-W470*Calculation_sheet!E$79</f>
        <v>1.1358378697439086E-5</v>
      </c>
      <c r="Y470" s="34">
        <f>X470/Calculation_sheet!M$67</f>
        <v>1.13586109357188E-5</v>
      </c>
      <c r="Z470" s="176">
        <f ca="1">IF(AN470&gt;0,Y470*Calculation_sheet!C$87,0)</f>
        <v>0</v>
      </c>
      <c r="AA470" s="176">
        <f t="shared" ca="1" si="696"/>
        <v>1.13586109357188E-5</v>
      </c>
      <c r="AB470" s="176">
        <f ca="1">IF(AP470&gt;0,AA470*Calculation_sheet!C$94,0)</f>
        <v>0</v>
      </c>
      <c r="AC470" s="176">
        <f t="shared" ca="1" si="697"/>
        <v>1.13586109357188E-5</v>
      </c>
      <c r="AD470" s="958">
        <f ca="1">AC470*Calculation_sheet!C$99</f>
        <v>6.8151665614312801E-6</v>
      </c>
      <c r="AE470" s="176">
        <f t="shared" ca="1" si="697"/>
        <v>4.5434443742875201E-6</v>
      </c>
      <c r="AF470" s="176">
        <f t="shared" ca="1" si="698"/>
        <v>1.13586109357188E-5</v>
      </c>
      <c r="AG470" s="958">
        <f ca="1">AF470*User_sheet!B$77/100</f>
        <v>0</v>
      </c>
      <c r="AH470" s="313"/>
      <c r="AI470" s="2">
        <v>104</v>
      </c>
      <c r="AJ470" s="985"/>
      <c r="AK470" s="1020">
        <f t="shared" ca="1" si="690"/>
        <v>203.1708432849567</v>
      </c>
      <c r="AL470" s="954">
        <f ca="1">AK470/'103'!I$24</f>
        <v>0.45720583580299679</v>
      </c>
      <c r="AM470" s="954">
        <f ca="1">0.8*(AK470*30+'104'!D$17*0.34*30*1)</f>
        <v>7795.8135188389615</v>
      </c>
      <c r="AN470" s="954">
        <f ca="1">IF(AM470&lt;User_sheet!B$50,Y470,0)</f>
        <v>1.13586109357188E-5</v>
      </c>
      <c r="AO470" s="954">
        <f ca="1">20-(User_sheet!B$57/('Freestanding '!AK470+'104'!D$17*1*0.34))</f>
        <v>2.4521200167992525</v>
      </c>
      <c r="AP470" s="954">
        <f ca="1">IF(AO470&lt;User_sheet!B$59,0,BC470*AA470)</f>
        <v>0</v>
      </c>
      <c r="AQ470" s="985"/>
      <c r="AR470" s="2">
        <v>0.47</v>
      </c>
      <c r="AS470" s="2">
        <v>0.54</v>
      </c>
      <c r="AT470" s="2">
        <v>0.83</v>
      </c>
      <c r="AU470" s="2">
        <v>3.5</v>
      </c>
      <c r="AV470" s="2">
        <v>3.3</v>
      </c>
      <c r="AW470" s="2">
        <v>12848.541887298286</v>
      </c>
      <c r="AX470" s="2">
        <v>75022.04959166942</v>
      </c>
      <c r="AY470" s="2">
        <v>69245.59826015502</v>
      </c>
      <c r="AZ470" s="27">
        <v>0</v>
      </c>
      <c r="BA470" s="27">
        <v>0</v>
      </c>
      <c r="BB470" s="2">
        <v>0.75</v>
      </c>
      <c r="BC470" s="46">
        <v>1</v>
      </c>
      <c r="BD470" s="199">
        <v>0</v>
      </c>
      <c r="BE470" s="199">
        <v>0</v>
      </c>
      <c r="BF470" s="50">
        <v>0</v>
      </c>
      <c r="BG470" s="27">
        <v>0</v>
      </c>
      <c r="BH470" s="27">
        <v>1</v>
      </c>
      <c r="BI470" s="50">
        <v>0</v>
      </c>
      <c r="BJ470" s="27">
        <v>0</v>
      </c>
      <c r="BK470" s="27">
        <v>0</v>
      </c>
      <c r="BL470" s="27">
        <v>1</v>
      </c>
      <c r="BM470" s="50">
        <v>0</v>
      </c>
      <c r="BN470" s="958">
        <v>7.0000000000000007E-2</v>
      </c>
      <c r="BO470" s="50">
        <v>12</v>
      </c>
      <c r="BP470" s="926">
        <f t="shared" ca="1" si="699"/>
        <v>162.63999999999999</v>
      </c>
      <c r="BQ470" s="926">
        <f t="shared" ca="1" si="700"/>
        <v>285.02799999999996</v>
      </c>
      <c r="BR470" s="926">
        <f t="shared" ca="1" si="701"/>
        <v>51.803914909975674</v>
      </c>
      <c r="BS470" s="926">
        <f t="shared" ca="1" si="702"/>
        <v>115.89999999999998</v>
      </c>
      <c r="BT470" s="926">
        <f t="shared" ca="1" si="703"/>
        <v>81.319999999999993</v>
      </c>
      <c r="BU470" s="926">
        <f t="shared" ca="1" si="704"/>
        <v>22.93</v>
      </c>
      <c r="BV470" s="926">
        <f t="shared" ca="1" si="705"/>
        <v>2.15</v>
      </c>
      <c r="BW470" s="926">
        <v>0</v>
      </c>
      <c r="BX470" s="926">
        <f t="shared" ca="1" si="706"/>
        <v>22.513722112891656</v>
      </c>
      <c r="BY470" s="926">
        <f t="shared" ca="1" si="707"/>
        <v>57.229334308705177</v>
      </c>
      <c r="BZ470" s="926">
        <f t="shared" ca="1" si="691"/>
        <v>19.47215409721413</v>
      </c>
      <c r="CA470" s="926">
        <f t="shared" ca="1" si="692"/>
        <v>80.254999943821502</v>
      </c>
      <c r="CB470" s="926">
        <f t="shared" ca="1" si="708"/>
        <v>4.5133587786259541</v>
      </c>
      <c r="CC470" s="926">
        <f t="shared" si="693"/>
        <v>0</v>
      </c>
      <c r="CD470" s="1018">
        <f t="shared" ca="1" si="710"/>
        <v>203.1708432849567</v>
      </c>
      <c r="CE470" s="1018">
        <f t="shared" ca="1" si="709"/>
        <v>93.991926831362093</v>
      </c>
      <c r="CF470" s="926">
        <f t="shared" ca="1" si="694"/>
        <v>8.914883103489565</v>
      </c>
      <c r="CG470" s="926">
        <f t="shared" ca="1" si="695"/>
        <v>14842.923771985983</v>
      </c>
    </row>
    <row r="471" spans="4:85" s="3" customFormat="1" x14ac:dyDescent="0.25">
      <c r="D471" s="478"/>
      <c r="E471" s="474"/>
      <c r="F471" s="478"/>
      <c r="G471" s="474"/>
      <c r="H471" s="478"/>
      <c r="I471" s="474"/>
      <c r="J471" s="478"/>
      <c r="K471" s="479"/>
      <c r="L471" s="478"/>
      <c r="M471" s="478"/>
      <c r="N471" s="473"/>
      <c r="O471" s="478"/>
      <c r="P471" s="478"/>
      <c r="Q471" s="478" t="s">
        <v>22</v>
      </c>
      <c r="R471" s="475">
        <v>0.81</v>
      </c>
      <c r="S471" s="478"/>
      <c r="T471" s="483">
        <v>9.2457435276649977E-4</v>
      </c>
      <c r="U471" s="474"/>
      <c r="V471" s="176">
        <f t="shared" si="711"/>
        <v>9.2457435276649977E-4</v>
      </c>
      <c r="W471" s="176">
        <f>V471-V471*Calculation_sheet!E$69</f>
        <v>9.2457435276649977E-4</v>
      </c>
      <c r="X471" s="176">
        <f>W471-W471*Calculation_sheet!E$79</f>
        <v>9.2457435276649977E-4</v>
      </c>
      <c r="Y471" s="34">
        <f>X471/Calculation_sheet!M$67</f>
        <v>9.2459325701004316E-4</v>
      </c>
      <c r="Z471" s="176">
        <f ca="1">IF(AN471&gt;0,Y471*Calculation_sheet!C$87,0)</f>
        <v>0</v>
      </c>
      <c r="AA471" s="176">
        <f t="shared" ca="1" si="696"/>
        <v>9.2459325701004316E-4</v>
      </c>
      <c r="AB471" s="176">
        <f ca="1">IF(AP471&gt;0,AA471*Calculation_sheet!C$94,0)</f>
        <v>0</v>
      </c>
      <c r="AC471" s="176">
        <f t="shared" ca="1" si="697"/>
        <v>9.2459325701004316E-4</v>
      </c>
      <c r="AD471" s="958">
        <f ca="1">AC471*Calculation_sheet!C$99</f>
        <v>5.5475595420602592E-4</v>
      </c>
      <c r="AE471" s="176">
        <f t="shared" ca="1" si="697"/>
        <v>3.6983730280401724E-4</v>
      </c>
      <c r="AF471" s="176">
        <f t="shared" ca="1" si="698"/>
        <v>9.2459325701004316E-4</v>
      </c>
      <c r="AG471" s="958">
        <f ca="1">AF471*User_sheet!B$77/100</f>
        <v>0</v>
      </c>
      <c r="AH471" s="313"/>
      <c r="AI471" s="2">
        <v>104</v>
      </c>
      <c r="AJ471" s="985"/>
      <c r="AK471" s="1020">
        <f t="shared" ca="1" si="690"/>
        <v>203.1708432849567</v>
      </c>
      <c r="AL471" s="954">
        <f ca="1">AK471/'103'!I$24</f>
        <v>0.45720583580299679</v>
      </c>
      <c r="AM471" s="954">
        <f ca="1">0.8*(AK471*30+'104'!D$17*0.34*30*1)</f>
        <v>7795.8135188389615</v>
      </c>
      <c r="AN471" s="954">
        <f ca="1">IF(AM471&lt;User_sheet!B$50,Y471,0)</f>
        <v>9.2459325701004316E-4</v>
      </c>
      <c r="AO471" s="954">
        <f ca="1">20-(User_sheet!B$57/('Freestanding '!AK471+'104'!D$17*1*0.34))</f>
        <v>2.4521200167992525</v>
      </c>
      <c r="AP471" s="954">
        <f ca="1">IF(AO471&lt;User_sheet!B$59,0,BC471*AA471)</f>
        <v>0</v>
      </c>
      <c r="AQ471" s="985"/>
      <c r="AR471" s="2">
        <v>0.47</v>
      </c>
      <c r="AS471" s="2">
        <v>0.54</v>
      </c>
      <c r="AT471" s="2">
        <v>0.83</v>
      </c>
      <c r="AU471" s="2">
        <v>3.5</v>
      </c>
      <c r="AV471" s="2">
        <v>3.3</v>
      </c>
      <c r="AW471" s="2">
        <v>12848.541887298286</v>
      </c>
      <c r="AX471" s="2">
        <v>75022.04959166942</v>
      </c>
      <c r="AY471" s="2">
        <v>69245.59826015502</v>
      </c>
      <c r="AZ471" s="27">
        <v>0</v>
      </c>
      <c r="BA471" s="27">
        <v>0</v>
      </c>
      <c r="BB471" s="2">
        <v>0.75</v>
      </c>
      <c r="BC471" s="46">
        <v>0</v>
      </c>
      <c r="BD471" s="199">
        <v>1</v>
      </c>
      <c r="BE471" s="199">
        <v>0</v>
      </c>
      <c r="BF471" s="50">
        <v>0</v>
      </c>
      <c r="BG471" s="27">
        <v>1</v>
      </c>
      <c r="BH471" s="27">
        <v>0</v>
      </c>
      <c r="BI471" s="50">
        <v>0</v>
      </c>
      <c r="BJ471" s="27">
        <v>0</v>
      </c>
      <c r="BK471" s="27">
        <v>1</v>
      </c>
      <c r="BL471" s="27">
        <v>0</v>
      </c>
      <c r="BM471" s="50">
        <v>0</v>
      </c>
      <c r="BN471" s="958">
        <v>7.0000000000000007E-2</v>
      </c>
      <c r="BO471" s="50">
        <v>12</v>
      </c>
      <c r="BP471" s="926">
        <f t="shared" ca="1" si="699"/>
        <v>162.63999999999999</v>
      </c>
      <c r="BQ471" s="926">
        <f t="shared" ca="1" si="700"/>
        <v>285.02799999999996</v>
      </c>
      <c r="BR471" s="926">
        <f t="shared" ca="1" si="701"/>
        <v>51.803914909975674</v>
      </c>
      <c r="BS471" s="926">
        <f t="shared" ca="1" si="702"/>
        <v>115.89999999999998</v>
      </c>
      <c r="BT471" s="926">
        <f t="shared" ca="1" si="703"/>
        <v>81.319999999999993</v>
      </c>
      <c r="BU471" s="926">
        <f t="shared" ca="1" si="704"/>
        <v>22.93</v>
      </c>
      <c r="BV471" s="926">
        <f t="shared" ca="1" si="705"/>
        <v>2.15</v>
      </c>
      <c r="BW471" s="926">
        <v>0</v>
      </c>
      <c r="BX471" s="926">
        <f t="shared" ca="1" si="706"/>
        <v>22.513722112891656</v>
      </c>
      <c r="BY471" s="926">
        <f t="shared" ca="1" si="707"/>
        <v>57.229334308705177</v>
      </c>
      <c r="BZ471" s="926">
        <f t="shared" ca="1" si="691"/>
        <v>19.47215409721413</v>
      </c>
      <c r="CA471" s="926">
        <f t="shared" ca="1" si="692"/>
        <v>80.254999943821502</v>
      </c>
      <c r="CB471" s="926">
        <f t="shared" ca="1" si="708"/>
        <v>4.5133587786259541</v>
      </c>
      <c r="CC471" s="926">
        <f t="shared" si="693"/>
        <v>0</v>
      </c>
      <c r="CD471" s="1018">
        <f t="shared" ca="1" si="710"/>
        <v>203.1708432849567</v>
      </c>
      <c r="CE471" s="1018">
        <f t="shared" ca="1" si="709"/>
        <v>93.991926831362093</v>
      </c>
      <c r="CF471" s="926">
        <f t="shared" ca="1" si="694"/>
        <v>8.914883103489565</v>
      </c>
      <c r="CG471" s="926">
        <f t="shared" ca="1" si="695"/>
        <v>14842.923771985983</v>
      </c>
    </row>
    <row r="472" spans="4:85" x14ac:dyDescent="0.25">
      <c r="D472" s="473"/>
      <c r="E472" s="472"/>
      <c r="F472" s="473"/>
      <c r="G472" s="472"/>
      <c r="H472" s="473"/>
      <c r="I472" s="472"/>
      <c r="J472" s="473"/>
      <c r="K472" s="476"/>
      <c r="L472" s="478"/>
      <c r="M472" s="473"/>
      <c r="N472" s="473"/>
      <c r="O472" s="473" t="s">
        <v>18</v>
      </c>
      <c r="P472" s="475">
        <v>0.96078431399999997</v>
      </c>
      <c r="Q472" s="473" t="s">
        <v>7</v>
      </c>
      <c r="R472" s="475">
        <v>0.19</v>
      </c>
      <c r="S472" s="473"/>
      <c r="T472" s="483">
        <v>2.1687546546374678E-4</v>
      </c>
      <c r="U472" s="472"/>
      <c r="V472" s="176">
        <f t="shared" si="711"/>
        <v>2.1687546546374678E-4</v>
      </c>
      <c r="W472" s="176">
        <f>V472-V472*Calculation_sheet!E$69</f>
        <v>2.1687546546374678E-4</v>
      </c>
      <c r="X472" s="176">
        <f>W472-W472*Calculation_sheet!E$79</f>
        <v>2.1687546546374678E-4</v>
      </c>
      <c r="Y472" s="34">
        <f>X472/Calculation_sheet!M$67</f>
        <v>2.1687989979247919E-4</v>
      </c>
      <c r="Z472" s="176">
        <f ca="1">IF(AN472&gt;0,Y472*Calculation_sheet!C$87,0)</f>
        <v>0</v>
      </c>
      <c r="AA472" s="176">
        <f t="shared" ca="1" si="696"/>
        <v>2.1687989979247919E-4</v>
      </c>
      <c r="AB472" s="176">
        <f ca="1">IF(AP472&gt;0,AA472*Calculation_sheet!C$94,0)</f>
        <v>0</v>
      </c>
      <c r="AC472" s="176">
        <f t="shared" ca="1" si="697"/>
        <v>2.1687989979247919E-4</v>
      </c>
      <c r="AD472" s="958">
        <f ca="1">AC472*Calculation_sheet!C$99</f>
        <v>1.3012793987548751E-4</v>
      </c>
      <c r="AE472" s="176">
        <f t="shared" ca="1" si="697"/>
        <v>8.6751959916991689E-5</v>
      </c>
      <c r="AF472" s="176">
        <f t="shared" ca="1" si="698"/>
        <v>2.1687989979247919E-4</v>
      </c>
      <c r="AG472" s="958">
        <f ca="1">AF472*User_sheet!B$77/100</f>
        <v>0</v>
      </c>
      <c r="AH472" s="313"/>
      <c r="AI472" s="2">
        <v>104</v>
      </c>
      <c r="AJ472" s="985"/>
      <c r="AK472" s="1020">
        <f t="shared" ca="1" si="690"/>
        <v>203.1708432849567</v>
      </c>
      <c r="AL472" s="954">
        <f ca="1">AK472/'103'!I$24</f>
        <v>0.45720583580299679</v>
      </c>
      <c r="AM472" s="954">
        <f ca="1">0.8*(AK472*30+'104'!D$17*0.34*30*1)</f>
        <v>7795.8135188389615</v>
      </c>
      <c r="AN472" s="954">
        <f ca="1">IF(AM472&lt;User_sheet!B$50,Y472,0)</f>
        <v>2.1687989979247919E-4</v>
      </c>
      <c r="AO472" s="954">
        <f ca="1">20-(User_sheet!B$57/('Freestanding '!AK472+'104'!D$17*1*0.34))</f>
        <v>2.4521200167992525</v>
      </c>
      <c r="AP472" s="954">
        <f ca="1">IF(AO472&lt;User_sheet!B$59,0,BC472*AA472)</f>
        <v>0</v>
      </c>
      <c r="AQ472" s="985"/>
      <c r="AR472" s="2">
        <v>0.47</v>
      </c>
      <c r="AS472" s="2">
        <v>0.54</v>
      </c>
      <c r="AT472" s="2">
        <v>0.83</v>
      </c>
      <c r="AU472" s="2">
        <v>3.5</v>
      </c>
      <c r="AV472" s="2">
        <v>3.3</v>
      </c>
      <c r="AW472" s="2">
        <v>12848.541887298286</v>
      </c>
      <c r="AX472" s="2">
        <v>75022.04959166942</v>
      </c>
      <c r="AY472" s="2">
        <v>69245.59826015502</v>
      </c>
      <c r="AZ472" s="27">
        <v>0</v>
      </c>
      <c r="BA472" s="27">
        <v>0</v>
      </c>
      <c r="BB472" s="2">
        <v>0.75</v>
      </c>
      <c r="BC472" s="30">
        <v>0</v>
      </c>
      <c r="BD472" s="34">
        <v>1</v>
      </c>
      <c r="BE472" s="34">
        <v>0</v>
      </c>
      <c r="BF472" s="40">
        <v>0</v>
      </c>
      <c r="BG472" s="2">
        <v>1</v>
      </c>
      <c r="BH472" s="2">
        <v>0</v>
      </c>
      <c r="BI472" s="40">
        <v>0</v>
      </c>
      <c r="BJ472" s="2">
        <v>0</v>
      </c>
      <c r="BK472" s="2">
        <v>0</v>
      </c>
      <c r="BL472" s="2">
        <v>1</v>
      </c>
      <c r="BM472" s="40">
        <v>0</v>
      </c>
      <c r="BN472" s="958">
        <v>7.0000000000000007E-2</v>
      </c>
      <c r="BO472" s="50">
        <v>12</v>
      </c>
      <c r="BP472" s="1018">
        <f t="shared" ca="1" si="699"/>
        <v>162.63999999999999</v>
      </c>
      <c r="BQ472" s="1018">
        <f t="shared" ca="1" si="700"/>
        <v>285.02799999999996</v>
      </c>
      <c r="BR472" s="1018">
        <f t="shared" ca="1" si="701"/>
        <v>51.803914909975674</v>
      </c>
      <c r="BS472" s="1018">
        <f t="shared" ca="1" si="702"/>
        <v>115.89999999999998</v>
      </c>
      <c r="BT472" s="1018">
        <f t="shared" ca="1" si="703"/>
        <v>81.319999999999993</v>
      </c>
      <c r="BU472" s="1018">
        <f t="shared" ca="1" si="704"/>
        <v>22.93</v>
      </c>
      <c r="BV472" s="1018">
        <f t="shared" ca="1" si="705"/>
        <v>2.15</v>
      </c>
      <c r="BW472" s="1018">
        <v>0</v>
      </c>
      <c r="BX472" s="1018">
        <f t="shared" ca="1" si="706"/>
        <v>22.513722112891656</v>
      </c>
      <c r="BY472" s="1018">
        <f t="shared" ca="1" si="707"/>
        <v>57.229334308705177</v>
      </c>
      <c r="BZ472" s="1018">
        <f t="shared" ca="1" si="691"/>
        <v>19.47215409721413</v>
      </c>
      <c r="CA472" s="1018">
        <f t="shared" ca="1" si="692"/>
        <v>80.254999943821502</v>
      </c>
      <c r="CB472" s="1018">
        <f t="shared" ca="1" si="708"/>
        <v>4.5133587786259541</v>
      </c>
      <c r="CC472" s="1018">
        <f t="shared" si="693"/>
        <v>0</v>
      </c>
      <c r="CD472" s="1018">
        <f t="shared" ca="1" si="710"/>
        <v>203.1708432849567</v>
      </c>
      <c r="CE472" s="1018">
        <f t="shared" ca="1" si="709"/>
        <v>93.991926831362093</v>
      </c>
      <c r="CF472" s="1018">
        <f t="shared" ca="1" si="694"/>
        <v>8.914883103489565</v>
      </c>
      <c r="CG472" s="1018">
        <f t="shared" ca="1" si="695"/>
        <v>14842.923771985983</v>
      </c>
    </row>
    <row r="473" spans="4:85" x14ac:dyDescent="0.25">
      <c r="D473" s="473"/>
      <c r="E473" s="472"/>
      <c r="F473" s="473"/>
      <c r="G473" s="472"/>
      <c r="H473" s="473"/>
      <c r="I473" s="472"/>
      <c r="J473" s="473"/>
      <c r="K473" s="476"/>
      <c r="L473" s="478"/>
      <c r="M473" s="473"/>
      <c r="N473" s="473"/>
      <c r="O473" s="473"/>
      <c r="P473" s="473"/>
      <c r="Q473" s="473" t="s">
        <v>22</v>
      </c>
      <c r="R473" s="475">
        <v>0.81</v>
      </c>
      <c r="S473" s="473"/>
      <c r="T473" s="483">
        <v>3.7737728409400615E-5</v>
      </c>
      <c r="U473" s="472"/>
      <c r="V473" s="176">
        <f t="shared" si="711"/>
        <v>3.7737728409400615E-5</v>
      </c>
      <c r="W473" s="176">
        <f>V473-V473*Calculation_sheet!E$69</f>
        <v>3.7737728409400615E-5</v>
      </c>
      <c r="X473" s="176">
        <f>W473-W473*Calculation_sheet!E$79</f>
        <v>3.7737728409400615E-5</v>
      </c>
      <c r="Y473" s="34">
        <f>X473/Calculation_sheet!M$67</f>
        <v>3.7738500011172274E-5</v>
      </c>
      <c r="Z473" s="176">
        <f ca="1">IF(AN473&gt;0,Y473*Calculation_sheet!C$87,0)</f>
        <v>0</v>
      </c>
      <c r="AA473" s="176">
        <f t="shared" ca="1" si="696"/>
        <v>3.7738500011172274E-5</v>
      </c>
      <c r="AB473" s="176">
        <f ca="1">IF(AP473&gt;0,AA473*Calculation_sheet!C$94,0)</f>
        <v>0</v>
      </c>
      <c r="AC473" s="176">
        <f t="shared" ca="1" si="697"/>
        <v>3.7738500011172274E-5</v>
      </c>
      <c r="AD473" s="958">
        <f ca="1">AC473*Calculation_sheet!C$99</f>
        <v>2.2643100006703365E-5</v>
      </c>
      <c r="AE473" s="176">
        <f t="shared" ca="1" si="697"/>
        <v>1.509540000446891E-5</v>
      </c>
      <c r="AF473" s="176">
        <f t="shared" ca="1" si="698"/>
        <v>3.7738500011172274E-5</v>
      </c>
      <c r="AG473" s="958">
        <f ca="1">AF473*User_sheet!B$77/100</f>
        <v>0</v>
      </c>
      <c r="AH473" s="313"/>
      <c r="AI473" s="2">
        <v>104</v>
      </c>
      <c r="AJ473" s="985"/>
      <c r="AK473" s="1020">
        <f t="shared" ca="1" si="690"/>
        <v>203.1708432849567</v>
      </c>
      <c r="AL473" s="954">
        <f ca="1">AK473/'103'!I$24</f>
        <v>0.45720583580299679</v>
      </c>
      <c r="AM473" s="954">
        <f ca="1">0.8*(AK473*30+'104'!D$17*0.34*30*1)</f>
        <v>7795.8135188389615</v>
      </c>
      <c r="AN473" s="954">
        <f ca="1">IF(AM473&lt;User_sheet!B$50,Y473,0)</f>
        <v>3.7738500011172274E-5</v>
      </c>
      <c r="AO473" s="954">
        <f ca="1">20-(User_sheet!B$57/('Freestanding '!AK473+'104'!D$17*1*0.34))</f>
        <v>2.4521200167992525</v>
      </c>
      <c r="AP473" s="954">
        <f ca="1">IF(AO473&lt;User_sheet!B$59,0,BC473*AA473)</f>
        <v>0</v>
      </c>
      <c r="AQ473" s="985"/>
      <c r="AR473" s="2">
        <v>0.47</v>
      </c>
      <c r="AS473" s="2">
        <v>0.54</v>
      </c>
      <c r="AT473" s="2">
        <v>0.83</v>
      </c>
      <c r="AU473" s="2">
        <v>3.5</v>
      </c>
      <c r="AV473" s="2">
        <v>3.3</v>
      </c>
      <c r="AW473" s="2">
        <v>12848.541887298286</v>
      </c>
      <c r="AX473" s="2">
        <v>75022.04959166942</v>
      </c>
      <c r="AY473" s="2">
        <v>69245.59826015502</v>
      </c>
      <c r="AZ473" s="27">
        <v>0</v>
      </c>
      <c r="BA473" s="27">
        <v>0</v>
      </c>
      <c r="BB473" s="2">
        <v>0.75</v>
      </c>
      <c r="BC473" s="30">
        <v>0</v>
      </c>
      <c r="BD473" s="34">
        <v>1</v>
      </c>
      <c r="BE473" s="34">
        <v>0</v>
      </c>
      <c r="BF473" s="40">
        <v>0</v>
      </c>
      <c r="BG473" s="2">
        <v>0</v>
      </c>
      <c r="BH473" s="2">
        <v>1</v>
      </c>
      <c r="BI473" s="40">
        <v>0</v>
      </c>
      <c r="BJ473" s="2">
        <v>0</v>
      </c>
      <c r="BK473" s="2">
        <v>1</v>
      </c>
      <c r="BL473" s="2">
        <v>0</v>
      </c>
      <c r="BM473" s="40">
        <v>0</v>
      </c>
      <c r="BN473" s="958">
        <v>7.0000000000000007E-2</v>
      </c>
      <c r="BO473" s="50">
        <v>12</v>
      </c>
      <c r="BP473" s="1018">
        <f t="shared" ca="1" si="699"/>
        <v>162.63999999999999</v>
      </c>
      <c r="BQ473" s="1018">
        <f t="shared" ca="1" si="700"/>
        <v>285.02799999999996</v>
      </c>
      <c r="BR473" s="1018">
        <f t="shared" ca="1" si="701"/>
        <v>51.803914909975674</v>
      </c>
      <c r="BS473" s="1018">
        <f t="shared" ca="1" si="702"/>
        <v>115.89999999999998</v>
      </c>
      <c r="BT473" s="1018">
        <f t="shared" ca="1" si="703"/>
        <v>81.319999999999993</v>
      </c>
      <c r="BU473" s="1018">
        <f t="shared" ca="1" si="704"/>
        <v>22.93</v>
      </c>
      <c r="BV473" s="1018">
        <f t="shared" ca="1" si="705"/>
        <v>2.15</v>
      </c>
      <c r="BW473" s="1018">
        <v>0</v>
      </c>
      <c r="BX473" s="1018">
        <f t="shared" ca="1" si="706"/>
        <v>22.513722112891656</v>
      </c>
      <c r="BY473" s="1018">
        <f t="shared" ca="1" si="707"/>
        <v>57.229334308705177</v>
      </c>
      <c r="BZ473" s="1018">
        <f t="shared" ca="1" si="691"/>
        <v>19.47215409721413</v>
      </c>
      <c r="CA473" s="1018">
        <f t="shared" ca="1" si="692"/>
        <v>80.254999943821502</v>
      </c>
      <c r="CB473" s="1018">
        <f t="shared" ca="1" si="708"/>
        <v>4.5133587786259541</v>
      </c>
      <c r="CC473" s="1018">
        <f t="shared" si="693"/>
        <v>0</v>
      </c>
      <c r="CD473" s="1018">
        <f t="shared" ca="1" si="710"/>
        <v>203.1708432849567</v>
      </c>
      <c r="CE473" s="1018">
        <f t="shared" ca="1" si="709"/>
        <v>93.991926831362093</v>
      </c>
      <c r="CF473" s="1018">
        <f t="shared" ca="1" si="694"/>
        <v>8.914883103489565</v>
      </c>
      <c r="CG473" s="1018">
        <f t="shared" ca="1" si="695"/>
        <v>14842.923771985983</v>
      </c>
    </row>
    <row r="474" spans="4:85" x14ac:dyDescent="0.25">
      <c r="D474" s="473"/>
      <c r="E474" s="472"/>
      <c r="F474" s="473"/>
      <c r="G474" s="472"/>
      <c r="H474" s="473"/>
      <c r="I474" s="472"/>
      <c r="J474" s="473"/>
      <c r="K474" s="476"/>
      <c r="L474" s="478"/>
      <c r="M474" s="473" t="s">
        <v>22</v>
      </c>
      <c r="N474" s="475">
        <v>0.375</v>
      </c>
      <c r="O474" s="473" t="s">
        <v>20</v>
      </c>
      <c r="P474" s="475">
        <v>3.9215686E-2</v>
      </c>
      <c r="Q474" s="473" t="s">
        <v>7</v>
      </c>
      <c r="R474" s="475">
        <v>0.19</v>
      </c>
      <c r="S474" s="473"/>
      <c r="T474" s="483">
        <v>8.8520597503532291E-6</v>
      </c>
      <c r="U474" s="472"/>
      <c r="V474" s="176">
        <f t="shared" si="711"/>
        <v>8.8520597503532291E-6</v>
      </c>
      <c r="W474" s="176">
        <f>V474-V474*Calculation_sheet!E$69</f>
        <v>8.8520597503532291E-6</v>
      </c>
      <c r="X474" s="176">
        <f>W474-W474*Calculation_sheet!E$79</f>
        <v>8.8520597503532291E-6</v>
      </c>
      <c r="Y474" s="34">
        <f>X474/Calculation_sheet!M$67</f>
        <v>8.8522407433613957E-6</v>
      </c>
      <c r="Z474" s="176">
        <f ca="1">IF(AN474&gt;0,Y474*Calculation_sheet!C$87,0)</f>
        <v>0</v>
      </c>
      <c r="AA474" s="176">
        <f t="shared" ca="1" si="696"/>
        <v>8.8522407433613957E-6</v>
      </c>
      <c r="AB474" s="176">
        <f ca="1">IF(AP474&gt;0,AA474*Calculation_sheet!C$94,0)</f>
        <v>0</v>
      </c>
      <c r="AC474" s="176">
        <f t="shared" ca="1" si="697"/>
        <v>8.8522407433613957E-6</v>
      </c>
      <c r="AD474" s="958">
        <f ca="1">AC474*Calculation_sheet!C$99</f>
        <v>5.3113444460168373E-6</v>
      </c>
      <c r="AE474" s="176">
        <f t="shared" ca="1" si="697"/>
        <v>3.5408962973445585E-6</v>
      </c>
      <c r="AF474" s="176">
        <f t="shared" ca="1" si="698"/>
        <v>8.8522407433613957E-6</v>
      </c>
      <c r="AG474" s="958">
        <f ca="1">AF474*User_sheet!B$77/100</f>
        <v>0</v>
      </c>
      <c r="AH474" s="313"/>
      <c r="AI474" s="2">
        <v>104</v>
      </c>
      <c r="AJ474" s="985"/>
      <c r="AK474" s="1020">
        <f t="shared" ca="1" si="690"/>
        <v>203.1708432849567</v>
      </c>
      <c r="AL474" s="954">
        <f ca="1">AK474/'103'!I$24</f>
        <v>0.45720583580299679</v>
      </c>
      <c r="AM474" s="954">
        <f ca="1">0.8*(AK474*30+'104'!D$17*0.34*30*1)</f>
        <v>7795.8135188389615</v>
      </c>
      <c r="AN474" s="954">
        <f ca="1">IF(AM474&lt;User_sheet!B$50,Y474,0)</f>
        <v>8.8522407433613957E-6</v>
      </c>
      <c r="AO474" s="954">
        <f ca="1">20-(User_sheet!B$57/('Freestanding '!AK474+'104'!D$17*1*0.34))</f>
        <v>2.4521200167992525</v>
      </c>
      <c r="AP474" s="954">
        <f ca="1">IF(AO474&lt;User_sheet!B$59,0,BC474*AA474)</f>
        <v>0</v>
      </c>
      <c r="AQ474" s="985"/>
      <c r="AR474" s="2">
        <v>0.47</v>
      </c>
      <c r="AS474" s="2">
        <v>0.54</v>
      </c>
      <c r="AT474" s="2">
        <v>0.83</v>
      </c>
      <c r="AU474" s="2">
        <v>3.5</v>
      </c>
      <c r="AV474" s="2">
        <v>3.3</v>
      </c>
      <c r="AW474" s="2">
        <v>12848.541887298286</v>
      </c>
      <c r="AX474" s="2">
        <v>75022.04959166942</v>
      </c>
      <c r="AY474" s="2">
        <v>69245.59826015502</v>
      </c>
      <c r="AZ474" s="27">
        <v>0</v>
      </c>
      <c r="BA474" s="27">
        <v>0</v>
      </c>
      <c r="BB474" s="2">
        <v>0.75</v>
      </c>
      <c r="BC474" s="30">
        <v>0</v>
      </c>
      <c r="BD474" s="34">
        <v>1</v>
      </c>
      <c r="BE474" s="34">
        <v>0</v>
      </c>
      <c r="BF474" s="40">
        <v>0</v>
      </c>
      <c r="BG474" s="2">
        <v>0</v>
      </c>
      <c r="BH474" s="2">
        <v>1</v>
      </c>
      <c r="BI474" s="40">
        <v>0</v>
      </c>
      <c r="BJ474" s="2">
        <v>0</v>
      </c>
      <c r="BK474" s="2">
        <v>0</v>
      </c>
      <c r="BL474" s="2">
        <v>1</v>
      </c>
      <c r="BM474" s="40">
        <v>0</v>
      </c>
      <c r="BN474" s="958">
        <v>7.0000000000000007E-2</v>
      </c>
      <c r="BO474" s="50">
        <v>12</v>
      </c>
      <c r="BP474" s="1018">
        <f t="shared" ca="1" si="699"/>
        <v>162.63999999999999</v>
      </c>
      <c r="BQ474" s="1018">
        <f t="shared" ca="1" si="700"/>
        <v>285.02799999999996</v>
      </c>
      <c r="BR474" s="1018">
        <f t="shared" ca="1" si="701"/>
        <v>51.803914909975674</v>
      </c>
      <c r="BS474" s="1018">
        <f t="shared" ca="1" si="702"/>
        <v>115.89999999999998</v>
      </c>
      <c r="BT474" s="1018">
        <f t="shared" ca="1" si="703"/>
        <v>81.319999999999993</v>
      </c>
      <c r="BU474" s="1018">
        <f t="shared" ca="1" si="704"/>
        <v>22.93</v>
      </c>
      <c r="BV474" s="1018">
        <f t="shared" ca="1" si="705"/>
        <v>2.15</v>
      </c>
      <c r="BW474" s="1018">
        <v>0</v>
      </c>
      <c r="BX474" s="1018">
        <f t="shared" ca="1" si="706"/>
        <v>22.513722112891656</v>
      </c>
      <c r="BY474" s="1018">
        <f t="shared" ca="1" si="707"/>
        <v>57.229334308705177</v>
      </c>
      <c r="BZ474" s="1018">
        <f t="shared" ca="1" si="691"/>
        <v>19.47215409721413</v>
      </c>
      <c r="CA474" s="1018">
        <f t="shared" ca="1" si="692"/>
        <v>80.254999943821502</v>
      </c>
      <c r="CB474" s="1018">
        <f t="shared" ca="1" si="708"/>
        <v>4.5133587786259541</v>
      </c>
      <c r="CC474" s="1018">
        <f t="shared" si="693"/>
        <v>0</v>
      </c>
      <c r="CD474" s="1018">
        <f t="shared" ca="1" si="710"/>
        <v>203.1708432849567</v>
      </c>
      <c r="CE474" s="1018">
        <f t="shared" ca="1" si="709"/>
        <v>93.991926831362093</v>
      </c>
      <c r="CF474" s="1018">
        <f t="shared" ca="1" si="694"/>
        <v>8.914883103489565</v>
      </c>
      <c r="CG474" s="1018">
        <f t="shared" ca="1" si="695"/>
        <v>14842.923771985983</v>
      </c>
    </row>
    <row r="475" spans="4:85" x14ac:dyDescent="0.25">
      <c r="D475" s="473"/>
      <c r="E475" s="472"/>
      <c r="F475" s="473"/>
      <c r="G475" s="472" t="s">
        <v>11</v>
      </c>
      <c r="H475" s="477">
        <v>0.37480000000000002</v>
      </c>
      <c r="I475" s="472" t="s">
        <v>10</v>
      </c>
      <c r="J475" s="477">
        <v>1</v>
      </c>
      <c r="K475" s="476" t="s">
        <v>13</v>
      </c>
      <c r="L475" s="477">
        <v>1</v>
      </c>
      <c r="M475" s="473" t="s">
        <v>7</v>
      </c>
      <c r="N475" s="475">
        <v>0.125</v>
      </c>
      <c r="O475" s="473" t="s">
        <v>23</v>
      </c>
      <c r="P475" s="475">
        <v>1</v>
      </c>
      <c r="Q475" s="473" t="s">
        <v>7</v>
      </c>
      <c r="R475" s="475">
        <v>1</v>
      </c>
      <c r="S475" s="473"/>
      <c r="T475" s="483">
        <v>3.9601320213000004E-4</v>
      </c>
      <c r="U475" s="472" t="s">
        <v>49</v>
      </c>
      <c r="V475" s="176">
        <f t="shared" si="711"/>
        <v>3.9601320213000004E-4</v>
      </c>
      <c r="W475" s="176">
        <f>V475-V475*Calculation_sheet!E$69</f>
        <v>3.9601320213000004E-4</v>
      </c>
      <c r="X475" s="176">
        <f>W475-W475*Calculation_sheet!E$79</f>
        <v>3.9601320213000004E-4</v>
      </c>
      <c r="Y475" s="34">
        <f>X475/Calculation_sheet!M$67</f>
        <v>3.9602129918568527E-4</v>
      </c>
      <c r="Z475" s="176">
        <f ca="1">IF(AN475&gt;0,Y475*Calculation_sheet!C$87,0)</f>
        <v>0</v>
      </c>
      <c r="AA475" s="176">
        <f t="shared" ca="1" si="696"/>
        <v>3.9602129918568527E-4</v>
      </c>
      <c r="AB475" s="176">
        <f ca="1">IF(AP475&gt;0,AA475*Calculation_sheet!C$94,0)</f>
        <v>0</v>
      </c>
      <c r="AC475" s="176">
        <f t="shared" ca="1" si="697"/>
        <v>3.9602129918568527E-4</v>
      </c>
      <c r="AD475" s="958">
        <f ca="1">AC475*Calculation_sheet!C$99</f>
        <v>2.3761277951141115E-4</v>
      </c>
      <c r="AE475" s="176">
        <f t="shared" ca="1" si="697"/>
        <v>1.5840851967427412E-4</v>
      </c>
      <c r="AF475" s="176">
        <f t="shared" ca="1" si="698"/>
        <v>3.9602129918568527E-4</v>
      </c>
      <c r="AG475" s="958">
        <f ca="1">AF475*User_sheet!B$77/100</f>
        <v>0</v>
      </c>
      <c r="AH475" s="313"/>
      <c r="AI475" s="2">
        <v>104</v>
      </c>
      <c r="AJ475" s="985"/>
      <c r="AK475" s="1020">
        <f t="shared" ca="1" si="690"/>
        <v>203.1708432849567</v>
      </c>
      <c r="AL475" s="954">
        <f ca="1">AK475/'103'!I$24</f>
        <v>0.45720583580299679</v>
      </c>
      <c r="AM475" s="954">
        <f ca="1">0.8*(AK475*30+'104'!D$17*0.34*30*1)</f>
        <v>7795.8135188389615</v>
      </c>
      <c r="AN475" s="954">
        <f ca="1">IF(AM475&lt;User_sheet!B$50,Y475,0)</f>
        <v>3.9602129918568527E-4</v>
      </c>
      <c r="AO475" s="954">
        <f ca="1">20-(User_sheet!B$57/('Freestanding '!AK475+'104'!D$17*1*0.34))</f>
        <v>2.4521200167992525</v>
      </c>
      <c r="AP475" s="954">
        <f ca="1">IF(AO475&lt;User_sheet!B$59,0,BC475*AA475)</f>
        <v>0</v>
      </c>
      <c r="AQ475" s="985"/>
      <c r="AR475" s="2">
        <v>0.47</v>
      </c>
      <c r="AS475" s="2">
        <v>0.54</v>
      </c>
      <c r="AT475" s="2">
        <v>0.83</v>
      </c>
      <c r="AU475" s="2">
        <v>3.5</v>
      </c>
      <c r="AV475" s="2">
        <v>3.3</v>
      </c>
      <c r="AW475" s="2">
        <v>12848.541887298286</v>
      </c>
      <c r="AX475" s="2">
        <v>75022.04959166942</v>
      </c>
      <c r="AY475" s="2">
        <v>69245.59826015502</v>
      </c>
      <c r="AZ475" s="27">
        <v>0</v>
      </c>
      <c r="BA475" s="27">
        <v>0</v>
      </c>
      <c r="BB475" s="2">
        <v>0.75</v>
      </c>
      <c r="BC475" s="30">
        <v>0</v>
      </c>
      <c r="BD475" s="34">
        <v>0</v>
      </c>
      <c r="BE475" s="34">
        <v>1</v>
      </c>
      <c r="BF475" s="40">
        <v>0</v>
      </c>
      <c r="BG475" s="2">
        <v>0</v>
      </c>
      <c r="BH475" s="2">
        <v>0</v>
      </c>
      <c r="BI475" s="40">
        <v>1</v>
      </c>
      <c r="BJ475" s="2">
        <v>0</v>
      </c>
      <c r="BK475" s="2">
        <v>0</v>
      </c>
      <c r="BL475" s="2">
        <v>1</v>
      </c>
      <c r="BM475" s="40">
        <v>0</v>
      </c>
      <c r="BN475" s="958">
        <v>7.0000000000000007E-2</v>
      </c>
      <c r="BO475" s="50">
        <v>12</v>
      </c>
      <c r="BP475" s="1018">
        <f t="shared" ca="1" si="699"/>
        <v>162.63999999999999</v>
      </c>
      <c r="BQ475" s="1018">
        <f t="shared" ca="1" si="700"/>
        <v>285.02799999999996</v>
      </c>
      <c r="BR475" s="1018">
        <f t="shared" ca="1" si="701"/>
        <v>51.803914909975674</v>
      </c>
      <c r="BS475" s="1018">
        <f t="shared" ca="1" si="702"/>
        <v>115.89999999999998</v>
      </c>
      <c r="BT475" s="1018">
        <f t="shared" ca="1" si="703"/>
        <v>81.319999999999993</v>
      </c>
      <c r="BU475" s="1018">
        <f t="shared" ca="1" si="704"/>
        <v>22.93</v>
      </c>
      <c r="BV475" s="1018">
        <f t="shared" ca="1" si="705"/>
        <v>2.15</v>
      </c>
      <c r="BW475" s="1018">
        <v>0</v>
      </c>
      <c r="BX475" s="1018">
        <f t="shared" ca="1" si="706"/>
        <v>22.513722112891656</v>
      </c>
      <c r="BY475" s="1018">
        <f t="shared" ca="1" si="707"/>
        <v>57.229334308705177</v>
      </c>
      <c r="BZ475" s="1018">
        <f t="shared" ca="1" si="691"/>
        <v>19.47215409721413</v>
      </c>
      <c r="CA475" s="1018">
        <f t="shared" ca="1" si="692"/>
        <v>80.254999943821502</v>
      </c>
      <c r="CB475" s="1018">
        <f t="shared" ca="1" si="708"/>
        <v>4.5133587786259541</v>
      </c>
      <c r="CC475" s="1018">
        <f t="shared" si="693"/>
        <v>0</v>
      </c>
      <c r="CD475" s="1018">
        <f t="shared" ca="1" si="710"/>
        <v>203.1708432849567</v>
      </c>
      <c r="CE475" s="1018">
        <f t="shared" ca="1" si="709"/>
        <v>93.991926831362093</v>
      </c>
      <c r="CF475" s="1018">
        <f t="shared" ca="1" si="694"/>
        <v>8.914883103489565</v>
      </c>
      <c r="CG475" s="1018">
        <f t="shared" ca="1" si="695"/>
        <v>14842.923771985983</v>
      </c>
    </row>
    <row r="476" spans="4:85" s="480" customFormat="1" x14ac:dyDescent="0.25">
      <c r="D476" s="481"/>
      <c r="F476" s="481"/>
      <c r="H476" s="481"/>
      <c r="J476" s="481"/>
      <c r="M476" s="481"/>
      <c r="N476" s="481"/>
      <c r="O476" s="481"/>
      <c r="P476" s="481"/>
      <c r="Q476" s="481"/>
      <c r="R476" s="481"/>
      <c r="S476" s="481"/>
      <c r="T476" s="484"/>
      <c r="V476" s="292"/>
      <c r="W476" s="292"/>
      <c r="X476" s="292"/>
      <c r="Y476" s="277"/>
      <c r="Z476" s="292"/>
      <c r="AA476" s="292"/>
      <c r="AB476" s="292"/>
      <c r="AC476" s="292"/>
      <c r="AD476" s="277"/>
      <c r="AE476" s="292"/>
      <c r="AF476" s="292"/>
      <c r="AG476" s="277"/>
      <c r="AH476" s="313"/>
      <c r="AI476" s="482"/>
      <c r="AJ476" s="985"/>
      <c r="AK476" s="1020">
        <f t="shared" si="690"/>
        <v>0</v>
      </c>
      <c r="AL476" s="955"/>
      <c r="AM476" s="955"/>
      <c r="AN476" s="955"/>
      <c r="AO476" s="955"/>
      <c r="AP476" s="955"/>
      <c r="AQ476" s="985"/>
      <c r="AR476" s="482"/>
      <c r="AS476" s="482"/>
      <c r="AT476" s="482"/>
      <c r="AU476" s="482"/>
      <c r="AV476" s="482"/>
      <c r="AW476" s="482"/>
      <c r="AX476" s="482"/>
      <c r="AY476" s="482"/>
      <c r="AZ476" s="482"/>
      <c r="BA476" s="482"/>
      <c r="BB476" s="482"/>
      <c r="BC476" s="45"/>
      <c r="BD476" s="277"/>
      <c r="BE476" s="277"/>
      <c r="BF476" s="49"/>
      <c r="BG476" s="482"/>
      <c r="BH476" s="482"/>
      <c r="BI476" s="49"/>
      <c r="BJ476" s="482"/>
      <c r="BK476" s="482"/>
      <c r="BL476" s="482"/>
      <c r="BM476" s="49"/>
      <c r="BN476" s="277"/>
      <c r="BO476" s="49"/>
      <c r="BP476" s="928"/>
      <c r="BQ476" s="928"/>
      <c r="BR476" s="928"/>
      <c r="BS476" s="928"/>
      <c r="BT476" s="928"/>
      <c r="BU476" s="928"/>
      <c r="BV476" s="928"/>
      <c r="BW476" s="928"/>
      <c r="BX476" s="928"/>
      <c r="BY476" s="928"/>
      <c r="BZ476" s="928"/>
      <c r="CA476" s="928"/>
      <c r="CB476" s="928"/>
      <c r="CC476" s="928"/>
      <c r="CD476" s="928"/>
      <c r="CE476" s="928"/>
      <c r="CF476" s="928"/>
      <c r="CG476" s="928"/>
    </row>
    <row r="477" spans="4:85" x14ac:dyDescent="0.25">
      <c r="D477" s="1"/>
      <c r="F477" s="1"/>
      <c r="G477" s="3"/>
      <c r="H477" s="6"/>
      <c r="I477" s="3"/>
      <c r="J477" s="6"/>
      <c r="K477" s="8"/>
      <c r="L477" s="6"/>
      <c r="M477" s="6"/>
      <c r="N477" s="6"/>
      <c r="O477" s="6"/>
      <c r="P477" s="6"/>
      <c r="Q477" s="6" t="s">
        <v>16</v>
      </c>
      <c r="R477" s="4"/>
      <c r="S477" s="1"/>
      <c r="T477" s="77"/>
      <c r="X477" s="176">
        <f>W467-X467</f>
        <v>0</v>
      </c>
      <c r="Y477" s="34">
        <f>X477/Calculation_sheet!M$67</f>
        <v>0</v>
      </c>
      <c r="Z477" s="176">
        <f ca="1">IF(AN477&gt;0,Y477*Calculation_sheet!C$87,0)</f>
        <v>0</v>
      </c>
      <c r="AA477" s="176">
        <f t="shared" ref="AA477:AA485" ca="1" si="712">Y477-Z477</f>
        <v>0</v>
      </c>
      <c r="AB477" s="176">
        <f ca="1">IF(AP477&gt;0,AA477*Calculation_sheet!C$94,0)</f>
        <v>0</v>
      </c>
      <c r="AC477" s="176">
        <f t="shared" ref="AC477:AE485" ca="1" si="713">AA477-AB477</f>
        <v>0</v>
      </c>
      <c r="AD477" s="958">
        <f ca="1">AC477*Calculation_sheet!C$99</f>
        <v>0</v>
      </c>
      <c r="AE477" s="176">
        <f t="shared" ca="1" si="713"/>
        <v>0</v>
      </c>
      <c r="AF477" s="176">
        <f t="shared" ref="AF477:AF485" ca="1" si="714">Y477-AB477</f>
        <v>0</v>
      </c>
      <c r="AG477" s="958">
        <f ca="1">AF477*User_sheet!B$77/100</f>
        <v>0</v>
      </c>
      <c r="AH477" s="313"/>
      <c r="AI477" s="2">
        <v>104</v>
      </c>
      <c r="AJ477" s="985"/>
      <c r="AK477" s="1020">
        <f t="shared" ca="1" si="690"/>
        <v>161.96820961110492</v>
      </c>
      <c r="AL477" s="954">
        <f ca="1">AK477/'103'!I$24</f>
        <v>0.36448542247224736</v>
      </c>
      <c r="AM477" s="954">
        <f ca="1">0.8*(AK477*30+'104'!D$17*0.34*30*1)</f>
        <v>6806.9503106665188</v>
      </c>
      <c r="AN477" s="954">
        <f ca="1">IF(AM477&lt;User_sheet!B$50,Y477,0)</f>
        <v>0</v>
      </c>
      <c r="AO477" s="954">
        <f ca="1">20-(User_sheet!B$57/('Freestanding '!AK477+'104'!D$17*1*0.34))</f>
        <v>-9.7105716437191347E-2</v>
      </c>
      <c r="AP477" s="954">
        <f ca="1">IF(AO477&lt;User_sheet!B$59,0,BC477*AA477)</f>
        <v>0</v>
      </c>
      <c r="AQ477" s="985"/>
      <c r="AR477" s="2">
        <v>0.32</v>
      </c>
      <c r="AS477" s="2">
        <v>0.54</v>
      </c>
      <c r="AT477" s="2">
        <v>0.83</v>
      </c>
      <c r="AU477" s="2">
        <v>2</v>
      </c>
      <c r="AV477" s="2">
        <v>3.3</v>
      </c>
      <c r="AW477" s="2">
        <v>14356</v>
      </c>
      <c r="AX477" s="2">
        <v>75022.04959166942</v>
      </c>
      <c r="AY477" s="2">
        <v>69245.59826015502</v>
      </c>
      <c r="AZ477" s="27">
        <v>0</v>
      </c>
      <c r="BA477" s="27">
        <v>0</v>
      </c>
      <c r="BB477" s="2">
        <v>0.6</v>
      </c>
      <c r="BC477" s="30">
        <v>1</v>
      </c>
      <c r="BD477" s="34">
        <v>0</v>
      </c>
      <c r="BE477" s="34">
        <v>0</v>
      </c>
      <c r="BF477" s="40">
        <v>0</v>
      </c>
      <c r="BG477" s="2">
        <v>1</v>
      </c>
      <c r="BH477" s="2">
        <v>0</v>
      </c>
      <c r="BI477" s="40">
        <v>0</v>
      </c>
      <c r="BJ477" s="2">
        <v>1</v>
      </c>
      <c r="BK477" s="2">
        <v>0</v>
      </c>
      <c r="BL477" s="2">
        <v>0</v>
      </c>
      <c r="BM477" s="40">
        <v>0</v>
      </c>
      <c r="BN477" s="958">
        <v>7.0000000000000007E-2</v>
      </c>
      <c r="BO477" s="50">
        <v>12</v>
      </c>
      <c r="BP477" s="1018">
        <f t="shared" ref="BP477:BP485" ca="1" si="715">INDIRECT("'"&amp;AI477&amp;"'!"&amp;"B2")</f>
        <v>162.63999999999999</v>
      </c>
      <c r="BQ477" s="1018">
        <f t="shared" ref="BQ477:BQ485" ca="1" si="716">INDIRECT("'"&amp;AI477&amp;"'!"&amp;"C12")+INDIRECT("'"&amp;AI477&amp;"'!"&amp;"C13")+INDIRECT("'"&amp;AI477&amp;"'!"&amp;"C14")+INDIRECT("'"&amp;AI477&amp;"'!"&amp;"C15")+INDIRECT("'"&amp;AI477&amp;"'!"&amp;"C17")</f>
        <v>285.02799999999996</v>
      </c>
      <c r="BR477" s="1018">
        <f t="shared" ref="BR477:BR485" ca="1" si="717">INDIRECT("'"&amp;AI477&amp;"'!"&amp;"G5")</f>
        <v>51.803914909975674</v>
      </c>
      <c r="BS477" s="1018">
        <f t="shared" ref="BS477:BS485" ca="1" si="718">INDIRECT("'"&amp;AI477&amp;"'!"&amp;"G4")</f>
        <v>115.89999999999998</v>
      </c>
      <c r="BT477" s="1018">
        <f t="shared" ref="BT477:BT485" ca="1" si="719">INDIRECT("'"&amp;AI477&amp;"'!"&amp;"G6")</f>
        <v>81.319999999999993</v>
      </c>
      <c r="BU477" s="1018">
        <f t="shared" ref="BU477:BU485" ca="1" si="720">INDIRECT("'"&amp;AI477&amp;"'!"&amp;"G2")</f>
        <v>22.93</v>
      </c>
      <c r="BV477" s="1018">
        <f t="shared" ref="BV477:BV485" ca="1" si="721">INDIRECT("'"&amp;AI477&amp;"'!"&amp;"G3")</f>
        <v>2.15</v>
      </c>
      <c r="BW477" s="1018">
        <v>0</v>
      </c>
      <c r="BX477" s="1018">
        <f t="shared" ref="BX477:BX485" ca="1" si="722">IF(BR477=0,0,1/(1/(BR477*$BY$3)+1/(BR477*AR477)+1/(BR477*$BY$4)))</f>
        <v>15.70608840120536</v>
      </c>
      <c r="BY477" s="1018">
        <f t="shared" ref="BY477:BY485" ca="1" si="723">IF(BS477=0,0,1/(1/(BS477*$BY$3)+1/(BS477*AS477)+1/(BS477*$BY$4)))</f>
        <v>57.229334308705177</v>
      </c>
      <c r="BZ477" s="1018">
        <f t="shared" ca="1" si="691"/>
        <v>19.47215409721413</v>
      </c>
      <c r="CA477" s="1018">
        <f t="shared" ca="1" si="692"/>
        <v>45.859999981655996</v>
      </c>
      <c r="CB477" s="1018">
        <f t="shared" ref="CB477:CB485" ca="1" si="724">IF(BV477=0,0,1/(1/(BV477*$BY$3)+1/(BV477*AV477)+1/(BV477*$BY$4)))</f>
        <v>4.5133587786259541</v>
      </c>
      <c r="CC477" s="1018">
        <f t="shared" si="693"/>
        <v>0</v>
      </c>
      <c r="CD477" s="1018">
        <f ca="1">SUM(BX477:CC477)+(BR477+BS477+BT477+BU477+BV477)*BN477</f>
        <v>161.96820961110492</v>
      </c>
      <c r="CE477" s="1018">
        <f t="shared" ref="CE477:CE485" ca="1" si="725">0.34*BO477*(1/25)^0.66*(BR477+BS477+BU477+BV477)</f>
        <v>93.991926831362093</v>
      </c>
      <c r="CF477" s="1018">
        <f t="shared" ca="1" si="694"/>
        <v>7.6788040932740103</v>
      </c>
      <c r="CG477" s="1018">
        <f t="shared" ca="1" si="695"/>
        <v>12784.901663137496</v>
      </c>
    </row>
    <row r="478" spans="4:85" x14ac:dyDescent="0.25">
      <c r="D478" s="1"/>
      <c r="F478" s="1"/>
      <c r="G478" s="3"/>
      <c r="H478" s="6"/>
      <c r="I478" s="3"/>
      <c r="J478" s="6"/>
      <c r="K478" s="8"/>
      <c r="L478" s="6"/>
      <c r="M478" s="6"/>
      <c r="N478" s="6"/>
      <c r="O478" s="6" t="s">
        <v>18</v>
      </c>
      <c r="P478" s="4"/>
      <c r="Q478" s="6" t="s">
        <v>7</v>
      </c>
      <c r="R478" s="4"/>
      <c r="S478" s="1"/>
      <c r="T478" s="77"/>
      <c r="X478" s="176">
        <f t="shared" ref="X478:X485" si="726">W468-X468</f>
        <v>0</v>
      </c>
      <c r="Y478" s="34">
        <f>X478/Calculation_sheet!M$67</f>
        <v>0</v>
      </c>
      <c r="Z478" s="176">
        <f ca="1">IF(AN478&gt;0,Y478*Calculation_sheet!C$87,0)</f>
        <v>0</v>
      </c>
      <c r="AA478" s="176">
        <f t="shared" ca="1" si="712"/>
        <v>0</v>
      </c>
      <c r="AB478" s="176">
        <f ca="1">IF(AP478&gt;0,AA478*Calculation_sheet!C$94,0)</f>
        <v>0</v>
      </c>
      <c r="AC478" s="176">
        <f t="shared" ca="1" si="713"/>
        <v>0</v>
      </c>
      <c r="AD478" s="958">
        <f ca="1">AC478*Calculation_sheet!C$99</f>
        <v>0</v>
      </c>
      <c r="AE478" s="176">
        <f t="shared" ca="1" si="713"/>
        <v>0</v>
      </c>
      <c r="AF478" s="176">
        <f t="shared" ca="1" si="714"/>
        <v>0</v>
      </c>
      <c r="AG478" s="958">
        <f ca="1">AF478*User_sheet!B$77/100</f>
        <v>0</v>
      </c>
      <c r="AH478" s="313"/>
      <c r="AI478" s="2">
        <v>104</v>
      </c>
      <c r="AJ478" s="985"/>
      <c r="AK478" s="1020">
        <f t="shared" ca="1" si="690"/>
        <v>161.96820961110492</v>
      </c>
      <c r="AL478" s="954">
        <f ca="1">AK478/'103'!I$24</f>
        <v>0.36448542247224736</v>
      </c>
      <c r="AM478" s="954">
        <f ca="1">0.8*(AK478*30+'104'!D$17*0.34*30*1)</f>
        <v>6806.9503106665188</v>
      </c>
      <c r="AN478" s="954">
        <f ca="1">IF(AM478&lt;User_sheet!B$50,Y478,0)</f>
        <v>0</v>
      </c>
      <c r="AO478" s="954">
        <f ca="1">20-(User_sheet!B$57/('Freestanding '!AK478+'104'!D$17*1*0.34))</f>
        <v>-9.7105716437191347E-2</v>
      </c>
      <c r="AP478" s="954">
        <f ca="1">IF(AO478&lt;User_sheet!B$59,0,BC478*AA478)</f>
        <v>0</v>
      </c>
      <c r="AQ478" s="985"/>
      <c r="AR478" s="2">
        <v>0.32</v>
      </c>
      <c r="AS478" s="2">
        <v>0.54</v>
      </c>
      <c r="AT478" s="2">
        <v>0.83</v>
      </c>
      <c r="AU478" s="2">
        <v>2</v>
      </c>
      <c r="AV478" s="2">
        <v>3.3</v>
      </c>
      <c r="AW478" s="2">
        <v>14356</v>
      </c>
      <c r="AX478" s="2">
        <v>75022.04959166942</v>
      </c>
      <c r="AY478" s="2">
        <v>69245.59826015502</v>
      </c>
      <c r="AZ478" s="27">
        <v>0</v>
      </c>
      <c r="BA478" s="27">
        <v>0</v>
      </c>
      <c r="BB478" s="2">
        <v>0.6</v>
      </c>
      <c r="BC478" s="30">
        <v>1</v>
      </c>
      <c r="BD478" s="34">
        <v>0</v>
      </c>
      <c r="BE478" s="34">
        <v>0</v>
      </c>
      <c r="BF478" s="40">
        <v>0</v>
      </c>
      <c r="BG478" s="2">
        <v>1</v>
      </c>
      <c r="BH478" s="2">
        <v>0</v>
      </c>
      <c r="BI478" s="40">
        <v>0</v>
      </c>
      <c r="BJ478" s="2">
        <v>0</v>
      </c>
      <c r="BK478" s="2">
        <v>0</v>
      </c>
      <c r="BL478" s="2">
        <v>1</v>
      </c>
      <c r="BM478" s="40">
        <v>0</v>
      </c>
      <c r="BN478" s="958">
        <v>7.0000000000000007E-2</v>
      </c>
      <c r="BO478" s="50">
        <v>12</v>
      </c>
      <c r="BP478" s="1018">
        <f t="shared" ca="1" si="715"/>
        <v>162.63999999999999</v>
      </c>
      <c r="BQ478" s="1018">
        <f t="shared" ca="1" si="716"/>
        <v>285.02799999999996</v>
      </c>
      <c r="BR478" s="1018">
        <f t="shared" ca="1" si="717"/>
        <v>51.803914909975674</v>
      </c>
      <c r="BS478" s="1018">
        <f t="shared" ca="1" si="718"/>
        <v>115.89999999999998</v>
      </c>
      <c r="BT478" s="1018">
        <f t="shared" ca="1" si="719"/>
        <v>81.319999999999993</v>
      </c>
      <c r="BU478" s="1018">
        <f t="shared" ca="1" si="720"/>
        <v>22.93</v>
      </c>
      <c r="BV478" s="1018">
        <f t="shared" ca="1" si="721"/>
        <v>2.15</v>
      </c>
      <c r="BW478" s="1018">
        <v>0</v>
      </c>
      <c r="BX478" s="1018">
        <f t="shared" ca="1" si="722"/>
        <v>15.70608840120536</v>
      </c>
      <c r="BY478" s="1018">
        <f t="shared" ca="1" si="723"/>
        <v>57.229334308705177</v>
      </c>
      <c r="BZ478" s="1018">
        <f t="shared" ca="1" si="691"/>
        <v>19.47215409721413</v>
      </c>
      <c r="CA478" s="1018">
        <f t="shared" ca="1" si="692"/>
        <v>45.859999981655996</v>
      </c>
      <c r="CB478" s="1018">
        <f t="shared" ca="1" si="724"/>
        <v>4.5133587786259541</v>
      </c>
      <c r="CC478" s="1018">
        <f t="shared" si="693"/>
        <v>0</v>
      </c>
      <c r="CD478" s="1018">
        <f t="shared" ref="CD478:CD485" ca="1" si="727">SUM(BX478:CC478)+(BR478+BS478+BT478+BU478+BV478)*BN478</f>
        <v>161.96820961110492</v>
      </c>
      <c r="CE478" s="1018">
        <f t="shared" ca="1" si="725"/>
        <v>93.991926831362093</v>
      </c>
      <c r="CF478" s="1018">
        <f t="shared" ca="1" si="694"/>
        <v>7.6788040932740103</v>
      </c>
      <c r="CG478" s="1018">
        <f t="shared" ca="1" si="695"/>
        <v>12784.901663137496</v>
      </c>
    </row>
    <row r="479" spans="4:85" x14ac:dyDescent="0.25">
      <c r="D479" s="1"/>
      <c r="F479" s="1"/>
      <c r="G479" s="3"/>
      <c r="H479" s="6"/>
      <c r="I479" s="3"/>
      <c r="J479" s="6"/>
      <c r="K479" s="8"/>
      <c r="L479" s="6"/>
      <c r="M479" s="6"/>
      <c r="N479" s="6"/>
      <c r="O479" s="6"/>
      <c r="P479" s="6"/>
      <c r="Q479" s="6" t="s">
        <v>16</v>
      </c>
      <c r="R479" s="4"/>
      <c r="S479" s="1"/>
      <c r="T479" s="77"/>
      <c r="X479" s="176">
        <f t="shared" si="726"/>
        <v>0</v>
      </c>
      <c r="Y479" s="34">
        <f>X479/Calculation_sheet!M$67</f>
        <v>0</v>
      </c>
      <c r="Z479" s="176">
        <f ca="1">IF(AN479&gt;0,Y479*Calculation_sheet!C$87,0)</f>
        <v>0</v>
      </c>
      <c r="AA479" s="176">
        <f t="shared" ca="1" si="712"/>
        <v>0</v>
      </c>
      <c r="AB479" s="176">
        <f ca="1">IF(AP479&gt;0,AA479*Calculation_sheet!C$94,0)</f>
        <v>0</v>
      </c>
      <c r="AC479" s="176">
        <f t="shared" ca="1" si="713"/>
        <v>0</v>
      </c>
      <c r="AD479" s="958">
        <f ca="1">AC479*Calculation_sheet!C$99</f>
        <v>0</v>
      </c>
      <c r="AE479" s="176">
        <f t="shared" ca="1" si="713"/>
        <v>0</v>
      </c>
      <c r="AF479" s="176">
        <f t="shared" ca="1" si="714"/>
        <v>0</v>
      </c>
      <c r="AG479" s="958">
        <f ca="1">AF479*User_sheet!B$77/100</f>
        <v>0</v>
      </c>
      <c r="AH479" s="313"/>
      <c r="AI479" s="2">
        <v>104</v>
      </c>
      <c r="AJ479" s="985"/>
      <c r="AK479" s="1020">
        <f t="shared" ca="1" si="690"/>
        <v>161.96820961110492</v>
      </c>
      <c r="AL479" s="954">
        <f ca="1">AK479/'103'!I$24</f>
        <v>0.36448542247224736</v>
      </c>
      <c r="AM479" s="954">
        <f ca="1">0.8*(AK479*30+'104'!D$17*0.34*30*1)</f>
        <v>6806.9503106665188</v>
      </c>
      <c r="AN479" s="954">
        <f ca="1">IF(AM479&lt;User_sheet!B$50,Y479,0)</f>
        <v>0</v>
      </c>
      <c r="AO479" s="954">
        <f ca="1">20-(User_sheet!B$57/('Freestanding '!AK479+'104'!D$17*1*0.34))</f>
        <v>-9.7105716437191347E-2</v>
      </c>
      <c r="AP479" s="954">
        <f ca="1">IF(AO479&lt;User_sheet!B$59,0,BC479*AA479)</f>
        <v>0</v>
      </c>
      <c r="AQ479" s="985"/>
      <c r="AR479" s="2">
        <v>0.32</v>
      </c>
      <c r="AS479" s="2">
        <v>0.54</v>
      </c>
      <c r="AT479" s="2">
        <v>0.83</v>
      </c>
      <c r="AU479" s="2">
        <v>2</v>
      </c>
      <c r="AV479" s="2">
        <v>3.3</v>
      </c>
      <c r="AW479" s="2">
        <v>14356</v>
      </c>
      <c r="AX479" s="2">
        <v>75022.04959166942</v>
      </c>
      <c r="AY479" s="2">
        <v>69245.59826015502</v>
      </c>
      <c r="AZ479" s="27">
        <v>0</v>
      </c>
      <c r="BA479" s="27">
        <v>0</v>
      </c>
      <c r="BB479" s="2">
        <v>0.6</v>
      </c>
      <c r="BC479" s="30">
        <v>1</v>
      </c>
      <c r="BD479" s="34">
        <v>0</v>
      </c>
      <c r="BE479" s="34">
        <v>0</v>
      </c>
      <c r="BF479" s="40">
        <v>0</v>
      </c>
      <c r="BG479" s="2">
        <v>0</v>
      </c>
      <c r="BH479" s="2">
        <v>1</v>
      </c>
      <c r="BI479" s="40">
        <v>0</v>
      </c>
      <c r="BJ479" s="2">
        <v>1</v>
      </c>
      <c r="BK479" s="2">
        <v>0</v>
      </c>
      <c r="BL479" s="2">
        <v>0</v>
      </c>
      <c r="BM479" s="40">
        <v>0</v>
      </c>
      <c r="BN479" s="958">
        <v>7.0000000000000007E-2</v>
      </c>
      <c r="BO479" s="50">
        <v>12</v>
      </c>
      <c r="BP479" s="1018">
        <f t="shared" ca="1" si="715"/>
        <v>162.63999999999999</v>
      </c>
      <c r="BQ479" s="1018">
        <f t="shared" ca="1" si="716"/>
        <v>285.02799999999996</v>
      </c>
      <c r="BR479" s="1018">
        <f t="shared" ca="1" si="717"/>
        <v>51.803914909975674</v>
      </c>
      <c r="BS479" s="1018">
        <f t="shared" ca="1" si="718"/>
        <v>115.89999999999998</v>
      </c>
      <c r="BT479" s="1018">
        <f t="shared" ca="1" si="719"/>
        <v>81.319999999999993</v>
      </c>
      <c r="BU479" s="1018">
        <f t="shared" ca="1" si="720"/>
        <v>22.93</v>
      </c>
      <c r="BV479" s="1018">
        <f t="shared" ca="1" si="721"/>
        <v>2.15</v>
      </c>
      <c r="BW479" s="1018">
        <v>0</v>
      </c>
      <c r="BX479" s="1018">
        <f t="shared" ca="1" si="722"/>
        <v>15.70608840120536</v>
      </c>
      <c r="BY479" s="1018">
        <f t="shared" ca="1" si="723"/>
        <v>57.229334308705177</v>
      </c>
      <c r="BZ479" s="1018">
        <f t="shared" ca="1" si="691"/>
        <v>19.47215409721413</v>
      </c>
      <c r="CA479" s="1018">
        <f t="shared" ca="1" si="692"/>
        <v>45.859999981655996</v>
      </c>
      <c r="CB479" s="1018">
        <f t="shared" ca="1" si="724"/>
        <v>4.5133587786259541</v>
      </c>
      <c r="CC479" s="1018">
        <f t="shared" si="693"/>
        <v>0</v>
      </c>
      <c r="CD479" s="1018">
        <f t="shared" ca="1" si="727"/>
        <v>161.96820961110492</v>
      </c>
      <c r="CE479" s="1018">
        <f t="shared" ca="1" si="725"/>
        <v>93.991926831362093</v>
      </c>
      <c r="CF479" s="1018">
        <f t="shared" ca="1" si="694"/>
        <v>7.6788040932740103</v>
      </c>
      <c r="CG479" s="1018">
        <f t="shared" ca="1" si="695"/>
        <v>12784.901663137496</v>
      </c>
    </row>
    <row r="480" spans="4:85" x14ac:dyDescent="0.25">
      <c r="D480" s="1"/>
      <c r="F480" s="1"/>
      <c r="G480" s="3"/>
      <c r="H480" s="6"/>
      <c r="I480" s="3"/>
      <c r="J480" s="3" t="s">
        <v>144</v>
      </c>
      <c r="K480" s="8"/>
      <c r="L480" s="6"/>
      <c r="M480" s="6" t="s">
        <v>16</v>
      </c>
      <c r="N480" s="4"/>
      <c r="O480" s="6" t="s">
        <v>19</v>
      </c>
      <c r="P480" s="4"/>
      <c r="Q480" s="6" t="s">
        <v>7</v>
      </c>
      <c r="R480" s="4"/>
      <c r="S480" s="1"/>
      <c r="T480" s="77"/>
      <c r="X480" s="176">
        <f t="shared" si="726"/>
        <v>0</v>
      </c>
      <c r="Y480" s="34">
        <f>X480/Calculation_sheet!M$67</f>
        <v>0</v>
      </c>
      <c r="Z480" s="176">
        <f ca="1">IF(AN480&gt;0,Y480*Calculation_sheet!C$87,0)</f>
        <v>0</v>
      </c>
      <c r="AA480" s="176">
        <f t="shared" ca="1" si="712"/>
        <v>0</v>
      </c>
      <c r="AB480" s="176">
        <f ca="1">IF(AP480&gt;0,AA480*Calculation_sheet!C$94,0)</f>
        <v>0</v>
      </c>
      <c r="AC480" s="176">
        <f t="shared" ca="1" si="713"/>
        <v>0</v>
      </c>
      <c r="AD480" s="958">
        <f ca="1">AC480*Calculation_sheet!C$99</f>
        <v>0</v>
      </c>
      <c r="AE480" s="176">
        <f t="shared" ca="1" si="713"/>
        <v>0</v>
      </c>
      <c r="AF480" s="176">
        <f t="shared" ca="1" si="714"/>
        <v>0</v>
      </c>
      <c r="AG480" s="958">
        <f ca="1">AF480*User_sheet!B$77/100</f>
        <v>0</v>
      </c>
      <c r="AH480" s="313"/>
      <c r="AI480" s="2">
        <v>104</v>
      </c>
      <c r="AJ480" s="985"/>
      <c r="AK480" s="1020">
        <f t="shared" ca="1" si="690"/>
        <v>161.96820961110492</v>
      </c>
      <c r="AL480" s="954">
        <f ca="1">AK480/'103'!I$24</f>
        <v>0.36448542247224736</v>
      </c>
      <c r="AM480" s="954">
        <f ca="1">0.8*(AK480*30+'104'!D$17*0.34*30*1)</f>
        <v>6806.9503106665188</v>
      </c>
      <c r="AN480" s="954">
        <f ca="1">IF(AM480&lt;User_sheet!B$50,Y480,0)</f>
        <v>0</v>
      </c>
      <c r="AO480" s="954">
        <f ca="1">20-(User_sheet!B$57/('Freestanding '!AK480+'104'!D$17*1*0.34))</f>
        <v>-9.7105716437191347E-2</v>
      </c>
      <c r="AP480" s="954">
        <f ca="1">IF(AO480&lt;User_sheet!B$59,0,BC480*AA480)</f>
        <v>0</v>
      </c>
      <c r="AQ480" s="985"/>
      <c r="AR480" s="2">
        <v>0.32</v>
      </c>
      <c r="AS480" s="2">
        <v>0.54</v>
      </c>
      <c r="AT480" s="2">
        <v>0.83</v>
      </c>
      <c r="AU480" s="2">
        <v>2</v>
      </c>
      <c r="AV480" s="2">
        <v>3.3</v>
      </c>
      <c r="AW480" s="2">
        <v>14356</v>
      </c>
      <c r="AX480" s="2">
        <v>75022.04959166942</v>
      </c>
      <c r="AY480" s="2">
        <v>69245.59826015502</v>
      </c>
      <c r="AZ480" s="27">
        <v>0</v>
      </c>
      <c r="BA480" s="27">
        <v>0</v>
      </c>
      <c r="BB480" s="2">
        <v>0.6</v>
      </c>
      <c r="BC480" s="30">
        <v>1</v>
      </c>
      <c r="BD480" s="34">
        <v>0</v>
      </c>
      <c r="BE480" s="34">
        <v>0</v>
      </c>
      <c r="BF480" s="40">
        <v>0</v>
      </c>
      <c r="BG480" s="2">
        <v>0</v>
      </c>
      <c r="BH480" s="2">
        <v>1</v>
      </c>
      <c r="BI480" s="40">
        <v>0</v>
      </c>
      <c r="BJ480" s="2">
        <v>0</v>
      </c>
      <c r="BK480" s="2">
        <v>0</v>
      </c>
      <c r="BL480" s="2">
        <v>1</v>
      </c>
      <c r="BM480" s="40">
        <v>0</v>
      </c>
      <c r="BN480" s="958">
        <v>7.0000000000000007E-2</v>
      </c>
      <c r="BO480" s="50">
        <v>12</v>
      </c>
      <c r="BP480" s="1018">
        <f t="shared" ca="1" si="715"/>
        <v>162.63999999999999</v>
      </c>
      <c r="BQ480" s="1018">
        <f t="shared" ca="1" si="716"/>
        <v>285.02799999999996</v>
      </c>
      <c r="BR480" s="1018">
        <f t="shared" ca="1" si="717"/>
        <v>51.803914909975674</v>
      </c>
      <c r="BS480" s="1018">
        <f t="shared" ca="1" si="718"/>
        <v>115.89999999999998</v>
      </c>
      <c r="BT480" s="1018">
        <f t="shared" ca="1" si="719"/>
        <v>81.319999999999993</v>
      </c>
      <c r="BU480" s="1018">
        <f t="shared" ca="1" si="720"/>
        <v>22.93</v>
      </c>
      <c r="BV480" s="1018">
        <f t="shared" ca="1" si="721"/>
        <v>2.15</v>
      </c>
      <c r="BW480" s="1018">
        <v>0</v>
      </c>
      <c r="BX480" s="1018">
        <f t="shared" ca="1" si="722"/>
        <v>15.70608840120536</v>
      </c>
      <c r="BY480" s="1018">
        <f t="shared" ca="1" si="723"/>
        <v>57.229334308705177</v>
      </c>
      <c r="BZ480" s="1018">
        <f t="shared" ca="1" si="691"/>
        <v>19.47215409721413</v>
      </c>
      <c r="CA480" s="1018">
        <f t="shared" ca="1" si="692"/>
        <v>45.859999981655996</v>
      </c>
      <c r="CB480" s="1018">
        <f t="shared" ca="1" si="724"/>
        <v>4.5133587786259541</v>
      </c>
      <c r="CC480" s="1018">
        <f t="shared" si="693"/>
        <v>0</v>
      </c>
      <c r="CD480" s="1018">
        <f t="shared" ca="1" si="727"/>
        <v>161.96820961110492</v>
      </c>
      <c r="CE480" s="1018">
        <f t="shared" ca="1" si="725"/>
        <v>93.991926831362093</v>
      </c>
      <c r="CF480" s="1018">
        <f t="shared" ca="1" si="694"/>
        <v>7.6788040932740103</v>
      </c>
      <c r="CG480" s="1018">
        <f t="shared" ca="1" si="695"/>
        <v>12784.901663137496</v>
      </c>
    </row>
    <row r="481" spans="4:85" x14ac:dyDescent="0.25">
      <c r="D481" s="1"/>
      <c r="F481" s="1"/>
      <c r="G481" s="3"/>
      <c r="H481" s="6"/>
      <c r="I481" s="3"/>
      <c r="J481" s="6" t="s">
        <v>190</v>
      </c>
      <c r="K481" s="8"/>
      <c r="L481" s="6"/>
      <c r="M481" s="6"/>
      <c r="N481" s="1"/>
      <c r="O481" s="6"/>
      <c r="P481" s="6"/>
      <c r="Q481" s="6" t="s">
        <v>22</v>
      </c>
      <c r="R481" s="4"/>
      <c r="S481" s="1"/>
      <c r="T481" s="77"/>
      <c r="X481" s="176">
        <f t="shared" si="726"/>
        <v>0</v>
      </c>
      <c r="Y481" s="34">
        <f>X481/Calculation_sheet!M$67</f>
        <v>0</v>
      </c>
      <c r="Z481" s="176">
        <f ca="1">IF(AN481&gt;0,Y481*Calculation_sheet!C$87,0)</f>
        <v>0</v>
      </c>
      <c r="AA481" s="176">
        <f t="shared" ca="1" si="712"/>
        <v>0</v>
      </c>
      <c r="AB481" s="176">
        <f ca="1">IF(AP481&gt;0,AA481*Calculation_sheet!C$94,0)</f>
        <v>0</v>
      </c>
      <c r="AC481" s="176">
        <f t="shared" ca="1" si="713"/>
        <v>0</v>
      </c>
      <c r="AD481" s="958">
        <f ca="1">AC481*Calculation_sheet!C$99</f>
        <v>0</v>
      </c>
      <c r="AE481" s="176">
        <f t="shared" ca="1" si="713"/>
        <v>0</v>
      </c>
      <c r="AF481" s="176">
        <f t="shared" ca="1" si="714"/>
        <v>0</v>
      </c>
      <c r="AG481" s="958">
        <f ca="1">AF481*User_sheet!B$77/100</f>
        <v>0</v>
      </c>
      <c r="AH481" s="313"/>
      <c r="AI481" s="2">
        <v>104</v>
      </c>
      <c r="AJ481" s="985"/>
      <c r="AK481" s="1020">
        <f t="shared" ca="1" si="690"/>
        <v>161.96820961110492</v>
      </c>
      <c r="AL481" s="954">
        <f ca="1">AK481/'103'!I$24</f>
        <v>0.36448542247224736</v>
      </c>
      <c r="AM481" s="954">
        <f ca="1">0.8*(AK481*30+'104'!D$17*0.34*30*1)</f>
        <v>6806.9503106665188</v>
      </c>
      <c r="AN481" s="954">
        <f ca="1">IF(AM481&lt;User_sheet!B$50,Y481,0)</f>
        <v>0</v>
      </c>
      <c r="AO481" s="954">
        <f ca="1">20-(User_sheet!B$57/('Freestanding '!AK481+'104'!D$17*1*0.34))</f>
        <v>-9.7105716437191347E-2</v>
      </c>
      <c r="AP481" s="954">
        <f ca="1">IF(AO481&lt;User_sheet!B$59,0,BC481*AA481)</f>
        <v>0</v>
      </c>
      <c r="AQ481" s="985"/>
      <c r="AR481" s="2">
        <v>0.32</v>
      </c>
      <c r="AS481" s="2">
        <v>0.54</v>
      </c>
      <c r="AT481" s="2">
        <v>0.83</v>
      </c>
      <c r="AU481" s="2">
        <v>2</v>
      </c>
      <c r="AV481" s="2">
        <v>3.3</v>
      </c>
      <c r="AW481" s="2">
        <v>14356</v>
      </c>
      <c r="AX481" s="2">
        <v>75022.04959166942</v>
      </c>
      <c r="AY481" s="2">
        <v>69245.59826015502</v>
      </c>
      <c r="AZ481" s="27">
        <v>0</v>
      </c>
      <c r="BA481" s="27">
        <v>0</v>
      </c>
      <c r="BB481" s="2">
        <v>0.6</v>
      </c>
      <c r="BC481" s="30">
        <v>0</v>
      </c>
      <c r="BD481" s="34">
        <v>1</v>
      </c>
      <c r="BE481" s="34">
        <v>0</v>
      </c>
      <c r="BF481" s="40">
        <v>0</v>
      </c>
      <c r="BG481" s="2">
        <v>1</v>
      </c>
      <c r="BH481" s="2">
        <v>0</v>
      </c>
      <c r="BI481" s="40">
        <v>0</v>
      </c>
      <c r="BJ481" s="2">
        <v>0</v>
      </c>
      <c r="BK481" s="2">
        <v>1</v>
      </c>
      <c r="BL481" s="2">
        <v>0</v>
      </c>
      <c r="BM481" s="40">
        <v>0</v>
      </c>
      <c r="BN481" s="958">
        <v>7.0000000000000007E-2</v>
      </c>
      <c r="BO481" s="50">
        <v>12</v>
      </c>
      <c r="BP481" s="1018">
        <f t="shared" ca="1" si="715"/>
        <v>162.63999999999999</v>
      </c>
      <c r="BQ481" s="1018">
        <f t="shared" ca="1" si="716"/>
        <v>285.02799999999996</v>
      </c>
      <c r="BR481" s="1018">
        <f t="shared" ca="1" si="717"/>
        <v>51.803914909975674</v>
      </c>
      <c r="BS481" s="1018">
        <f t="shared" ca="1" si="718"/>
        <v>115.89999999999998</v>
      </c>
      <c r="BT481" s="1018">
        <f t="shared" ca="1" si="719"/>
        <v>81.319999999999993</v>
      </c>
      <c r="BU481" s="1018">
        <f t="shared" ca="1" si="720"/>
        <v>22.93</v>
      </c>
      <c r="BV481" s="1018">
        <f t="shared" ca="1" si="721"/>
        <v>2.15</v>
      </c>
      <c r="BW481" s="1018">
        <v>0</v>
      </c>
      <c r="BX481" s="1018">
        <f t="shared" ca="1" si="722"/>
        <v>15.70608840120536</v>
      </c>
      <c r="BY481" s="1018">
        <f t="shared" ca="1" si="723"/>
        <v>57.229334308705177</v>
      </c>
      <c r="BZ481" s="1018">
        <f t="shared" ca="1" si="691"/>
        <v>19.47215409721413</v>
      </c>
      <c r="CA481" s="1018">
        <f t="shared" ca="1" si="692"/>
        <v>45.859999981655996</v>
      </c>
      <c r="CB481" s="1018">
        <f t="shared" ca="1" si="724"/>
        <v>4.5133587786259541</v>
      </c>
      <c r="CC481" s="1018">
        <f t="shared" si="693"/>
        <v>0</v>
      </c>
      <c r="CD481" s="1018">
        <f t="shared" ca="1" si="727"/>
        <v>161.96820961110492</v>
      </c>
      <c r="CE481" s="1018">
        <f t="shared" ca="1" si="725"/>
        <v>93.991926831362093</v>
      </c>
      <c r="CF481" s="1018">
        <f t="shared" ca="1" si="694"/>
        <v>7.6788040932740103</v>
      </c>
      <c r="CG481" s="1018">
        <f t="shared" ca="1" si="695"/>
        <v>12784.901663137496</v>
      </c>
    </row>
    <row r="482" spans="4:85" x14ac:dyDescent="0.25">
      <c r="D482" s="1"/>
      <c r="F482" s="1"/>
      <c r="G482" s="3"/>
      <c r="H482" s="6"/>
      <c r="I482" s="3"/>
      <c r="K482" s="8"/>
      <c r="L482" s="6"/>
      <c r="M482" s="1"/>
      <c r="N482" s="1"/>
      <c r="O482" s="1" t="s">
        <v>18</v>
      </c>
      <c r="P482" s="4"/>
      <c r="Q482" s="1" t="s">
        <v>7</v>
      </c>
      <c r="R482" s="4"/>
      <c r="S482" s="1"/>
      <c r="T482" s="77"/>
      <c r="X482" s="176">
        <f t="shared" si="726"/>
        <v>0</v>
      </c>
      <c r="Y482" s="34">
        <f>X482/Calculation_sheet!M$67</f>
        <v>0</v>
      </c>
      <c r="Z482" s="176">
        <f ca="1">IF(AN482&gt;0,Y482*Calculation_sheet!C$87,0)</f>
        <v>0</v>
      </c>
      <c r="AA482" s="176">
        <f t="shared" ca="1" si="712"/>
        <v>0</v>
      </c>
      <c r="AB482" s="176">
        <f ca="1">IF(AP482&gt;0,AA482*Calculation_sheet!C$94,0)</f>
        <v>0</v>
      </c>
      <c r="AC482" s="176">
        <f t="shared" ca="1" si="713"/>
        <v>0</v>
      </c>
      <c r="AD482" s="958">
        <f ca="1">AC482*Calculation_sheet!C$99</f>
        <v>0</v>
      </c>
      <c r="AE482" s="176">
        <f t="shared" ca="1" si="713"/>
        <v>0</v>
      </c>
      <c r="AF482" s="176">
        <f t="shared" ca="1" si="714"/>
        <v>0</v>
      </c>
      <c r="AG482" s="958">
        <f ca="1">AF482*User_sheet!B$77/100</f>
        <v>0</v>
      </c>
      <c r="AH482" s="313"/>
      <c r="AI482" s="2">
        <v>104</v>
      </c>
      <c r="AJ482" s="985"/>
      <c r="AK482" s="1020">
        <f t="shared" ca="1" si="690"/>
        <v>161.96820961110492</v>
      </c>
      <c r="AL482" s="954">
        <f ca="1">AK482/'103'!I$24</f>
        <v>0.36448542247224736</v>
      </c>
      <c r="AM482" s="954">
        <f ca="1">0.8*(AK482*30+'104'!D$17*0.34*30*1)</f>
        <v>6806.9503106665188</v>
      </c>
      <c r="AN482" s="954">
        <f ca="1">IF(AM482&lt;User_sheet!B$50,Y482,0)</f>
        <v>0</v>
      </c>
      <c r="AO482" s="954">
        <f ca="1">20-(User_sheet!B$57/('Freestanding '!AK482+'104'!D$17*1*0.34))</f>
        <v>-9.7105716437191347E-2</v>
      </c>
      <c r="AP482" s="954">
        <f ca="1">IF(AO482&lt;User_sheet!B$59,0,BC482*AA482)</f>
        <v>0</v>
      </c>
      <c r="AQ482" s="985"/>
      <c r="AR482" s="2">
        <v>0.32</v>
      </c>
      <c r="AS482" s="2">
        <v>0.54</v>
      </c>
      <c r="AT482" s="2">
        <v>0.83</v>
      </c>
      <c r="AU482" s="2">
        <v>2</v>
      </c>
      <c r="AV482" s="2">
        <v>3.3</v>
      </c>
      <c r="AW482" s="2">
        <v>14356</v>
      </c>
      <c r="AX482" s="2">
        <v>75022.04959166942</v>
      </c>
      <c r="AY482" s="2">
        <v>69245.59826015502</v>
      </c>
      <c r="AZ482" s="27">
        <v>0</v>
      </c>
      <c r="BA482" s="27">
        <v>0</v>
      </c>
      <c r="BB482" s="2">
        <v>0.6</v>
      </c>
      <c r="BC482" s="30">
        <v>0</v>
      </c>
      <c r="BD482" s="34">
        <v>1</v>
      </c>
      <c r="BE482" s="34">
        <v>0</v>
      </c>
      <c r="BF482" s="40">
        <v>0</v>
      </c>
      <c r="BG482" s="2">
        <v>1</v>
      </c>
      <c r="BH482" s="2">
        <v>0</v>
      </c>
      <c r="BI482" s="40">
        <v>0</v>
      </c>
      <c r="BJ482" s="2">
        <v>0</v>
      </c>
      <c r="BK482" s="2">
        <v>0</v>
      </c>
      <c r="BL482" s="2">
        <v>1</v>
      </c>
      <c r="BM482" s="40">
        <v>0</v>
      </c>
      <c r="BN482" s="958">
        <v>7.0000000000000007E-2</v>
      </c>
      <c r="BO482" s="50">
        <v>12</v>
      </c>
      <c r="BP482" s="1018">
        <f t="shared" ca="1" si="715"/>
        <v>162.63999999999999</v>
      </c>
      <c r="BQ482" s="1018">
        <f t="shared" ca="1" si="716"/>
        <v>285.02799999999996</v>
      </c>
      <c r="BR482" s="1018">
        <f t="shared" ca="1" si="717"/>
        <v>51.803914909975674</v>
      </c>
      <c r="BS482" s="1018">
        <f t="shared" ca="1" si="718"/>
        <v>115.89999999999998</v>
      </c>
      <c r="BT482" s="1018">
        <f t="shared" ca="1" si="719"/>
        <v>81.319999999999993</v>
      </c>
      <c r="BU482" s="1018">
        <f t="shared" ca="1" si="720"/>
        <v>22.93</v>
      </c>
      <c r="BV482" s="1018">
        <f t="shared" ca="1" si="721"/>
        <v>2.15</v>
      </c>
      <c r="BW482" s="1018">
        <v>0</v>
      </c>
      <c r="BX482" s="1018">
        <f t="shared" ca="1" si="722"/>
        <v>15.70608840120536</v>
      </c>
      <c r="BY482" s="1018">
        <f t="shared" ca="1" si="723"/>
        <v>57.229334308705177</v>
      </c>
      <c r="BZ482" s="1018">
        <f t="shared" ca="1" si="691"/>
        <v>19.47215409721413</v>
      </c>
      <c r="CA482" s="1018">
        <f t="shared" ca="1" si="692"/>
        <v>45.859999981655996</v>
      </c>
      <c r="CB482" s="1018">
        <f t="shared" ca="1" si="724"/>
        <v>4.5133587786259541</v>
      </c>
      <c r="CC482" s="1018">
        <f t="shared" si="693"/>
        <v>0</v>
      </c>
      <c r="CD482" s="1018">
        <f t="shared" ca="1" si="727"/>
        <v>161.96820961110492</v>
      </c>
      <c r="CE482" s="1018">
        <f t="shared" ca="1" si="725"/>
        <v>93.991926831362093</v>
      </c>
      <c r="CF482" s="1018">
        <f t="shared" ca="1" si="694"/>
        <v>7.6788040932740103</v>
      </c>
      <c r="CG482" s="1018">
        <f t="shared" ca="1" si="695"/>
        <v>12784.901663137496</v>
      </c>
    </row>
    <row r="483" spans="4:85" x14ac:dyDescent="0.25">
      <c r="D483" s="1"/>
      <c r="F483" s="1"/>
      <c r="G483" s="3"/>
      <c r="H483" s="6"/>
      <c r="I483" s="3"/>
      <c r="K483" s="8"/>
      <c r="L483" s="6"/>
      <c r="M483" s="1"/>
      <c r="N483" s="1"/>
      <c r="O483" s="1"/>
      <c r="P483" s="1"/>
      <c r="Q483" s="1" t="s">
        <v>22</v>
      </c>
      <c r="R483" s="4"/>
      <c r="S483" s="1"/>
      <c r="T483" s="77"/>
      <c r="X483" s="176">
        <f t="shared" si="726"/>
        <v>0</v>
      </c>
      <c r="Y483" s="34">
        <f>X483/Calculation_sheet!M$67</f>
        <v>0</v>
      </c>
      <c r="Z483" s="176">
        <f ca="1">IF(AN483&gt;0,Y483*Calculation_sheet!C$87,0)</f>
        <v>0</v>
      </c>
      <c r="AA483" s="176">
        <f t="shared" ca="1" si="712"/>
        <v>0</v>
      </c>
      <c r="AB483" s="176">
        <f ca="1">IF(AP483&gt;0,AA483*Calculation_sheet!C$94,0)</f>
        <v>0</v>
      </c>
      <c r="AC483" s="176">
        <f t="shared" ca="1" si="713"/>
        <v>0</v>
      </c>
      <c r="AD483" s="958">
        <f ca="1">AC483*Calculation_sheet!C$99</f>
        <v>0</v>
      </c>
      <c r="AE483" s="176">
        <f t="shared" ca="1" si="713"/>
        <v>0</v>
      </c>
      <c r="AF483" s="176">
        <f t="shared" ca="1" si="714"/>
        <v>0</v>
      </c>
      <c r="AG483" s="958">
        <f ca="1">AF483*User_sheet!B$77/100</f>
        <v>0</v>
      </c>
      <c r="AH483" s="313"/>
      <c r="AI483" s="2">
        <v>104</v>
      </c>
      <c r="AJ483" s="985"/>
      <c r="AK483" s="1020">
        <f t="shared" ca="1" si="690"/>
        <v>161.96820961110492</v>
      </c>
      <c r="AL483" s="954">
        <f ca="1">AK483/'103'!I$24</f>
        <v>0.36448542247224736</v>
      </c>
      <c r="AM483" s="954">
        <f ca="1">0.8*(AK483*30+'104'!D$17*0.34*30*1)</f>
        <v>6806.9503106665188</v>
      </c>
      <c r="AN483" s="954">
        <f ca="1">IF(AM483&lt;User_sheet!B$50,Y483,0)</f>
        <v>0</v>
      </c>
      <c r="AO483" s="954">
        <f ca="1">20-(User_sheet!B$57/('Freestanding '!AK483+'104'!D$17*1*0.34))</f>
        <v>-9.7105716437191347E-2</v>
      </c>
      <c r="AP483" s="954">
        <f ca="1">IF(AO483&lt;User_sheet!B$59,0,BC483*AA483)</f>
        <v>0</v>
      </c>
      <c r="AQ483" s="985"/>
      <c r="AR483" s="2">
        <v>0.32</v>
      </c>
      <c r="AS483" s="2">
        <v>0.54</v>
      </c>
      <c r="AT483" s="2">
        <v>0.83</v>
      </c>
      <c r="AU483" s="2">
        <v>2</v>
      </c>
      <c r="AV483" s="2">
        <v>3.3</v>
      </c>
      <c r="AW483" s="2">
        <v>14356</v>
      </c>
      <c r="AX483" s="2">
        <v>75022.04959166942</v>
      </c>
      <c r="AY483" s="2">
        <v>69245.59826015502</v>
      </c>
      <c r="AZ483" s="27">
        <v>0</v>
      </c>
      <c r="BA483" s="27">
        <v>0</v>
      </c>
      <c r="BB483" s="2">
        <v>0.6</v>
      </c>
      <c r="BC483" s="30">
        <v>0</v>
      </c>
      <c r="BD483" s="34">
        <v>1</v>
      </c>
      <c r="BE483" s="34">
        <v>0</v>
      </c>
      <c r="BF483" s="40">
        <v>0</v>
      </c>
      <c r="BG483" s="2">
        <v>0</v>
      </c>
      <c r="BH483" s="2">
        <v>1</v>
      </c>
      <c r="BI483" s="40">
        <v>0</v>
      </c>
      <c r="BJ483" s="2">
        <v>0</v>
      </c>
      <c r="BK483" s="2">
        <v>1</v>
      </c>
      <c r="BL483" s="2">
        <v>0</v>
      </c>
      <c r="BM483" s="40">
        <v>0</v>
      </c>
      <c r="BN483" s="958">
        <v>7.0000000000000007E-2</v>
      </c>
      <c r="BO483" s="50">
        <v>12</v>
      </c>
      <c r="BP483" s="1018">
        <f t="shared" ca="1" si="715"/>
        <v>162.63999999999999</v>
      </c>
      <c r="BQ483" s="1018">
        <f t="shared" ca="1" si="716"/>
        <v>285.02799999999996</v>
      </c>
      <c r="BR483" s="1018">
        <f t="shared" ca="1" si="717"/>
        <v>51.803914909975674</v>
      </c>
      <c r="BS483" s="1018">
        <f t="shared" ca="1" si="718"/>
        <v>115.89999999999998</v>
      </c>
      <c r="BT483" s="1018">
        <f t="shared" ca="1" si="719"/>
        <v>81.319999999999993</v>
      </c>
      <c r="BU483" s="1018">
        <f t="shared" ca="1" si="720"/>
        <v>22.93</v>
      </c>
      <c r="BV483" s="1018">
        <f t="shared" ca="1" si="721"/>
        <v>2.15</v>
      </c>
      <c r="BW483" s="1018">
        <v>0</v>
      </c>
      <c r="BX483" s="1018">
        <f t="shared" ca="1" si="722"/>
        <v>15.70608840120536</v>
      </c>
      <c r="BY483" s="1018">
        <f t="shared" ca="1" si="723"/>
        <v>57.229334308705177</v>
      </c>
      <c r="BZ483" s="1018">
        <f t="shared" ca="1" si="691"/>
        <v>19.47215409721413</v>
      </c>
      <c r="CA483" s="1018">
        <f t="shared" ca="1" si="692"/>
        <v>45.859999981655996</v>
      </c>
      <c r="CB483" s="1018">
        <f t="shared" ca="1" si="724"/>
        <v>4.5133587786259541</v>
      </c>
      <c r="CC483" s="1018">
        <f t="shared" si="693"/>
        <v>0</v>
      </c>
      <c r="CD483" s="1018">
        <f t="shared" ca="1" si="727"/>
        <v>161.96820961110492</v>
      </c>
      <c r="CE483" s="1018">
        <f t="shared" ca="1" si="725"/>
        <v>93.991926831362093</v>
      </c>
      <c r="CF483" s="1018">
        <f t="shared" ca="1" si="694"/>
        <v>7.6788040932740103</v>
      </c>
      <c r="CG483" s="1018">
        <f t="shared" ca="1" si="695"/>
        <v>12784.901663137496</v>
      </c>
    </row>
    <row r="484" spans="4:85" x14ac:dyDescent="0.25">
      <c r="D484" s="1"/>
      <c r="F484" s="1"/>
      <c r="G484" s="3"/>
      <c r="H484" s="6"/>
      <c r="I484" s="3"/>
      <c r="J484" s="6"/>
      <c r="K484" s="8"/>
      <c r="L484" s="6"/>
      <c r="M484" s="1" t="s">
        <v>22</v>
      </c>
      <c r="N484" s="4"/>
      <c r="O484" s="1" t="s">
        <v>20</v>
      </c>
      <c r="P484" s="4"/>
      <c r="Q484" s="1" t="s">
        <v>7</v>
      </c>
      <c r="R484" s="4"/>
      <c r="S484" s="1"/>
      <c r="T484" s="77"/>
      <c r="X484" s="176">
        <f t="shared" si="726"/>
        <v>0</v>
      </c>
      <c r="Y484" s="34">
        <f>X484/Calculation_sheet!M$67</f>
        <v>0</v>
      </c>
      <c r="Z484" s="176">
        <f ca="1">IF(AN484&gt;0,Y484*Calculation_sheet!C$87,0)</f>
        <v>0</v>
      </c>
      <c r="AA484" s="176">
        <f t="shared" ca="1" si="712"/>
        <v>0</v>
      </c>
      <c r="AB484" s="176">
        <f ca="1">IF(AP484&gt;0,AA484*Calculation_sheet!C$94,0)</f>
        <v>0</v>
      </c>
      <c r="AC484" s="176">
        <f t="shared" ca="1" si="713"/>
        <v>0</v>
      </c>
      <c r="AD484" s="958">
        <f ca="1">AC484*Calculation_sheet!C$99</f>
        <v>0</v>
      </c>
      <c r="AE484" s="176">
        <f t="shared" ca="1" si="713"/>
        <v>0</v>
      </c>
      <c r="AF484" s="176">
        <f t="shared" ca="1" si="714"/>
        <v>0</v>
      </c>
      <c r="AG484" s="958">
        <f ca="1">AF484*User_sheet!B$77/100</f>
        <v>0</v>
      </c>
      <c r="AH484" s="313"/>
      <c r="AI484" s="2">
        <v>104</v>
      </c>
      <c r="AJ484" s="985"/>
      <c r="AK484" s="1020">
        <f t="shared" ca="1" si="690"/>
        <v>161.96820961110492</v>
      </c>
      <c r="AL484" s="954">
        <f ca="1">AK484/'103'!I$24</f>
        <v>0.36448542247224736</v>
      </c>
      <c r="AM484" s="954">
        <f ca="1">0.8*(AK484*30+'104'!D$17*0.34*30*1)</f>
        <v>6806.9503106665188</v>
      </c>
      <c r="AN484" s="954">
        <f ca="1">IF(AM484&lt;User_sheet!B$50,Y484,0)</f>
        <v>0</v>
      </c>
      <c r="AO484" s="954">
        <f ca="1">20-(User_sheet!B$57/('Freestanding '!AK484+'104'!D$17*1*0.34))</f>
        <v>-9.7105716437191347E-2</v>
      </c>
      <c r="AP484" s="954">
        <f ca="1">IF(AO484&lt;User_sheet!B$59,0,BC484*AA484)</f>
        <v>0</v>
      </c>
      <c r="AQ484" s="985"/>
      <c r="AR484" s="2">
        <v>0.32</v>
      </c>
      <c r="AS484" s="2">
        <v>0.54</v>
      </c>
      <c r="AT484" s="2">
        <v>0.83</v>
      </c>
      <c r="AU484" s="2">
        <v>2</v>
      </c>
      <c r="AV484" s="2">
        <v>3.3</v>
      </c>
      <c r="AW484" s="2">
        <v>14356</v>
      </c>
      <c r="AX484" s="2">
        <v>75022.04959166942</v>
      </c>
      <c r="AY484" s="2">
        <v>69245.59826015502</v>
      </c>
      <c r="AZ484" s="27">
        <v>0</v>
      </c>
      <c r="BA484" s="27">
        <v>0</v>
      </c>
      <c r="BB484" s="2">
        <v>0.6</v>
      </c>
      <c r="BC484" s="30">
        <v>0</v>
      </c>
      <c r="BD484" s="34">
        <v>1</v>
      </c>
      <c r="BE484" s="34">
        <v>0</v>
      </c>
      <c r="BF484" s="40">
        <v>0</v>
      </c>
      <c r="BG484" s="2">
        <v>0</v>
      </c>
      <c r="BH484" s="2">
        <v>1</v>
      </c>
      <c r="BI484" s="40">
        <v>0</v>
      </c>
      <c r="BJ484" s="2">
        <v>0</v>
      </c>
      <c r="BK484" s="2">
        <v>0</v>
      </c>
      <c r="BL484" s="2">
        <v>1</v>
      </c>
      <c r="BM484" s="40">
        <v>0</v>
      </c>
      <c r="BN484" s="958">
        <v>7.0000000000000007E-2</v>
      </c>
      <c r="BO484" s="50">
        <v>12</v>
      </c>
      <c r="BP484" s="1018">
        <f t="shared" ca="1" si="715"/>
        <v>162.63999999999999</v>
      </c>
      <c r="BQ484" s="1018">
        <f t="shared" ca="1" si="716"/>
        <v>285.02799999999996</v>
      </c>
      <c r="BR484" s="1018">
        <f t="shared" ca="1" si="717"/>
        <v>51.803914909975674</v>
      </c>
      <c r="BS484" s="1018">
        <f t="shared" ca="1" si="718"/>
        <v>115.89999999999998</v>
      </c>
      <c r="BT484" s="1018">
        <f t="shared" ca="1" si="719"/>
        <v>81.319999999999993</v>
      </c>
      <c r="BU484" s="1018">
        <f t="shared" ca="1" si="720"/>
        <v>22.93</v>
      </c>
      <c r="BV484" s="1018">
        <f t="shared" ca="1" si="721"/>
        <v>2.15</v>
      </c>
      <c r="BW484" s="1018">
        <v>0</v>
      </c>
      <c r="BX484" s="1018">
        <f t="shared" ca="1" si="722"/>
        <v>15.70608840120536</v>
      </c>
      <c r="BY484" s="1018">
        <f t="shared" ca="1" si="723"/>
        <v>57.229334308705177</v>
      </c>
      <c r="BZ484" s="1018">
        <f t="shared" ca="1" si="691"/>
        <v>19.47215409721413</v>
      </c>
      <c r="CA484" s="1018">
        <f t="shared" ca="1" si="692"/>
        <v>45.859999981655996</v>
      </c>
      <c r="CB484" s="1018">
        <f t="shared" ca="1" si="724"/>
        <v>4.5133587786259541</v>
      </c>
      <c r="CC484" s="1018">
        <f t="shared" si="693"/>
        <v>0</v>
      </c>
      <c r="CD484" s="1018">
        <f t="shared" ca="1" si="727"/>
        <v>161.96820961110492</v>
      </c>
      <c r="CE484" s="1018">
        <f t="shared" ca="1" si="725"/>
        <v>93.991926831362093</v>
      </c>
      <c r="CF484" s="1018">
        <f t="shared" ca="1" si="694"/>
        <v>7.6788040932740103</v>
      </c>
      <c r="CG484" s="1018">
        <f t="shared" ca="1" si="695"/>
        <v>12784.901663137496</v>
      </c>
    </row>
    <row r="485" spans="4:85" x14ac:dyDescent="0.25">
      <c r="D485" s="1"/>
      <c r="F485" s="1"/>
      <c r="G485" s="3"/>
      <c r="H485" s="6"/>
      <c r="I485" s="3"/>
      <c r="J485" s="6"/>
      <c r="K485" s="8"/>
      <c r="L485" s="5"/>
      <c r="M485" s="1" t="s">
        <v>7</v>
      </c>
      <c r="N485" s="4"/>
      <c r="O485" s="1" t="s">
        <v>23</v>
      </c>
      <c r="P485" s="4"/>
      <c r="Q485" s="1" t="s">
        <v>7</v>
      </c>
      <c r="R485" s="4"/>
      <c r="S485" s="1"/>
      <c r="T485" s="77"/>
      <c r="X485" s="176">
        <f t="shared" si="726"/>
        <v>0</v>
      </c>
      <c r="Y485" s="34">
        <f>X485/Calculation_sheet!M$67</f>
        <v>0</v>
      </c>
      <c r="Z485" s="176">
        <f ca="1">IF(AN485&gt;0,Y485*Calculation_sheet!C$87,0)</f>
        <v>0</v>
      </c>
      <c r="AA485" s="176">
        <f t="shared" ca="1" si="712"/>
        <v>0</v>
      </c>
      <c r="AB485" s="176">
        <f ca="1">IF(AP485&gt;0,AA485*Calculation_sheet!C$94,0)</f>
        <v>0</v>
      </c>
      <c r="AC485" s="176">
        <f t="shared" ca="1" si="713"/>
        <v>0</v>
      </c>
      <c r="AD485" s="958">
        <f ca="1">AC485*Calculation_sheet!C$99</f>
        <v>0</v>
      </c>
      <c r="AE485" s="176">
        <f t="shared" ca="1" si="713"/>
        <v>0</v>
      </c>
      <c r="AF485" s="176">
        <f t="shared" ca="1" si="714"/>
        <v>0</v>
      </c>
      <c r="AG485" s="958">
        <f ca="1">AF485*User_sheet!B$77/100</f>
        <v>0</v>
      </c>
      <c r="AH485" s="313"/>
      <c r="AI485" s="2">
        <v>104</v>
      </c>
      <c r="AJ485" s="985"/>
      <c r="AK485" s="1020">
        <f t="shared" ca="1" si="690"/>
        <v>161.96820961110492</v>
      </c>
      <c r="AL485" s="954">
        <f ca="1">AK485/'103'!I$24</f>
        <v>0.36448542247224736</v>
      </c>
      <c r="AM485" s="954">
        <f ca="1">0.8*(AK485*30+'104'!D$17*0.34*30*1)</f>
        <v>6806.9503106665188</v>
      </c>
      <c r="AN485" s="954">
        <f ca="1">IF(AM485&lt;User_sheet!B$50,Y485,0)</f>
        <v>0</v>
      </c>
      <c r="AO485" s="954">
        <f ca="1">20-(User_sheet!B$57/('Freestanding '!AK485+'104'!D$17*1*0.34))</f>
        <v>-9.7105716437191347E-2</v>
      </c>
      <c r="AP485" s="954">
        <f ca="1">IF(AO485&lt;User_sheet!B$59,0,BC485*AA485)</f>
        <v>0</v>
      </c>
      <c r="AQ485" s="985"/>
      <c r="AR485" s="2">
        <v>0.32</v>
      </c>
      <c r="AS485" s="2">
        <v>0.54</v>
      </c>
      <c r="AT485" s="2">
        <v>0.83</v>
      </c>
      <c r="AU485" s="2">
        <v>2</v>
      </c>
      <c r="AV485" s="2">
        <v>3.3</v>
      </c>
      <c r="AW485" s="2">
        <v>14356</v>
      </c>
      <c r="AX485" s="2">
        <v>75022.04959166942</v>
      </c>
      <c r="AY485" s="2">
        <v>69245.59826015502</v>
      </c>
      <c r="AZ485" s="27">
        <v>0</v>
      </c>
      <c r="BA485" s="27">
        <v>0</v>
      </c>
      <c r="BB485" s="2">
        <v>0.6</v>
      </c>
      <c r="BC485" s="30">
        <v>0</v>
      </c>
      <c r="BD485" s="34">
        <v>0</v>
      </c>
      <c r="BE485" s="34">
        <v>1</v>
      </c>
      <c r="BF485" s="40">
        <v>0</v>
      </c>
      <c r="BG485" s="2">
        <v>0</v>
      </c>
      <c r="BH485" s="2">
        <v>0</v>
      </c>
      <c r="BI485" s="40">
        <v>1</v>
      </c>
      <c r="BJ485" s="2">
        <v>0</v>
      </c>
      <c r="BK485" s="2">
        <v>0</v>
      </c>
      <c r="BL485" s="2">
        <v>1</v>
      </c>
      <c r="BM485" s="40">
        <v>0</v>
      </c>
      <c r="BN485" s="958">
        <v>7.0000000000000007E-2</v>
      </c>
      <c r="BO485" s="50">
        <v>12</v>
      </c>
      <c r="BP485" s="1018">
        <f t="shared" ca="1" si="715"/>
        <v>162.63999999999999</v>
      </c>
      <c r="BQ485" s="1018">
        <f t="shared" ca="1" si="716"/>
        <v>285.02799999999996</v>
      </c>
      <c r="BR485" s="1018">
        <f t="shared" ca="1" si="717"/>
        <v>51.803914909975674</v>
      </c>
      <c r="BS485" s="1018">
        <f t="shared" ca="1" si="718"/>
        <v>115.89999999999998</v>
      </c>
      <c r="BT485" s="1018">
        <f t="shared" ca="1" si="719"/>
        <v>81.319999999999993</v>
      </c>
      <c r="BU485" s="1018">
        <f t="shared" ca="1" si="720"/>
        <v>22.93</v>
      </c>
      <c r="BV485" s="1018">
        <f t="shared" ca="1" si="721"/>
        <v>2.15</v>
      </c>
      <c r="BW485" s="1018">
        <v>0</v>
      </c>
      <c r="BX485" s="1018">
        <f t="shared" ca="1" si="722"/>
        <v>15.70608840120536</v>
      </c>
      <c r="BY485" s="1018">
        <f t="shared" ca="1" si="723"/>
        <v>57.229334308705177</v>
      </c>
      <c r="BZ485" s="1018">
        <f t="shared" ca="1" si="691"/>
        <v>19.47215409721413</v>
      </c>
      <c r="CA485" s="1018">
        <f t="shared" ca="1" si="692"/>
        <v>45.859999981655996</v>
      </c>
      <c r="CB485" s="1018">
        <f t="shared" ca="1" si="724"/>
        <v>4.5133587786259541</v>
      </c>
      <c r="CC485" s="1018">
        <f t="shared" si="693"/>
        <v>0</v>
      </c>
      <c r="CD485" s="1018">
        <f t="shared" ca="1" si="727"/>
        <v>161.96820961110492</v>
      </c>
      <c r="CE485" s="1018">
        <f t="shared" ca="1" si="725"/>
        <v>93.991926831362093</v>
      </c>
      <c r="CF485" s="1018">
        <f t="shared" ca="1" si="694"/>
        <v>7.6788040932740103</v>
      </c>
      <c r="CG485" s="1018">
        <f t="shared" ca="1" si="695"/>
        <v>12784.901663137496</v>
      </c>
    </row>
    <row r="486" spans="4:85" s="14" customFormat="1" x14ac:dyDescent="0.25">
      <c r="D486" s="15"/>
      <c r="F486" s="15"/>
      <c r="H486" s="15"/>
      <c r="J486" s="15"/>
      <c r="K486" s="16"/>
      <c r="L486" s="15"/>
      <c r="M486" s="15"/>
      <c r="N486" s="15"/>
      <c r="O486" s="15"/>
      <c r="P486" s="15"/>
      <c r="Q486" s="15"/>
      <c r="R486" s="15"/>
      <c r="S486" s="15"/>
      <c r="T486" s="80"/>
      <c r="U486" s="273"/>
      <c r="V486" s="292"/>
      <c r="W486" s="292"/>
      <c r="X486" s="292"/>
      <c r="Y486" s="277"/>
      <c r="Z486" s="292"/>
      <c r="AA486" s="292"/>
      <c r="AB486" s="292"/>
      <c r="AC486" s="292"/>
      <c r="AD486" s="277"/>
      <c r="AE486" s="292"/>
      <c r="AF486" s="292"/>
      <c r="AG486" s="277"/>
      <c r="AH486" s="313"/>
      <c r="AI486" s="28"/>
      <c r="AJ486" s="985"/>
      <c r="AK486" s="1020">
        <f t="shared" si="690"/>
        <v>0</v>
      </c>
      <c r="AL486" s="955"/>
      <c r="AM486" s="955"/>
      <c r="AN486" s="955"/>
      <c r="AO486" s="955"/>
      <c r="AP486" s="955"/>
      <c r="AQ486" s="985"/>
      <c r="AR486" s="28"/>
      <c r="AS486" s="28"/>
      <c r="AT486" s="28"/>
      <c r="AU486" s="28"/>
      <c r="AV486" s="28"/>
      <c r="AW486" s="28"/>
      <c r="AX486" s="28"/>
      <c r="AY486" s="28"/>
      <c r="AZ486" s="28"/>
      <c r="BA486" s="28"/>
      <c r="BB486" s="28"/>
      <c r="BC486" s="45"/>
      <c r="BD486" s="277"/>
      <c r="BE486" s="277"/>
      <c r="BF486" s="49"/>
      <c r="BG486" s="28"/>
      <c r="BH486" s="28"/>
      <c r="BI486" s="49"/>
      <c r="BJ486" s="28"/>
      <c r="BK486" s="28"/>
      <c r="BL486" s="28"/>
      <c r="BM486" s="49"/>
      <c r="BN486" s="277"/>
      <c r="BO486" s="49"/>
      <c r="BP486" s="946"/>
      <c r="BQ486" s="946"/>
      <c r="BR486" s="946"/>
      <c r="BS486" s="946"/>
      <c r="BT486" s="946"/>
      <c r="BU486" s="946"/>
      <c r="BV486" s="946"/>
      <c r="BW486" s="946"/>
      <c r="BX486" s="946"/>
      <c r="BY486" s="946"/>
      <c r="BZ486" s="946"/>
      <c r="CA486" s="946"/>
      <c r="CB486" s="946"/>
      <c r="CC486" s="946"/>
      <c r="CD486" s="946"/>
      <c r="CE486" s="946"/>
      <c r="CF486" s="946"/>
      <c r="CG486" s="946"/>
    </row>
    <row r="487" spans="4:85" x14ac:dyDescent="0.25">
      <c r="D487" s="1"/>
      <c r="F487" s="1"/>
      <c r="G487" s="3"/>
      <c r="H487" s="6"/>
      <c r="I487" s="3"/>
      <c r="J487" s="6"/>
      <c r="K487" s="8"/>
      <c r="L487" s="6"/>
      <c r="M487" s="6"/>
      <c r="N487" s="6"/>
      <c r="O487" s="6"/>
      <c r="P487" s="6"/>
      <c r="Q487" s="6" t="s">
        <v>16</v>
      </c>
      <c r="R487" s="4"/>
      <c r="S487" s="1"/>
      <c r="T487" s="77"/>
      <c r="W487" s="176">
        <f t="shared" ref="W487:W495" si="728">V467-W467+V447-W447</f>
        <v>0</v>
      </c>
      <c r="X487" s="176">
        <f>W487</f>
        <v>0</v>
      </c>
      <c r="Y487" s="34">
        <f>X487/Calculation_sheet!M$67</f>
        <v>0</v>
      </c>
      <c r="Z487" s="176">
        <f ca="1">IF(AN487&gt;0,Y487*Calculation_sheet!C$87,0)</f>
        <v>0</v>
      </c>
      <c r="AA487" s="176">
        <f t="shared" ref="AA487:AA495" ca="1" si="729">Y487-Z487</f>
        <v>0</v>
      </c>
      <c r="AB487" s="176">
        <f ca="1">IF(AP487&gt;0,AA487*Calculation_sheet!C$94,0)</f>
        <v>0</v>
      </c>
      <c r="AC487" s="176">
        <f t="shared" ref="AC487:AE495" ca="1" si="730">AA487-AB487</f>
        <v>0</v>
      </c>
      <c r="AD487" s="958">
        <f ca="1">AC487*Calculation_sheet!C$99</f>
        <v>0</v>
      </c>
      <c r="AE487" s="176">
        <f t="shared" ca="1" si="730"/>
        <v>0</v>
      </c>
      <c r="AF487" s="176">
        <f t="shared" ref="AF487:AF502" ca="1" si="731">Y487-AB487</f>
        <v>0</v>
      </c>
      <c r="AG487" s="958">
        <f ca="1">AF487*User_sheet!B$77/100</f>
        <v>0</v>
      </c>
      <c r="AH487" s="313"/>
      <c r="AI487" s="2">
        <v>104</v>
      </c>
      <c r="AJ487" s="985"/>
      <c r="AK487" s="1020">
        <f t="shared" ca="1" si="690"/>
        <v>124.56900259656577</v>
      </c>
      <c r="AL487" s="954">
        <f ca="1">AK487/'103'!I$24</f>
        <v>0.28032405647609737</v>
      </c>
      <c r="AM487" s="954">
        <f ca="1">0.8*(AK487*30+'104'!D$17*0.34*30*1)</f>
        <v>5909.3693423175791</v>
      </c>
      <c r="AN487" s="954">
        <f ca="1">IF(AM487&lt;User_sheet!B$50,Y487,0)</f>
        <v>0</v>
      </c>
      <c r="AO487" s="954">
        <f ca="1">20-(User_sheet!B$57/('Freestanding '!AK487+'104'!D$17*1*0.34))</f>
        <v>-3.1496784302111003</v>
      </c>
      <c r="AP487" s="954">
        <f ca="1">IF(AO487&lt;User_sheet!B$59,0,BC487*AA487)</f>
        <v>0</v>
      </c>
      <c r="AQ487" s="985"/>
      <c r="AR487" s="2">
        <v>0.32</v>
      </c>
      <c r="AS487" s="2">
        <v>0.43</v>
      </c>
      <c r="AT487" s="2">
        <v>0.43</v>
      </c>
      <c r="AU487" s="2">
        <v>2</v>
      </c>
      <c r="AV487" s="2">
        <v>3.3</v>
      </c>
      <c r="AW487" s="2">
        <v>14356</v>
      </c>
      <c r="AX487" s="2">
        <v>74834</v>
      </c>
      <c r="AY487" s="2">
        <v>69246</v>
      </c>
      <c r="AZ487" s="27">
        <v>0</v>
      </c>
      <c r="BA487" s="27">
        <v>0</v>
      </c>
      <c r="BB487" s="2">
        <v>0.6</v>
      </c>
      <c r="BC487" s="30">
        <v>1</v>
      </c>
      <c r="BD487" s="34">
        <v>0</v>
      </c>
      <c r="BE487" s="34">
        <v>0</v>
      </c>
      <c r="BF487" s="40">
        <v>0</v>
      </c>
      <c r="BG487" s="2">
        <v>1</v>
      </c>
      <c r="BH487" s="2">
        <v>0</v>
      </c>
      <c r="BI487" s="40">
        <v>0</v>
      </c>
      <c r="BJ487" s="2">
        <v>1</v>
      </c>
      <c r="BK487" s="2">
        <v>0</v>
      </c>
      <c r="BL487" s="2">
        <v>0</v>
      </c>
      <c r="BM487" s="40">
        <v>0</v>
      </c>
      <c r="BN487" s="958">
        <v>5.0000000000000001E-3</v>
      </c>
      <c r="BO487" s="50">
        <v>2.5</v>
      </c>
      <c r="BP487" s="1018">
        <f t="shared" ref="BP487:BP495" ca="1" si="732">INDIRECT("'"&amp;AI487&amp;"'!"&amp;"B2")</f>
        <v>162.63999999999999</v>
      </c>
      <c r="BQ487" s="1018">
        <f t="shared" ref="BQ487:BQ495" ca="1" si="733">INDIRECT("'"&amp;AI487&amp;"'!"&amp;"C12")+INDIRECT("'"&amp;AI487&amp;"'!"&amp;"C13")+INDIRECT("'"&amp;AI487&amp;"'!"&amp;"C14")+INDIRECT("'"&amp;AI487&amp;"'!"&amp;"C15")+INDIRECT("'"&amp;AI487&amp;"'!"&amp;"C17")</f>
        <v>285.02799999999996</v>
      </c>
      <c r="BR487" s="1018">
        <f t="shared" ref="BR487:BR495" ca="1" si="734">INDIRECT("'"&amp;AI487&amp;"'!"&amp;"G5")</f>
        <v>51.803914909975674</v>
      </c>
      <c r="BS487" s="1018">
        <f t="shared" ref="BS487:BS495" ca="1" si="735">INDIRECT("'"&amp;AI487&amp;"'!"&amp;"G4")</f>
        <v>115.89999999999998</v>
      </c>
      <c r="BT487" s="1018">
        <f t="shared" ref="BT487:BT495" ca="1" si="736">INDIRECT("'"&amp;AI487&amp;"'!"&amp;"G6")</f>
        <v>81.319999999999993</v>
      </c>
      <c r="BU487" s="1018">
        <f t="shared" ref="BU487:BU495" ca="1" si="737">INDIRECT("'"&amp;AI487&amp;"'!"&amp;"G2")</f>
        <v>22.93</v>
      </c>
      <c r="BV487" s="1018">
        <f t="shared" ref="BV487:BV495" ca="1" si="738">INDIRECT("'"&amp;AI487&amp;"'!"&amp;"G3")</f>
        <v>2.15</v>
      </c>
      <c r="BW487" s="1018">
        <v>0</v>
      </c>
      <c r="BX487" s="1018">
        <f t="shared" ref="BX487:BX495" ca="1" si="739">IF(BR487=0,0,1/(1/(BR487*$BY$3)+1/(BR487*AR487)+1/(BR487*$BY$4)))</f>
        <v>15.70608840120536</v>
      </c>
      <c r="BY487" s="1018">
        <f t="shared" ref="BY487:BY495" ca="1" si="740">IF(BS487=0,0,1/(1/(BS487*$BY$3)+1/(BS487*AS487)+1/(BS487*$BY$4)))</f>
        <v>46.380134011663962</v>
      </c>
      <c r="BZ487" s="1018">
        <f t="shared" ca="1" si="691"/>
        <v>10.738901848864625</v>
      </c>
      <c r="CA487" s="1018">
        <f t="shared" ca="1" si="692"/>
        <v>45.859999981655996</v>
      </c>
      <c r="CB487" s="1018">
        <f t="shared" ref="CB487:CB495" ca="1" si="741">IF(BV487=0,0,1/(1/(BV487*$BY$3)+1/(BV487*AV487)+1/(BV487*$BY$4)))</f>
        <v>4.5133587786259541</v>
      </c>
      <c r="CC487" s="1018">
        <f t="shared" si="693"/>
        <v>0</v>
      </c>
      <c r="CD487" s="1018">
        <f ca="1">SUM(BX487:CC487)+(BR487+BS487+BT487+BU487+BV487)*BN487</f>
        <v>124.56900259656577</v>
      </c>
      <c r="CE487" s="1018">
        <f t="shared" ref="CE487:CE495" ca="1" si="742">0.34*BO487*(1/25)^0.66*(BR487+BS487+BU487+BV487)+0.6*BQ487*0.34</f>
        <v>77.72736342320043</v>
      </c>
      <c r="CF487" s="1018">
        <f t="shared" ca="1" si="694"/>
        <v>6.068890980592986</v>
      </c>
      <c r="CG487" s="1018">
        <f t="shared" ca="1" si="695"/>
        <v>10104.460727048096</v>
      </c>
    </row>
    <row r="488" spans="4:85" x14ac:dyDescent="0.25">
      <c r="D488" s="1"/>
      <c r="F488" s="1"/>
      <c r="G488" s="3"/>
      <c r="H488" s="6"/>
      <c r="I488" s="3"/>
      <c r="J488" s="6"/>
      <c r="K488" s="8"/>
      <c r="L488" s="6"/>
      <c r="M488" s="6"/>
      <c r="N488" s="6"/>
      <c r="O488" s="6" t="s">
        <v>18</v>
      </c>
      <c r="P488" s="4"/>
      <c r="Q488" s="6" t="s">
        <v>7</v>
      </c>
      <c r="R488" s="4"/>
      <c r="S488" s="1"/>
      <c r="T488" s="77"/>
      <c r="W488" s="176">
        <f t="shared" si="728"/>
        <v>0</v>
      </c>
      <c r="X488" s="176">
        <f t="shared" ref="X488:X495" si="743">W488</f>
        <v>0</v>
      </c>
      <c r="Y488" s="34">
        <f>X488/Calculation_sheet!M$67</f>
        <v>0</v>
      </c>
      <c r="Z488" s="176">
        <f ca="1">IF(AN488&gt;0,Y488*Calculation_sheet!C$87,0)</f>
        <v>0</v>
      </c>
      <c r="AA488" s="176">
        <f t="shared" ca="1" si="729"/>
        <v>0</v>
      </c>
      <c r="AB488" s="176">
        <f ca="1">IF(AP488&gt;0,AA488*Calculation_sheet!C$94,0)</f>
        <v>0</v>
      </c>
      <c r="AC488" s="176">
        <f t="shared" ca="1" si="730"/>
        <v>0</v>
      </c>
      <c r="AD488" s="958">
        <f ca="1">AC488*Calculation_sheet!C$99</f>
        <v>0</v>
      </c>
      <c r="AE488" s="176">
        <f t="shared" ca="1" si="730"/>
        <v>0</v>
      </c>
      <c r="AF488" s="176">
        <f t="shared" ca="1" si="731"/>
        <v>0</v>
      </c>
      <c r="AG488" s="958">
        <f ca="1">AF488*User_sheet!B$77/100</f>
        <v>0</v>
      </c>
      <c r="AH488" s="313"/>
      <c r="AI488" s="2">
        <v>104</v>
      </c>
      <c r="AJ488" s="985"/>
      <c r="AK488" s="1020">
        <f t="shared" ca="1" si="690"/>
        <v>124.56900259656577</v>
      </c>
      <c r="AL488" s="954">
        <f ca="1">AK488/'103'!I$24</f>
        <v>0.28032405647609737</v>
      </c>
      <c r="AM488" s="954">
        <f ca="1">0.8*(AK488*30+'104'!D$17*0.34*30*1)</f>
        <v>5909.3693423175791</v>
      </c>
      <c r="AN488" s="954">
        <f ca="1">IF(AM488&lt;User_sheet!B$50,Y488,0)</f>
        <v>0</v>
      </c>
      <c r="AO488" s="954">
        <f ca="1">20-(User_sheet!B$57/('Freestanding '!AK488+'104'!D$17*1*0.34))</f>
        <v>-3.1496784302111003</v>
      </c>
      <c r="AP488" s="954">
        <f ca="1">IF(AO488&lt;User_sheet!B$59,0,BC488*AA488)</f>
        <v>0</v>
      </c>
      <c r="AQ488" s="985"/>
      <c r="AR488" s="2">
        <v>0.32</v>
      </c>
      <c r="AS488" s="2">
        <v>0.43</v>
      </c>
      <c r="AT488" s="2">
        <v>0.43</v>
      </c>
      <c r="AU488" s="2">
        <v>2</v>
      </c>
      <c r="AV488" s="2">
        <v>3.3</v>
      </c>
      <c r="AW488" s="2">
        <v>14356</v>
      </c>
      <c r="AX488" s="2">
        <v>74834</v>
      </c>
      <c r="AY488" s="2">
        <v>69246</v>
      </c>
      <c r="AZ488" s="27">
        <v>0</v>
      </c>
      <c r="BA488" s="27">
        <v>0</v>
      </c>
      <c r="BB488" s="2">
        <v>0.6</v>
      </c>
      <c r="BC488" s="30">
        <v>1</v>
      </c>
      <c r="BD488" s="34">
        <v>0</v>
      </c>
      <c r="BE488" s="34">
        <v>0</v>
      </c>
      <c r="BF488" s="40">
        <v>0</v>
      </c>
      <c r="BG488" s="2">
        <v>1</v>
      </c>
      <c r="BH488" s="2">
        <v>0</v>
      </c>
      <c r="BI488" s="40">
        <v>0</v>
      </c>
      <c r="BJ488" s="2">
        <v>0</v>
      </c>
      <c r="BK488" s="2">
        <v>0</v>
      </c>
      <c r="BL488" s="2">
        <v>1</v>
      </c>
      <c r="BM488" s="40">
        <v>0</v>
      </c>
      <c r="BN488" s="958">
        <v>5.0000000000000001E-3</v>
      </c>
      <c r="BO488" s="50">
        <v>2.5</v>
      </c>
      <c r="BP488" s="1018">
        <f t="shared" ca="1" si="732"/>
        <v>162.63999999999999</v>
      </c>
      <c r="BQ488" s="1018">
        <f t="shared" ca="1" si="733"/>
        <v>285.02799999999996</v>
      </c>
      <c r="BR488" s="1018">
        <f t="shared" ca="1" si="734"/>
        <v>51.803914909975674</v>
      </c>
      <c r="BS488" s="1018">
        <f t="shared" ca="1" si="735"/>
        <v>115.89999999999998</v>
      </c>
      <c r="BT488" s="1018">
        <f t="shared" ca="1" si="736"/>
        <v>81.319999999999993</v>
      </c>
      <c r="BU488" s="1018">
        <f t="shared" ca="1" si="737"/>
        <v>22.93</v>
      </c>
      <c r="BV488" s="1018">
        <f t="shared" ca="1" si="738"/>
        <v>2.15</v>
      </c>
      <c r="BW488" s="1018">
        <v>0</v>
      </c>
      <c r="BX488" s="1018">
        <f t="shared" ca="1" si="739"/>
        <v>15.70608840120536</v>
      </c>
      <c r="BY488" s="1018">
        <f t="shared" ca="1" si="740"/>
        <v>46.380134011663962</v>
      </c>
      <c r="BZ488" s="1018">
        <f t="shared" ca="1" si="691"/>
        <v>10.738901848864625</v>
      </c>
      <c r="CA488" s="1018">
        <f t="shared" ca="1" si="692"/>
        <v>45.859999981655996</v>
      </c>
      <c r="CB488" s="1018">
        <f t="shared" ca="1" si="741"/>
        <v>4.5133587786259541</v>
      </c>
      <c r="CC488" s="1018">
        <f t="shared" si="693"/>
        <v>0</v>
      </c>
      <c r="CD488" s="1018">
        <f t="shared" ref="CD488:CD495" ca="1" si="744">SUM(BX488:CC488)+(BR488+BS488+BT488+BU488+BV488)*BN488</f>
        <v>124.56900259656577</v>
      </c>
      <c r="CE488" s="1018">
        <f t="shared" ca="1" si="742"/>
        <v>77.72736342320043</v>
      </c>
      <c r="CF488" s="1018">
        <f t="shared" ca="1" si="694"/>
        <v>6.068890980592986</v>
      </c>
      <c r="CG488" s="1018">
        <f t="shared" ca="1" si="695"/>
        <v>10104.460727048096</v>
      </c>
    </row>
    <row r="489" spans="4:85" x14ac:dyDescent="0.25">
      <c r="D489" s="1"/>
      <c r="F489" s="1"/>
      <c r="G489" s="3"/>
      <c r="H489" s="6"/>
      <c r="I489" s="3"/>
      <c r="J489" s="6"/>
      <c r="K489" s="8"/>
      <c r="L489" s="6"/>
      <c r="M489" s="6"/>
      <c r="N489" s="6"/>
      <c r="O489" s="6"/>
      <c r="P489" s="6"/>
      <c r="Q489" s="6" t="s">
        <v>16</v>
      </c>
      <c r="R489" s="4"/>
      <c r="S489" s="1"/>
      <c r="T489" s="77"/>
      <c r="W489" s="176">
        <f t="shared" si="728"/>
        <v>0</v>
      </c>
      <c r="X489" s="176">
        <f t="shared" si="743"/>
        <v>0</v>
      </c>
      <c r="Y489" s="34">
        <f>X489/Calculation_sheet!M$67</f>
        <v>0</v>
      </c>
      <c r="Z489" s="176">
        <f ca="1">IF(AN489&gt;0,Y489*Calculation_sheet!C$87,0)</f>
        <v>0</v>
      </c>
      <c r="AA489" s="176">
        <f t="shared" ca="1" si="729"/>
        <v>0</v>
      </c>
      <c r="AB489" s="176">
        <f ca="1">IF(AP489&gt;0,AA489*Calculation_sheet!C$94,0)</f>
        <v>0</v>
      </c>
      <c r="AC489" s="176">
        <f t="shared" ca="1" si="730"/>
        <v>0</v>
      </c>
      <c r="AD489" s="958">
        <f ca="1">AC489*Calculation_sheet!C$99</f>
        <v>0</v>
      </c>
      <c r="AE489" s="176">
        <f t="shared" ca="1" si="730"/>
        <v>0</v>
      </c>
      <c r="AF489" s="176">
        <f t="shared" ca="1" si="731"/>
        <v>0</v>
      </c>
      <c r="AG489" s="958">
        <f ca="1">AF489*User_sheet!B$77/100</f>
        <v>0</v>
      </c>
      <c r="AH489" s="313"/>
      <c r="AI489" s="2">
        <v>104</v>
      </c>
      <c r="AJ489" s="985"/>
      <c r="AK489" s="1020">
        <f t="shared" ca="1" si="690"/>
        <v>124.56900259656577</v>
      </c>
      <c r="AL489" s="954">
        <f ca="1">AK489/'103'!I$24</f>
        <v>0.28032405647609737</v>
      </c>
      <c r="AM489" s="954">
        <f ca="1">0.8*(AK489*30+'104'!D$17*0.34*30*1)</f>
        <v>5909.3693423175791</v>
      </c>
      <c r="AN489" s="954">
        <f ca="1">IF(AM489&lt;User_sheet!B$50,Y489,0)</f>
        <v>0</v>
      </c>
      <c r="AO489" s="954">
        <f ca="1">20-(User_sheet!B$57/('Freestanding '!AK489+'104'!D$17*1*0.34))</f>
        <v>-3.1496784302111003</v>
      </c>
      <c r="AP489" s="954">
        <f ca="1">IF(AO489&lt;User_sheet!B$59,0,BC489*AA489)</f>
        <v>0</v>
      </c>
      <c r="AQ489" s="985"/>
      <c r="AR489" s="2">
        <v>0.32</v>
      </c>
      <c r="AS489" s="2">
        <v>0.43</v>
      </c>
      <c r="AT489" s="2">
        <v>0.43</v>
      </c>
      <c r="AU489" s="2">
        <v>2</v>
      </c>
      <c r="AV489" s="2">
        <v>3.3</v>
      </c>
      <c r="AW489" s="2">
        <v>14356</v>
      </c>
      <c r="AX489" s="2">
        <v>74834</v>
      </c>
      <c r="AY489" s="2">
        <v>69246</v>
      </c>
      <c r="AZ489" s="27">
        <v>0</v>
      </c>
      <c r="BA489" s="27">
        <v>0</v>
      </c>
      <c r="BB489" s="2">
        <v>0.6</v>
      </c>
      <c r="BC489" s="30">
        <v>1</v>
      </c>
      <c r="BD489" s="34">
        <v>0</v>
      </c>
      <c r="BE489" s="34">
        <v>0</v>
      </c>
      <c r="BF489" s="40">
        <v>0</v>
      </c>
      <c r="BG489" s="2">
        <v>0</v>
      </c>
      <c r="BH489" s="2">
        <v>1</v>
      </c>
      <c r="BI489" s="40">
        <v>0</v>
      </c>
      <c r="BJ489" s="2">
        <v>1</v>
      </c>
      <c r="BK489" s="2">
        <v>0</v>
      </c>
      <c r="BL489" s="2">
        <v>0</v>
      </c>
      <c r="BM489" s="40">
        <v>0</v>
      </c>
      <c r="BN489" s="958">
        <v>5.0000000000000001E-3</v>
      </c>
      <c r="BO489" s="50">
        <v>2.5</v>
      </c>
      <c r="BP489" s="1018">
        <f t="shared" ca="1" si="732"/>
        <v>162.63999999999999</v>
      </c>
      <c r="BQ489" s="1018">
        <f t="shared" ca="1" si="733"/>
        <v>285.02799999999996</v>
      </c>
      <c r="BR489" s="1018">
        <f t="shared" ca="1" si="734"/>
        <v>51.803914909975674</v>
      </c>
      <c r="BS489" s="1018">
        <f t="shared" ca="1" si="735"/>
        <v>115.89999999999998</v>
      </c>
      <c r="BT489" s="1018">
        <f t="shared" ca="1" si="736"/>
        <v>81.319999999999993</v>
      </c>
      <c r="BU489" s="1018">
        <f t="shared" ca="1" si="737"/>
        <v>22.93</v>
      </c>
      <c r="BV489" s="1018">
        <f t="shared" ca="1" si="738"/>
        <v>2.15</v>
      </c>
      <c r="BW489" s="1018">
        <v>0</v>
      </c>
      <c r="BX489" s="1018">
        <f t="shared" ca="1" si="739"/>
        <v>15.70608840120536</v>
      </c>
      <c r="BY489" s="1018">
        <f t="shared" ca="1" si="740"/>
        <v>46.380134011663962</v>
      </c>
      <c r="BZ489" s="1018">
        <f t="shared" ca="1" si="691"/>
        <v>10.738901848864625</v>
      </c>
      <c r="CA489" s="1018">
        <f t="shared" ca="1" si="692"/>
        <v>45.859999981655996</v>
      </c>
      <c r="CB489" s="1018">
        <f t="shared" ca="1" si="741"/>
        <v>4.5133587786259541</v>
      </c>
      <c r="CC489" s="1018">
        <f t="shared" si="693"/>
        <v>0</v>
      </c>
      <c r="CD489" s="1018">
        <f t="shared" ca="1" si="744"/>
        <v>124.56900259656577</v>
      </c>
      <c r="CE489" s="1018">
        <f t="shared" ca="1" si="742"/>
        <v>77.72736342320043</v>
      </c>
      <c r="CF489" s="1018">
        <f t="shared" ca="1" si="694"/>
        <v>6.068890980592986</v>
      </c>
      <c r="CG489" s="1018">
        <f t="shared" ca="1" si="695"/>
        <v>10104.460727048096</v>
      </c>
    </row>
    <row r="490" spans="4:85" x14ac:dyDescent="0.25">
      <c r="D490" s="1"/>
      <c r="F490" s="1"/>
      <c r="G490" s="3"/>
      <c r="H490" s="6"/>
      <c r="I490" s="3"/>
      <c r="J490" s="3" t="s">
        <v>143</v>
      </c>
      <c r="K490" s="8"/>
      <c r="L490" s="6"/>
      <c r="M490" s="6" t="s">
        <v>16</v>
      </c>
      <c r="N490" s="4"/>
      <c r="O490" s="6" t="s">
        <v>19</v>
      </c>
      <c r="P490" s="4"/>
      <c r="Q490" s="6" t="s">
        <v>7</v>
      </c>
      <c r="R490" s="4"/>
      <c r="S490" s="1"/>
      <c r="T490" s="77"/>
      <c r="W490" s="176">
        <f t="shared" si="728"/>
        <v>0</v>
      </c>
      <c r="X490" s="176">
        <f t="shared" si="743"/>
        <v>0</v>
      </c>
      <c r="Y490" s="34">
        <f>X490/Calculation_sheet!M$67</f>
        <v>0</v>
      </c>
      <c r="Z490" s="176">
        <f ca="1">IF(AN490&gt;0,Y490*Calculation_sheet!C$87,0)</f>
        <v>0</v>
      </c>
      <c r="AA490" s="176">
        <f t="shared" ca="1" si="729"/>
        <v>0</v>
      </c>
      <c r="AB490" s="176">
        <f ca="1">IF(AP490&gt;0,AA490*Calculation_sheet!C$94,0)</f>
        <v>0</v>
      </c>
      <c r="AC490" s="176">
        <f t="shared" ca="1" si="730"/>
        <v>0</v>
      </c>
      <c r="AD490" s="958">
        <f ca="1">AC490*Calculation_sheet!C$99</f>
        <v>0</v>
      </c>
      <c r="AE490" s="176">
        <f t="shared" ca="1" si="730"/>
        <v>0</v>
      </c>
      <c r="AF490" s="176">
        <f t="shared" ca="1" si="731"/>
        <v>0</v>
      </c>
      <c r="AG490" s="958">
        <f ca="1">AF490*User_sheet!B$77/100</f>
        <v>0</v>
      </c>
      <c r="AH490" s="313"/>
      <c r="AI490" s="2">
        <v>104</v>
      </c>
      <c r="AJ490" s="985"/>
      <c r="AK490" s="1020">
        <f t="shared" ca="1" si="690"/>
        <v>124.56900259656577</v>
      </c>
      <c r="AL490" s="954">
        <f ca="1">AK490/'103'!I$24</f>
        <v>0.28032405647609737</v>
      </c>
      <c r="AM490" s="954">
        <f ca="1">0.8*(AK490*30+'104'!D$17*0.34*30*1)</f>
        <v>5909.3693423175791</v>
      </c>
      <c r="AN490" s="954">
        <f ca="1">IF(AM490&lt;User_sheet!B$50,Y490,0)</f>
        <v>0</v>
      </c>
      <c r="AO490" s="954">
        <f ca="1">20-(User_sheet!B$57/('Freestanding '!AK490+'104'!D$17*1*0.34))</f>
        <v>-3.1496784302111003</v>
      </c>
      <c r="AP490" s="954">
        <f ca="1">IF(AO490&lt;User_sheet!B$59,0,BC490*AA490)</f>
        <v>0</v>
      </c>
      <c r="AQ490" s="985"/>
      <c r="AR490" s="2">
        <v>0.32</v>
      </c>
      <c r="AS490" s="2">
        <v>0.43</v>
      </c>
      <c r="AT490" s="2">
        <v>0.43</v>
      </c>
      <c r="AU490" s="2">
        <v>2</v>
      </c>
      <c r="AV490" s="2">
        <v>3.3</v>
      </c>
      <c r="AW490" s="2">
        <v>14356</v>
      </c>
      <c r="AX490" s="2">
        <v>74834</v>
      </c>
      <c r="AY490" s="2">
        <v>69246</v>
      </c>
      <c r="AZ490" s="27">
        <v>0</v>
      </c>
      <c r="BA490" s="27">
        <v>0</v>
      </c>
      <c r="BB490" s="2">
        <v>0.6</v>
      </c>
      <c r="BC490" s="30">
        <v>1</v>
      </c>
      <c r="BD490" s="34">
        <v>0</v>
      </c>
      <c r="BE490" s="34">
        <v>0</v>
      </c>
      <c r="BF490" s="40">
        <v>0</v>
      </c>
      <c r="BG490" s="2">
        <v>0</v>
      </c>
      <c r="BH490" s="2">
        <v>1</v>
      </c>
      <c r="BI490" s="40">
        <v>0</v>
      </c>
      <c r="BJ490" s="2">
        <v>0</v>
      </c>
      <c r="BK490" s="2">
        <v>0</v>
      </c>
      <c r="BL490" s="2">
        <v>1</v>
      </c>
      <c r="BM490" s="40">
        <v>0</v>
      </c>
      <c r="BN490" s="958">
        <v>5.0000000000000001E-3</v>
      </c>
      <c r="BO490" s="50">
        <v>2.5</v>
      </c>
      <c r="BP490" s="1018">
        <f t="shared" ca="1" si="732"/>
        <v>162.63999999999999</v>
      </c>
      <c r="BQ490" s="1018">
        <f t="shared" ca="1" si="733"/>
        <v>285.02799999999996</v>
      </c>
      <c r="BR490" s="1018">
        <f t="shared" ca="1" si="734"/>
        <v>51.803914909975674</v>
      </c>
      <c r="BS490" s="1018">
        <f t="shared" ca="1" si="735"/>
        <v>115.89999999999998</v>
      </c>
      <c r="BT490" s="1018">
        <f t="shared" ca="1" si="736"/>
        <v>81.319999999999993</v>
      </c>
      <c r="BU490" s="1018">
        <f t="shared" ca="1" si="737"/>
        <v>22.93</v>
      </c>
      <c r="BV490" s="1018">
        <f t="shared" ca="1" si="738"/>
        <v>2.15</v>
      </c>
      <c r="BW490" s="1018">
        <v>0</v>
      </c>
      <c r="BX490" s="1018">
        <f t="shared" ca="1" si="739"/>
        <v>15.70608840120536</v>
      </c>
      <c r="BY490" s="1018">
        <f t="shared" ca="1" si="740"/>
        <v>46.380134011663962</v>
      </c>
      <c r="BZ490" s="1018">
        <f t="shared" ca="1" si="691"/>
        <v>10.738901848864625</v>
      </c>
      <c r="CA490" s="1018">
        <f t="shared" ca="1" si="692"/>
        <v>45.859999981655996</v>
      </c>
      <c r="CB490" s="1018">
        <f t="shared" ca="1" si="741"/>
        <v>4.5133587786259541</v>
      </c>
      <c r="CC490" s="1018">
        <f t="shared" si="693"/>
        <v>0</v>
      </c>
      <c r="CD490" s="1018">
        <f t="shared" ca="1" si="744"/>
        <v>124.56900259656577</v>
      </c>
      <c r="CE490" s="1018">
        <f t="shared" ca="1" si="742"/>
        <v>77.72736342320043</v>
      </c>
      <c r="CF490" s="1018">
        <f t="shared" ca="1" si="694"/>
        <v>6.068890980592986</v>
      </c>
      <c r="CG490" s="1018">
        <f t="shared" ca="1" si="695"/>
        <v>10104.460727048096</v>
      </c>
    </row>
    <row r="491" spans="4:85" x14ac:dyDescent="0.25">
      <c r="D491" s="1"/>
      <c r="F491" s="1"/>
      <c r="G491" s="3"/>
      <c r="H491" s="6"/>
      <c r="I491" s="3"/>
      <c r="J491" s="6" t="s">
        <v>190</v>
      </c>
      <c r="K491" s="8"/>
      <c r="L491" s="6"/>
      <c r="M491" s="6"/>
      <c r="N491" s="1"/>
      <c r="O491" s="6"/>
      <c r="P491" s="6"/>
      <c r="Q491" s="6" t="s">
        <v>22</v>
      </c>
      <c r="R491" s="4"/>
      <c r="S491" s="1"/>
      <c r="T491" s="77"/>
      <c r="W491" s="176">
        <f t="shared" si="728"/>
        <v>0</v>
      </c>
      <c r="X491" s="176">
        <f t="shared" si="743"/>
        <v>0</v>
      </c>
      <c r="Y491" s="34">
        <f>X491/Calculation_sheet!M$67</f>
        <v>0</v>
      </c>
      <c r="Z491" s="176">
        <f ca="1">IF(AN491&gt;0,Y491*Calculation_sheet!C$87,0)</f>
        <v>0</v>
      </c>
      <c r="AA491" s="176">
        <f t="shared" ca="1" si="729"/>
        <v>0</v>
      </c>
      <c r="AB491" s="176">
        <f ca="1">IF(AP491&gt;0,AA491*Calculation_sheet!C$94,0)</f>
        <v>0</v>
      </c>
      <c r="AC491" s="176">
        <f t="shared" ca="1" si="730"/>
        <v>0</v>
      </c>
      <c r="AD491" s="958">
        <f ca="1">AC491*Calculation_sheet!C$99</f>
        <v>0</v>
      </c>
      <c r="AE491" s="176">
        <f t="shared" ca="1" si="730"/>
        <v>0</v>
      </c>
      <c r="AF491" s="176">
        <f t="shared" ca="1" si="731"/>
        <v>0</v>
      </c>
      <c r="AG491" s="958">
        <f ca="1">AF491*User_sheet!B$77/100</f>
        <v>0</v>
      </c>
      <c r="AH491" s="313"/>
      <c r="AI491" s="2">
        <v>104</v>
      </c>
      <c r="AJ491" s="985"/>
      <c r="AK491" s="1020">
        <f t="shared" ca="1" si="690"/>
        <v>124.56900259656577</v>
      </c>
      <c r="AL491" s="954">
        <f ca="1">AK491/'103'!I$24</f>
        <v>0.28032405647609737</v>
      </c>
      <c r="AM491" s="954">
        <f ca="1">0.8*(AK491*30+'104'!D$17*0.34*30*1)</f>
        <v>5909.3693423175791</v>
      </c>
      <c r="AN491" s="954">
        <f ca="1">IF(AM491&lt;User_sheet!B$50,Y491,0)</f>
        <v>0</v>
      </c>
      <c r="AO491" s="954">
        <f ca="1">20-(User_sheet!B$57/('Freestanding '!AK491+'104'!D$17*1*0.34))</f>
        <v>-3.1496784302111003</v>
      </c>
      <c r="AP491" s="954">
        <f ca="1">IF(AO491&lt;User_sheet!B$59,0,BC491*AA491)</f>
        <v>0</v>
      </c>
      <c r="AQ491" s="985"/>
      <c r="AR491" s="2">
        <v>0.32</v>
      </c>
      <c r="AS491" s="2">
        <v>0.43</v>
      </c>
      <c r="AT491" s="2">
        <v>0.43</v>
      </c>
      <c r="AU491" s="2">
        <v>2</v>
      </c>
      <c r="AV491" s="2">
        <v>3.3</v>
      </c>
      <c r="AW491" s="2">
        <v>14356</v>
      </c>
      <c r="AX491" s="2">
        <v>74834</v>
      </c>
      <c r="AY491" s="2">
        <v>69246</v>
      </c>
      <c r="AZ491" s="27">
        <v>0</v>
      </c>
      <c r="BA491" s="27">
        <v>0</v>
      </c>
      <c r="BB491" s="2">
        <v>0.6</v>
      </c>
      <c r="BC491" s="30">
        <v>0</v>
      </c>
      <c r="BD491" s="34">
        <v>1</v>
      </c>
      <c r="BE491" s="34">
        <v>0</v>
      </c>
      <c r="BF491" s="40">
        <v>0</v>
      </c>
      <c r="BG491" s="2">
        <v>1</v>
      </c>
      <c r="BH491" s="2">
        <v>0</v>
      </c>
      <c r="BI491" s="40">
        <v>0</v>
      </c>
      <c r="BJ491" s="2">
        <v>0</v>
      </c>
      <c r="BK491" s="2">
        <v>1</v>
      </c>
      <c r="BL491" s="2">
        <v>0</v>
      </c>
      <c r="BM491" s="40">
        <v>0</v>
      </c>
      <c r="BN491" s="958">
        <v>5.0000000000000001E-3</v>
      </c>
      <c r="BO491" s="50">
        <v>2.5</v>
      </c>
      <c r="BP491" s="1018">
        <f t="shared" ca="1" si="732"/>
        <v>162.63999999999999</v>
      </c>
      <c r="BQ491" s="1018">
        <f t="shared" ca="1" si="733"/>
        <v>285.02799999999996</v>
      </c>
      <c r="BR491" s="1018">
        <f t="shared" ca="1" si="734"/>
        <v>51.803914909975674</v>
      </c>
      <c r="BS491" s="1018">
        <f t="shared" ca="1" si="735"/>
        <v>115.89999999999998</v>
      </c>
      <c r="BT491" s="1018">
        <f t="shared" ca="1" si="736"/>
        <v>81.319999999999993</v>
      </c>
      <c r="BU491" s="1018">
        <f t="shared" ca="1" si="737"/>
        <v>22.93</v>
      </c>
      <c r="BV491" s="1018">
        <f t="shared" ca="1" si="738"/>
        <v>2.15</v>
      </c>
      <c r="BW491" s="1018">
        <v>0</v>
      </c>
      <c r="BX491" s="1018">
        <f t="shared" ca="1" si="739"/>
        <v>15.70608840120536</v>
      </c>
      <c r="BY491" s="1018">
        <f t="shared" ca="1" si="740"/>
        <v>46.380134011663962</v>
      </c>
      <c r="BZ491" s="1018">
        <f t="shared" ca="1" si="691"/>
        <v>10.738901848864625</v>
      </c>
      <c r="CA491" s="1018">
        <f t="shared" ca="1" si="692"/>
        <v>45.859999981655996</v>
      </c>
      <c r="CB491" s="1018">
        <f t="shared" ca="1" si="741"/>
        <v>4.5133587786259541</v>
      </c>
      <c r="CC491" s="1018">
        <f t="shared" si="693"/>
        <v>0</v>
      </c>
      <c r="CD491" s="1018">
        <f t="shared" ca="1" si="744"/>
        <v>124.56900259656577</v>
      </c>
      <c r="CE491" s="1018">
        <f t="shared" ca="1" si="742"/>
        <v>77.72736342320043</v>
      </c>
      <c r="CF491" s="1018">
        <f t="shared" ca="1" si="694"/>
        <v>6.068890980592986</v>
      </c>
      <c r="CG491" s="1018">
        <f t="shared" ca="1" si="695"/>
        <v>10104.460727048096</v>
      </c>
    </row>
    <row r="492" spans="4:85" x14ac:dyDescent="0.25">
      <c r="D492" s="1"/>
      <c r="F492" s="1"/>
      <c r="G492" s="3"/>
      <c r="H492" s="6"/>
      <c r="I492" s="3"/>
      <c r="K492" s="8"/>
      <c r="L492" s="6"/>
      <c r="M492" s="1"/>
      <c r="N492" s="1"/>
      <c r="O492" s="1" t="s">
        <v>18</v>
      </c>
      <c r="P492" s="4"/>
      <c r="Q492" s="1" t="s">
        <v>7</v>
      </c>
      <c r="R492" s="4"/>
      <c r="S492" s="1"/>
      <c r="T492" s="77"/>
      <c r="W492" s="176">
        <f t="shared" si="728"/>
        <v>0</v>
      </c>
      <c r="X492" s="176">
        <f t="shared" si="743"/>
        <v>0</v>
      </c>
      <c r="Y492" s="34">
        <f>X492/Calculation_sheet!M$67</f>
        <v>0</v>
      </c>
      <c r="Z492" s="176">
        <f ca="1">IF(AN492&gt;0,Y492*Calculation_sheet!C$87,0)</f>
        <v>0</v>
      </c>
      <c r="AA492" s="176">
        <f t="shared" ca="1" si="729"/>
        <v>0</v>
      </c>
      <c r="AB492" s="176">
        <f ca="1">IF(AP492&gt;0,AA492*Calculation_sheet!C$94,0)</f>
        <v>0</v>
      </c>
      <c r="AC492" s="176">
        <f t="shared" ca="1" si="730"/>
        <v>0</v>
      </c>
      <c r="AD492" s="958">
        <f ca="1">AC492*Calculation_sheet!C$99</f>
        <v>0</v>
      </c>
      <c r="AE492" s="176">
        <f t="shared" ca="1" si="730"/>
        <v>0</v>
      </c>
      <c r="AF492" s="176">
        <f t="shared" ca="1" si="731"/>
        <v>0</v>
      </c>
      <c r="AG492" s="958">
        <f ca="1">AF492*User_sheet!B$77/100</f>
        <v>0</v>
      </c>
      <c r="AH492" s="313"/>
      <c r="AI492" s="2">
        <v>104</v>
      </c>
      <c r="AJ492" s="985"/>
      <c r="AK492" s="1020">
        <f t="shared" ca="1" si="690"/>
        <v>124.56900259656577</v>
      </c>
      <c r="AL492" s="954">
        <f ca="1">AK492/'103'!I$24</f>
        <v>0.28032405647609737</v>
      </c>
      <c r="AM492" s="954">
        <f ca="1">0.8*(AK492*30+'104'!D$17*0.34*30*1)</f>
        <v>5909.3693423175791</v>
      </c>
      <c r="AN492" s="954">
        <f ca="1">IF(AM492&lt;User_sheet!B$50,Y492,0)</f>
        <v>0</v>
      </c>
      <c r="AO492" s="954">
        <f ca="1">20-(User_sheet!B$57/('Freestanding '!AK492+'104'!D$17*1*0.34))</f>
        <v>-3.1496784302111003</v>
      </c>
      <c r="AP492" s="954">
        <f ca="1">IF(AO492&lt;User_sheet!B$59,0,BC492*AA492)</f>
        <v>0</v>
      </c>
      <c r="AQ492" s="985"/>
      <c r="AR492" s="2">
        <v>0.32</v>
      </c>
      <c r="AS492" s="2">
        <v>0.43</v>
      </c>
      <c r="AT492" s="2">
        <v>0.43</v>
      </c>
      <c r="AU492" s="2">
        <v>2</v>
      </c>
      <c r="AV492" s="2">
        <v>3.3</v>
      </c>
      <c r="AW492" s="2">
        <v>14356</v>
      </c>
      <c r="AX492" s="2">
        <v>74834</v>
      </c>
      <c r="AY492" s="2">
        <v>69246</v>
      </c>
      <c r="AZ492" s="27">
        <v>0</v>
      </c>
      <c r="BA492" s="27">
        <v>0</v>
      </c>
      <c r="BB492" s="2">
        <v>0.6</v>
      </c>
      <c r="BC492" s="30">
        <v>0</v>
      </c>
      <c r="BD492" s="34">
        <v>1</v>
      </c>
      <c r="BE492" s="34">
        <v>0</v>
      </c>
      <c r="BF492" s="40">
        <v>0</v>
      </c>
      <c r="BG492" s="2">
        <v>1</v>
      </c>
      <c r="BH492" s="2">
        <v>0</v>
      </c>
      <c r="BI492" s="40">
        <v>0</v>
      </c>
      <c r="BJ492" s="2">
        <v>0</v>
      </c>
      <c r="BK492" s="2">
        <v>0</v>
      </c>
      <c r="BL492" s="2">
        <v>1</v>
      </c>
      <c r="BM492" s="40">
        <v>0</v>
      </c>
      <c r="BN492" s="958">
        <v>5.0000000000000001E-3</v>
      </c>
      <c r="BO492" s="50">
        <v>2.5</v>
      </c>
      <c r="BP492" s="1018">
        <f t="shared" ca="1" si="732"/>
        <v>162.63999999999999</v>
      </c>
      <c r="BQ492" s="1018">
        <f t="shared" ca="1" si="733"/>
        <v>285.02799999999996</v>
      </c>
      <c r="BR492" s="1018">
        <f t="shared" ca="1" si="734"/>
        <v>51.803914909975674</v>
      </c>
      <c r="BS492" s="1018">
        <f t="shared" ca="1" si="735"/>
        <v>115.89999999999998</v>
      </c>
      <c r="BT492" s="1018">
        <f t="shared" ca="1" si="736"/>
        <v>81.319999999999993</v>
      </c>
      <c r="BU492" s="1018">
        <f t="shared" ca="1" si="737"/>
        <v>22.93</v>
      </c>
      <c r="BV492" s="1018">
        <f t="shared" ca="1" si="738"/>
        <v>2.15</v>
      </c>
      <c r="BW492" s="1018">
        <v>0</v>
      </c>
      <c r="BX492" s="1018">
        <f t="shared" ca="1" si="739"/>
        <v>15.70608840120536</v>
      </c>
      <c r="BY492" s="1018">
        <f t="shared" ca="1" si="740"/>
        <v>46.380134011663962</v>
      </c>
      <c r="BZ492" s="1018">
        <f t="shared" ca="1" si="691"/>
        <v>10.738901848864625</v>
      </c>
      <c r="CA492" s="1018">
        <f t="shared" ca="1" si="692"/>
        <v>45.859999981655996</v>
      </c>
      <c r="CB492" s="1018">
        <f t="shared" ca="1" si="741"/>
        <v>4.5133587786259541</v>
      </c>
      <c r="CC492" s="1018">
        <f t="shared" si="693"/>
        <v>0</v>
      </c>
      <c r="CD492" s="1018">
        <f t="shared" ca="1" si="744"/>
        <v>124.56900259656577</v>
      </c>
      <c r="CE492" s="1018">
        <f t="shared" ca="1" si="742"/>
        <v>77.72736342320043</v>
      </c>
      <c r="CF492" s="1018">
        <f t="shared" ca="1" si="694"/>
        <v>6.068890980592986</v>
      </c>
      <c r="CG492" s="1018">
        <f t="shared" ca="1" si="695"/>
        <v>10104.460727048096</v>
      </c>
    </row>
    <row r="493" spans="4:85" x14ac:dyDescent="0.25">
      <c r="D493" s="1"/>
      <c r="F493" s="1"/>
      <c r="G493" s="3"/>
      <c r="H493" s="6"/>
      <c r="I493" s="3"/>
      <c r="K493" s="8"/>
      <c r="L493" s="6"/>
      <c r="M493" s="1"/>
      <c r="N493" s="1"/>
      <c r="O493" s="1"/>
      <c r="P493" s="1"/>
      <c r="Q493" s="1" t="s">
        <v>22</v>
      </c>
      <c r="R493" s="4"/>
      <c r="S493" s="1"/>
      <c r="T493" s="77"/>
      <c r="W493" s="176">
        <f t="shared" si="728"/>
        <v>0</v>
      </c>
      <c r="X493" s="176">
        <f t="shared" si="743"/>
        <v>0</v>
      </c>
      <c r="Y493" s="34">
        <f>X493/Calculation_sheet!M$67</f>
        <v>0</v>
      </c>
      <c r="Z493" s="176">
        <f ca="1">IF(AN493&gt;0,Y493*Calculation_sheet!C$87,0)</f>
        <v>0</v>
      </c>
      <c r="AA493" s="176">
        <f t="shared" ca="1" si="729"/>
        <v>0</v>
      </c>
      <c r="AB493" s="176">
        <f ca="1">IF(AP493&gt;0,AA493*Calculation_sheet!C$94,0)</f>
        <v>0</v>
      </c>
      <c r="AC493" s="176">
        <f t="shared" ca="1" si="730"/>
        <v>0</v>
      </c>
      <c r="AD493" s="958">
        <f ca="1">AC493*Calculation_sheet!C$99</f>
        <v>0</v>
      </c>
      <c r="AE493" s="176">
        <f t="shared" ca="1" si="730"/>
        <v>0</v>
      </c>
      <c r="AF493" s="176">
        <f t="shared" ca="1" si="731"/>
        <v>0</v>
      </c>
      <c r="AG493" s="958">
        <f ca="1">AF493*User_sheet!B$77/100</f>
        <v>0</v>
      </c>
      <c r="AH493" s="313"/>
      <c r="AI493" s="2">
        <v>104</v>
      </c>
      <c r="AJ493" s="985"/>
      <c r="AK493" s="1020">
        <f t="shared" ca="1" si="690"/>
        <v>124.56900259656577</v>
      </c>
      <c r="AL493" s="954">
        <f ca="1">AK493/'103'!I$24</f>
        <v>0.28032405647609737</v>
      </c>
      <c r="AM493" s="954">
        <f ca="1">0.8*(AK493*30+'104'!D$17*0.34*30*1)</f>
        <v>5909.3693423175791</v>
      </c>
      <c r="AN493" s="954">
        <f ca="1">IF(AM493&lt;User_sheet!B$50,Y493,0)</f>
        <v>0</v>
      </c>
      <c r="AO493" s="954">
        <f ca="1">20-(User_sheet!B$57/('Freestanding '!AK493+'104'!D$17*1*0.34))</f>
        <v>-3.1496784302111003</v>
      </c>
      <c r="AP493" s="954">
        <f ca="1">IF(AO493&lt;User_sheet!B$59,0,BC493*AA493)</f>
        <v>0</v>
      </c>
      <c r="AQ493" s="985"/>
      <c r="AR493" s="2">
        <v>0.32</v>
      </c>
      <c r="AS493" s="2">
        <v>0.43</v>
      </c>
      <c r="AT493" s="2">
        <v>0.43</v>
      </c>
      <c r="AU493" s="2">
        <v>2</v>
      </c>
      <c r="AV493" s="2">
        <v>3.3</v>
      </c>
      <c r="AW493" s="2">
        <v>14356</v>
      </c>
      <c r="AX493" s="2">
        <v>74834</v>
      </c>
      <c r="AY493" s="2">
        <v>69246</v>
      </c>
      <c r="AZ493" s="27">
        <v>0</v>
      </c>
      <c r="BA493" s="27">
        <v>0</v>
      </c>
      <c r="BB493" s="2">
        <v>0.6</v>
      </c>
      <c r="BC493" s="30">
        <v>0</v>
      </c>
      <c r="BD493" s="34">
        <v>1</v>
      </c>
      <c r="BE493" s="34">
        <v>0</v>
      </c>
      <c r="BF493" s="40">
        <v>0</v>
      </c>
      <c r="BG493" s="2">
        <v>0</v>
      </c>
      <c r="BH493" s="2">
        <v>1</v>
      </c>
      <c r="BI493" s="40">
        <v>0</v>
      </c>
      <c r="BJ493" s="2">
        <v>0</v>
      </c>
      <c r="BK493" s="2">
        <v>1</v>
      </c>
      <c r="BL493" s="2">
        <v>0</v>
      </c>
      <c r="BM493" s="40">
        <v>0</v>
      </c>
      <c r="BN493" s="958">
        <v>5.0000000000000001E-3</v>
      </c>
      <c r="BO493" s="50">
        <v>2.5</v>
      </c>
      <c r="BP493" s="1018">
        <f t="shared" ca="1" si="732"/>
        <v>162.63999999999999</v>
      </c>
      <c r="BQ493" s="1018">
        <f t="shared" ca="1" si="733"/>
        <v>285.02799999999996</v>
      </c>
      <c r="BR493" s="1018">
        <f t="shared" ca="1" si="734"/>
        <v>51.803914909975674</v>
      </c>
      <c r="BS493" s="1018">
        <f t="shared" ca="1" si="735"/>
        <v>115.89999999999998</v>
      </c>
      <c r="BT493" s="1018">
        <f t="shared" ca="1" si="736"/>
        <v>81.319999999999993</v>
      </c>
      <c r="BU493" s="1018">
        <f t="shared" ca="1" si="737"/>
        <v>22.93</v>
      </c>
      <c r="BV493" s="1018">
        <f t="shared" ca="1" si="738"/>
        <v>2.15</v>
      </c>
      <c r="BW493" s="1018">
        <v>0</v>
      </c>
      <c r="BX493" s="1018">
        <f t="shared" ca="1" si="739"/>
        <v>15.70608840120536</v>
      </c>
      <c r="BY493" s="1018">
        <f t="shared" ca="1" si="740"/>
        <v>46.380134011663962</v>
      </c>
      <c r="BZ493" s="1018">
        <f t="shared" ca="1" si="691"/>
        <v>10.738901848864625</v>
      </c>
      <c r="CA493" s="1018">
        <f t="shared" ca="1" si="692"/>
        <v>45.859999981655996</v>
      </c>
      <c r="CB493" s="1018">
        <f t="shared" ca="1" si="741"/>
        <v>4.5133587786259541</v>
      </c>
      <c r="CC493" s="1018">
        <f t="shared" si="693"/>
        <v>0</v>
      </c>
      <c r="CD493" s="1018">
        <f t="shared" ca="1" si="744"/>
        <v>124.56900259656577</v>
      </c>
      <c r="CE493" s="1018">
        <f t="shared" ca="1" si="742"/>
        <v>77.72736342320043</v>
      </c>
      <c r="CF493" s="1018">
        <f t="shared" ca="1" si="694"/>
        <v>6.068890980592986</v>
      </c>
      <c r="CG493" s="1018">
        <f t="shared" ca="1" si="695"/>
        <v>10104.460727048096</v>
      </c>
    </row>
    <row r="494" spans="4:85" x14ac:dyDescent="0.25">
      <c r="D494" s="1"/>
      <c r="F494" s="1"/>
      <c r="G494" s="3"/>
      <c r="H494" s="6"/>
      <c r="I494" s="3"/>
      <c r="J494" s="6"/>
      <c r="K494" s="8"/>
      <c r="L494" s="6"/>
      <c r="M494" s="1" t="s">
        <v>22</v>
      </c>
      <c r="N494" s="4"/>
      <c r="O494" s="1" t="s">
        <v>20</v>
      </c>
      <c r="P494" s="4"/>
      <c r="Q494" s="1" t="s">
        <v>7</v>
      </c>
      <c r="R494" s="4"/>
      <c r="S494" s="1"/>
      <c r="T494" s="77"/>
      <c r="W494" s="176">
        <f t="shared" si="728"/>
        <v>0</v>
      </c>
      <c r="X494" s="176">
        <f t="shared" si="743"/>
        <v>0</v>
      </c>
      <c r="Y494" s="34">
        <f>X494/Calculation_sheet!M$67</f>
        <v>0</v>
      </c>
      <c r="Z494" s="176">
        <f ca="1">IF(AN494&gt;0,Y494*Calculation_sheet!C$87,0)</f>
        <v>0</v>
      </c>
      <c r="AA494" s="176">
        <f t="shared" ca="1" si="729"/>
        <v>0</v>
      </c>
      <c r="AB494" s="176">
        <f ca="1">IF(AP494&gt;0,AA494*Calculation_sheet!C$94,0)</f>
        <v>0</v>
      </c>
      <c r="AC494" s="176">
        <f t="shared" ca="1" si="730"/>
        <v>0</v>
      </c>
      <c r="AD494" s="958">
        <f ca="1">AC494*Calculation_sheet!C$99</f>
        <v>0</v>
      </c>
      <c r="AE494" s="176">
        <f t="shared" ca="1" si="730"/>
        <v>0</v>
      </c>
      <c r="AF494" s="176">
        <f t="shared" ca="1" si="731"/>
        <v>0</v>
      </c>
      <c r="AG494" s="958">
        <f ca="1">AF494*User_sheet!B$77/100</f>
        <v>0</v>
      </c>
      <c r="AH494" s="313"/>
      <c r="AI494" s="2">
        <v>104</v>
      </c>
      <c r="AJ494" s="985"/>
      <c r="AK494" s="1020">
        <f t="shared" ca="1" si="690"/>
        <v>124.56900259656577</v>
      </c>
      <c r="AL494" s="954">
        <f ca="1">AK494/'103'!I$24</f>
        <v>0.28032405647609737</v>
      </c>
      <c r="AM494" s="954">
        <f ca="1">0.8*(AK494*30+'104'!D$17*0.34*30*1)</f>
        <v>5909.3693423175791</v>
      </c>
      <c r="AN494" s="954">
        <f ca="1">IF(AM494&lt;User_sheet!B$50,Y494,0)</f>
        <v>0</v>
      </c>
      <c r="AO494" s="954">
        <f ca="1">20-(User_sheet!B$57/('Freestanding '!AK494+'104'!D$17*1*0.34))</f>
        <v>-3.1496784302111003</v>
      </c>
      <c r="AP494" s="954">
        <f ca="1">IF(AO494&lt;User_sheet!B$59,0,BC494*AA494)</f>
        <v>0</v>
      </c>
      <c r="AQ494" s="985"/>
      <c r="AR494" s="2">
        <v>0.32</v>
      </c>
      <c r="AS494" s="2">
        <v>0.43</v>
      </c>
      <c r="AT494" s="2">
        <v>0.43</v>
      </c>
      <c r="AU494" s="2">
        <v>2</v>
      </c>
      <c r="AV494" s="2">
        <v>3.3</v>
      </c>
      <c r="AW494" s="2">
        <v>14356</v>
      </c>
      <c r="AX494" s="2">
        <v>74834</v>
      </c>
      <c r="AY494" s="2">
        <v>69246</v>
      </c>
      <c r="AZ494" s="27">
        <v>0</v>
      </c>
      <c r="BA494" s="27">
        <v>0</v>
      </c>
      <c r="BB494" s="2">
        <v>0.6</v>
      </c>
      <c r="BC494" s="30">
        <v>0</v>
      </c>
      <c r="BD494" s="34">
        <v>1</v>
      </c>
      <c r="BE494" s="34">
        <v>0</v>
      </c>
      <c r="BF494" s="40">
        <v>0</v>
      </c>
      <c r="BG494" s="2">
        <v>0</v>
      </c>
      <c r="BH494" s="2">
        <v>1</v>
      </c>
      <c r="BI494" s="40">
        <v>0</v>
      </c>
      <c r="BJ494" s="2">
        <v>0</v>
      </c>
      <c r="BK494" s="2">
        <v>0</v>
      </c>
      <c r="BL494" s="2">
        <v>1</v>
      </c>
      <c r="BM494" s="40">
        <v>0</v>
      </c>
      <c r="BN494" s="958">
        <v>5.0000000000000001E-3</v>
      </c>
      <c r="BO494" s="50">
        <v>2.5</v>
      </c>
      <c r="BP494" s="1018">
        <f t="shared" ca="1" si="732"/>
        <v>162.63999999999999</v>
      </c>
      <c r="BQ494" s="1018">
        <f t="shared" ca="1" si="733"/>
        <v>285.02799999999996</v>
      </c>
      <c r="BR494" s="1018">
        <f t="shared" ca="1" si="734"/>
        <v>51.803914909975674</v>
      </c>
      <c r="BS494" s="1018">
        <f t="shared" ca="1" si="735"/>
        <v>115.89999999999998</v>
      </c>
      <c r="BT494" s="1018">
        <f t="shared" ca="1" si="736"/>
        <v>81.319999999999993</v>
      </c>
      <c r="BU494" s="1018">
        <f t="shared" ca="1" si="737"/>
        <v>22.93</v>
      </c>
      <c r="BV494" s="1018">
        <f t="shared" ca="1" si="738"/>
        <v>2.15</v>
      </c>
      <c r="BW494" s="1018">
        <v>0</v>
      </c>
      <c r="BX494" s="1018">
        <f t="shared" ca="1" si="739"/>
        <v>15.70608840120536</v>
      </c>
      <c r="BY494" s="1018">
        <f t="shared" ca="1" si="740"/>
        <v>46.380134011663962</v>
      </c>
      <c r="BZ494" s="1018">
        <f t="shared" ca="1" si="691"/>
        <v>10.738901848864625</v>
      </c>
      <c r="CA494" s="1018">
        <f t="shared" ca="1" si="692"/>
        <v>45.859999981655996</v>
      </c>
      <c r="CB494" s="1018">
        <f t="shared" ca="1" si="741"/>
        <v>4.5133587786259541</v>
      </c>
      <c r="CC494" s="1018">
        <f t="shared" si="693"/>
        <v>0</v>
      </c>
      <c r="CD494" s="1018">
        <f t="shared" ca="1" si="744"/>
        <v>124.56900259656577</v>
      </c>
      <c r="CE494" s="1018">
        <f t="shared" ca="1" si="742"/>
        <v>77.72736342320043</v>
      </c>
      <c r="CF494" s="1018">
        <f t="shared" ca="1" si="694"/>
        <v>6.068890980592986</v>
      </c>
      <c r="CG494" s="1018">
        <f t="shared" ca="1" si="695"/>
        <v>10104.460727048096</v>
      </c>
    </row>
    <row r="495" spans="4:85" x14ac:dyDescent="0.25">
      <c r="D495" s="1"/>
      <c r="F495" s="1"/>
      <c r="G495" s="3"/>
      <c r="H495" s="6"/>
      <c r="I495" s="3"/>
      <c r="J495" s="6"/>
      <c r="K495" s="8"/>
      <c r="L495" s="5"/>
      <c r="M495" s="1" t="s">
        <v>7</v>
      </c>
      <c r="N495" s="4"/>
      <c r="O495" s="1" t="s">
        <v>23</v>
      </c>
      <c r="P495" s="4"/>
      <c r="Q495" s="1" t="s">
        <v>7</v>
      </c>
      <c r="R495" s="4"/>
      <c r="S495" s="1"/>
      <c r="T495" s="77"/>
      <c r="W495" s="176">
        <f t="shared" si="728"/>
        <v>0</v>
      </c>
      <c r="X495" s="176">
        <f t="shared" si="743"/>
        <v>0</v>
      </c>
      <c r="Y495" s="34">
        <f>X495/Calculation_sheet!M$67</f>
        <v>0</v>
      </c>
      <c r="Z495" s="176">
        <f ca="1">IF(AN495&gt;0,Y495*Calculation_sheet!C$87,0)</f>
        <v>0</v>
      </c>
      <c r="AA495" s="176">
        <f t="shared" ca="1" si="729"/>
        <v>0</v>
      </c>
      <c r="AB495" s="176">
        <f ca="1">IF(AP495&gt;0,AA495*Calculation_sheet!C$94,0)</f>
        <v>0</v>
      </c>
      <c r="AC495" s="176">
        <f t="shared" ca="1" si="730"/>
        <v>0</v>
      </c>
      <c r="AD495" s="958">
        <f ca="1">AC495*Calculation_sheet!C$99</f>
        <v>0</v>
      </c>
      <c r="AE495" s="176">
        <f t="shared" ca="1" si="730"/>
        <v>0</v>
      </c>
      <c r="AF495" s="176">
        <f t="shared" ca="1" si="731"/>
        <v>0</v>
      </c>
      <c r="AG495" s="958">
        <f ca="1">AF495*User_sheet!B$77/100</f>
        <v>0</v>
      </c>
      <c r="AH495" s="313"/>
      <c r="AI495" s="2">
        <v>104</v>
      </c>
      <c r="AJ495" s="985"/>
      <c r="AK495" s="1020">
        <f t="shared" ca="1" si="690"/>
        <v>124.56900259656577</v>
      </c>
      <c r="AL495" s="954">
        <f ca="1">AK495/'103'!I$24</f>
        <v>0.28032405647609737</v>
      </c>
      <c r="AM495" s="954">
        <f ca="1">0.8*(AK495*30+'104'!D$17*0.34*30*1)</f>
        <v>5909.3693423175791</v>
      </c>
      <c r="AN495" s="954">
        <f ca="1">IF(AM495&lt;User_sheet!B$50,Y495,0)</f>
        <v>0</v>
      </c>
      <c r="AO495" s="954">
        <f ca="1">20-(User_sheet!B$57/('Freestanding '!AK495+'104'!D$17*1*0.34))</f>
        <v>-3.1496784302111003</v>
      </c>
      <c r="AP495" s="954">
        <f ca="1">IF(AO495&lt;User_sheet!B$59,0,BC495*AA495)</f>
        <v>0</v>
      </c>
      <c r="AQ495" s="985"/>
      <c r="AR495" s="2">
        <v>0.32</v>
      </c>
      <c r="AS495" s="2">
        <v>0.43</v>
      </c>
      <c r="AT495" s="2">
        <v>0.43</v>
      </c>
      <c r="AU495" s="2">
        <v>2</v>
      </c>
      <c r="AV495" s="2">
        <v>3.3</v>
      </c>
      <c r="AW495" s="2">
        <v>14356</v>
      </c>
      <c r="AX495" s="2">
        <v>74834</v>
      </c>
      <c r="AY495" s="2">
        <v>69246</v>
      </c>
      <c r="AZ495" s="27">
        <v>0</v>
      </c>
      <c r="BA495" s="27">
        <v>0</v>
      </c>
      <c r="BB495" s="2">
        <v>0.6</v>
      </c>
      <c r="BC495" s="30">
        <v>0</v>
      </c>
      <c r="BD495" s="34">
        <v>0</v>
      </c>
      <c r="BE495" s="34">
        <v>1</v>
      </c>
      <c r="BF495" s="40">
        <v>0</v>
      </c>
      <c r="BG495" s="2">
        <v>0</v>
      </c>
      <c r="BH495" s="2">
        <v>0</v>
      </c>
      <c r="BI495" s="40">
        <v>1</v>
      </c>
      <c r="BJ495" s="2">
        <v>0</v>
      </c>
      <c r="BK495" s="2">
        <v>0</v>
      </c>
      <c r="BL495" s="2">
        <v>1</v>
      </c>
      <c r="BM495" s="40">
        <v>0</v>
      </c>
      <c r="BN495" s="958">
        <v>5.0000000000000001E-3</v>
      </c>
      <c r="BO495" s="50">
        <v>2.5</v>
      </c>
      <c r="BP495" s="1018">
        <f t="shared" ca="1" si="732"/>
        <v>162.63999999999999</v>
      </c>
      <c r="BQ495" s="1018">
        <f t="shared" ca="1" si="733"/>
        <v>285.02799999999996</v>
      </c>
      <c r="BR495" s="1018">
        <f t="shared" ca="1" si="734"/>
        <v>51.803914909975674</v>
      </c>
      <c r="BS495" s="1018">
        <f t="shared" ca="1" si="735"/>
        <v>115.89999999999998</v>
      </c>
      <c r="BT495" s="1018">
        <f t="shared" ca="1" si="736"/>
        <v>81.319999999999993</v>
      </c>
      <c r="BU495" s="1018">
        <f t="shared" ca="1" si="737"/>
        <v>22.93</v>
      </c>
      <c r="BV495" s="1018">
        <f t="shared" ca="1" si="738"/>
        <v>2.15</v>
      </c>
      <c r="BW495" s="1018">
        <v>0</v>
      </c>
      <c r="BX495" s="1018">
        <f t="shared" ca="1" si="739"/>
        <v>15.70608840120536</v>
      </c>
      <c r="BY495" s="1018">
        <f t="shared" ca="1" si="740"/>
        <v>46.380134011663962</v>
      </c>
      <c r="BZ495" s="1018">
        <f t="shared" ca="1" si="691"/>
        <v>10.738901848864625</v>
      </c>
      <c r="CA495" s="1018">
        <f t="shared" ca="1" si="692"/>
        <v>45.859999981655996</v>
      </c>
      <c r="CB495" s="1018">
        <f t="shared" ca="1" si="741"/>
        <v>4.5133587786259541</v>
      </c>
      <c r="CC495" s="1018">
        <f t="shared" si="693"/>
        <v>0</v>
      </c>
      <c r="CD495" s="1018">
        <f t="shared" ca="1" si="744"/>
        <v>124.56900259656577</v>
      </c>
      <c r="CE495" s="1018">
        <f t="shared" ca="1" si="742"/>
        <v>77.72736342320043</v>
      </c>
      <c r="CF495" s="1018">
        <f t="shared" ca="1" si="694"/>
        <v>6.068890980592986</v>
      </c>
      <c r="CG495" s="1018">
        <f t="shared" ca="1" si="695"/>
        <v>10104.460727048096</v>
      </c>
    </row>
    <row r="496" spans="4:85" s="9" customFormat="1" x14ac:dyDescent="0.25">
      <c r="D496" s="10"/>
      <c r="F496" s="10"/>
      <c r="H496" s="10"/>
      <c r="J496" s="10"/>
      <c r="M496" s="10"/>
      <c r="N496" s="10"/>
      <c r="O496" s="10"/>
      <c r="P496" s="10"/>
      <c r="Q496" s="10"/>
      <c r="R496" s="10"/>
      <c r="S496" s="10"/>
      <c r="T496" s="81"/>
      <c r="U496" s="84"/>
      <c r="V496" s="283"/>
      <c r="W496" s="283"/>
      <c r="X496" s="283"/>
      <c r="Y496" s="279"/>
      <c r="Z496" s="283"/>
      <c r="AA496" s="283"/>
      <c r="AB496" s="283"/>
      <c r="AC496" s="283"/>
      <c r="AD496" s="283"/>
      <c r="AE496" s="283"/>
      <c r="AF496" s="283"/>
      <c r="AG496" s="279"/>
      <c r="AH496" s="313"/>
      <c r="AI496" s="24"/>
      <c r="AJ496" s="985"/>
      <c r="AK496" s="1020">
        <f t="shared" si="690"/>
        <v>0</v>
      </c>
      <c r="AL496" s="916"/>
      <c r="AM496" s="916"/>
      <c r="AN496" s="916"/>
      <c r="AO496" s="916"/>
      <c r="AP496" s="916"/>
      <c r="AQ496" s="985"/>
      <c r="AR496" s="24"/>
      <c r="AS496" s="24"/>
      <c r="AT496" s="24"/>
      <c r="AU496" s="24"/>
      <c r="AV496" s="24"/>
      <c r="AW496" s="24"/>
      <c r="AX496" s="24"/>
      <c r="AY496" s="24"/>
      <c r="AZ496" s="24"/>
      <c r="BA496" s="24"/>
      <c r="BB496" s="24"/>
      <c r="BC496" s="47"/>
      <c r="BD496" s="279"/>
      <c r="BE496" s="279"/>
      <c r="BF496" s="51"/>
      <c r="BG496" s="24"/>
      <c r="BH496" s="24"/>
      <c r="BI496" s="51"/>
      <c r="BJ496" s="24"/>
      <c r="BK496" s="24"/>
      <c r="BL496" s="24"/>
      <c r="BM496" s="51"/>
      <c r="BN496" s="279"/>
      <c r="BO496" s="51"/>
    </row>
    <row r="497" spans="3:85" x14ac:dyDescent="0.25">
      <c r="F497" s="1"/>
      <c r="H497" s="1"/>
      <c r="J497" s="1"/>
      <c r="M497" s="2" t="s">
        <v>16</v>
      </c>
      <c r="N497" s="26">
        <v>0.5</v>
      </c>
      <c r="O497" s="2" t="s">
        <v>18</v>
      </c>
      <c r="P497" s="26">
        <v>1</v>
      </c>
      <c r="Q497" s="2" t="s">
        <v>16</v>
      </c>
      <c r="R497" s="26">
        <v>1</v>
      </c>
      <c r="T497" s="85">
        <f>R497*P497*N497*L498*J498*H498*F498*D498*B276</f>
        <v>3.8703250000000004E-3</v>
      </c>
      <c r="V497" s="176">
        <f>T497</f>
        <v>3.8703250000000004E-3</v>
      </c>
      <c r="W497" s="176">
        <f>V497</f>
        <v>3.8703250000000004E-3</v>
      </c>
      <c r="X497" s="176">
        <f>W497</f>
        <v>3.8703250000000004E-3</v>
      </c>
      <c r="Y497" s="34">
        <f>X497/Calculation_sheet!M$67</f>
        <v>3.8704041343239986E-3</v>
      </c>
      <c r="Z497" s="176">
        <f ca="1">IF(AN497&gt;0,Y497*Calculation_sheet!C$87,0)</f>
        <v>0</v>
      </c>
      <c r="AA497" s="176">
        <f ca="1">Y497-Z497</f>
        <v>3.8704041343239986E-3</v>
      </c>
      <c r="AB497" s="176">
        <f ca="1">IF(AP497&gt;0,AA497*Calculation_sheet!C$94,0)</f>
        <v>0</v>
      </c>
      <c r="AC497" s="176">
        <f ca="1">AA497-AB497</f>
        <v>3.8704041343239986E-3</v>
      </c>
      <c r="AD497" s="958">
        <f ca="1">AC497*Calculation_sheet!C$99</f>
        <v>2.3222424805943989E-3</v>
      </c>
      <c r="AE497" s="176">
        <f ca="1">AC497-AD497</f>
        <v>1.5481616537295997E-3</v>
      </c>
      <c r="AF497" s="176">
        <f t="shared" ca="1" si="731"/>
        <v>3.8704041343239986E-3</v>
      </c>
      <c r="AG497" s="958">
        <f ca="1">AF497*User_sheet!B$77/100</f>
        <v>0</v>
      </c>
      <c r="AI497" s="2">
        <v>104</v>
      </c>
      <c r="AJ497" s="985"/>
      <c r="AK497" s="1020">
        <f t="shared" ca="1" si="690"/>
        <v>142.38575706571419</v>
      </c>
      <c r="AL497" s="954">
        <f ca="1">AK497/'103'!I$24</f>
        <v>0.32041801871328085</v>
      </c>
      <c r="AM497" s="954">
        <f ca="1">0.8*(AK497*30+'104'!D$17*0.34*30*1)</f>
        <v>6336.9714495771404</v>
      </c>
      <c r="AN497" s="954">
        <f ca="1">IF(AM497&lt;User_sheet!B$50,Y497,0)</f>
        <v>3.8704041343239986E-3</v>
      </c>
      <c r="AO497" s="954">
        <f ca="1">20-(User_sheet!B$57/('Freestanding '!AK497+'104'!D$17*1*0.34))</f>
        <v>-1.5875992323002386</v>
      </c>
      <c r="AP497" s="954">
        <f ca="1">IF(AO497&lt;User_sheet!B$59,0,BC497*AA497)</f>
        <v>0</v>
      </c>
      <c r="AQ497" s="985"/>
      <c r="AR497" s="2">
        <v>0.32</v>
      </c>
      <c r="AS497" s="2">
        <v>0.43</v>
      </c>
      <c r="AT497" s="2">
        <v>0.43</v>
      </c>
      <c r="AU497" s="2">
        <v>2</v>
      </c>
      <c r="AV497" s="2">
        <v>3.3</v>
      </c>
      <c r="AW497" s="2">
        <v>14356</v>
      </c>
      <c r="AX497" s="2">
        <v>74834</v>
      </c>
      <c r="AY497" s="2">
        <v>69246</v>
      </c>
      <c r="AZ497" s="27">
        <v>0</v>
      </c>
      <c r="BA497" s="27">
        <v>0</v>
      </c>
      <c r="BB497" s="2">
        <v>0.6</v>
      </c>
      <c r="BC497" s="30">
        <v>1</v>
      </c>
      <c r="BD497" s="34">
        <v>0</v>
      </c>
      <c r="BE497" s="34">
        <v>0</v>
      </c>
      <c r="BF497" s="40">
        <v>0</v>
      </c>
      <c r="BG497" s="2">
        <v>1</v>
      </c>
      <c r="BH497" s="2">
        <v>0</v>
      </c>
      <c r="BI497" s="40">
        <v>0</v>
      </c>
      <c r="BJ497" s="2">
        <v>1</v>
      </c>
      <c r="BK497" s="2">
        <v>0</v>
      </c>
      <c r="BL497" s="2">
        <v>0</v>
      </c>
      <c r="BM497" s="40">
        <v>0</v>
      </c>
      <c r="BN497" s="958">
        <v>7.0000000000000007E-2</v>
      </c>
      <c r="BO497" s="959">
        <v>6</v>
      </c>
      <c r="BP497" s="1018">
        <f ca="1">INDIRECT("'"&amp;AI497&amp;"'!"&amp;"B2")</f>
        <v>162.63999999999999</v>
      </c>
      <c r="BQ497" s="1018">
        <f ca="1">INDIRECT("'"&amp;AI497&amp;"'!"&amp;"C12")+INDIRECT("'"&amp;AI497&amp;"'!"&amp;"C13")+INDIRECT("'"&amp;AI497&amp;"'!"&amp;"C14")+INDIRECT("'"&amp;AI497&amp;"'!"&amp;"C15")+INDIRECT("'"&amp;AI497&amp;"'!"&amp;"C17")</f>
        <v>285.02799999999996</v>
      </c>
      <c r="BR497" s="1018">
        <f ca="1">INDIRECT("'"&amp;AI497&amp;"'!"&amp;"G5")</f>
        <v>51.803914909975674</v>
      </c>
      <c r="BS497" s="1018">
        <f ca="1">INDIRECT("'"&amp;AI497&amp;"'!"&amp;"G4")</f>
        <v>115.89999999999998</v>
      </c>
      <c r="BT497" s="1018">
        <f ca="1">INDIRECT("'"&amp;AI497&amp;"'!"&amp;"G6")</f>
        <v>81.319999999999993</v>
      </c>
      <c r="BU497" s="1018">
        <f ca="1">INDIRECT("'"&amp;AI497&amp;"'!"&amp;"G2")</f>
        <v>22.93</v>
      </c>
      <c r="BV497" s="1018">
        <f ca="1">INDIRECT("'"&amp;AI497&amp;"'!"&amp;"G3")</f>
        <v>2.15</v>
      </c>
      <c r="BW497" s="1018">
        <v>0</v>
      </c>
      <c r="BX497" s="1018">
        <f ca="1">IF(BR497=0,0,1/(1/(BR497*$BY$3)+1/(BR497*AR497)+1/(BR497*$BY$4)))</f>
        <v>15.70608840120536</v>
      </c>
      <c r="BY497" s="1018">
        <f ca="1">IF(BS497=0,0,1/(1/(BS497*$BY$3)+1/(BS497*AS497)+1/(BS497*$BY$4)))</f>
        <v>46.380134011663962</v>
      </c>
      <c r="BZ497" s="1018">
        <f t="shared" ca="1" si="691"/>
        <v>10.738901848864625</v>
      </c>
      <c r="CA497" s="1018">
        <f t="shared" ca="1" si="692"/>
        <v>45.859999981655996</v>
      </c>
      <c r="CB497" s="1018">
        <f ca="1">IF(BV497=0,0,1/(1/(BV497*$BY$3)+1/(BV497*AV497)+1/(BV497*$BY$4)))</f>
        <v>4.5133587786259541</v>
      </c>
      <c r="CC497" s="1018">
        <f t="shared" si="693"/>
        <v>0</v>
      </c>
      <c r="CD497" s="1018">
        <f ca="1">SUM(BX497:CC497)+(BR497+BS497+BT497+BU497+BV497)*BN497</f>
        <v>142.38575706571419</v>
      </c>
      <c r="CE497" s="1018">
        <f ca="1">0.34*BO497*(1/25)^0.66*(BR497+BS497+BU497+BV497)+0.6*BQ497*0.34*0.2</f>
        <v>58.625105815681046</v>
      </c>
      <c r="CF497" s="1018">
        <f ca="1">(CD497+CE497)*($BY$7-$BV$5)/1000</f>
        <v>6.0303258864418572</v>
      </c>
      <c r="CG497" s="1018">
        <f ca="1">$BV$8*(CD497+CE497)*($BY$10-$BV$7)*24/1000</f>
        <v>10040.251387890235</v>
      </c>
    </row>
    <row r="498" spans="3:85" x14ac:dyDescent="0.25">
      <c r="C498" s="1" t="s">
        <v>132</v>
      </c>
      <c r="D498" s="5">
        <v>2.6499999999999999E-2</v>
      </c>
      <c r="E498" t="s">
        <v>4</v>
      </c>
      <c r="F498" s="5">
        <v>1</v>
      </c>
      <c r="G498" t="s">
        <v>5</v>
      </c>
      <c r="H498" s="5">
        <v>1</v>
      </c>
      <c r="I498" t="s">
        <v>6</v>
      </c>
      <c r="J498" s="5">
        <v>1</v>
      </c>
      <c r="K498" t="s">
        <v>12</v>
      </c>
      <c r="L498" s="5">
        <v>1</v>
      </c>
      <c r="M498" s="2" t="s">
        <v>22</v>
      </c>
      <c r="N498" s="26">
        <v>0.5</v>
      </c>
      <c r="O498" s="2" t="s">
        <v>18</v>
      </c>
      <c r="P498" s="26">
        <v>1</v>
      </c>
      <c r="Q498" s="2" t="s">
        <v>22</v>
      </c>
      <c r="R498" s="26">
        <v>1</v>
      </c>
      <c r="T498" s="85">
        <f>R498*P498*N498*L498*J498*H498*F498*D498*B276</f>
        <v>3.8703250000000004E-3</v>
      </c>
      <c r="U498" s="287" t="s">
        <v>49</v>
      </c>
      <c r="V498" s="176">
        <f>T498</f>
        <v>3.8703250000000004E-3</v>
      </c>
      <c r="W498" s="176">
        <f>V498</f>
        <v>3.8703250000000004E-3</v>
      </c>
      <c r="X498" s="176">
        <f>W498</f>
        <v>3.8703250000000004E-3</v>
      </c>
      <c r="Y498" s="34">
        <f>X498/Calculation_sheet!M$67</f>
        <v>3.8704041343239986E-3</v>
      </c>
      <c r="Z498" s="176">
        <f ca="1">IF(AN498&gt;0,Y498*Calculation_sheet!C$87,0)</f>
        <v>0</v>
      </c>
      <c r="AA498" s="176">
        <f ca="1">Y498-Z498</f>
        <v>3.8704041343239986E-3</v>
      </c>
      <c r="AB498" s="176">
        <f ca="1">IF(AP498&gt;0,AA498*Calculation_sheet!C$94,0)</f>
        <v>0</v>
      </c>
      <c r="AC498" s="176">
        <f ca="1">AA498-AB498</f>
        <v>3.8704041343239986E-3</v>
      </c>
      <c r="AD498" s="958">
        <f ca="1">AC498*Calculation_sheet!C$99</f>
        <v>2.3222424805943989E-3</v>
      </c>
      <c r="AE498" s="176">
        <f ca="1">AC498-AD498</f>
        <v>1.5481616537295997E-3</v>
      </c>
      <c r="AF498" s="176">
        <f t="shared" ca="1" si="731"/>
        <v>3.8704041343239986E-3</v>
      </c>
      <c r="AG498" s="958">
        <f ca="1">AF498*User_sheet!B$77/100</f>
        <v>0</v>
      </c>
      <c r="AI498" s="2">
        <v>104</v>
      </c>
      <c r="AJ498" s="985"/>
      <c r="AK498" s="1020">
        <f t="shared" ca="1" si="690"/>
        <v>142.38575706571419</v>
      </c>
      <c r="AL498" s="954">
        <f ca="1">AK498/'103'!I$24</f>
        <v>0.32041801871328085</v>
      </c>
      <c r="AM498" s="954">
        <f ca="1">0.8*(AK498*30+'104'!D$17*0.34*30*1)</f>
        <v>6336.9714495771404</v>
      </c>
      <c r="AN498" s="954">
        <f ca="1">IF(AM498&lt;User_sheet!B$50,Y498,0)</f>
        <v>3.8704041343239986E-3</v>
      </c>
      <c r="AO498" s="954">
        <f ca="1">20-(User_sheet!B$57/('Freestanding '!AK498+'104'!D$17*1*0.34))</f>
        <v>-1.5875992323002386</v>
      </c>
      <c r="AP498" s="954">
        <f ca="1">IF(AO498&lt;User_sheet!B$59,0,BC498*AA498)</f>
        <v>0</v>
      </c>
      <c r="AQ498" s="985"/>
      <c r="AR498" s="2">
        <v>0.32</v>
      </c>
      <c r="AS498" s="2">
        <v>0.43</v>
      </c>
      <c r="AT498" s="2">
        <v>0.43</v>
      </c>
      <c r="AU498" s="2">
        <v>2</v>
      </c>
      <c r="AV498" s="2">
        <v>3.3</v>
      </c>
      <c r="AW498" s="2">
        <v>14356</v>
      </c>
      <c r="AX498" s="2">
        <v>74834</v>
      </c>
      <c r="AY498" s="2">
        <v>69246</v>
      </c>
      <c r="AZ498" s="27">
        <v>0</v>
      </c>
      <c r="BA498" s="27">
        <v>0</v>
      </c>
      <c r="BB498" s="2">
        <v>0.6</v>
      </c>
      <c r="BC498" s="30">
        <v>0</v>
      </c>
      <c r="BD498" s="34">
        <v>1</v>
      </c>
      <c r="BE498" s="34">
        <v>0</v>
      </c>
      <c r="BF498" s="40">
        <v>0</v>
      </c>
      <c r="BG498" s="2">
        <v>1</v>
      </c>
      <c r="BH498" s="2">
        <v>0</v>
      </c>
      <c r="BI498" s="40">
        <v>0</v>
      </c>
      <c r="BJ498" s="2">
        <v>0</v>
      </c>
      <c r="BK498" s="2">
        <v>1</v>
      </c>
      <c r="BL498" s="2">
        <v>0</v>
      </c>
      <c r="BM498" s="40">
        <v>0</v>
      </c>
      <c r="BN498" s="958">
        <v>7.0000000000000007E-2</v>
      </c>
      <c r="BO498" s="959">
        <v>6</v>
      </c>
      <c r="BP498" s="1018">
        <f ca="1">INDIRECT("'"&amp;AI498&amp;"'!"&amp;"B2")</f>
        <v>162.63999999999999</v>
      </c>
      <c r="BQ498" s="1018">
        <f ca="1">INDIRECT("'"&amp;AI498&amp;"'!"&amp;"C12")+INDIRECT("'"&amp;AI498&amp;"'!"&amp;"C13")+INDIRECT("'"&amp;AI498&amp;"'!"&amp;"C14")+INDIRECT("'"&amp;AI498&amp;"'!"&amp;"C15")+INDIRECT("'"&amp;AI498&amp;"'!"&amp;"C17")</f>
        <v>285.02799999999996</v>
      </c>
      <c r="BR498" s="1018">
        <f ca="1">INDIRECT("'"&amp;AI498&amp;"'!"&amp;"G5")</f>
        <v>51.803914909975674</v>
      </c>
      <c r="BS498" s="1018">
        <f ca="1">INDIRECT("'"&amp;AI498&amp;"'!"&amp;"G4")</f>
        <v>115.89999999999998</v>
      </c>
      <c r="BT498" s="1018">
        <f ca="1">INDIRECT("'"&amp;AI498&amp;"'!"&amp;"G6")</f>
        <v>81.319999999999993</v>
      </c>
      <c r="BU498" s="1018">
        <f ca="1">INDIRECT("'"&amp;AI498&amp;"'!"&amp;"G2")</f>
        <v>22.93</v>
      </c>
      <c r="BV498" s="1018">
        <f ca="1">INDIRECT("'"&amp;AI498&amp;"'!"&amp;"G3")</f>
        <v>2.15</v>
      </c>
      <c r="BW498" s="1018">
        <v>0</v>
      </c>
      <c r="BX498" s="1018">
        <f ca="1">IF(BR498=0,0,1/(1/(BR498*$BY$3)+1/(BR498*AR498)+1/(BR498*$BY$4)))</f>
        <v>15.70608840120536</v>
      </c>
      <c r="BY498" s="1018">
        <f ca="1">IF(BS498=0,0,1/(1/(BS498*$BY$3)+1/(BS498*AS498)+1/(BS498*$BY$4)))</f>
        <v>46.380134011663962</v>
      </c>
      <c r="BZ498" s="1018">
        <f t="shared" ca="1" si="691"/>
        <v>10.738901848864625</v>
      </c>
      <c r="CA498" s="1018">
        <f t="shared" ca="1" si="692"/>
        <v>45.859999981655996</v>
      </c>
      <c r="CB498" s="1018">
        <f ca="1">IF(BV498=0,0,1/(1/(BV498*$BY$3)+1/(BV498*AV498)+1/(BV498*$BY$4)))</f>
        <v>4.5133587786259541</v>
      </c>
      <c r="CC498" s="1018">
        <f t="shared" si="693"/>
        <v>0</v>
      </c>
      <c r="CD498" s="1018">
        <f ca="1">SUM(BX498:CC498)+(BR498+BS498+BT498+BU498+BV498)*BN498</f>
        <v>142.38575706571419</v>
      </c>
      <c r="CE498" s="1018">
        <f ca="1">0.34*BO498*(1/25)^0.66*(BR498+BS498+BU498+BV498)+0.6*BQ498*0.34*0.2</f>
        <v>58.625105815681046</v>
      </c>
      <c r="CF498" s="1018">
        <f t="shared" ca="1" si="694"/>
        <v>6.0303258864418572</v>
      </c>
      <c r="CG498" s="1018">
        <f t="shared" ca="1" si="695"/>
        <v>10040.251387890235</v>
      </c>
    </row>
    <row r="499" spans="3:85" s="9" customFormat="1" x14ac:dyDescent="0.25">
      <c r="T499" s="84"/>
      <c r="U499" s="283"/>
      <c r="V499" s="283"/>
      <c r="W499" s="283"/>
      <c r="X499" s="283"/>
      <c r="Y499" s="279"/>
      <c r="Z499" s="279"/>
      <c r="AA499" s="283"/>
      <c r="AB499" s="283"/>
      <c r="AC499" s="283"/>
      <c r="AD499" s="283"/>
      <c r="AE499" s="283"/>
      <c r="AF499" s="283"/>
      <c r="AG499" s="279"/>
      <c r="AH499" s="314"/>
      <c r="AI499" s="24"/>
      <c r="AJ499" s="985"/>
      <c r="AK499" s="1020">
        <f t="shared" si="690"/>
        <v>0</v>
      </c>
      <c r="AL499" s="916"/>
      <c r="AM499" s="916"/>
      <c r="AN499" s="916"/>
      <c r="AO499" s="916"/>
      <c r="AP499" s="916"/>
      <c r="AQ499" s="985"/>
      <c r="AR499" s="24"/>
      <c r="AS499" s="24"/>
      <c r="AT499" s="24"/>
      <c r="AU499" s="24"/>
      <c r="AV499" s="24"/>
      <c r="AW499" s="24"/>
      <c r="AX499" s="24"/>
      <c r="AY499" s="24"/>
      <c r="AZ499" s="24"/>
      <c r="BA499" s="24"/>
      <c r="BB499" s="24"/>
      <c r="BC499" s="47"/>
      <c r="BD499" s="279"/>
      <c r="BE499" s="279"/>
      <c r="BF499" s="51"/>
      <c r="BG499" s="24"/>
      <c r="BH499" s="24"/>
      <c r="BI499" s="51"/>
      <c r="BJ499" s="24"/>
      <c r="BK499" s="24"/>
      <c r="BL499" s="24"/>
      <c r="BM499" s="51"/>
      <c r="BN499" s="279"/>
      <c r="BO499" s="51"/>
    </row>
    <row r="500" spans="3:85" x14ac:dyDescent="0.25">
      <c r="F500" s="1"/>
      <c r="H500" s="1"/>
      <c r="J500" s="1"/>
      <c r="M500" s="2" t="s">
        <v>16</v>
      </c>
      <c r="N500" s="26" t="s">
        <v>191</v>
      </c>
      <c r="O500" s="2" t="s">
        <v>18</v>
      </c>
      <c r="P500" s="26" t="s">
        <v>191</v>
      </c>
      <c r="Q500" s="2" t="s">
        <v>16</v>
      </c>
      <c r="R500" s="26" t="s">
        <v>191</v>
      </c>
      <c r="V500" s="176">
        <f>Calculation_sheet!D39</f>
        <v>0</v>
      </c>
      <c r="W500" s="176">
        <f t="shared" ref="W500:X502" si="745">V500</f>
        <v>0</v>
      </c>
      <c r="X500" s="176">
        <f t="shared" si="745"/>
        <v>0</v>
      </c>
      <c r="Y500" s="34">
        <f>X500/Calculation_sheet!M$67</f>
        <v>0</v>
      </c>
      <c r="Z500" s="176">
        <f ca="1">IF(AN500&gt;0,Y500*Calculation_sheet!C$87,0)</f>
        <v>0</v>
      </c>
      <c r="AA500" s="176">
        <f ca="1">Y500-Z500</f>
        <v>0</v>
      </c>
      <c r="AB500" s="176">
        <f ca="1">IF(AP500&gt;0,AA500*Calculation_sheet!C$94,0)</f>
        <v>0</v>
      </c>
      <c r="AC500" s="176">
        <f ca="1">AA500-AB500</f>
        <v>0</v>
      </c>
      <c r="AD500" s="958">
        <f ca="1">AC500*Calculation_sheet!C$99</f>
        <v>0</v>
      </c>
      <c r="AE500" s="176">
        <f ca="1">AC500-AD500</f>
        <v>0</v>
      </c>
      <c r="AF500" s="176">
        <f t="shared" ca="1" si="731"/>
        <v>0</v>
      </c>
      <c r="AG500" s="958">
        <f ca="1">AF500*User_sheet!B$77/100</f>
        <v>0</v>
      </c>
      <c r="AI500" s="2">
        <v>104</v>
      </c>
      <c r="AJ500" s="985"/>
      <c r="AK500" s="1020">
        <f t="shared" ca="1" si="690"/>
        <v>124.56900259656577</v>
      </c>
      <c r="AL500" s="954">
        <f ca="1">AK500/'103'!I$24</f>
        <v>0.28032405647609737</v>
      </c>
      <c r="AM500" s="954">
        <f ca="1">0.8*(AK500*30+'104'!D$17*0.34*30*1)</f>
        <v>5909.3693423175791</v>
      </c>
      <c r="AN500" s="954">
        <f ca="1">IF(AM500&lt;User_sheet!B$50,Y500,0)</f>
        <v>0</v>
      </c>
      <c r="AO500" s="954">
        <f ca="1">20-(User_sheet!B$57/('Freestanding '!AK500+'104'!D$17*1*0.34))</f>
        <v>-3.1496784302111003</v>
      </c>
      <c r="AP500" s="954">
        <f ca="1">IF(AO500&lt;User_sheet!B$59,0,BC500*AA500)</f>
        <v>0</v>
      </c>
      <c r="AQ500" s="985"/>
      <c r="AR500" s="2">
        <v>0.32</v>
      </c>
      <c r="AS500" s="2">
        <v>0.43</v>
      </c>
      <c r="AT500" s="2">
        <v>0.43</v>
      </c>
      <c r="AU500" s="2">
        <v>2</v>
      </c>
      <c r="AV500" s="2">
        <v>3.3</v>
      </c>
      <c r="AW500" s="2">
        <v>14356</v>
      </c>
      <c r="AX500" s="2">
        <v>74834</v>
      </c>
      <c r="AY500" s="2">
        <v>69246</v>
      </c>
      <c r="AZ500" s="27">
        <v>0</v>
      </c>
      <c r="BA500" s="27">
        <v>0</v>
      </c>
      <c r="BB500" s="2">
        <v>0.6</v>
      </c>
      <c r="BC500" s="30">
        <v>1</v>
      </c>
      <c r="BD500" s="34">
        <v>0</v>
      </c>
      <c r="BE500" s="34">
        <v>0</v>
      </c>
      <c r="BF500" s="40">
        <v>0</v>
      </c>
      <c r="BG500" s="2">
        <v>1</v>
      </c>
      <c r="BH500" s="2">
        <v>0</v>
      </c>
      <c r="BI500" s="40">
        <v>0</v>
      </c>
      <c r="BJ500" s="2">
        <v>1</v>
      </c>
      <c r="BK500" s="2">
        <v>0</v>
      </c>
      <c r="BL500" s="2">
        <v>0</v>
      </c>
      <c r="BM500" s="40">
        <v>0</v>
      </c>
      <c r="BN500" s="958">
        <v>5.0000000000000001E-3</v>
      </c>
      <c r="BO500" s="959">
        <v>2.5</v>
      </c>
      <c r="BP500" s="1018">
        <f ca="1">INDIRECT("'"&amp;AI500&amp;"'!"&amp;"B2")</f>
        <v>162.63999999999999</v>
      </c>
      <c r="BQ500" s="1018">
        <f ca="1">INDIRECT("'"&amp;AI500&amp;"'!"&amp;"C12")+INDIRECT("'"&amp;AI500&amp;"'!"&amp;"C13")+INDIRECT("'"&amp;AI500&amp;"'!"&amp;"C14")+INDIRECT("'"&amp;AI500&amp;"'!"&amp;"C15")+INDIRECT("'"&amp;AI500&amp;"'!"&amp;"C17")</f>
        <v>285.02799999999996</v>
      </c>
      <c r="BR500" s="1018">
        <f ca="1">INDIRECT("'"&amp;AI500&amp;"'!"&amp;"G5")</f>
        <v>51.803914909975674</v>
      </c>
      <c r="BS500" s="1018">
        <f ca="1">INDIRECT("'"&amp;AI500&amp;"'!"&amp;"G4")</f>
        <v>115.89999999999998</v>
      </c>
      <c r="BT500" s="1018">
        <f ca="1">INDIRECT("'"&amp;AI500&amp;"'!"&amp;"G6")</f>
        <v>81.319999999999993</v>
      </c>
      <c r="BU500" s="1018">
        <f ca="1">INDIRECT("'"&amp;AI500&amp;"'!"&amp;"G2")</f>
        <v>22.93</v>
      </c>
      <c r="BV500" s="1018">
        <f ca="1">INDIRECT("'"&amp;AI500&amp;"'!"&amp;"G3")</f>
        <v>2.15</v>
      </c>
      <c r="BW500" s="1018">
        <v>0</v>
      </c>
      <c r="BX500" s="1018">
        <f t="shared" ref="BX500:BY502" ca="1" si="746">IF(BR500=0,0,1/(1/(BR500*$BY$3)+1/(BR500*AR500)+1/(BR500*$BY$4)))</f>
        <v>15.70608840120536</v>
      </c>
      <c r="BY500" s="1018">
        <f t="shared" ca="1" si="746"/>
        <v>46.380134011663962</v>
      </c>
      <c r="BZ500" s="1018">
        <f t="shared" ca="1" si="691"/>
        <v>10.738901848864625</v>
      </c>
      <c r="CA500" s="1018">
        <f t="shared" ca="1" si="692"/>
        <v>45.859999981655996</v>
      </c>
      <c r="CB500" s="1018">
        <f ca="1">IF(BV500=0,0,1/(1/(BV500*$BY$3)+1/(BV500*AV500)+1/(BV500*$BY$4)))</f>
        <v>4.5133587786259541</v>
      </c>
      <c r="CC500" s="1018">
        <f t="shared" si="693"/>
        <v>0</v>
      </c>
      <c r="CD500" s="1018">
        <f ca="1">SUM(BX500:CC500)+(BR500+BS500+BT500+BU500+BV500)*BN500</f>
        <v>124.56900259656577</v>
      </c>
      <c r="CE500" s="1018">
        <f ca="1">0.34*BO500*(1/25)^0.66*(BR500+BS500+BU500+BV500)+0.6*BQ500*0.34*0.2</f>
        <v>31.210793823200436</v>
      </c>
      <c r="CF500" s="1018">
        <f t="shared" ca="1" si="694"/>
        <v>4.6733938925929861</v>
      </c>
      <c r="CG500" s="1018">
        <f t="shared" ca="1" si="695"/>
        <v>7781.0138954116183</v>
      </c>
    </row>
    <row r="501" spans="3:85" x14ac:dyDescent="0.25">
      <c r="F501" s="1"/>
      <c r="H501" s="1"/>
      <c r="J501" s="1"/>
      <c r="M501" s="2" t="s">
        <v>22</v>
      </c>
      <c r="N501" s="26" t="s">
        <v>191</v>
      </c>
      <c r="O501" s="2" t="s">
        <v>18</v>
      </c>
      <c r="P501" s="26" t="s">
        <v>191</v>
      </c>
      <c r="Q501" s="2" t="s">
        <v>22</v>
      </c>
      <c r="R501" s="26" t="s">
        <v>191</v>
      </c>
      <c r="V501" s="176">
        <f>Calculation_sheet!D40</f>
        <v>0</v>
      </c>
      <c r="W501" s="176">
        <f t="shared" si="745"/>
        <v>0</v>
      </c>
      <c r="X501" s="176">
        <f t="shared" si="745"/>
        <v>0</v>
      </c>
      <c r="Y501" s="34">
        <f>X501/Calculation_sheet!M$67</f>
        <v>0</v>
      </c>
      <c r="Z501" s="176">
        <f ca="1">IF(AN501&gt;0,Y501*Calculation_sheet!C$87,0)</f>
        <v>0</v>
      </c>
      <c r="AA501" s="176">
        <f ca="1">Y501-Z501</f>
        <v>0</v>
      </c>
      <c r="AB501" s="176">
        <f ca="1">IF(AP501&gt;0,AA501*Calculation_sheet!C$94,0)</f>
        <v>0</v>
      </c>
      <c r="AC501" s="176">
        <f ca="1">AA501-AB501</f>
        <v>0</v>
      </c>
      <c r="AD501" s="958">
        <f ca="1">AC501*Calculation_sheet!C$99</f>
        <v>0</v>
      </c>
      <c r="AE501" s="176">
        <f ca="1">AC501-AD501</f>
        <v>0</v>
      </c>
      <c r="AF501" s="176">
        <f t="shared" ca="1" si="731"/>
        <v>0</v>
      </c>
      <c r="AG501" s="958">
        <f ca="1">AF501*User_sheet!B$77/100</f>
        <v>0</v>
      </c>
      <c r="AI501" s="2">
        <v>104</v>
      </c>
      <c r="AJ501" s="985"/>
      <c r="AK501" s="1020">
        <f t="shared" ca="1" si="690"/>
        <v>124.56900259656577</v>
      </c>
      <c r="AL501" s="954">
        <f ca="1">AK501/'103'!I$24</f>
        <v>0.28032405647609737</v>
      </c>
      <c r="AM501" s="954">
        <f ca="1">0.8*(AK501*30+'104'!D$17*0.34*30*1)</f>
        <v>5909.3693423175791</v>
      </c>
      <c r="AN501" s="954">
        <f ca="1">IF(AM501&lt;User_sheet!B$50,Y501,0)</f>
        <v>0</v>
      </c>
      <c r="AO501" s="954">
        <f ca="1">20-(User_sheet!B$57/('Freestanding '!AK501+'104'!D$17*1*0.34))</f>
        <v>-3.1496784302111003</v>
      </c>
      <c r="AP501" s="954">
        <f ca="1">IF(AO501&lt;User_sheet!B$59,0,BC501*AA501)</f>
        <v>0</v>
      </c>
      <c r="AQ501" s="985"/>
      <c r="AR501" s="2">
        <v>0.32</v>
      </c>
      <c r="AS501" s="2">
        <v>0.43</v>
      </c>
      <c r="AT501" s="2">
        <v>0.43</v>
      </c>
      <c r="AU501" s="2">
        <v>2</v>
      </c>
      <c r="AV501" s="2">
        <v>3.3</v>
      </c>
      <c r="AW501" s="2">
        <v>14356</v>
      </c>
      <c r="AX501" s="2">
        <v>74834</v>
      </c>
      <c r="AY501" s="2">
        <v>69246</v>
      </c>
      <c r="AZ501" s="27">
        <v>0</v>
      </c>
      <c r="BA501" s="27">
        <v>0</v>
      </c>
      <c r="BB501" s="2">
        <v>0.6</v>
      </c>
      <c r="BC501" s="30">
        <v>0</v>
      </c>
      <c r="BD501" s="34">
        <v>1</v>
      </c>
      <c r="BE501" s="34">
        <v>0</v>
      </c>
      <c r="BF501" s="40">
        <v>0</v>
      </c>
      <c r="BG501" s="2">
        <v>1</v>
      </c>
      <c r="BH501" s="2">
        <v>0</v>
      </c>
      <c r="BI501" s="40">
        <v>0</v>
      </c>
      <c r="BJ501" s="2">
        <v>0</v>
      </c>
      <c r="BK501" s="2">
        <v>1</v>
      </c>
      <c r="BL501" s="2">
        <v>0</v>
      </c>
      <c r="BM501" s="40">
        <v>0</v>
      </c>
      <c r="BN501" s="958">
        <v>5.0000000000000001E-3</v>
      </c>
      <c r="BO501" s="959">
        <v>2.5</v>
      </c>
      <c r="BP501" s="1018">
        <f ca="1">INDIRECT("'"&amp;AI501&amp;"'!"&amp;"B2")</f>
        <v>162.63999999999999</v>
      </c>
      <c r="BQ501" s="1018">
        <f ca="1">INDIRECT("'"&amp;AI501&amp;"'!"&amp;"C12")+INDIRECT("'"&amp;AI501&amp;"'!"&amp;"C13")+INDIRECT("'"&amp;AI501&amp;"'!"&amp;"C14")+INDIRECT("'"&amp;AI501&amp;"'!"&amp;"C15")+INDIRECT("'"&amp;AI501&amp;"'!"&amp;"C17")</f>
        <v>285.02799999999996</v>
      </c>
      <c r="BR501" s="1018">
        <f ca="1">INDIRECT("'"&amp;AI501&amp;"'!"&amp;"G5")</f>
        <v>51.803914909975674</v>
      </c>
      <c r="BS501" s="1018">
        <f ca="1">INDIRECT("'"&amp;AI501&amp;"'!"&amp;"G4")</f>
        <v>115.89999999999998</v>
      </c>
      <c r="BT501" s="1018">
        <f ca="1">INDIRECT("'"&amp;AI501&amp;"'!"&amp;"G6")</f>
        <v>81.319999999999993</v>
      </c>
      <c r="BU501" s="1018">
        <f ca="1">INDIRECT("'"&amp;AI501&amp;"'!"&amp;"G2")</f>
        <v>22.93</v>
      </c>
      <c r="BV501" s="1018">
        <f ca="1">INDIRECT("'"&amp;AI501&amp;"'!"&amp;"G3")</f>
        <v>2.15</v>
      </c>
      <c r="BW501" s="1018">
        <v>0</v>
      </c>
      <c r="BX501" s="1018">
        <f t="shared" ca="1" si="746"/>
        <v>15.70608840120536</v>
      </c>
      <c r="BY501" s="1018">
        <f t="shared" ca="1" si="746"/>
        <v>46.380134011663962</v>
      </c>
      <c r="BZ501" s="1018">
        <f t="shared" ca="1" si="691"/>
        <v>10.738901848864625</v>
      </c>
      <c r="CA501" s="1018">
        <f t="shared" ca="1" si="692"/>
        <v>45.859999981655996</v>
      </c>
      <c r="CB501" s="1018">
        <f ca="1">IF(BV501=0,0,1/(1/(BV501*$BY$3)+1/(BV501*AV501)+1/(BV501*$BY$4)))</f>
        <v>4.5133587786259541</v>
      </c>
      <c r="CC501" s="1018">
        <f t="shared" si="693"/>
        <v>0</v>
      </c>
      <c r="CD501" s="1018">
        <f ca="1">SUM(BX501:CC501)+(BR501+BS501+BT501+BU501+BV501)*BN501</f>
        <v>124.56900259656577</v>
      </c>
      <c r="CE501" s="1018">
        <f t="shared" ref="CE501:CE502" ca="1" si="747">0.34*BO501*(1/25)^0.66*(BR501+BS501+BU501+BV501)+0.6*BQ501*0.34*0.2</f>
        <v>31.210793823200436</v>
      </c>
      <c r="CF501" s="1018">
        <f t="shared" ca="1" si="694"/>
        <v>4.6733938925929861</v>
      </c>
      <c r="CG501" s="1018">
        <f t="shared" ca="1" si="695"/>
        <v>7781.0138954116183</v>
      </c>
    </row>
    <row r="502" spans="3:85" x14ac:dyDescent="0.25">
      <c r="C502" s="1" t="s">
        <v>190</v>
      </c>
      <c r="D502" s="5" t="s">
        <v>191</v>
      </c>
      <c r="E502" t="s">
        <v>4</v>
      </c>
      <c r="F502" s="5" t="s">
        <v>191</v>
      </c>
      <c r="G502" t="s">
        <v>5</v>
      </c>
      <c r="H502" s="5" t="s">
        <v>191</v>
      </c>
      <c r="I502" t="s">
        <v>6</v>
      </c>
      <c r="J502" s="5" t="s">
        <v>191</v>
      </c>
      <c r="K502" t="s">
        <v>12</v>
      </c>
      <c r="L502" s="5" t="s">
        <v>191</v>
      </c>
      <c r="M502" s="1" t="s">
        <v>7</v>
      </c>
      <c r="N502" s="26" t="s">
        <v>191</v>
      </c>
      <c r="O502" s="1" t="s">
        <v>23</v>
      </c>
      <c r="P502" s="26" t="s">
        <v>191</v>
      </c>
      <c r="Q502" s="1" t="s">
        <v>7</v>
      </c>
      <c r="R502" s="26" t="s">
        <v>191</v>
      </c>
      <c r="V502" s="176">
        <f>Calculation_sheet!D41</f>
        <v>0</v>
      </c>
      <c r="W502" s="176">
        <f t="shared" si="745"/>
        <v>0</v>
      </c>
      <c r="X502" s="176">
        <f t="shared" si="745"/>
        <v>0</v>
      </c>
      <c r="Y502" s="34">
        <f>X502/Calculation_sheet!M$67</f>
        <v>0</v>
      </c>
      <c r="Z502" s="176">
        <f ca="1">IF(AN502&gt;0,Y502*Calculation_sheet!C$87,0)</f>
        <v>0</v>
      </c>
      <c r="AA502" s="176">
        <f ca="1">Y502-Z502</f>
        <v>0</v>
      </c>
      <c r="AB502" s="176">
        <f ca="1">IF(AP502&gt;0,AA502*Calculation_sheet!C$94,0)</f>
        <v>0</v>
      </c>
      <c r="AC502" s="176">
        <f ca="1">AA502-AB502</f>
        <v>0</v>
      </c>
      <c r="AD502" s="958">
        <f ca="1">AC502*Calculation_sheet!C$99</f>
        <v>0</v>
      </c>
      <c r="AE502" s="176">
        <f ca="1">AC502-AD502</f>
        <v>0</v>
      </c>
      <c r="AF502" s="176">
        <f t="shared" ca="1" si="731"/>
        <v>0</v>
      </c>
      <c r="AG502" s="958">
        <f ca="1">AF502*User_sheet!B$77/100</f>
        <v>0</v>
      </c>
      <c r="AI502" s="2">
        <v>104</v>
      </c>
      <c r="AJ502" s="985"/>
      <c r="AK502" s="1020">
        <f t="shared" ca="1" si="690"/>
        <v>124.56900259656577</v>
      </c>
      <c r="AL502" s="954">
        <f ca="1">AK502/'103'!I$24</f>
        <v>0.28032405647609737</v>
      </c>
      <c r="AM502" s="954">
        <f ca="1">0.8*(AK502*30+'104'!D$17*0.34*30*1)</f>
        <v>5909.3693423175791</v>
      </c>
      <c r="AN502" s="954">
        <f ca="1">IF(AM502&lt;User_sheet!B$50,Y502,0)</f>
        <v>0</v>
      </c>
      <c r="AO502" s="954">
        <f ca="1">20-(User_sheet!B$57/('Freestanding '!AK502+'104'!D$17*1*0.34))</f>
        <v>-3.1496784302111003</v>
      </c>
      <c r="AP502" s="954">
        <f ca="1">IF(AO502&lt;User_sheet!B$59,0,BC502*AA502)</f>
        <v>0</v>
      </c>
      <c r="AQ502" s="985"/>
      <c r="AR502" s="2">
        <v>0.32</v>
      </c>
      <c r="AS502" s="2">
        <v>0.43</v>
      </c>
      <c r="AT502" s="2">
        <v>0.43</v>
      </c>
      <c r="AU502" s="2">
        <v>2</v>
      </c>
      <c r="AV502" s="2">
        <v>3.3</v>
      </c>
      <c r="AW502" s="2">
        <v>14356</v>
      </c>
      <c r="AX502" s="2">
        <v>74834</v>
      </c>
      <c r="AY502" s="2">
        <v>69246</v>
      </c>
      <c r="AZ502" s="27">
        <v>0</v>
      </c>
      <c r="BA502" s="27">
        <v>0</v>
      </c>
      <c r="BB502" s="2">
        <v>0.6</v>
      </c>
      <c r="BC502" s="30">
        <v>0</v>
      </c>
      <c r="BD502" s="199">
        <v>0</v>
      </c>
      <c r="BE502" s="199">
        <v>1</v>
      </c>
      <c r="BF502" s="40">
        <v>0</v>
      </c>
      <c r="BG502" s="199">
        <v>0</v>
      </c>
      <c r="BH502" s="199">
        <v>0</v>
      </c>
      <c r="BI502" s="40">
        <v>1</v>
      </c>
      <c r="BJ502" s="199">
        <v>0</v>
      </c>
      <c r="BK502" s="199">
        <v>0</v>
      </c>
      <c r="BL502" s="199">
        <v>1</v>
      </c>
      <c r="BM502" s="40">
        <v>0</v>
      </c>
      <c r="BN502" s="958">
        <v>5.0000000000000001E-3</v>
      </c>
      <c r="BO502" s="959">
        <v>2.5</v>
      </c>
      <c r="BP502" s="1018">
        <f ca="1">INDIRECT("'"&amp;AI502&amp;"'!"&amp;"B2")</f>
        <v>162.63999999999999</v>
      </c>
      <c r="BQ502" s="1018">
        <f ca="1">INDIRECT("'"&amp;AI502&amp;"'!"&amp;"C12")+INDIRECT("'"&amp;AI502&amp;"'!"&amp;"C13")+INDIRECT("'"&amp;AI502&amp;"'!"&amp;"C14")+INDIRECT("'"&amp;AI502&amp;"'!"&amp;"C15")+INDIRECT("'"&amp;AI502&amp;"'!"&amp;"C17")</f>
        <v>285.02799999999996</v>
      </c>
      <c r="BR502" s="1018">
        <f ca="1">INDIRECT("'"&amp;AI502&amp;"'!"&amp;"G5")</f>
        <v>51.803914909975674</v>
      </c>
      <c r="BS502" s="1018">
        <f ca="1">INDIRECT("'"&amp;AI502&amp;"'!"&amp;"G4")</f>
        <v>115.89999999999998</v>
      </c>
      <c r="BT502" s="1018">
        <f ca="1">INDIRECT("'"&amp;AI502&amp;"'!"&amp;"G6")</f>
        <v>81.319999999999993</v>
      </c>
      <c r="BU502" s="1018">
        <f ca="1">INDIRECT("'"&amp;AI502&amp;"'!"&amp;"G2")</f>
        <v>22.93</v>
      </c>
      <c r="BV502" s="1018">
        <f ca="1">INDIRECT("'"&amp;AI502&amp;"'!"&amp;"G3")</f>
        <v>2.15</v>
      </c>
      <c r="BW502" s="1018">
        <v>0</v>
      </c>
      <c r="BX502" s="1018">
        <f t="shared" ca="1" si="746"/>
        <v>15.70608840120536</v>
      </c>
      <c r="BY502" s="1018">
        <f t="shared" ca="1" si="746"/>
        <v>46.380134011663962</v>
      </c>
      <c r="BZ502" s="1018">
        <f t="shared" ca="1" si="691"/>
        <v>10.738901848864625</v>
      </c>
      <c r="CA502" s="1018">
        <f t="shared" ca="1" si="692"/>
        <v>45.859999981655996</v>
      </c>
      <c r="CB502" s="1018">
        <f ca="1">IF(BV502=0,0,1/(1/(BV502*$BY$3)+1/(BV502*AV502)+1/(BV502*$BY$4)))</f>
        <v>4.5133587786259541</v>
      </c>
      <c r="CC502" s="1018">
        <f t="shared" si="693"/>
        <v>0</v>
      </c>
      <c r="CD502" s="1018">
        <f ca="1">SUM(BX502:CC502)+(BR502+BS502+BT502+BU502+BV502)*BN502</f>
        <v>124.56900259656577</v>
      </c>
      <c r="CE502" s="1018">
        <f t="shared" ca="1" si="747"/>
        <v>31.210793823200436</v>
      </c>
      <c r="CF502" s="1018">
        <f t="shared" ca="1" si="694"/>
        <v>4.6733938925929861</v>
      </c>
      <c r="CG502" s="1018">
        <f t="shared" ca="1" si="695"/>
        <v>7781.0138954116183</v>
      </c>
    </row>
    <row r="503" spans="3:85" s="9" customFormat="1" x14ac:dyDescent="0.25">
      <c r="T503" s="84"/>
      <c r="U503" s="84"/>
      <c r="V503" s="283"/>
      <c r="W503" s="283"/>
      <c r="X503" s="283"/>
      <c r="Y503" s="279"/>
      <c r="Z503" s="279"/>
      <c r="AA503" s="283"/>
      <c r="AB503" s="283"/>
      <c r="AC503" s="283"/>
      <c r="AD503" s="279"/>
      <c r="AE503" s="283"/>
      <c r="AF503" s="283"/>
      <c r="AG503" s="279"/>
      <c r="AH503" s="314"/>
      <c r="AI503" s="24"/>
      <c r="AJ503" s="985"/>
      <c r="AK503" s="916"/>
      <c r="AL503" s="916"/>
      <c r="AM503" s="916"/>
      <c r="AN503" s="916"/>
      <c r="AO503" s="916"/>
      <c r="AP503" s="916"/>
      <c r="AQ503" s="985"/>
      <c r="AR503" s="24"/>
      <c r="AS503" s="24"/>
      <c r="AT503" s="24"/>
      <c r="AU503" s="24"/>
      <c r="AV503" s="24"/>
      <c r="AW503" s="24"/>
      <c r="AX503" s="24"/>
      <c r="AY503" s="24"/>
      <c r="AZ503" s="24"/>
      <c r="BA503" s="24"/>
      <c r="BB503" s="24"/>
      <c r="BC503" s="47"/>
      <c r="BD503" s="24"/>
      <c r="BE503" s="24"/>
      <c r="BF503" s="51"/>
      <c r="BG503" s="24"/>
      <c r="BH503" s="24"/>
      <c r="BI503" s="51"/>
      <c r="BJ503" s="24"/>
      <c r="BK503" s="24"/>
      <c r="BL503" s="24"/>
      <c r="BM503" s="51"/>
      <c r="BN503" s="279"/>
      <c r="BO503" s="51"/>
    </row>
    <row r="504" spans="3:85" x14ac:dyDescent="0.25">
      <c r="T504" s="85">
        <f>SUM(T13:T503)</f>
        <v>0.29210000012385046</v>
      </c>
      <c r="Y504" s="34">
        <f>SUM(Y12:Y503)</f>
        <v>0.29210597252566411</v>
      </c>
      <c r="AB504" s="176"/>
      <c r="AM504" s="954"/>
      <c r="AN504" s="924">
        <f ca="1">SUM(AN12:AN503)</f>
        <v>9.3340040482534123E-2</v>
      </c>
      <c r="AP504" s="924">
        <f ca="1">SUM(AP12:AP503)</f>
        <v>5.5976218976301055E-2</v>
      </c>
    </row>
    <row r="505" spans="3:85" x14ac:dyDescent="0.25">
      <c r="AB505" s="176"/>
      <c r="AM505" s="954"/>
    </row>
  </sheetData>
  <hyperlinks>
    <hyperlink ref="K4" r:id="rId1"/>
    <hyperlink ref="M4" r:id="rId2"/>
    <hyperlink ref="O4" r:id="rId3"/>
    <hyperlink ref="A3" r:id="rId4"/>
    <hyperlink ref="Q4" r:id="rId5"/>
    <hyperlink ref="A4" r:id="rId6"/>
    <hyperlink ref="G4" r:id="rId7"/>
    <hyperlink ref="E4" r:id="rId8"/>
  </hyperlinks>
  <pageMargins left="0.7" right="0.7" top="0.75" bottom="0.75" header="0.3" footer="0.3"/>
  <pageSetup orientation="portrait" r:id="rId9"/>
  <ignoredErrors>
    <ignoredError sqref="AB13:AB23 AB25:AB35" formula="1"/>
  </ignoredErrors>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05"/>
  <sheetViews>
    <sheetView topLeftCell="AO1" zoomScale="70" zoomScaleNormal="70" workbookViewId="0">
      <pane ySplit="855" topLeftCell="A366" activePane="bottomLeft"/>
      <selection activeCell="CG1" sqref="CG1"/>
      <selection pane="bottomLeft" activeCell="AS277" sqref="AS277:AS385"/>
    </sheetView>
  </sheetViews>
  <sheetFormatPr defaultColWidth="11.42578125" defaultRowHeight="15" x14ac:dyDescent="0.25"/>
  <cols>
    <col min="5" max="5" width="20.7109375" customWidth="1"/>
    <col min="7" max="7" width="20.7109375" customWidth="1"/>
    <col min="9" max="9" width="16.140625" customWidth="1"/>
    <col min="10" max="10" width="14" customWidth="1"/>
    <col min="11" max="11" width="19.5703125" customWidth="1"/>
    <col min="17" max="17" width="12.28515625" customWidth="1"/>
    <col min="18" max="18" width="16.85546875" customWidth="1"/>
    <col min="19" max="19" width="10.85546875" customWidth="1"/>
    <col min="20" max="20" width="18.5703125" style="85" customWidth="1"/>
    <col min="21" max="21" width="15" customWidth="1"/>
    <col min="22" max="22" width="21.7109375" style="176" customWidth="1"/>
    <col min="23" max="24" width="22" style="176" customWidth="1"/>
    <col min="25" max="25" width="22" style="34" customWidth="1"/>
    <col min="26" max="27" width="22" style="176" customWidth="1"/>
    <col min="28" max="28" width="22" style="958" customWidth="1"/>
    <col min="29" max="29" width="22" style="176" customWidth="1"/>
    <col min="30" max="30" width="22" style="958" customWidth="1"/>
    <col min="31" max="32" width="22" style="176" customWidth="1"/>
    <col min="33" max="33" width="22" style="958" customWidth="1"/>
    <col min="34" max="34" width="11.42578125" style="314"/>
    <col min="35" max="35" width="14" customWidth="1"/>
    <col min="36" max="36" width="14" style="314" customWidth="1"/>
    <col min="37" max="39" width="14" style="924" customWidth="1"/>
    <col min="40" max="42" width="16" style="924" customWidth="1"/>
    <col min="43" max="43" width="14" style="314" customWidth="1"/>
    <col min="55" max="55" width="13.5703125" style="31" customWidth="1"/>
    <col min="56" max="57" width="14.140625" customWidth="1"/>
    <col min="58" max="58" width="13.5703125" style="39" customWidth="1"/>
    <col min="61" max="61" width="11.42578125" style="39"/>
    <col min="65" max="65" width="14.7109375" style="39" customWidth="1"/>
    <col min="66" max="66" width="14" style="931" customWidth="1"/>
    <col min="67" max="67" width="14" style="936" customWidth="1"/>
    <col min="75" max="75" width="11.42578125" style="1018"/>
    <col min="81" max="83" width="11.42578125" style="1018"/>
  </cols>
  <sheetData>
    <row r="1" spans="1:85" ht="18" customHeight="1" thickBot="1" x14ac:dyDescent="0.3">
      <c r="A1" s="70" t="s">
        <v>25</v>
      </c>
      <c r="B1" s="71"/>
      <c r="C1" s="71" t="s">
        <v>27</v>
      </c>
      <c r="D1" s="72"/>
      <c r="E1" s="241" t="s">
        <v>26</v>
      </c>
      <c r="F1" s="72"/>
      <c r="G1" s="241" t="s">
        <v>28</v>
      </c>
      <c r="H1" s="72"/>
      <c r="I1" s="241" t="s">
        <v>29</v>
      </c>
      <c r="J1" s="72"/>
      <c r="K1" s="241" t="s">
        <v>30</v>
      </c>
      <c r="L1" s="72"/>
      <c r="M1" s="241" t="s">
        <v>21</v>
      </c>
      <c r="N1" s="71"/>
      <c r="O1" s="240" t="s">
        <v>48</v>
      </c>
      <c r="P1" s="71"/>
      <c r="Q1" s="70" t="s">
        <v>24</v>
      </c>
      <c r="R1" s="72"/>
      <c r="S1" s="2"/>
      <c r="T1" s="76" t="s">
        <v>47</v>
      </c>
      <c r="U1" s="23" t="s">
        <v>49</v>
      </c>
      <c r="V1" s="285" t="s">
        <v>192</v>
      </c>
      <c r="W1" s="285" t="s">
        <v>204</v>
      </c>
      <c r="X1" s="285" t="s">
        <v>224</v>
      </c>
      <c r="Y1" s="307" t="s">
        <v>270</v>
      </c>
      <c r="Z1" s="989" t="s">
        <v>269</v>
      </c>
      <c r="AA1" s="990" t="s">
        <v>278</v>
      </c>
      <c r="AB1" s="307" t="s">
        <v>282</v>
      </c>
      <c r="AC1" s="999" t="s">
        <v>291</v>
      </c>
      <c r="AD1" s="307" t="s">
        <v>296</v>
      </c>
      <c r="AE1" s="999" t="s">
        <v>293</v>
      </c>
      <c r="AF1" s="1006" t="s">
        <v>306</v>
      </c>
      <c r="AG1" s="307" t="s">
        <v>307</v>
      </c>
      <c r="AH1" s="313"/>
      <c r="AI1" s="29" t="s">
        <v>94</v>
      </c>
      <c r="AJ1" s="987"/>
      <c r="AK1" s="87" t="s">
        <v>266</v>
      </c>
      <c r="AL1" s="87" t="s">
        <v>267</v>
      </c>
      <c r="AM1" s="87" t="s">
        <v>271</v>
      </c>
      <c r="AN1" s="87" t="s">
        <v>274</v>
      </c>
      <c r="AO1" s="87" t="s">
        <v>283</v>
      </c>
      <c r="AP1" s="87" t="s">
        <v>287</v>
      </c>
      <c r="AQ1" s="987"/>
      <c r="AR1" s="2" t="s">
        <v>99</v>
      </c>
      <c r="AS1" s="2" t="s">
        <v>100</v>
      </c>
      <c r="AT1" s="2" t="s">
        <v>101</v>
      </c>
      <c r="AU1" s="2" t="s">
        <v>102</v>
      </c>
      <c r="AV1" s="2" t="s">
        <v>103</v>
      </c>
      <c r="AW1" s="2" t="s">
        <v>104</v>
      </c>
      <c r="AX1" s="2" t="s">
        <v>105</v>
      </c>
      <c r="AY1" s="2" t="s">
        <v>106</v>
      </c>
      <c r="AZ1" s="2" t="s">
        <v>107</v>
      </c>
      <c r="BA1" s="2" t="s">
        <v>108</v>
      </c>
      <c r="BB1" s="87" t="s">
        <v>63</v>
      </c>
      <c r="BC1" s="30" t="s">
        <v>70</v>
      </c>
      <c r="BD1" s="34" t="s">
        <v>71</v>
      </c>
      <c r="BE1" s="34" t="s">
        <v>72</v>
      </c>
      <c r="BF1" s="40" t="s">
        <v>73</v>
      </c>
      <c r="BG1" s="2" t="s">
        <v>58</v>
      </c>
      <c r="BH1" s="2" t="s">
        <v>75</v>
      </c>
      <c r="BI1" s="40" t="s">
        <v>23</v>
      </c>
      <c r="BJ1" s="2" t="s">
        <v>76</v>
      </c>
      <c r="BK1" s="2" t="s">
        <v>77</v>
      </c>
      <c r="BL1" s="2" t="s">
        <v>78</v>
      </c>
      <c r="BM1" s="40" t="s">
        <v>79</v>
      </c>
      <c r="BN1" s="958" t="s">
        <v>356</v>
      </c>
      <c r="BO1" s="959" t="s">
        <v>359</v>
      </c>
      <c r="BP1" s="1017" t="s">
        <v>310</v>
      </c>
      <c r="BQ1" s="1017" t="s">
        <v>311</v>
      </c>
      <c r="BR1" s="1017" t="s">
        <v>312</v>
      </c>
      <c r="BS1" s="1017" t="s">
        <v>313</v>
      </c>
      <c r="BT1" s="1017" t="s">
        <v>314</v>
      </c>
      <c r="BU1" s="1017" t="s">
        <v>315</v>
      </c>
      <c r="BV1" s="1017" t="s">
        <v>316</v>
      </c>
      <c r="BW1" s="1021" t="s">
        <v>339</v>
      </c>
      <c r="BX1" s="1021" t="s">
        <v>321</v>
      </c>
      <c r="BY1" s="1021" t="s">
        <v>322</v>
      </c>
      <c r="BZ1" s="1021" t="s">
        <v>323</v>
      </c>
      <c r="CA1" s="1021" t="s">
        <v>324</v>
      </c>
      <c r="CB1" s="1021" t="s">
        <v>325</v>
      </c>
      <c r="CC1" s="1021" t="s">
        <v>340</v>
      </c>
      <c r="CD1" s="1022" t="s">
        <v>326</v>
      </c>
      <c r="CE1" s="1023" t="s">
        <v>327</v>
      </c>
      <c r="CF1" s="1021" t="s">
        <v>336</v>
      </c>
      <c r="CG1" s="1021" t="s">
        <v>338</v>
      </c>
    </row>
    <row r="2" spans="1:85" ht="17.25" customHeight="1" x14ac:dyDescent="0.25">
      <c r="A2" s="53" t="s">
        <v>32</v>
      </c>
      <c r="B2" s="32"/>
      <c r="C2" s="32"/>
      <c r="D2" s="56"/>
      <c r="E2" s="53" t="s">
        <v>31</v>
      </c>
      <c r="F2" s="56"/>
      <c r="G2" s="53" t="s">
        <v>31</v>
      </c>
      <c r="H2" s="56"/>
      <c r="I2" s="53" t="s">
        <v>31</v>
      </c>
      <c r="J2" s="56"/>
      <c r="K2" s="63" t="s">
        <v>31</v>
      </c>
      <c r="L2" s="56"/>
      <c r="M2" s="63" t="s">
        <v>42</v>
      </c>
      <c r="N2" s="56"/>
      <c r="O2" s="55" t="s">
        <v>42</v>
      </c>
      <c r="P2" s="54"/>
      <c r="Q2" s="243" t="s">
        <v>31</v>
      </c>
      <c r="R2" s="244"/>
      <c r="S2" s="1"/>
      <c r="T2" s="77"/>
      <c r="U2" s="2" t="s">
        <v>56</v>
      </c>
      <c r="V2" s="288" t="s">
        <v>135</v>
      </c>
      <c r="W2" s="288"/>
      <c r="X2" s="288"/>
      <c r="Y2" s="276"/>
      <c r="Z2" s="288"/>
      <c r="AA2" s="288"/>
      <c r="AB2" s="276"/>
      <c r="AC2" s="288"/>
      <c r="AD2" s="276"/>
      <c r="AE2" s="288"/>
      <c r="AF2" s="288"/>
      <c r="AG2" s="276"/>
      <c r="AH2" s="313"/>
      <c r="AI2" s="29" t="s">
        <v>97</v>
      </c>
      <c r="AJ2" s="987"/>
      <c r="AK2" s="87" t="s">
        <v>266</v>
      </c>
      <c r="AL2" s="87" t="s">
        <v>268</v>
      </c>
      <c r="AM2" s="87" t="s">
        <v>273</v>
      </c>
      <c r="AN2" s="87"/>
      <c r="AO2" s="87" t="s">
        <v>285</v>
      </c>
      <c r="AP2" s="87"/>
      <c r="AQ2" s="987"/>
      <c r="AR2" s="2" t="s">
        <v>64</v>
      </c>
      <c r="AS2" s="2" t="s">
        <v>64</v>
      </c>
      <c r="AT2" s="2" t="s">
        <v>64</v>
      </c>
      <c r="AU2" s="2" t="s">
        <v>64</v>
      </c>
      <c r="AV2" s="2" t="s">
        <v>64</v>
      </c>
      <c r="AW2" s="2" t="s">
        <v>65</v>
      </c>
      <c r="AX2" s="2" t="s">
        <v>65</v>
      </c>
      <c r="AY2" s="2" t="s">
        <v>65</v>
      </c>
      <c r="AZ2" s="2" t="s">
        <v>65</v>
      </c>
      <c r="BA2" s="2" t="s">
        <v>65</v>
      </c>
      <c r="BB2" s="87" t="s">
        <v>66</v>
      </c>
      <c r="BC2" s="30" t="s">
        <v>74</v>
      </c>
      <c r="BD2" s="34" t="s">
        <v>74</v>
      </c>
      <c r="BE2" s="34" t="s">
        <v>74</v>
      </c>
      <c r="BF2" s="40" t="s">
        <v>74</v>
      </c>
      <c r="BG2" s="2" t="s">
        <v>74</v>
      </c>
      <c r="BH2" s="2" t="s">
        <v>74</v>
      </c>
      <c r="BI2" s="40" t="s">
        <v>74</v>
      </c>
      <c r="BJ2" s="2" t="s">
        <v>74</v>
      </c>
      <c r="BK2" s="2" t="s">
        <v>74</v>
      </c>
      <c r="BL2" s="2" t="s">
        <v>74</v>
      </c>
      <c r="BM2" s="40" t="s">
        <v>74</v>
      </c>
      <c r="BN2" s="958" t="s">
        <v>357</v>
      </c>
      <c r="BO2" s="959" t="s">
        <v>360</v>
      </c>
      <c r="BP2" s="1017" t="s">
        <v>317</v>
      </c>
      <c r="BQ2" s="1017" t="s">
        <v>317</v>
      </c>
      <c r="BR2" s="1017" t="s">
        <v>317</v>
      </c>
      <c r="BS2" s="1017" t="s">
        <v>317</v>
      </c>
      <c r="BT2" s="1017" t="s">
        <v>317</v>
      </c>
      <c r="BU2" s="1017" t="s">
        <v>317</v>
      </c>
      <c r="BV2" s="1017" t="s">
        <v>317</v>
      </c>
      <c r="BW2" s="1021"/>
      <c r="BX2" s="1020" t="s">
        <v>265</v>
      </c>
      <c r="BY2" s="1020" t="s">
        <v>265</v>
      </c>
      <c r="BZ2" s="1020" t="s">
        <v>265</v>
      </c>
      <c r="CA2" s="1020" t="s">
        <v>265</v>
      </c>
      <c r="CB2" s="1020" t="s">
        <v>265</v>
      </c>
      <c r="CC2" s="1020" t="s">
        <v>265</v>
      </c>
      <c r="CD2" s="1020" t="s">
        <v>265</v>
      </c>
      <c r="CE2" s="1020" t="s">
        <v>265</v>
      </c>
      <c r="CF2" s="1020" t="s">
        <v>337</v>
      </c>
    </row>
    <row r="3" spans="1:85" ht="15" customHeight="1" x14ac:dyDescent="0.25">
      <c r="A3" s="57" t="s">
        <v>51</v>
      </c>
      <c r="B3" s="32"/>
      <c r="C3" s="32"/>
      <c r="D3" s="56"/>
      <c r="E3" s="53" t="s">
        <v>33</v>
      </c>
      <c r="F3" s="56"/>
      <c r="G3" s="53" t="s">
        <v>34</v>
      </c>
      <c r="H3" s="56"/>
      <c r="I3" s="53" t="s">
        <v>34</v>
      </c>
      <c r="J3" s="56"/>
      <c r="K3" s="63" t="s">
        <v>34</v>
      </c>
      <c r="L3" s="56"/>
      <c r="M3" s="64"/>
      <c r="N3" s="56" t="s">
        <v>41</v>
      </c>
      <c r="O3" s="58"/>
      <c r="P3" s="54" t="s">
        <v>41</v>
      </c>
      <c r="Q3" s="63" t="s">
        <v>34</v>
      </c>
      <c r="R3" s="56"/>
      <c r="S3" s="54"/>
      <c r="T3" s="77"/>
      <c r="V3" s="288" t="s">
        <v>134</v>
      </c>
      <c r="W3" s="288" t="s">
        <v>205</v>
      </c>
      <c r="X3" s="288" t="s">
        <v>205</v>
      </c>
      <c r="Y3" s="276"/>
      <c r="Z3" s="288"/>
      <c r="AA3" s="288"/>
      <c r="AB3" s="276"/>
      <c r="AC3" s="288"/>
      <c r="AD3" s="276"/>
      <c r="AE3" s="288"/>
      <c r="AF3" s="288"/>
      <c r="AG3" s="276"/>
      <c r="AH3" s="313"/>
      <c r="AI3" s="29"/>
      <c r="AJ3" s="987"/>
      <c r="AK3" s="954"/>
      <c r="AL3" s="954"/>
      <c r="AM3" s="954"/>
      <c r="AN3" s="954"/>
      <c r="AO3" s="954"/>
      <c r="AP3" s="954"/>
      <c r="AQ3" s="987"/>
      <c r="AR3" s="87" t="s">
        <v>111</v>
      </c>
      <c r="AS3" s="87" t="s">
        <v>112</v>
      </c>
      <c r="AT3" s="87" t="s">
        <v>113</v>
      </c>
      <c r="AU3" s="87" t="s">
        <v>114</v>
      </c>
      <c r="AV3" s="87" t="s">
        <v>115</v>
      </c>
      <c r="AW3" s="87" t="s">
        <v>111</v>
      </c>
      <c r="AX3" s="87" t="s">
        <v>112</v>
      </c>
      <c r="AY3" s="87" t="s">
        <v>113</v>
      </c>
      <c r="AZ3" s="87" t="s">
        <v>114</v>
      </c>
      <c r="BA3" s="87" t="s">
        <v>115</v>
      </c>
      <c r="BB3" s="87" t="s">
        <v>67</v>
      </c>
      <c r="BC3" s="30"/>
      <c r="BD3" s="34"/>
      <c r="BE3" s="34"/>
      <c r="BF3" s="40"/>
      <c r="BG3" s="2"/>
      <c r="BH3" s="2"/>
      <c r="BI3" s="40"/>
      <c r="BJ3" s="2"/>
      <c r="BK3" s="2"/>
      <c r="BL3" s="2"/>
      <c r="BM3" s="40"/>
      <c r="BN3" s="958" t="s">
        <v>358</v>
      </c>
      <c r="BO3" s="959" t="s">
        <v>361</v>
      </c>
      <c r="BU3" s="1016"/>
      <c r="BV3" s="1015" t="s">
        <v>335</v>
      </c>
      <c r="BW3" s="1015"/>
      <c r="BX3" s="1014" t="s">
        <v>318</v>
      </c>
      <c r="BY3">
        <v>7.5</v>
      </c>
      <c r="BZ3" s="924" t="s">
        <v>320</v>
      </c>
    </row>
    <row r="4" spans="1:85" x14ac:dyDescent="0.25">
      <c r="A4" s="57" t="s">
        <v>52</v>
      </c>
      <c r="B4" s="32"/>
      <c r="C4" s="32"/>
      <c r="D4" s="56"/>
      <c r="E4" s="57" t="s">
        <v>50</v>
      </c>
      <c r="F4" s="56" t="s">
        <v>41</v>
      </c>
      <c r="G4" s="57" t="s">
        <v>50</v>
      </c>
      <c r="H4" s="56" t="s">
        <v>41</v>
      </c>
      <c r="I4" s="64" t="s">
        <v>50</v>
      </c>
      <c r="J4" s="56" t="s">
        <v>41</v>
      </c>
      <c r="K4" s="57" t="s">
        <v>50</v>
      </c>
      <c r="L4" s="56" t="s">
        <v>41</v>
      </c>
      <c r="M4" s="64" t="s">
        <v>40</v>
      </c>
      <c r="N4" s="56" t="s">
        <v>41</v>
      </c>
      <c r="O4" s="58" t="s">
        <v>40</v>
      </c>
      <c r="P4" s="54" t="s">
        <v>41</v>
      </c>
      <c r="Q4" s="64" t="s">
        <v>50</v>
      </c>
      <c r="R4" s="56" t="s">
        <v>41</v>
      </c>
      <c r="S4" s="1" t="s">
        <v>41</v>
      </c>
      <c r="T4" s="77"/>
      <c r="AH4" s="313"/>
      <c r="AI4" s="29" t="s">
        <v>96</v>
      </c>
      <c r="AJ4" s="987"/>
      <c r="AK4" s="954" t="s">
        <v>265</v>
      </c>
      <c r="AL4" s="954" t="s">
        <v>68</v>
      </c>
      <c r="AM4" s="954" t="s">
        <v>272</v>
      </c>
      <c r="AN4" s="954" t="s">
        <v>286</v>
      </c>
      <c r="AO4" s="954" t="s">
        <v>284</v>
      </c>
      <c r="AP4" s="954" t="s">
        <v>286</v>
      </c>
      <c r="AQ4" s="987"/>
      <c r="AR4" s="2" t="s">
        <v>68</v>
      </c>
      <c r="AS4" s="2" t="s">
        <v>68</v>
      </c>
      <c r="AT4" s="2" t="s">
        <v>68</v>
      </c>
      <c r="AU4" s="2" t="s">
        <v>68</v>
      </c>
      <c r="AV4" s="2" t="s">
        <v>68</v>
      </c>
      <c r="AW4" s="2" t="s">
        <v>69</v>
      </c>
      <c r="AX4" s="2" t="s">
        <v>69</v>
      </c>
      <c r="AY4" s="2" t="s">
        <v>69</v>
      </c>
      <c r="AZ4" s="2" t="s">
        <v>69</v>
      </c>
      <c r="BA4" s="2" t="s">
        <v>69</v>
      </c>
      <c r="BB4" s="87"/>
      <c r="BC4" s="33" t="s">
        <v>80</v>
      </c>
      <c r="BD4" s="34" t="s">
        <v>80</v>
      </c>
      <c r="BE4" s="34" t="s">
        <v>80</v>
      </c>
      <c r="BF4" s="40" t="s">
        <v>80</v>
      </c>
      <c r="BG4" s="2" t="s">
        <v>80</v>
      </c>
      <c r="BH4" s="2" t="s">
        <v>80</v>
      </c>
      <c r="BI4" s="40" t="s">
        <v>80</v>
      </c>
      <c r="BJ4" s="2" t="s">
        <v>80</v>
      </c>
      <c r="BK4" s="2" t="s">
        <v>80</v>
      </c>
      <c r="BL4" s="2" t="s">
        <v>80</v>
      </c>
      <c r="BM4" s="40" t="s">
        <v>80</v>
      </c>
      <c r="BN4" s="958"/>
      <c r="BO4" s="959"/>
      <c r="BV4" s="1021" t="s">
        <v>344</v>
      </c>
      <c r="BX4" s="1014" t="s">
        <v>319</v>
      </c>
      <c r="BY4">
        <v>25</v>
      </c>
      <c r="BZ4" s="924" t="s">
        <v>320</v>
      </c>
    </row>
    <row r="5" spans="1:85" x14ac:dyDescent="0.25">
      <c r="A5" s="53"/>
      <c r="B5" s="32"/>
      <c r="C5" s="32"/>
      <c r="D5" s="56"/>
      <c r="E5" s="53"/>
      <c r="F5" s="56"/>
      <c r="G5" s="53" t="s">
        <v>53</v>
      </c>
      <c r="H5" s="56"/>
      <c r="I5" s="53" t="s">
        <v>54</v>
      </c>
      <c r="J5" s="56"/>
      <c r="K5" s="63" t="s">
        <v>55</v>
      </c>
      <c r="L5" s="67"/>
      <c r="M5" s="65"/>
      <c r="N5" s="56"/>
      <c r="O5" s="54"/>
      <c r="P5" s="54"/>
      <c r="Q5" s="63" t="s">
        <v>43</v>
      </c>
      <c r="R5" s="56"/>
      <c r="S5" s="1"/>
      <c r="T5" s="77"/>
      <c r="AH5" s="313"/>
      <c r="AM5" s="954"/>
      <c r="AN5" s="954"/>
      <c r="AO5" s="954"/>
      <c r="AP5" s="954"/>
      <c r="AR5" s="2"/>
      <c r="AS5" s="2"/>
      <c r="AT5" s="2"/>
      <c r="AU5" s="2"/>
      <c r="AV5" s="2"/>
      <c r="AW5" s="2"/>
      <c r="AX5" s="2"/>
      <c r="AY5" s="2"/>
      <c r="AZ5" s="2"/>
      <c r="BA5" s="2"/>
      <c r="BB5" s="2"/>
      <c r="BC5" s="30"/>
      <c r="BD5" s="34"/>
      <c r="BE5" s="34"/>
      <c r="BF5" s="40"/>
      <c r="BG5" s="2"/>
      <c r="BH5" s="2"/>
      <c r="BI5" s="40"/>
      <c r="BJ5" s="2"/>
      <c r="BK5" s="2"/>
      <c r="BL5" s="2"/>
      <c r="BM5" s="40"/>
      <c r="BN5" s="958"/>
      <c r="BO5" s="959"/>
      <c r="BU5" s="1014" t="s">
        <v>330</v>
      </c>
      <c r="BV5">
        <v>-10</v>
      </c>
      <c r="BX5" s="1014" t="s">
        <v>328</v>
      </c>
      <c r="BY5" s="1019">
        <v>10000000000</v>
      </c>
      <c r="BZ5" s="1018" t="s">
        <v>320</v>
      </c>
    </row>
    <row r="6" spans="1:85" x14ac:dyDescent="0.25">
      <c r="A6" s="53"/>
      <c r="B6" s="32"/>
      <c r="C6" s="32"/>
      <c r="D6" s="56"/>
      <c r="E6" s="53"/>
      <c r="F6" s="56"/>
      <c r="G6" s="53" t="s">
        <v>35</v>
      </c>
      <c r="H6" s="56"/>
      <c r="I6" s="53" t="s">
        <v>35</v>
      </c>
      <c r="J6" s="56"/>
      <c r="K6" s="63" t="s">
        <v>35</v>
      </c>
      <c r="L6" s="67"/>
      <c r="M6" s="65"/>
      <c r="N6" s="56"/>
      <c r="O6" s="54"/>
      <c r="P6" s="54"/>
      <c r="Q6" s="63" t="s">
        <v>44</v>
      </c>
      <c r="R6" s="56"/>
      <c r="S6" s="1"/>
      <c r="T6" s="77"/>
      <c r="AH6" s="313"/>
      <c r="AN6" s="954"/>
      <c r="AO6" s="954"/>
      <c r="AP6" s="954"/>
      <c r="AR6" s="2"/>
      <c r="AS6" s="2"/>
      <c r="AT6" s="2"/>
      <c r="AU6" s="2"/>
      <c r="AV6" s="2"/>
      <c r="AW6" s="2"/>
      <c r="AX6" s="2"/>
      <c r="AY6" s="2"/>
      <c r="AZ6" s="2"/>
      <c r="BA6" s="2"/>
      <c r="BB6" s="2"/>
      <c r="BC6" s="30"/>
      <c r="BD6" s="34"/>
      <c r="BE6" s="34"/>
      <c r="BF6" s="40"/>
      <c r="BG6" s="2"/>
      <c r="BH6" s="2"/>
      <c r="BI6" s="40"/>
      <c r="BJ6" s="2"/>
      <c r="BK6" s="2"/>
      <c r="BL6" s="2"/>
      <c r="BM6" s="40"/>
      <c r="BN6" s="958"/>
      <c r="BO6" s="959"/>
      <c r="BU6" s="1014" t="s">
        <v>342</v>
      </c>
      <c r="BV6">
        <v>2087</v>
      </c>
      <c r="BX6" s="1014" t="s">
        <v>329</v>
      </c>
      <c r="BY6" s="1019">
        <v>10000000000</v>
      </c>
      <c r="BZ6" s="1018" t="s">
        <v>320</v>
      </c>
    </row>
    <row r="7" spans="1:85" x14ac:dyDescent="0.25">
      <c r="A7" s="53"/>
      <c r="B7" s="32"/>
      <c r="C7" s="32"/>
      <c r="D7" s="56"/>
      <c r="E7" s="53"/>
      <c r="F7" s="56"/>
      <c r="G7" s="53"/>
      <c r="H7" s="56"/>
      <c r="I7" s="53"/>
      <c r="J7" s="56"/>
      <c r="K7" s="63"/>
      <c r="L7" s="67"/>
      <c r="M7" s="65"/>
      <c r="N7" s="56"/>
      <c r="O7" s="54"/>
      <c r="P7" s="54"/>
      <c r="Q7" s="65" t="s">
        <v>45</v>
      </c>
      <c r="R7" s="56"/>
      <c r="S7" s="1"/>
      <c r="T7" s="77"/>
      <c r="AH7" s="313"/>
      <c r="AN7" s="954"/>
      <c r="AO7" s="954"/>
      <c r="AP7" s="954"/>
      <c r="AR7" s="2"/>
      <c r="AS7" s="2"/>
      <c r="AT7" s="2"/>
      <c r="AU7" s="2"/>
      <c r="AV7" s="2"/>
      <c r="AW7" s="2"/>
      <c r="AX7" s="2"/>
      <c r="AY7" s="2"/>
      <c r="AZ7" s="2"/>
      <c r="BA7" s="2"/>
      <c r="BB7" s="2"/>
      <c r="BC7" s="30"/>
      <c r="BD7" s="34"/>
      <c r="BE7" s="34"/>
      <c r="BF7" s="40"/>
      <c r="BG7" s="2"/>
      <c r="BH7" s="2"/>
      <c r="BI7" s="40"/>
      <c r="BJ7" s="2"/>
      <c r="BK7" s="2"/>
      <c r="BL7" s="2"/>
      <c r="BM7" s="40"/>
      <c r="BN7" s="958"/>
      <c r="BO7" s="959"/>
      <c r="BU7" s="1014" t="s">
        <v>347</v>
      </c>
      <c r="BV7">
        <v>6.4</v>
      </c>
      <c r="BX7" s="1014" t="s">
        <v>331</v>
      </c>
      <c r="BY7" s="1018">
        <v>20</v>
      </c>
      <c r="BZ7" s="1018" t="s">
        <v>284</v>
      </c>
    </row>
    <row r="8" spans="1:85" x14ac:dyDescent="0.25">
      <c r="A8" s="53"/>
      <c r="B8" s="32"/>
      <c r="C8" s="32"/>
      <c r="D8" s="56"/>
      <c r="E8" s="53"/>
      <c r="F8" s="56"/>
      <c r="G8" s="53"/>
      <c r="H8" s="56"/>
      <c r="I8" s="53"/>
      <c r="J8" s="56"/>
      <c r="K8" s="63" t="s">
        <v>36</v>
      </c>
      <c r="L8" s="67"/>
      <c r="M8" s="65"/>
      <c r="N8" s="56"/>
      <c r="O8" s="54"/>
      <c r="P8" s="54"/>
      <c r="Q8" s="65"/>
      <c r="R8" s="56"/>
      <c r="S8" s="1"/>
      <c r="T8" s="77"/>
      <c r="AH8" s="313"/>
      <c r="AN8" s="954"/>
      <c r="AO8" s="954"/>
      <c r="AP8" s="954"/>
      <c r="AR8" s="2"/>
      <c r="AS8" s="2"/>
      <c r="AT8" s="2"/>
      <c r="AU8" s="2"/>
      <c r="AV8" s="2"/>
      <c r="AW8" s="2"/>
      <c r="AX8" s="2"/>
      <c r="AY8" s="2"/>
      <c r="AZ8" s="2"/>
      <c r="BA8" s="2"/>
      <c r="BB8" s="2"/>
      <c r="BC8" s="30"/>
      <c r="BD8" s="34"/>
      <c r="BE8" s="34"/>
      <c r="BF8" s="40"/>
      <c r="BG8" s="2"/>
      <c r="BH8" s="2"/>
      <c r="BI8" s="40"/>
      <c r="BJ8" s="2"/>
      <c r="BK8" s="2"/>
      <c r="BL8" s="2"/>
      <c r="BM8" s="40"/>
      <c r="BN8" s="958"/>
      <c r="BO8" s="959"/>
      <c r="BU8" s="1014" t="s">
        <v>343</v>
      </c>
      <c r="BV8">
        <v>242</v>
      </c>
      <c r="BX8" s="1014" t="s">
        <v>332</v>
      </c>
      <c r="BY8" s="1018">
        <v>2</v>
      </c>
      <c r="BZ8" s="1018" t="s">
        <v>284</v>
      </c>
    </row>
    <row r="9" spans="1:85" x14ac:dyDescent="0.25">
      <c r="A9" s="53"/>
      <c r="B9" s="32"/>
      <c r="C9" s="32"/>
      <c r="D9" s="56"/>
      <c r="E9" s="53"/>
      <c r="F9" s="56"/>
      <c r="G9" s="53"/>
      <c r="H9" s="56"/>
      <c r="I9" s="53"/>
      <c r="J9" s="56"/>
      <c r="K9" s="63" t="s">
        <v>37</v>
      </c>
      <c r="L9" s="67"/>
      <c r="M9" s="65"/>
      <c r="N9" s="56"/>
      <c r="O9" s="54"/>
      <c r="P9" s="54"/>
      <c r="Q9" s="63" t="s">
        <v>46</v>
      </c>
      <c r="R9" s="56"/>
      <c r="S9" s="1"/>
      <c r="T9" s="77"/>
      <c r="AH9" s="313"/>
      <c r="AN9" s="954"/>
      <c r="AO9" s="954"/>
      <c r="AP9" s="954"/>
      <c r="AR9" s="2"/>
      <c r="AS9" s="2"/>
      <c r="AT9" s="2"/>
      <c r="AU9" s="2"/>
      <c r="AV9" s="2"/>
      <c r="AW9" s="2"/>
      <c r="AX9" s="2"/>
      <c r="AY9" s="2"/>
      <c r="AZ9" s="2"/>
      <c r="BA9" s="2"/>
      <c r="BB9" s="2"/>
      <c r="BC9" s="30"/>
      <c r="BD9" s="34"/>
      <c r="BE9" s="34"/>
      <c r="BF9" s="40"/>
      <c r="BG9" s="2"/>
      <c r="BH9" s="2"/>
      <c r="BI9" s="40"/>
      <c r="BJ9" s="2"/>
      <c r="BK9" s="2"/>
      <c r="BL9" s="2"/>
      <c r="BM9" s="40"/>
      <c r="BN9" s="958"/>
      <c r="BO9" s="959"/>
      <c r="BX9" s="1014" t="s">
        <v>333</v>
      </c>
      <c r="BY9" s="1018">
        <v>3</v>
      </c>
      <c r="BZ9" s="1018" t="s">
        <v>334</v>
      </c>
    </row>
    <row r="10" spans="1:85" x14ac:dyDescent="0.25">
      <c r="A10" s="53"/>
      <c r="B10" s="32"/>
      <c r="C10" s="32"/>
      <c r="D10" s="56"/>
      <c r="E10" s="53"/>
      <c r="F10" s="56"/>
      <c r="G10" s="53"/>
      <c r="H10" s="56"/>
      <c r="I10" s="53"/>
      <c r="J10" s="56"/>
      <c r="K10" s="63" t="s">
        <v>39</v>
      </c>
      <c r="L10" s="67"/>
      <c r="M10" s="65"/>
      <c r="N10" s="56"/>
      <c r="O10" s="54"/>
      <c r="P10" s="54"/>
      <c r="Q10" s="65"/>
      <c r="R10" s="56"/>
      <c r="S10" s="1"/>
      <c r="T10" s="77"/>
      <c r="AH10" s="313"/>
      <c r="AN10" s="954"/>
      <c r="AO10" s="954"/>
      <c r="AP10" s="954"/>
      <c r="AR10" s="2"/>
      <c r="AS10" s="2"/>
      <c r="AT10" s="2"/>
      <c r="AU10" s="2"/>
      <c r="AV10" s="2"/>
      <c r="AW10" s="2"/>
      <c r="AX10" s="2"/>
      <c r="AY10" s="2"/>
      <c r="AZ10" s="2"/>
      <c r="BA10" s="2"/>
      <c r="BB10" s="2"/>
      <c r="BC10" s="30"/>
      <c r="BD10" s="34"/>
      <c r="BE10" s="34"/>
      <c r="BF10" s="40"/>
      <c r="BG10" s="2"/>
      <c r="BH10" s="2"/>
      <c r="BI10" s="40"/>
      <c r="BJ10" s="2"/>
      <c r="BK10" s="2"/>
      <c r="BL10" s="2"/>
      <c r="BM10" s="40"/>
      <c r="BN10" s="958"/>
      <c r="BO10" s="959"/>
      <c r="BX10" s="1014" t="s">
        <v>341</v>
      </c>
      <c r="BY10" s="1016">
        <f>BY7-BY8-BY9</f>
        <v>15</v>
      </c>
      <c r="BZ10" s="1018" t="s">
        <v>334</v>
      </c>
    </row>
    <row r="11" spans="1:85" ht="15.75" thickBot="1" x14ac:dyDescent="0.3">
      <c r="A11" s="59"/>
      <c r="B11" s="60"/>
      <c r="C11" s="60"/>
      <c r="D11" s="62"/>
      <c r="E11" s="59"/>
      <c r="F11" s="62"/>
      <c r="G11" s="59"/>
      <c r="H11" s="62"/>
      <c r="I11" s="59"/>
      <c r="J11" s="62"/>
      <c r="K11" s="68" t="s">
        <v>38</v>
      </c>
      <c r="L11" s="69"/>
      <c r="M11" s="66"/>
      <c r="N11" s="62"/>
      <c r="O11" s="61"/>
      <c r="P11" s="61"/>
      <c r="Q11" s="66"/>
      <c r="R11" s="62"/>
      <c r="S11" s="1"/>
      <c r="T11" s="77"/>
      <c r="AH11" s="313"/>
      <c r="AN11" s="954"/>
      <c r="AO11" s="954"/>
      <c r="AP11" s="954"/>
      <c r="AR11" s="2"/>
      <c r="AS11" s="2"/>
      <c r="AT11" s="2"/>
      <c r="AU11" s="2"/>
      <c r="AV11" s="2"/>
      <c r="AW11" s="2"/>
      <c r="AX11" s="2"/>
      <c r="AY11" s="2"/>
      <c r="AZ11" s="2"/>
      <c r="BA11" s="2"/>
      <c r="BB11" s="2"/>
      <c r="BC11" s="30"/>
      <c r="BD11" s="34"/>
      <c r="BE11" s="34"/>
      <c r="BF11" s="40"/>
      <c r="BG11" s="2"/>
      <c r="BH11" s="2"/>
      <c r="BI11" s="40"/>
      <c r="BJ11" s="2"/>
      <c r="BK11" s="2"/>
      <c r="BL11" s="2"/>
      <c r="BM11" s="40"/>
      <c r="BN11" s="958"/>
      <c r="BO11" s="959"/>
      <c r="BX11" s="1014" t="s">
        <v>345</v>
      </c>
      <c r="BY11" s="926">
        <v>0.8</v>
      </c>
      <c r="BZ11" s="1018" t="s">
        <v>346</v>
      </c>
    </row>
    <row r="12" spans="1:85" s="20" customFormat="1" x14ac:dyDescent="0.25">
      <c r="D12" s="21"/>
      <c r="F12" s="21"/>
      <c r="H12" s="21"/>
      <c r="J12" s="21"/>
      <c r="K12" s="21"/>
      <c r="L12" s="21"/>
      <c r="M12" s="21"/>
      <c r="N12" s="21"/>
      <c r="O12" s="21"/>
      <c r="P12" s="21"/>
      <c r="Q12" s="21"/>
      <c r="R12" s="21"/>
      <c r="S12" s="21"/>
      <c r="T12" s="78"/>
      <c r="V12" s="291"/>
      <c r="W12" s="291"/>
      <c r="X12" s="291"/>
      <c r="Y12" s="233"/>
      <c r="Z12" s="291"/>
      <c r="AA12" s="291"/>
      <c r="AB12" s="291"/>
      <c r="AC12" s="291"/>
      <c r="AD12" s="233"/>
      <c r="AE12" s="291"/>
      <c r="AF12" s="291"/>
      <c r="AG12" s="233"/>
      <c r="AH12" s="313"/>
      <c r="AI12" s="915"/>
      <c r="AJ12" s="313"/>
      <c r="AK12" s="915"/>
      <c r="AL12" s="915"/>
      <c r="AM12" s="915"/>
      <c r="AN12" s="43"/>
      <c r="AO12" s="43"/>
      <c r="AP12" s="43"/>
      <c r="AQ12" s="313"/>
      <c r="AR12" s="43"/>
      <c r="AS12" s="43"/>
      <c r="AT12" s="43"/>
      <c r="AU12" s="43"/>
      <c r="AV12" s="43"/>
      <c r="AW12" s="43"/>
      <c r="AX12" s="43"/>
      <c r="AY12" s="43"/>
      <c r="AZ12" s="43"/>
      <c r="BA12" s="43"/>
      <c r="BB12" s="43"/>
      <c r="BC12" s="44"/>
      <c r="BD12" s="233"/>
      <c r="BE12" s="233"/>
      <c r="BF12" s="48"/>
      <c r="BG12" s="43"/>
      <c r="BH12" s="43"/>
      <c r="BI12" s="48"/>
      <c r="BJ12" s="43"/>
      <c r="BK12" s="43"/>
      <c r="BL12" s="43"/>
      <c r="BM12" s="48"/>
      <c r="BN12" s="233"/>
      <c r="BO12" s="48"/>
    </row>
    <row r="13" spans="1:85" x14ac:dyDescent="0.25">
      <c r="A13" s="485"/>
      <c r="B13" s="485"/>
      <c r="C13" s="485"/>
      <c r="D13" s="486"/>
      <c r="E13" s="485"/>
      <c r="F13" s="486"/>
      <c r="G13" s="485"/>
      <c r="H13" s="486"/>
      <c r="I13" s="485"/>
      <c r="J13" s="486"/>
      <c r="K13" s="486"/>
      <c r="L13" s="486"/>
      <c r="M13" s="486"/>
      <c r="N13" s="486"/>
      <c r="O13" s="486"/>
      <c r="P13" s="486"/>
      <c r="Q13" s="486" t="s">
        <v>16</v>
      </c>
      <c r="R13" s="488">
        <v>0.73860000000000003</v>
      </c>
      <c r="S13" s="486"/>
      <c r="T13" s="496">
        <v>1.7237392967464488E-3</v>
      </c>
      <c r="U13" s="485"/>
      <c r="V13" s="176">
        <f>T13</f>
        <v>1.7237392967464488E-3</v>
      </c>
      <c r="W13" s="176">
        <f>V13</f>
        <v>1.7237392967464488E-3</v>
      </c>
      <c r="X13" s="176">
        <f>W13</f>
        <v>1.7237392967464488E-3</v>
      </c>
      <c r="Y13" s="34">
        <f>X13/Calculation_sheet!M$67</f>
        <v>1.7237745410590057E-3</v>
      </c>
      <c r="Z13" s="176">
        <f ca="1">IF(AN13&gt;0,Y13*Calculation_sheet!C$87,0)</f>
        <v>0</v>
      </c>
      <c r="AA13" s="176">
        <f ca="1">Y13-Z13</f>
        <v>1.7237745410590057E-3</v>
      </c>
      <c r="AB13" s="176">
        <f ca="1">IF(AP13&gt;0,AA13*Calculation_sheet!C$94,0)</f>
        <v>0</v>
      </c>
      <c r="AC13" s="176">
        <f t="shared" ref="AC13:AE23" ca="1" si="0">AA13-AB13</f>
        <v>1.7237745410590057E-3</v>
      </c>
      <c r="AD13" s="958">
        <f ca="1">AC13*Calculation_sheet!C$99</f>
        <v>1.0342647246354033E-3</v>
      </c>
      <c r="AE13" s="176">
        <f t="shared" ca="1" si="0"/>
        <v>6.8950981642360238E-4</v>
      </c>
      <c r="AF13" s="176">
        <f ca="1">Y13-AB13</f>
        <v>1.7237745410590057E-3</v>
      </c>
      <c r="AG13" s="958">
        <f ca="1">AF13*User_sheet!B$77/100</f>
        <v>0</v>
      </c>
      <c r="AH13" s="313"/>
      <c r="AI13" s="908">
        <v>201</v>
      </c>
      <c r="AJ13" s="313"/>
      <c r="AK13" s="954">
        <f ca="1">CD13</f>
        <v>136.17528263090259</v>
      </c>
      <c r="AL13" s="954">
        <f ca="1">AK13/'201'!I$24</f>
        <v>0.71024504579827141</v>
      </c>
      <c r="AM13" s="954">
        <f ca="1">0.8*(AK13*30+'201'!D$17*0.34*30*1)</f>
        <v>5358.4071031416624</v>
      </c>
      <c r="AN13" s="954">
        <f ca="1">IF(AM13&lt;User_sheet!B$50,Y13,0)</f>
        <v>1.7237745410590057E-3</v>
      </c>
      <c r="AO13" s="954">
        <f ca="1">20-(User_sheet!B$57/(AK13+'201'!D$17*1*0.34))</f>
        <v>-5.5299751151407364</v>
      </c>
      <c r="AP13" s="954">
        <f ca="1">IF(AO13&lt;User_sheet!B$59,0,BC13*AA13)</f>
        <v>0</v>
      </c>
      <c r="AQ13" s="313"/>
      <c r="AR13" s="909">
        <v>0.48</v>
      </c>
      <c r="AS13" s="909">
        <v>0.66</v>
      </c>
      <c r="AT13" s="909">
        <v>0.89</v>
      </c>
      <c r="AU13" s="909">
        <v>2.75</v>
      </c>
      <c r="AV13" s="909">
        <v>3.3</v>
      </c>
      <c r="AW13" s="909">
        <v>10916.451096266603</v>
      </c>
      <c r="AX13" s="909">
        <v>68297.998190252794</v>
      </c>
      <c r="AY13" s="909">
        <v>79015.992973719694</v>
      </c>
      <c r="AZ13" s="909">
        <v>0</v>
      </c>
      <c r="BA13" s="909">
        <v>0</v>
      </c>
      <c r="BB13" s="909">
        <v>0.6</v>
      </c>
      <c r="BC13" s="919">
        <v>1</v>
      </c>
      <c r="BD13" s="920">
        <v>0</v>
      </c>
      <c r="BE13" s="920">
        <v>0</v>
      </c>
      <c r="BF13" s="921">
        <v>0</v>
      </c>
      <c r="BG13" s="920">
        <v>1</v>
      </c>
      <c r="BH13" s="920">
        <v>0</v>
      </c>
      <c r="BI13" s="921">
        <v>0</v>
      </c>
      <c r="BJ13" s="920">
        <v>1</v>
      </c>
      <c r="BK13" s="920">
        <v>0</v>
      </c>
      <c r="BL13" s="920">
        <v>0</v>
      </c>
      <c r="BM13" s="921">
        <v>0</v>
      </c>
      <c r="BN13" s="958">
        <v>0.08</v>
      </c>
      <c r="BO13" s="959">
        <v>6</v>
      </c>
      <c r="BP13">
        <f t="shared" ref="BP13:BP23" ca="1" si="1">INDIRECT("'"&amp;AI13&amp;"'!"&amp;"B2")</f>
        <v>102.96</v>
      </c>
      <c r="BQ13" s="924">
        <f t="shared" ref="BQ13:BQ23" ca="1" si="2">INDIRECT("'"&amp;AI13&amp;"'!"&amp;"C12")+INDIRECT("'"&amp;AI13&amp;"'!"&amp;"C13")+INDIRECT("'"&amp;AI13&amp;"'!"&amp;"C14")+INDIRECT("'"&amp;AI13&amp;"'!"&amp;"C15")+INDIRECT("'"&amp;AI13&amp;"'!"&amp;"C17")</f>
        <v>174.94399999999999</v>
      </c>
      <c r="BR13" s="1018">
        <f t="shared" ref="BR13:BR23" ca="1" si="3">INDIRECT("'"&amp;AI13&amp;"'!"&amp;"G5")</f>
        <v>37.440000000000005</v>
      </c>
      <c r="BS13" s="1018">
        <f t="shared" ref="BS13:BS23" ca="1" si="4">INDIRECT("'"&amp;AI13&amp;"'!"&amp;"G4")</f>
        <v>112.95</v>
      </c>
      <c r="BT13" s="1018">
        <f t="shared" ref="BT13:BT23" ca="1" si="5">INDIRECT("'"&amp;AI13&amp;"'!"&amp;"G6")</f>
        <v>34.32</v>
      </c>
      <c r="BU13" s="1018">
        <f t="shared" ref="BU13:BU23" ca="1" si="6">INDIRECT("'"&amp;AI13&amp;"'!"&amp;"G2")</f>
        <v>7</v>
      </c>
      <c r="BV13" s="1018">
        <f t="shared" ref="BV13:BV23" ca="1" si="7">INDIRECT("'"&amp;AI13&amp;"'!"&amp;"G3")</f>
        <v>4.3</v>
      </c>
      <c r="BW13" s="1018">
        <v>0</v>
      </c>
      <c r="BX13">
        <f ca="1">IF(BR13=0,0,1/(1/(BR13*$BY$3)+1/(BR13*AR13)+1/(BR13*$BY$4)))</f>
        <v>16.590841949778437</v>
      </c>
      <c r="BY13" s="1018">
        <f ca="1">IF(BS13=0,0,1/(1/(BS13*$BY$3)+1/(BS13*AS13)+1/(BS13*$BY$4)))</f>
        <v>66.894292893036621</v>
      </c>
      <c r="BZ13" s="1018">
        <f ca="1">IF(BT13=0,0,1/(1/(BT13*$BY$3)+1/(BT13*AT13)+1/(BT13*$BY$4)))*0.33</f>
        <v>8.7326302414231254</v>
      </c>
      <c r="CA13" s="1018">
        <f ca="1">IF(BU13=0,0,1/(1/(BU13*$BY$5)+1/(BU13*AU13)+1/(BU13*$BY$6)))</f>
        <v>19.249999989412501</v>
      </c>
      <c r="CB13" s="1018">
        <f ca="1">IF(BV13=0,0,1/(1/(BV13*$BY$3)+1/(BV13*AV13)+1/(BV13*$BY$4)))</f>
        <v>9.0267175572519083</v>
      </c>
      <c r="CC13" s="1018">
        <f>0.67*IF(BW13=0,0,1/(1/(BW13*$BY$3)+1/(BW13*AS13)+1/(BW13*$BY$4)))</f>
        <v>0</v>
      </c>
      <c r="CD13" s="1018">
        <f ca="1">SUM(BX13:CC13)+(BR13+BS13+BT13+BU13+BV13)*BN13</f>
        <v>136.17528263090259</v>
      </c>
      <c r="CE13" s="1018">
        <f ca="1">0.34*BO13*(1/25)^0.66*(BR13+BS13+BU13+BV13)</f>
        <v>39.416033895928877</v>
      </c>
      <c r="CF13">
        <f ca="1">(CD13+CE13)*($BY$7-$BV$5)/1000</f>
        <v>5.2677394958049435</v>
      </c>
      <c r="CG13">
        <f ca="1">$BV$8*(CD13+CE13)*($BY$10-$BV$7)*24/1000</f>
        <v>8770.5755509353985</v>
      </c>
    </row>
    <row r="14" spans="1:85" x14ac:dyDescent="0.25">
      <c r="A14" s="485"/>
      <c r="B14" s="485"/>
      <c r="C14" s="485"/>
      <c r="D14" s="486"/>
      <c r="E14" s="485"/>
      <c r="F14" s="486"/>
      <c r="G14" s="485"/>
      <c r="H14" s="486"/>
      <c r="I14" s="485"/>
      <c r="J14" s="486"/>
      <c r="K14" s="486"/>
      <c r="L14" s="486"/>
      <c r="M14" s="486"/>
      <c r="N14" s="486"/>
      <c r="O14" s="486" t="s">
        <v>18</v>
      </c>
      <c r="P14" s="488">
        <v>0.62953995200000001</v>
      </c>
      <c r="Q14" s="486" t="s">
        <v>7</v>
      </c>
      <c r="R14" s="488">
        <v>0.26140000000000002</v>
      </c>
      <c r="S14" s="486"/>
      <c r="T14" s="496">
        <v>6.100534147976197E-4</v>
      </c>
      <c r="U14" s="485"/>
      <c r="V14" s="176">
        <f t="shared" ref="V14:V95" si="8">T14</f>
        <v>6.100534147976197E-4</v>
      </c>
      <c r="W14" s="176">
        <f t="shared" ref="W14:X23" si="9">V14</f>
        <v>6.100534147976197E-4</v>
      </c>
      <c r="X14" s="176">
        <f t="shared" si="9"/>
        <v>6.100534147976197E-4</v>
      </c>
      <c r="Y14" s="34">
        <f>X14/Calculation_sheet!M$67</f>
        <v>6.1006588821124329E-4</v>
      </c>
      <c r="Z14" s="176">
        <f ca="1">IF(AN14&gt;0,Y14*Calculation_sheet!C$87,0)</f>
        <v>0</v>
      </c>
      <c r="AA14" s="176">
        <f t="shared" ref="AA14:AA23" ca="1" si="10">Y14-Z14</f>
        <v>6.1006588821124329E-4</v>
      </c>
      <c r="AB14" s="176">
        <f ca="1">IF(AP14&gt;0,AA14*Calculation_sheet!C$94,0)</f>
        <v>0</v>
      </c>
      <c r="AC14" s="176">
        <f t="shared" ca="1" si="0"/>
        <v>6.1006588821124329E-4</v>
      </c>
      <c r="AD14" s="958">
        <f ca="1">AC14*Calculation_sheet!C$99</f>
        <v>3.6603953292674594E-4</v>
      </c>
      <c r="AE14" s="176">
        <f t="shared" ca="1" si="0"/>
        <v>2.4402635528449735E-4</v>
      </c>
      <c r="AF14" s="176">
        <f t="shared" ref="AF14:AF23" ca="1" si="11">Y14-AB14</f>
        <v>6.1006588821124329E-4</v>
      </c>
      <c r="AG14" s="958">
        <f ca="1">AF14*User_sheet!B$77/100</f>
        <v>0</v>
      </c>
      <c r="AH14" s="313"/>
      <c r="AI14" s="908">
        <v>201</v>
      </c>
      <c r="AJ14" s="313"/>
      <c r="AK14" s="1020">
        <f t="shared" ref="AK14:AK77" ca="1" si="12">CD14</f>
        <v>136.17528263090259</v>
      </c>
      <c r="AL14" s="954">
        <f ca="1">AK14/'201'!I$24</f>
        <v>0.71024504579827141</v>
      </c>
      <c r="AM14" s="954">
        <f ca="1">0.8*(AK14*30+'201'!D$17*0.34*30*1)</f>
        <v>5358.4071031416624</v>
      </c>
      <c r="AN14" s="954">
        <f ca="1">IF(AM14&lt;User_sheet!B$50,Y14,0)</f>
        <v>6.1006588821124329E-4</v>
      </c>
      <c r="AO14" s="954">
        <f ca="1">20-(User_sheet!B$57/(AK14+'201'!D$17*1*0.34))</f>
        <v>-5.5299751151407364</v>
      </c>
      <c r="AP14" s="954">
        <f ca="1">IF(AO14&lt;User_sheet!B$59,0,BC14*AA14)</f>
        <v>0</v>
      </c>
      <c r="AQ14" s="313"/>
      <c r="AR14" s="909">
        <v>0.48</v>
      </c>
      <c r="AS14" s="909">
        <v>0.66</v>
      </c>
      <c r="AT14" s="909">
        <v>0.89</v>
      </c>
      <c r="AU14" s="909">
        <v>2.75</v>
      </c>
      <c r="AV14" s="909">
        <v>3.3</v>
      </c>
      <c r="AW14" s="909">
        <v>10916.451096266603</v>
      </c>
      <c r="AX14" s="909">
        <v>68297.998190252794</v>
      </c>
      <c r="AY14" s="909">
        <v>79015.992973719694</v>
      </c>
      <c r="AZ14" s="909">
        <v>0</v>
      </c>
      <c r="BA14" s="909">
        <v>0</v>
      </c>
      <c r="BB14" s="909">
        <v>0.6</v>
      </c>
      <c r="BC14" s="919">
        <v>1</v>
      </c>
      <c r="BD14" s="920">
        <v>0</v>
      </c>
      <c r="BE14" s="920">
        <v>0</v>
      </c>
      <c r="BF14" s="921">
        <v>0</v>
      </c>
      <c r="BG14" s="920">
        <v>1</v>
      </c>
      <c r="BH14" s="920">
        <v>0</v>
      </c>
      <c r="BI14" s="921">
        <v>0</v>
      </c>
      <c r="BJ14" s="920">
        <v>0</v>
      </c>
      <c r="BK14" s="920">
        <v>0</v>
      </c>
      <c r="BL14" s="920">
        <v>1</v>
      </c>
      <c r="BM14" s="921">
        <v>0</v>
      </c>
      <c r="BN14" s="958">
        <v>0.08</v>
      </c>
      <c r="BO14" s="959">
        <v>6</v>
      </c>
      <c r="BP14">
        <f t="shared" ca="1" si="1"/>
        <v>102.96</v>
      </c>
      <c r="BQ14">
        <f t="shared" ca="1" si="2"/>
        <v>174.94399999999999</v>
      </c>
      <c r="BR14">
        <f t="shared" ca="1" si="3"/>
        <v>37.440000000000005</v>
      </c>
      <c r="BS14">
        <f t="shared" ca="1" si="4"/>
        <v>112.95</v>
      </c>
      <c r="BT14">
        <f t="shared" ca="1" si="5"/>
        <v>34.32</v>
      </c>
      <c r="BU14">
        <f t="shared" ca="1" si="6"/>
        <v>7</v>
      </c>
      <c r="BV14">
        <f t="shared" ca="1" si="7"/>
        <v>4.3</v>
      </c>
      <c r="BW14" s="1018">
        <v>0</v>
      </c>
      <c r="BX14" s="1018">
        <f t="shared" ref="BX14:BX27" ca="1" si="13">IF(BR14=0,0,1/(1/(BR14*$BY$3)+1/(BR14*AR14)+1/(BR14*$BY$4)))</f>
        <v>16.590841949778437</v>
      </c>
      <c r="BY14" s="1018">
        <f t="shared" ref="BY14:BY27" ca="1" si="14">IF(BS14=0,0,1/(1/(BS14*$BY$3)+1/(BS14*AS14)+1/(BS14*$BY$4)))</f>
        <v>66.894292893036621</v>
      </c>
      <c r="BZ14" s="1018">
        <f t="shared" ref="BZ14:BZ77" ca="1" si="15">IF(BT14=0,0,1/(1/(BT14*$BY$3)+1/(BT14*AT14)+1/(BT14*$BY$4)))*0.33</f>
        <v>8.7326302414231254</v>
      </c>
      <c r="CA14" s="1018">
        <f t="shared" ref="CA14:CA77" ca="1" si="16">IF(BU14=0,0,1/(1/(BU14*$BY$5)+1/(BU14*AU14)+1/(BU14*$BY$6)))</f>
        <v>19.249999989412501</v>
      </c>
      <c r="CB14" s="1018">
        <f t="shared" ref="CB14:CB27" ca="1" si="17">IF(BV14=0,0,1/(1/(BV14*$BY$3)+1/(BV14*AV14)+1/(BV14*$BY$4)))</f>
        <v>9.0267175572519083</v>
      </c>
      <c r="CC14" s="1018">
        <f t="shared" ref="CC14:CC77" si="18">0.67*IF(BW14=0,0,1/(1/(BW14*$BY$3)+1/(BW14*AS14)+1/(BW14*$BY$4)))</f>
        <v>0</v>
      </c>
      <c r="CD14" s="1018">
        <f t="shared" ref="CD14:CD23" ca="1" si="19">SUM(BX14:CC14)+(BR14+BS14+BT14+BU14+BV14)*BN14</f>
        <v>136.17528263090259</v>
      </c>
      <c r="CE14" s="1018">
        <f t="shared" ref="CE14:CE23" ca="1" si="20">0.34*BO14*(1/25)^0.66*(BR14+BS14+BU14+BV14)</f>
        <v>39.416033895928877</v>
      </c>
      <c r="CF14" s="1018">
        <f t="shared" ref="CF14:CF77" ca="1" si="21">(CD14+CE14)*($BY$7-$BV$5)/1000</f>
        <v>5.2677394958049435</v>
      </c>
      <c r="CG14">
        <f t="shared" ref="CG14:CG77" ca="1" si="22">$BV$8*(CD14+CE14)*($BY$10-$BV$7)*24/1000</f>
        <v>8770.5755509353985</v>
      </c>
    </row>
    <row r="15" spans="1:85" x14ac:dyDescent="0.25">
      <c r="A15" s="485"/>
      <c r="B15" s="485"/>
      <c r="C15" s="485"/>
      <c r="D15" s="486"/>
      <c r="E15" s="485"/>
      <c r="F15" s="486"/>
      <c r="G15" s="485"/>
      <c r="H15" s="486"/>
      <c r="I15" s="485"/>
      <c r="J15" s="486"/>
      <c r="K15" s="486"/>
      <c r="L15" s="486"/>
      <c r="M15" s="486"/>
      <c r="N15" s="486"/>
      <c r="O15" s="486"/>
      <c r="P15" s="486"/>
      <c r="Q15" s="486" t="s">
        <v>16</v>
      </c>
      <c r="R15" s="488">
        <v>0.73860000000000003</v>
      </c>
      <c r="S15" s="486"/>
      <c r="T15" s="496">
        <v>1.014354276616547E-3</v>
      </c>
      <c r="U15" s="485"/>
      <c r="V15" s="176">
        <f t="shared" si="8"/>
        <v>1.014354276616547E-3</v>
      </c>
      <c r="W15" s="176">
        <f t="shared" si="9"/>
        <v>1.014354276616547E-3</v>
      </c>
      <c r="X15" s="176">
        <f t="shared" si="9"/>
        <v>1.014354276616547E-3</v>
      </c>
      <c r="Y15" s="34">
        <f>X15/Calculation_sheet!M$67</f>
        <v>1.0143750165388984E-3</v>
      </c>
      <c r="Z15" s="176">
        <f ca="1">IF(AN15&gt;0,Y15*Calculation_sheet!C$87,0)</f>
        <v>0</v>
      </c>
      <c r="AA15" s="176">
        <f t="shared" ca="1" si="10"/>
        <v>1.0143750165388984E-3</v>
      </c>
      <c r="AB15" s="176">
        <f ca="1">IF(AP15&gt;0,AA15*Calculation_sheet!C$94,0)</f>
        <v>0</v>
      </c>
      <c r="AC15" s="176">
        <f t="shared" ca="1" si="0"/>
        <v>1.0143750165388984E-3</v>
      </c>
      <c r="AD15" s="958">
        <f ca="1">AC15*Calculation_sheet!C$99</f>
        <v>6.0862500992333896E-4</v>
      </c>
      <c r="AE15" s="176">
        <f t="shared" ca="1" si="0"/>
        <v>4.0575000661555941E-4</v>
      </c>
      <c r="AF15" s="176">
        <f t="shared" ca="1" si="11"/>
        <v>1.0143750165388984E-3</v>
      </c>
      <c r="AG15" s="958">
        <f ca="1">AF15*User_sheet!B$77/100</f>
        <v>0</v>
      </c>
      <c r="AH15" s="313"/>
      <c r="AI15" s="908">
        <v>201</v>
      </c>
      <c r="AJ15" s="313"/>
      <c r="AK15" s="1020">
        <f t="shared" ca="1" si="12"/>
        <v>136.17528263090259</v>
      </c>
      <c r="AL15" s="954">
        <f ca="1">AK15/'201'!I$24</f>
        <v>0.71024504579827141</v>
      </c>
      <c r="AM15" s="954">
        <f ca="1">0.8*(AK15*30+'201'!D$17*0.34*30*1)</f>
        <v>5358.4071031416624</v>
      </c>
      <c r="AN15" s="954">
        <f ca="1">IF(AM15&lt;User_sheet!B$50,Y15,0)</f>
        <v>1.0143750165388984E-3</v>
      </c>
      <c r="AO15" s="954">
        <f ca="1">20-(User_sheet!B$57/(AK15+'201'!D$17*1*0.34))</f>
        <v>-5.5299751151407364</v>
      </c>
      <c r="AP15" s="954">
        <f ca="1">IF(AO15&lt;User_sheet!B$59,0,BC15*AA15)</f>
        <v>0</v>
      </c>
      <c r="AQ15" s="313"/>
      <c r="AR15" s="909">
        <v>0.48</v>
      </c>
      <c r="AS15" s="909">
        <v>0.66</v>
      </c>
      <c r="AT15" s="909">
        <v>0.89</v>
      </c>
      <c r="AU15" s="909">
        <v>2.75</v>
      </c>
      <c r="AV15" s="909">
        <v>3.3</v>
      </c>
      <c r="AW15" s="909">
        <v>10916.451096266603</v>
      </c>
      <c r="AX15" s="909">
        <v>68297.998190252794</v>
      </c>
      <c r="AY15" s="909">
        <v>79015.992973719694</v>
      </c>
      <c r="AZ15" s="909">
        <v>0</v>
      </c>
      <c r="BA15" s="909">
        <v>0</v>
      </c>
      <c r="BB15" s="909">
        <v>0.6</v>
      </c>
      <c r="BC15" s="919">
        <v>1</v>
      </c>
      <c r="BD15" s="920">
        <v>0</v>
      </c>
      <c r="BE15" s="920">
        <v>0</v>
      </c>
      <c r="BF15" s="921">
        <v>0</v>
      </c>
      <c r="BG15" s="920">
        <v>0</v>
      </c>
      <c r="BH15" s="920">
        <v>1</v>
      </c>
      <c r="BI15" s="921">
        <v>0</v>
      </c>
      <c r="BJ15" s="920">
        <v>1</v>
      </c>
      <c r="BK15" s="920">
        <v>0</v>
      </c>
      <c r="BL15" s="920">
        <v>0</v>
      </c>
      <c r="BM15" s="921">
        <v>0</v>
      </c>
      <c r="BN15" s="958">
        <v>0.08</v>
      </c>
      <c r="BO15" s="959">
        <v>6</v>
      </c>
      <c r="BP15">
        <f t="shared" ca="1" si="1"/>
        <v>102.96</v>
      </c>
      <c r="BQ15">
        <f t="shared" ca="1" si="2"/>
        <v>174.94399999999999</v>
      </c>
      <c r="BR15">
        <f t="shared" ca="1" si="3"/>
        <v>37.440000000000005</v>
      </c>
      <c r="BS15">
        <f t="shared" ca="1" si="4"/>
        <v>112.95</v>
      </c>
      <c r="BT15">
        <f t="shared" ca="1" si="5"/>
        <v>34.32</v>
      </c>
      <c r="BU15">
        <f t="shared" ca="1" si="6"/>
        <v>7</v>
      </c>
      <c r="BV15">
        <f t="shared" ca="1" si="7"/>
        <v>4.3</v>
      </c>
      <c r="BW15" s="1018">
        <v>0</v>
      </c>
      <c r="BX15" s="1018">
        <f t="shared" ca="1" si="13"/>
        <v>16.590841949778437</v>
      </c>
      <c r="BY15" s="1018">
        <f t="shared" ca="1" si="14"/>
        <v>66.894292893036621</v>
      </c>
      <c r="BZ15" s="1018">
        <f t="shared" ca="1" si="15"/>
        <v>8.7326302414231254</v>
      </c>
      <c r="CA15" s="1018">
        <f t="shared" ca="1" si="16"/>
        <v>19.249999989412501</v>
      </c>
      <c r="CB15" s="1018">
        <f t="shared" ca="1" si="17"/>
        <v>9.0267175572519083</v>
      </c>
      <c r="CC15" s="1018">
        <f t="shared" si="18"/>
        <v>0</v>
      </c>
      <c r="CD15" s="1018">
        <f t="shared" ca="1" si="19"/>
        <v>136.17528263090259</v>
      </c>
      <c r="CE15" s="1018">
        <f t="shared" ca="1" si="20"/>
        <v>39.416033895928877</v>
      </c>
      <c r="CF15" s="1018">
        <f t="shared" ca="1" si="21"/>
        <v>5.2677394958049435</v>
      </c>
      <c r="CG15">
        <f t="shared" ca="1" si="22"/>
        <v>8770.5755509353985</v>
      </c>
    </row>
    <row r="16" spans="1:85" x14ac:dyDescent="0.25">
      <c r="A16" s="485"/>
      <c r="B16" s="485"/>
      <c r="C16" s="485"/>
      <c r="D16" s="486"/>
      <c r="E16" s="485"/>
      <c r="F16" s="486"/>
      <c r="G16" s="485"/>
      <c r="H16" s="486"/>
      <c r="I16" s="485"/>
      <c r="J16" s="486"/>
      <c r="K16" s="486"/>
      <c r="L16" s="486"/>
      <c r="M16" s="486" t="s">
        <v>16</v>
      </c>
      <c r="N16" s="488">
        <v>0.44680851100000002</v>
      </c>
      <c r="O16" s="486" t="s">
        <v>19</v>
      </c>
      <c r="P16" s="488">
        <v>0.37046004799999999</v>
      </c>
      <c r="Q16" s="486" t="s">
        <v>7</v>
      </c>
      <c r="R16" s="488">
        <v>0.26140000000000002</v>
      </c>
      <c r="S16" s="486"/>
      <c r="T16" s="496">
        <v>3.5899297035955246E-4</v>
      </c>
      <c r="U16" s="485"/>
      <c r="V16" s="176">
        <f t="shared" si="8"/>
        <v>3.5899297035955246E-4</v>
      </c>
      <c r="W16" s="176">
        <f t="shared" si="9"/>
        <v>3.5899297035955246E-4</v>
      </c>
      <c r="X16" s="176">
        <f t="shared" si="9"/>
        <v>3.5899297035955246E-4</v>
      </c>
      <c r="Y16" s="34">
        <f>X16/Calculation_sheet!M$67</f>
        <v>3.5900031048370987E-4</v>
      </c>
      <c r="Z16" s="176">
        <f ca="1">IF(AN16&gt;0,Y16*Calculation_sheet!C$87,0)</f>
        <v>0</v>
      </c>
      <c r="AA16" s="176">
        <f t="shared" ca="1" si="10"/>
        <v>3.5900031048370987E-4</v>
      </c>
      <c r="AB16" s="176">
        <f ca="1">IF(AP16&gt;0,AA16*Calculation_sheet!C$94,0)</f>
        <v>0</v>
      </c>
      <c r="AC16" s="176">
        <f t="shared" ca="1" si="0"/>
        <v>3.5900031048370987E-4</v>
      </c>
      <c r="AD16" s="958">
        <f ca="1">AC16*Calculation_sheet!C$99</f>
        <v>2.1540018629022593E-4</v>
      </c>
      <c r="AE16" s="176">
        <f t="shared" ca="1" si="0"/>
        <v>1.4360012419348394E-4</v>
      </c>
      <c r="AF16" s="176">
        <f t="shared" ca="1" si="11"/>
        <v>3.5900031048370987E-4</v>
      </c>
      <c r="AG16" s="958">
        <f ca="1">AF16*User_sheet!B$77/100</f>
        <v>0</v>
      </c>
      <c r="AH16" s="313"/>
      <c r="AI16" s="908">
        <v>201</v>
      </c>
      <c r="AJ16" s="313"/>
      <c r="AK16" s="1020">
        <f t="shared" ca="1" si="12"/>
        <v>136.17528263090259</v>
      </c>
      <c r="AL16" s="954">
        <f ca="1">AK16/'201'!I$24</f>
        <v>0.71024504579827141</v>
      </c>
      <c r="AM16" s="954">
        <f ca="1">0.8*(AK16*30+'201'!D$17*0.34*30*1)</f>
        <v>5358.4071031416624</v>
      </c>
      <c r="AN16" s="954">
        <f ca="1">IF(AM16&lt;User_sheet!B$50,Y16,0)</f>
        <v>3.5900031048370987E-4</v>
      </c>
      <c r="AO16" s="954">
        <f ca="1">20-(User_sheet!B$57/(AK16+'201'!D$17*1*0.34))</f>
        <v>-5.5299751151407364</v>
      </c>
      <c r="AP16" s="954">
        <f ca="1">IF(AO16&lt;User_sheet!B$59,0,BC16*AA16)</f>
        <v>0</v>
      </c>
      <c r="AQ16" s="313"/>
      <c r="AR16" s="909">
        <v>0.48</v>
      </c>
      <c r="AS16" s="909">
        <v>0.66</v>
      </c>
      <c r="AT16" s="909">
        <v>0.89</v>
      </c>
      <c r="AU16" s="909">
        <v>2.75</v>
      </c>
      <c r="AV16" s="909">
        <v>3.3</v>
      </c>
      <c r="AW16" s="909">
        <v>10916.451096266603</v>
      </c>
      <c r="AX16" s="909">
        <v>68297.998190252794</v>
      </c>
      <c r="AY16" s="909">
        <v>79015.992973719694</v>
      </c>
      <c r="AZ16" s="909">
        <v>0</v>
      </c>
      <c r="BA16" s="909">
        <v>0</v>
      </c>
      <c r="BB16" s="909">
        <v>0.6</v>
      </c>
      <c r="BC16" s="919">
        <v>1</v>
      </c>
      <c r="BD16" s="920">
        <v>0</v>
      </c>
      <c r="BE16" s="920">
        <v>0</v>
      </c>
      <c r="BF16" s="921">
        <v>0</v>
      </c>
      <c r="BG16" s="920">
        <v>0</v>
      </c>
      <c r="BH16" s="920">
        <v>1</v>
      </c>
      <c r="BI16" s="921">
        <v>0</v>
      </c>
      <c r="BJ16" s="920">
        <v>0</v>
      </c>
      <c r="BK16" s="920">
        <v>0</v>
      </c>
      <c r="BL16" s="920">
        <v>1</v>
      </c>
      <c r="BM16" s="921">
        <v>0</v>
      </c>
      <c r="BN16" s="958">
        <v>0.08</v>
      </c>
      <c r="BO16" s="959">
        <v>6</v>
      </c>
      <c r="BP16">
        <f t="shared" ca="1" si="1"/>
        <v>102.96</v>
      </c>
      <c r="BQ16">
        <f t="shared" ca="1" si="2"/>
        <v>174.94399999999999</v>
      </c>
      <c r="BR16">
        <f t="shared" ca="1" si="3"/>
        <v>37.440000000000005</v>
      </c>
      <c r="BS16">
        <f t="shared" ca="1" si="4"/>
        <v>112.95</v>
      </c>
      <c r="BT16">
        <f t="shared" ca="1" si="5"/>
        <v>34.32</v>
      </c>
      <c r="BU16">
        <f t="shared" ca="1" si="6"/>
        <v>7</v>
      </c>
      <c r="BV16">
        <f t="shared" ca="1" si="7"/>
        <v>4.3</v>
      </c>
      <c r="BW16" s="1018">
        <v>0</v>
      </c>
      <c r="BX16" s="1018">
        <f t="shared" ca="1" si="13"/>
        <v>16.590841949778437</v>
      </c>
      <c r="BY16" s="1018">
        <f t="shared" ca="1" si="14"/>
        <v>66.894292893036621</v>
      </c>
      <c r="BZ16" s="1018">
        <f t="shared" ca="1" si="15"/>
        <v>8.7326302414231254</v>
      </c>
      <c r="CA16" s="1018">
        <f t="shared" ca="1" si="16"/>
        <v>19.249999989412501</v>
      </c>
      <c r="CB16" s="1018">
        <f t="shared" ca="1" si="17"/>
        <v>9.0267175572519083</v>
      </c>
      <c r="CC16" s="1018">
        <f t="shared" si="18"/>
        <v>0</v>
      </c>
      <c r="CD16" s="1018">
        <f t="shared" ca="1" si="19"/>
        <v>136.17528263090259</v>
      </c>
      <c r="CE16" s="1018">
        <f t="shared" ca="1" si="20"/>
        <v>39.416033895928877</v>
      </c>
      <c r="CF16" s="1018">
        <f t="shared" ca="1" si="21"/>
        <v>5.2677394958049435</v>
      </c>
      <c r="CG16">
        <f t="shared" ca="1" si="22"/>
        <v>8770.5755509353985</v>
      </c>
    </row>
    <row r="17" spans="4:85" x14ac:dyDescent="0.25">
      <c r="D17" s="486"/>
      <c r="E17" s="485"/>
      <c r="F17" s="486"/>
      <c r="G17" s="485"/>
      <c r="H17" s="486"/>
      <c r="I17" s="485"/>
      <c r="J17" s="486"/>
      <c r="K17" s="486"/>
      <c r="L17" s="486"/>
      <c r="M17" s="486"/>
      <c r="N17" s="486"/>
      <c r="O17" s="486"/>
      <c r="P17" s="486"/>
      <c r="Q17" s="486" t="s">
        <v>22</v>
      </c>
      <c r="R17" s="488">
        <v>0.53710000000000002</v>
      </c>
      <c r="S17" s="486"/>
      <c r="T17" s="496">
        <v>1.609351682644078E-3</v>
      </c>
      <c r="U17" s="485"/>
      <c r="V17" s="176">
        <f t="shared" si="8"/>
        <v>1.609351682644078E-3</v>
      </c>
      <c r="W17" s="176">
        <f t="shared" si="9"/>
        <v>1.609351682644078E-3</v>
      </c>
      <c r="X17" s="176">
        <f t="shared" si="9"/>
        <v>1.609351682644078E-3</v>
      </c>
      <c r="Y17" s="34">
        <f>X17/Calculation_sheet!M$67</f>
        <v>1.6093845881384437E-3</v>
      </c>
      <c r="Z17" s="176">
        <f ca="1">IF(AN17&gt;0,Y17*Calculation_sheet!C$87,0)</f>
        <v>0</v>
      </c>
      <c r="AA17" s="176">
        <f t="shared" ca="1" si="10"/>
        <v>1.6093845881384437E-3</v>
      </c>
      <c r="AB17" s="176">
        <f ca="1">IF(AP17&gt;0,AA17*Calculation_sheet!C$94,0)</f>
        <v>0</v>
      </c>
      <c r="AC17" s="176">
        <f t="shared" ca="1" si="0"/>
        <v>1.6093845881384437E-3</v>
      </c>
      <c r="AD17" s="958">
        <f ca="1">AC17*Calculation_sheet!C$99</f>
        <v>9.656307528830662E-4</v>
      </c>
      <c r="AE17" s="176">
        <f t="shared" ca="1" si="0"/>
        <v>6.437538352553775E-4</v>
      </c>
      <c r="AF17" s="176">
        <f t="shared" ca="1" si="11"/>
        <v>1.6093845881384437E-3</v>
      </c>
      <c r="AG17" s="958">
        <f ca="1">AF17*User_sheet!B$77/100</f>
        <v>0</v>
      </c>
      <c r="AH17" s="313"/>
      <c r="AI17" s="908">
        <v>201</v>
      </c>
      <c r="AJ17" s="313"/>
      <c r="AK17" s="1020">
        <f t="shared" ca="1" si="12"/>
        <v>136.17528263090259</v>
      </c>
      <c r="AL17" s="954">
        <f ca="1">AK17/'201'!I$24</f>
        <v>0.71024504579827141</v>
      </c>
      <c r="AM17" s="954">
        <f ca="1">0.8*(AK17*30+'201'!D$17*0.34*30*1)</f>
        <v>5358.4071031416624</v>
      </c>
      <c r="AN17" s="954">
        <f ca="1">IF(AM17&lt;User_sheet!B$50,Y17,0)</f>
        <v>1.6093845881384437E-3</v>
      </c>
      <c r="AO17" s="954">
        <f ca="1">20-(User_sheet!B$57/(AK17+'201'!D$17*1*0.34))</f>
        <v>-5.5299751151407364</v>
      </c>
      <c r="AP17" s="954">
        <f ca="1">IF(AO17&lt;User_sheet!B$59,0,BC17*AA17)</f>
        <v>0</v>
      </c>
      <c r="AQ17" s="313"/>
      <c r="AR17" s="909">
        <v>0.48</v>
      </c>
      <c r="AS17" s="909">
        <v>0.66</v>
      </c>
      <c r="AT17" s="909">
        <v>0.89</v>
      </c>
      <c r="AU17" s="909">
        <v>2.75</v>
      </c>
      <c r="AV17" s="909">
        <v>3.3</v>
      </c>
      <c r="AW17" s="909">
        <v>10916.451096266603</v>
      </c>
      <c r="AX17" s="909">
        <v>68297.998190252794</v>
      </c>
      <c r="AY17" s="909">
        <v>79015.992973719694</v>
      </c>
      <c r="AZ17" s="909">
        <v>0</v>
      </c>
      <c r="BA17" s="909">
        <v>0</v>
      </c>
      <c r="BB17" s="909">
        <v>0.6</v>
      </c>
      <c r="BC17" s="919">
        <v>0</v>
      </c>
      <c r="BD17" s="920">
        <v>1</v>
      </c>
      <c r="BE17" s="920">
        <v>0</v>
      </c>
      <c r="BF17" s="921">
        <v>0</v>
      </c>
      <c r="BG17" s="920">
        <v>1</v>
      </c>
      <c r="BH17" s="920">
        <v>0</v>
      </c>
      <c r="BI17" s="921">
        <v>0</v>
      </c>
      <c r="BJ17" s="920">
        <v>0</v>
      </c>
      <c r="BK17" s="920">
        <v>1</v>
      </c>
      <c r="BL17" s="920">
        <v>0</v>
      </c>
      <c r="BM17" s="921">
        <v>0</v>
      </c>
      <c r="BN17" s="958">
        <v>0.08</v>
      </c>
      <c r="BO17" s="959">
        <v>6</v>
      </c>
      <c r="BP17">
        <f t="shared" ca="1" si="1"/>
        <v>102.96</v>
      </c>
      <c r="BQ17">
        <f t="shared" ca="1" si="2"/>
        <v>174.94399999999999</v>
      </c>
      <c r="BR17">
        <f t="shared" ca="1" si="3"/>
        <v>37.440000000000005</v>
      </c>
      <c r="BS17">
        <f t="shared" ca="1" si="4"/>
        <v>112.95</v>
      </c>
      <c r="BT17">
        <f t="shared" ca="1" si="5"/>
        <v>34.32</v>
      </c>
      <c r="BU17">
        <f t="shared" ca="1" si="6"/>
        <v>7</v>
      </c>
      <c r="BV17">
        <f t="shared" ca="1" si="7"/>
        <v>4.3</v>
      </c>
      <c r="BW17" s="1018">
        <v>0</v>
      </c>
      <c r="BX17" s="1018">
        <f t="shared" ca="1" si="13"/>
        <v>16.590841949778437</v>
      </c>
      <c r="BY17" s="1018">
        <f t="shared" ca="1" si="14"/>
        <v>66.894292893036621</v>
      </c>
      <c r="BZ17" s="1018">
        <f t="shared" ca="1" si="15"/>
        <v>8.7326302414231254</v>
      </c>
      <c r="CA17" s="1018">
        <f t="shared" ca="1" si="16"/>
        <v>19.249999989412501</v>
      </c>
      <c r="CB17" s="1018">
        <f t="shared" ca="1" si="17"/>
        <v>9.0267175572519083</v>
      </c>
      <c r="CC17" s="1018">
        <f t="shared" si="18"/>
        <v>0</v>
      </c>
      <c r="CD17" s="1018">
        <f t="shared" ca="1" si="19"/>
        <v>136.17528263090259</v>
      </c>
      <c r="CE17" s="1018">
        <f t="shared" ca="1" si="20"/>
        <v>39.416033895928877</v>
      </c>
      <c r="CF17" s="1018">
        <f t="shared" ca="1" si="21"/>
        <v>5.2677394958049435</v>
      </c>
      <c r="CG17">
        <f t="shared" ca="1" si="22"/>
        <v>8770.5755509353985</v>
      </c>
    </row>
    <row r="18" spans="4:85" x14ac:dyDescent="0.25">
      <c r="D18" s="486"/>
      <c r="E18" s="485"/>
      <c r="F18" s="486"/>
      <c r="G18" s="485"/>
      <c r="H18" s="486"/>
      <c r="I18" s="485"/>
      <c r="J18" s="486"/>
      <c r="K18" s="486"/>
      <c r="L18" s="486"/>
      <c r="M18" s="486"/>
      <c r="N18" s="486"/>
      <c r="O18" s="486" t="s">
        <v>18</v>
      </c>
      <c r="P18" s="488">
        <v>0.80827067699999999</v>
      </c>
      <c r="Q18" s="486" t="s">
        <v>7</v>
      </c>
      <c r="R18" s="488">
        <v>0.46289999999999998</v>
      </c>
      <c r="S18" s="486"/>
      <c r="T18" s="496">
        <v>1.3870208413627699E-3</v>
      </c>
      <c r="U18" s="485"/>
      <c r="V18" s="176">
        <f t="shared" si="8"/>
        <v>1.3870208413627699E-3</v>
      </c>
      <c r="W18" s="176">
        <f t="shared" si="9"/>
        <v>1.3870208413627699E-3</v>
      </c>
      <c r="X18" s="176">
        <f t="shared" si="9"/>
        <v>1.3870208413627699E-3</v>
      </c>
      <c r="Y18" s="34">
        <f>X18/Calculation_sheet!M$67</f>
        <v>1.3870492009854507E-3</v>
      </c>
      <c r="Z18" s="176">
        <f ca="1">IF(AN18&gt;0,Y18*Calculation_sheet!C$87,0)</f>
        <v>0</v>
      </c>
      <c r="AA18" s="176">
        <f t="shared" ca="1" si="10"/>
        <v>1.3870492009854507E-3</v>
      </c>
      <c r="AB18" s="176">
        <f ca="1">IF(AP18&gt;0,AA18*Calculation_sheet!C$94,0)</f>
        <v>0</v>
      </c>
      <c r="AC18" s="176">
        <f t="shared" ca="1" si="0"/>
        <v>1.3870492009854507E-3</v>
      </c>
      <c r="AD18" s="958">
        <f ca="1">AC18*Calculation_sheet!C$99</f>
        <v>8.3222952059127037E-4</v>
      </c>
      <c r="AE18" s="176">
        <f t="shared" ca="1" si="0"/>
        <v>5.5481968039418036E-4</v>
      </c>
      <c r="AF18" s="176">
        <f t="shared" ca="1" si="11"/>
        <v>1.3870492009854507E-3</v>
      </c>
      <c r="AG18" s="958">
        <f ca="1">AF18*User_sheet!B$77/100</f>
        <v>0</v>
      </c>
      <c r="AH18" s="313"/>
      <c r="AI18" s="908">
        <v>201</v>
      </c>
      <c r="AJ18" s="313"/>
      <c r="AK18" s="1020">
        <f t="shared" ca="1" si="12"/>
        <v>136.17528263090259</v>
      </c>
      <c r="AL18" s="954">
        <f ca="1">AK18/'201'!I$24</f>
        <v>0.71024504579827141</v>
      </c>
      <c r="AM18" s="954">
        <f ca="1">0.8*(AK18*30+'201'!D$17*0.34*30*1)</f>
        <v>5358.4071031416624</v>
      </c>
      <c r="AN18" s="954">
        <f ca="1">IF(AM18&lt;User_sheet!B$50,Y18,0)</f>
        <v>1.3870492009854507E-3</v>
      </c>
      <c r="AO18" s="954">
        <f ca="1">20-(User_sheet!B$57/(AK18+'201'!D$17*1*0.34))</f>
        <v>-5.5299751151407364</v>
      </c>
      <c r="AP18" s="954">
        <f ca="1">IF(AO18&lt;User_sheet!B$59,0,BC18*AA18)</f>
        <v>0</v>
      </c>
      <c r="AQ18" s="313"/>
      <c r="AR18" s="909">
        <v>0.48</v>
      </c>
      <c r="AS18" s="909">
        <v>0.66</v>
      </c>
      <c r="AT18" s="909">
        <v>0.89</v>
      </c>
      <c r="AU18" s="909">
        <v>2.75</v>
      </c>
      <c r="AV18" s="909">
        <v>3.3</v>
      </c>
      <c r="AW18" s="909">
        <v>10916.451096266603</v>
      </c>
      <c r="AX18" s="909">
        <v>68297.998190252794</v>
      </c>
      <c r="AY18" s="909">
        <v>79015.992973719694</v>
      </c>
      <c r="AZ18" s="909">
        <v>0</v>
      </c>
      <c r="BA18" s="909">
        <v>0</v>
      </c>
      <c r="BB18" s="909">
        <v>0.6</v>
      </c>
      <c r="BC18" s="919">
        <v>0</v>
      </c>
      <c r="BD18" s="920">
        <v>1</v>
      </c>
      <c r="BE18" s="920">
        <v>0</v>
      </c>
      <c r="BF18" s="921">
        <v>0</v>
      </c>
      <c r="BG18" s="920">
        <v>1</v>
      </c>
      <c r="BH18" s="920">
        <v>0</v>
      </c>
      <c r="BI18" s="921">
        <v>0</v>
      </c>
      <c r="BJ18" s="920">
        <v>0</v>
      </c>
      <c r="BK18" s="920">
        <v>0</v>
      </c>
      <c r="BL18" s="920">
        <v>1</v>
      </c>
      <c r="BM18" s="921">
        <v>0</v>
      </c>
      <c r="BN18" s="958">
        <v>0.08</v>
      </c>
      <c r="BO18" s="959">
        <v>6</v>
      </c>
      <c r="BP18">
        <f t="shared" ca="1" si="1"/>
        <v>102.96</v>
      </c>
      <c r="BQ18">
        <f t="shared" ca="1" si="2"/>
        <v>174.94399999999999</v>
      </c>
      <c r="BR18">
        <f t="shared" ca="1" si="3"/>
        <v>37.440000000000005</v>
      </c>
      <c r="BS18">
        <f t="shared" ca="1" si="4"/>
        <v>112.95</v>
      </c>
      <c r="BT18">
        <f t="shared" ca="1" si="5"/>
        <v>34.32</v>
      </c>
      <c r="BU18">
        <f t="shared" ca="1" si="6"/>
        <v>7</v>
      </c>
      <c r="BV18">
        <f t="shared" ca="1" si="7"/>
        <v>4.3</v>
      </c>
      <c r="BW18" s="1018">
        <v>0</v>
      </c>
      <c r="BX18" s="1018">
        <f t="shared" ca="1" si="13"/>
        <v>16.590841949778437</v>
      </c>
      <c r="BY18" s="1018">
        <f t="shared" ca="1" si="14"/>
        <v>66.894292893036621</v>
      </c>
      <c r="BZ18" s="1018">
        <f t="shared" ca="1" si="15"/>
        <v>8.7326302414231254</v>
      </c>
      <c r="CA18" s="1018">
        <f t="shared" ca="1" si="16"/>
        <v>19.249999989412501</v>
      </c>
      <c r="CB18" s="1018">
        <f t="shared" ca="1" si="17"/>
        <v>9.0267175572519083</v>
      </c>
      <c r="CC18" s="1018">
        <f t="shared" si="18"/>
        <v>0</v>
      </c>
      <c r="CD18" s="1018">
        <f t="shared" ca="1" si="19"/>
        <v>136.17528263090259</v>
      </c>
      <c r="CE18" s="1018">
        <f t="shared" ca="1" si="20"/>
        <v>39.416033895928877</v>
      </c>
      <c r="CF18" s="1018">
        <f t="shared" ca="1" si="21"/>
        <v>5.2677394958049435</v>
      </c>
      <c r="CG18">
        <f t="shared" ca="1" si="22"/>
        <v>8770.5755509353985</v>
      </c>
    </row>
    <row r="19" spans="4:85" x14ac:dyDescent="0.25">
      <c r="D19" s="486"/>
      <c r="E19" s="485"/>
      <c r="F19" s="486"/>
      <c r="G19" s="485"/>
      <c r="H19" s="486"/>
      <c r="I19" s="485"/>
      <c r="J19" s="486"/>
      <c r="K19" s="486"/>
      <c r="L19" s="486"/>
      <c r="M19" s="486"/>
      <c r="N19" s="486"/>
      <c r="O19" s="486"/>
      <c r="P19" s="486"/>
      <c r="Q19" s="486" t="s">
        <v>22</v>
      </c>
      <c r="R19" s="488">
        <v>0.53710000000000002</v>
      </c>
      <c r="S19" s="486"/>
      <c r="T19" s="496">
        <v>3.8175318907710405E-4</v>
      </c>
      <c r="U19" s="485"/>
      <c r="V19" s="176">
        <f t="shared" si="8"/>
        <v>3.8175318907710405E-4</v>
      </c>
      <c r="W19" s="176">
        <f t="shared" si="9"/>
        <v>3.8175318907710405E-4</v>
      </c>
      <c r="X19" s="176">
        <f t="shared" si="9"/>
        <v>3.8175318907710405E-4</v>
      </c>
      <c r="Y19" s="34">
        <f>X19/Calculation_sheet!M$67</f>
        <v>3.8176099456644968E-4</v>
      </c>
      <c r="Z19" s="176">
        <f ca="1">IF(AN19&gt;0,Y19*Calculation_sheet!C$87,0)</f>
        <v>0</v>
      </c>
      <c r="AA19" s="176">
        <f t="shared" ca="1" si="10"/>
        <v>3.8176099456644968E-4</v>
      </c>
      <c r="AB19" s="176">
        <f ca="1">IF(AP19&gt;0,AA19*Calculation_sheet!C$94,0)</f>
        <v>0</v>
      </c>
      <c r="AC19" s="176">
        <f t="shared" ca="1" si="0"/>
        <v>3.8176099456644968E-4</v>
      </c>
      <c r="AD19" s="958">
        <f ca="1">AC19*Calculation_sheet!C$99</f>
        <v>2.2905659673986981E-4</v>
      </c>
      <c r="AE19" s="176">
        <f t="shared" ca="1" si="0"/>
        <v>1.5270439782657987E-4</v>
      </c>
      <c r="AF19" s="176">
        <f t="shared" ca="1" si="11"/>
        <v>3.8176099456644968E-4</v>
      </c>
      <c r="AG19" s="958">
        <f ca="1">AF19*User_sheet!B$77/100</f>
        <v>0</v>
      </c>
      <c r="AH19" s="313"/>
      <c r="AI19" s="908">
        <v>201</v>
      </c>
      <c r="AJ19" s="313"/>
      <c r="AK19" s="1020">
        <f t="shared" ca="1" si="12"/>
        <v>136.17528263090259</v>
      </c>
      <c r="AL19" s="954">
        <f ca="1">AK19/'201'!I$24</f>
        <v>0.71024504579827141</v>
      </c>
      <c r="AM19" s="954">
        <f ca="1">0.8*(AK19*30+'201'!D$17*0.34*30*1)</f>
        <v>5358.4071031416624</v>
      </c>
      <c r="AN19" s="954">
        <f ca="1">IF(AM19&lt;User_sheet!B$50,Y19,0)</f>
        <v>3.8176099456644968E-4</v>
      </c>
      <c r="AO19" s="954">
        <f ca="1">20-(User_sheet!B$57/(AK19+'201'!D$17*1*0.34))</f>
        <v>-5.5299751151407364</v>
      </c>
      <c r="AP19" s="954">
        <f ca="1">IF(AO19&lt;User_sheet!B$59,0,BC19*AA19)</f>
        <v>0</v>
      </c>
      <c r="AQ19" s="313"/>
      <c r="AR19" s="909">
        <v>0.48</v>
      </c>
      <c r="AS19" s="909">
        <v>0.66</v>
      </c>
      <c r="AT19" s="909">
        <v>0.89</v>
      </c>
      <c r="AU19" s="909">
        <v>2.75</v>
      </c>
      <c r="AV19" s="909">
        <v>3.3</v>
      </c>
      <c r="AW19" s="909">
        <v>10916.451096266603</v>
      </c>
      <c r="AX19" s="909">
        <v>68297.998190252794</v>
      </c>
      <c r="AY19" s="909">
        <v>79015.992973719694</v>
      </c>
      <c r="AZ19" s="909">
        <v>0</v>
      </c>
      <c r="BA19" s="909">
        <v>0</v>
      </c>
      <c r="BB19" s="909">
        <v>0.6</v>
      </c>
      <c r="BC19" s="919">
        <v>0</v>
      </c>
      <c r="BD19" s="920">
        <v>1</v>
      </c>
      <c r="BE19" s="920">
        <v>0</v>
      </c>
      <c r="BF19" s="921">
        <v>0</v>
      </c>
      <c r="BG19" s="920">
        <v>0</v>
      </c>
      <c r="BH19" s="920">
        <v>1</v>
      </c>
      <c r="BI19" s="921">
        <v>0</v>
      </c>
      <c r="BJ19" s="920">
        <v>0</v>
      </c>
      <c r="BK19" s="920">
        <v>1</v>
      </c>
      <c r="BL19" s="920">
        <v>0</v>
      </c>
      <c r="BM19" s="921">
        <v>0</v>
      </c>
      <c r="BN19" s="958">
        <v>0.08</v>
      </c>
      <c r="BO19" s="959">
        <v>6</v>
      </c>
      <c r="BP19">
        <f t="shared" ca="1" si="1"/>
        <v>102.96</v>
      </c>
      <c r="BQ19">
        <f t="shared" ca="1" si="2"/>
        <v>174.94399999999999</v>
      </c>
      <c r="BR19">
        <f t="shared" ca="1" si="3"/>
        <v>37.440000000000005</v>
      </c>
      <c r="BS19">
        <f t="shared" ca="1" si="4"/>
        <v>112.95</v>
      </c>
      <c r="BT19">
        <f t="shared" ca="1" si="5"/>
        <v>34.32</v>
      </c>
      <c r="BU19">
        <f t="shared" ca="1" si="6"/>
        <v>7</v>
      </c>
      <c r="BV19">
        <f t="shared" ca="1" si="7"/>
        <v>4.3</v>
      </c>
      <c r="BW19" s="1018">
        <v>0</v>
      </c>
      <c r="BX19" s="1018">
        <f t="shared" ca="1" si="13"/>
        <v>16.590841949778437</v>
      </c>
      <c r="BY19" s="1018">
        <f t="shared" ca="1" si="14"/>
        <v>66.894292893036621</v>
      </c>
      <c r="BZ19" s="1018">
        <f t="shared" ca="1" si="15"/>
        <v>8.7326302414231254</v>
      </c>
      <c r="CA19" s="1018">
        <f t="shared" ca="1" si="16"/>
        <v>19.249999989412501</v>
      </c>
      <c r="CB19" s="1018">
        <f t="shared" ca="1" si="17"/>
        <v>9.0267175572519083</v>
      </c>
      <c r="CC19" s="1018">
        <f t="shared" si="18"/>
        <v>0</v>
      </c>
      <c r="CD19" s="1018">
        <f t="shared" ca="1" si="19"/>
        <v>136.17528263090259</v>
      </c>
      <c r="CE19" s="1018">
        <f t="shared" ca="1" si="20"/>
        <v>39.416033895928877</v>
      </c>
      <c r="CF19" s="1018">
        <f t="shared" ca="1" si="21"/>
        <v>5.2677394958049435</v>
      </c>
      <c r="CG19">
        <f t="shared" ca="1" si="22"/>
        <v>8770.5755509353985</v>
      </c>
    </row>
    <row r="20" spans="4:85" x14ac:dyDescent="0.25">
      <c r="D20" s="486"/>
      <c r="E20" s="485"/>
      <c r="F20" s="486"/>
      <c r="G20" s="485"/>
      <c r="H20" s="486"/>
      <c r="I20" s="485"/>
      <c r="J20" s="486"/>
      <c r="K20" s="486"/>
      <c r="L20" s="486"/>
      <c r="M20" s="486" t="s">
        <v>22</v>
      </c>
      <c r="N20" s="488">
        <v>0.44680851100000002</v>
      </c>
      <c r="O20" s="486" t="s">
        <v>20</v>
      </c>
      <c r="P20" s="488">
        <v>0.19172932300000001</v>
      </c>
      <c r="Q20" s="486" t="s">
        <v>7</v>
      </c>
      <c r="R20" s="488">
        <v>0.46289999999999998</v>
      </c>
      <c r="S20" s="486"/>
      <c r="T20" s="496">
        <v>3.2901424543621576E-4</v>
      </c>
      <c r="U20" s="485"/>
      <c r="V20" s="176">
        <f t="shared" si="8"/>
        <v>3.2901424543621576E-4</v>
      </c>
      <c r="W20" s="176">
        <f t="shared" si="9"/>
        <v>3.2901424543621576E-4</v>
      </c>
      <c r="X20" s="176">
        <f t="shared" si="9"/>
        <v>3.2901424543621576E-4</v>
      </c>
      <c r="Y20" s="34">
        <f>X20/Calculation_sheet!M$67</f>
        <v>3.2902097260251271E-4</v>
      </c>
      <c r="Z20" s="176">
        <f ca="1">IF(AN20&gt;0,Y20*Calculation_sheet!C$87,0)</f>
        <v>0</v>
      </c>
      <c r="AA20" s="176">
        <f t="shared" ca="1" si="10"/>
        <v>3.2902097260251271E-4</v>
      </c>
      <c r="AB20" s="176">
        <f ca="1">IF(AP20&gt;0,AA20*Calculation_sheet!C$94,0)</f>
        <v>0</v>
      </c>
      <c r="AC20" s="176">
        <f t="shared" ca="1" si="0"/>
        <v>3.2902097260251271E-4</v>
      </c>
      <c r="AD20" s="958">
        <f ca="1">AC20*Calculation_sheet!C$99</f>
        <v>1.9741258356150763E-4</v>
      </c>
      <c r="AE20" s="176">
        <f t="shared" ca="1" si="0"/>
        <v>1.3160838904100508E-4</v>
      </c>
      <c r="AF20" s="176">
        <f t="shared" ca="1" si="11"/>
        <v>3.2902097260251271E-4</v>
      </c>
      <c r="AG20" s="958">
        <f ca="1">AF20*User_sheet!B$77/100</f>
        <v>0</v>
      </c>
      <c r="AH20" s="313"/>
      <c r="AI20" s="908">
        <v>201</v>
      </c>
      <c r="AJ20" s="313"/>
      <c r="AK20" s="1020">
        <f t="shared" ca="1" si="12"/>
        <v>136.17528263090259</v>
      </c>
      <c r="AL20" s="954">
        <f ca="1">AK20/'201'!I$24</f>
        <v>0.71024504579827141</v>
      </c>
      <c r="AM20" s="954">
        <f ca="1">0.8*(AK20*30+'201'!D$17*0.34*30*1)</f>
        <v>5358.4071031416624</v>
      </c>
      <c r="AN20" s="954">
        <f ca="1">IF(AM20&lt;User_sheet!B$50,Y20,0)</f>
        <v>3.2902097260251271E-4</v>
      </c>
      <c r="AO20" s="954">
        <f ca="1">20-(User_sheet!B$57/(AK20+'201'!D$17*1*0.34))</f>
        <v>-5.5299751151407364</v>
      </c>
      <c r="AP20" s="954">
        <f ca="1">IF(AO20&lt;User_sheet!B$59,0,BC20*AA20)</f>
        <v>0</v>
      </c>
      <c r="AQ20" s="313"/>
      <c r="AR20" s="909">
        <v>0.48</v>
      </c>
      <c r="AS20" s="909">
        <v>0.66</v>
      </c>
      <c r="AT20" s="909">
        <v>0.89</v>
      </c>
      <c r="AU20" s="909">
        <v>2.75</v>
      </c>
      <c r="AV20" s="909">
        <v>3.3</v>
      </c>
      <c r="AW20" s="909">
        <v>10916.451096266603</v>
      </c>
      <c r="AX20" s="909">
        <v>68297.998190252794</v>
      </c>
      <c r="AY20" s="909">
        <v>79015.992973719694</v>
      </c>
      <c r="AZ20" s="909">
        <v>0</v>
      </c>
      <c r="BA20" s="909">
        <v>0</v>
      </c>
      <c r="BB20" s="909">
        <v>0.6</v>
      </c>
      <c r="BC20" s="919">
        <v>0</v>
      </c>
      <c r="BD20" s="920">
        <v>1</v>
      </c>
      <c r="BE20" s="920">
        <v>0</v>
      </c>
      <c r="BF20" s="921">
        <v>0</v>
      </c>
      <c r="BG20" s="920">
        <v>0</v>
      </c>
      <c r="BH20" s="920">
        <v>1</v>
      </c>
      <c r="BI20" s="921">
        <v>0</v>
      </c>
      <c r="BJ20" s="920">
        <v>0</v>
      </c>
      <c r="BK20" s="920">
        <v>0</v>
      </c>
      <c r="BL20" s="920">
        <v>1</v>
      </c>
      <c r="BM20" s="921">
        <v>0</v>
      </c>
      <c r="BN20" s="958">
        <v>0.08</v>
      </c>
      <c r="BO20" s="959">
        <v>6</v>
      </c>
      <c r="BP20">
        <f t="shared" ca="1" si="1"/>
        <v>102.96</v>
      </c>
      <c r="BQ20">
        <f t="shared" ca="1" si="2"/>
        <v>174.94399999999999</v>
      </c>
      <c r="BR20">
        <f t="shared" ca="1" si="3"/>
        <v>37.440000000000005</v>
      </c>
      <c r="BS20">
        <f t="shared" ca="1" si="4"/>
        <v>112.95</v>
      </c>
      <c r="BT20">
        <f t="shared" ca="1" si="5"/>
        <v>34.32</v>
      </c>
      <c r="BU20">
        <f t="shared" ca="1" si="6"/>
        <v>7</v>
      </c>
      <c r="BV20">
        <f t="shared" ca="1" si="7"/>
        <v>4.3</v>
      </c>
      <c r="BW20" s="1018">
        <v>0</v>
      </c>
      <c r="BX20" s="1018">
        <f t="shared" ca="1" si="13"/>
        <v>16.590841949778437</v>
      </c>
      <c r="BY20" s="1018">
        <f t="shared" ca="1" si="14"/>
        <v>66.894292893036621</v>
      </c>
      <c r="BZ20" s="1018">
        <f t="shared" ca="1" si="15"/>
        <v>8.7326302414231254</v>
      </c>
      <c r="CA20" s="1018">
        <f t="shared" ca="1" si="16"/>
        <v>19.249999989412501</v>
      </c>
      <c r="CB20" s="1018">
        <f t="shared" ca="1" si="17"/>
        <v>9.0267175572519083</v>
      </c>
      <c r="CC20" s="1018">
        <f t="shared" si="18"/>
        <v>0</v>
      </c>
      <c r="CD20" s="1018">
        <f t="shared" ca="1" si="19"/>
        <v>136.17528263090259</v>
      </c>
      <c r="CE20" s="1018">
        <f t="shared" ca="1" si="20"/>
        <v>39.416033895928877</v>
      </c>
      <c r="CF20" s="1018">
        <f t="shared" ca="1" si="21"/>
        <v>5.2677394958049435</v>
      </c>
      <c r="CG20">
        <f t="shared" ca="1" si="22"/>
        <v>8770.5755509353985</v>
      </c>
    </row>
    <row r="21" spans="4:85" x14ac:dyDescent="0.25">
      <c r="D21" s="486"/>
      <c r="E21" s="485"/>
      <c r="F21" s="486"/>
      <c r="G21" s="485"/>
      <c r="H21" s="486"/>
      <c r="I21" s="485"/>
      <c r="J21" s="486"/>
      <c r="K21" s="486"/>
      <c r="L21" s="486"/>
      <c r="M21" s="486" t="s">
        <v>7</v>
      </c>
      <c r="N21" s="488">
        <v>2.1276595999999998E-2</v>
      </c>
      <c r="O21" s="486" t="s">
        <v>23</v>
      </c>
      <c r="P21" s="488">
        <v>1</v>
      </c>
      <c r="Q21" s="486" t="s">
        <v>7</v>
      </c>
      <c r="R21" s="488">
        <v>1</v>
      </c>
      <c r="S21" s="486"/>
      <c r="T21" s="496">
        <v>1.7653047619070614E-4</v>
      </c>
      <c r="U21" s="485"/>
      <c r="V21" s="176">
        <f t="shared" si="8"/>
        <v>1.7653047619070614E-4</v>
      </c>
      <c r="W21" s="176">
        <f t="shared" si="9"/>
        <v>1.7653047619070614E-4</v>
      </c>
      <c r="X21" s="176">
        <f t="shared" si="9"/>
        <v>1.7653047619070614E-4</v>
      </c>
      <c r="Y21" s="34">
        <f>X21/Calculation_sheet!M$67</f>
        <v>1.7653408560849363E-4</v>
      </c>
      <c r="Z21" s="176">
        <f ca="1">IF(AN21&gt;0,Y21*Calculation_sheet!C$87,0)</f>
        <v>0</v>
      </c>
      <c r="AA21" s="176">
        <f t="shared" ca="1" si="10"/>
        <v>1.7653408560849363E-4</v>
      </c>
      <c r="AB21" s="176">
        <f ca="1">IF(AP21&gt;0,AA21*Calculation_sheet!C$94,0)</f>
        <v>0</v>
      </c>
      <c r="AC21" s="176">
        <f t="shared" ca="1" si="0"/>
        <v>1.7653408560849363E-4</v>
      </c>
      <c r="AD21" s="958">
        <f ca="1">AC21*Calculation_sheet!C$99</f>
        <v>1.0592045136509618E-4</v>
      </c>
      <c r="AE21" s="176">
        <f t="shared" ca="1" si="0"/>
        <v>7.0613634243397449E-5</v>
      </c>
      <c r="AF21" s="176">
        <f t="shared" ca="1" si="11"/>
        <v>1.7653408560849363E-4</v>
      </c>
      <c r="AG21" s="958">
        <f ca="1">AF21*User_sheet!B$77/100</f>
        <v>0</v>
      </c>
      <c r="AH21" s="313"/>
      <c r="AI21" s="908">
        <v>201</v>
      </c>
      <c r="AJ21" s="313"/>
      <c r="AK21" s="1020">
        <f t="shared" ca="1" si="12"/>
        <v>136.17528263090259</v>
      </c>
      <c r="AL21" s="954">
        <f ca="1">AK21/'201'!I$24</f>
        <v>0.71024504579827141</v>
      </c>
      <c r="AM21" s="954">
        <f ca="1">0.8*(AK21*30+'201'!D$17*0.34*30*1)</f>
        <v>5358.4071031416624</v>
      </c>
      <c r="AN21" s="954">
        <f ca="1">IF(AM21&lt;User_sheet!B$50,Y21,0)</f>
        <v>1.7653408560849363E-4</v>
      </c>
      <c r="AO21" s="954">
        <f ca="1">20-(User_sheet!B$57/(AK21+'201'!D$17*1*0.34))</f>
        <v>-5.5299751151407364</v>
      </c>
      <c r="AP21" s="954">
        <f ca="1">IF(AO21&lt;User_sheet!B$59,0,BC21*AA21)</f>
        <v>0</v>
      </c>
      <c r="AQ21" s="313"/>
      <c r="AR21" s="909">
        <v>0.48</v>
      </c>
      <c r="AS21" s="909">
        <v>0.66</v>
      </c>
      <c r="AT21" s="909">
        <v>0.89</v>
      </c>
      <c r="AU21" s="909">
        <v>2.75</v>
      </c>
      <c r="AV21" s="909">
        <v>3.3</v>
      </c>
      <c r="AW21" s="909">
        <v>10916.451096266603</v>
      </c>
      <c r="AX21" s="909">
        <v>68297.998190252794</v>
      </c>
      <c r="AY21" s="909">
        <v>79015.992973719694</v>
      </c>
      <c r="AZ21" s="909">
        <v>0</v>
      </c>
      <c r="BA21" s="909">
        <v>0</v>
      </c>
      <c r="BB21" s="909">
        <v>0.6</v>
      </c>
      <c r="BC21" s="919">
        <v>0</v>
      </c>
      <c r="BD21" s="920">
        <v>0</v>
      </c>
      <c r="BE21" s="920">
        <v>1</v>
      </c>
      <c r="BF21" s="921">
        <v>0</v>
      </c>
      <c r="BG21" s="920">
        <v>0</v>
      </c>
      <c r="BH21" s="920">
        <v>0</v>
      </c>
      <c r="BI21" s="921">
        <v>1</v>
      </c>
      <c r="BJ21" s="920">
        <v>0</v>
      </c>
      <c r="BK21" s="920">
        <v>0</v>
      </c>
      <c r="BL21" s="920">
        <v>1</v>
      </c>
      <c r="BM21" s="921">
        <v>0</v>
      </c>
      <c r="BN21" s="958">
        <v>0.08</v>
      </c>
      <c r="BO21" s="959">
        <v>6</v>
      </c>
      <c r="BP21">
        <f t="shared" ca="1" si="1"/>
        <v>102.96</v>
      </c>
      <c r="BQ21">
        <f t="shared" ca="1" si="2"/>
        <v>174.94399999999999</v>
      </c>
      <c r="BR21">
        <f t="shared" ca="1" si="3"/>
        <v>37.440000000000005</v>
      </c>
      <c r="BS21">
        <f t="shared" ca="1" si="4"/>
        <v>112.95</v>
      </c>
      <c r="BT21">
        <f t="shared" ca="1" si="5"/>
        <v>34.32</v>
      </c>
      <c r="BU21">
        <f t="shared" ca="1" si="6"/>
        <v>7</v>
      </c>
      <c r="BV21">
        <f t="shared" ca="1" si="7"/>
        <v>4.3</v>
      </c>
      <c r="BW21" s="1018">
        <v>0</v>
      </c>
      <c r="BX21" s="1018">
        <f t="shared" ca="1" si="13"/>
        <v>16.590841949778437</v>
      </c>
      <c r="BY21" s="1018">
        <f t="shared" ca="1" si="14"/>
        <v>66.894292893036621</v>
      </c>
      <c r="BZ21" s="1018">
        <f t="shared" ca="1" si="15"/>
        <v>8.7326302414231254</v>
      </c>
      <c r="CA21" s="1018">
        <f t="shared" ca="1" si="16"/>
        <v>19.249999989412501</v>
      </c>
      <c r="CB21" s="1018">
        <f t="shared" ca="1" si="17"/>
        <v>9.0267175572519083</v>
      </c>
      <c r="CC21" s="1018">
        <f t="shared" si="18"/>
        <v>0</v>
      </c>
      <c r="CD21" s="1018">
        <f t="shared" ca="1" si="19"/>
        <v>136.17528263090259</v>
      </c>
      <c r="CE21" s="1018">
        <f t="shared" ca="1" si="20"/>
        <v>39.416033895928877</v>
      </c>
      <c r="CF21" s="1018">
        <f t="shared" ca="1" si="21"/>
        <v>5.2677394958049435</v>
      </c>
      <c r="CG21">
        <f t="shared" ca="1" si="22"/>
        <v>8770.5755509353985</v>
      </c>
    </row>
    <row r="22" spans="4:85" x14ac:dyDescent="0.25">
      <c r="D22" s="486"/>
      <c r="E22" s="485"/>
      <c r="F22" s="486"/>
      <c r="G22" s="485"/>
      <c r="H22" s="486"/>
      <c r="I22" s="485"/>
      <c r="J22" s="486"/>
      <c r="K22" s="486"/>
      <c r="L22" s="486"/>
      <c r="M22" s="486"/>
      <c r="N22" s="486"/>
      <c r="O22" s="486" t="s">
        <v>18</v>
      </c>
      <c r="P22" s="488">
        <v>0.15910607099999999</v>
      </c>
      <c r="Q22" s="486" t="s">
        <v>17</v>
      </c>
      <c r="R22" s="488">
        <v>1</v>
      </c>
      <c r="S22" s="486"/>
      <c r="T22" s="496">
        <v>1.123482805937569E-4</v>
      </c>
      <c r="U22" s="485"/>
      <c r="V22" s="176">
        <f t="shared" si="8"/>
        <v>1.123482805937569E-4</v>
      </c>
      <c r="W22" s="176">
        <f t="shared" si="9"/>
        <v>1.123482805937569E-4</v>
      </c>
      <c r="X22" s="176">
        <f t="shared" si="9"/>
        <v>1.123482805937569E-4</v>
      </c>
      <c r="Y22" s="34">
        <f>X22/Calculation_sheet!M$67</f>
        <v>1.1235057771486098E-4</v>
      </c>
      <c r="Z22" s="176">
        <f ca="1">IF(AN22&gt;0,Y22*Calculation_sheet!C$87,0)</f>
        <v>0</v>
      </c>
      <c r="AA22" s="176">
        <f t="shared" ca="1" si="10"/>
        <v>1.1235057771486098E-4</v>
      </c>
      <c r="AB22" s="176">
        <f ca="1">IF(AP22&gt;0,AA22*Calculation_sheet!C$94,0)</f>
        <v>0</v>
      </c>
      <c r="AC22" s="176">
        <f t="shared" ca="1" si="0"/>
        <v>1.1235057771486098E-4</v>
      </c>
      <c r="AD22" s="958">
        <f ca="1">AC22*Calculation_sheet!C$99</f>
        <v>6.741034662891659E-5</v>
      </c>
      <c r="AE22" s="176">
        <f t="shared" ca="1" si="0"/>
        <v>4.4940231085944393E-5</v>
      </c>
      <c r="AF22" s="176">
        <f t="shared" ca="1" si="11"/>
        <v>1.1235057771486098E-4</v>
      </c>
      <c r="AG22" s="958">
        <f ca="1">AF22*User_sheet!B$77/100</f>
        <v>0</v>
      </c>
      <c r="AH22" s="313"/>
      <c r="AI22" s="908">
        <v>201</v>
      </c>
      <c r="AJ22" s="313"/>
      <c r="AK22" s="1020">
        <f t="shared" ca="1" si="12"/>
        <v>136.17528263090259</v>
      </c>
      <c r="AL22" s="954">
        <f ca="1">AK22/'201'!I$24</f>
        <v>0.71024504579827141</v>
      </c>
      <c r="AM22" s="954">
        <f ca="1">0.8*(AK22*30+'201'!D$17*0.34*30*1)</f>
        <v>5358.4071031416624</v>
      </c>
      <c r="AN22" s="954">
        <f ca="1">IF(AM22&lt;User_sheet!B$50,Y22,0)</f>
        <v>1.1235057771486098E-4</v>
      </c>
      <c r="AO22" s="954">
        <f ca="1">20-(User_sheet!B$57/(AK22+'201'!D$17*1*0.34))</f>
        <v>-5.5299751151407364</v>
      </c>
      <c r="AP22" s="954">
        <f ca="1">IF(AO22&lt;User_sheet!B$59,0,BC22*AA22)</f>
        <v>0</v>
      </c>
      <c r="AQ22" s="313"/>
      <c r="AR22" s="909">
        <v>0.48</v>
      </c>
      <c r="AS22" s="909">
        <v>0.66</v>
      </c>
      <c r="AT22" s="909">
        <v>0.89</v>
      </c>
      <c r="AU22" s="909">
        <v>2.75</v>
      </c>
      <c r="AV22" s="909">
        <v>3.3</v>
      </c>
      <c r="AW22" s="909">
        <v>10916.451096266603</v>
      </c>
      <c r="AX22" s="909">
        <v>68297.998190252794</v>
      </c>
      <c r="AY22" s="909">
        <v>79015.992973719694</v>
      </c>
      <c r="AZ22" s="909">
        <v>0</v>
      </c>
      <c r="BA22" s="909">
        <v>0</v>
      </c>
      <c r="BB22" s="909">
        <v>0.6</v>
      </c>
      <c r="BC22" s="919">
        <v>0</v>
      </c>
      <c r="BD22" s="920">
        <v>0</v>
      </c>
      <c r="BE22" s="920">
        <v>0</v>
      </c>
      <c r="BF22" s="921">
        <v>1</v>
      </c>
      <c r="BG22" s="920">
        <v>1</v>
      </c>
      <c r="BH22" s="920">
        <v>0</v>
      </c>
      <c r="BI22" s="921">
        <v>0</v>
      </c>
      <c r="BJ22" s="920">
        <v>0</v>
      </c>
      <c r="BK22" s="920">
        <v>0</v>
      </c>
      <c r="BL22" s="920">
        <v>0</v>
      </c>
      <c r="BM22" s="921">
        <v>1</v>
      </c>
      <c r="BN22" s="958">
        <v>0.08</v>
      </c>
      <c r="BO22" s="959">
        <v>6</v>
      </c>
      <c r="BP22">
        <f t="shared" ca="1" si="1"/>
        <v>102.96</v>
      </c>
      <c r="BQ22">
        <f t="shared" ca="1" si="2"/>
        <v>174.94399999999999</v>
      </c>
      <c r="BR22">
        <f t="shared" ca="1" si="3"/>
        <v>37.440000000000005</v>
      </c>
      <c r="BS22">
        <f t="shared" ca="1" si="4"/>
        <v>112.95</v>
      </c>
      <c r="BT22">
        <f t="shared" ca="1" si="5"/>
        <v>34.32</v>
      </c>
      <c r="BU22">
        <f t="shared" ca="1" si="6"/>
        <v>7</v>
      </c>
      <c r="BV22">
        <f t="shared" ca="1" si="7"/>
        <v>4.3</v>
      </c>
      <c r="BW22" s="1018">
        <v>0</v>
      </c>
      <c r="BX22" s="1018">
        <f t="shared" ca="1" si="13"/>
        <v>16.590841949778437</v>
      </c>
      <c r="BY22" s="1018">
        <f t="shared" ca="1" si="14"/>
        <v>66.894292893036621</v>
      </c>
      <c r="BZ22" s="1018">
        <f t="shared" ca="1" si="15"/>
        <v>8.7326302414231254</v>
      </c>
      <c r="CA22" s="1018">
        <f t="shared" ca="1" si="16"/>
        <v>19.249999989412501</v>
      </c>
      <c r="CB22" s="1018">
        <f t="shared" ca="1" si="17"/>
        <v>9.0267175572519083</v>
      </c>
      <c r="CC22" s="1018">
        <f t="shared" si="18"/>
        <v>0</v>
      </c>
      <c r="CD22" s="1018">
        <f t="shared" ca="1" si="19"/>
        <v>136.17528263090259</v>
      </c>
      <c r="CE22" s="1018">
        <f t="shared" ca="1" si="20"/>
        <v>39.416033895928877</v>
      </c>
      <c r="CF22" s="1018">
        <f t="shared" ca="1" si="21"/>
        <v>5.2677394958049435</v>
      </c>
      <c r="CG22">
        <f t="shared" ca="1" si="22"/>
        <v>8770.5755509353985</v>
      </c>
    </row>
    <row r="23" spans="4:85" x14ac:dyDescent="0.25">
      <c r="D23" s="486"/>
      <c r="E23" s="485" t="s">
        <v>4</v>
      </c>
      <c r="F23" s="490">
        <v>0.14000000000000001</v>
      </c>
      <c r="G23" s="485" t="s">
        <v>5</v>
      </c>
      <c r="H23" s="490">
        <v>1</v>
      </c>
      <c r="I23" s="485" t="s">
        <v>6</v>
      </c>
      <c r="J23" s="490">
        <v>1</v>
      </c>
      <c r="K23" s="489" t="s">
        <v>12</v>
      </c>
      <c r="L23" s="490">
        <v>0.73899999999999999</v>
      </c>
      <c r="M23" s="486" t="s">
        <v>17</v>
      </c>
      <c r="N23" s="488">
        <v>8.5106382999999994E-2</v>
      </c>
      <c r="O23" s="486" t="s">
        <v>19</v>
      </c>
      <c r="P23" s="488">
        <v>0.84089392900000004</v>
      </c>
      <c r="Q23" s="486" t="s">
        <v>17</v>
      </c>
      <c r="R23" s="488">
        <v>1</v>
      </c>
      <c r="S23" s="486"/>
      <c r="T23" s="496">
        <v>5.9377361587213532E-4</v>
      </c>
      <c r="U23" s="485"/>
      <c r="V23" s="176">
        <f t="shared" si="8"/>
        <v>5.9377361587213532E-4</v>
      </c>
      <c r="W23" s="176">
        <f t="shared" si="9"/>
        <v>5.9377361587213532E-4</v>
      </c>
      <c r="X23" s="176">
        <f t="shared" si="9"/>
        <v>5.9377361587213532E-4</v>
      </c>
      <c r="Y23" s="34">
        <f>X23/Calculation_sheet!M$67</f>
        <v>5.9378575642201161E-4</v>
      </c>
      <c r="Z23" s="176">
        <f ca="1">IF(AN23&gt;0,Y23*Calculation_sheet!C$87,0)</f>
        <v>0</v>
      </c>
      <c r="AA23" s="176">
        <f t="shared" ca="1" si="10"/>
        <v>5.9378575642201161E-4</v>
      </c>
      <c r="AB23" s="176">
        <f ca="1">IF(AP23&gt;0,AA23*Calculation_sheet!C$94,0)</f>
        <v>0</v>
      </c>
      <c r="AC23" s="176">
        <f t="shared" ca="1" si="0"/>
        <v>5.9378575642201161E-4</v>
      </c>
      <c r="AD23" s="958">
        <f ca="1">AC23*Calculation_sheet!C$99</f>
        <v>3.5627145385320693E-4</v>
      </c>
      <c r="AE23" s="176">
        <f t="shared" ca="1" si="0"/>
        <v>2.3751430256880468E-4</v>
      </c>
      <c r="AF23" s="176">
        <f t="shared" ca="1" si="11"/>
        <v>5.9378575642201161E-4</v>
      </c>
      <c r="AG23" s="958">
        <f ca="1">AF23*User_sheet!B$77/100</f>
        <v>0</v>
      </c>
      <c r="AH23" s="313"/>
      <c r="AI23" s="908">
        <v>201</v>
      </c>
      <c r="AJ23" s="313"/>
      <c r="AK23" s="1020">
        <f t="shared" ca="1" si="12"/>
        <v>136.17528263090259</v>
      </c>
      <c r="AL23" s="954">
        <f ca="1">AK23/'201'!I$24</f>
        <v>0.71024504579827141</v>
      </c>
      <c r="AM23" s="954">
        <f ca="1">0.8*(AK23*30+'201'!D$17*0.34*30*1)</f>
        <v>5358.4071031416624</v>
      </c>
      <c r="AN23" s="954">
        <f ca="1">IF(AM23&lt;User_sheet!B$50,Y23,0)</f>
        <v>5.9378575642201161E-4</v>
      </c>
      <c r="AO23" s="954">
        <f ca="1">20-(User_sheet!B$57/(AK23+'201'!D$17*1*0.34))</f>
        <v>-5.5299751151407364</v>
      </c>
      <c r="AP23" s="954">
        <f ca="1">IF(AO23&lt;User_sheet!B$59,0,BC23*AA23)</f>
        <v>0</v>
      </c>
      <c r="AQ23" s="313"/>
      <c r="AR23" s="909">
        <v>0.48</v>
      </c>
      <c r="AS23" s="909">
        <v>0.66</v>
      </c>
      <c r="AT23" s="909">
        <v>0.89</v>
      </c>
      <c r="AU23" s="909">
        <v>2.75</v>
      </c>
      <c r="AV23" s="909">
        <v>3.3</v>
      </c>
      <c r="AW23" s="909">
        <v>10916.451096266603</v>
      </c>
      <c r="AX23" s="909">
        <v>68297.998190252794</v>
      </c>
      <c r="AY23" s="909">
        <v>79015.992973719694</v>
      </c>
      <c r="AZ23" s="909">
        <v>0</v>
      </c>
      <c r="BA23" s="909">
        <v>0</v>
      </c>
      <c r="BB23" s="909">
        <v>0.6</v>
      </c>
      <c r="BC23" s="919">
        <v>0</v>
      </c>
      <c r="BD23" s="920">
        <v>0</v>
      </c>
      <c r="BE23" s="920">
        <v>0</v>
      </c>
      <c r="BF23" s="921">
        <v>1</v>
      </c>
      <c r="BG23" s="920">
        <v>0</v>
      </c>
      <c r="BH23" s="920">
        <v>1</v>
      </c>
      <c r="BI23" s="921">
        <v>0</v>
      </c>
      <c r="BJ23" s="920">
        <v>0</v>
      </c>
      <c r="BK23" s="920">
        <v>0</v>
      </c>
      <c r="BL23" s="920">
        <v>0</v>
      </c>
      <c r="BM23" s="921">
        <v>1</v>
      </c>
      <c r="BN23" s="958">
        <v>0.08</v>
      </c>
      <c r="BO23" s="959">
        <v>6</v>
      </c>
      <c r="BP23">
        <f t="shared" ca="1" si="1"/>
        <v>102.96</v>
      </c>
      <c r="BQ23">
        <f t="shared" ca="1" si="2"/>
        <v>174.94399999999999</v>
      </c>
      <c r="BR23">
        <f t="shared" ca="1" si="3"/>
        <v>37.440000000000005</v>
      </c>
      <c r="BS23">
        <f t="shared" ca="1" si="4"/>
        <v>112.95</v>
      </c>
      <c r="BT23">
        <f t="shared" ca="1" si="5"/>
        <v>34.32</v>
      </c>
      <c r="BU23">
        <f t="shared" ca="1" si="6"/>
        <v>7</v>
      </c>
      <c r="BV23">
        <f t="shared" ca="1" si="7"/>
        <v>4.3</v>
      </c>
      <c r="BW23" s="1018">
        <v>0</v>
      </c>
      <c r="BX23" s="1018">
        <f t="shared" ca="1" si="13"/>
        <v>16.590841949778437</v>
      </c>
      <c r="BY23" s="1018">
        <f t="shared" ca="1" si="14"/>
        <v>66.894292893036621</v>
      </c>
      <c r="BZ23" s="1018">
        <f t="shared" ca="1" si="15"/>
        <v>8.7326302414231254</v>
      </c>
      <c r="CA23" s="1018">
        <f t="shared" ca="1" si="16"/>
        <v>19.249999989412501</v>
      </c>
      <c r="CB23" s="1018">
        <f t="shared" ca="1" si="17"/>
        <v>9.0267175572519083</v>
      </c>
      <c r="CC23" s="1018">
        <f t="shared" si="18"/>
        <v>0</v>
      </c>
      <c r="CD23" s="1018">
        <f t="shared" ca="1" si="19"/>
        <v>136.17528263090259</v>
      </c>
      <c r="CE23" s="1018">
        <f t="shared" ca="1" si="20"/>
        <v>39.416033895928877</v>
      </c>
      <c r="CF23" s="1018">
        <f t="shared" ca="1" si="21"/>
        <v>5.2677394958049435</v>
      </c>
      <c r="CG23">
        <f t="shared" ca="1" si="22"/>
        <v>8770.5755509353985</v>
      </c>
    </row>
    <row r="24" spans="4:85" s="14" customFormat="1" x14ac:dyDescent="0.25">
      <c r="D24" s="494"/>
      <c r="E24" s="493"/>
      <c r="F24" s="494"/>
      <c r="G24" s="493"/>
      <c r="H24" s="494"/>
      <c r="I24" s="493"/>
      <c r="J24" s="494"/>
      <c r="K24" s="495"/>
      <c r="L24" s="494"/>
      <c r="M24" s="494"/>
      <c r="N24" s="494"/>
      <c r="O24" s="494"/>
      <c r="P24" s="494"/>
      <c r="Q24" s="494"/>
      <c r="R24" s="494"/>
      <c r="S24" s="494"/>
      <c r="T24" s="498"/>
      <c r="U24" s="493"/>
      <c r="V24" s="292"/>
      <c r="W24" s="292"/>
      <c r="X24" s="292"/>
      <c r="Y24" s="277"/>
      <c r="Z24" s="292"/>
      <c r="AA24" s="292"/>
      <c r="AB24" s="292"/>
      <c r="AC24" s="292"/>
      <c r="AD24" s="277"/>
      <c r="AE24" s="292"/>
      <c r="AF24" s="292"/>
      <c r="AG24" s="277"/>
      <c r="AH24" s="313"/>
      <c r="AI24" s="913"/>
      <c r="AJ24" s="313"/>
      <c r="AK24" s="1020">
        <f t="shared" si="12"/>
        <v>0</v>
      </c>
      <c r="AL24" s="941"/>
      <c r="AM24" s="941"/>
      <c r="AN24" s="986"/>
      <c r="AO24" s="986"/>
      <c r="AP24" s="986"/>
      <c r="AQ24" s="313"/>
      <c r="AR24" s="913"/>
      <c r="AS24" s="913"/>
      <c r="AT24" s="913"/>
      <c r="AU24" s="913"/>
      <c r="AV24" s="913"/>
      <c r="AW24" s="913"/>
      <c r="AX24" s="913"/>
      <c r="AY24" s="913"/>
      <c r="AZ24" s="913"/>
      <c r="BA24" s="913"/>
      <c r="BB24" s="913"/>
      <c r="BC24" s="897"/>
      <c r="BD24" s="898"/>
      <c r="BE24" s="898"/>
      <c r="BF24" s="373"/>
      <c r="BG24" s="913"/>
      <c r="BH24" s="913"/>
      <c r="BI24" s="373"/>
      <c r="BJ24" s="913"/>
      <c r="BK24" s="913"/>
      <c r="BL24" s="913"/>
      <c r="BM24" s="373"/>
      <c r="BN24" s="277"/>
      <c r="BO24" s="49"/>
      <c r="BW24" s="928"/>
      <c r="BX24" s="928"/>
      <c r="BY24" s="928"/>
      <c r="BZ24" s="928"/>
      <c r="CA24" s="928"/>
      <c r="CB24" s="928"/>
      <c r="CC24" s="928"/>
      <c r="CD24" s="928"/>
      <c r="CE24" s="928"/>
      <c r="CF24" s="928"/>
    </row>
    <row r="25" spans="4:85" s="3" customFormat="1" x14ac:dyDescent="0.25">
      <c r="D25" s="491"/>
      <c r="E25" s="487"/>
      <c r="F25" s="491"/>
      <c r="G25" s="487"/>
      <c r="H25" s="491"/>
      <c r="I25" s="487"/>
      <c r="J25" s="491"/>
      <c r="K25" s="492"/>
      <c r="L25" s="486"/>
      <c r="M25" s="486"/>
      <c r="N25" s="486"/>
      <c r="O25" s="486"/>
      <c r="P25" s="486"/>
      <c r="Q25" s="486" t="s">
        <v>16</v>
      </c>
      <c r="R25" s="488">
        <v>0.73860000000000003</v>
      </c>
      <c r="S25" s="486"/>
      <c r="T25" s="496">
        <v>6.0879019817432103E-4</v>
      </c>
      <c r="U25" s="487"/>
      <c r="V25" s="176">
        <f>T25</f>
        <v>6.0879019817432103E-4</v>
      </c>
      <c r="W25" s="176">
        <f>V25</f>
        <v>6.0879019817432103E-4</v>
      </c>
      <c r="X25" s="176">
        <f>W25</f>
        <v>6.0879019817432103E-4</v>
      </c>
      <c r="Y25" s="958">
        <f>X25/Calculation_sheet!M$67</f>
        <v>6.0880264575967607E-4</v>
      </c>
      <c r="Z25" s="176">
        <f ca="1">IF(AN25&gt;0,Y25*Calculation_sheet!C$87,0)</f>
        <v>0</v>
      </c>
      <c r="AA25" s="176">
        <f ca="1">Y25-Z25</f>
        <v>6.0880264575967607E-4</v>
      </c>
      <c r="AB25" s="176">
        <f ca="1">IF(AP25&gt;0,AA25*Calculation_sheet!C$94,0)</f>
        <v>0</v>
      </c>
      <c r="AC25" s="176">
        <f t="shared" ref="AC25:AE35" ca="1" si="23">AA25-AB25</f>
        <v>6.0880264575967607E-4</v>
      </c>
      <c r="AD25" s="958">
        <f ca="1">AC25*Calculation_sheet!C$99</f>
        <v>3.6528158745580564E-4</v>
      </c>
      <c r="AE25" s="176">
        <f t="shared" ca="1" si="23"/>
        <v>2.4352105830387043E-4</v>
      </c>
      <c r="AF25" s="176">
        <f ca="1">Y25-AB25</f>
        <v>6.0880264575967607E-4</v>
      </c>
      <c r="AG25" s="958">
        <f ca="1">AF25*User_sheet!B$77/100</f>
        <v>0</v>
      </c>
      <c r="AH25" s="313"/>
      <c r="AI25" s="910">
        <v>201</v>
      </c>
      <c r="AJ25" s="313"/>
      <c r="AK25" s="1020">
        <f t="shared" ca="1" si="12"/>
        <v>165.20527478677829</v>
      </c>
      <c r="AL25" s="954">
        <f ca="1">AK25/'201'!I$24</f>
        <v>0.86165584304375042</v>
      </c>
      <c r="AM25" s="954">
        <f ca="1">0.8*(AK25*30+'201'!D$17*0.34*30*1)</f>
        <v>6055.1269148826796</v>
      </c>
      <c r="AN25" s="954">
        <f ca="1">IF(AM25&lt;User_sheet!B$50,Y25,0)</f>
        <v>6.0880264575967607E-4</v>
      </c>
      <c r="AO25" s="954">
        <f ca="1">20-(User_sheet!B$57/(AK25+'201'!D$17*1*0.34))</f>
        <v>-2.5924248860522141</v>
      </c>
      <c r="AP25" s="954">
        <f ca="1">IF(AO25&lt;User_sheet!B$59,0,BC25*AA25)</f>
        <v>0</v>
      </c>
      <c r="AQ25" s="313"/>
      <c r="AR25" s="910">
        <v>0.48</v>
      </c>
      <c r="AS25" s="908">
        <v>0.66</v>
      </c>
      <c r="AT25" s="908">
        <v>7.9</v>
      </c>
      <c r="AU25" s="910">
        <v>2.75</v>
      </c>
      <c r="AV25" s="910">
        <v>3.3</v>
      </c>
      <c r="AW25" s="910">
        <v>10916.451096266603</v>
      </c>
      <c r="AX25" s="908">
        <v>68297.998190252794</v>
      </c>
      <c r="AY25" s="908">
        <v>67352.647733737584</v>
      </c>
      <c r="AZ25" s="910">
        <v>0</v>
      </c>
      <c r="BA25" s="910">
        <v>0</v>
      </c>
      <c r="BB25" s="910">
        <v>0.6</v>
      </c>
      <c r="BC25" s="899">
        <v>1</v>
      </c>
      <c r="BD25" s="900">
        <v>0</v>
      </c>
      <c r="BE25" s="900">
        <v>0</v>
      </c>
      <c r="BF25" s="901">
        <v>0</v>
      </c>
      <c r="BG25" s="910">
        <v>1</v>
      </c>
      <c r="BH25" s="910">
        <v>0</v>
      </c>
      <c r="BI25" s="901">
        <v>0</v>
      </c>
      <c r="BJ25" s="910">
        <v>1</v>
      </c>
      <c r="BK25" s="910">
        <v>0</v>
      </c>
      <c r="BL25" s="910">
        <v>0</v>
      </c>
      <c r="BM25" s="901">
        <v>0</v>
      </c>
      <c r="BN25" s="958">
        <v>0.08</v>
      </c>
      <c r="BO25" s="959">
        <v>6</v>
      </c>
      <c r="BP25" s="3">
        <f t="shared" ref="BP25:BP35" ca="1" si="24">INDIRECT("'"&amp;AI25&amp;"'!"&amp;"B2")</f>
        <v>102.96</v>
      </c>
      <c r="BQ25" s="3">
        <f t="shared" ref="BQ25:BQ35" ca="1" si="25">INDIRECT("'"&amp;AI25&amp;"'!"&amp;"C12")+INDIRECT("'"&amp;AI25&amp;"'!"&amp;"C13")+INDIRECT("'"&amp;AI25&amp;"'!"&amp;"C14")+INDIRECT("'"&amp;AI25&amp;"'!"&amp;"C15")+INDIRECT("'"&amp;AI25&amp;"'!"&amp;"C17")</f>
        <v>174.94399999999999</v>
      </c>
      <c r="BR25" s="3">
        <f t="shared" ref="BR25:BR35" ca="1" si="26">INDIRECT("'"&amp;AI25&amp;"'!"&amp;"G5")</f>
        <v>37.440000000000005</v>
      </c>
      <c r="BS25" s="3">
        <f t="shared" ref="BS25:BS35" ca="1" si="27">INDIRECT("'"&amp;AI25&amp;"'!"&amp;"G4")</f>
        <v>112.95</v>
      </c>
      <c r="BT25" s="3">
        <f t="shared" ref="BT25:BT35" ca="1" si="28">INDIRECT("'"&amp;AI25&amp;"'!"&amp;"G6")</f>
        <v>34.32</v>
      </c>
      <c r="BU25" s="3">
        <f t="shared" ref="BU25:BU35" ca="1" si="29">INDIRECT("'"&amp;AI25&amp;"'!"&amp;"G2")</f>
        <v>7</v>
      </c>
      <c r="BV25" s="3">
        <f t="shared" ref="BV25:BV35" ca="1" si="30">INDIRECT("'"&amp;AI25&amp;"'!"&amp;"G3")</f>
        <v>4.3</v>
      </c>
      <c r="BW25" s="926">
        <v>0</v>
      </c>
      <c r="BX25" s="1018">
        <f t="shared" ca="1" si="13"/>
        <v>16.590841949778437</v>
      </c>
      <c r="BY25" s="1018">
        <f t="shared" ca="1" si="14"/>
        <v>66.894292893036621</v>
      </c>
      <c r="BZ25" s="1018">
        <f t="shared" ca="1" si="15"/>
        <v>37.76262239729882</v>
      </c>
      <c r="CA25" s="1018">
        <f t="shared" ca="1" si="16"/>
        <v>19.249999989412501</v>
      </c>
      <c r="CB25" s="1018">
        <f t="shared" ca="1" si="17"/>
        <v>9.0267175572519083</v>
      </c>
      <c r="CC25" s="1018">
        <f t="shared" si="18"/>
        <v>0</v>
      </c>
      <c r="CD25" s="1018">
        <f ca="1">SUM(BX25:CC25)+(BR25+BS25+BT25+BU25+BV25)*BN25</f>
        <v>165.20527478677829</v>
      </c>
      <c r="CE25" s="1018">
        <f ca="1">0.34*BO25*(1/25)^0.66*(BR25+BS25+BU25+BV25)</f>
        <v>39.416033895928877</v>
      </c>
      <c r="CF25" s="1018">
        <f t="shared" ca="1" si="21"/>
        <v>6.1386392604812157</v>
      </c>
      <c r="CG25" s="3">
        <f t="shared" ca="1" si="22"/>
        <v>10220.588823130804</v>
      </c>
    </row>
    <row r="26" spans="4:85" s="3" customFormat="1" x14ac:dyDescent="0.25">
      <c r="D26" s="491"/>
      <c r="E26" s="487"/>
      <c r="F26" s="491"/>
      <c r="G26" s="487"/>
      <c r="H26" s="491"/>
      <c r="I26" s="487"/>
      <c r="J26" s="491"/>
      <c r="K26" s="492"/>
      <c r="L26" s="486"/>
      <c r="M26" s="486"/>
      <c r="N26" s="486"/>
      <c r="O26" s="486" t="s">
        <v>18</v>
      </c>
      <c r="P26" s="488">
        <v>0.62953995200000001</v>
      </c>
      <c r="Q26" s="486" t="s">
        <v>7</v>
      </c>
      <c r="R26" s="488">
        <v>0.26140000000000002</v>
      </c>
      <c r="S26" s="486"/>
      <c r="T26" s="496">
        <v>2.1545864852798202E-4</v>
      </c>
      <c r="U26" s="487"/>
      <c r="V26" s="176">
        <f t="shared" ref="V26:V35" si="31">T26</f>
        <v>2.1545864852798202E-4</v>
      </c>
      <c r="W26" s="176">
        <f t="shared" ref="W26:W35" si="32">V26</f>
        <v>2.1545864852798202E-4</v>
      </c>
      <c r="X26" s="176">
        <f t="shared" ref="X26:X35" si="33">W26</f>
        <v>2.1545864852798202E-4</v>
      </c>
      <c r="Y26" s="958">
        <f>X26/Calculation_sheet!M$67</f>
        <v>2.1546305388786801E-4</v>
      </c>
      <c r="Z26" s="176">
        <f ca="1">IF(AN26&gt;0,Y26*Calculation_sheet!C$87,0)</f>
        <v>0</v>
      </c>
      <c r="AA26" s="176">
        <f t="shared" ref="AA26:AA35" ca="1" si="34">Y26-Z26</f>
        <v>2.1546305388786801E-4</v>
      </c>
      <c r="AB26" s="176">
        <f ca="1">IF(AP26&gt;0,AA26*Calculation_sheet!C$94,0)</f>
        <v>0</v>
      </c>
      <c r="AC26" s="176">
        <f t="shared" ca="1" si="23"/>
        <v>2.1546305388786801E-4</v>
      </c>
      <c r="AD26" s="958">
        <f ca="1">AC26*Calculation_sheet!C$99</f>
        <v>1.292778323327208E-4</v>
      </c>
      <c r="AE26" s="176">
        <f t="shared" ca="1" si="23"/>
        <v>8.618522155514721E-5</v>
      </c>
      <c r="AF26" s="176">
        <f t="shared" ref="AF26:AF35" ca="1" si="35">Y26-AB26</f>
        <v>2.1546305388786801E-4</v>
      </c>
      <c r="AG26" s="958">
        <f ca="1">AF26*User_sheet!B$77/100</f>
        <v>0</v>
      </c>
      <c r="AH26" s="313"/>
      <c r="AI26" s="908">
        <v>201</v>
      </c>
      <c r="AJ26" s="313"/>
      <c r="AK26" s="1020">
        <f t="shared" ca="1" si="12"/>
        <v>165.20527478677829</v>
      </c>
      <c r="AL26" s="954">
        <f ca="1">AK26/'201'!I$24</f>
        <v>0.86165584304375042</v>
      </c>
      <c r="AM26" s="954">
        <f ca="1">0.8*(AK26*30+'201'!D$17*0.34*30*1)</f>
        <v>6055.1269148826796</v>
      </c>
      <c r="AN26" s="954">
        <f ca="1">IF(AM26&lt;User_sheet!B$50,Y26,0)</f>
        <v>2.1546305388786801E-4</v>
      </c>
      <c r="AO26" s="954">
        <f ca="1">20-(User_sheet!B$57/(AK26+'201'!D$17*1*0.34))</f>
        <v>-2.5924248860522141</v>
      </c>
      <c r="AP26" s="954">
        <f ca="1">IF(AO26&lt;User_sheet!B$59,0,BC26*AA26)</f>
        <v>0</v>
      </c>
      <c r="AQ26" s="313"/>
      <c r="AR26" s="908">
        <v>0.48</v>
      </c>
      <c r="AS26" s="908">
        <v>0.66</v>
      </c>
      <c r="AT26" s="908">
        <v>7.9</v>
      </c>
      <c r="AU26" s="908">
        <v>2.75</v>
      </c>
      <c r="AV26" s="908">
        <v>3.3</v>
      </c>
      <c r="AW26" s="908">
        <v>10916.451096266603</v>
      </c>
      <c r="AX26" s="908">
        <v>68297.998190252794</v>
      </c>
      <c r="AY26" s="908">
        <v>67352.647733737584</v>
      </c>
      <c r="AZ26" s="908">
        <v>0</v>
      </c>
      <c r="BA26" s="908">
        <v>0</v>
      </c>
      <c r="BB26" s="908">
        <v>0.6</v>
      </c>
      <c r="BC26" s="902">
        <v>1</v>
      </c>
      <c r="BD26" s="922">
        <v>0</v>
      </c>
      <c r="BE26" s="922">
        <v>0</v>
      </c>
      <c r="BF26" s="903">
        <v>0</v>
      </c>
      <c r="BG26" s="908">
        <v>1</v>
      </c>
      <c r="BH26" s="908">
        <v>0</v>
      </c>
      <c r="BI26" s="903">
        <v>0</v>
      </c>
      <c r="BJ26" s="908">
        <v>0</v>
      </c>
      <c r="BK26" s="908">
        <v>0</v>
      </c>
      <c r="BL26" s="908">
        <v>1</v>
      </c>
      <c r="BM26" s="903">
        <v>0</v>
      </c>
      <c r="BN26" s="958">
        <v>0.08</v>
      </c>
      <c r="BO26" s="959">
        <v>6</v>
      </c>
      <c r="BP26" s="3">
        <f t="shared" ca="1" si="24"/>
        <v>102.96</v>
      </c>
      <c r="BQ26" s="3">
        <f t="shared" ca="1" si="25"/>
        <v>174.94399999999999</v>
      </c>
      <c r="BR26" s="3">
        <f t="shared" ca="1" si="26"/>
        <v>37.440000000000005</v>
      </c>
      <c r="BS26" s="3">
        <f t="shared" ca="1" si="27"/>
        <v>112.95</v>
      </c>
      <c r="BT26" s="3">
        <f t="shared" ca="1" si="28"/>
        <v>34.32</v>
      </c>
      <c r="BU26" s="3">
        <f t="shared" ca="1" si="29"/>
        <v>7</v>
      </c>
      <c r="BV26" s="3">
        <f t="shared" ca="1" si="30"/>
        <v>4.3</v>
      </c>
      <c r="BW26" s="926">
        <v>0</v>
      </c>
      <c r="BX26" s="1018">
        <f t="shared" ca="1" si="13"/>
        <v>16.590841949778437</v>
      </c>
      <c r="BY26" s="1018">
        <f t="shared" ca="1" si="14"/>
        <v>66.894292893036621</v>
      </c>
      <c r="BZ26" s="1018">
        <f t="shared" ca="1" si="15"/>
        <v>37.76262239729882</v>
      </c>
      <c r="CA26" s="1018">
        <f t="shared" ca="1" si="16"/>
        <v>19.249999989412501</v>
      </c>
      <c r="CB26" s="1018">
        <f t="shared" ca="1" si="17"/>
        <v>9.0267175572519083</v>
      </c>
      <c r="CC26" s="1018">
        <f t="shared" si="18"/>
        <v>0</v>
      </c>
      <c r="CD26" s="1018">
        <f t="shared" ref="CD26:CD35" ca="1" si="36">SUM(BX26:CC26)+(BR26+BS26+BT26+BU26+BV26)*BN26</f>
        <v>165.20527478677829</v>
      </c>
      <c r="CE26" s="1018">
        <f t="shared" ref="CE26:CE35" ca="1" si="37">0.34*BO26*(1/25)^0.66*(BR26+BS26+BU26+BV26)</f>
        <v>39.416033895928877</v>
      </c>
      <c r="CF26" s="1018">
        <f t="shared" ca="1" si="21"/>
        <v>6.1386392604812157</v>
      </c>
      <c r="CG26" s="3">
        <f t="shared" ca="1" si="22"/>
        <v>10220.588823130804</v>
      </c>
    </row>
    <row r="27" spans="4:85" s="3" customFormat="1" x14ac:dyDescent="0.25">
      <c r="D27" s="491"/>
      <c r="E27" s="487"/>
      <c r="F27" s="491"/>
      <c r="G27" s="487"/>
      <c r="H27" s="491"/>
      <c r="I27" s="487"/>
      <c r="J27" s="491"/>
      <c r="K27" s="492"/>
      <c r="L27" s="486"/>
      <c r="M27" s="486"/>
      <c r="N27" s="486"/>
      <c r="O27" s="486"/>
      <c r="P27" s="486"/>
      <c r="Q27" s="486" t="s">
        <v>16</v>
      </c>
      <c r="R27" s="488">
        <v>0.73860000000000003</v>
      </c>
      <c r="S27" s="486"/>
      <c r="T27" s="496">
        <v>3.5824961596335426E-4</v>
      </c>
      <c r="U27" s="487"/>
      <c r="V27" s="176">
        <f t="shared" si="31"/>
        <v>3.5824961596335426E-4</v>
      </c>
      <c r="W27" s="176">
        <f t="shared" si="32"/>
        <v>3.5824961596335426E-4</v>
      </c>
      <c r="X27" s="176">
        <f t="shared" si="33"/>
        <v>3.5824961596335426E-4</v>
      </c>
      <c r="Y27" s="958">
        <f>X27/Calculation_sheet!M$67</f>
        <v>3.5825694088856904E-4</v>
      </c>
      <c r="Z27" s="176">
        <f ca="1">IF(AN27&gt;0,Y27*Calculation_sheet!C$87,0)</f>
        <v>0</v>
      </c>
      <c r="AA27" s="176">
        <f t="shared" ca="1" si="34"/>
        <v>3.5825694088856904E-4</v>
      </c>
      <c r="AB27" s="176">
        <f ca="1">IF(AP27&gt;0,AA27*Calculation_sheet!C$94,0)</f>
        <v>0</v>
      </c>
      <c r="AC27" s="176">
        <f t="shared" ca="1" si="23"/>
        <v>3.5825694088856904E-4</v>
      </c>
      <c r="AD27" s="958">
        <f ca="1">AC27*Calculation_sheet!C$99</f>
        <v>2.1495416453314143E-4</v>
      </c>
      <c r="AE27" s="176">
        <f t="shared" ca="1" si="23"/>
        <v>1.4330277635542761E-4</v>
      </c>
      <c r="AF27" s="176">
        <f t="shared" ca="1" si="35"/>
        <v>3.5825694088856904E-4</v>
      </c>
      <c r="AG27" s="958">
        <f ca="1">AF27*User_sheet!B$77/100</f>
        <v>0</v>
      </c>
      <c r="AH27" s="313"/>
      <c r="AI27" s="908">
        <v>201</v>
      </c>
      <c r="AJ27" s="313"/>
      <c r="AK27" s="1020">
        <f t="shared" ca="1" si="12"/>
        <v>165.20527478677829</v>
      </c>
      <c r="AL27" s="954">
        <f ca="1">AK27/'201'!I$24</f>
        <v>0.86165584304375042</v>
      </c>
      <c r="AM27" s="954">
        <f ca="1">0.8*(AK27*30+'201'!D$17*0.34*30*1)</f>
        <v>6055.1269148826796</v>
      </c>
      <c r="AN27" s="954">
        <f ca="1">IF(AM27&lt;User_sheet!B$50,Y27,0)</f>
        <v>3.5825694088856904E-4</v>
      </c>
      <c r="AO27" s="954">
        <f ca="1">20-(User_sheet!B$57/(AK27+'201'!D$17*1*0.34))</f>
        <v>-2.5924248860522141</v>
      </c>
      <c r="AP27" s="954">
        <f ca="1">IF(AO27&lt;User_sheet!B$59,0,BC27*AA27)</f>
        <v>0</v>
      </c>
      <c r="AQ27" s="313"/>
      <c r="AR27" s="908">
        <v>0.48</v>
      </c>
      <c r="AS27" s="908">
        <v>0.66</v>
      </c>
      <c r="AT27" s="908">
        <v>7.9</v>
      </c>
      <c r="AU27" s="908">
        <v>2.75</v>
      </c>
      <c r="AV27" s="908">
        <v>3.3</v>
      </c>
      <c r="AW27" s="908">
        <v>10916.451096266603</v>
      </c>
      <c r="AX27" s="908">
        <v>68297.998190252794</v>
      </c>
      <c r="AY27" s="908">
        <v>67352.647733737584</v>
      </c>
      <c r="AZ27" s="908">
        <v>0</v>
      </c>
      <c r="BA27" s="908">
        <v>0</v>
      </c>
      <c r="BB27" s="908">
        <v>0.6</v>
      </c>
      <c r="BC27" s="902">
        <v>1</v>
      </c>
      <c r="BD27" s="922">
        <v>0</v>
      </c>
      <c r="BE27" s="922">
        <v>0</v>
      </c>
      <c r="BF27" s="903">
        <v>0</v>
      </c>
      <c r="BG27" s="908">
        <v>0</v>
      </c>
      <c r="BH27" s="908">
        <v>1</v>
      </c>
      <c r="BI27" s="903">
        <v>0</v>
      </c>
      <c r="BJ27" s="908">
        <v>1</v>
      </c>
      <c r="BK27" s="908">
        <v>0</v>
      </c>
      <c r="BL27" s="908">
        <v>0</v>
      </c>
      <c r="BM27" s="903">
        <v>0</v>
      </c>
      <c r="BN27" s="958">
        <v>0.08</v>
      </c>
      <c r="BO27" s="959">
        <v>6</v>
      </c>
      <c r="BP27" s="3">
        <f t="shared" ca="1" si="24"/>
        <v>102.96</v>
      </c>
      <c r="BQ27" s="3">
        <f t="shared" ca="1" si="25"/>
        <v>174.94399999999999</v>
      </c>
      <c r="BR27" s="3">
        <f t="shared" ca="1" si="26"/>
        <v>37.440000000000005</v>
      </c>
      <c r="BS27" s="3">
        <f t="shared" ca="1" si="27"/>
        <v>112.95</v>
      </c>
      <c r="BT27" s="3">
        <f t="shared" ca="1" si="28"/>
        <v>34.32</v>
      </c>
      <c r="BU27" s="3">
        <f t="shared" ca="1" si="29"/>
        <v>7</v>
      </c>
      <c r="BV27" s="3">
        <f t="shared" ca="1" si="30"/>
        <v>4.3</v>
      </c>
      <c r="BW27" s="926">
        <v>0</v>
      </c>
      <c r="BX27" s="3">
        <f t="shared" ca="1" si="13"/>
        <v>16.590841949778437</v>
      </c>
      <c r="BY27" s="3">
        <f t="shared" ca="1" si="14"/>
        <v>66.894292893036621</v>
      </c>
      <c r="BZ27" s="3">
        <f t="shared" ca="1" si="15"/>
        <v>37.76262239729882</v>
      </c>
      <c r="CA27" s="3">
        <f t="shared" ca="1" si="16"/>
        <v>19.249999989412501</v>
      </c>
      <c r="CB27" s="3">
        <f t="shared" ca="1" si="17"/>
        <v>9.0267175572519083</v>
      </c>
      <c r="CC27" s="926">
        <f t="shared" si="18"/>
        <v>0</v>
      </c>
      <c r="CD27" s="1018">
        <f t="shared" ca="1" si="36"/>
        <v>165.20527478677829</v>
      </c>
      <c r="CE27" s="1018">
        <f t="shared" ca="1" si="37"/>
        <v>39.416033895928877</v>
      </c>
      <c r="CF27" s="3">
        <f t="shared" ca="1" si="21"/>
        <v>6.1386392604812157</v>
      </c>
      <c r="CG27" s="3">
        <f t="shared" ca="1" si="22"/>
        <v>10220.588823130804</v>
      </c>
    </row>
    <row r="28" spans="4:85" s="3" customFormat="1" x14ac:dyDescent="0.25">
      <c r="D28" s="491"/>
      <c r="E28" s="487"/>
      <c r="F28" s="491"/>
      <c r="G28" s="487"/>
      <c r="H28" s="491"/>
      <c r="I28" s="487"/>
      <c r="J28" s="491"/>
      <c r="K28" s="492"/>
      <c r="L28" s="486"/>
      <c r="M28" s="486" t="s">
        <v>16</v>
      </c>
      <c r="N28" s="488">
        <v>0.44680851100000002</v>
      </c>
      <c r="O28" s="486" t="s">
        <v>19</v>
      </c>
      <c r="P28" s="488">
        <v>0.37046004799999999</v>
      </c>
      <c r="Q28" s="486" t="s">
        <v>7</v>
      </c>
      <c r="R28" s="488">
        <v>0.26140000000000002</v>
      </c>
      <c r="S28" s="486"/>
      <c r="T28" s="496">
        <v>1.2678912755594476E-4</v>
      </c>
      <c r="U28" s="487"/>
      <c r="V28" s="176">
        <f t="shared" si="31"/>
        <v>1.2678912755594476E-4</v>
      </c>
      <c r="W28" s="176">
        <f t="shared" si="32"/>
        <v>1.2678912755594476E-4</v>
      </c>
      <c r="X28" s="176">
        <f t="shared" si="33"/>
        <v>1.2678912755594476E-4</v>
      </c>
      <c r="Y28" s="958">
        <f>X28/Calculation_sheet!M$67</f>
        <v>1.2679171994079601E-4</v>
      </c>
      <c r="Z28" s="176">
        <f ca="1">IF(AN28&gt;0,Y28*Calculation_sheet!C$87,0)</f>
        <v>0</v>
      </c>
      <c r="AA28" s="176">
        <f t="shared" ca="1" si="34"/>
        <v>1.2679171994079601E-4</v>
      </c>
      <c r="AB28" s="176">
        <f ca="1">IF(AP28&gt;0,AA28*Calculation_sheet!C$94,0)</f>
        <v>0</v>
      </c>
      <c r="AC28" s="176">
        <f t="shared" ca="1" si="23"/>
        <v>1.2679171994079601E-4</v>
      </c>
      <c r="AD28" s="958">
        <f ca="1">AC28*Calculation_sheet!C$99</f>
        <v>7.6075031964477607E-5</v>
      </c>
      <c r="AE28" s="176">
        <f t="shared" ca="1" si="23"/>
        <v>5.0716687976318404E-5</v>
      </c>
      <c r="AF28" s="176">
        <f t="shared" ca="1" si="35"/>
        <v>1.2679171994079601E-4</v>
      </c>
      <c r="AG28" s="958">
        <f ca="1">AF28*User_sheet!B$77/100</f>
        <v>0</v>
      </c>
      <c r="AH28" s="313"/>
      <c r="AI28" s="908">
        <v>201</v>
      </c>
      <c r="AJ28" s="313"/>
      <c r="AK28" s="1020">
        <f t="shared" ca="1" si="12"/>
        <v>165.20527478677829</v>
      </c>
      <c r="AL28" s="954">
        <f ca="1">AK28/'201'!I$24</f>
        <v>0.86165584304375042</v>
      </c>
      <c r="AM28" s="954">
        <f ca="1">0.8*(AK28*30+'201'!D$17*0.34*30*1)</f>
        <v>6055.1269148826796</v>
      </c>
      <c r="AN28" s="954">
        <f ca="1">IF(AM28&lt;User_sheet!B$50,Y28,0)</f>
        <v>1.2679171994079601E-4</v>
      </c>
      <c r="AO28" s="954">
        <f ca="1">20-(User_sheet!B$57/(AK28+'201'!D$17*1*0.34))</f>
        <v>-2.5924248860522141</v>
      </c>
      <c r="AP28" s="954">
        <f ca="1">IF(AO28&lt;User_sheet!B$59,0,BC28*AA28)</f>
        <v>0</v>
      </c>
      <c r="AQ28" s="313"/>
      <c r="AR28" s="908">
        <v>0.48</v>
      </c>
      <c r="AS28" s="908">
        <v>0.66</v>
      </c>
      <c r="AT28" s="908">
        <v>7.9</v>
      </c>
      <c r="AU28" s="908">
        <v>2.75</v>
      </c>
      <c r="AV28" s="908">
        <v>3.3</v>
      </c>
      <c r="AW28" s="908">
        <v>10916.451096266603</v>
      </c>
      <c r="AX28" s="908">
        <v>68297.998190252794</v>
      </c>
      <c r="AY28" s="908">
        <v>67352.647733737584</v>
      </c>
      <c r="AZ28" s="908">
        <v>0</v>
      </c>
      <c r="BA28" s="908">
        <v>0</v>
      </c>
      <c r="BB28" s="908">
        <v>0.6</v>
      </c>
      <c r="BC28" s="902">
        <v>1</v>
      </c>
      <c r="BD28" s="922">
        <v>0</v>
      </c>
      <c r="BE28" s="922">
        <v>0</v>
      </c>
      <c r="BF28" s="903">
        <v>0</v>
      </c>
      <c r="BG28" s="908">
        <v>0</v>
      </c>
      <c r="BH28" s="908">
        <v>1</v>
      </c>
      <c r="BI28" s="903">
        <v>0</v>
      </c>
      <c r="BJ28" s="908">
        <v>0</v>
      </c>
      <c r="BK28" s="908">
        <v>0</v>
      </c>
      <c r="BL28" s="908">
        <v>1</v>
      </c>
      <c r="BM28" s="903">
        <v>0</v>
      </c>
      <c r="BN28" s="958">
        <v>0.08</v>
      </c>
      <c r="BO28" s="959">
        <v>6</v>
      </c>
      <c r="BP28" s="3">
        <f t="shared" ca="1" si="24"/>
        <v>102.96</v>
      </c>
      <c r="BQ28" s="3">
        <f t="shared" ca="1" si="25"/>
        <v>174.94399999999999</v>
      </c>
      <c r="BR28" s="3">
        <f t="shared" ca="1" si="26"/>
        <v>37.440000000000005</v>
      </c>
      <c r="BS28" s="3">
        <f t="shared" ca="1" si="27"/>
        <v>112.95</v>
      </c>
      <c r="BT28" s="3">
        <f t="shared" ca="1" si="28"/>
        <v>34.32</v>
      </c>
      <c r="BU28" s="3">
        <f t="shared" ca="1" si="29"/>
        <v>7</v>
      </c>
      <c r="BV28" s="3">
        <f t="shared" ca="1" si="30"/>
        <v>4.3</v>
      </c>
      <c r="BW28" s="926">
        <v>0</v>
      </c>
      <c r="BX28" s="3">
        <f t="shared" ref="BX28:BX91" ca="1" si="38">IF(BR28=0,0,1/(1/(BR28*$BY$3)+1/(BR28*AR28)+1/(BR28*$BY$4)))</f>
        <v>16.590841949778437</v>
      </c>
      <c r="BY28" s="3">
        <f t="shared" ref="BY28:BY91" ca="1" si="39">IF(BS28=0,0,1/(1/(BS28*$BY$3)+1/(BS28*AS28)+1/(BS28*$BY$4)))</f>
        <v>66.894292893036621</v>
      </c>
      <c r="BZ28" s="3">
        <f t="shared" ca="1" si="15"/>
        <v>37.76262239729882</v>
      </c>
      <c r="CA28" s="3">
        <f t="shared" ca="1" si="16"/>
        <v>19.249999989412501</v>
      </c>
      <c r="CB28" s="3">
        <f t="shared" ref="CB28:CB91" ca="1" si="40">IF(BV28=0,0,1/(1/(BV28*$BY$3)+1/(BV28*AV28)+1/(BV28*$BY$4)))</f>
        <v>9.0267175572519083</v>
      </c>
      <c r="CC28" s="926">
        <f t="shared" si="18"/>
        <v>0</v>
      </c>
      <c r="CD28" s="1018">
        <f t="shared" ca="1" si="36"/>
        <v>165.20527478677829</v>
      </c>
      <c r="CE28" s="1018">
        <f t="shared" ca="1" si="37"/>
        <v>39.416033895928877</v>
      </c>
      <c r="CF28" s="3">
        <f t="shared" ca="1" si="21"/>
        <v>6.1386392604812157</v>
      </c>
      <c r="CG28" s="3">
        <f t="shared" ca="1" si="22"/>
        <v>10220.588823130804</v>
      </c>
    </row>
    <row r="29" spans="4:85" s="3" customFormat="1" x14ac:dyDescent="0.25">
      <c r="D29" s="491"/>
      <c r="E29" s="487"/>
      <c r="F29" s="491"/>
      <c r="G29" s="487"/>
      <c r="H29" s="491"/>
      <c r="I29" s="487"/>
      <c r="J29" s="491"/>
      <c r="K29" s="492"/>
      <c r="L29" s="486"/>
      <c r="M29" s="486"/>
      <c r="N29" s="486"/>
      <c r="O29" s="486"/>
      <c r="P29" s="486"/>
      <c r="Q29" s="486" t="s">
        <v>22</v>
      </c>
      <c r="R29" s="488">
        <v>0.53710000000000002</v>
      </c>
      <c r="S29" s="486"/>
      <c r="T29" s="496">
        <v>5.6839078372138607E-4</v>
      </c>
      <c r="U29" s="487"/>
      <c r="V29" s="176">
        <f t="shared" si="31"/>
        <v>5.6839078372138607E-4</v>
      </c>
      <c r="W29" s="176">
        <f t="shared" si="32"/>
        <v>5.6839078372138607E-4</v>
      </c>
      <c r="X29" s="176">
        <f t="shared" si="33"/>
        <v>5.6839078372138607E-4</v>
      </c>
      <c r="Y29" s="958">
        <f>X29/Calculation_sheet!M$67</f>
        <v>5.6840240528299561E-4</v>
      </c>
      <c r="Z29" s="176">
        <f ca="1">IF(AN29&gt;0,Y29*Calculation_sheet!C$87,0)</f>
        <v>0</v>
      </c>
      <c r="AA29" s="176">
        <f t="shared" ca="1" si="34"/>
        <v>5.6840240528299561E-4</v>
      </c>
      <c r="AB29" s="176">
        <f ca="1">IF(AP29&gt;0,AA29*Calculation_sheet!C$94,0)</f>
        <v>0</v>
      </c>
      <c r="AC29" s="176">
        <f t="shared" ca="1" si="23"/>
        <v>5.6840240528299561E-4</v>
      </c>
      <c r="AD29" s="958">
        <f ca="1">AC29*Calculation_sheet!C$99</f>
        <v>3.4104144316979734E-4</v>
      </c>
      <c r="AE29" s="176">
        <f t="shared" ca="1" si="23"/>
        <v>2.2736096211319827E-4</v>
      </c>
      <c r="AF29" s="176">
        <f t="shared" ca="1" si="35"/>
        <v>5.6840240528299561E-4</v>
      </c>
      <c r="AG29" s="958">
        <f ca="1">AF29*User_sheet!B$77/100</f>
        <v>0</v>
      </c>
      <c r="AH29" s="313"/>
      <c r="AI29" s="908">
        <v>201</v>
      </c>
      <c r="AJ29" s="313"/>
      <c r="AK29" s="1020">
        <f t="shared" ca="1" si="12"/>
        <v>165.20527478677829</v>
      </c>
      <c r="AL29" s="954">
        <f ca="1">AK29/'201'!I$24</f>
        <v>0.86165584304375042</v>
      </c>
      <c r="AM29" s="954">
        <f ca="1">0.8*(AK29*30+'201'!D$17*0.34*30*1)</f>
        <v>6055.1269148826796</v>
      </c>
      <c r="AN29" s="954">
        <f ca="1">IF(AM29&lt;User_sheet!B$50,Y29,0)</f>
        <v>5.6840240528299561E-4</v>
      </c>
      <c r="AO29" s="954">
        <f ca="1">20-(User_sheet!B$57/(AK29+'201'!D$17*1*0.34))</f>
        <v>-2.5924248860522141</v>
      </c>
      <c r="AP29" s="954">
        <f ca="1">IF(AO29&lt;User_sheet!B$59,0,BC29*AA29)</f>
        <v>0</v>
      </c>
      <c r="AQ29" s="313"/>
      <c r="AR29" s="908">
        <v>0.48</v>
      </c>
      <c r="AS29" s="908">
        <v>0.66</v>
      </c>
      <c r="AT29" s="908">
        <v>7.9</v>
      </c>
      <c r="AU29" s="908">
        <v>2.75</v>
      </c>
      <c r="AV29" s="908">
        <v>3.3</v>
      </c>
      <c r="AW29" s="908">
        <v>10916.451096266603</v>
      </c>
      <c r="AX29" s="908">
        <v>68297.998190252794</v>
      </c>
      <c r="AY29" s="908">
        <v>67352.647733737584</v>
      </c>
      <c r="AZ29" s="908">
        <v>0</v>
      </c>
      <c r="BA29" s="908">
        <v>0</v>
      </c>
      <c r="BB29" s="908">
        <v>0.6</v>
      </c>
      <c r="BC29" s="902">
        <v>0</v>
      </c>
      <c r="BD29" s="922">
        <v>1</v>
      </c>
      <c r="BE29" s="922">
        <v>0</v>
      </c>
      <c r="BF29" s="903">
        <v>0</v>
      </c>
      <c r="BG29" s="908">
        <v>1</v>
      </c>
      <c r="BH29" s="908">
        <v>0</v>
      </c>
      <c r="BI29" s="903">
        <v>0</v>
      </c>
      <c r="BJ29" s="908">
        <v>0</v>
      </c>
      <c r="BK29" s="908">
        <v>1</v>
      </c>
      <c r="BL29" s="908">
        <v>0</v>
      </c>
      <c r="BM29" s="903">
        <v>0</v>
      </c>
      <c r="BN29" s="958">
        <v>0.08</v>
      </c>
      <c r="BO29" s="959">
        <v>6</v>
      </c>
      <c r="BP29" s="3">
        <f t="shared" ca="1" si="24"/>
        <v>102.96</v>
      </c>
      <c r="BQ29" s="3">
        <f t="shared" ca="1" si="25"/>
        <v>174.94399999999999</v>
      </c>
      <c r="BR29" s="3">
        <f t="shared" ca="1" si="26"/>
        <v>37.440000000000005</v>
      </c>
      <c r="BS29" s="3">
        <f t="shared" ca="1" si="27"/>
        <v>112.95</v>
      </c>
      <c r="BT29" s="3">
        <f t="shared" ca="1" si="28"/>
        <v>34.32</v>
      </c>
      <c r="BU29" s="3">
        <f t="shared" ca="1" si="29"/>
        <v>7</v>
      </c>
      <c r="BV29" s="3">
        <f t="shared" ca="1" si="30"/>
        <v>4.3</v>
      </c>
      <c r="BW29" s="926">
        <v>0</v>
      </c>
      <c r="BX29" s="3">
        <f t="shared" ca="1" si="38"/>
        <v>16.590841949778437</v>
      </c>
      <c r="BY29" s="3">
        <f t="shared" ca="1" si="39"/>
        <v>66.894292893036621</v>
      </c>
      <c r="BZ29" s="3">
        <f t="shared" ca="1" si="15"/>
        <v>37.76262239729882</v>
      </c>
      <c r="CA29" s="3">
        <f t="shared" ca="1" si="16"/>
        <v>19.249999989412501</v>
      </c>
      <c r="CB29" s="3">
        <f t="shared" ca="1" si="40"/>
        <v>9.0267175572519083</v>
      </c>
      <c r="CC29" s="926">
        <f t="shared" si="18"/>
        <v>0</v>
      </c>
      <c r="CD29" s="1018">
        <f t="shared" ca="1" si="36"/>
        <v>165.20527478677829</v>
      </c>
      <c r="CE29" s="1018">
        <f t="shared" ca="1" si="37"/>
        <v>39.416033895928877</v>
      </c>
      <c r="CF29" s="3">
        <f t="shared" ca="1" si="21"/>
        <v>6.1386392604812157</v>
      </c>
      <c r="CG29" s="3">
        <f t="shared" ca="1" si="22"/>
        <v>10220.588823130804</v>
      </c>
    </row>
    <row r="30" spans="4:85" s="3" customFormat="1" x14ac:dyDescent="0.25">
      <c r="D30" s="491"/>
      <c r="E30" s="487"/>
      <c r="F30" s="491"/>
      <c r="G30" s="487"/>
      <c r="H30" s="491"/>
      <c r="I30" s="487"/>
      <c r="J30" s="491"/>
      <c r="K30" s="492"/>
      <c r="L30" s="486"/>
      <c r="M30" s="486"/>
      <c r="N30" s="486"/>
      <c r="O30" s="486" t="s">
        <v>18</v>
      </c>
      <c r="P30" s="488">
        <v>0.80827067699999999</v>
      </c>
      <c r="Q30" s="486" t="s">
        <v>7</v>
      </c>
      <c r="R30" s="488">
        <v>0.46289999999999998</v>
      </c>
      <c r="S30" s="486"/>
      <c r="T30" s="496">
        <v>4.8986798321472671E-4</v>
      </c>
      <c r="U30" s="487"/>
      <c r="V30" s="176">
        <f t="shared" si="31"/>
        <v>4.8986798321472671E-4</v>
      </c>
      <c r="W30" s="176">
        <f t="shared" si="32"/>
        <v>4.8986798321472671E-4</v>
      </c>
      <c r="X30" s="176">
        <f t="shared" si="33"/>
        <v>4.8986798321472671E-4</v>
      </c>
      <c r="Y30" s="958">
        <f>X30/Calculation_sheet!M$67</f>
        <v>4.898779992654976E-4</v>
      </c>
      <c r="Z30" s="176">
        <f ca="1">IF(AN30&gt;0,Y30*Calculation_sheet!C$87,0)</f>
        <v>0</v>
      </c>
      <c r="AA30" s="176">
        <f t="shared" ca="1" si="34"/>
        <v>4.898779992654976E-4</v>
      </c>
      <c r="AB30" s="176">
        <f ca="1">IF(AP30&gt;0,AA30*Calculation_sheet!C$94,0)</f>
        <v>0</v>
      </c>
      <c r="AC30" s="176">
        <f t="shared" ca="1" si="23"/>
        <v>4.898779992654976E-4</v>
      </c>
      <c r="AD30" s="958">
        <f ca="1">AC30*Calculation_sheet!C$99</f>
        <v>2.9392679955929856E-4</v>
      </c>
      <c r="AE30" s="176">
        <f t="shared" ca="1" si="23"/>
        <v>1.9595119970619904E-4</v>
      </c>
      <c r="AF30" s="176">
        <f t="shared" ca="1" si="35"/>
        <v>4.898779992654976E-4</v>
      </c>
      <c r="AG30" s="958">
        <f ca="1">AF30*User_sheet!B$77/100</f>
        <v>0</v>
      </c>
      <c r="AH30" s="313"/>
      <c r="AI30" s="908">
        <v>201</v>
      </c>
      <c r="AJ30" s="313"/>
      <c r="AK30" s="1020">
        <f t="shared" ca="1" si="12"/>
        <v>165.20527478677829</v>
      </c>
      <c r="AL30" s="954">
        <f ca="1">AK30/'201'!I$24</f>
        <v>0.86165584304375042</v>
      </c>
      <c r="AM30" s="954">
        <f ca="1">0.8*(AK30*30+'201'!D$17*0.34*30*1)</f>
        <v>6055.1269148826796</v>
      </c>
      <c r="AN30" s="954">
        <f ca="1">IF(AM30&lt;User_sheet!B$50,Y30,0)</f>
        <v>4.898779992654976E-4</v>
      </c>
      <c r="AO30" s="954">
        <f ca="1">20-(User_sheet!B$57/(AK30+'201'!D$17*1*0.34))</f>
        <v>-2.5924248860522141</v>
      </c>
      <c r="AP30" s="954">
        <f ca="1">IF(AO30&lt;User_sheet!B$59,0,BC30*AA30)</f>
        <v>0</v>
      </c>
      <c r="AQ30" s="313"/>
      <c r="AR30" s="908">
        <v>0.48</v>
      </c>
      <c r="AS30" s="908">
        <v>0.66</v>
      </c>
      <c r="AT30" s="908">
        <v>7.9</v>
      </c>
      <c r="AU30" s="908">
        <v>2.75</v>
      </c>
      <c r="AV30" s="908">
        <v>3.3</v>
      </c>
      <c r="AW30" s="908">
        <v>10916.451096266603</v>
      </c>
      <c r="AX30" s="908">
        <v>68297.998190252794</v>
      </c>
      <c r="AY30" s="908">
        <v>67352.647733737584</v>
      </c>
      <c r="AZ30" s="908">
        <v>0</v>
      </c>
      <c r="BA30" s="908">
        <v>0</v>
      </c>
      <c r="BB30" s="908">
        <v>0.6</v>
      </c>
      <c r="BC30" s="902">
        <v>0</v>
      </c>
      <c r="BD30" s="922">
        <v>1</v>
      </c>
      <c r="BE30" s="922">
        <v>0</v>
      </c>
      <c r="BF30" s="903">
        <v>0</v>
      </c>
      <c r="BG30" s="908">
        <v>1</v>
      </c>
      <c r="BH30" s="908">
        <v>0</v>
      </c>
      <c r="BI30" s="903">
        <v>0</v>
      </c>
      <c r="BJ30" s="908">
        <v>0</v>
      </c>
      <c r="BK30" s="908">
        <v>0</v>
      </c>
      <c r="BL30" s="908">
        <v>1</v>
      </c>
      <c r="BM30" s="903">
        <v>0</v>
      </c>
      <c r="BN30" s="958">
        <v>0.08</v>
      </c>
      <c r="BO30" s="959">
        <v>6</v>
      </c>
      <c r="BP30" s="3">
        <f t="shared" ca="1" si="24"/>
        <v>102.96</v>
      </c>
      <c r="BQ30" s="3">
        <f t="shared" ca="1" si="25"/>
        <v>174.94399999999999</v>
      </c>
      <c r="BR30" s="3">
        <f t="shared" ca="1" si="26"/>
        <v>37.440000000000005</v>
      </c>
      <c r="BS30" s="3">
        <f t="shared" ca="1" si="27"/>
        <v>112.95</v>
      </c>
      <c r="BT30" s="3">
        <f t="shared" ca="1" si="28"/>
        <v>34.32</v>
      </c>
      <c r="BU30" s="3">
        <f t="shared" ca="1" si="29"/>
        <v>7</v>
      </c>
      <c r="BV30" s="3">
        <f t="shared" ca="1" si="30"/>
        <v>4.3</v>
      </c>
      <c r="BW30" s="926">
        <v>0</v>
      </c>
      <c r="BX30" s="3">
        <f t="shared" ca="1" si="38"/>
        <v>16.590841949778437</v>
      </c>
      <c r="BY30" s="3">
        <f t="shared" ca="1" si="39"/>
        <v>66.894292893036621</v>
      </c>
      <c r="BZ30" s="3">
        <f t="shared" ca="1" si="15"/>
        <v>37.76262239729882</v>
      </c>
      <c r="CA30" s="3">
        <f t="shared" ca="1" si="16"/>
        <v>19.249999989412501</v>
      </c>
      <c r="CB30" s="3">
        <f t="shared" ca="1" si="40"/>
        <v>9.0267175572519083</v>
      </c>
      <c r="CC30" s="926">
        <f t="shared" si="18"/>
        <v>0</v>
      </c>
      <c r="CD30" s="1018">
        <f t="shared" ca="1" si="36"/>
        <v>165.20527478677829</v>
      </c>
      <c r="CE30" s="1018">
        <f t="shared" ca="1" si="37"/>
        <v>39.416033895928877</v>
      </c>
      <c r="CF30" s="3">
        <f t="shared" ca="1" si="21"/>
        <v>6.1386392604812157</v>
      </c>
      <c r="CG30" s="3">
        <f t="shared" ca="1" si="22"/>
        <v>10220.588823130804</v>
      </c>
    </row>
    <row r="31" spans="4:85" s="3" customFormat="1" x14ac:dyDescent="0.25">
      <c r="D31" s="491"/>
      <c r="E31" s="487"/>
      <c r="F31" s="491"/>
      <c r="G31" s="487"/>
      <c r="H31" s="491"/>
      <c r="I31" s="487"/>
      <c r="J31" s="491"/>
      <c r="K31" s="492"/>
      <c r="L31" s="486"/>
      <c r="M31" s="486"/>
      <c r="N31" s="486"/>
      <c r="O31" s="486"/>
      <c r="P31" s="486"/>
      <c r="Q31" s="486" t="s">
        <v>22</v>
      </c>
      <c r="R31" s="488">
        <v>0.53710000000000002</v>
      </c>
      <c r="S31" s="486"/>
      <c r="T31" s="496">
        <v>1.3482758098663623E-4</v>
      </c>
      <c r="U31" s="487"/>
      <c r="V31" s="176">
        <f t="shared" si="31"/>
        <v>1.3482758098663623E-4</v>
      </c>
      <c r="W31" s="176">
        <f t="shared" si="32"/>
        <v>1.3482758098663623E-4</v>
      </c>
      <c r="X31" s="176">
        <f t="shared" si="33"/>
        <v>1.3482758098663623E-4</v>
      </c>
      <c r="Y31" s="958">
        <f>X31/Calculation_sheet!M$67</f>
        <v>1.3483033772915208E-4</v>
      </c>
      <c r="Z31" s="176">
        <f ca="1">IF(AN31&gt;0,Y31*Calculation_sheet!C$87,0)</f>
        <v>0</v>
      </c>
      <c r="AA31" s="176">
        <f t="shared" ca="1" si="34"/>
        <v>1.3483033772915208E-4</v>
      </c>
      <c r="AB31" s="176">
        <f ca="1">IF(AP31&gt;0,AA31*Calculation_sheet!C$94,0)</f>
        <v>0</v>
      </c>
      <c r="AC31" s="176">
        <f t="shared" ca="1" si="23"/>
        <v>1.3483033772915208E-4</v>
      </c>
      <c r="AD31" s="958">
        <f ca="1">AC31*Calculation_sheet!C$99</f>
        <v>8.0898202637491243E-5</v>
      </c>
      <c r="AE31" s="176">
        <f t="shared" ca="1" si="23"/>
        <v>5.3932135091660838E-5</v>
      </c>
      <c r="AF31" s="176">
        <f t="shared" ca="1" si="35"/>
        <v>1.3483033772915208E-4</v>
      </c>
      <c r="AG31" s="958">
        <f ca="1">AF31*User_sheet!B$77/100</f>
        <v>0</v>
      </c>
      <c r="AH31" s="313"/>
      <c r="AI31" s="908">
        <v>201</v>
      </c>
      <c r="AJ31" s="313"/>
      <c r="AK31" s="1020">
        <f t="shared" ca="1" si="12"/>
        <v>165.20527478677829</v>
      </c>
      <c r="AL31" s="954">
        <f ca="1">AK31/'201'!I$24</f>
        <v>0.86165584304375042</v>
      </c>
      <c r="AM31" s="954">
        <f ca="1">0.8*(AK31*30+'201'!D$17*0.34*30*1)</f>
        <v>6055.1269148826796</v>
      </c>
      <c r="AN31" s="954">
        <f ca="1">IF(AM31&lt;User_sheet!B$50,Y31,0)</f>
        <v>1.3483033772915208E-4</v>
      </c>
      <c r="AO31" s="954">
        <f ca="1">20-(User_sheet!B$57/(AK31+'201'!D$17*1*0.34))</f>
        <v>-2.5924248860522141</v>
      </c>
      <c r="AP31" s="954">
        <f ca="1">IF(AO31&lt;User_sheet!B$59,0,BC31*AA31)</f>
        <v>0</v>
      </c>
      <c r="AQ31" s="313"/>
      <c r="AR31" s="908">
        <v>0.48</v>
      </c>
      <c r="AS31" s="908">
        <v>0.66</v>
      </c>
      <c r="AT31" s="908">
        <v>7.9</v>
      </c>
      <c r="AU31" s="908">
        <v>2.75</v>
      </c>
      <c r="AV31" s="908">
        <v>3.3</v>
      </c>
      <c r="AW31" s="908">
        <v>10916.451096266603</v>
      </c>
      <c r="AX31" s="908">
        <v>68297.998190252794</v>
      </c>
      <c r="AY31" s="908">
        <v>67352.647733737584</v>
      </c>
      <c r="AZ31" s="908">
        <v>0</v>
      </c>
      <c r="BA31" s="908">
        <v>0</v>
      </c>
      <c r="BB31" s="908">
        <v>0.6</v>
      </c>
      <c r="BC31" s="902">
        <v>0</v>
      </c>
      <c r="BD31" s="922">
        <v>1</v>
      </c>
      <c r="BE31" s="922">
        <v>0</v>
      </c>
      <c r="BF31" s="903">
        <v>0</v>
      </c>
      <c r="BG31" s="908">
        <v>0</v>
      </c>
      <c r="BH31" s="908">
        <v>1</v>
      </c>
      <c r="BI31" s="903">
        <v>0</v>
      </c>
      <c r="BJ31" s="908">
        <v>0</v>
      </c>
      <c r="BK31" s="908">
        <v>1</v>
      </c>
      <c r="BL31" s="908">
        <v>0</v>
      </c>
      <c r="BM31" s="903">
        <v>0</v>
      </c>
      <c r="BN31" s="958">
        <v>0.08</v>
      </c>
      <c r="BO31" s="959">
        <v>6</v>
      </c>
      <c r="BP31" s="3">
        <f t="shared" ca="1" si="24"/>
        <v>102.96</v>
      </c>
      <c r="BQ31" s="3">
        <f t="shared" ca="1" si="25"/>
        <v>174.94399999999999</v>
      </c>
      <c r="BR31" s="3">
        <f t="shared" ca="1" si="26"/>
        <v>37.440000000000005</v>
      </c>
      <c r="BS31" s="3">
        <f t="shared" ca="1" si="27"/>
        <v>112.95</v>
      </c>
      <c r="BT31" s="3">
        <f t="shared" ca="1" si="28"/>
        <v>34.32</v>
      </c>
      <c r="BU31" s="3">
        <f t="shared" ca="1" si="29"/>
        <v>7</v>
      </c>
      <c r="BV31" s="3">
        <f t="shared" ca="1" si="30"/>
        <v>4.3</v>
      </c>
      <c r="BW31" s="926">
        <v>0</v>
      </c>
      <c r="BX31" s="3">
        <f t="shared" ca="1" si="38"/>
        <v>16.590841949778437</v>
      </c>
      <c r="BY31" s="3">
        <f t="shared" ca="1" si="39"/>
        <v>66.894292893036621</v>
      </c>
      <c r="BZ31" s="3">
        <f t="shared" ca="1" si="15"/>
        <v>37.76262239729882</v>
      </c>
      <c r="CA31" s="3">
        <f t="shared" ca="1" si="16"/>
        <v>19.249999989412501</v>
      </c>
      <c r="CB31" s="3">
        <f t="shared" ca="1" si="40"/>
        <v>9.0267175572519083</v>
      </c>
      <c r="CC31" s="926">
        <f t="shared" si="18"/>
        <v>0</v>
      </c>
      <c r="CD31" s="1018">
        <f t="shared" ca="1" si="36"/>
        <v>165.20527478677829</v>
      </c>
      <c r="CE31" s="1018">
        <f t="shared" ca="1" si="37"/>
        <v>39.416033895928877</v>
      </c>
      <c r="CF31" s="3">
        <f t="shared" ca="1" si="21"/>
        <v>6.1386392604812157</v>
      </c>
      <c r="CG31" s="3">
        <f t="shared" ca="1" si="22"/>
        <v>10220.588823130804</v>
      </c>
    </row>
    <row r="32" spans="4:85" s="3" customFormat="1" x14ac:dyDescent="0.25">
      <c r="D32" s="491"/>
      <c r="E32" s="487"/>
      <c r="F32" s="491"/>
      <c r="G32" s="487"/>
      <c r="H32" s="491"/>
      <c r="I32" s="487"/>
      <c r="J32" s="491"/>
      <c r="K32" s="492"/>
      <c r="L32" s="486"/>
      <c r="M32" s="486" t="s">
        <v>22</v>
      </c>
      <c r="N32" s="488">
        <v>0.44680851100000002</v>
      </c>
      <c r="O32" s="486" t="s">
        <v>20</v>
      </c>
      <c r="P32" s="488">
        <v>0.19172932300000001</v>
      </c>
      <c r="Q32" s="486" t="s">
        <v>7</v>
      </c>
      <c r="R32" s="488">
        <v>0.46289999999999998</v>
      </c>
      <c r="S32" s="486"/>
      <c r="T32" s="496">
        <v>1.1620124229885293E-4</v>
      </c>
      <c r="U32" s="487"/>
      <c r="V32" s="176">
        <f t="shared" si="31"/>
        <v>1.1620124229885293E-4</v>
      </c>
      <c r="W32" s="176">
        <f t="shared" si="32"/>
        <v>1.1620124229885293E-4</v>
      </c>
      <c r="X32" s="176">
        <f t="shared" si="33"/>
        <v>1.1620124229885293E-4</v>
      </c>
      <c r="Y32" s="958">
        <f>X32/Calculation_sheet!M$67</f>
        <v>1.1620361819926363E-4</v>
      </c>
      <c r="Z32" s="176">
        <f ca="1">IF(AN32&gt;0,Y32*Calculation_sheet!C$87,0)</f>
        <v>0</v>
      </c>
      <c r="AA32" s="176">
        <f t="shared" ca="1" si="34"/>
        <v>1.1620361819926363E-4</v>
      </c>
      <c r="AB32" s="176">
        <f ca="1">IF(AP32&gt;0,AA32*Calculation_sheet!C$94,0)</f>
        <v>0</v>
      </c>
      <c r="AC32" s="176">
        <f t="shared" ca="1" si="23"/>
        <v>1.1620361819926363E-4</v>
      </c>
      <c r="AD32" s="958">
        <f ca="1">AC32*Calculation_sheet!C$99</f>
        <v>6.9722170919558178E-5</v>
      </c>
      <c r="AE32" s="176">
        <f t="shared" ca="1" si="23"/>
        <v>4.6481447279705452E-5</v>
      </c>
      <c r="AF32" s="176">
        <f t="shared" ca="1" si="35"/>
        <v>1.1620361819926363E-4</v>
      </c>
      <c r="AG32" s="958">
        <f ca="1">AF32*User_sheet!B$77/100</f>
        <v>0</v>
      </c>
      <c r="AH32" s="313"/>
      <c r="AI32" s="908">
        <v>201</v>
      </c>
      <c r="AJ32" s="313"/>
      <c r="AK32" s="1020">
        <f t="shared" ca="1" si="12"/>
        <v>165.20527478677829</v>
      </c>
      <c r="AL32" s="954">
        <f ca="1">AK32/'201'!I$24</f>
        <v>0.86165584304375042</v>
      </c>
      <c r="AM32" s="954">
        <f ca="1">0.8*(AK32*30+'201'!D$17*0.34*30*1)</f>
        <v>6055.1269148826796</v>
      </c>
      <c r="AN32" s="954">
        <f ca="1">IF(AM32&lt;User_sheet!B$50,Y32,0)</f>
        <v>1.1620361819926363E-4</v>
      </c>
      <c r="AO32" s="954">
        <f ca="1">20-(User_sheet!B$57/(AK32+'201'!D$17*1*0.34))</f>
        <v>-2.5924248860522141</v>
      </c>
      <c r="AP32" s="954">
        <f ca="1">IF(AO32&lt;User_sheet!B$59,0,BC32*AA32)</f>
        <v>0</v>
      </c>
      <c r="AQ32" s="313"/>
      <c r="AR32" s="908">
        <v>0.48</v>
      </c>
      <c r="AS32" s="908">
        <v>0.66</v>
      </c>
      <c r="AT32" s="908">
        <v>7.9</v>
      </c>
      <c r="AU32" s="908">
        <v>2.75</v>
      </c>
      <c r="AV32" s="908">
        <v>3.3</v>
      </c>
      <c r="AW32" s="908">
        <v>10916.451096266603</v>
      </c>
      <c r="AX32" s="908">
        <v>68297.998190252794</v>
      </c>
      <c r="AY32" s="908">
        <v>67352.647733737584</v>
      </c>
      <c r="AZ32" s="908">
        <v>0</v>
      </c>
      <c r="BA32" s="908">
        <v>0</v>
      </c>
      <c r="BB32" s="908">
        <v>0.6</v>
      </c>
      <c r="BC32" s="902">
        <v>0</v>
      </c>
      <c r="BD32" s="922">
        <v>1</v>
      </c>
      <c r="BE32" s="922">
        <v>0</v>
      </c>
      <c r="BF32" s="903">
        <v>0</v>
      </c>
      <c r="BG32" s="908">
        <v>0</v>
      </c>
      <c r="BH32" s="908">
        <v>1</v>
      </c>
      <c r="BI32" s="903">
        <v>0</v>
      </c>
      <c r="BJ32" s="908">
        <v>0</v>
      </c>
      <c r="BK32" s="908">
        <v>0</v>
      </c>
      <c r="BL32" s="908">
        <v>1</v>
      </c>
      <c r="BM32" s="903">
        <v>0</v>
      </c>
      <c r="BN32" s="958">
        <v>0.08</v>
      </c>
      <c r="BO32" s="959">
        <v>6</v>
      </c>
      <c r="BP32" s="3">
        <f t="shared" ca="1" si="24"/>
        <v>102.96</v>
      </c>
      <c r="BQ32" s="3">
        <f t="shared" ca="1" si="25"/>
        <v>174.94399999999999</v>
      </c>
      <c r="BR32" s="3">
        <f t="shared" ca="1" si="26"/>
        <v>37.440000000000005</v>
      </c>
      <c r="BS32" s="3">
        <f t="shared" ca="1" si="27"/>
        <v>112.95</v>
      </c>
      <c r="BT32" s="3">
        <f t="shared" ca="1" si="28"/>
        <v>34.32</v>
      </c>
      <c r="BU32" s="3">
        <f t="shared" ca="1" si="29"/>
        <v>7</v>
      </c>
      <c r="BV32" s="3">
        <f t="shared" ca="1" si="30"/>
        <v>4.3</v>
      </c>
      <c r="BW32" s="926">
        <v>0</v>
      </c>
      <c r="BX32" s="3">
        <f t="shared" ca="1" si="38"/>
        <v>16.590841949778437</v>
      </c>
      <c r="BY32" s="3">
        <f t="shared" ca="1" si="39"/>
        <v>66.894292893036621</v>
      </c>
      <c r="BZ32" s="3">
        <f t="shared" ca="1" si="15"/>
        <v>37.76262239729882</v>
      </c>
      <c r="CA32" s="3">
        <f t="shared" ca="1" si="16"/>
        <v>19.249999989412501</v>
      </c>
      <c r="CB32" s="3">
        <f t="shared" ca="1" si="40"/>
        <v>9.0267175572519083</v>
      </c>
      <c r="CC32" s="926">
        <f t="shared" si="18"/>
        <v>0</v>
      </c>
      <c r="CD32" s="1018">
        <f t="shared" ca="1" si="36"/>
        <v>165.20527478677829</v>
      </c>
      <c r="CE32" s="1018">
        <f t="shared" ca="1" si="37"/>
        <v>39.416033895928877</v>
      </c>
      <c r="CF32" s="3">
        <f t="shared" ca="1" si="21"/>
        <v>6.1386392604812157</v>
      </c>
      <c r="CG32" s="3">
        <f t="shared" ca="1" si="22"/>
        <v>10220.588823130804</v>
      </c>
    </row>
    <row r="33" spans="4:85" s="3" customFormat="1" x14ac:dyDescent="0.25">
      <c r="D33" s="491"/>
      <c r="E33" s="487"/>
      <c r="F33" s="491"/>
      <c r="G33" s="487"/>
      <c r="H33" s="491"/>
      <c r="I33" s="487"/>
      <c r="J33" s="491"/>
      <c r="K33" s="492"/>
      <c r="L33" s="486"/>
      <c r="M33" s="486" t="s">
        <v>7</v>
      </c>
      <c r="N33" s="488">
        <v>2.1276595999999998E-2</v>
      </c>
      <c r="O33" s="486" t="s">
        <v>23</v>
      </c>
      <c r="P33" s="488">
        <v>1</v>
      </c>
      <c r="Q33" s="486" t="s">
        <v>7</v>
      </c>
      <c r="R33" s="488">
        <v>1</v>
      </c>
      <c r="S33" s="486"/>
      <c r="T33" s="496">
        <v>6.2347028803483502E-5</v>
      </c>
      <c r="U33" s="487"/>
      <c r="V33" s="176">
        <f t="shared" si="31"/>
        <v>6.2347028803483502E-5</v>
      </c>
      <c r="W33" s="176">
        <f t="shared" si="32"/>
        <v>6.2347028803483502E-5</v>
      </c>
      <c r="X33" s="176">
        <f t="shared" si="33"/>
        <v>6.2347028803483502E-5</v>
      </c>
      <c r="Y33" s="958">
        <f>X33/Calculation_sheet!M$67</f>
        <v>6.2348303577560002E-5</v>
      </c>
      <c r="Z33" s="176">
        <f ca="1">IF(AN33&gt;0,Y33*Calculation_sheet!C$87,0)</f>
        <v>0</v>
      </c>
      <c r="AA33" s="176">
        <f t="shared" ca="1" si="34"/>
        <v>6.2348303577560002E-5</v>
      </c>
      <c r="AB33" s="176">
        <f ca="1">IF(AP33&gt;0,AA33*Calculation_sheet!C$94,0)</f>
        <v>0</v>
      </c>
      <c r="AC33" s="176">
        <f t="shared" ca="1" si="23"/>
        <v>6.2348303577560002E-5</v>
      </c>
      <c r="AD33" s="958">
        <f ca="1">AC33*Calculation_sheet!C$99</f>
        <v>3.7408982146536E-5</v>
      </c>
      <c r="AE33" s="176">
        <f t="shared" ca="1" si="23"/>
        <v>2.4939321431024002E-5</v>
      </c>
      <c r="AF33" s="176">
        <f t="shared" ca="1" si="35"/>
        <v>6.2348303577560002E-5</v>
      </c>
      <c r="AG33" s="958">
        <f ca="1">AF33*User_sheet!B$77/100</f>
        <v>0</v>
      </c>
      <c r="AH33" s="313"/>
      <c r="AI33" s="908">
        <v>201</v>
      </c>
      <c r="AJ33" s="313"/>
      <c r="AK33" s="1020">
        <f t="shared" ca="1" si="12"/>
        <v>165.20527478677829</v>
      </c>
      <c r="AL33" s="954">
        <f ca="1">AK33/'201'!I$24</f>
        <v>0.86165584304375042</v>
      </c>
      <c r="AM33" s="954">
        <f ca="1">0.8*(AK33*30+'201'!D$17*0.34*30*1)</f>
        <v>6055.1269148826796</v>
      </c>
      <c r="AN33" s="954">
        <f ca="1">IF(AM33&lt;User_sheet!B$50,Y33,0)</f>
        <v>6.2348303577560002E-5</v>
      </c>
      <c r="AO33" s="954">
        <f ca="1">20-(User_sheet!B$57/(AK33+'201'!D$17*1*0.34))</f>
        <v>-2.5924248860522141</v>
      </c>
      <c r="AP33" s="954">
        <f ca="1">IF(AO33&lt;User_sheet!B$59,0,BC33*AA33)</f>
        <v>0</v>
      </c>
      <c r="AQ33" s="313"/>
      <c r="AR33" s="908">
        <v>0.48</v>
      </c>
      <c r="AS33" s="908">
        <v>0.66</v>
      </c>
      <c r="AT33" s="908">
        <v>7.9</v>
      </c>
      <c r="AU33" s="908">
        <v>2.75</v>
      </c>
      <c r="AV33" s="908">
        <v>3.3</v>
      </c>
      <c r="AW33" s="908">
        <v>10916.451096266603</v>
      </c>
      <c r="AX33" s="908">
        <v>68297.998190252794</v>
      </c>
      <c r="AY33" s="908">
        <v>67352.647733737584</v>
      </c>
      <c r="AZ33" s="908">
        <v>0</v>
      </c>
      <c r="BA33" s="908">
        <v>0</v>
      </c>
      <c r="BB33" s="908">
        <v>0.6</v>
      </c>
      <c r="BC33" s="902">
        <v>0</v>
      </c>
      <c r="BD33" s="922">
        <v>0</v>
      </c>
      <c r="BE33" s="922">
        <v>1</v>
      </c>
      <c r="BF33" s="903">
        <v>0</v>
      </c>
      <c r="BG33" s="908">
        <v>0</v>
      </c>
      <c r="BH33" s="908">
        <v>0</v>
      </c>
      <c r="BI33" s="903">
        <v>1</v>
      </c>
      <c r="BJ33" s="908">
        <v>0</v>
      </c>
      <c r="BK33" s="908">
        <v>0</v>
      </c>
      <c r="BL33" s="908">
        <v>1</v>
      </c>
      <c r="BM33" s="903">
        <v>0</v>
      </c>
      <c r="BN33" s="958">
        <v>0.08</v>
      </c>
      <c r="BO33" s="959">
        <v>6</v>
      </c>
      <c r="BP33" s="3">
        <f t="shared" ca="1" si="24"/>
        <v>102.96</v>
      </c>
      <c r="BQ33" s="3">
        <f t="shared" ca="1" si="25"/>
        <v>174.94399999999999</v>
      </c>
      <c r="BR33" s="3">
        <f t="shared" ca="1" si="26"/>
        <v>37.440000000000005</v>
      </c>
      <c r="BS33" s="3">
        <f t="shared" ca="1" si="27"/>
        <v>112.95</v>
      </c>
      <c r="BT33" s="3">
        <f t="shared" ca="1" si="28"/>
        <v>34.32</v>
      </c>
      <c r="BU33" s="3">
        <f t="shared" ca="1" si="29"/>
        <v>7</v>
      </c>
      <c r="BV33" s="3">
        <f t="shared" ca="1" si="30"/>
        <v>4.3</v>
      </c>
      <c r="BW33" s="926">
        <v>0</v>
      </c>
      <c r="BX33" s="3">
        <f t="shared" ca="1" si="38"/>
        <v>16.590841949778437</v>
      </c>
      <c r="BY33" s="3">
        <f t="shared" ca="1" si="39"/>
        <v>66.894292893036621</v>
      </c>
      <c r="BZ33" s="3">
        <f t="shared" ca="1" si="15"/>
        <v>37.76262239729882</v>
      </c>
      <c r="CA33" s="3">
        <f t="shared" ca="1" si="16"/>
        <v>19.249999989412501</v>
      </c>
      <c r="CB33" s="3">
        <f t="shared" ca="1" si="40"/>
        <v>9.0267175572519083</v>
      </c>
      <c r="CC33" s="926">
        <f t="shared" si="18"/>
        <v>0</v>
      </c>
      <c r="CD33" s="1018">
        <f t="shared" ca="1" si="36"/>
        <v>165.20527478677829</v>
      </c>
      <c r="CE33" s="1018">
        <f t="shared" ca="1" si="37"/>
        <v>39.416033895928877</v>
      </c>
      <c r="CF33" s="3">
        <f t="shared" ca="1" si="21"/>
        <v>6.1386392604812157</v>
      </c>
      <c r="CG33" s="3">
        <f t="shared" ca="1" si="22"/>
        <v>10220.588823130804</v>
      </c>
    </row>
    <row r="34" spans="4:85" s="3" customFormat="1" x14ac:dyDescent="0.25">
      <c r="D34" s="491"/>
      <c r="E34" s="487"/>
      <c r="F34" s="491"/>
      <c r="G34" s="487"/>
      <c r="H34" s="491"/>
      <c r="I34" s="487"/>
      <c r="J34" s="491"/>
      <c r="K34" s="492"/>
      <c r="L34" s="486"/>
      <c r="M34" s="486"/>
      <c r="N34" s="486"/>
      <c r="O34" s="486" t="s">
        <v>18</v>
      </c>
      <c r="P34" s="488">
        <v>0.15910607099999999</v>
      </c>
      <c r="Q34" s="486" t="s">
        <v>17</v>
      </c>
      <c r="R34" s="488">
        <v>1</v>
      </c>
      <c r="S34" s="486"/>
      <c r="T34" s="496">
        <v>3.9679162699554191E-5</v>
      </c>
      <c r="U34" s="487"/>
      <c r="V34" s="176">
        <f t="shared" si="31"/>
        <v>3.9679162699554191E-5</v>
      </c>
      <c r="W34" s="176">
        <f t="shared" si="32"/>
        <v>3.9679162699554191E-5</v>
      </c>
      <c r="X34" s="176">
        <f t="shared" si="33"/>
        <v>3.9679162699554191E-5</v>
      </c>
      <c r="Y34" s="958">
        <f>X34/Calculation_sheet!M$67</f>
        <v>3.9679973996723563E-5</v>
      </c>
      <c r="Z34" s="176">
        <f ca="1">IF(AN34&gt;0,Y34*Calculation_sheet!C$87,0)</f>
        <v>0</v>
      </c>
      <c r="AA34" s="176">
        <f t="shared" ca="1" si="34"/>
        <v>3.9679973996723563E-5</v>
      </c>
      <c r="AB34" s="176">
        <f ca="1">IF(AP34&gt;0,AA34*Calculation_sheet!C$94,0)</f>
        <v>0</v>
      </c>
      <c r="AC34" s="176">
        <f t="shared" ca="1" si="23"/>
        <v>3.9679973996723563E-5</v>
      </c>
      <c r="AD34" s="958">
        <f ca="1">AC34*Calculation_sheet!C$99</f>
        <v>2.3807984398034137E-5</v>
      </c>
      <c r="AE34" s="176">
        <f t="shared" ca="1" si="23"/>
        <v>1.5871989598689426E-5</v>
      </c>
      <c r="AF34" s="176">
        <f t="shared" ca="1" si="35"/>
        <v>3.9679973996723563E-5</v>
      </c>
      <c r="AG34" s="958">
        <f ca="1">AF34*User_sheet!B$77/100</f>
        <v>0</v>
      </c>
      <c r="AH34" s="313"/>
      <c r="AI34" s="908">
        <v>201</v>
      </c>
      <c r="AJ34" s="313"/>
      <c r="AK34" s="1020">
        <f t="shared" ca="1" si="12"/>
        <v>165.20527478677829</v>
      </c>
      <c r="AL34" s="954">
        <f ca="1">AK34/'201'!I$24</f>
        <v>0.86165584304375042</v>
      </c>
      <c r="AM34" s="954">
        <f ca="1">0.8*(AK34*30+'201'!D$17*0.34*30*1)</f>
        <v>6055.1269148826796</v>
      </c>
      <c r="AN34" s="954">
        <f ca="1">IF(AM34&lt;User_sheet!B$50,Y34,0)</f>
        <v>3.9679973996723563E-5</v>
      </c>
      <c r="AO34" s="954">
        <f ca="1">20-(User_sheet!B$57/(AK34+'201'!D$17*1*0.34))</f>
        <v>-2.5924248860522141</v>
      </c>
      <c r="AP34" s="954">
        <f ca="1">IF(AO34&lt;User_sheet!B$59,0,BC34*AA34)</f>
        <v>0</v>
      </c>
      <c r="AQ34" s="313"/>
      <c r="AR34" s="908">
        <v>0.48</v>
      </c>
      <c r="AS34" s="908">
        <v>0.66</v>
      </c>
      <c r="AT34" s="908">
        <v>7.9</v>
      </c>
      <c r="AU34" s="908">
        <v>2.75</v>
      </c>
      <c r="AV34" s="908">
        <v>3.3</v>
      </c>
      <c r="AW34" s="908">
        <v>10916.451096266603</v>
      </c>
      <c r="AX34" s="908">
        <v>68297.998190252794</v>
      </c>
      <c r="AY34" s="908">
        <v>67352.647733737584</v>
      </c>
      <c r="AZ34" s="908">
        <v>0</v>
      </c>
      <c r="BA34" s="908">
        <v>0</v>
      </c>
      <c r="BB34" s="908">
        <v>0.6</v>
      </c>
      <c r="BC34" s="902">
        <v>0</v>
      </c>
      <c r="BD34" s="922">
        <v>0</v>
      </c>
      <c r="BE34" s="922">
        <v>0</v>
      </c>
      <c r="BF34" s="903">
        <v>1</v>
      </c>
      <c r="BG34" s="908">
        <v>1</v>
      </c>
      <c r="BH34" s="908">
        <v>0</v>
      </c>
      <c r="BI34" s="903">
        <v>0</v>
      </c>
      <c r="BJ34" s="908">
        <v>0</v>
      </c>
      <c r="BK34" s="908">
        <v>0</v>
      </c>
      <c r="BL34" s="908">
        <v>0</v>
      </c>
      <c r="BM34" s="903">
        <v>1</v>
      </c>
      <c r="BN34" s="958">
        <v>0.08</v>
      </c>
      <c r="BO34" s="959">
        <v>6</v>
      </c>
      <c r="BP34" s="3">
        <f t="shared" ca="1" si="24"/>
        <v>102.96</v>
      </c>
      <c r="BQ34" s="3">
        <f t="shared" ca="1" si="25"/>
        <v>174.94399999999999</v>
      </c>
      <c r="BR34" s="3">
        <f t="shared" ca="1" si="26"/>
        <v>37.440000000000005</v>
      </c>
      <c r="BS34" s="3">
        <f t="shared" ca="1" si="27"/>
        <v>112.95</v>
      </c>
      <c r="BT34" s="3">
        <f t="shared" ca="1" si="28"/>
        <v>34.32</v>
      </c>
      <c r="BU34" s="3">
        <f t="shared" ca="1" si="29"/>
        <v>7</v>
      </c>
      <c r="BV34" s="3">
        <f t="shared" ca="1" si="30"/>
        <v>4.3</v>
      </c>
      <c r="BW34" s="926">
        <v>0</v>
      </c>
      <c r="BX34" s="3">
        <f t="shared" ca="1" si="38"/>
        <v>16.590841949778437</v>
      </c>
      <c r="BY34" s="3">
        <f t="shared" ca="1" si="39"/>
        <v>66.894292893036621</v>
      </c>
      <c r="BZ34" s="3">
        <f t="shared" ca="1" si="15"/>
        <v>37.76262239729882</v>
      </c>
      <c r="CA34" s="3">
        <f t="shared" ca="1" si="16"/>
        <v>19.249999989412501</v>
      </c>
      <c r="CB34" s="3">
        <f t="shared" ca="1" si="40"/>
        <v>9.0267175572519083</v>
      </c>
      <c r="CC34" s="926">
        <f t="shared" si="18"/>
        <v>0</v>
      </c>
      <c r="CD34" s="1018">
        <f t="shared" ca="1" si="36"/>
        <v>165.20527478677829</v>
      </c>
      <c r="CE34" s="1018">
        <f t="shared" ca="1" si="37"/>
        <v>39.416033895928877</v>
      </c>
      <c r="CF34" s="3">
        <f t="shared" ca="1" si="21"/>
        <v>6.1386392604812157</v>
      </c>
      <c r="CG34" s="3">
        <f t="shared" ca="1" si="22"/>
        <v>10220.588823130804</v>
      </c>
    </row>
    <row r="35" spans="4:85" s="3" customFormat="1" x14ac:dyDescent="0.25">
      <c r="D35" s="491"/>
      <c r="E35" s="487"/>
      <c r="F35" s="491"/>
      <c r="G35" s="487"/>
      <c r="H35" s="491"/>
      <c r="I35" s="487"/>
      <c r="J35" s="491"/>
      <c r="K35" s="489" t="s">
        <v>228</v>
      </c>
      <c r="L35" s="490">
        <v>0.26100000000000001</v>
      </c>
      <c r="M35" s="486" t="s">
        <v>17</v>
      </c>
      <c r="N35" s="488">
        <v>8.5106382999999994E-2</v>
      </c>
      <c r="O35" s="486" t="s">
        <v>19</v>
      </c>
      <c r="P35" s="488">
        <v>0.84089392900000004</v>
      </c>
      <c r="Q35" s="486" t="s">
        <v>17</v>
      </c>
      <c r="R35" s="488">
        <v>1</v>
      </c>
      <c r="S35" s="486"/>
      <c r="T35" s="496">
        <v>2.0970894958406946E-4</v>
      </c>
      <c r="U35" s="487"/>
      <c r="V35" s="176">
        <f t="shared" si="31"/>
        <v>2.0970894958406946E-4</v>
      </c>
      <c r="W35" s="176">
        <f t="shared" si="32"/>
        <v>2.0970894958406946E-4</v>
      </c>
      <c r="X35" s="176">
        <f t="shared" si="33"/>
        <v>2.0970894958406946E-4</v>
      </c>
      <c r="Y35" s="958">
        <f>X35/Calculation_sheet!M$67</f>
        <v>2.097132373831462E-4</v>
      </c>
      <c r="Z35" s="176">
        <f ca="1">IF(AN35&gt;0,Y35*Calculation_sheet!C$87,0)</f>
        <v>0</v>
      </c>
      <c r="AA35" s="176">
        <f t="shared" ca="1" si="34"/>
        <v>2.097132373831462E-4</v>
      </c>
      <c r="AB35" s="176">
        <f ca="1">IF(AP35&gt;0,AA35*Calculation_sheet!C$94,0)</f>
        <v>0</v>
      </c>
      <c r="AC35" s="176">
        <f t="shared" ca="1" si="23"/>
        <v>2.097132373831462E-4</v>
      </c>
      <c r="AD35" s="958">
        <f ca="1">AC35*Calculation_sheet!C$99</f>
        <v>1.2582794242988772E-4</v>
      </c>
      <c r="AE35" s="176">
        <f t="shared" ca="1" si="23"/>
        <v>8.3885294953258473E-5</v>
      </c>
      <c r="AF35" s="176">
        <f t="shared" ca="1" si="35"/>
        <v>2.097132373831462E-4</v>
      </c>
      <c r="AG35" s="958">
        <f ca="1">AF35*User_sheet!B$77/100</f>
        <v>0</v>
      </c>
      <c r="AH35" s="313"/>
      <c r="AI35" s="908">
        <v>201</v>
      </c>
      <c r="AJ35" s="313"/>
      <c r="AK35" s="1020">
        <f t="shared" ca="1" si="12"/>
        <v>165.20527478677829</v>
      </c>
      <c r="AL35" s="954">
        <f ca="1">AK35/'201'!I$24</f>
        <v>0.86165584304375042</v>
      </c>
      <c r="AM35" s="954">
        <f ca="1">0.8*(AK35*30+'201'!D$17*0.34*30*1)</f>
        <v>6055.1269148826796</v>
      </c>
      <c r="AN35" s="954">
        <f ca="1">IF(AM35&lt;User_sheet!B$50,Y35,0)</f>
        <v>2.097132373831462E-4</v>
      </c>
      <c r="AO35" s="954">
        <f ca="1">20-(User_sheet!B$57/(AK35+'201'!D$17*1*0.34))</f>
        <v>-2.5924248860522141</v>
      </c>
      <c r="AP35" s="954">
        <f ca="1">IF(AO35&lt;User_sheet!B$59,0,BC35*AA35)</f>
        <v>0</v>
      </c>
      <c r="AQ35" s="313"/>
      <c r="AR35" s="908">
        <v>0.48</v>
      </c>
      <c r="AS35" s="908">
        <v>0.66</v>
      </c>
      <c r="AT35" s="908">
        <v>7.9</v>
      </c>
      <c r="AU35" s="908">
        <v>2.75</v>
      </c>
      <c r="AV35" s="908">
        <v>3.3</v>
      </c>
      <c r="AW35" s="908">
        <v>10916.451096266603</v>
      </c>
      <c r="AX35" s="908">
        <v>68297.998190252794</v>
      </c>
      <c r="AY35" s="908">
        <v>67352.647733737584</v>
      </c>
      <c r="AZ35" s="908">
        <v>0</v>
      </c>
      <c r="BA35" s="908">
        <v>0</v>
      </c>
      <c r="BB35" s="908">
        <v>0.6</v>
      </c>
      <c r="BC35" s="902">
        <v>0</v>
      </c>
      <c r="BD35" s="922">
        <v>0</v>
      </c>
      <c r="BE35" s="922">
        <v>0</v>
      </c>
      <c r="BF35" s="903">
        <v>1</v>
      </c>
      <c r="BG35" s="908">
        <v>0</v>
      </c>
      <c r="BH35" s="908">
        <v>1</v>
      </c>
      <c r="BI35" s="903">
        <v>0</v>
      </c>
      <c r="BJ35" s="908">
        <v>0</v>
      </c>
      <c r="BK35" s="908">
        <v>0</v>
      </c>
      <c r="BL35" s="908">
        <v>0</v>
      </c>
      <c r="BM35" s="903">
        <v>1</v>
      </c>
      <c r="BN35" s="958">
        <v>0.08</v>
      </c>
      <c r="BO35" s="959">
        <v>6</v>
      </c>
      <c r="BP35" s="3">
        <f t="shared" ca="1" si="24"/>
        <v>102.96</v>
      </c>
      <c r="BQ35" s="3">
        <f t="shared" ca="1" si="25"/>
        <v>174.94399999999999</v>
      </c>
      <c r="BR35" s="3">
        <f t="shared" ca="1" si="26"/>
        <v>37.440000000000005</v>
      </c>
      <c r="BS35" s="3">
        <f t="shared" ca="1" si="27"/>
        <v>112.95</v>
      </c>
      <c r="BT35" s="3">
        <f t="shared" ca="1" si="28"/>
        <v>34.32</v>
      </c>
      <c r="BU35" s="3">
        <f t="shared" ca="1" si="29"/>
        <v>7</v>
      </c>
      <c r="BV35" s="3">
        <f t="shared" ca="1" si="30"/>
        <v>4.3</v>
      </c>
      <c r="BW35" s="926">
        <v>0</v>
      </c>
      <c r="BX35" s="3">
        <f t="shared" ca="1" si="38"/>
        <v>16.590841949778437</v>
      </c>
      <c r="BY35" s="3">
        <f t="shared" ca="1" si="39"/>
        <v>66.894292893036621</v>
      </c>
      <c r="BZ35" s="3">
        <f t="shared" ca="1" si="15"/>
        <v>37.76262239729882</v>
      </c>
      <c r="CA35" s="3">
        <f t="shared" ca="1" si="16"/>
        <v>19.249999989412501</v>
      </c>
      <c r="CB35" s="3">
        <f t="shared" ca="1" si="40"/>
        <v>9.0267175572519083</v>
      </c>
      <c r="CC35" s="926">
        <f t="shared" si="18"/>
        <v>0</v>
      </c>
      <c r="CD35" s="1018">
        <f t="shared" ca="1" si="36"/>
        <v>165.20527478677829</v>
      </c>
      <c r="CE35" s="1018">
        <f t="shared" ca="1" si="37"/>
        <v>39.416033895928877</v>
      </c>
      <c r="CF35" s="3">
        <f t="shared" ca="1" si="21"/>
        <v>6.1386392604812157</v>
      </c>
      <c r="CG35" s="3">
        <f t="shared" ca="1" si="22"/>
        <v>10220.588823130804</v>
      </c>
    </row>
    <row r="36" spans="4:85" s="14" customFormat="1" x14ac:dyDescent="0.25">
      <c r="D36" s="494"/>
      <c r="E36" s="493"/>
      <c r="F36" s="494"/>
      <c r="G36" s="493"/>
      <c r="H36" s="494"/>
      <c r="I36" s="493"/>
      <c r="J36" s="494"/>
      <c r="K36" s="495"/>
      <c r="L36" s="494"/>
      <c r="M36" s="494"/>
      <c r="N36" s="494"/>
      <c r="O36" s="494"/>
      <c r="P36" s="494"/>
      <c r="Q36" s="494"/>
      <c r="R36" s="494"/>
      <c r="S36" s="494"/>
      <c r="T36" s="498"/>
      <c r="U36" s="493"/>
      <c r="V36" s="292"/>
      <c r="W36" s="292"/>
      <c r="X36" s="292"/>
      <c r="Y36" s="277"/>
      <c r="Z36" s="292"/>
      <c r="AA36" s="292"/>
      <c r="AB36" s="292"/>
      <c r="AC36" s="292"/>
      <c r="AD36" s="277"/>
      <c r="AE36" s="292"/>
      <c r="AF36" s="292"/>
      <c r="AG36" s="277"/>
      <c r="AH36" s="313"/>
      <c r="AI36" s="913"/>
      <c r="AJ36" s="313"/>
      <c r="AK36" s="1020">
        <f t="shared" si="12"/>
        <v>0</v>
      </c>
      <c r="AL36" s="941"/>
      <c r="AM36" s="941"/>
      <c r="AN36" s="986"/>
      <c r="AO36" s="986"/>
      <c r="AP36" s="986"/>
      <c r="AQ36" s="313"/>
      <c r="AR36" s="913"/>
      <c r="AS36" s="913"/>
      <c r="AT36" s="913"/>
      <c r="AU36" s="913"/>
      <c r="AV36" s="913"/>
      <c r="AW36" s="913"/>
      <c r="AX36" s="913"/>
      <c r="AY36" s="913"/>
      <c r="AZ36" s="913"/>
      <c r="BA36" s="913"/>
      <c r="BB36" s="913"/>
      <c r="BC36" s="897"/>
      <c r="BD36" s="898"/>
      <c r="BE36" s="898"/>
      <c r="BF36" s="373"/>
      <c r="BG36" s="913"/>
      <c r="BH36" s="913"/>
      <c r="BI36" s="373"/>
      <c r="BJ36" s="913"/>
      <c r="BK36" s="913"/>
      <c r="BL36" s="913"/>
      <c r="BM36" s="373"/>
      <c r="BN36" s="277"/>
      <c r="BO36" s="49"/>
      <c r="BW36" s="928"/>
      <c r="CC36" s="928"/>
      <c r="CD36" s="928"/>
      <c r="CE36" s="928"/>
    </row>
    <row r="37" spans="4:85" x14ac:dyDescent="0.25">
      <c r="D37" s="491"/>
      <c r="E37" s="487"/>
      <c r="F37" s="491"/>
      <c r="G37" s="487"/>
      <c r="H37" s="491"/>
      <c r="I37" s="487"/>
      <c r="J37" s="491"/>
      <c r="K37" s="492"/>
      <c r="L37" s="491"/>
      <c r="M37" s="491"/>
      <c r="N37" s="491"/>
      <c r="O37" s="491"/>
      <c r="P37" s="491"/>
      <c r="Q37" s="491" t="s">
        <v>16</v>
      </c>
      <c r="R37" s="491">
        <v>0.73860000000000003</v>
      </c>
      <c r="S37" s="491"/>
      <c r="T37" s="497">
        <v>0</v>
      </c>
      <c r="U37" s="487"/>
      <c r="V37" s="176">
        <f t="shared" si="8"/>
        <v>0</v>
      </c>
      <c r="W37" s="176">
        <f>V37</f>
        <v>0</v>
      </c>
      <c r="X37" s="176">
        <f>W37</f>
        <v>0</v>
      </c>
      <c r="Y37" s="34">
        <f>X37/Calculation_sheet!M$67</f>
        <v>0</v>
      </c>
      <c r="Z37" s="176">
        <f ca="1">IF(AN37&gt;0,Y37*Calculation_sheet!C$87,0)</f>
        <v>0</v>
      </c>
      <c r="AA37" s="176">
        <f ca="1">Y37-Z37</f>
        <v>0</v>
      </c>
      <c r="AB37" s="176">
        <f ca="1">IF(AP37&gt;0,AA37*Calculation_sheet!C$94,0)</f>
        <v>0</v>
      </c>
      <c r="AC37" s="176">
        <f t="shared" ref="AC37:AE47" ca="1" si="41">AA37-AB37</f>
        <v>0</v>
      </c>
      <c r="AD37" s="958">
        <f ca="1">AC37*Calculation_sheet!C$99</f>
        <v>0</v>
      </c>
      <c r="AE37" s="176">
        <f t="shared" ca="1" si="41"/>
        <v>0</v>
      </c>
      <c r="AF37" s="176">
        <f ca="1">Y37-AB37</f>
        <v>0</v>
      </c>
      <c r="AG37" s="958">
        <f ca="1">AF37*User_sheet!B$77/100</f>
        <v>0</v>
      </c>
      <c r="AH37" s="313"/>
      <c r="AI37" s="908">
        <v>201</v>
      </c>
      <c r="AJ37" s="313"/>
      <c r="AK37" s="1020">
        <f t="shared" ca="1" si="12"/>
        <v>308.21940176061173</v>
      </c>
      <c r="AL37" s="954">
        <f ca="1">AK37/'201'!I$24</f>
        <v>1.6075700295238706</v>
      </c>
      <c r="AM37" s="954">
        <f ca="1">0.8*(AK37*30+'201'!D$17*0.34*30*1)</f>
        <v>9487.4659622546806</v>
      </c>
      <c r="AN37" s="954">
        <f ca="1">IF(AM37&lt;User_sheet!B$50,Y37,0)</f>
        <v>0</v>
      </c>
      <c r="AO37" s="954">
        <f ca="1">20-(User_sheet!B$57/(AK37+'201'!D$17*1*0.34))</f>
        <v>5.580975937700261</v>
      </c>
      <c r="AP37" s="954">
        <f ca="1">IF(AO37&lt;User_sheet!B$59,0,BC37*AA37)</f>
        <v>0</v>
      </c>
      <c r="AQ37" s="313"/>
      <c r="AR37" s="909">
        <v>0.48</v>
      </c>
      <c r="AS37" s="909">
        <v>3.7</v>
      </c>
      <c r="AT37" s="909">
        <v>0.89</v>
      </c>
      <c r="AU37" s="909">
        <v>2.75</v>
      </c>
      <c r="AV37" s="909">
        <v>3.3</v>
      </c>
      <c r="AW37" s="909">
        <v>10916.451096266603</v>
      </c>
      <c r="AX37" s="909">
        <v>76466.30421774846</v>
      </c>
      <c r="AY37" s="909">
        <v>79015.992973719694</v>
      </c>
      <c r="AZ37" s="909">
        <v>0</v>
      </c>
      <c r="BA37" s="909">
        <v>0</v>
      </c>
      <c r="BB37" s="909">
        <v>0.6</v>
      </c>
      <c r="BC37" s="919">
        <v>1</v>
      </c>
      <c r="BD37" s="920">
        <v>0</v>
      </c>
      <c r="BE37" s="920">
        <v>0</v>
      </c>
      <c r="BF37" s="921">
        <v>0</v>
      </c>
      <c r="BG37" s="909">
        <v>1</v>
      </c>
      <c r="BH37" s="909">
        <v>0</v>
      </c>
      <c r="BI37" s="921">
        <v>0</v>
      </c>
      <c r="BJ37" s="909">
        <v>1</v>
      </c>
      <c r="BK37" s="909">
        <v>0</v>
      </c>
      <c r="BL37" s="909">
        <v>0</v>
      </c>
      <c r="BM37" s="921">
        <v>0</v>
      </c>
      <c r="BN37" s="958">
        <v>0</v>
      </c>
      <c r="BO37" s="959">
        <v>18</v>
      </c>
      <c r="BP37">
        <f t="shared" ref="BP37:BP47" ca="1" si="42">INDIRECT("'"&amp;AI37&amp;"'!"&amp;"B2")</f>
        <v>102.96</v>
      </c>
      <c r="BQ37">
        <f t="shared" ref="BQ37:BQ47" ca="1" si="43">INDIRECT("'"&amp;AI37&amp;"'!"&amp;"C12")+INDIRECT("'"&amp;AI37&amp;"'!"&amp;"C13")+INDIRECT("'"&amp;AI37&amp;"'!"&amp;"C14")+INDIRECT("'"&amp;AI37&amp;"'!"&amp;"C15")+INDIRECT("'"&amp;AI37&amp;"'!"&amp;"C17")</f>
        <v>174.94399999999999</v>
      </c>
      <c r="BR37">
        <f t="shared" ref="BR37:BR47" ca="1" si="44">INDIRECT("'"&amp;AI37&amp;"'!"&amp;"G5")</f>
        <v>37.440000000000005</v>
      </c>
      <c r="BS37">
        <f t="shared" ref="BS37:BS47" ca="1" si="45">INDIRECT("'"&amp;AI37&amp;"'!"&amp;"G4")</f>
        <v>112.95</v>
      </c>
      <c r="BT37">
        <f t="shared" ref="BT37:BT47" ca="1" si="46">INDIRECT("'"&amp;AI37&amp;"'!"&amp;"G6")</f>
        <v>34.32</v>
      </c>
      <c r="BU37">
        <f t="shared" ref="BU37:BU47" ca="1" si="47">INDIRECT("'"&amp;AI37&amp;"'!"&amp;"G2")</f>
        <v>7</v>
      </c>
      <c r="BV37">
        <f t="shared" ref="BV37:BV47" ca="1" si="48">INDIRECT("'"&amp;AI37&amp;"'!"&amp;"G3")</f>
        <v>4.3</v>
      </c>
      <c r="BW37" s="1018">
        <v>0</v>
      </c>
      <c r="BX37">
        <f t="shared" ca="1" si="38"/>
        <v>16.590841949778437</v>
      </c>
      <c r="BY37">
        <f t="shared" ca="1" si="39"/>
        <v>254.61921202274573</v>
      </c>
      <c r="BZ37">
        <f t="shared" ca="1" si="15"/>
        <v>8.7326302414231254</v>
      </c>
      <c r="CA37">
        <f t="shared" ca="1" si="16"/>
        <v>19.249999989412501</v>
      </c>
      <c r="CB37">
        <f t="shared" ca="1" si="40"/>
        <v>9.0267175572519083</v>
      </c>
      <c r="CC37" s="1018">
        <f t="shared" si="18"/>
        <v>0</v>
      </c>
      <c r="CD37" s="1018">
        <f ca="1">SUM(BX37:CC37)+(BR37+BS37+BT37+BU37+BV37)*BN37</f>
        <v>308.21940176061173</v>
      </c>
      <c r="CE37" s="1018">
        <f ca="1">0.34*BO37*(1/25)^0.66*(BR37+BS37+BU37+BV37)</f>
        <v>118.24810168778664</v>
      </c>
      <c r="CF37">
        <f t="shared" ca="1" si="21"/>
        <v>12.794025103451952</v>
      </c>
      <c r="CG37">
        <f t="shared" ca="1" si="22"/>
        <v>21301.540036243361</v>
      </c>
    </row>
    <row r="38" spans="4:85" x14ac:dyDescent="0.25">
      <c r="D38" s="486"/>
      <c r="E38" s="485"/>
      <c r="F38" s="491"/>
      <c r="G38" s="487"/>
      <c r="H38" s="491"/>
      <c r="I38" s="487"/>
      <c r="J38" s="491"/>
      <c r="K38" s="492"/>
      <c r="L38" s="491"/>
      <c r="M38" s="486"/>
      <c r="N38" s="486"/>
      <c r="O38" s="486" t="s">
        <v>18</v>
      </c>
      <c r="P38" s="488">
        <v>0.62953995200000001</v>
      </c>
      <c r="Q38" s="486" t="s">
        <v>7</v>
      </c>
      <c r="R38" s="488">
        <v>0.26140000000000002</v>
      </c>
      <c r="S38" s="486"/>
      <c r="T38" s="496">
        <v>0</v>
      </c>
      <c r="U38" s="485"/>
      <c r="V38" s="176">
        <f t="shared" si="8"/>
        <v>0</v>
      </c>
      <c r="W38" s="176">
        <f t="shared" ref="W38:X47" si="49">V38</f>
        <v>0</v>
      </c>
      <c r="X38" s="176">
        <f t="shared" si="49"/>
        <v>0</v>
      </c>
      <c r="Y38" s="34">
        <f>X38/Calculation_sheet!M$67</f>
        <v>0</v>
      </c>
      <c r="Z38" s="176">
        <f ca="1">IF(AN38&gt;0,Y38*Calculation_sheet!C$87,0)</f>
        <v>0</v>
      </c>
      <c r="AA38" s="176">
        <f t="shared" ref="AA38:AA47" ca="1" si="50">Y38-Z38</f>
        <v>0</v>
      </c>
      <c r="AB38" s="176">
        <f ca="1">IF(AP38&gt;0,AA38*Calculation_sheet!C$94,0)</f>
        <v>0</v>
      </c>
      <c r="AC38" s="176">
        <f t="shared" ca="1" si="41"/>
        <v>0</v>
      </c>
      <c r="AD38" s="958">
        <f ca="1">AC38*Calculation_sheet!C$99</f>
        <v>0</v>
      </c>
      <c r="AE38" s="176">
        <f t="shared" ca="1" si="41"/>
        <v>0</v>
      </c>
      <c r="AF38" s="176">
        <f t="shared" ref="AF38:AF47" ca="1" si="51">Y38-AB38</f>
        <v>0</v>
      </c>
      <c r="AG38" s="958">
        <f ca="1">AF38*User_sheet!B$77/100</f>
        <v>0</v>
      </c>
      <c r="AH38" s="313"/>
      <c r="AI38" s="908">
        <v>201</v>
      </c>
      <c r="AJ38" s="313"/>
      <c r="AK38" s="1020">
        <f t="shared" ca="1" si="12"/>
        <v>308.21940176061173</v>
      </c>
      <c r="AL38" s="954">
        <f ca="1">AK38/'201'!I$24</f>
        <v>1.6075700295238706</v>
      </c>
      <c r="AM38" s="954">
        <f ca="1">0.8*(AK38*30+'201'!D$17*0.34*30*1)</f>
        <v>9487.4659622546806</v>
      </c>
      <c r="AN38" s="954">
        <f ca="1">IF(AM38&lt;User_sheet!B$50,Y38,0)</f>
        <v>0</v>
      </c>
      <c r="AO38" s="954">
        <f ca="1">20-(User_sheet!B$57/(AK38+'201'!D$17*1*0.34))</f>
        <v>5.580975937700261</v>
      </c>
      <c r="AP38" s="954">
        <f ca="1">IF(AO38&lt;User_sheet!B$59,0,BC38*AA38)</f>
        <v>0</v>
      </c>
      <c r="AQ38" s="313"/>
      <c r="AR38" s="909">
        <v>0.48</v>
      </c>
      <c r="AS38" s="909">
        <v>3.7</v>
      </c>
      <c r="AT38" s="909">
        <v>0.89</v>
      </c>
      <c r="AU38" s="909">
        <v>2.75</v>
      </c>
      <c r="AV38" s="909">
        <v>3.3</v>
      </c>
      <c r="AW38" s="909">
        <v>10916.451096266603</v>
      </c>
      <c r="AX38" s="909">
        <v>76466.30421774846</v>
      </c>
      <c r="AY38" s="909">
        <v>79015.992973719694</v>
      </c>
      <c r="AZ38" s="909">
        <v>0</v>
      </c>
      <c r="BA38" s="909">
        <v>0</v>
      </c>
      <c r="BB38" s="909">
        <v>0.6</v>
      </c>
      <c r="BC38" s="919">
        <v>1</v>
      </c>
      <c r="BD38" s="920">
        <v>0</v>
      </c>
      <c r="BE38" s="920">
        <v>0</v>
      </c>
      <c r="BF38" s="921">
        <v>0</v>
      </c>
      <c r="BG38" s="909">
        <v>1</v>
      </c>
      <c r="BH38" s="909">
        <v>0</v>
      </c>
      <c r="BI38" s="921">
        <v>0</v>
      </c>
      <c r="BJ38" s="909">
        <v>0</v>
      </c>
      <c r="BK38" s="909">
        <v>0</v>
      </c>
      <c r="BL38" s="909">
        <v>1</v>
      </c>
      <c r="BM38" s="921">
        <v>0</v>
      </c>
      <c r="BN38" s="958">
        <v>0</v>
      </c>
      <c r="BO38" s="959">
        <v>18</v>
      </c>
      <c r="BP38">
        <f t="shared" ca="1" si="42"/>
        <v>102.96</v>
      </c>
      <c r="BQ38">
        <f t="shared" ca="1" si="43"/>
        <v>174.94399999999999</v>
      </c>
      <c r="BR38">
        <f t="shared" ca="1" si="44"/>
        <v>37.440000000000005</v>
      </c>
      <c r="BS38">
        <f t="shared" ca="1" si="45"/>
        <v>112.95</v>
      </c>
      <c r="BT38">
        <f t="shared" ca="1" si="46"/>
        <v>34.32</v>
      </c>
      <c r="BU38">
        <f t="shared" ca="1" si="47"/>
        <v>7</v>
      </c>
      <c r="BV38">
        <f t="shared" ca="1" si="48"/>
        <v>4.3</v>
      </c>
      <c r="BW38" s="1018">
        <v>0</v>
      </c>
      <c r="BX38">
        <f t="shared" ca="1" si="38"/>
        <v>16.590841949778437</v>
      </c>
      <c r="BY38">
        <f t="shared" ca="1" si="39"/>
        <v>254.61921202274573</v>
      </c>
      <c r="BZ38">
        <f t="shared" ca="1" si="15"/>
        <v>8.7326302414231254</v>
      </c>
      <c r="CA38">
        <f t="shared" ca="1" si="16"/>
        <v>19.249999989412501</v>
      </c>
      <c r="CB38">
        <f t="shared" ca="1" si="40"/>
        <v>9.0267175572519083</v>
      </c>
      <c r="CC38" s="1018">
        <f t="shared" si="18"/>
        <v>0</v>
      </c>
      <c r="CD38" s="1018">
        <f t="shared" ref="CD38:CD47" ca="1" si="52">SUM(BX38:CC38)+(BR38+BS38+BT38+BU38+BV38)*BN38</f>
        <v>308.21940176061173</v>
      </c>
      <c r="CE38" s="1018">
        <f t="shared" ref="CE38:CE47" ca="1" si="53">0.34*BO38*(1/25)^0.66*(BR38+BS38+BU38+BV38)</f>
        <v>118.24810168778664</v>
      </c>
      <c r="CF38">
        <f t="shared" ca="1" si="21"/>
        <v>12.794025103451952</v>
      </c>
      <c r="CG38">
        <f t="shared" ca="1" si="22"/>
        <v>21301.540036243361</v>
      </c>
    </row>
    <row r="39" spans="4:85" x14ac:dyDescent="0.25">
      <c r="D39" s="486"/>
      <c r="E39" s="485"/>
      <c r="F39" s="491"/>
      <c r="G39" s="487"/>
      <c r="H39" s="491"/>
      <c r="I39" s="487"/>
      <c r="J39" s="491"/>
      <c r="K39" s="492"/>
      <c r="L39" s="491"/>
      <c r="M39" s="486"/>
      <c r="N39" s="486"/>
      <c r="O39" s="486"/>
      <c r="P39" s="486"/>
      <c r="Q39" s="486" t="s">
        <v>16</v>
      </c>
      <c r="R39" s="488">
        <v>0.73860000000000003</v>
      </c>
      <c r="S39" s="486"/>
      <c r="T39" s="496">
        <v>0</v>
      </c>
      <c r="U39" s="485"/>
      <c r="V39" s="176">
        <f t="shared" si="8"/>
        <v>0</v>
      </c>
      <c r="W39" s="176">
        <f t="shared" si="49"/>
        <v>0</v>
      </c>
      <c r="X39" s="176">
        <f t="shared" si="49"/>
        <v>0</v>
      </c>
      <c r="Y39" s="34">
        <f>X39/Calculation_sheet!M$67</f>
        <v>0</v>
      </c>
      <c r="Z39" s="176">
        <f ca="1">IF(AN39&gt;0,Y39*Calculation_sheet!C$87,0)</f>
        <v>0</v>
      </c>
      <c r="AA39" s="176">
        <f t="shared" ca="1" si="50"/>
        <v>0</v>
      </c>
      <c r="AB39" s="176">
        <f ca="1">IF(AP39&gt;0,AA39*Calculation_sheet!C$94,0)</f>
        <v>0</v>
      </c>
      <c r="AC39" s="176">
        <f t="shared" ca="1" si="41"/>
        <v>0</v>
      </c>
      <c r="AD39" s="958">
        <f ca="1">AC39*Calculation_sheet!C$99</f>
        <v>0</v>
      </c>
      <c r="AE39" s="176">
        <f t="shared" ca="1" si="41"/>
        <v>0</v>
      </c>
      <c r="AF39" s="176">
        <f t="shared" ca="1" si="51"/>
        <v>0</v>
      </c>
      <c r="AG39" s="958">
        <f ca="1">AF39*User_sheet!B$77/100</f>
        <v>0</v>
      </c>
      <c r="AH39" s="313"/>
      <c r="AI39" s="908">
        <v>201</v>
      </c>
      <c r="AJ39" s="313"/>
      <c r="AK39" s="1020">
        <f t="shared" ca="1" si="12"/>
        <v>308.21940176061173</v>
      </c>
      <c r="AL39" s="954">
        <f ca="1">AK39/'201'!I$24</f>
        <v>1.6075700295238706</v>
      </c>
      <c r="AM39" s="954">
        <f ca="1">0.8*(AK39*30+'201'!D$17*0.34*30*1)</f>
        <v>9487.4659622546806</v>
      </c>
      <c r="AN39" s="954">
        <f ca="1">IF(AM39&lt;User_sheet!B$50,Y39,0)</f>
        <v>0</v>
      </c>
      <c r="AO39" s="954">
        <f ca="1">20-(User_sheet!B$57/(AK39+'201'!D$17*1*0.34))</f>
        <v>5.580975937700261</v>
      </c>
      <c r="AP39" s="954">
        <f ca="1">IF(AO39&lt;User_sheet!B$59,0,BC39*AA39)</f>
        <v>0</v>
      </c>
      <c r="AQ39" s="313"/>
      <c r="AR39" s="909">
        <v>0.48</v>
      </c>
      <c r="AS39" s="909">
        <v>3.7</v>
      </c>
      <c r="AT39" s="909">
        <v>0.89</v>
      </c>
      <c r="AU39" s="909">
        <v>2.75</v>
      </c>
      <c r="AV39" s="909">
        <v>3.3</v>
      </c>
      <c r="AW39" s="909">
        <v>10916.451096266603</v>
      </c>
      <c r="AX39" s="909">
        <v>76466.30421774846</v>
      </c>
      <c r="AY39" s="909">
        <v>79015.992973719694</v>
      </c>
      <c r="AZ39" s="909">
        <v>0</v>
      </c>
      <c r="BA39" s="909">
        <v>0</v>
      </c>
      <c r="BB39" s="909">
        <v>0.6</v>
      </c>
      <c r="BC39" s="919">
        <v>1</v>
      </c>
      <c r="BD39" s="920">
        <v>0</v>
      </c>
      <c r="BE39" s="920">
        <v>0</v>
      </c>
      <c r="BF39" s="921">
        <v>0</v>
      </c>
      <c r="BG39" s="909">
        <v>0</v>
      </c>
      <c r="BH39" s="909">
        <v>1</v>
      </c>
      <c r="BI39" s="921">
        <v>0</v>
      </c>
      <c r="BJ39" s="909">
        <v>1</v>
      </c>
      <c r="BK39" s="909">
        <v>0</v>
      </c>
      <c r="BL39" s="909">
        <v>0</v>
      </c>
      <c r="BM39" s="921">
        <v>0</v>
      </c>
      <c r="BN39" s="958">
        <v>0</v>
      </c>
      <c r="BO39" s="959">
        <v>18</v>
      </c>
      <c r="BP39">
        <f t="shared" ca="1" si="42"/>
        <v>102.96</v>
      </c>
      <c r="BQ39">
        <f t="shared" ca="1" si="43"/>
        <v>174.94399999999999</v>
      </c>
      <c r="BR39">
        <f t="shared" ca="1" si="44"/>
        <v>37.440000000000005</v>
      </c>
      <c r="BS39">
        <f t="shared" ca="1" si="45"/>
        <v>112.95</v>
      </c>
      <c r="BT39">
        <f t="shared" ca="1" si="46"/>
        <v>34.32</v>
      </c>
      <c r="BU39">
        <f t="shared" ca="1" si="47"/>
        <v>7</v>
      </c>
      <c r="BV39">
        <f t="shared" ca="1" si="48"/>
        <v>4.3</v>
      </c>
      <c r="BW39" s="1018">
        <v>0</v>
      </c>
      <c r="BX39">
        <f t="shared" ca="1" si="38"/>
        <v>16.590841949778437</v>
      </c>
      <c r="BY39">
        <f t="shared" ca="1" si="39"/>
        <v>254.61921202274573</v>
      </c>
      <c r="BZ39">
        <f t="shared" ca="1" si="15"/>
        <v>8.7326302414231254</v>
      </c>
      <c r="CA39">
        <f t="shared" ca="1" si="16"/>
        <v>19.249999989412501</v>
      </c>
      <c r="CB39">
        <f t="shared" ca="1" si="40"/>
        <v>9.0267175572519083</v>
      </c>
      <c r="CC39" s="1018">
        <f t="shared" si="18"/>
        <v>0</v>
      </c>
      <c r="CD39" s="1018">
        <f t="shared" ca="1" si="52"/>
        <v>308.21940176061173</v>
      </c>
      <c r="CE39" s="1018">
        <f t="shared" ca="1" si="53"/>
        <v>118.24810168778664</v>
      </c>
      <c r="CF39">
        <f t="shared" ca="1" si="21"/>
        <v>12.794025103451952</v>
      </c>
      <c r="CG39">
        <f t="shared" ca="1" si="22"/>
        <v>21301.540036243361</v>
      </c>
    </row>
    <row r="40" spans="4:85" x14ac:dyDescent="0.25">
      <c r="D40" s="486"/>
      <c r="E40" s="485"/>
      <c r="F40" s="491"/>
      <c r="G40" s="487"/>
      <c r="H40" s="491"/>
      <c r="I40" s="487"/>
      <c r="J40" s="491"/>
      <c r="K40" s="492"/>
      <c r="L40" s="491"/>
      <c r="M40" s="486" t="s">
        <v>16</v>
      </c>
      <c r="N40" s="488">
        <v>0.44680851100000002</v>
      </c>
      <c r="O40" s="486" t="s">
        <v>19</v>
      </c>
      <c r="P40" s="488">
        <v>0.37046004799999999</v>
      </c>
      <c r="Q40" s="486" t="s">
        <v>7</v>
      </c>
      <c r="R40" s="488">
        <v>0.26140000000000002</v>
      </c>
      <c r="S40" s="486"/>
      <c r="T40" s="496">
        <v>0</v>
      </c>
      <c r="U40" s="485"/>
      <c r="V40" s="176">
        <f t="shared" si="8"/>
        <v>0</v>
      </c>
      <c r="W40" s="176">
        <f t="shared" si="49"/>
        <v>0</v>
      </c>
      <c r="X40" s="176">
        <f t="shared" si="49"/>
        <v>0</v>
      </c>
      <c r="Y40" s="34">
        <f>X40/Calculation_sheet!M$67</f>
        <v>0</v>
      </c>
      <c r="Z40" s="176">
        <f ca="1">IF(AN40&gt;0,Y40*Calculation_sheet!C$87,0)</f>
        <v>0</v>
      </c>
      <c r="AA40" s="176">
        <f t="shared" ca="1" si="50"/>
        <v>0</v>
      </c>
      <c r="AB40" s="176">
        <f ca="1">IF(AP40&gt;0,AA40*Calculation_sheet!C$94,0)</f>
        <v>0</v>
      </c>
      <c r="AC40" s="176">
        <f t="shared" ca="1" si="41"/>
        <v>0</v>
      </c>
      <c r="AD40" s="958">
        <f ca="1">AC40*Calculation_sheet!C$99</f>
        <v>0</v>
      </c>
      <c r="AE40" s="176">
        <f t="shared" ca="1" si="41"/>
        <v>0</v>
      </c>
      <c r="AF40" s="176">
        <f t="shared" ca="1" si="51"/>
        <v>0</v>
      </c>
      <c r="AG40" s="958">
        <f ca="1">AF40*User_sheet!B$77/100</f>
        <v>0</v>
      </c>
      <c r="AH40" s="313"/>
      <c r="AI40" s="908">
        <v>201</v>
      </c>
      <c r="AJ40" s="313"/>
      <c r="AK40" s="1020">
        <f t="shared" ca="1" si="12"/>
        <v>308.21940176061173</v>
      </c>
      <c r="AL40" s="954">
        <f ca="1">AK40/'201'!I$24</f>
        <v>1.6075700295238706</v>
      </c>
      <c r="AM40" s="954">
        <f ca="1">0.8*(AK40*30+'201'!D$17*0.34*30*1)</f>
        <v>9487.4659622546806</v>
      </c>
      <c r="AN40" s="954">
        <f ca="1">IF(AM40&lt;User_sheet!B$50,Y40,0)</f>
        <v>0</v>
      </c>
      <c r="AO40" s="954">
        <f ca="1">20-(User_sheet!B$57/(AK40+'201'!D$17*1*0.34))</f>
        <v>5.580975937700261</v>
      </c>
      <c r="AP40" s="954">
        <f ca="1">IF(AO40&lt;User_sheet!B$59,0,BC40*AA40)</f>
        <v>0</v>
      </c>
      <c r="AQ40" s="313"/>
      <c r="AR40" s="909">
        <v>0.48</v>
      </c>
      <c r="AS40" s="909">
        <v>3.7</v>
      </c>
      <c r="AT40" s="909">
        <v>0.89</v>
      </c>
      <c r="AU40" s="909">
        <v>2.75</v>
      </c>
      <c r="AV40" s="909">
        <v>3.3</v>
      </c>
      <c r="AW40" s="909">
        <v>10916.451096266603</v>
      </c>
      <c r="AX40" s="909">
        <v>76466.30421774846</v>
      </c>
      <c r="AY40" s="909">
        <v>79015.992973719694</v>
      </c>
      <c r="AZ40" s="909">
        <v>0</v>
      </c>
      <c r="BA40" s="909">
        <v>0</v>
      </c>
      <c r="BB40" s="909">
        <v>0.6</v>
      </c>
      <c r="BC40" s="919">
        <v>1</v>
      </c>
      <c r="BD40" s="920">
        <v>0</v>
      </c>
      <c r="BE40" s="920">
        <v>0</v>
      </c>
      <c r="BF40" s="921">
        <v>0</v>
      </c>
      <c r="BG40" s="909">
        <v>0</v>
      </c>
      <c r="BH40" s="909">
        <v>1</v>
      </c>
      <c r="BI40" s="921">
        <v>0</v>
      </c>
      <c r="BJ40" s="909">
        <v>0</v>
      </c>
      <c r="BK40" s="909">
        <v>0</v>
      </c>
      <c r="BL40" s="909">
        <v>1</v>
      </c>
      <c r="BM40" s="921">
        <v>0</v>
      </c>
      <c r="BN40" s="958">
        <v>0</v>
      </c>
      <c r="BO40" s="959">
        <v>18</v>
      </c>
      <c r="BP40">
        <f t="shared" ca="1" si="42"/>
        <v>102.96</v>
      </c>
      <c r="BQ40">
        <f t="shared" ca="1" si="43"/>
        <v>174.94399999999999</v>
      </c>
      <c r="BR40">
        <f t="shared" ca="1" si="44"/>
        <v>37.440000000000005</v>
      </c>
      <c r="BS40">
        <f t="shared" ca="1" si="45"/>
        <v>112.95</v>
      </c>
      <c r="BT40">
        <f t="shared" ca="1" si="46"/>
        <v>34.32</v>
      </c>
      <c r="BU40">
        <f t="shared" ca="1" si="47"/>
        <v>7</v>
      </c>
      <c r="BV40">
        <f t="shared" ca="1" si="48"/>
        <v>4.3</v>
      </c>
      <c r="BW40" s="1018">
        <v>0</v>
      </c>
      <c r="BX40">
        <f t="shared" ca="1" si="38"/>
        <v>16.590841949778437</v>
      </c>
      <c r="BY40">
        <f t="shared" ca="1" si="39"/>
        <v>254.61921202274573</v>
      </c>
      <c r="BZ40">
        <f t="shared" ca="1" si="15"/>
        <v>8.7326302414231254</v>
      </c>
      <c r="CA40">
        <f t="shared" ca="1" si="16"/>
        <v>19.249999989412501</v>
      </c>
      <c r="CB40">
        <f t="shared" ca="1" si="40"/>
        <v>9.0267175572519083</v>
      </c>
      <c r="CC40" s="1018">
        <f t="shared" si="18"/>
        <v>0</v>
      </c>
      <c r="CD40" s="1018">
        <f t="shared" ca="1" si="52"/>
        <v>308.21940176061173</v>
      </c>
      <c r="CE40" s="1018">
        <f t="shared" ca="1" si="53"/>
        <v>118.24810168778664</v>
      </c>
      <c r="CF40">
        <f t="shared" ca="1" si="21"/>
        <v>12.794025103451952</v>
      </c>
      <c r="CG40">
        <f t="shared" ca="1" si="22"/>
        <v>21301.540036243361</v>
      </c>
    </row>
    <row r="41" spans="4:85" x14ac:dyDescent="0.25">
      <c r="D41" s="486"/>
      <c r="E41" s="485"/>
      <c r="F41" s="491"/>
      <c r="G41" s="487"/>
      <c r="H41" s="491"/>
      <c r="I41" s="487"/>
      <c r="J41" s="491"/>
      <c r="K41" s="492"/>
      <c r="L41" s="491"/>
      <c r="M41" s="486"/>
      <c r="N41" s="486"/>
      <c r="O41" s="486"/>
      <c r="P41" s="486"/>
      <c r="Q41" s="486" t="s">
        <v>22</v>
      </c>
      <c r="R41" s="488">
        <v>0.53710000000000002</v>
      </c>
      <c r="S41" s="486"/>
      <c r="T41" s="496">
        <v>0</v>
      </c>
      <c r="U41" s="485"/>
      <c r="V41" s="176">
        <f t="shared" si="8"/>
        <v>0</v>
      </c>
      <c r="W41" s="176">
        <f t="shared" si="49"/>
        <v>0</v>
      </c>
      <c r="X41" s="176">
        <f t="shared" si="49"/>
        <v>0</v>
      </c>
      <c r="Y41" s="34">
        <f>X41/Calculation_sheet!M$67</f>
        <v>0</v>
      </c>
      <c r="Z41" s="176">
        <f ca="1">IF(AN41&gt;0,Y41*Calculation_sheet!C$87,0)</f>
        <v>0</v>
      </c>
      <c r="AA41" s="176">
        <f t="shared" ca="1" si="50"/>
        <v>0</v>
      </c>
      <c r="AB41" s="176">
        <f ca="1">IF(AP41&gt;0,AA41*Calculation_sheet!C$94,0)</f>
        <v>0</v>
      </c>
      <c r="AC41" s="176">
        <f t="shared" ca="1" si="41"/>
        <v>0</v>
      </c>
      <c r="AD41" s="958">
        <f ca="1">AC41*Calculation_sheet!C$99</f>
        <v>0</v>
      </c>
      <c r="AE41" s="176">
        <f t="shared" ca="1" si="41"/>
        <v>0</v>
      </c>
      <c r="AF41" s="176">
        <f t="shared" ca="1" si="51"/>
        <v>0</v>
      </c>
      <c r="AG41" s="958">
        <f ca="1">AF41*User_sheet!B$77/100</f>
        <v>0</v>
      </c>
      <c r="AH41" s="313"/>
      <c r="AI41" s="908">
        <v>201</v>
      </c>
      <c r="AJ41" s="313"/>
      <c r="AK41" s="1020">
        <f t="shared" ca="1" si="12"/>
        <v>308.21940176061173</v>
      </c>
      <c r="AL41" s="954">
        <f ca="1">AK41/'201'!I$24</f>
        <v>1.6075700295238706</v>
      </c>
      <c r="AM41" s="954">
        <f ca="1">0.8*(AK41*30+'201'!D$17*0.34*30*1)</f>
        <v>9487.4659622546806</v>
      </c>
      <c r="AN41" s="954">
        <f ca="1">IF(AM41&lt;User_sheet!B$50,Y41,0)</f>
        <v>0</v>
      </c>
      <c r="AO41" s="954">
        <f ca="1">20-(User_sheet!B$57/(AK41+'201'!D$17*1*0.34))</f>
        <v>5.580975937700261</v>
      </c>
      <c r="AP41" s="954">
        <f ca="1">IF(AO41&lt;User_sheet!B$59,0,BC41*AA41)</f>
        <v>0</v>
      </c>
      <c r="AQ41" s="313"/>
      <c r="AR41" s="909">
        <v>0.48</v>
      </c>
      <c r="AS41" s="909">
        <v>3.7</v>
      </c>
      <c r="AT41" s="909">
        <v>0.89</v>
      </c>
      <c r="AU41" s="909">
        <v>2.75</v>
      </c>
      <c r="AV41" s="909">
        <v>3.3</v>
      </c>
      <c r="AW41" s="909">
        <v>10916.451096266603</v>
      </c>
      <c r="AX41" s="909">
        <v>76466.30421774846</v>
      </c>
      <c r="AY41" s="909">
        <v>79015.992973719694</v>
      </c>
      <c r="AZ41" s="909">
        <v>0</v>
      </c>
      <c r="BA41" s="909">
        <v>0</v>
      </c>
      <c r="BB41" s="909">
        <v>0.6</v>
      </c>
      <c r="BC41" s="919">
        <v>0</v>
      </c>
      <c r="BD41" s="920">
        <v>1</v>
      </c>
      <c r="BE41" s="920">
        <v>0</v>
      </c>
      <c r="BF41" s="921">
        <v>0</v>
      </c>
      <c r="BG41" s="909">
        <v>1</v>
      </c>
      <c r="BH41" s="909">
        <v>0</v>
      </c>
      <c r="BI41" s="921">
        <v>0</v>
      </c>
      <c r="BJ41" s="909">
        <v>0</v>
      </c>
      <c r="BK41" s="909">
        <v>1</v>
      </c>
      <c r="BL41" s="909">
        <v>0</v>
      </c>
      <c r="BM41" s="921">
        <v>0</v>
      </c>
      <c r="BN41" s="958">
        <v>0</v>
      </c>
      <c r="BO41" s="959">
        <v>18</v>
      </c>
      <c r="BP41">
        <f t="shared" ca="1" si="42"/>
        <v>102.96</v>
      </c>
      <c r="BQ41">
        <f t="shared" ca="1" si="43"/>
        <v>174.94399999999999</v>
      </c>
      <c r="BR41">
        <f t="shared" ca="1" si="44"/>
        <v>37.440000000000005</v>
      </c>
      <c r="BS41">
        <f t="shared" ca="1" si="45"/>
        <v>112.95</v>
      </c>
      <c r="BT41">
        <f t="shared" ca="1" si="46"/>
        <v>34.32</v>
      </c>
      <c r="BU41">
        <f t="shared" ca="1" si="47"/>
        <v>7</v>
      </c>
      <c r="BV41">
        <f t="shared" ca="1" si="48"/>
        <v>4.3</v>
      </c>
      <c r="BW41" s="1018">
        <v>0</v>
      </c>
      <c r="BX41">
        <f t="shared" ca="1" si="38"/>
        <v>16.590841949778437</v>
      </c>
      <c r="BY41">
        <f t="shared" ca="1" si="39"/>
        <v>254.61921202274573</v>
      </c>
      <c r="BZ41">
        <f t="shared" ca="1" si="15"/>
        <v>8.7326302414231254</v>
      </c>
      <c r="CA41">
        <f t="shared" ca="1" si="16"/>
        <v>19.249999989412501</v>
      </c>
      <c r="CB41">
        <f t="shared" ca="1" si="40"/>
        <v>9.0267175572519083</v>
      </c>
      <c r="CC41" s="1018">
        <f t="shared" si="18"/>
        <v>0</v>
      </c>
      <c r="CD41" s="1018">
        <f t="shared" ca="1" si="52"/>
        <v>308.21940176061173</v>
      </c>
      <c r="CE41" s="1018">
        <f t="shared" ca="1" si="53"/>
        <v>118.24810168778664</v>
      </c>
      <c r="CF41">
        <f t="shared" ca="1" si="21"/>
        <v>12.794025103451952</v>
      </c>
      <c r="CG41">
        <f t="shared" ca="1" si="22"/>
        <v>21301.540036243361</v>
      </c>
    </row>
    <row r="42" spans="4:85" x14ac:dyDescent="0.25">
      <c r="D42" s="486"/>
      <c r="E42" s="485"/>
      <c r="F42" s="491"/>
      <c r="G42" s="487"/>
      <c r="H42" s="491"/>
      <c r="I42" s="487"/>
      <c r="J42" s="491"/>
      <c r="K42" s="492"/>
      <c r="L42" s="491"/>
      <c r="M42" s="486"/>
      <c r="N42" s="486"/>
      <c r="O42" s="486" t="s">
        <v>18</v>
      </c>
      <c r="P42" s="488">
        <v>0.80827067699999999</v>
      </c>
      <c r="Q42" s="486" t="s">
        <v>7</v>
      </c>
      <c r="R42" s="488">
        <v>0.46289999999999998</v>
      </c>
      <c r="S42" s="486"/>
      <c r="T42" s="496">
        <v>0</v>
      </c>
      <c r="U42" s="485"/>
      <c r="V42" s="176">
        <f t="shared" si="8"/>
        <v>0</v>
      </c>
      <c r="W42" s="176">
        <f t="shared" si="49"/>
        <v>0</v>
      </c>
      <c r="X42" s="176">
        <f t="shared" si="49"/>
        <v>0</v>
      </c>
      <c r="Y42" s="34">
        <f>X42/Calculation_sheet!M$67</f>
        <v>0</v>
      </c>
      <c r="Z42" s="176">
        <f ca="1">IF(AN42&gt;0,Y42*Calculation_sheet!C$87,0)</f>
        <v>0</v>
      </c>
      <c r="AA42" s="176">
        <f t="shared" ca="1" si="50"/>
        <v>0</v>
      </c>
      <c r="AB42" s="176">
        <f ca="1">IF(AP42&gt;0,AA42*Calculation_sheet!C$94,0)</f>
        <v>0</v>
      </c>
      <c r="AC42" s="176">
        <f t="shared" ca="1" si="41"/>
        <v>0</v>
      </c>
      <c r="AD42" s="958">
        <f ca="1">AC42*Calculation_sheet!C$99</f>
        <v>0</v>
      </c>
      <c r="AE42" s="176">
        <f t="shared" ca="1" si="41"/>
        <v>0</v>
      </c>
      <c r="AF42" s="176">
        <f t="shared" ca="1" si="51"/>
        <v>0</v>
      </c>
      <c r="AG42" s="958">
        <f ca="1">AF42*User_sheet!B$77/100</f>
        <v>0</v>
      </c>
      <c r="AH42" s="313"/>
      <c r="AI42" s="908">
        <v>201</v>
      </c>
      <c r="AJ42" s="313"/>
      <c r="AK42" s="1020">
        <f t="shared" ca="1" si="12"/>
        <v>308.21940176061173</v>
      </c>
      <c r="AL42" s="954">
        <f ca="1">AK42/'201'!I$24</f>
        <v>1.6075700295238706</v>
      </c>
      <c r="AM42" s="954">
        <f ca="1">0.8*(AK42*30+'201'!D$17*0.34*30*1)</f>
        <v>9487.4659622546806</v>
      </c>
      <c r="AN42" s="954">
        <f ca="1">IF(AM42&lt;User_sheet!B$50,Y42,0)</f>
        <v>0</v>
      </c>
      <c r="AO42" s="954">
        <f ca="1">20-(User_sheet!B$57/(AK42+'201'!D$17*1*0.34))</f>
        <v>5.580975937700261</v>
      </c>
      <c r="AP42" s="954">
        <f ca="1">IF(AO42&lt;User_sheet!B$59,0,BC42*AA42)</f>
        <v>0</v>
      </c>
      <c r="AQ42" s="313"/>
      <c r="AR42" s="909">
        <v>0.48</v>
      </c>
      <c r="AS42" s="909">
        <v>3.7</v>
      </c>
      <c r="AT42" s="909">
        <v>0.89</v>
      </c>
      <c r="AU42" s="909">
        <v>2.75</v>
      </c>
      <c r="AV42" s="909">
        <v>3.3</v>
      </c>
      <c r="AW42" s="909">
        <v>10916.451096266603</v>
      </c>
      <c r="AX42" s="909">
        <v>76466.30421774846</v>
      </c>
      <c r="AY42" s="909">
        <v>79015.992973719694</v>
      </c>
      <c r="AZ42" s="909">
        <v>0</v>
      </c>
      <c r="BA42" s="909">
        <v>0</v>
      </c>
      <c r="BB42" s="909">
        <v>0.6</v>
      </c>
      <c r="BC42" s="919">
        <v>0</v>
      </c>
      <c r="BD42" s="920">
        <v>1</v>
      </c>
      <c r="BE42" s="920">
        <v>0</v>
      </c>
      <c r="BF42" s="921">
        <v>0</v>
      </c>
      <c r="BG42" s="909">
        <v>1</v>
      </c>
      <c r="BH42" s="909">
        <v>0</v>
      </c>
      <c r="BI42" s="921">
        <v>0</v>
      </c>
      <c r="BJ42" s="909">
        <v>0</v>
      </c>
      <c r="BK42" s="909">
        <v>0</v>
      </c>
      <c r="BL42" s="909">
        <v>1</v>
      </c>
      <c r="BM42" s="921">
        <v>0</v>
      </c>
      <c r="BN42" s="958">
        <v>0</v>
      </c>
      <c r="BO42" s="959">
        <v>18</v>
      </c>
      <c r="BP42">
        <f t="shared" ca="1" si="42"/>
        <v>102.96</v>
      </c>
      <c r="BQ42">
        <f t="shared" ca="1" si="43"/>
        <v>174.94399999999999</v>
      </c>
      <c r="BR42">
        <f t="shared" ca="1" si="44"/>
        <v>37.440000000000005</v>
      </c>
      <c r="BS42">
        <f t="shared" ca="1" si="45"/>
        <v>112.95</v>
      </c>
      <c r="BT42">
        <f t="shared" ca="1" si="46"/>
        <v>34.32</v>
      </c>
      <c r="BU42">
        <f t="shared" ca="1" si="47"/>
        <v>7</v>
      </c>
      <c r="BV42">
        <f t="shared" ca="1" si="48"/>
        <v>4.3</v>
      </c>
      <c r="BW42" s="1018">
        <v>0</v>
      </c>
      <c r="BX42">
        <f t="shared" ca="1" si="38"/>
        <v>16.590841949778437</v>
      </c>
      <c r="BY42">
        <f t="shared" ca="1" si="39"/>
        <v>254.61921202274573</v>
      </c>
      <c r="BZ42">
        <f t="shared" ca="1" si="15"/>
        <v>8.7326302414231254</v>
      </c>
      <c r="CA42">
        <f t="shared" ca="1" si="16"/>
        <v>19.249999989412501</v>
      </c>
      <c r="CB42">
        <f t="shared" ca="1" si="40"/>
        <v>9.0267175572519083</v>
      </c>
      <c r="CC42" s="1018">
        <f t="shared" si="18"/>
        <v>0</v>
      </c>
      <c r="CD42" s="1018">
        <f t="shared" ca="1" si="52"/>
        <v>308.21940176061173</v>
      </c>
      <c r="CE42" s="1018">
        <f t="shared" ca="1" si="53"/>
        <v>118.24810168778664</v>
      </c>
      <c r="CF42">
        <f t="shared" ca="1" si="21"/>
        <v>12.794025103451952</v>
      </c>
      <c r="CG42">
        <f t="shared" ca="1" si="22"/>
        <v>21301.540036243361</v>
      </c>
    </row>
    <row r="43" spans="4:85" x14ac:dyDescent="0.25">
      <c r="D43" s="486"/>
      <c r="E43" s="485"/>
      <c r="F43" s="486"/>
      <c r="G43" s="485"/>
      <c r="H43" s="486"/>
      <c r="I43" s="485"/>
      <c r="J43" s="486"/>
      <c r="K43" s="486"/>
      <c r="L43" s="486"/>
      <c r="M43" s="486"/>
      <c r="N43" s="486"/>
      <c r="O43" s="486"/>
      <c r="P43" s="486"/>
      <c r="Q43" s="486" t="s">
        <v>22</v>
      </c>
      <c r="R43" s="488">
        <v>0.53710000000000002</v>
      </c>
      <c r="S43" s="486"/>
      <c r="T43" s="496">
        <v>0</v>
      </c>
      <c r="U43" s="485"/>
      <c r="V43" s="176">
        <f t="shared" si="8"/>
        <v>0</v>
      </c>
      <c r="W43" s="176">
        <f t="shared" si="49"/>
        <v>0</v>
      </c>
      <c r="X43" s="176">
        <f t="shared" si="49"/>
        <v>0</v>
      </c>
      <c r="Y43" s="34">
        <f>X43/Calculation_sheet!M$67</f>
        <v>0</v>
      </c>
      <c r="Z43" s="176">
        <f ca="1">IF(AN43&gt;0,Y43*Calculation_sheet!C$87,0)</f>
        <v>0</v>
      </c>
      <c r="AA43" s="176">
        <f t="shared" ca="1" si="50"/>
        <v>0</v>
      </c>
      <c r="AB43" s="176">
        <f ca="1">IF(AP43&gt;0,AA43*Calculation_sheet!C$94,0)</f>
        <v>0</v>
      </c>
      <c r="AC43" s="176">
        <f t="shared" ca="1" si="41"/>
        <v>0</v>
      </c>
      <c r="AD43" s="958">
        <f ca="1">AC43*Calculation_sheet!C$99</f>
        <v>0</v>
      </c>
      <c r="AE43" s="176">
        <f t="shared" ca="1" si="41"/>
        <v>0</v>
      </c>
      <c r="AF43" s="176">
        <f t="shared" ca="1" si="51"/>
        <v>0</v>
      </c>
      <c r="AG43" s="958">
        <f ca="1">AF43*User_sheet!B$77/100</f>
        <v>0</v>
      </c>
      <c r="AH43" s="313"/>
      <c r="AI43" s="908">
        <v>201</v>
      </c>
      <c r="AJ43" s="313"/>
      <c r="AK43" s="1020">
        <f t="shared" ca="1" si="12"/>
        <v>308.21940176061173</v>
      </c>
      <c r="AL43" s="954">
        <f ca="1">AK43/'201'!I$24</f>
        <v>1.6075700295238706</v>
      </c>
      <c r="AM43" s="954">
        <f ca="1">0.8*(AK43*30+'201'!D$17*0.34*30*1)</f>
        <v>9487.4659622546806</v>
      </c>
      <c r="AN43" s="954">
        <f ca="1">IF(AM43&lt;User_sheet!B$50,Y43,0)</f>
        <v>0</v>
      </c>
      <c r="AO43" s="954">
        <f ca="1">20-(User_sheet!B$57/(AK43+'201'!D$17*1*0.34))</f>
        <v>5.580975937700261</v>
      </c>
      <c r="AP43" s="954">
        <f ca="1">IF(AO43&lt;User_sheet!B$59,0,BC43*AA43)</f>
        <v>0</v>
      </c>
      <c r="AQ43" s="313"/>
      <c r="AR43" s="909">
        <v>0.48</v>
      </c>
      <c r="AS43" s="909">
        <v>3.7</v>
      </c>
      <c r="AT43" s="909">
        <v>0.89</v>
      </c>
      <c r="AU43" s="909">
        <v>2.75</v>
      </c>
      <c r="AV43" s="909">
        <v>3.3</v>
      </c>
      <c r="AW43" s="909">
        <v>10916.451096266603</v>
      </c>
      <c r="AX43" s="909">
        <v>76466.30421774846</v>
      </c>
      <c r="AY43" s="909">
        <v>79015.992973719694</v>
      </c>
      <c r="AZ43" s="909">
        <v>0</v>
      </c>
      <c r="BA43" s="909">
        <v>0</v>
      </c>
      <c r="BB43" s="909">
        <v>0.6</v>
      </c>
      <c r="BC43" s="919">
        <v>0</v>
      </c>
      <c r="BD43" s="920">
        <v>1</v>
      </c>
      <c r="BE43" s="920">
        <v>0</v>
      </c>
      <c r="BF43" s="921">
        <v>0</v>
      </c>
      <c r="BG43" s="909">
        <v>0</v>
      </c>
      <c r="BH43" s="909">
        <v>1</v>
      </c>
      <c r="BI43" s="921">
        <v>0</v>
      </c>
      <c r="BJ43" s="909">
        <v>0</v>
      </c>
      <c r="BK43" s="909">
        <v>1</v>
      </c>
      <c r="BL43" s="909">
        <v>0</v>
      </c>
      <c r="BM43" s="921">
        <v>0</v>
      </c>
      <c r="BN43" s="958">
        <v>0</v>
      </c>
      <c r="BO43" s="959">
        <v>18</v>
      </c>
      <c r="BP43">
        <f t="shared" ca="1" si="42"/>
        <v>102.96</v>
      </c>
      <c r="BQ43">
        <f t="shared" ca="1" si="43"/>
        <v>174.94399999999999</v>
      </c>
      <c r="BR43">
        <f t="shared" ca="1" si="44"/>
        <v>37.440000000000005</v>
      </c>
      <c r="BS43">
        <f t="shared" ca="1" si="45"/>
        <v>112.95</v>
      </c>
      <c r="BT43">
        <f t="shared" ca="1" si="46"/>
        <v>34.32</v>
      </c>
      <c r="BU43">
        <f t="shared" ca="1" si="47"/>
        <v>7</v>
      </c>
      <c r="BV43">
        <f t="shared" ca="1" si="48"/>
        <v>4.3</v>
      </c>
      <c r="BW43" s="1018">
        <v>0</v>
      </c>
      <c r="BX43">
        <f t="shared" ca="1" si="38"/>
        <v>16.590841949778437</v>
      </c>
      <c r="BY43">
        <f t="shared" ca="1" si="39"/>
        <v>254.61921202274573</v>
      </c>
      <c r="BZ43">
        <f t="shared" ca="1" si="15"/>
        <v>8.7326302414231254</v>
      </c>
      <c r="CA43">
        <f t="shared" ca="1" si="16"/>
        <v>19.249999989412501</v>
      </c>
      <c r="CB43">
        <f t="shared" ca="1" si="40"/>
        <v>9.0267175572519083</v>
      </c>
      <c r="CC43" s="1018">
        <f t="shared" si="18"/>
        <v>0</v>
      </c>
      <c r="CD43" s="1018">
        <f t="shared" ca="1" si="52"/>
        <v>308.21940176061173</v>
      </c>
      <c r="CE43" s="1018">
        <f t="shared" ca="1" si="53"/>
        <v>118.24810168778664</v>
      </c>
      <c r="CF43">
        <f t="shared" ca="1" si="21"/>
        <v>12.794025103451952</v>
      </c>
      <c r="CG43">
        <f t="shared" ca="1" si="22"/>
        <v>21301.540036243361</v>
      </c>
    </row>
    <row r="44" spans="4:85" x14ac:dyDescent="0.25">
      <c r="D44" s="486"/>
      <c r="E44" s="485"/>
      <c r="F44" s="486"/>
      <c r="G44" s="485"/>
      <c r="H44" s="486"/>
      <c r="I44" s="485"/>
      <c r="J44" s="486"/>
      <c r="K44" s="486"/>
      <c r="L44" s="486"/>
      <c r="M44" s="486" t="s">
        <v>22</v>
      </c>
      <c r="N44" s="488">
        <v>0.44680851100000002</v>
      </c>
      <c r="O44" s="486" t="s">
        <v>20</v>
      </c>
      <c r="P44" s="488">
        <v>0.19172932300000001</v>
      </c>
      <c r="Q44" s="486" t="s">
        <v>7</v>
      </c>
      <c r="R44" s="488">
        <v>0.46289999999999998</v>
      </c>
      <c r="S44" s="486"/>
      <c r="T44" s="496">
        <v>0</v>
      </c>
      <c r="U44" s="485"/>
      <c r="V44" s="176">
        <f t="shared" si="8"/>
        <v>0</v>
      </c>
      <c r="W44" s="176">
        <f t="shared" si="49"/>
        <v>0</v>
      </c>
      <c r="X44" s="176">
        <f t="shared" si="49"/>
        <v>0</v>
      </c>
      <c r="Y44" s="34">
        <f>X44/Calculation_sheet!M$67</f>
        <v>0</v>
      </c>
      <c r="Z44" s="176">
        <f ca="1">IF(AN44&gt;0,Y44*Calculation_sheet!C$87,0)</f>
        <v>0</v>
      </c>
      <c r="AA44" s="176">
        <f t="shared" ca="1" si="50"/>
        <v>0</v>
      </c>
      <c r="AB44" s="176">
        <f ca="1">IF(AP44&gt;0,AA44*Calculation_sheet!C$94,0)</f>
        <v>0</v>
      </c>
      <c r="AC44" s="176">
        <f t="shared" ca="1" si="41"/>
        <v>0</v>
      </c>
      <c r="AD44" s="958">
        <f ca="1">AC44*Calculation_sheet!C$99</f>
        <v>0</v>
      </c>
      <c r="AE44" s="176">
        <f t="shared" ca="1" si="41"/>
        <v>0</v>
      </c>
      <c r="AF44" s="176">
        <f t="shared" ca="1" si="51"/>
        <v>0</v>
      </c>
      <c r="AG44" s="958">
        <f ca="1">AF44*User_sheet!B$77/100</f>
        <v>0</v>
      </c>
      <c r="AH44" s="313"/>
      <c r="AI44" s="908">
        <v>201</v>
      </c>
      <c r="AJ44" s="313"/>
      <c r="AK44" s="1020">
        <f t="shared" ca="1" si="12"/>
        <v>308.21940176061173</v>
      </c>
      <c r="AL44" s="954">
        <f ca="1">AK44/'201'!I$24</f>
        <v>1.6075700295238706</v>
      </c>
      <c r="AM44" s="954">
        <f ca="1">0.8*(AK44*30+'201'!D$17*0.34*30*1)</f>
        <v>9487.4659622546806</v>
      </c>
      <c r="AN44" s="954">
        <f ca="1">IF(AM44&lt;User_sheet!B$50,Y44,0)</f>
        <v>0</v>
      </c>
      <c r="AO44" s="954">
        <f ca="1">20-(User_sheet!B$57/(AK44+'201'!D$17*1*0.34))</f>
        <v>5.580975937700261</v>
      </c>
      <c r="AP44" s="954">
        <f ca="1">IF(AO44&lt;User_sheet!B$59,0,BC44*AA44)</f>
        <v>0</v>
      </c>
      <c r="AQ44" s="313"/>
      <c r="AR44" s="909">
        <v>0.48</v>
      </c>
      <c r="AS44" s="909">
        <v>3.7</v>
      </c>
      <c r="AT44" s="909">
        <v>0.89</v>
      </c>
      <c r="AU44" s="909">
        <v>2.75</v>
      </c>
      <c r="AV44" s="909">
        <v>3.3</v>
      </c>
      <c r="AW44" s="909">
        <v>10916.451096266603</v>
      </c>
      <c r="AX44" s="909">
        <v>76466.30421774846</v>
      </c>
      <c r="AY44" s="909">
        <v>79015.992973719694</v>
      </c>
      <c r="AZ44" s="909">
        <v>0</v>
      </c>
      <c r="BA44" s="909">
        <v>0</v>
      </c>
      <c r="BB44" s="909">
        <v>0.6</v>
      </c>
      <c r="BC44" s="919">
        <v>0</v>
      </c>
      <c r="BD44" s="920">
        <v>1</v>
      </c>
      <c r="BE44" s="920">
        <v>0</v>
      </c>
      <c r="BF44" s="921">
        <v>0</v>
      </c>
      <c r="BG44" s="909">
        <v>0</v>
      </c>
      <c r="BH44" s="909">
        <v>1</v>
      </c>
      <c r="BI44" s="921">
        <v>0</v>
      </c>
      <c r="BJ44" s="909">
        <v>0</v>
      </c>
      <c r="BK44" s="909">
        <v>0</v>
      </c>
      <c r="BL44" s="909">
        <v>1</v>
      </c>
      <c r="BM44" s="921">
        <v>0</v>
      </c>
      <c r="BN44" s="958">
        <v>0</v>
      </c>
      <c r="BO44" s="959">
        <v>18</v>
      </c>
      <c r="BP44">
        <f t="shared" ca="1" si="42"/>
        <v>102.96</v>
      </c>
      <c r="BQ44">
        <f t="shared" ca="1" si="43"/>
        <v>174.94399999999999</v>
      </c>
      <c r="BR44">
        <f t="shared" ca="1" si="44"/>
        <v>37.440000000000005</v>
      </c>
      <c r="BS44">
        <f t="shared" ca="1" si="45"/>
        <v>112.95</v>
      </c>
      <c r="BT44">
        <f t="shared" ca="1" si="46"/>
        <v>34.32</v>
      </c>
      <c r="BU44">
        <f t="shared" ca="1" si="47"/>
        <v>7</v>
      </c>
      <c r="BV44">
        <f t="shared" ca="1" si="48"/>
        <v>4.3</v>
      </c>
      <c r="BW44" s="1018">
        <v>0</v>
      </c>
      <c r="BX44">
        <f t="shared" ca="1" si="38"/>
        <v>16.590841949778437</v>
      </c>
      <c r="BY44">
        <f t="shared" ca="1" si="39"/>
        <v>254.61921202274573</v>
      </c>
      <c r="BZ44">
        <f t="shared" ca="1" si="15"/>
        <v>8.7326302414231254</v>
      </c>
      <c r="CA44">
        <f t="shared" ca="1" si="16"/>
        <v>19.249999989412501</v>
      </c>
      <c r="CB44">
        <f t="shared" ca="1" si="40"/>
        <v>9.0267175572519083</v>
      </c>
      <c r="CC44" s="1018">
        <f t="shared" si="18"/>
        <v>0</v>
      </c>
      <c r="CD44" s="1018">
        <f t="shared" ca="1" si="52"/>
        <v>308.21940176061173</v>
      </c>
      <c r="CE44" s="1018">
        <f t="shared" ca="1" si="53"/>
        <v>118.24810168778664</v>
      </c>
      <c r="CF44">
        <f t="shared" ca="1" si="21"/>
        <v>12.794025103451952</v>
      </c>
      <c r="CG44">
        <f t="shared" ca="1" si="22"/>
        <v>21301.540036243361</v>
      </c>
    </row>
    <row r="45" spans="4:85" x14ac:dyDescent="0.25">
      <c r="D45" s="486"/>
      <c r="E45" s="485"/>
      <c r="F45" s="486"/>
      <c r="G45" s="485"/>
      <c r="H45" s="486"/>
      <c r="I45" s="485"/>
      <c r="J45" s="486"/>
      <c r="K45" s="486"/>
      <c r="L45" s="486"/>
      <c r="M45" s="486" t="s">
        <v>7</v>
      </c>
      <c r="N45" s="488">
        <v>2.1276595999999998E-2</v>
      </c>
      <c r="O45" s="486" t="s">
        <v>23</v>
      </c>
      <c r="P45" s="488">
        <v>1</v>
      </c>
      <c r="Q45" s="486" t="s">
        <v>7</v>
      </c>
      <c r="R45" s="488">
        <v>1</v>
      </c>
      <c r="S45" s="486"/>
      <c r="T45" s="496">
        <v>0</v>
      </c>
      <c r="U45" s="485"/>
      <c r="V45" s="176">
        <f t="shared" si="8"/>
        <v>0</v>
      </c>
      <c r="W45" s="176">
        <f t="shared" si="49"/>
        <v>0</v>
      </c>
      <c r="X45" s="176">
        <f t="shared" si="49"/>
        <v>0</v>
      </c>
      <c r="Y45" s="34">
        <f>X45/Calculation_sheet!M$67</f>
        <v>0</v>
      </c>
      <c r="Z45" s="176">
        <f ca="1">IF(AN45&gt;0,Y45*Calculation_sheet!C$87,0)</f>
        <v>0</v>
      </c>
      <c r="AA45" s="176">
        <f t="shared" ca="1" si="50"/>
        <v>0</v>
      </c>
      <c r="AB45" s="176">
        <f ca="1">IF(AP45&gt;0,AA45*Calculation_sheet!C$94,0)</f>
        <v>0</v>
      </c>
      <c r="AC45" s="176">
        <f t="shared" ca="1" si="41"/>
        <v>0</v>
      </c>
      <c r="AD45" s="958">
        <f ca="1">AC45*Calculation_sheet!C$99</f>
        <v>0</v>
      </c>
      <c r="AE45" s="176">
        <f t="shared" ca="1" si="41"/>
        <v>0</v>
      </c>
      <c r="AF45" s="176">
        <f t="shared" ca="1" si="51"/>
        <v>0</v>
      </c>
      <c r="AG45" s="958">
        <f ca="1">AF45*User_sheet!B$77/100</f>
        <v>0</v>
      </c>
      <c r="AH45" s="313"/>
      <c r="AI45" s="908">
        <v>201</v>
      </c>
      <c r="AJ45" s="313"/>
      <c r="AK45" s="1020">
        <f t="shared" ca="1" si="12"/>
        <v>308.21940176061173</v>
      </c>
      <c r="AL45" s="954">
        <f ca="1">AK45/'201'!I$24</f>
        <v>1.6075700295238706</v>
      </c>
      <c r="AM45" s="954">
        <f ca="1">0.8*(AK45*30+'201'!D$17*0.34*30*1)</f>
        <v>9487.4659622546806</v>
      </c>
      <c r="AN45" s="954">
        <f ca="1">IF(AM45&lt;User_sheet!B$50,Y45,0)</f>
        <v>0</v>
      </c>
      <c r="AO45" s="954">
        <f ca="1">20-(User_sheet!B$57/(AK45+'201'!D$17*1*0.34))</f>
        <v>5.580975937700261</v>
      </c>
      <c r="AP45" s="954">
        <f ca="1">IF(AO45&lt;User_sheet!B$59,0,BC45*AA45)</f>
        <v>0</v>
      </c>
      <c r="AQ45" s="313"/>
      <c r="AR45" s="909">
        <v>0.48</v>
      </c>
      <c r="AS45" s="909">
        <v>3.7</v>
      </c>
      <c r="AT45" s="909">
        <v>0.89</v>
      </c>
      <c r="AU45" s="909">
        <v>2.75</v>
      </c>
      <c r="AV45" s="909">
        <v>3.3</v>
      </c>
      <c r="AW45" s="909">
        <v>10916.451096266603</v>
      </c>
      <c r="AX45" s="909">
        <v>76466.30421774846</v>
      </c>
      <c r="AY45" s="909">
        <v>79015.992973719694</v>
      </c>
      <c r="AZ45" s="909">
        <v>0</v>
      </c>
      <c r="BA45" s="909">
        <v>0</v>
      </c>
      <c r="BB45" s="909">
        <v>0.6</v>
      </c>
      <c r="BC45" s="919">
        <v>0</v>
      </c>
      <c r="BD45" s="920">
        <v>0</v>
      </c>
      <c r="BE45" s="920">
        <v>1</v>
      </c>
      <c r="BF45" s="921">
        <v>0</v>
      </c>
      <c r="BG45" s="909">
        <v>0</v>
      </c>
      <c r="BH45" s="909">
        <v>0</v>
      </c>
      <c r="BI45" s="921">
        <v>1</v>
      </c>
      <c r="BJ45" s="909">
        <v>0</v>
      </c>
      <c r="BK45" s="909">
        <v>0</v>
      </c>
      <c r="BL45" s="909">
        <v>1</v>
      </c>
      <c r="BM45" s="921">
        <v>0</v>
      </c>
      <c r="BN45" s="958">
        <v>0</v>
      </c>
      <c r="BO45" s="959">
        <v>18</v>
      </c>
      <c r="BP45">
        <f t="shared" ca="1" si="42"/>
        <v>102.96</v>
      </c>
      <c r="BQ45">
        <f t="shared" ca="1" si="43"/>
        <v>174.94399999999999</v>
      </c>
      <c r="BR45">
        <f t="shared" ca="1" si="44"/>
        <v>37.440000000000005</v>
      </c>
      <c r="BS45">
        <f t="shared" ca="1" si="45"/>
        <v>112.95</v>
      </c>
      <c r="BT45">
        <f t="shared" ca="1" si="46"/>
        <v>34.32</v>
      </c>
      <c r="BU45">
        <f t="shared" ca="1" si="47"/>
        <v>7</v>
      </c>
      <c r="BV45">
        <f t="shared" ca="1" si="48"/>
        <v>4.3</v>
      </c>
      <c r="BW45" s="1018">
        <v>0</v>
      </c>
      <c r="BX45">
        <f t="shared" ca="1" si="38"/>
        <v>16.590841949778437</v>
      </c>
      <c r="BY45">
        <f t="shared" ca="1" si="39"/>
        <v>254.61921202274573</v>
      </c>
      <c r="BZ45">
        <f t="shared" ca="1" si="15"/>
        <v>8.7326302414231254</v>
      </c>
      <c r="CA45">
        <f t="shared" ca="1" si="16"/>
        <v>19.249999989412501</v>
      </c>
      <c r="CB45">
        <f t="shared" ca="1" si="40"/>
        <v>9.0267175572519083</v>
      </c>
      <c r="CC45" s="1018">
        <f t="shared" si="18"/>
        <v>0</v>
      </c>
      <c r="CD45" s="1018">
        <f t="shared" ca="1" si="52"/>
        <v>308.21940176061173</v>
      </c>
      <c r="CE45" s="1018">
        <f t="shared" ca="1" si="53"/>
        <v>118.24810168778664</v>
      </c>
      <c r="CF45">
        <f t="shared" ca="1" si="21"/>
        <v>12.794025103451952</v>
      </c>
      <c r="CG45">
        <f t="shared" ca="1" si="22"/>
        <v>21301.540036243361</v>
      </c>
    </row>
    <row r="46" spans="4:85" x14ac:dyDescent="0.25">
      <c r="D46" s="486"/>
      <c r="E46" s="485"/>
      <c r="F46" s="486"/>
      <c r="G46" s="485"/>
      <c r="H46" s="486"/>
      <c r="I46" s="485"/>
      <c r="J46" s="486"/>
      <c r="K46" s="486"/>
      <c r="L46" s="486"/>
      <c r="M46" s="486"/>
      <c r="N46" s="486"/>
      <c r="O46" s="486" t="s">
        <v>18</v>
      </c>
      <c r="P46" s="488">
        <v>0.15910607099999999</v>
      </c>
      <c r="Q46" s="486" t="s">
        <v>17</v>
      </c>
      <c r="R46" s="488">
        <v>1</v>
      </c>
      <c r="S46" s="486"/>
      <c r="T46" s="496">
        <v>0</v>
      </c>
      <c r="U46" s="485"/>
      <c r="V46" s="176">
        <f t="shared" si="8"/>
        <v>0</v>
      </c>
      <c r="W46" s="176">
        <f t="shared" si="49"/>
        <v>0</v>
      </c>
      <c r="X46" s="176">
        <f t="shared" si="49"/>
        <v>0</v>
      </c>
      <c r="Y46" s="34">
        <f>X46/Calculation_sheet!M$67</f>
        <v>0</v>
      </c>
      <c r="Z46" s="176">
        <f ca="1">IF(AN46&gt;0,Y46*Calculation_sheet!C$87,0)</f>
        <v>0</v>
      </c>
      <c r="AA46" s="176">
        <f t="shared" ca="1" si="50"/>
        <v>0</v>
      </c>
      <c r="AB46" s="176">
        <f ca="1">IF(AP46&gt;0,AA46*Calculation_sheet!C$94,0)</f>
        <v>0</v>
      </c>
      <c r="AC46" s="176">
        <f t="shared" ca="1" si="41"/>
        <v>0</v>
      </c>
      <c r="AD46" s="958">
        <f ca="1">AC46*Calculation_sheet!C$99</f>
        <v>0</v>
      </c>
      <c r="AE46" s="176">
        <f t="shared" ca="1" si="41"/>
        <v>0</v>
      </c>
      <c r="AF46" s="176">
        <f t="shared" ca="1" si="51"/>
        <v>0</v>
      </c>
      <c r="AG46" s="958">
        <f ca="1">AF46*User_sheet!B$77/100</f>
        <v>0</v>
      </c>
      <c r="AH46" s="313"/>
      <c r="AI46" s="908">
        <v>201</v>
      </c>
      <c r="AJ46" s="313"/>
      <c r="AK46" s="1020">
        <f t="shared" ca="1" si="12"/>
        <v>308.21940176061173</v>
      </c>
      <c r="AL46" s="954">
        <f ca="1">AK46/'201'!I$24</f>
        <v>1.6075700295238706</v>
      </c>
      <c r="AM46" s="954">
        <f ca="1">0.8*(AK46*30+'201'!D$17*0.34*30*1)</f>
        <v>9487.4659622546806</v>
      </c>
      <c r="AN46" s="954">
        <f ca="1">IF(AM46&lt;User_sheet!B$50,Y46,0)</f>
        <v>0</v>
      </c>
      <c r="AO46" s="954">
        <f ca="1">20-(User_sheet!B$57/(AK46+'201'!D$17*1*0.34))</f>
        <v>5.580975937700261</v>
      </c>
      <c r="AP46" s="954">
        <f ca="1">IF(AO46&lt;User_sheet!B$59,0,BC46*AA46)</f>
        <v>0</v>
      </c>
      <c r="AQ46" s="313"/>
      <c r="AR46" s="909">
        <v>0.48</v>
      </c>
      <c r="AS46" s="909">
        <v>3.7</v>
      </c>
      <c r="AT46" s="909">
        <v>0.89</v>
      </c>
      <c r="AU46" s="909">
        <v>2.75</v>
      </c>
      <c r="AV46" s="909">
        <v>3.3</v>
      </c>
      <c r="AW46" s="909">
        <v>10916.451096266603</v>
      </c>
      <c r="AX46" s="909">
        <v>76466.30421774846</v>
      </c>
      <c r="AY46" s="909">
        <v>79015.992973719694</v>
      </c>
      <c r="AZ46" s="909">
        <v>0</v>
      </c>
      <c r="BA46" s="909">
        <v>0</v>
      </c>
      <c r="BB46" s="909">
        <v>0.6</v>
      </c>
      <c r="BC46" s="919">
        <v>0</v>
      </c>
      <c r="BD46" s="920">
        <v>0</v>
      </c>
      <c r="BE46" s="920">
        <v>0</v>
      </c>
      <c r="BF46" s="921">
        <v>1</v>
      </c>
      <c r="BG46" s="909">
        <v>1</v>
      </c>
      <c r="BH46" s="909">
        <v>0</v>
      </c>
      <c r="BI46" s="921">
        <v>0</v>
      </c>
      <c r="BJ46" s="909">
        <v>0</v>
      </c>
      <c r="BK46" s="909">
        <v>0</v>
      </c>
      <c r="BL46" s="909">
        <v>0</v>
      </c>
      <c r="BM46" s="921">
        <v>1</v>
      </c>
      <c r="BN46" s="958">
        <v>0</v>
      </c>
      <c r="BO46" s="959">
        <v>18</v>
      </c>
      <c r="BP46">
        <f t="shared" ca="1" si="42"/>
        <v>102.96</v>
      </c>
      <c r="BQ46">
        <f t="shared" ca="1" si="43"/>
        <v>174.94399999999999</v>
      </c>
      <c r="BR46">
        <f t="shared" ca="1" si="44"/>
        <v>37.440000000000005</v>
      </c>
      <c r="BS46">
        <f t="shared" ca="1" si="45"/>
        <v>112.95</v>
      </c>
      <c r="BT46">
        <f t="shared" ca="1" si="46"/>
        <v>34.32</v>
      </c>
      <c r="BU46">
        <f t="shared" ca="1" si="47"/>
        <v>7</v>
      </c>
      <c r="BV46">
        <f t="shared" ca="1" si="48"/>
        <v>4.3</v>
      </c>
      <c r="BW46" s="1018">
        <v>0</v>
      </c>
      <c r="BX46">
        <f t="shared" ca="1" si="38"/>
        <v>16.590841949778437</v>
      </c>
      <c r="BY46">
        <f t="shared" ca="1" si="39"/>
        <v>254.61921202274573</v>
      </c>
      <c r="BZ46">
        <f t="shared" ca="1" si="15"/>
        <v>8.7326302414231254</v>
      </c>
      <c r="CA46">
        <f t="shared" ca="1" si="16"/>
        <v>19.249999989412501</v>
      </c>
      <c r="CB46">
        <f t="shared" ca="1" si="40"/>
        <v>9.0267175572519083</v>
      </c>
      <c r="CC46" s="1018">
        <f t="shared" si="18"/>
        <v>0</v>
      </c>
      <c r="CD46" s="1018">
        <f t="shared" ca="1" si="52"/>
        <v>308.21940176061173</v>
      </c>
      <c r="CE46" s="1018">
        <f t="shared" ca="1" si="53"/>
        <v>118.24810168778664</v>
      </c>
      <c r="CF46">
        <f t="shared" ca="1" si="21"/>
        <v>12.794025103451952</v>
      </c>
      <c r="CG46">
        <f t="shared" ca="1" si="22"/>
        <v>21301.540036243361</v>
      </c>
    </row>
    <row r="47" spans="4:85" x14ac:dyDescent="0.25">
      <c r="D47" s="486"/>
      <c r="E47" s="485"/>
      <c r="F47" s="486"/>
      <c r="G47" s="485"/>
      <c r="H47" s="486"/>
      <c r="I47" s="485"/>
      <c r="J47" s="486"/>
      <c r="K47" s="489" t="s">
        <v>12</v>
      </c>
      <c r="L47" s="490">
        <v>0</v>
      </c>
      <c r="M47" s="486" t="s">
        <v>17</v>
      </c>
      <c r="N47" s="488">
        <v>8.5106382999999994E-2</v>
      </c>
      <c r="O47" s="486" t="s">
        <v>19</v>
      </c>
      <c r="P47" s="488">
        <v>0.84089392900000004</v>
      </c>
      <c r="Q47" s="486" t="s">
        <v>17</v>
      </c>
      <c r="R47" s="488">
        <v>1</v>
      </c>
      <c r="S47" s="486"/>
      <c r="T47" s="496">
        <v>0</v>
      </c>
      <c r="U47" s="485"/>
      <c r="V47" s="176">
        <f t="shared" si="8"/>
        <v>0</v>
      </c>
      <c r="W47" s="176">
        <f t="shared" si="49"/>
        <v>0</v>
      </c>
      <c r="X47" s="176">
        <f t="shared" si="49"/>
        <v>0</v>
      </c>
      <c r="Y47" s="34">
        <f>X47/Calculation_sheet!M$67</f>
        <v>0</v>
      </c>
      <c r="Z47" s="176">
        <f ca="1">IF(AN47&gt;0,Y47*Calculation_sheet!C$87,0)</f>
        <v>0</v>
      </c>
      <c r="AA47" s="176">
        <f t="shared" ca="1" si="50"/>
        <v>0</v>
      </c>
      <c r="AB47" s="176">
        <f ca="1">IF(AP47&gt;0,AA47*Calculation_sheet!C$94,0)</f>
        <v>0</v>
      </c>
      <c r="AC47" s="176">
        <f t="shared" ca="1" si="41"/>
        <v>0</v>
      </c>
      <c r="AD47" s="958">
        <f ca="1">AC47*Calculation_sheet!C$99</f>
        <v>0</v>
      </c>
      <c r="AE47" s="176">
        <f t="shared" ca="1" si="41"/>
        <v>0</v>
      </c>
      <c r="AF47" s="176">
        <f t="shared" ca="1" si="51"/>
        <v>0</v>
      </c>
      <c r="AG47" s="958">
        <f ca="1">AF47*User_sheet!B$77/100</f>
        <v>0</v>
      </c>
      <c r="AH47" s="313"/>
      <c r="AI47" s="908">
        <v>201</v>
      </c>
      <c r="AJ47" s="313"/>
      <c r="AK47" s="1020">
        <f t="shared" ca="1" si="12"/>
        <v>308.21940176061173</v>
      </c>
      <c r="AL47" s="954">
        <f ca="1">AK47/'201'!I$24</f>
        <v>1.6075700295238706</v>
      </c>
      <c r="AM47" s="954">
        <f ca="1">0.8*(AK47*30+'201'!D$17*0.34*30*1)</f>
        <v>9487.4659622546806</v>
      </c>
      <c r="AN47" s="954">
        <f ca="1">IF(AM47&lt;User_sheet!B$50,Y47,0)</f>
        <v>0</v>
      </c>
      <c r="AO47" s="954">
        <f ca="1">20-(User_sheet!B$57/(AK47+'201'!D$17*1*0.34))</f>
        <v>5.580975937700261</v>
      </c>
      <c r="AP47" s="954">
        <f ca="1">IF(AO47&lt;User_sheet!B$59,0,BC47*AA47)</f>
        <v>0</v>
      </c>
      <c r="AQ47" s="313"/>
      <c r="AR47" s="909">
        <v>0.48</v>
      </c>
      <c r="AS47" s="909">
        <v>3.7</v>
      </c>
      <c r="AT47" s="909">
        <v>0.89</v>
      </c>
      <c r="AU47" s="909">
        <v>2.75</v>
      </c>
      <c r="AV47" s="909">
        <v>3.3</v>
      </c>
      <c r="AW47" s="909">
        <v>10916.451096266603</v>
      </c>
      <c r="AX47" s="909">
        <v>76466.30421774846</v>
      </c>
      <c r="AY47" s="909">
        <v>79015.992973719694</v>
      </c>
      <c r="AZ47" s="909">
        <v>0</v>
      </c>
      <c r="BA47" s="909">
        <v>0</v>
      </c>
      <c r="BB47" s="909">
        <v>0.6</v>
      </c>
      <c r="BC47" s="919">
        <v>0</v>
      </c>
      <c r="BD47" s="920">
        <v>0</v>
      </c>
      <c r="BE47" s="920">
        <v>0</v>
      </c>
      <c r="BF47" s="921">
        <v>1</v>
      </c>
      <c r="BG47" s="909">
        <v>0</v>
      </c>
      <c r="BH47" s="909">
        <v>1</v>
      </c>
      <c r="BI47" s="921">
        <v>0</v>
      </c>
      <c r="BJ47" s="909">
        <v>0</v>
      </c>
      <c r="BK47" s="909">
        <v>0</v>
      </c>
      <c r="BL47" s="909">
        <v>0</v>
      </c>
      <c r="BM47" s="921">
        <v>1</v>
      </c>
      <c r="BN47" s="958">
        <v>0</v>
      </c>
      <c r="BO47" s="959">
        <v>18</v>
      </c>
      <c r="BP47">
        <f t="shared" ca="1" si="42"/>
        <v>102.96</v>
      </c>
      <c r="BQ47">
        <f t="shared" ca="1" si="43"/>
        <v>174.94399999999999</v>
      </c>
      <c r="BR47">
        <f t="shared" ca="1" si="44"/>
        <v>37.440000000000005</v>
      </c>
      <c r="BS47">
        <f t="shared" ca="1" si="45"/>
        <v>112.95</v>
      </c>
      <c r="BT47">
        <f t="shared" ca="1" si="46"/>
        <v>34.32</v>
      </c>
      <c r="BU47">
        <f t="shared" ca="1" si="47"/>
        <v>7</v>
      </c>
      <c r="BV47">
        <f t="shared" ca="1" si="48"/>
        <v>4.3</v>
      </c>
      <c r="BW47" s="1018">
        <v>0</v>
      </c>
      <c r="BX47">
        <f t="shared" ca="1" si="38"/>
        <v>16.590841949778437</v>
      </c>
      <c r="BY47">
        <f t="shared" ca="1" si="39"/>
        <v>254.61921202274573</v>
      </c>
      <c r="BZ47">
        <f t="shared" ca="1" si="15"/>
        <v>8.7326302414231254</v>
      </c>
      <c r="CA47">
        <f t="shared" ca="1" si="16"/>
        <v>19.249999989412501</v>
      </c>
      <c r="CB47">
        <f t="shared" ca="1" si="40"/>
        <v>9.0267175572519083</v>
      </c>
      <c r="CC47" s="1018">
        <f t="shared" si="18"/>
        <v>0</v>
      </c>
      <c r="CD47" s="1018">
        <f t="shared" ca="1" si="52"/>
        <v>308.21940176061173</v>
      </c>
      <c r="CE47" s="1018">
        <f t="shared" ca="1" si="53"/>
        <v>118.24810168778664</v>
      </c>
      <c r="CF47">
        <f t="shared" ca="1" si="21"/>
        <v>12.794025103451952</v>
      </c>
      <c r="CG47">
        <f t="shared" ca="1" si="22"/>
        <v>21301.540036243361</v>
      </c>
    </row>
    <row r="48" spans="4:85" s="14" customFormat="1" x14ac:dyDescent="0.25">
      <c r="D48" s="494"/>
      <c r="E48" s="493"/>
      <c r="F48" s="494"/>
      <c r="G48" s="493"/>
      <c r="H48" s="494"/>
      <c r="I48" s="493"/>
      <c r="J48" s="494"/>
      <c r="K48" s="494"/>
      <c r="L48" s="494"/>
      <c r="M48" s="494"/>
      <c r="N48" s="494"/>
      <c r="O48" s="494"/>
      <c r="P48" s="494"/>
      <c r="Q48" s="494"/>
      <c r="R48" s="494"/>
      <c r="S48" s="494"/>
      <c r="T48" s="498"/>
      <c r="U48" s="493"/>
      <c r="V48" s="292"/>
      <c r="W48" s="292"/>
      <c r="X48" s="292"/>
      <c r="Y48" s="277"/>
      <c r="Z48" s="292"/>
      <c r="AA48" s="292"/>
      <c r="AB48" s="292"/>
      <c r="AC48" s="292"/>
      <c r="AD48" s="277"/>
      <c r="AE48" s="292"/>
      <c r="AF48" s="292"/>
      <c r="AG48" s="277"/>
      <c r="AH48" s="313"/>
      <c r="AI48" s="913"/>
      <c r="AJ48" s="313"/>
      <c r="AK48" s="1020">
        <f t="shared" si="12"/>
        <v>0</v>
      </c>
      <c r="AL48" s="941"/>
      <c r="AM48" s="941"/>
      <c r="AN48" s="986"/>
      <c r="AO48" s="986"/>
      <c r="AP48" s="986"/>
      <c r="AQ48" s="313"/>
      <c r="AR48" s="918"/>
      <c r="AS48" s="918"/>
      <c r="AT48" s="918"/>
      <c r="AU48" s="918"/>
      <c r="AV48" s="918"/>
      <c r="AW48" s="918"/>
      <c r="AX48" s="918"/>
      <c r="AY48" s="918"/>
      <c r="AZ48" s="918"/>
      <c r="BA48" s="918"/>
      <c r="BB48" s="918"/>
      <c r="BC48" s="45"/>
      <c r="BD48" s="277"/>
      <c r="BE48" s="277"/>
      <c r="BF48" s="49"/>
      <c r="BG48" s="918"/>
      <c r="BH48" s="918"/>
      <c r="BI48" s="49"/>
      <c r="BJ48" s="918"/>
      <c r="BK48" s="918"/>
      <c r="BL48" s="918"/>
      <c r="BM48" s="49"/>
      <c r="BN48" s="277"/>
      <c r="BO48" s="49"/>
      <c r="BW48" s="928"/>
      <c r="CC48" s="928"/>
      <c r="CD48" s="928"/>
      <c r="CE48" s="928"/>
    </row>
    <row r="49" spans="4:85" x14ac:dyDescent="0.25">
      <c r="D49" s="486"/>
      <c r="E49" s="485"/>
      <c r="F49" s="486"/>
      <c r="G49" s="485"/>
      <c r="H49" s="486"/>
      <c r="I49" s="485" t="s">
        <v>6</v>
      </c>
      <c r="J49" s="490">
        <v>0.50990000000000002</v>
      </c>
      <c r="K49" s="486"/>
      <c r="L49" s="486"/>
      <c r="M49" s="486"/>
      <c r="N49" s="486"/>
      <c r="O49" s="486"/>
      <c r="P49" s="486"/>
      <c r="Q49" s="486" t="s">
        <v>16</v>
      </c>
      <c r="R49" s="488">
        <v>0.73860000000000003</v>
      </c>
      <c r="S49" s="486"/>
      <c r="T49" s="496">
        <v>5.2187106932268636E-3</v>
      </c>
      <c r="U49" s="485"/>
      <c r="V49" s="176">
        <f t="shared" si="8"/>
        <v>5.2187106932268636E-3</v>
      </c>
      <c r="W49" s="176">
        <f>V49</f>
        <v>5.2187106932268636E-3</v>
      </c>
      <c r="X49" s="176">
        <f>W49</f>
        <v>5.2187106932268636E-3</v>
      </c>
      <c r="Y49" s="34">
        <f>X49/Calculation_sheet!M$67</f>
        <v>5.2188173972227423E-3</v>
      </c>
      <c r="Z49" s="176">
        <f ca="1">IF(AN49&gt;0,Y49*Calculation_sheet!C$87,0)</f>
        <v>0</v>
      </c>
      <c r="AA49" s="176">
        <f ca="1">Y49-Z49</f>
        <v>5.2188173972227423E-3</v>
      </c>
      <c r="AB49" s="176">
        <f ca="1">IF(AP49&gt;0,AA49*Calculation_sheet!C$94,0)</f>
        <v>0</v>
      </c>
      <c r="AC49" s="176">
        <f t="shared" ref="AC49:AE59" ca="1" si="54">AA49-AB49</f>
        <v>5.2188173972227423E-3</v>
      </c>
      <c r="AD49" s="958">
        <f ca="1">AC49*Calculation_sheet!C$99</f>
        <v>3.1312904383336451E-3</v>
      </c>
      <c r="AE49" s="176">
        <f t="shared" ca="1" si="54"/>
        <v>2.0875269588890972E-3</v>
      </c>
      <c r="AF49" s="176">
        <f ca="1">Y49-AB49</f>
        <v>5.2188173972227423E-3</v>
      </c>
      <c r="AG49" s="958">
        <f ca="1">AF49*User_sheet!B$77/100</f>
        <v>0</v>
      </c>
      <c r="AH49" s="313"/>
      <c r="AI49" s="908">
        <v>201</v>
      </c>
      <c r="AJ49" s="313"/>
      <c r="AK49" s="1020">
        <f t="shared" ca="1" si="12"/>
        <v>337.24939391648741</v>
      </c>
      <c r="AL49" s="954">
        <f ca="1">AK49/'201'!I$24</f>
        <v>1.7589808267693494</v>
      </c>
      <c r="AM49" s="954">
        <f ca="1">0.8*(AK49*30+'201'!D$17*0.34*30*1)</f>
        <v>10184.185773995699</v>
      </c>
      <c r="AN49" s="954">
        <f ca="1">IF(AM49&lt;User_sheet!B$50,Y49,0)</f>
        <v>0</v>
      </c>
      <c r="AO49" s="954">
        <f ca="1">20-(User_sheet!B$57/(AK49+'201'!D$17*1*0.34))</f>
        <v>6.5674092130855311</v>
      </c>
      <c r="AP49" s="954">
        <f ca="1">IF(AO49&lt;User_sheet!B$59,0,BC49*AA49)</f>
        <v>0</v>
      </c>
      <c r="AQ49" s="313"/>
      <c r="AR49" s="909">
        <v>0.48</v>
      </c>
      <c r="AS49" s="909">
        <v>3.7</v>
      </c>
      <c r="AT49" s="909">
        <v>7.9</v>
      </c>
      <c r="AU49" s="909">
        <v>2.75</v>
      </c>
      <c r="AV49" s="909">
        <v>3.3</v>
      </c>
      <c r="AW49" s="909">
        <v>10916.451096266603</v>
      </c>
      <c r="AX49" s="909">
        <v>76466.30421774846</v>
      </c>
      <c r="AY49" s="909">
        <v>67352.647733737584</v>
      </c>
      <c r="AZ49" s="909">
        <v>0</v>
      </c>
      <c r="BA49" s="909">
        <v>0</v>
      </c>
      <c r="BB49" s="909">
        <v>0.6</v>
      </c>
      <c r="BC49" s="919">
        <v>1</v>
      </c>
      <c r="BD49" s="920">
        <v>0</v>
      </c>
      <c r="BE49" s="920">
        <v>0</v>
      </c>
      <c r="BF49" s="921">
        <v>0</v>
      </c>
      <c r="BG49" s="909">
        <v>1</v>
      </c>
      <c r="BH49" s="909">
        <v>0</v>
      </c>
      <c r="BI49" s="921">
        <v>0</v>
      </c>
      <c r="BJ49" s="909">
        <v>1</v>
      </c>
      <c r="BK49" s="909">
        <v>0</v>
      </c>
      <c r="BL49" s="909">
        <v>0</v>
      </c>
      <c r="BM49" s="921">
        <v>0</v>
      </c>
      <c r="BN49" s="958">
        <v>0</v>
      </c>
      <c r="BO49" s="959">
        <v>18</v>
      </c>
      <c r="BP49">
        <f t="shared" ref="BP49:BP59" ca="1" si="55">INDIRECT("'"&amp;AI49&amp;"'!"&amp;"B2")</f>
        <v>102.96</v>
      </c>
      <c r="BQ49">
        <f t="shared" ref="BQ49:BQ59" ca="1" si="56">INDIRECT("'"&amp;AI49&amp;"'!"&amp;"C12")+INDIRECT("'"&amp;AI49&amp;"'!"&amp;"C13")+INDIRECT("'"&amp;AI49&amp;"'!"&amp;"C14")+INDIRECT("'"&amp;AI49&amp;"'!"&amp;"C15")+INDIRECT("'"&amp;AI49&amp;"'!"&amp;"C17")</f>
        <v>174.94399999999999</v>
      </c>
      <c r="BR49">
        <f t="shared" ref="BR49:BR59" ca="1" si="57">INDIRECT("'"&amp;AI49&amp;"'!"&amp;"G5")</f>
        <v>37.440000000000005</v>
      </c>
      <c r="BS49">
        <f t="shared" ref="BS49:BS59" ca="1" si="58">INDIRECT("'"&amp;AI49&amp;"'!"&amp;"G4")</f>
        <v>112.95</v>
      </c>
      <c r="BT49">
        <f t="shared" ref="BT49:BT59" ca="1" si="59">INDIRECT("'"&amp;AI49&amp;"'!"&amp;"G6")</f>
        <v>34.32</v>
      </c>
      <c r="BU49">
        <f t="shared" ref="BU49:BU59" ca="1" si="60">INDIRECT("'"&amp;AI49&amp;"'!"&amp;"G2")</f>
        <v>7</v>
      </c>
      <c r="BV49">
        <f t="shared" ref="BV49:BV59" ca="1" si="61">INDIRECT("'"&amp;AI49&amp;"'!"&amp;"G3")</f>
        <v>4.3</v>
      </c>
      <c r="BW49" s="1018">
        <v>0</v>
      </c>
      <c r="BX49">
        <f t="shared" ca="1" si="38"/>
        <v>16.590841949778437</v>
      </c>
      <c r="BY49">
        <f t="shared" ca="1" si="39"/>
        <v>254.61921202274573</v>
      </c>
      <c r="BZ49">
        <f t="shared" ca="1" si="15"/>
        <v>37.76262239729882</v>
      </c>
      <c r="CA49">
        <f t="shared" ca="1" si="16"/>
        <v>19.249999989412501</v>
      </c>
      <c r="CB49">
        <f t="shared" ca="1" si="40"/>
        <v>9.0267175572519083</v>
      </c>
      <c r="CC49" s="1018">
        <f t="shared" si="18"/>
        <v>0</v>
      </c>
      <c r="CD49" s="1018">
        <f ca="1">SUM(BX49:CC49)+(BR49+BS49+BT49+BU49+BV49)*BN49</f>
        <v>337.24939391648741</v>
      </c>
      <c r="CE49" s="1018">
        <f ca="1">0.34*BO49*(1/25)^0.66*(BR49+BS49+BU49+BV49)</f>
        <v>118.24810168778664</v>
      </c>
      <c r="CF49">
        <f t="shared" ca="1" si="21"/>
        <v>13.664924868128221</v>
      </c>
      <c r="CG49">
        <f t="shared" ca="1" si="22"/>
        <v>22751.553308438764</v>
      </c>
    </row>
    <row r="50" spans="4:85" x14ac:dyDescent="0.25">
      <c r="D50" s="486"/>
      <c r="E50" s="485"/>
      <c r="F50" s="486"/>
      <c r="G50" s="485"/>
      <c r="H50" s="486"/>
      <c r="I50" s="485"/>
      <c r="J50" s="491"/>
      <c r="K50" s="486"/>
      <c r="L50" s="486"/>
      <c r="M50" s="486"/>
      <c r="N50" s="486"/>
      <c r="O50" s="486" t="s">
        <v>18</v>
      </c>
      <c r="P50" s="488">
        <v>0.62953995200000001</v>
      </c>
      <c r="Q50" s="486" t="s">
        <v>7</v>
      </c>
      <c r="R50" s="488">
        <v>0.26140000000000002</v>
      </c>
      <c r="S50" s="486"/>
      <c r="T50" s="496">
        <v>1.8469685556586812E-3</v>
      </c>
      <c r="U50" s="485"/>
      <c r="V50" s="176">
        <f t="shared" si="8"/>
        <v>1.8469685556586812E-3</v>
      </c>
      <c r="W50" s="176">
        <f t="shared" ref="W50:X59" si="62">V50</f>
        <v>1.8469685556586812E-3</v>
      </c>
      <c r="X50" s="176">
        <f t="shared" si="62"/>
        <v>1.8469685556586812E-3</v>
      </c>
      <c r="Y50" s="34">
        <f>X50/Calculation_sheet!M$67</f>
        <v>1.8470063195694891E-3</v>
      </c>
      <c r="Z50" s="176">
        <f ca="1">IF(AN50&gt;0,Y50*Calculation_sheet!C$87,0)</f>
        <v>0</v>
      </c>
      <c r="AA50" s="176">
        <f t="shared" ref="AA50:AA59" ca="1" si="63">Y50-Z50</f>
        <v>1.8470063195694891E-3</v>
      </c>
      <c r="AB50" s="176">
        <f ca="1">IF(AP50&gt;0,AA50*Calculation_sheet!C$94,0)</f>
        <v>0</v>
      </c>
      <c r="AC50" s="176">
        <f t="shared" ca="1" si="54"/>
        <v>1.8470063195694891E-3</v>
      </c>
      <c r="AD50" s="958">
        <f ca="1">AC50*Calculation_sheet!C$99</f>
        <v>1.1082037917416934E-3</v>
      </c>
      <c r="AE50" s="176">
        <f t="shared" ca="1" si="54"/>
        <v>7.3880252782779579E-4</v>
      </c>
      <c r="AF50" s="176">
        <f t="shared" ref="AF50:AF59" ca="1" si="64">Y50-AB50</f>
        <v>1.8470063195694891E-3</v>
      </c>
      <c r="AG50" s="958">
        <f ca="1">AF50*User_sheet!B$77/100</f>
        <v>0</v>
      </c>
      <c r="AH50" s="313"/>
      <c r="AI50" s="908">
        <v>201</v>
      </c>
      <c r="AJ50" s="313"/>
      <c r="AK50" s="1020">
        <f t="shared" ca="1" si="12"/>
        <v>337.24939391648741</v>
      </c>
      <c r="AL50" s="954">
        <f ca="1">AK50/'201'!I$24</f>
        <v>1.7589808267693494</v>
      </c>
      <c r="AM50" s="954">
        <f ca="1">0.8*(AK50*30+'201'!D$17*0.34*30*1)</f>
        <v>10184.185773995699</v>
      </c>
      <c r="AN50" s="954">
        <f ca="1">IF(AM50&lt;User_sheet!B$50,Y50,0)</f>
        <v>0</v>
      </c>
      <c r="AO50" s="954">
        <f ca="1">20-(User_sheet!B$57/(AK50+'201'!D$17*1*0.34))</f>
        <v>6.5674092130855311</v>
      </c>
      <c r="AP50" s="954">
        <f ca="1">IF(AO50&lt;User_sheet!B$59,0,BC50*AA50)</f>
        <v>0</v>
      </c>
      <c r="AQ50" s="313"/>
      <c r="AR50" s="909">
        <v>0.48</v>
      </c>
      <c r="AS50" s="909">
        <v>3.7</v>
      </c>
      <c r="AT50" s="909">
        <v>7.9</v>
      </c>
      <c r="AU50" s="909">
        <v>2.75</v>
      </c>
      <c r="AV50" s="909">
        <v>3.3</v>
      </c>
      <c r="AW50" s="909">
        <v>10916.451096266603</v>
      </c>
      <c r="AX50" s="909">
        <v>76466.30421774846</v>
      </c>
      <c r="AY50" s="909">
        <v>67352.647733737584</v>
      </c>
      <c r="AZ50" s="909">
        <v>0</v>
      </c>
      <c r="BA50" s="909">
        <v>0</v>
      </c>
      <c r="BB50" s="909">
        <v>0.6</v>
      </c>
      <c r="BC50" s="919">
        <v>1</v>
      </c>
      <c r="BD50" s="920">
        <v>0</v>
      </c>
      <c r="BE50" s="920">
        <v>0</v>
      </c>
      <c r="BF50" s="921">
        <v>0</v>
      </c>
      <c r="BG50" s="909">
        <v>1</v>
      </c>
      <c r="BH50" s="909">
        <v>0</v>
      </c>
      <c r="BI50" s="921">
        <v>0</v>
      </c>
      <c r="BJ50" s="909">
        <v>0</v>
      </c>
      <c r="BK50" s="909">
        <v>0</v>
      </c>
      <c r="BL50" s="909">
        <v>1</v>
      </c>
      <c r="BM50" s="921">
        <v>0</v>
      </c>
      <c r="BN50" s="958">
        <v>0</v>
      </c>
      <c r="BO50" s="959">
        <v>18</v>
      </c>
      <c r="BP50">
        <f t="shared" ca="1" si="55"/>
        <v>102.96</v>
      </c>
      <c r="BQ50">
        <f t="shared" ca="1" si="56"/>
        <v>174.94399999999999</v>
      </c>
      <c r="BR50">
        <f t="shared" ca="1" si="57"/>
        <v>37.440000000000005</v>
      </c>
      <c r="BS50">
        <f t="shared" ca="1" si="58"/>
        <v>112.95</v>
      </c>
      <c r="BT50">
        <f t="shared" ca="1" si="59"/>
        <v>34.32</v>
      </c>
      <c r="BU50">
        <f t="shared" ca="1" si="60"/>
        <v>7</v>
      </c>
      <c r="BV50">
        <f t="shared" ca="1" si="61"/>
        <v>4.3</v>
      </c>
      <c r="BW50" s="1018">
        <v>0</v>
      </c>
      <c r="BX50">
        <f t="shared" ca="1" si="38"/>
        <v>16.590841949778437</v>
      </c>
      <c r="BY50">
        <f t="shared" ca="1" si="39"/>
        <v>254.61921202274573</v>
      </c>
      <c r="BZ50">
        <f t="shared" ca="1" si="15"/>
        <v>37.76262239729882</v>
      </c>
      <c r="CA50">
        <f t="shared" ca="1" si="16"/>
        <v>19.249999989412501</v>
      </c>
      <c r="CB50">
        <f t="shared" ca="1" si="40"/>
        <v>9.0267175572519083</v>
      </c>
      <c r="CC50" s="1018">
        <f t="shared" si="18"/>
        <v>0</v>
      </c>
      <c r="CD50" s="1018">
        <f t="shared" ref="CD50:CD59" ca="1" si="65">SUM(BX50:CC50)+(BR50+BS50+BT50+BU50+BV50)*BN50</f>
        <v>337.24939391648741</v>
      </c>
      <c r="CE50" s="1018">
        <f t="shared" ref="CE50:CE59" ca="1" si="66">0.34*BO50*(1/25)^0.66*(BR50+BS50+BU50+BV50)</f>
        <v>118.24810168778664</v>
      </c>
      <c r="CF50">
        <f t="shared" ca="1" si="21"/>
        <v>13.664924868128221</v>
      </c>
      <c r="CG50">
        <f t="shared" ca="1" si="22"/>
        <v>22751.553308438764</v>
      </c>
    </row>
    <row r="51" spans="4:85" x14ac:dyDescent="0.25">
      <c r="D51" s="486"/>
      <c r="E51" s="485"/>
      <c r="F51" s="486"/>
      <c r="G51" s="485"/>
      <c r="H51" s="486"/>
      <c r="I51" s="485"/>
      <c r="J51" s="491"/>
      <c r="K51" s="486"/>
      <c r="L51" s="486"/>
      <c r="M51" s="486"/>
      <c r="N51" s="486"/>
      <c r="O51" s="486"/>
      <c r="P51" s="486"/>
      <c r="Q51" s="486" t="s">
        <v>16</v>
      </c>
      <c r="R51" s="488">
        <v>0.73860000000000003</v>
      </c>
      <c r="S51" s="486"/>
      <c r="T51" s="496">
        <v>3.0710105177104582E-3</v>
      </c>
      <c r="U51" s="485"/>
      <c r="V51" s="176">
        <f t="shared" si="8"/>
        <v>3.0710105177104582E-3</v>
      </c>
      <c r="W51" s="176">
        <f t="shared" si="62"/>
        <v>3.0710105177104582E-3</v>
      </c>
      <c r="X51" s="176">
        <f t="shared" si="62"/>
        <v>3.0710105177104582E-3</v>
      </c>
      <c r="Y51" s="34">
        <f>X51/Calculation_sheet!M$67</f>
        <v>3.0710733089079185E-3</v>
      </c>
      <c r="Z51" s="176">
        <f ca="1">IF(AN51&gt;0,Y51*Calculation_sheet!C$87,0)</f>
        <v>0</v>
      </c>
      <c r="AA51" s="176">
        <f t="shared" ca="1" si="63"/>
        <v>3.0710733089079185E-3</v>
      </c>
      <c r="AB51" s="176">
        <f ca="1">IF(AP51&gt;0,AA51*Calculation_sheet!C$94,0)</f>
        <v>0</v>
      </c>
      <c r="AC51" s="176">
        <f t="shared" ca="1" si="54"/>
        <v>3.0710733089079185E-3</v>
      </c>
      <c r="AD51" s="958">
        <f ca="1">AC51*Calculation_sheet!C$99</f>
        <v>1.842643985344751E-3</v>
      </c>
      <c r="AE51" s="176">
        <f t="shared" ca="1" si="54"/>
        <v>1.2284293235631674E-3</v>
      </c>
      <c r="AF51" s="176">
        <f t="shared" ca="1" si="64"/>
        <v>3.0710733089079185E-3</v>
      </c>
      <c r="AG51" s="958">
        <f ca="1">AF51*User_sheet!B$77/100</f>
        <v>0</v>
      </c>
      <c r="AH51" s="313"/>
      <c r="AI51" s="908">
        <v>201</v>
      </c>
      <c r="AJ51" s="313"/>
      <c r="AK51" s="1020">
        <f t="shared" ca="1" si="12"/>
        <v>337.24939391648741</v>
      </c>
      <c r="AL51" s="954">
        <f ca="1">AK51/'201'!I$24</f>
        <v>1.7589808267693494</v>
      </c>
      <c r="AM51" s="954">
        <f ca="1">0.8*(AK51*30+'201'!D$17*0.34*30*1)</f>
        <v>10184.185773995699</v>
      </c>
      <c r="AN51" s="954">
        <f ca="1">IF(AM51&lt;User_sheet!B$50,Y51,0)</f>
        <v>0</v>
      </c>
      <c r="AO51" s="954">
        <f ca="1">20-(User_sheet!B$57/(AK51+'201'!D$17*1*0.34))</f>
        <v>6.5674092130855311</v>
      </c>
      <c r="AP51" s="954">
        <f ca="1">IF(AO51&lt;User_sheet!B$59,0,BC51*AA51)</f>
        <v>0</v>
      </c>
      <c r="AQ51" s="313"/>
      <c r="AR51" s="909">
        <v>0.48</v>
      </c>
      <c r="AS51" s="909">
        <v>3.7</v>
      </c>
      <c r="AT51" s="909">
        <v>7.9</v>
      </c>
      <c r="AU51" s="909">
        <v>2.75</v>
      </c>
      <c r="AV51" s="909">
        <v>3.3</v>
      </c>
      <c r="AW51" s="909">
        <v>10916.451096266603</v>
      </c>
      <c r="AX51" s="909">
        <v>76466.30421774846</v>
      </c>
      <c r="AY51" s="909">
        <v>67352.647733737584</v>
      </c>
      <c r="AZ51" s="909">
        <v>0</v>
      </c>
      <c r="BA51" s="909">
        <v>0</v>
      </c>
      <c r="BB51" s="909">
        <v>0.6</v>
      </c>
      <c r="BC51" s="919">
        <v>1</v>
      </c>
      <c r="BD51" s="920">
        <v>0</v>
      </c>
      <c r="BE51" s="920">
        <v>0</v>
      </c>
      <c r="BF51" s="921">
        <v>0</v>
      </c>
      <c r="BG51" s="909">
        <v>0</v>
      </c>
      <c r="BH51" s="909">
        <v>1</v>
      </c>
      <c r="BI51" s="921">
        <v>0</v>
      </c>
      <c r="BJ51" s="909">
        <v>1</v>
      </c>
      <c r="BK51" s="909">
        <v>0</v>
      </c>
      <c r="BL51" s="909">
        <v>0</v>
      </c>
      <c r="BM51" s="921">
        <v>0</v>
      </c>
      <c r="BN51" s="958">
        <v>0</v>
      </c>
      <c r="BO51" s="959">
        <v>18</v>
      </c>
      <c r="BP51">
        <f t="shared" ca="1" si="55"/>
        <v>102.96</v>
      </c>
      <c r="BQ51">
        <f t="shared" ca="1" si="56"/>
        <v>174.94399999999999</v>
      </c>
      <c r="BR51">
        <f t="shared" ca="1" si="57"/>
        <v>37.440000000000005</v>
      </c>
      <c r="BS51">
        <f t="shared" ca="1" si="58"/>
        <v>112.95</v>
      </c>
      <c r="BT51">
        <f t="shared" ca="1" si="59"/>
        <v>34.32</v>
      </c>
      <c r="BU51">
        <f t="shared" ca="1" si="60"/>
        <v>7</v>
      </c>
      <c r="BV51">
        <f t="shared" ca="1" si="61"/>
        <v>4.3</v>
      </c>
      <c r="BW51" s="1018">
        <v>0</v>
      </c>
      <c r="BX51">
        <f t="shared" ca="1" si="38"/>
        <v>16.590841949778437</v>
      </c>
      <c r="BY51">
        <f t="shared" ca="1" si="39"/>
        <v>254.61921202274573</v>
      </c>
      <c r="BZ51">
        <f t="shared" ca="1" si="15"/>
        <v>37.76262239729882</v>
      </c>
      <c r="CA51">
        <f t="shared" ca="1" si="16"/>
        <v>19.249999989412501</v>
      </c>
      <c r="CB51">
        <f t="shared" ca="1" si="40"/>
        <v>9.0267175572519083</v>
      </c>
      <c r="CC51" s="1018">
        <f t="shared" si="18"/>
        <v>0</v>
      </c>
      <c r="CD51" s="1018">
        <f t="shared" ca="1" si="65"/>
        <v>337.24939391648741</v>
      </c>
      <c r="CE51" s="1018">
        <f t="shared" ca="1" si="66"/>
        <v>118.24810168778664</v>
      </c>
      <c r="CF51">
        <f t="shared" ca="1" si="21"/>
        <v>13.664924868128221</v>
      </c>
      <c r="CG51">
        <f t="shared" ca="1" si="22"/>
        <v>22751.553308438764</v>
      </c>
    </row>
    <row r="52" spans="4:85" x14ac:dyDescent="0.25">
      <c r="D52" s="486"/>
      <c r="E52" s="485"/>
      <c r="F52" s="486"/>
      <c r="G52" s="485"/>
      <c r="H52" s="486"/>
      <c r="I52" s="485"/>
      <c r="J52" s="491"/>
      <c r="K52" s="486"/>
      <c r="L52" s="486"/>
      <c r="M52" s="486" t="s">
        <v>16</v>
      </c>
      <c r="N52" s="488">
        <v>0.44680851100000002</v>
      </c>
      <c r="O52" s="486" t="s">
        <v>19</v>
      </c>
      <c r="P52" s="488">
        <v>0.37046004799999999</v>
      </c>
      <c r="Q52" s="486" t="s">
        <v>7</v>
      </c>
      <c r="R52" s="488">
        <v>0.26140000000000002</v>
      </c>
      <c r="S52" s="486"/>
      <c r="T52" s="496">
        <v>1.0868699557670101E-3</v>
      </c>
      <c r="U52" s="485"/>
      <c r="V52" s="176">
        <f t="shared" si="8"/>
        <v>1.0868699557670101E-3</v>
      </c>
      <c r="W52" s="176">
        <f t="shared" si="62"/>
        <v>1.0868699557670101E-3</v>
      </c>
      <c r="X52" s="176">
        <f t="shared" si="62"/>
        <v>1.0868699557670101E-3</v>
      </c>
      <c r="Y52" s="34">
        <f>X52/Calculation_sheet!M$67</f>
        <v>1.0868921783760217E-3</v>
      </c>
      <c r="Z52" s="176">
        <f ca="1">IF(AN52&gt;0,Y52*Calculation_sheet!C$87,0)</f>
        <v>0</v>
      </c>
      <c r="AA52" s="176">
        <f t="shared" ca="1" si="63"/>
        <v>1.0868921783760217E-3</v>
      </c>
      <c r="AB52" s="176">
        <f ca="1">IF(AP52&gt;0,AA52*Calculation_sheet!C$94,0)</f>
        <v>0</v>
      </c>
      <c r="AC52" s="176">
        <f t="shared" ca="1" si="54"/>
        <v>1.0868921783760217E-3</v>
      </c>
      <c r="AD52" s="958">
        <f ca="1">AC52*Calculation_sheet!C$99</f>
        <v>6.5213530702561303E-4</v>
      </c>
      <c r="AE52" s="176">
        <f t="shared" ca="1" si="54"/>
        <v>4.3475687135040872E-4</v>
      </c>
      <c r="AF52" s="176">
        <f t="shared" ca="1" si="64"/>
        <v>1.0868921783760217E-3</v>
      </c>
      <c r="AG52" s="958">
        <f ca="1">AF52*User_sheet!B$77/100</f>
        <v>0</v>
      </c>
      <c r="AH52" s="313"/>
      <c r="AI52" s="908">
        <v>201</v>
      </c>
      <c r="AJ52" s="313"/>
      <c r="AK52" s="1020">
        <f t="shared" ca="1" si="12"/>
        <v>337.24939391648741</v>
      </c>
      <c r="AL52" s="954">
        <f ca="1">AK52/'201'!I$24</f>
        <v>1.7589808267693494</v>
      </c>
      <c r="AM52" s="954">
        <f ca="1">0.8*(AK52*30+'201'!D$17*0.34*30*1)</f>
        <v>10184.185773995699</v>
      </c>
      <c r="AN52" s="954">
        <f ca="1">IF(AM52&lt;User_sheet!B$50,Y52,0)</f>
        <v>0</v>
      </c>
      <c r="AO52" s="954">
        <f ca="1">20-(User_sheet!B$57/(AK52+'201'!D$17*1*0.34))</f>
        <v>6.5674092130855311</v>
      </c>
      <c r="AP52" s="954">
        <f ca="1">IF(AO52&lt;User_sheet!B$59,0,BC52*AA52)</f>
        <v>0</v>
      </c>
      <c r="AQ52" s="313"/>
      <c r="AR52" s="909">
        <v>0.48</v>
      </c>
      <c r="AS52" s="909">
        <v>3.7</v>
      </c>
      <c r="AT52" s="909">
        <v>7.9</v>
      </c>
      <c r="AU52" s="909">
        <v>2.75</v>
      </c>
      <c r="AV52" s="909">
        <v>3.3</v>
      </c>
      <c r="AW52" s="909">
        <v>10916.451096266603</v>
      </c>
      <c r="AX52" s="909">
        <v>76466.30421774846</v>
      </c>
      <c r="AY52" s="909">
        <v>67352.647733737584</v>
      </c>
      <c r="AZ52" s="909">
        <v>0</v>
      </c>
      <c r="BA52" s="909">
        <v>0</v>
      </c>
      <c r="BB52" s="909">
        <v>0.6</v>
      </c>
      <c r="BC52" s="919">
        <v>1</v>
      </c>
      <c r="BD52" s="920">
        <v>0</v>
      </c>
      <c r="BE52" s="920">
        <v>0</v>
      </c>
      <c r="BF52" s="921">
        <v>0</v>
      </c>
      <c r="BG52" s="909">
        <v>0</v>
      </c>
      <c r="BH52" s="909">
        <v>1</v>
      </c>
      <c r="BI52" s="921">
        <v>0</v>
      </c>
      <c r="BJ52" s="909">
        <v>0</v>
      </c>
      <c r="BK52" s="909">
        <v>0</v>
      </c>
      <c r="BL52" s="909">
        <v>1</v>
      </c>
      <c r="BM52" s="921">
        <v>0</v>
      </c>
      <c r="BN52" s="958">
        <v>0</v>
      </c>
      <c r="BO52" s="959">
        <v>18</v>
      </c>
      <c r="BP52">
        <f t="shared" ca="1" si="55"/>
        <v>102.96</v>
      </c>
      <c r="BQ52">
        <f t="shared" ca="1" si="56"/>
        <v>174.94399999999999</v>
      </c>
      <c r="BR52">
        <f t="shared" ca="1" si="57"/>
        <v>37.440000000000005</v>
      </c>
      <c r="BS52">
        <f t="shared" ca="1" si="58"/>
        <v>112.95</v>
      </c>
      <c r="BT52">
        <f t="shared" ca="1" si="59"/>
        <v>34.32</v>
      </c>
      <c r="BU52">
        <f t="shared" ca="1" si="60"/>
        <v>7</v>
      </c>
      <c r="BV52">
        <f t="shared" ca="1" si="61"/>
        <v>4.3</v>
      </c>
      <c r="BW52" s="1018">
        <v>0</v>
      </c>
      <c r="BX52">
        <f t="shared" ca="1" si="38"/>
        <v>16.590841949778437</v>
      </c>
      <c r="BY52">
        <f t="shared" ca="1" si="39"/>
        <v>254.61921202274573</v>
      </c>
      <c r="BZ52">
        <f t="shared" ca="1" si="15"/>
        <v>37.76262239729882</v>
      </c>
      <c r="CA52">
        <f t="shared" ca="1" si="16"/>
        <v>19.249999989412501</v>
      </c>
      <c r="CB52">
        <f t="shared" ca="1" si="40"/>
        <v>9.0267175572519083</v>
      </c>
      <c r="CC52" s="1018">
        <f t="shared" si="18"/>
        <v>0</v>
      </c>
      <c r="CD52" s="1018">
        <f t="shared" ca="1" si="65"/>
        <v>337.24939391648741</v>
      </c>
      <c r="CE52" s="1018">
        <f t="shared" ca="1" si="66"/>
        <v>118.24810168778664</v>
      </c>
      <c r="CF52">
        <f t="shared" ca="1" si="21"/>
        <v>13.664924868128221</v>
      </c>
      <c r="CG52">
        <f t="shared" ca="1" si="22"/>
        <v>22751.553308438764</v>
      </c>
    </row>
    <row r="53" spans="4:85" x14ac:dyDescent="0.25">
      <c r="D53" s="486"/>
      <c r="E53" s="485"/>
      <c r="F53" s="486"/>
      <c r="G53" s="485"/>
      <c r="H53" s="486"/>
      <c r="I53" s="485"/>
      <c r="J53" s="491"/>
      <c r="K53" s="486"/>
      <c r="L53" s="486"/>
      <c r="M53" s="486"/>
      <c r="N53" s="486"/>
      <c r="O53" s="486"/>
      <c r="P53" s="486"/>
      <c r="Q53" s="486" t="s">
        <v>22</v>
      </c>
      <c r="R53" s="488">
        <v>0.53710000000000002</v>
      </c>
      <c r="S53" s="486"/>
      <c r="T53" s="496">
        <v>4.872396220953994E-3</v>
      </c>
      <c r="U53" s="485"/>
      <c r="V53" s="176">
        <f t="shared" si="8"/>
        <v>4.872396220953994E-3</v>
      </c>
      <c r="W53" s="176">
        <f t="shared" si="62"/>
        <v>4.872396220953994E-3</v>
      </c>
      <c r="X53" s="176">
        <f t="shared" si="62"/>
        <v>4.872396220953994E-3</v>
      </c>
      <c r="Y53" s="34">
        <f>X53/Calculation_sheet!M$67</f>
        <v>4.8724958440557221E-3</v>
      </c>
      <c r="Z53" s="176">
        <f ca="1">IF(AN53&gt;0,Y53*Calculation_sheet!C$87,0)</f>
        <v>0</v>
      </c>
      <c r="AA53" s="176">
        <f t="shared" ca="1" si="63"/>
        <v>4.8724958440557221E-3</v>
      </c>
      <c r="AB53" s="176">
        <f ca="1">IF(AP53&gt;0,AA53*Calculation_sheet!C$94,0)</f>
        <v>0</v>
      </c>
      <c r="AC53" s="176">
        <f t="shared" ca="1" si="54"/>
        <v>4.8724958440557221E-3</v>
      </c>
      <c r="AD53" s="958">
        <f ca="1">AC53*Calculation_sheet!C$99</f>
        <v>2.9234975064334331E-3</v>
      </c>
      <c r="AE53" s="176">
        <f t="shared" ca="1" si="54"/>
        <v>1.948998337622289E-3</v>
      </c>
      <c r="AF53" s="176">
        <f t="shared" ca="1" si="64"/>
        <v>4.8724958440557221E-3</v>
      </c>
      <c r="AG53" s="958">
        <f ca="1">AF53*User_sheet!B$77/100</f>
        <v>0</v>
      </c>
      <c r="AH53" s="313"/>
      <c r="AI53" s="908">
        <v>201</v>
      </c>
      <c r="AJ53" s="313"/>
      <c r="AK53" s="1020">
        <f t="shared" ca="1" si="12"/>
        <v>337.24939391648741</v>
      </c>
      <c r="AL53" s="954">
        <f ca="1">AK53/'201'!I$24</f>
        <v>1.7589808267693494</v>
      </c>
      <c r="AM53" s="954">
        <f ca="1">0.8*(AK53*30+'201'!D$17*0.34*30*1)</f>
        <v>10184.185773995699</v>
      </c>
      <c r="AN53" s="954">
        <f ca="1">IF(AM53&lt;User_sheet!B$50,Y53,0)</f>
        <v>0</v>
      </c>
      <c r="AO53" s="954">
        <f ca="1">20-(User_sheet!B$57/(AK53+'201'!D$17*1*0.34))</f>
        <v>6.5674092130855311</v>
      </c>
      <c r="AP53" s="954">
        <f ca="1">IF(AO53&lt;User_sheet!B$59,0,BC53*AA53)</f>
        <v>0</v>
      </c>
      <c r="AQ53" s="313"/>
      <c r="AR53" s="909">
        <v>0.48</v>
      </c>
      <c r="AS53" s="909">
        <v>3.7</v>
      </c>
      <c r="AT53" s="909">
        <v>7.9</v>
      </c>
      <c r="AU53" s="909">
        <v>2.75</v>
      </c>
      <c r="AV53" s="909">
        <v>3.3</v>
      </c>
      <c r="AW53" s="909">
        <v>10916.451096266603</v>
      </c>
      <c r="AX53" s="909">
        <v>76466.30421774846</v>
      </c>
      <c r="AY53" s="909">
        <v>67352.647733737584</v>
      </c>
      <c r="AZ53" s="909">
        <v>0</v>
      </c>
      <c r="BA53" s="909">
        <v>0</v>
      </c>
      <c r="BB53" s="909">
        <v>0.6</v>
      </c>
      <c r="BC53" s="919">
        <v>0</v>
      </c>
      <c r="BD53" s="920">
        <v>1</v>
      </c>
      <c r="BE53" s="920">
        <v>0</v>
      </c>
      <c r="BF53" s="921">
        <v>0</v>
      </c>
      <c r="BG53" s="909">
        <v>1</v>
      </c>
      <c r="BH53" s="909">
        <v>0</v>
      </c>
      <c r="BI53" s="921">
        <v>0</v>
      </c>
      <c r="BJ53" s="909">
        <v>0</v>
      </c>
      <c r="BK53" s="909">
        <v>1</v>
      </c>
      <c r="BL53" s="909">
        <v>0</v>
      </c>
      <c r="BM53" s="921">
        <v>0</v>
      </c>
      <c r="BN53" s="958">
        <v>0</v>
      </c>
      <c r="BO53" s="959">
        <v>18</v>
      </c>
      <c r="BP53">
        <f t="shared" ca="1" si="55"/>
        <v>102.96</v>
      </c>
      <c r="BQ53">
        <f t="shared" ca="1" si="56"/>
        <v>174.94399999999999</v>
      </c>
      <c r="BR53">
        <f t="shared" ca="1" si="57"/>
        <v>37.440000000000005</v>
      </c>
      <c r="BS53">
        <f t="shared" ca="1" si="58"/>
        <v>112.95</v>
      </c>
      <c r="BT53">
        <f t="shared" ca="1" si="59"/>
        <v>34.32</v>
      </c>
      <c r="BU53">
        <f t="shared" ca="1" si="60"/>
        <v>7</v>
      </c>
      <c r="BV53">
        <f t="shared" ca="1" si="61"/>
        <v>4.3</v>
      </c>
      <c r="BW53" s="1018">
        <v>0</v>
      </c>
      <c r="BX53">
        <f t="shared" ca="1" si="38"/>
        <v>16.590841949778437</v>
      </c>
      <c r="BY53">
        <f t="shared" ca="1" si="39"/>
        <v>254.61921202274573</v>
      </c>
      <c r="BZ53">
        <f t="shared" ca="1" si="15"/>
        <v>37.76262239729882</v>
      </c>
      <c r="CA53">
        <f t="shared" ca="1" si="16"/>
        <v>19.249999989412501</v>
      </c>
      <c r="CB53">
        <f t="shared" ca="1" si="40"/>
        <v>9.0267175572519083</v>
      </c>
      <c r="CC53" s="1018">
        <f t="shared" si="18"/>
        <v>0</v>
      </c>
      <c r="CD53" s="1018">
        <f t="shared" ca="1" si="65"/>
        <v>337.24939391648741</v>
      </c>
      <c r="CE53" s="1018">
        <f t="shared" ca="1" si="66"/>
        <v>118.24810168778664</v>
      </c>
      <c r="CF53">
        <f t="shared" ca="1" si="21"/>
        <v>13.664924868128221</v>
      </c>
      <c r="CG53">
        <f t="shared" ca="1" si="22"/>
        <v>22751.553308438764</v>
      </c>
    </row>
    <row r="54" spans="4:85" x14ac:dyDescent="0.25">
      <c r="D54" s="486"/>
      <c r="E54" s="485"/>
      <c r="F54" s="486"/>
      <c r="G54" s="485"/>
      <c r="H54" s="486"/>
      <c r="I54" s="485"/>
      <c r="J54" s="491"/>
      <c r="K54" s="486"/>
      <c r="L54" s="486"/>
      <c r="M54" s="486"/>
      <c r="N54" s="486"/>
      <c r="O54" s="486" t="s">
        <v>18</v>
      </c>
      <c r="P54" s="488">
        <v>0.80827067699999999</v>
      </c>
      <c r="Q54" s="486" t="s">
        <v>7</v>
      </c>
      <c r="R54" s="488">
        <v>0.46289999999999998</v>
      </c>
      <c r="S54" s="486"/>
      <c r="T54" s="496">
        <v>4.1992779941902886E-3</v>
      </c>
      <c r="U54" s="485"/>
      <c r="V54" s="176">
        <f t="shared" si="8"/>
        <v>4.1992779941902886E-3</v>
      </c>
      <c r="W54" s="176">
        <f t="shared" si="62"/>
        <v>4.1992779941902886E-3</v>
      </c>
      <c r="X54" s="176">
        <f t="shared" si="62"/>
        <v>4.1992779941902886E-3</v>
      </c>
      <c r="Y54" s="34">
        <f>X54/Calculation_sheet!M$67</f>
        <v>4.1993638544282142E-3</v>
      </c>
      <c r="Z54" s="176">
        <f ca="1">IF(AN54&gt;0,Y54*Calculation_sheet!C$87,0)</f>
        <v>0</v>
      </c>
      <c r="AA54" s="176">
        <f t="shared" ca="1" si="63"/>
        <v>4.1993638544282142E-3</v>
      </c>
      <c r="AB54" s="176">
        <f ca="1">IF(AP54&gt;0,AA54*Calculation_sheet!C$94,0)</f>
        <v>0</v>
      </c>
      <c r="AC54" s="176">
        <f t="shared" ca="1" si="54"/>
        <v>4.1993638544282142E-3</v>
      </c>
      <c r="AD54" s="958">
        <f ca="1">AC54*Calculation_sheet!C$99</f>
        <v>2.5196183126569285E-3</v>
      </c>
      <c r="AE54" s="176">
        <f t="shared" ca="1" si="54"/>
        <v>1.6797455417712857E-3</v>
      </c>
      <c r="AF54" s="176">
        <f t="shared" ca="1" si="64"/>
        <v>4.1993638544282142E-3</v>
      </c>
      <c r="AG54" s="958">
        <f ca="1">AF54*User_sheet!B$77/100</f>
        <v>0</v>
      </c>
      <c r="AH54" s="313"/>
      <c r="AI54" s="908">
        <v>201</v>
      </c>
      <c r="AJ54" s="313"/>
      <c r="AK54" s="1020">
        <f t="shared" ca="1" si="12"/>
        <v>337.24939391648741</v>
      </c>
      <c r="AL54" s="954">
        <f ca="1">AK54/'201'!I$24</f>
        <v>1.7589808267693494</v>
      </c>
      <c r="AM54" s="954">
        <f ca="1">0.8*(AK54*30+'201'!D$17*0.34*30*1)</f>
        <v>10184.185773995699</v>
      </c>
      <c r="AN54" s="954">
        <f ca="1">IF(AM54&lt;User_sheet!B$50,Y54,0)</f>
        <v>0</v>
      </c>
      <c r="AO54" s="954">
        <f ca="1">20-(User_sheet!B$57/(AK54+'201'!D$17*1*0.34))</f>
        <v>6.5674092130855311</v>
      </c>
      <c r="AP54" s="954">
        <f ca="1">IF(AO54&lt;User_sheet!B$59,0,BC54*AA54)</f>
        <v>0</v>
      </c>
      <c r="AQ54" s="313"/>
      <c r="AR54" s="909">
        <v>0.48</v>
      </c>
      <c r="AS54" s="909">
        <v>3.7</v>
      </c>
      <c r="AT54" s="909">
        <v>7.9</v>
      </c>
      <c r="AU54" s="909">
        <v>2.75</v>
      </c>
      <c r="AV54" s="909">
        <v>3.3</v>
      </c>
      <c r="AW54" s="909">
        <v>10916.451096266603</v>
      </c>
      <c r="AX54" s="909">
        <v>76466.30421774846</v>
      </c>
      <c r="AY54" s="909">
        <v>67352.647733737584</v>
      </c>
      <c r="AZ54" s="909">
        <v>0</v>
      </c>
      <c r="BA54" s="909">
        <v>0</v>
      </c>
      <c r="BB54" s="909">
        <v>0.6</v>
      </c>
      <c r="BC54" s="919">
        <v>0</v>
      </c>
      <c r="BD54" s="920">
        <v>1</v>
      </c>
      <c r="BE54" s="920">
        <v>0</v>
      </c>
      <c r="BF54" s="921">
        <v>0</v>
      </c>
      <c r="BG54" s="909">
        <v>1</v>
      </c>
      <c r="BH54" s="909">
        <v>0</v>
      </c>
      <c r="BI54" s="921">
        <v>0</v>
      </c>
      <c r="BJ54" s="909">
        <v>0</v>
      </c>
      <c r="BK54" s="909">
        <v>0</v>
      </c>
      <c r="BL54" s="909">
        <v>1</v>
      </c>
      <c r="BM54" s="921">
        <v>0</v>
      </c>
      <c r="BN54" s="958">
        <v>0</v>
      </c>
      <c r="BO54" s="959">
        <v>18</v>
      </c>
      <c r="BP54">
        <f t="shared" ca="1" si="55"/>
        <v>102.96</v>
      </c>
      <c r="BQ54">
        <f t="shared" ca="1" si="56"/>
        <v>174.94399999999999</v>
      </c>
      <c r="BR54">
        <f t="shared" ca="1" si="57"/>
        <v>37.440000000000005</v>
      </c>
      <c r="BS54">
        <f t="shared" ca="1" si="58"/>
        <v>112.95</v>
      </c>
      <c r="BT54">
        <f t="shared" ca="1" si="59"/>
        <v>34.32</v>
      </c>
      <c r="BU54">
        <f t="shared" ca="1" si="60"/>
        <v>7</v>
      </c>
      <c r="BV54">
        <f t="shared" ca="1" si="61"/>
        <v>4.3</v>
      </c>
      <c r="BW54" s="1018">
        <v>0</v>
      </c>
      <c r="BX54">
        <f t="shared" ca="1" si="38"/>
        <v>16.590841949778437</v>
      </c>
      <c r="BY54">
        <f t="shared" ca="1" si="39"/>
        <v>254.61921202274573</v>
      </c>
      <c r="BZ54">
        <f t="shared" ca="1" si="15"/>
        <v>37.76262239729882</v>
      </c>
      <c r="CA54">
        <f t="shared" ca="1" si="16"/>
        <v>19.249999989412501</v>
      </c>
      <c r="CB54">
        <f t="shared" ca="1" si="40"/>
        <v>9.0267175572519083</v>
      </c>
      <c r="CC54" s="1018">
        <f t="shared" si="18"/>
        <v>0</v>
      </c>
      <c r="CD54" s="1018">
        <f t="shared" ca="1" si="65"/>
        <v>337.24939391648741</v>
      </c>
      <c r="CE54" s="1018">
        <f t="shared" ca="1" si="66"/>
        <v>118.24810168778664</v>
      </c>
      <c r="CF54">
        <f t="shared" ca="1" si="21"/>
        <v>13.664924868128221</v>
      </c>
      <c r="CG54">
        <f t="shared" ca="1" si="22"/>
        <v>22751.553308438764</v>
      </c>
    </row>
    <row r="55" spans="4:85" x14ac:dyDescent="0.25">
      <c r="D55" s="486"/>
      <c r="E55" s="485"/>
      <c r="F55" s="486"/>
      <c r="G55" s="485"/>
      <c r="H55" s="486"/>
      <c r="I55" s="485"/>
      <c r="J55" s="491"/>
      <c r="K55" s="486"/>
      <c r="L55" s="486"/>
      <c r="M55" s="486"/>
      <c r="N55" s="486"/>
      <c r="O55" s="486"/>
      <c r="P55" s="486"/>
      <c r="Q55" s="486" t="s">
        <v>22</v>
      </c>
      <c r="R55" s="488">
        <v>0.53710000000000002</v>
      </c>
      <c r="S55" s="486"/>
      <c r="T55" s="496">
        <v>1.1557777059271789E-3</v>
      </c>
      <c r="U55" s="485"/>
      <c r="V55" s="176">
        <f t="shared" si="8"/>
        <v>1.1557777059271789E-3</v>
      </c>
      <c r="W55" s="176">
        <f t="shared" si="62"/>
        <v>1.1557777059271789E-3</v>
      </c>
      <c r="X55" s="176">
        <f t="shared" si="62"/>
        <v>1.1557777059271789E-3</v>
      </c>
      <c r="Y55" s="34">
        <f>X55/Calculation_sheet!M$67</f>
        <v>1.1558013374535882E-3</v>
      </c>
      <c r="Z55" s="176">
        <f ca="1">IF(AN55&gt;0,Y55*Calculation_sheet!C$87,0)</f>
        <v>0</v>
      </c>
      <c r="AA55" s="176">
        <f t="shared" ca="1" si="63"/>
        <v>1.1558013374535882E-3</v>
      </c>
      <c r="AB55" s="176">
        <f ca="1">IF(AP55&gt;0,AA55*Calculation_sheet!C$94,0)</f>
        <v>0</v>
      </c>
      <c r="AC55" s="176">
        <f t="shared" ca="1" si="54"/>
        <v>1.1558013374535882E-3</v>
      </c>
      <c r="AD55" s="958">
        <f ca="1">AC55*Calculation_sheet!C$99</f>
        <v>6.9348080247215286E-4</v>
      </c>
      <c r="AE55" s="176">
        <f t="shared" ca="1" si="54"/>
        <v>4.6232053498143535E-4</v>
      </c>
      <c r="AF55" s="176">
        <f t="shared" ca="1" si="64"/>
        <v>1.1558013374535882E-3</v>
      </c>
      <c r="AG55" s="958">
        <f ca="1">AF55*User_sheet!B$77/100</f>
        <v>0</v>
      </c>
      <c r="AH55" s="313"/>
      <c r="AI55" s="908">
        <v>201</v>
      </c>
      <c r="AJ55" s="313"/>
      <c r="AK55" s="1020">
        <f t="shared" ca="1" si="12"/>
        <v>337.24939391648741</v>
      </c>
      <c r="AL55" s="954">
        <f ca="1">AK55/'201'!I$24</f>
        <v>1.7589808267693494</v>
      </c>
      <c r="AM55" s="954">
        <f ca="1">0.8*(AK55*30+'201'!D$17*0.34*30*1)</f>
        <v>10184.185773995699</v>
      </c>
      <c r="AN55" s="954">
        <f ca="1">IF(AM55&lt;User_sheet!B$50,Y55,0)</f>
        <v>0</v>
      </c>
      <c r="AO55" s="954">
        <f ca="1">20-(User_sheet!B$57/(AK55+'201'!D$17*1*0.34))</f>
        <v>6.5674092130855311</v>
      </c>
      <c r="AP55" s="954">
        <f ca="1">IF(AO55&lt;User_sheet!B$59,0,BC55*AA55)</f>
        <v>0</v>
      </c>
      <c r="AQ55" s="313"/>
      <c r="AR55" s="909">
        <v>0.48</v>
      </c>
      <c r="AS55" s="909">
        <v>3.7</v>
      </c>
      <c r="AT55" s="909">
        <v>7.9</v>
      </c>
      <c r="AU55" s="909">
        <v>2.75</v>
      </c>
      <c r="AV55" s="909">
        <v>3.3</v>
      </c>
      <c r="AW55" s="909">
        <v>10916.451096266603</v>
      </c>
      <c r="AX55" s="909">
        <v>76466.30421774846</v>
      </c>
      <c r="AY55" s="909">
        <v>67352.647733737584</v>
      </c>
      <c r="AZ55" s="909">
        <v>0</v>
      </c>
      <c r="BA55" s="909">
        <v>0</v>
      </c>
      <c r="BB55" s="909">
        <v>0.6</v>
      </c>
      <c r="BC55" s="919">
        <v>0</v>
      </c>
      <c r="BD55" s="920">
        <v>1</v>
      </c>
      <c r="BE55" s="920">
        <v>0</v>
      </c>
      <c r="BF55" s="921">
        <v>0</v>
      </c>
      <c r="BG55" s="909">
        <v>0</v>
      </c>
      <c r="BH55" s="909">
        <v>1</v>
      </c>
      <c r="BI55" s="921">
        <v>0</v>
      </c>
      <c r="BJ55" s="909">
        <v>0</v>
      </c>
      <c r="BK55" s="909">
        <v>1</v>
      </c>
      <c r="BL55" s="909">
        <v>0</v>
      </c>
      <c r="BM55" s="921">
        <v>0</v>
      </c>
      <c r="BN55" s="958">
        <v>0</v>
      </c>
      <c r="BO55" s="959">
        <v>18</v>
      </c>
      <c r="BP55">
        <f t="shared" ca="1" si="55"/>
        <v>102.96</v>
      </c>
      <c r="BQ55">
        <f t="shared" ca="1" si="56"/>
        <v>174.94399999999999</v>
      </c>
      <c r="BR55">
        <f t="shared" ca="1" si="57"/>
        <v>37.440000000000005</v>
      </c>
      <c r="BS55">
        <f t="shared" ca="1" si="58"/>
        <v>112.95</v>
      </c>
      <c r="BT55">
        <f t="shared" ca="1" si="59"/>
        <v>34.32</v>
      </c>
      <c r="BU55">
        <f t="shared" ca="1" si="60"/>
        <v>7</v>
      </c>
      <c r="BV55">
        <f t="shared" ca="1" si="61"/>
        <v>4.3</v>
      </c>
      <c r="BW55" s="1018">
        <v>0</v>
      </c>
      <c r="BX55">
        <f t="shared" ca="1" si="38"/>
        <v>16.590841949778437</v>
      </c>
      <c r="BY55">
        <f t="shared" ca="1" si="39"/>
        <v>254.61921202274573</v>
      </c>
      <c r="BZ55">
        <f t="shared" ca="1" si="15"/>
        <v>37.76262239729882</v>
      </c>
      <c r="CA55">
        <f t="shared" ca="1" si="16"/>
        <v>19.249999989412501</v>
      </c>
      <c r="CB55">
        <f t="shared" ca="1" si="40"/>
        <v>9.0267175572519083</v>
      </c>
      <c r="CC55" s="1018">
        <f t="shared" si="18"/>
        <v>0</v>
      </c>
      <c r="CD55" s="1018">
        <f t="shared" ca="1" si="65"/>
        <v>337.24939391648741</v>
      </c>
      <c r="CE55" s="1018">
        <f t="shared" ca="1" si="66"/>
        <v>118.24810168778664</v>
      </c>
      <c r="CF55">
        <f t="shared" ca="1" si="21"/>
        <v>13.664924868128221</v>
      </c>
      <c r="CG55">
        <f t="shared" ca="1" si="22"/>
        <v>22751.553308438764</v>
      </c>
    </row>
    <row r="56" spans="4:85" x14ac:dyDescent="0.25">
      <c r="D56" s="486"/>
      <c r="E56" s="485"/>
      <c r="F56" s="486"/>
      <c r="G56" s="485"/>
      <c r="H56" s="486"/>
      <c r="I56" s="485"/>
      <c r="J56" s="491"/>
      <c r="K56" s="486"/>
      <c r="L56" s="486"/>
      <c r="M56" s="486" t="s">
        <v>22</v>
      </c>
      <c r="N56" s="488">
        <v>0.44680851100000002</v>
      </c>
      <c r="O56" s="486" t="s">
        <v>20</v>
      </c>
      <c r="P56" s="488">
        <v>0.19172932300000001</v>
      </c>
      <c r="Q56" s="486" t="s">
        <v>7</v>
      </c>
      <c r="R56" s="488">
        <v>0.46289999999999998</v>
      </c>
      <c r="S56" s="486"/>
      <c r="T56" s="496">
        <v>9.9610780129154937E-4</v>
      </c>
      <c r="U56" s="485"/>
      <c r="V56" s="176">
        <f t="shared" si="8"/>
        <v>9.9610780129154937E-4</v>
      </c>
      <c r="W56" s="176">
        <f t="shared" si="62"/>
        <v>9.9610780129154937E-4</v>
      </c>
      <c r="X56" s="176">
        <f t="shared" si="62"/>
        <v>9.9610780129154937E-4</v>
      </c>
      <c r="Y56" s="34">
        <f>X56/Calculation_sheet!M$67</f>
        <v>9.961281681386447E-4</v>
      </c>
      <c r="Z56" s="176">
        <f ca="1">IF(AN56&gt;0,Y56*Calculation_sheet!C$87,0)</f>
        <v>0</v>
      </c>
      <c r="AA56" s="176">
        <f t="shared" ca="1" si="63"/>
        <v>9.961281681386447E-4</v>
      </c>
      <c r="AB56" s="176">
        <f ca="1">IF(AP56&gt;0,AA56*Calculation_sheet!C$94,0)</f>
        <v>0</v>
      </c>
      <c r="AC56" s="176">
        <f t="shared" ca="1" si="54"/>
        <v>9.961281681386447E-4</v>
      </c>
      <c r="AD56" s="958">
        <f ca="1">AC56*Calculation_sheet!C$99</f>
        <v>5.9767690088318684E-4</v>
      </c>
      <c r="AE56" s="176">
        <f t="shared" ca="1" si="54"/>
        <v>3.9845126725545786E-4</v>
      </c>
      <c r="AF56" s="176">
        <f t="shared" ca="1" si="64"/>
        <v>9.961281681386447E-4</v>
      </c>
      <c r="AG56" s="958">
        <f ca="1">AF56*User_sheet!B$77/100</f>
        <v>0</v>
      </c>
      <c r="AH56" s="313"/>
      <c r="AI56" s="908">
        <v>201</v>
      </c>
      <c r="AJ56" s="313"/>
      <c r="AK56" s="1020">
        <f t="shared" ca="1" si="12"/>
        <v>337.24939391648741</v>
      </c>
      <c r="AL56" s="954">
        <f ca="1">AK56/'201'!I$24</f>
        <v>1.7589808267693494</v>
      </c>
      <c r="AM56" s="954">
        <f ca="1">0.8*(AK56*30+'201'!D$17*0.34*30*1)</f>
        <v>10184.185773995699</v>
      </c>
      <c r="AN56" s="954">
        <f ca="1">IF(AM56&lt;User_sheet!B$50,Y56,0)</f>
        <v>0</v>
      </c>
      <c r="AO56" s="954">
        <f ca="1">20-(User_sheet!B$57/(AK56+'201'!D$17*1*0.34))</f>
        <v>6.5674092130855311</v>
      </c>
      <c r="AP56" s="954">
        <f ca="1">IF(AO56&lt;User_sheet!B$59,0,BC56*AA56)</f>
        <v>0</v>
      </c>
      <c r="AQ56" s="313"/>
      <c r="AR56" s="909">
        <v>0.48</v>
      </c>
      <c r="AS56" s="909">
        <v>3.7</v>
      </c>
      <c r="AT56" s="909">
        <v>7.9</v>
      </c>
      <c r="AU56" s="909">
        <v>2.75</v>
      </c>
      <c r="AV56" s="909">
        <v>3.3</v>
      </c>
      <c r="AW56" s="909">
        <v>10916.451096266603</v>
      </c>
      <c r="AX56" s="909">
        <v>76466.30421774846</v>
      </c>
      <c r="AY56" s="909">
        <v>67352.647733737584</v>
      </c>
      <c r="AZ56" s="909">
        <v>0</v>
      </c>
      <c r="BA56" s="909">
        <v>0</v>
      </c>
      <c r="BB56" s="909">
        <v>0.6</v>
      </c>
      <c r="BC56" s="919">
        <v>0</v>
      </c>
      <c r="BD56" s="920">
        <v>1</v>
      </c>
      <c r="BE56" s="920">
        <v>0</v>
      </c>
      <c r="BF56" s="921">
        <v>0</v>
      </c>
      <c r="BG56" s="909">
        <v>0</v>
      </c>
      <c r="BH56" s="909">
        <v>1</v>
      </c>
      <c r="BI56" s="921">
        <v>0</v>
      </c>
      <c r="BJ56" s="909">
        <v>0</v>
      </c>
      <c r="BK56" s="909">
        <v>0</v>
      </c>
      <c r="BL56" s="909">
        <v>1</v>
      </c>
      <c r="BM56" s="921">
        <v>0</v>
      </c>
      <c r="BN56" s="958">
        <v>0</v>
      </c>
      <c r="BO56" s="959">
        <v>18</v>
      </c>
      <c r="BP56">
        <f t="shared" ca="1" si="55"/>
        <v>102.96</v>
      </c>
      <c r="BQ56">
        <f t="shared" ca="1" si="56"/>
        <v>174.94399999999999</v>
      </c>
      <c r="BR56">
        <f t="shared" ca="1" si="57"/>
        <v>37.440000000000005</v>
      </c>
      <c r="BS56">
        <f t="shared" ca="1" si="58"/>
        <v>112.95</v>
      </c>
      <c r="BT56">
        <f t="shared" ca="1" si="59"/>
        <v>34.32</v>
      </c>
      <c r="BU56">
        <f t="shared" ca="1" si="60"/>
        <v>7</v>
      </c>
      <c r="BV56">
        <f t="shared" ca="1" si="61"/>
        <v>4.3</v>
      </c>
      <c r="BW56" s="1018">
        <v>0</v>
      </c>
      <c r="BX56">
        <f t="shared" ca="1" si="38"/>
        <v>16.590841949778437</v>
      </c>
      <c r="BY56">
        <f t="shared" ca="1" si="39"/>
        <v>254.61921202274573</v>
      </c>
      <c r="BZ56">
        <f t="shared" ca="1" si="15"/>
        <v>37.76262239729882</v>
      </c>
      <c r="CA56">
        <f t="shared" ca="1" si="16"/>
        <v>19.249999989412501</v>
      </c>
      <c r="CB56">
        <f t="shared" ca="1" si="40"/>
        <v>9.0267175572519083</v>
      </c>
      <c r="CC56" s="1018">
        <f t="shared" si="18"/>
        <v>0</v>
      </c>
      <c r="CD56" s="1018">
        <f t="shared" ca="1" si="65"/>
        <v>337.24939391648741</v>
      </c>
      <c r="CE56" s="1018">
        <f t="shared" ca="1" si="66"/>
        <v>118.24810168778664</v>
      </c>
      <c r="CF56">
        <f t="shared" ca="1" si="21"/>
        <v>13.664924868128221</v>
      </c>
      <c r="CG56">
        <f t="shared" ca="1" si="22"/>
        <v>22751.553308438764</v>
      </c>
    </row>
    <row r="57" spans="4:85" x14ac:dyDescent="0.25">
      <c r="D57" s="486"/>
      <c r="E57" s="485"/>
      <c r="F57" s="486"/>
      <c r="G57" s="485"/>
      <c r="H57" s="486"/>
      <c r="I57" s="485"/>
      <c r="J57" s="491"/>
      <c r="K57" s="486"/>
      <c r="L57" s="486"/>
      <c r="M57" s="486" t="s">
        <v>7</v>
      </c>
      <c r="N57" s="488">
        <v>2.1276595999999998E-2</v>
      </c>
      <c r="O57" s="486" t="s">
        <v>23</v>
      </c>
      <c r="P57" s="488">
        <v>1</v>
      </c>
      <c r="Q57" s="486" t="s">
        <v>7</v>
      </c>
      <c r="R57" s="488">
        <v>1</v>
      </c>
      <c r="S57" s="486"/>
      <c r="T57" s="496">
        <v>5.3445523085523757E-4</v>
      </c>
      <c r="U57" s="485"/>
      <c r="V57" s="176">
        <f t="shared" si="8"/>
        <v>5.3445523085523757E-4</v>
      </c>
      <c r="W57" s="176">
        <f t="shared" si="62"/>
        <v>5.3445523085523757E-4</v>
      </c>
      <c r="X57" s="176">
        <f t="shared" si="62"/>
        <v>5.3445523085523757E-4</v>
      </c>
      <c r="Y57" s="34">
        <f>X57/Calculation_sheet!M$67</f>
        <v>5.3446615855598642E-4</v>
      </c>
      <c r="Z57" s="176">
        <f ca="1">IF(AN57&gt;0,Y57*Calculation_sheet!C$87,0)</f>
        <v>0</v>
      </c>
      <c r="AA57" s="176">
        <f t="shared" ca="1" si="63"/>
        <v>5.3446615855598642E-4</v>
      </c>
      <c r="AB57" s="176">
        <f ca="1">IF(AP57&gt;0,AA57*Calculation_sheet!C$94,0)</f>
        <v>0</v>
      </c>
      <c r="AC57" s="176">
        <f t="shared" ca="1" si="54"/>
        <v>5.3446615855598642E-4</v>
      </c>
      <c r="AD57" s="958">
        <f ca="1">AC57*Calculation_sheet!C$99</f>
        <v>3.2067969513359184E-4</v>
      </c>
      <c r="AE57" s="176">
        <f t="shared" ca="1" si="54"/>
        <v>2.1378646342239458E-4</v>
      </c>
      <c r="AF57" s="176">
        <f t="shared" ca="1" si="64"/>
        <v>5.3446615855598642E-4</v>
      </c>
      <c r="AG57" s="958">
        <f ca="1">AF57*User_sheet!B$77/100</f>
        <v>0</v>
      </c>
      <c r="AH57" s="313"/>
      <c r="AI57" s="908">
        <v>201</v>
      </c>
      <c r="AJ57" s="313"/>
      <c r="AK57" s="1020">
        <f t="shared" ca="1" si="12"/>
        <v>337.24939391648741</v>
      </c>
      <c r="AL57" s="954">
        <f ca="1">AK57/'201'!I$24</f>
        <v>1.7589808267693494</v>
      </c>
      <c r="AM57" s="954">
        <f ca="1">0.8*(AK57*30+'201'!D$17*0.34*30*1)</f>
        <v>10184.185773995699</v>
      </c>
      <c r="AN57" s="954">
        <f ca="1">IF(AM57&lt;User_sheet!B$50,Y57,0)</f>
        <v>0</v>
      </c>
      <c r="AO57" s="954">
        <f ca="1">20-(User_sheet!B$57/(AK57+'201'!D$17*1*0.34))</f>
        <v>6.5674092130855311</v>
      </c>
      <c r="AP57" s="954">
        <f ca="1">IF(AO57&lt;User_sheet!B$59,0,BC57*AA57)</f>
        <v>0</v>
      </c>
      <c r="AQ57" s="313"/>
      <c r="AR57" s="909">
        <v>0.48</v>
      </c>
      <c r="AS57" s="909">
        <v>3.7</v>
      </c>
      <c r="AT57" s="909">
        <v>7.9</v>
      </c>
      <c r="AU57" s="909">
        <v>2.75</v>
      </c>
      <c r="AV57" s="909">
        <v>3.3</v>
      </c>
      <c r="AW57" s="909">
        <v>10916.451096266603</v>
      </c>
      <c r="AX57" s="909">
        <v>76466.30421774846</v>
      </c>
      <c r="AY57" s="909">
        <v>67352.647733737584</v>
      </c>
      <c r="AZ57" s="909">
        <v>0</v>
      </c>
      <c r="BA57" s="909">
        <v>0</v>
      </c>
      <c r="BB57" s="909">
        <v>0.6</v>
      </c>
      <c r="BC57" s="919">
        <v>0</v>
      </c>
      <c r="BD57" s="920">
        <v>0</v>
      </c>
      <c r="BE57" s="920">
        <v>1</v>
      </c>
      <c r="BF57" s="921">
        <v>0</v>
      </c>
      <c r="BG57" s="909">
        <v>0</v>
      </c>
      <c r="BH57" s="909">
        <v>0</v>
      </c>
      <c r="BI57" s="921">
        <v>1</v>
      </c>
      <c r="BJ57" s="909">
        <v>0</v>
      </c>
      <c r="BK57" s="909">
        <v>0</v>
      </c>
      <c r="BL57" s="909">
        <v>1</v>
      </c>
      <c r="BM57" s="921">
        <v>0</v>
      </c>
      <c r="BN57" s="958">
        <v>0</v>
      </c>
      <c r="BO57" s="959">
        <v>18</v>
      </c>
      <c r="BP57">
        <f t="shared" ca="1" si="55"/>
        <v>102.96</v>
      </c>
      <c r="BQ57">
        <f t="shared" ca="1" si="56"/>
        <v>174.94399999999999</v>
      </c>
      <c r="BR57">
        <f t="shared" ca="1" si="57"/>
        <v>37.440000000000005</v>
      </c>
      <c r="BS57">
        <f t="shared" ca="1" si="58"/>
        <v>112.95</v>
      </c>
      <c r="BT57">
        <f t="shared" ca="1" si="59"/>
        <v>34.32</v>
      </c>
      <c r="BU57">
        <f t="shared" ca="1" si="60"/>
        <v>7</v>
      </c>
      <c r="BV57">
        <f t="shared" ca="1" si="61"/>
        <v>4.3</v>
      </c>
      <c r="BW57" s="1018">
        <v>0</v>
      </c>
      <c r="BX57">
        <f t="shared" ca="1" si="38"/>
        <v>16.590841949778437</v>
      </c>
      <c r="BY57">
        <f t="shared" ca="1" si="39"/>
        <v>254.61921202274573</v>
      </c>
      <c r="BZ57">
        <f t="shared" ca="1" si="15"/>
        <v>37.76262239729882</v>
      </c>
      <c r="CA57">
        <f t="shared" ca="1" si="16"/>
        <v>19.249999989412501</v>
      </c>
      <c r="CB57">
        <f t="shared" ca="1" si="40"/>
        <v>9.0267175572519083</v>
      </c>
      <c r="CC57" s="1018">
        <f t="shared" si="18"/>
        <v>0</v>
      </c>
      <c r="CD57" s="1018">
        <f t="shared" ca="1" si="65"/>
        <v>337.24939391648741</v>
      </c>
      <c r="CE57" s="1018">
        <f t="shared" ca="1" si="66"/>
        <v>118.24810168778664</v>
      </c>
      <c r="CF57">
        <f t="shared" ca="1" si="21"/>
        <v>13.664924868128221</v>
      </c>
      <c r="CG57">
        <f t="shared" ca="1" si="22"/>
        <v>22751.553308438764</v>
      </c>
    </row>
    <row r="58" spans="4:85" x14ac:dyDescent="0.25">
      <c r="D58" s="486"/>
      <c r="E58" s="485"/>
      <c r="F58" s="486"/>
      <c r="G58" s="485"/>
      <c r="H58" s="486"/>
      <c r="I58" s="485"/>
      <c r="J58" s="486"/>
      <c r="K58" s="486"/>
      <c r="L58" s="486"/>
      <c r="M58" s="486"/>
      <c r="N58" s="486"/>
      <c r="O58" s="486" t="s">
        <v>18</v>
      </c>
      <c r="P58" s="488">
        <v>0.15910607099999999</v>
      </c>
      <c r="Q58" s="486" t="s">
        <v>17</v>
      </c>
      <c r="R58" s="488">
        <v>1</v>
      </c>
      <c r="S58" s="486"/>
      <c r="T58" s="496">
        <v>3.4014028363045084E-4</v>
      </c>
      <c r="U58" s="485"/>
      <c r="V58" s="176">
        <f t="shared" si="8"/>
        <v>3.4014028363045084E-4</v>
      </c>
      <c r="W58" s="176">
        <f t="shared" si="62"/>
        <v>3.4014028363045084E-4</v>
      </c>
      <c r="X58" s="176">
        <f t="shared" si="62"/>
        <v>3.4014028363045084E-4</v>
      </c>
      <c r="Y58" s="34">
        <f>X58/Calculation_sheet!M$67</f>
        <v>3.4014723828449398E-4</v>
      </c>
      <c r="Z58" s="176">
        <f ca="1">IF(AN58&gt;0,Y58*Calculation_sheet!C$87,0)</f>
        <v>0</v>
      </c>
      <c r="AA58" s="176">
        <f t="shared" ca="1" si="63"/>
        <v>3.4014723828449398E-4</v>
      </c>
      <c r="AB58" s="176">
        <f ca="1">IF(AP58&gt;0,AA58*Calculation_sheet!C$94,0)</f>
        <v>0</v>
      </c>
      <c r="AC58" s="176">
        <f t="shared" ca="1" si="54"/>
        <v>3.4014723828449398E-4</v>
      </c>
      <c r="AD58" s="958">
        <f ca="1">AC58*Calculation_sheet!C$99</f>
        <v>2.0408834297069639E-4</v>
      </c>
      <c r="AE58" s="176">
        <f t="shared" ca="1" si="54"/>
        <v>1.3605889531379759E-4</v>
      </c>
      <c r="AF58" s="176">
        <f t="shared" ca="1" si="64"/>
        <v>3.4014723828449398E-4</v>
      </c>
      <c r="AG58" s="958">
        <f ca="1">AF58*User_sheet!B$77/100</f>
        <v>0</v>
      </c>
      <c r="AH58" s="313"/>
      <c r="AI58" s="908">
        <v>201</v>
      </c>
      <c r="AJ58" s="313"/>
      <c r="AK58" s="1020">
        <f t="shared" ca="1" si="12"/>
        <v>337.24939391648741</v>
      </c>
      <c r="AL58" s="954">
        <f ca="1">AK58/'201'!I$24</f>
        <v>1.7589808267693494</v>
      </c>
      <c r="AM58" s="954">
        <f ca="1">0.8*(AK58*30+'201'!D$17*0.34*30*1)</f>
        <v>10184.185773995699</v>
      </c>
      <c r="AN58" s="954">
        <f ca="1">IF(AM58&lt;User_sheet!B$50,Y58,0)</f>
        <v>0</v>
      </c>
      <c r="AO58" s="954">
        <f ca="1">20-(User_sheet!B$57/(AK58+'201'!D$17*1*0.34))</f>
        <v>6.5674092130855311</v>
      </c>
      <c r="AP58" s="954">
        <f ca="1">IF(AO58&lt;User_sheet!B$59,0,BC58*AA58)</f>
        <v>0</v>
      </c>
      <c r="AQ58" s="313"/>
      <c r="AR58" s="909">
        <v>0.48</v>
      </c>
      <c r="AS58" s="909">
        <v>3.7</v>
      </c>
      <c r="AT58" s="909">
        <v>7.9</v>
      </c>
      <c r="AU58" s="909">
        <v>2.75</v>
      </c>
      <c r="AV58" s="909">
        <v>3.3</v>
      </c>
      <c r="AW58" s="909">
        <v>10916.451096266603</v>
      </c>
      <c r="AX58" s="909">
        <v>76466.30421774846</v>
      </c>
      <c r="AY58" s="909">
        <v>67352.647733737584</v>
      </c>
      <c r="AZ58" s="909">
        <v>0</v>
      </c>
      <c r="BA58" s="909">
        <v>0</v>
      </c>
      <c r="BB58" s="909">
        <v>0.6</v>
      </c>
      <c r="BC58" s="919">
        <v>0</v>
      </c>
      <c r="BD58" s="920">
        <v>0</v>
      </c>
      <c r="BE58" s="920">
        <v>0</v>
      </c>
      <c r="BF58" s="921">
        <v>1</v>
      </c>
      <c r="BG58" s="909">
        <v>1</v>
      </c>
      <c r="BH58" s="909">
        <v>0</v>
      </c>
      <c r="BI58" s="921">
        <v>0</v>
      </c>
      <c r="BJ58" s="909">
        <v>0</v>
      </c>
      <c r="BK58" s="909">
        <v>0</v>
      </c>
      <c r="BL58" s="909">
        <v>0</v>
      </c>
      <c r="BM58" s="921">
        <v>1</v>
      </c>
      <c r="BN58" s="958">
        <v>0</v>
      </c>
      <c r="BO58" s="959">
        <v>18</v>
      </c>
      <c r="BP58">
        <f t="shared" ca="1" si="55"/>
        <v>102.96</v>
      </c>
      <c r="BQ58">
        <f t="shared" ca="1" si="56"/>
        <v>174.94399999999999</v>
      </c>
      <c r="BR58">
        <f t="shared" ca="1" si="57"/>
        <v>37.440000000000005</v>
      </c>
      <c r="BS58">
        <f t="shared" ca="1" si="58"/>
        <v>112.95</v>
      </c>
      <c r="BT58">
        <f t="shared" ca="1" si="59"/>
        <v>34.32</v>
      </c>
      <c r="BU58">
        <f t="shared" ca="1" si="60"/>
        <v>7</v>
      </c>
      <c r="BV58">
        <f t="shared" ca="1" si="61"/>
        <v>4.3</v>
      </c>
      <c r="BW58" s="1018">
        <v>0</v>
      </c>
      <c r="BX58">
        <f t="shared" ca="1" si="38"/>
        <v>16.590841949778437</v>
      </c>
      <c r="BY58">
        <f t="shared" ca="1" si="39"/>
        <v>254.61921202274573</v>
      </c>
      <c r="BZ58">
        <f t="shared" ca="1" si="15"/>
        <v>37.76262239729882</v>
      </c>
      <c r="CA58">
        <f t="shared" ca="1" si="16"/>
        <v>19.249999989412501</v>
      </c>
      <c r="CB58">
        <f t="shared" ca="1" si="40"/>
        <v>9.0267175572519083</v>
      </c>
      <c r="CC58" s="1018">
        <f t="shared" si="18"/>
        <v>0</v>
      </c>
      <c r="CD58" s="1018">
        <f t="shared" ca="1" si="65"/>
        <v>337.24939391648741</v>
      </c>
      <c r="CE58" s="1018">
        <f t="shared" ca="1" si="66"/>
        <v>118.24810168778664</v>
      </c>
      <c r="CF58">
        <f t="shared" ca="1" si="21"/>
        <v>13.664924868128221</v>
      </c>
      <c r="CG58">
        <f t="shared" ca="1" si="22"/>
        <v>22751.553308438764</v>
      </c>
    </row>
    <row r="59" spans="4:85" x14ac:dyDescent="0.25">
      <c r="D59" s="486"/>
      <c r="E59" s="485"/>
      <c r="F59" s="486"/>
      <c r="G59" s="485"/>
      <c r="H59" s="486"/>
      <c r="I59" s="485"/>
      <c r="J59" s="486"/>
      <c r="K59" s="489" t="s">
        <v>13</v>
      </c>
      <c r="L59" s="490">
        <v>1</v>
      </c>
      <c r="M59" s="486" t="s">
        <v>17</v>
      </c>
      <c r="N59" s="488">
        <v>8.5106382999999994E-2</v>
      </c>
      <c r="O59" s="486" t="s">
        <v>19</v>
      </c>
      <c r="P59" s="488">
        <v>0.84089392900000004</v>
      </c>
      <c r="Q59" s="486" t="s">
        <v>17</v>
      </c>
      <c r="R59" s="488">
        <v>1</v>
      </c>
      <c r="S59" s="486"/>
      <c r="T59" s="496">
        <v>1.7976806146711036E-3</v>
      </c>
      <c r="U59" s="485"/>
      <c r="V59" s="176">
        <f t="shared" si="8"/>
        <v>1.7976806146711036E-3</v>
      </c>
      <c r="W59" s="176">
        <f t="shared" si="62"/>
        <v>1.7976806146711036E-3</v>
      </c>
      <c r="X59" s="176">
        <f t="shared" si="62"/>
        <v>1.7976806146711036E-3</v>
      </c>
      <c r="Y59" s="34">
        <f>X59/Calculation_sheet!M$67</f>
        <v>1.7977173708195423E-3</v>
      </c>
      <c r="Z59" s="176">
        <f ca="1">IF(AN59&gt;0,Y59*Calculation_sheet!C$87,0)</f>
        <v>0</v>
      </c>
      <c r="AA59" s="176">
        <f t="shared" ca="1" si="63"/>
        <v>1.7977173708195423E-3</v>
      </c>
      <c r="AB59" s="176">
        <f ca="1">IF(AP59&gt;0,AA59*Calculation_sheet!C$94,0)</f>
        <v>0</v>
      </c>
      <c r="AC59" s="176">
        <f t="shared" ca="1" si="54"/>
        <v>1.7977173708195423E-3</v>
      </c>
      <c r="AD59" s="958">
        <f ca="1">AC59*Calculation_sheet!C$99</f>
        <v>1.0786304224917253E-3</v>
      </c>
      <c r="AE59" s="176">
        <f t="shared" ca="1" si="54"/>
        <v>7.1908694832781696E-4</v>
      </c>
      <c r="AF59" s="176">
        <f t="shared" ca="1" si="64"/>
        <v>1.7977173708195423E-3</v>
      </c>
      <c r="AG59" s="958">
        <f ca="1">AF59*User_sheet!B$77/100</f>
        <v>0</v>
      </c>
      <c r="AH59" s="313"/>
      <c r="AI59" s="908">
        <v>201</v>
      </c>
      <c r="AJ59" s="313"/>
      <c r="AK59" s="1020">
        <f t="shared" ca="1" si="12"/>
        <v>337.24939391648741</v>
      </c>
      <c r="AL59" s="954">
        <f ca="1">AK59/'201'!I$24</f>
        <v>1.7589808267693494</v>
      </c>
      <c r="AM59" s="954">
        <f ca="1">0.8*(AK59*30+'201'!D$17*0.34*30*1)</f>
        <v>10184.185773995699</v>
      </c>
      <c r="AN59" s="954">
        <f ca="1">IF(AM59&lt;User_sheet!B$50,Y59,0)</f>
        <v>0</v>
      </c>
      <c r="AO59" s="954">
        <f ca="1">20-(User_sheet!B$57/(AK59+'201'!D$17*1*0.34))</f>
        <v>6.5674092130855311</v>
      </c>
      <c r="AP59" s="954">
        <f ca="1">IF(AO59&lt;User_sheet!B$59,0,BC59*AA59)</f>
        <v>0</v>
      </c>
      <c r="AQ59" s="313"/>
      <c r="AR59" s="909">
        <v>0.48</v>
      </c>
      <c r="AS59" s="909">
        <v>3.7</v>
      </c>
      <c r="AT59" s="909">
        <v>7.9</v>
      </c>
      <c r="AU59" s="909">
        <v>2.75</v>
      </c>
      <c r="AV59" s="909">
        <v>3.3</v>
      </c>
      <c r="AW59" s="909">
        <v>10916.451096266603</v>
      </c>
      <c r="AX59" s="909">
        <v>76466.30421774846</v>
      </c>
      <c r="AY59" s="909">
        <v>67352.647733737584</v>
      </c>
      <c r="AZ59" s="909">
        <v>0</v>
      </c>
      <c r="BA59" s="909">
        <v>0</v>
      </c>
      <c r="BB59" s="909">
        <v>0.6</v>
      </c>
      <c r="BC59" s="919">
        <v>0</v>
      </c>
      <c r="BD59" s="920">
        <v>0</v>
      </c>
      <c r="BE59" s="920">
        <v>0</v>
      </c>
      <c r="BF59" s="921">
        <v>1</v>
      </c>
      <c r="BG59" s="909">
        <v>0</v>
      </c>
      <c r="BH59" s="909">
        <v>1</v>
      </c>
      <c r="BI59" s="921">
        <v>0</v>
      </c>
      <c r="BJ59" s="909">
        <v>0</v>
      </c>
      <c r="BK59" s="909">
        <v>0</v>
      </c>
      <c r="BL59" s="909">
        <v>0</v>
      </c>
      <c r="BM59" s="921">
        <v>1</v>
      </c>
      <c r="BN59" s="958">
        <v>0</v>
      </c>
      <c r="BO59" s="959">
        <v>18</v>
      </c>
      <c r="BP59">
        <f t="shared" ca="1" si="55"/>
        <v>102.96</v>
      </c>
      <c r="BQ59">
        <f t="shared" ca="1" si="56"/>
        <v>174.94399999999999</v>
      </c>
      <c r="BR59">
        <f t="shared" ca="1" si="57"/>
        <v>37.440000000000005</v>
      </c>
      <c r="BS59">
        <f t="shared" ca="1" si="58"/>
        <v>112.95</v>
      </c>
      <c r="BT59">
        <f t="shared" ca="1" si="59"/>
        <v>34.32</v>
      </c>
      <c r="BU59">
        <f t="shared" ca="1" si="60"/>
        <v>7</v>
      </c>
      <c r="BV59">
        <f t="shared" ca="1" si="61"/>
        <v>4.3</v>
      </c>
      <c r="BW59" s="1018">
        <v>0</v>
      </c>
      <c r="BX59">
        <f t="shared" ca="1" si="38"/>
        <v>16.590841949778437</v>
      </c>
      <c r="BY59">
        <f t="shared" ca="1" si="39"/>
        <v>254.61921202274573</v>
      </c>
      <c r="BZ59">
        <f t="shared" ca="1" si="15"/>
        <v>37.76262239729882</v>
      </c>
      <c r="CA59">
        <f t="shared" ca="1" si="16"/>
        <v>19.249999989412501</v>
      </c>
      <c r="CB59">
        <f t="shared" ca="1" si="40"/>
        <v>9.0267175572519083</v>
      </c>
      <c r="CC59" s="1018">
        <f t="shared" si="18"/>
        <v>0</v>
      </c>
      <c r="CD59" s="1018">
        <f t="shared" ca="1" si="65"/>
        <v>337.24939391648741</v>
      </c>
      <c r="CE59" s="1018">
        <f t="shared" ca="1" si="66"/>
        <v>118.24810168778664</v>
      </c>
      <c r="CF59">
        <f t="shared" ca="1" si="21"/>
        <v>13.664924868128221</v>
      </c>
      <c r="CG59">
        <f t="shared" ca="1" si="22"/>
        <v>22751.553308438764</v>
      </c>
    </row>
    <row r="60" spans="4:85" s="14" customFormat="1" x14ac:dyDescent="0.25">
      <c r="D60" s="494"/>
      <c r="E60" s="493"/>
      <c r="F60" s="494"/>
      <c r="G60" s="493"/>
      <c r="H60" s="494"/>
      <c r="I60" s="493"/>
      <c r="J60" s="494"/>
      <c r="K60" s="495"/>
      <c r="L60" s="494"/>
      <c r="M60" s="494"/>
      <c r="N60" s="494"/>
      <c r="O60" s="494"/>
      <c r="P60" s="494"/>
      <c r="Q60" s="494"/>
      <c r="R60" s="494"/>
      <c r="S60" s="494"/>
      <c r="T60" s="498"/>
      <c r="U60" s="493"/>
      <c r="V60" s="292"/>
      <c r="W60" s="292"/>
      <c r="X60" s="292"/>
      <c r="Y60" s="277"/>
      <c r="Z60" s="292"/>
      <c r="AA60" s="292"/>
      <c r="AB60" s="292"/>
      <c r="AC60" s="292"/>
      <c r="AD60" s="277"/>
      <c r="AE60" s="292"/>
      <c r="AF60" s="292"/>
      <c r="AG60" s="277"/>
      <c r="AH60" s="313"/>
      <c r="AI60" s="913"/>
      <c r="AJ60" s="313"/>
      <c r="AK60" s="1020">
        <f t="shared" si="12"/>
        <v>0</v>
      </c>
      <c r="AL60" s="941"/>
      <c r="AM60" s="941"/>
      <c r="AN60" s="986"/>
      <c r="AO60" s="986"/>
      <c r="AP60" s="986"/>
      <c r="AQ60" s="313"/>
      <c r="AR60" s="918"/>
      <c r="AS60" s="918"/>
      <c r="AT60" s="918"/>
      <c r="AU60" s="918"/>
      <c r="AV60" s="918"/>
      <c r="AW60" s="918"/>
      <c r="AX60" s="918"/>
      <c r="AY60" s="918"/>
      <c r="AZ60" s="918"/>
      <c r="BA60" s="918"/>
      <c r="BB60" s="918"/>
      <c r="BC60" s="45"/>
      <c r="BD60" s="277"/>
      <c r="BE60" s="277"/>
      <c r="BF60" s="49"/>
      <c r="BG60" s="918"/>
      <c r="BH60" s="918"/>
      <c r="BI60" s="49"/>
      <c r="BJ60" s="918"/>
      <c r="BK60" s="918"/>
      <c r="BL60" s="918"/>
      <c r="BM60" s="49"/>
      <c r="BN60" s="277"/>
      <c r="BO60" s="49"/>
      <c r="BW60" s="928"/>
      <c r="CC60" s="928"/>
      <c r="CD60" s="928"/>
      <c r="CE60" s="928"/>
    </row>
    <row r="61" spans="4:85" x14ac:dyDescent="0.25">
      <c r="D61" s="486"/>
      <c r="E61" s="485"/>
      <c r="F61" s="486"/>
      <c r="G61" s="485"/>
      <c r="H61" s="486"/>
      <c r="I61" s="485"/>
      <c r="J61" s="486"/>
      <c r="K61" s="489"/>
      <c r="L61" s="491"/>
      <c r="M61" s="486"/>
      <c r="N61" s="486"/>
      <c r="O61" s="486"/>
      <c r="P61" s="486"/>
      <c r="Q61" s="486" t="s">
        <v>16</v>
      </c>
      <c r="R61" s="488">
        <v>0.73860000000000003</v>
      </c>
      <c r="S61" s="486"/>
      <c r="T61" s="496">
        <v>0</v>
      </c>
      <c r="U61" s="485"/>
      <c r="V61" s="176">
        <f t="shared" si="8"/>
        <v>0</v>
      </c>
      <c r="W61" s="176">
        <f>V61</f>
        <v>0</v>
      </c>
      <c r="X61" s="176">
        <f>W61-W61*Calculation_sheet!O$76</f>
        <v>0</v>
      </c>
      <c r="Y61" s="34">
        <f>X61/Calculation_sheet!M$67</f>
        <v>0</v>
      </c>
      <c r="Z61" s="176">
        <f ca="1">IF(AN61&gt;0,Y61*Calculation_sheet!C$87,0)</f>
        <v>0</v>
      </c>
      <c r="AA61" s="176">
        <f ca="1">Y61-Z61</f>
        <v>0</v>
      </c>
      <c r="AB61" s="176">
        <f ca="1">IF(AP61&gt;0,AA61*Calculation_sheet!C$94,0)</f>
        <v>0</v>
      </c>
      <c r="AC61" s="176">
        <f t="shared" ref="AC61:AE71" ca="1" si="67">AA61-AB61</f>
        <v>0</v>
      </c>
      <c r="AD61" s="958">
        <f ca="1">AC61*Calculation_sheet!C$99</f>
        <v>0</v>
      </c>
      <c r="AE61" s="176">
        <f t="shared" ca="1" si="67"/>
        <v>0</v>
      </c>
      <c r="AF61" s="176">
        <f ca="1">Y61-AB61</f>
        <v>0</v>
      </c>
      <c r="AG61" s="958">
        <f ca="1">AF61*User_sheet!B$77/100</f>
        <v>0</v>
      </c>
      <c r="AH61" s="313"/>
      <c r="AI61" s="908">
        <v>201</v>
      </c>
      <c r="AJ61" s="313"/>
      <c r="AK61" s="1020">
        <f t="shared" ca="1" si="12"/>
        <v>444.91078977599011</v>
      </c>
      <c r="AL61" s="954">
        <f ca="1">AK61/'201'!I$24</f>
        <v>2.3205069095915616</v>
      </c>
      <c r="AM61" s="954">
        <f ca="1">0.8*(AK61*30+'201'!D$17*0.34*30*1)</f>
        <v>12768.059274623762</v>
      </c>
      <c r="AN61" s="954">
        <f ca="1">IF(AM61&lt;User_sheet!B$50,Y61,0)</f>
        <v>0</v>
      </c>
      <c r="AO61" s="954">
        <f ca="1">20-(User_sheet!B$57/(AK61+'201'!D$17*1*0.34))</f>
        <v>9.2857640258698524</v>
      </c>
      <c r="AP61" s="954">
        <f ca="1">IF(AO61&lt;User_sheet!B$59,0,BC61*AA61)</f>
        <v>0</v>
      </c>
      <c r="AQ61" s="313"/>
      <c r="AR61" s="909">
        <v>14.1</v>
      </c>
      <c r="AS61" s="909">
        <v>3.7</v>
      </c>
      <c r="AT61" s="909">
        <v>0.89</v>
      </c>
      <c r="AU61" s="909">
        <v>2.75</v>
      </c>
      <c r="AV61" s="909">
        <v>3.3</v>
      </c>
      <c r="AW61" s="909">
        <v>7211.5338771527777</v>
      </c>
      <c r="AX61" s="909">
        <v>76466.30421774846</v>
      </c>
      <c r="AY61" s="909">
        <v>79015.992973719694</v>
      </c>
      <c r="AZ61" s="909">
        <v>0</v>
      </c>
      <c r="BA61" s="909">
        <v>0</v>
      </c>
      <c r="BB61" s="909">
        <v>0.6</v>
      </c>
      <c r="BC61" s="919">
        <v>1</v>
      </c>
      <c r="BD61" s="920">
        <v>0</v>
      </c>
      <c r="BE61" s="920">
        <v>0</v>
      </c>
      <c r="BF61" s="921">
        <v>0</v>
      </c>
      <c r="BG61" s="909">
        <v>1</v>
      </c>
      <c r="BH61" s="909">
        <v>0</v>
      </c>
      <c r="BI61" s="921">
        <v>0</v>
      </c>
      <c r="BJ61" s="909">
        <v>1</v>
      </c>
      <c r="BK61" s="909">
        <v>0</v>
      </c>
      <c r="BL61" s="909">
        <v>0</v>
      </c>
      <c r="BM61" s="921">
        <v>0</v>
      </c>
      <c r="BN61" s="958">
        <v>0</v>
      </c>
      <c r="BO61" s="959">
        <v>18</v>
      </c>
      <c r="BP61">
        <f t="shared" ref="BP61:BP71" ca="1" si="68">INDIRECT("'"&amp;AI61&amp;"'!"&amp;"B2")</f>
        <v>102.96</v>
      </c>
      <c r="BQ61">
        <f t="shared" ref="BQ61:BQ71" ca="1" si="69">INDIRECT("'"&amp;AI61&amp;"'!"&amp;"C12")+INDIRECT("'"&amp;AI61&amp;"'!"&amp;"C13")+INDIRECT("'"&amp;AI61&amp;"'!"&amp;"C14")+INDIRECT("'"&amp;AI61&amp;"'!"&amp;"C15")+INDIRECT("'"&amp;AI61&amp;"'!"&amp;"C17")</f>
        <v>174.94399999999999</v>
      </c>
      <c r="BR61">
        <f t="shared" ref="BR61:BR71" ca="1" si="70">INDIRECT("'"&amp;AI61&amp;"'!"&amp;"G5")</f>
        <v>37.440000000000005</v>
      </c>
      <c r="BS61">
        <f t="shared" ref="BS61:BS71" ca="1" si="71">INDIRECT("'"&amp;AI61&amp;"'!"&amp;"G4")</f>
        <v>112.95</v>
      </c>
      <c r="BT61">
        <f t="shared" ref="BT61:BT71" ca="1" si="72">INDIRECT("'"&amp;AI61&amp;"'!"&amp;"G6")</f>
        <v>34.32</v>
      </c>
      <c r="BU61">
        <f t="shared" ref="BU61:BU71" ca="1" si="73">INDIRECT("'"&amp;AI61&amp;"'!"&amp;"G2")</f>
        <v>7</v>
      </c>
      <c r="BV61">
        <f t="shared" ref="BV61:BV71" ca="1" si="74">INDIRECT("'"&amp;AI61&amp;"'!"&amp;"G3")</f>
        <v>4.3</v>
      </c>
      <c r="BW61" s="1018">
        <v>0</v>
      </c>
      <c r="BX61">
        <f t="shared" ca="1" si="38"/>
        <v>153.2822299651568</v>
      </c>
      <c r="BY61">
        <f t="shared" ca="1" si="39"/>
        <v>254.61921202274573</v>
      </c>
      <c r="BZ61">
        <f t="shared" ca="1" si="15"/>
        <v>8.7326302414231254</v>
      </c>
      <c r="CA61">
        <f t="shared" ca="1" si="16"/>
        <v>19.249999989412501</v>
      </c>
      <c r="CB61">
        <f t="shared" ca="1" si="40"/>
        <v>9.0267175572519083</v>
      </c>
      <c r="CC61" s="1018">
        <f t="shared" si="18"/>
        <v>0</v>
      </c>
      <c r="CD61" s="1018">
        <f ca="1">SUM(BX61:CC61)+(BR61+BS61+BT61+BU61+BV61)*BN61</f>
        <v>444.91078977599011</v>
      </c>
      <c r="CE61" s="1018">
        <f ca="1">0.34*BO61*(1/25)^0.66*(BR61+BS61+BU61+BV61)</f>
        <v>118.24810168778664</v>
      </c>
      <c r="CF61">
        <f t="shared" ca="1" si="21"/>
        <v>16.894766743913305</v>
      </c>
      <c r="CG61">
        <f t="shared" ca="1" si="22"/>
        <v>28129.110837945889</v>
      </c>
    </row>
    <row r="62" spans="4:85" x14ac:dyDescent="0.25">
      <c r="D62" s="486"/>
      <c r="E62" s="485"/>
      <c r="F62" s="486"/>
      <c r="G62" s="485"/>
      <c r="H62" s="486"/>
      <c r="I62" s="485"/>
      <c r="J62" s="486"/>
      <c r="K62" s="489"/>
      <c r="L62" s="491"/>
      <c r="M62" s="486"/>
      <c r="N62" s="486"/>
      <c r="O62" s="486" t="s">
        <v>18</v>
      </c>
      <c r="P62" s="488">
        <v>0.62953995200000001</v>
      </c>
      <c r="Q62" s="486" t="s">
        <v>7</v>
      </c>
      <c r="R62" s="488">
        <v>0.26140000000000002</v>
      </c>
      <c r="S62" s="486"/>
      <c r="T62" s="496">
        <v>0</v>
      </c>
      <c r="U62" s="485"/>
      <c r="V62" s="176">
        <f t="shared" si="8"/>
        <v>0</v>
      </c>
      <c r="W62" s="176">
        <f t="shared" ref="W62:W71" si="75">V62</f>
        <v>0</v>
      </c>
      <c r="X62" s="176">
        <f>W62-W62*Calculation_sheet!O$76</f>
        <v>0</v>
      </c>
      <c r="Y62" s="34">
        <f>X62/Calculation_sheet!M$67</f>
        <v>0</v>
      </c>
      <c r="Z62" s="176">
        <f ca="1">IF(AN62&gt;0,Y62*Calculation_sheet!C$87,0)</f>
        <v>0</v>
      </c>
      <c r="AA62" s="176">
        <f t="shared" ref="AA62:AA71" ca="1" si="76">Y62-Z62</f>
        <v>0</v>
      </c>
      <c r="AB62" s="176">
        <f ca="1">IF(AP62&gt;0,AA62*Calculation_sheet!C$94,0)</f>
        <v>0</v>
      </c>
      <c r="AC62" s="176">
        <f t="shared" ca="1" si="67"/>
        <v>0</v>
      </c>
      <c r="AD62" s="958">
        <f ca="1">AC62*Calculation_sheet!C$99</f>
        <v>0</v>
      </c>
      <c r="AE62" s="176">
        <f t="shared" ca="1" si="67"/>
        <v>0</v>
      </c>
      <c r="AF62" s="176">
        <f t="shared" ref="AF62:AF71" ca="1" si="77">Y62-AB62</f>
        <v>0</v>
      </c>
      <c r="AG62" s="958">
        <f ca="1">AF62*User_sheet!B$77/100</f>
        <v>0</v>
      </c>
      <c r="AH62" s="313"/>
      <c r="AI62" s="908">
        <v>201</v>
      </c>
      <c r="AJ62" s="313"/>
      <c r="AK62" s="1020">
        <f t="shared" ca="1" si="12"/>
        <v>444.91078977599011</v>
      </c>
      <c r="AL62" s="954">
        <f ca="1">AK62/'201'!I$24</f>
        <v>2.3205069095915616</v>
      </c>
      <c r="AM62" s="954">
        <f ca="1">0.8*(AK62*30+'201'!D$17*0.34*30*1)</f>
        <v>12768.059274623762</v>
      </c>
      <c r="AN62" s="954">
        <f ca="1">IF(AM62&lt;User_sheet!B$50,Y62,0)</f>
        <v>0</v>
      </c>
      <c r="AO62" s="954">
        <f ca="1">20-(User_sheet!B$57/(AK62+'201'!D$17*1*0.34))</f>
        <v>9.2857640258698524</v>
      </c>
      <c r="AP62" s="954">
        <f ca="1">IF(AO62&lt;User_sheet!B$59,0,BC62*AA62)</f>
        <v>0</v>
      </c>
      <c r="AQ62" s="313"/>
      <c r="AR62" s="909">
        <v>14.1</v>
      </c>
      <c r="AS62" s="909">
        <v>3.7</v>
      </c>
      <c r="AT62" s="909">
        <v>0.89</v>
      </c>
      <c r="AU62" s="909">
        <v>2.75</v>
      </c>
      <c r="AV62" s="909">
        <v>3.3</v>
      </c>
      <c r="AW62" s="909">
        <v>7211.5338771527777</v>
      </c>
      <c r="AX62" s="909">
        <v>76466.30421774846</v>
      </c>
      <c r="AY62" s="909">
        <v>79015.992973719694</v>
      </c>
      <c r="AZ62" s="909">
        <v>0</v>
      </c>
      <c r="BA62" s="909">
        <v>0</v>
      </c>
      <c r="BB62" s="909">
        <v>0.6</v>
      </c>
      <c r="BC62" s="919">
        <v>1</v>
      </c>
      <c r="BD62" s="920">
        <v>0</v>
      </c>
      <c r="BE62" s="920">
        <v>0</v>
      </c>
      <c r="BF62" s="921">
        <v>0</v>
      </c>
      <c r="BG62" s="909">
        <v>1</v>
      </c>
      <c r="BH62" s="909">
        <v>0</v>
      </c>
      <c r="BI62" s="921">
        <v>0</v>
      </c>
      <c r="BJ62" s="909">
        <v>0</v>
      </c>
      <c r="BK62" s="909">
        <v>0</v>
      </c>
      <c r="BL62" s="909">
        <v>1</v>
      </c>
      <c r="BM62" s="921">
        <v>0</v>
      </c>
      <c r="BN62" s="958">
        <v>0</v>
      </c>
      <c r="BO62" s="959">
        <v>18</v>
      </c>
      <c r="BP62">
        <f t="shared" ca="1" si="68"/>
        <v>102.96</v>
      </c>
      <c r="BQ62">
        <f t="shared" ca="1" si="69"/>
        <v>174.94399999999999</v>
      </c>
      <c r="BR62">
        <f t="shared" ca="1" si="70"/>
        <v>37.440000000000005</v>
      </c>
      <c r="BS62">
        <f t="shared" ca="1" si="71"/>
        <v>112.95</v>
      </c>
      <c r="BT62">
        <f t="shared" ca="1" si="72"/>
        <v>34.32</v>
      </c>
      <c r="BU62">
        <f t="shared" ca="1" si="73"/>
        <v>7</v>
      </c>
      <c r="BV62">
        <f t="shared" ca="1" si="74"/>
        <v>4.3</v>
      </c>
      <c r="BW62" s="1018">
        <v>0</v>
      </c>
      <c r="BX62">
        <f t="shared" ca="1" si="38"/>
        <v>153.2822299651568</v>
      </c>
      <c r="BY62">
        <f t="shared" ca="1" si="39"/>
        <v>254.61921202274573</v>
      </c>
      <c r="BZ62">
        <f t="shared" ca="1" si="15"/>
        <v>8.7326302414231254</v>
      </c>
      <c r="CA62">
        <f t="shared" ca="1" si="16"/>
        <v>19.249999989412501</v>
      </c>
      <c r="CB62">
        <f t="shared" ca="1" si="40"/>
        <v>9.0267175572519083</v>
      </c>
      <c r="CC62" s="1018">
        <f t="shared" si="18"/>
        <v>0</v>
      </c>
      <c r="CD62" s="1018">
        <f t="shared" ref="CD62:CD71" ca="1" si="78">SUM(BX62:CC62)+(BR62+BS62+BT62+BU62+BV62)*BN62</f>
        <v>444.91078977599011</v>
      </c>
      <c r="CE62" s="1018">
        <f t="shared" ref="CE62:CE71" ca="1" si="79">0.34*BO62*(1/25)^0.66*(BR62+BS62+BU62+BV62)</f>
        <v>118.24810168778664</v>
      </c>
      <c r="CF62">
        <f t="shared" ca="1" si="21"/>
        <v>16.894766743913305</v>
      </c>
      <c r="CG62">
        <f t="shared" ca="1" si="22"/>
        <v>28129.110837945889</v>
      </c>
    </row>
    <row r="63" spans="4:85" x14ac:dyDescent="0.25">
      <c r="D63" s="486"/>
      <c r="E63" s="485"/>
      <c r="F63" s="486"/>
      <c r="G63" s="485"/>
      <c r="H63" s="486"/>
      <c r="I63" s="485"/>
      <c r="J63" s="486"/>
      <c r="K63" s="489"/>
      <c r="L63" s="491"/>
      <c r="M63" s="486"/>
      <c r="N63" s="486"/>
      <c r="O63" s="486"/>
      <c r="P63" s="486"/>
      <c r="Q63" s="486" t="s">
        <v>16</v>
      </c>
      <c r="R63" s="488">
        <v>0.73860000000000003</v>
      </c>
      <c r="S63" s="486"/>
      <c r="T63" s="496">
        <v>0</v>
      </c>
      <c r="U63" s="485"/>
      <c r="V63" s="176">
        <f t="shared" si="8"/>
        <v>0</v>
      </c>
      <c r="W63" s="176">
        <f t="shared" si="75"/>
        <v>0</v>
      </c>
      <c r="X63" s="176">
        <f>W63-W63*Calculation_sheet!O$76</f>
        <v>0</v>
      </c>
      <c r="Y63" s="34">
        <f>X63/Calculation_sheet!M$67</f>
        <v>0</v>
      </c>
      <c r="Z63" s="176">
        <f ca="1">IF(AN63&gt;0,Y63*Calculation_sheet!C$87,0)</f>
        <v>0</v>
      </c>
      <c r="AA63" s="176">
        <f t="shared" ca="1" si="76"/>
        <v>0</v>
      </c>
      <c r="AB63" s="176">
        <f ca="1">IF(AP63&gt;0,AA63*Calculation_sheet!C$94,0)</f>
        <v>0</v>
      </c>
      <c r="AC63" s="176">
        <f t="shared" ca="1" si="67"/>
        <v>0</v>
      </c>
      <c r="AD63" s="958">
        <f ca="1">AC63*Calculation_sheet!C$99</f>
        <v>0</v>
      </c>
      <c r="AE63" s="176">
        <f t="shared" ca="1" si="67"/>
        <v>0</v>
      </c>
      <c r="AF63" s="176">
        <f t="shared" ca="1" si="77"/>
        <v>0</v>
      </c>
      <c r="AG63" s="958">
        <f ca="1">AF63*User_sheet!B$77/100</f>
        <v>0</v>
      </c>
      <c r="AH63" s="313"/>
      <c r="AI63" s="908">
        <v>201</v>
      </c>
      <c r="AJ63" s="313"/>
      <c r="AK63" s="1020">
        <f t="shared" ca="1" si="12"/>
        <v>444.91078977599011</v>
      </c>
      <c r="AL63" s="954">
        <f ca="1">AK63/'201'!I$24</f>
        <v>2.3205069095915616</v>
      </c>
      <c r="AM63" s="954">
        <f ca="1">0.8*(AK63*30+'201'!D$17*0.34*30*1)</f>
        <v>12768.059274623762</v>
      </c>
      <c r="AN63" s="954">
        <f ca="1">IF(AM63&lt;User_sheet!B$50,Y63,0)</f>
        <v>0</v>
      </c>
      <c r="AO63" s="954">
        <f ca="1">20-(User_sheet!B$57/(AK63+'201'!D$17*1*0.34))</f>
        <v>9.2857640258698524</v>
      </c>
      <c r="AP63" s="954">
        <f ca="1">IF(AO63&lt;User_sheet!B$59,0,BC63*AA63)</f>
        <v>0</v>
      </c>
      <c r="AQ63" s="313"/>
      <c r="AR63" s="909">
        <v>14.1</v>
      </c>
      <c r="AS63" s="909">
        <v>3.7</v>
      </c>
      <c r="AT63" s="909">
        <v>0.89</v>
      </c>
      <c r="AU63" s="909">
        <v>2.75</v>
      </c>
      <c r="AV63" s="909">
        <v>3.3</v>
      </c>
      <c r="AW63" s="909">
        <v>7211.5338771527777</v>
      </c>
      <c r="AX63" s="909">
        <v>76466.30421774846</v>
      </c>
      <c r="AY63" s="909">
        <v>79015.992973719694</v>
      </c>
      <c r="AZ63" s="909">
        <v>0</v>
      </c>
      <c r="BA63" s="909">
        <v>0</v>
      </c>
      <c r="BB63" s="909">
        <v>0.6</v>
      </c>
      <c r="BC63" s="919">
        <v>1</v>
      </c>
      <c r="BD63" s="920">
        <v>0</v>
      </c>
      <c r="BE63" s="920">
        <v>0</v>
      </c>
      <c r="BF63" s="921">
        <v>0</v>
      </c>
      <c r="BG63" s="909">
        <v>0</v>
      </c>
      <c r="BH63" s="909">
        <v>1</v>
      </c>
      <c r="BI63" s="921">
        <v>0</v>
      </c>
      <c r="BJ63" s="909">
        <v>1</v>
      </c>
      <c r="BK63" s="909">
        <v>0</v>
      </c>
      <c r="BL63" s="909">
        <v>0</v>
      </c>
      <c r="BM63" s="921">
        <v>0</v>
      </c>
      <c r="BN63" s="958">
        <v>0</v>
      </c>
      <c r="BO63" s="959">
        <v>18</v>
      </c>
      <c r="BP63">
        <f t="shared" ca="1" si="68"/>
        <v>102.96</v>
      </c>
      <c r="BQ63">
        <f t="shared" ca="1" si="69"/>
        <v>174.94399999999999</v>
      </c>
      <c r="BR63">
        <f t="shared" ca="1" si="70"/>
        <v>37.440000000000005</v>
      </c>
      <c r="BS63">
        <f t="shared" ca="1" si="71"/>
        <v>112.95</v>
      </c>
      <c r="BT63">
        <f t="shared" ca="1" si="72"/>
        <v>34.32</v>
      </c>
      <c r="BU63">
        <f t="shared" ca="1" si="73"/>
        <v>7</v>
      </c>
      <c r="BV63">
        <f t="shared" ca="1" si="74"/>
        <v>4.3</v>
      </c>
      <c r="BW63" s="1018">
        <v>0</v>
      </c>
      <c r="BX63">
        <f t="shared" ca="1" si="38"/>
        <v>153.2822299651568</v>
      </c>
      <c r="BY63">
        <f t="shared" ca="1" si="39"/>
        <v>254.61921202274573</v>
      </c>
      <c r="BZ63">
        <f t="shared" ca="1" si="15"/>
        <v>8.7326302414231254</v>
      </c>
      <c r="CA63">
        <f t="shared" ca="1" si="16"/>
        <v>19.249999989412501</v>
      </c>
      <c r="CB63">
        <f t="shared" ca="1" si="40"/>
        <v>9.0267175572519083</v>
      </c>
      <c r="CC63" s="1018">
        <f t="shared" si="18"/>
        <v>0</v>
      </c>
      <c r="CD63" s="1018">
        <f t="shared" ca="1" si="78"/>
        <v>444.91078977599011</v>
      </c>
      <c r="CE63" s="1018">
        <f t="shared" ca="1" si="79"/>
        <v>118.24810168778664</v>
      </c>
      <c r="CF63">
        <f t="shared" ca="1" si="21"/>
        <v>16.894766743913305</v>
      </c>
      <c r="CG63">
        <f t="shared" ca="1" si="22"/>
        <v>28129.110837945889</v>
      </c>
    </row>
    <row r="64" spans="4:85" x14ac:dyDescent="0.25">
      <c r="D64" s="486"/>
      <c r="E64" s="485"/>
      <c r="F64" s="486"/>
      <c r="G64" s="485"/>
      <c r="H64" s="486"/>
      <c r="I64" s="485"/>
      <c r="J64" s="486"/>
      <c r="K64" s="489"/>
      <c r="L64" s="491"/>
      <c r="M64" s="486" t="s">
        <v>16</v>
      </c>
      <c r="N64" s="488">
        <v>0.44680851100000002</v>
      </c>
      <c r="O64" s="486" t="s">
        <v>19</v>
      </c>
      <c r="P64" s="488">
        <v>0.37046004799999999</v>
      </c>
      <c r="Q64" s="486" t="s">
        <v>7</v>
      </c>
      <c r="R64" s="488">
        <v>0.26140000000000002</v>
      </c>
      <c r="S64" s="486"/>
      <c r="T64" s="496">
        <v>0</v>
      </c>
      <c r="U64" s="485"/>
      <c r="V64" s="176">
        <f t="shared" si="8"/>
        <v>0</v>
      </c>
      <c r="W64" s="176">
        <f t="shared" si="75"/>
        <v>0</v>
      </c>
      <c r="X64" s="176">
        <f>W64-W64*Calculation_sheet!O$76</f>
        <v>0</v>
      </c>
      <c r="Y64" s="34">
        <f>X64/Calculation_sheet!M$67</f>
        <v>0</v>
      </c>
      <c r="Z64" s="176">
        <f ca="1">IF(AN64&gt;0,Y64*Calculation_sheet!C$87,0)</f>
        <v>0</v>
      </c>
      <c r="AA64" s="176">
        <f t="shared" ca="1" si="76"/>
        <v>0</v>
      </c>
      <c r="AB64" s="176">
        <f ca="1">IF(AP64&gt;0,AA64*Calculation_sheet!C$94,0)</f>
        <v>0</v>
      </c>
      <c r="AC64" s="176">
        <f t="shared" ca="1" si="67"/>
        <v>0</v>
      </c>
      <c r="AD64" s="958">
        <f ca="1">AC64*Calculation_sheet!C$99</f>
        <v>0</v>
      </c>
      <c r="AE64" s="176">
        <f t="shared" ca="1" si="67"/>
        <v>0</v>
      </c>
      <c r="AF64" s="176">
        <f t="shared" ca="1" si="77"/>
        <v>0</v>
      </c>
      <c r="AG64" s="958">
        <f ca="1">AF64*User_sheet!B$77/100</f>
        <v>0</v>
      </c>
      <c r="AH64" s="313"/>
      <c r="AI64" s="908">
        <v>201</v>
      </c>
      <c r="AJ64" s="313"/>
      <c r="AK64" s="1020">
        <f t="shared" ca="1" si="12"/>
        <v>444.91078977599011</v>
      </c>
      <c r="AL64" s="954">
        <f ca="1">AK64/'201'!I$24</f>
        <v>2.3205069095915616</v>
      </c>
      <c r="AM64" s="954">
        <f ca="1">0.8*(AK64*30+'201'!D$17*0.34*30*1)</f>
        <v>12768.059274623762</v>
      </c>
      <c r="AN64" s="954">
        <f ca="1">IF(AM64&lt;User_sheet!B$50,Y64,0)</f>
        <v>0</v>
      </c>
      <c r="AO64" s="954">
        <f ca="1">20-(User_sheet!B$57/(AK64+'201'!D$17*1*0.34))</f>
        <v>9.2857640258698524</v>
      </c>
      <c r="AP64" s="954">
        <f ca="1">IF(AO64&lt;User_sheet!B$59,0,BC64*AA64)</f>
        <v>0</v>
      </c>
      <c r="AQ64" s="313"/>
      <c r="AR64" s="909">
        <v>14.1</v>
      </c>
      <c r="AS64" s="909">
        <v>3.7</v>
      </c>
      <c r="AT64" s="909">
        <v>0.89</v>
      </c>
      <c r="AU64" s="909">
        <v>2.75</v>
      </c>
      <c r="AV64" s="909">
        <v>3.3</v>
      </c>
      <c r="AW64" s="909">
        <v>7211.5338771527777</v>
      </c>
      <c r="AX64" s="909">
        <v>76466.30421774846</v>
      </c>
      <c r="AY64" s="909">
        <v>79015.992973719694</v>
      </c>
      <c r="AZ64" s="909">
        <v>0</v>
      </c>
      <c r="BA64" s="909">
        <v>0</v>
      </c>
      <c r="BB64" s="909">
        <v>0.6</v>
      </c>
      <c r="BC64" s="919">
        <v>1</v>
      </c>
      <c r="BD64" s="920">
        <v>0</v>
      </c>
      <c r="BE64" s="920">
        <v>0</v>
      </c>
      <c r="BF64" s="921">
        <v>0</v>
      </c>
      <c r="BG64" s="909">
        <v>0</v>
      </c>
      <c r="BH64" s="909">
        <v>1</v>
      </c>
      <c r="BI64" s="921">
        <v>0</v>
      </c>
      <c r="BJ64" s="909">
        <v>0</v>
      </c>
      <c r="BK64" s="909">
        <v>0</v>
      </c>
      <c r="BL64" s="909">
        <v>1</v>
      </c>
      <c r="BM64" s="921">
        <v>0</v>
      </c>
      <c r="BN64" s="958">
        <v>0</v>
      </c>
      <c r="BO64" s="959">
        <v>18</v>
      </c>
      <c r="BP64">
        <f t="shared" ca="1" si="68"/>
        <v>102.96</v>
      </c>
      <c r="BQ64">
        <f t="shared" ca="1" si="69"/>
        <v>174.94399999999999</v>
      </c>
      <c r="BR64">
        <f t="shared" ca="1" si="70"/>
        <v>37.440000000000005</v>
      </c>
      <c r="BS64">
        <f t="shared" ca="1" si="71"/>
        <v>112.95</v>
      </c>
      <c r="BT64">
        <f t="shared" ca="1" si="72"/>
        <v>34.32</v>
      </c>
      <c r="BU64">
        <f t="shared" ca="1" si="73"/>
        <v>7</v>
      </c>
      <c r="BV64">
        <f t="shared" ca="1" si="74"/>
        <v>4.3</v>
      </c>
      <c r="BW64" s="1018">
        <v>0</v>
      </c>
      <c r="BX64">
        <f t="shared" ca="1" si="38"/>
        <v>153.2822299651568</v>
      </c>
      <c r="BY64">
        <f t="shared" ca="1" si="39"/>
        <v>254.61921202274573</v>
      </c>
      <c r="BZ64">
        <f t="shared" ca="1" si="15"/>
        <v>8.7326302414231254</v>
      </c>
      <c r="CA64">
        <f t="shared" ca="1" si="16"/>
        <v>19.249999989412501</v>
      </c>
      <c r="CB64">
        <f t="shared" ca="1" si="40"/>
        <v>9.0267175572519083</v>
      </c>
      <c r="CC64" s="1018">
        <f t="shared" si="18"/>
        <v>0</v>
      </c>
      <c r="CD64" s="1018">
        <f t="shared" ca="1" si="78"/>
        <v>444.91078977599011</v>
      </c>
      <c r="CE64" s="1018">
        <f t="shared" ca="1" si="79"/>
        <v>118.24810168778664</v>
      </c>
      <c r="CF64">
        <f t="shared" ca="1" si="21"/>
        <v>16.894766743913305</v>
      </c>
      <c r="CG64">
        <f t="shared" ca="1" si="22"/>
        <v>28129.110837945889</v>
      </c>
    </row>
    <row r="65" spans="3:85" x14ac:dyDescent="0.25">
      <c r="C65" s="485"/>
      <c r="D65" s="486"/>
      <c r="E65" s="485"/>
      <c r="F65" s="486"/>
      <c r="G65" s="485"/>
      <c r="H65" s="486"/>
      <c r="I65" s="485"/>
      <c r="J65" s="486"/>
      <c r="K65" s="489"/>
      <c r="L65" s="491"/>
      <c r="M65" s="486"/>
      <c r="N65" s="486"/>
      <c r="O65" s="486"/>
      <c r="P65" s="486"/>
      <c r="Q65" s="486" t="s">
        <v>22</v>
      </c>
      <c r="R65" s="488">
        <v>0.53710000000000002</v>
      </c>
      <c r="S65" s="486"/>
      <c r="T65" s="496">
        <v>0</v>
      </c>
      <c r="U65" s="485"/>
      <c r="V65" s="176">
        <f t="shared" si="8"/>
        <v>0</v>
      </c>
      <c r="W65" s="176">
        <f t="shared" si="75"/>
        <v>0</v>
      </c>
      <c r="X65" s="176">
        <f>W65-W65*Calculation_sheet!O$76</f>
        <v>0</v>
      </c>
      <c r="Y65" s="34">
        <f>X65/Calculation_sheet!M$67</f>
        <v>0</v>
      </c>
      <c r="Z65" s="176">
        <f ca="1">IF(AN65&gt;0,Y65*Calculation_sheet!C$87,0)</f>
        <v>0</v>
      </c>
      <c r="AA65" s="176">
        <f t="shared" ca="1" si="76"/>
        <v>0</v>
      </c>
      <c r="AB65" s="176">
        <f ca="1">IF(AP65&gt;0,AA65*Calculation_sheet!C$94,0)</f>
        <v>0</v>
      </c>
      <c r="AC65" s="176">
        <f t="shared" ca="1" si="67"/>
        <v>0</v>
      </c>
      <c r="AD65" s="958">
        <f ca="1">AC65*Calculation_sheet!C$99</f>
        <v>0</v>
      </c>
      <c r="AE65" s="176">
        <f t="shared" ca="1" si="67"/>
        <v>0</v>
      </c>
      <c r="AF65" s="176">
        <f t="shared" ca="1" si="77"/>
        <v>0</v>
      </c>
      <c r="AG65" s="958">
        <f ca="1">AF65*User_sheet!B$77/100</f>
        <v>0</v>
      </c>
      <c r="AH65" s="313"/>
      <c r="AI65" s="908">
        <v>201</v>
      </c>
      <c r="AJ65" s="313"/>
      <c r="AK65" s="1020">
        <f t="shared" ca="1" si="12"/>
        <v>444.91078977599011</v>
      </c>
      <c r="AL65" s="954">
        <f ca="1">AK65/'201'!I$24</f>
        <v>2.3205069095915616</v>
      </c>
      <c r="AM65" s="954">
        <f ca="1">0.8*(AK65*30+'201'!D$17*0.34*30*1)</f>
        <v>12768.059274623762</v>
      </c>
      <c r="AN65" s="954">
        <f ca="1">IF(AM65&lt;User_sheet!B$50,Y65,0)</f>
        <v>0</v>
      </c>
      <c r="AO65" s="954">
        <f ca="1">20-(User_sheet!B$57/(AK65+'201'!D$17*1*0.34))</f>
        <v>9.2857640258698524</v>
      </c>
      <c r="AP65" s="954">
        <f ca="1">IF(AO65&lt;User_sheet!B$59,0,BC65*AA65)</f>
        <v>0</v>
      </c>
      <c r="AQ65" s="313"/>
      <c r="AR65" s="909">
        <v>14.1</v>
      </c>
      <c r="AS65" s="909">
        <v>3.7</v>
      </c>
      <c r="AT65" s="909">
        <v>0.89</v>
      </c>
      <c r="AU65" s="909">
        <v>2.75</v>
      </c>
      <c r="AV65" s="909">
        <v>3.3</v>
      </c>
      <c r="AW65" s="909">
        <v>7211.5338771527777</v>
      </c>
      <c r="AX65" s="909">
        <v>76466.30421774846</v>
      </c>
      <c r="AY65" s="909">
        <v>79015.992973719694</v>
      </c>
      <c r="AZ65" s="909">
        <v>0</v>
      </c>
      <c r="BA65" s="909">
        <v>0</v>
      </c>
      <c r="BB65" s="909">
        <v>0.6</v>
      </c>
      <c r="BC65" s="919">
        <v>0</v>
      </c>
      <c r="BD65" s="920">
        <v>1</v>
      </c>
      <c r="BE65" s="920">
        <v>0</v>
      </c>
      <c r="BF65" s="921">
        <v>0</v>
      </c>
      <c r="BG65" s="909">
        <v>1</v>
      </c>
      <c r="BH65" s="909">
        <v>0</v>
      </c>
      <c r="BI65" s="921">
        <v>0</v>
      </c>
      <c r="BJ65" s="909">
        <v>0</v>
      </c>
      <c r="BK65" s="909">
        <v>1</v>
      </c>
      <c r="BL65" s="909">
        <v>0</v>
      </c>
      <c r="BM65" s="921">
        <v>0</v>
      </c>
      <c r="BN65" s="958">
        <v>0</v>
      </c>
      <c r="BO65" s="959">
        <v>18</v>
      </c>
      <c r="BP65">
        <f t="shared" ca="1" si="68"/>
        <v>102.96</v>
      </c>
      <c r="BQ65">
        <f t="shared" ca="1" si="69"/>
        <v>174.94399999999999</v>
      </c>
      <c r="BR65">
        <f t="shared" ca="1" si="70"/>
        <v>37.440000000000005</v>
      </c>
      <c r="BS65">
        <f t="shared" ca="1" si="71"/>
        <v>112.95</v>
      </c>
      <c r="BT65">
        <f t="shared" ca="1" si="72"/>
        <v>34.32</v>
      </c>
      <c r="BU65">
        <f t="shared" ca="1" si="73"/>
        <v>7</v>
      </c>
      <c r="BV65">
        <f t="shared" ca="1" si="74"/>
        <v>4.3</v>
      </c>
      <c r="BW65" s="1018">
        <v>0</v>
      </c>
      <c r="BX65">
        <f t="shared" ca="1" si="38"/>
        <v>153.2822299651568</v>
      </c>
      <c r="BY65">
        <f t="shared" ca="1" si="39"/>
        <v>254.61921202274573</v>
      </c>
      <c r="BZ65">
        <f t="shared" ca="1" si="15"/>
        <v>8.7326302414231254</v>
      </c>
      <c r="CA65">
        <f t="shared" ca="1" si="16"/>
        <v>19.249999989412501</v>
      </c>
      <c r="CB65">
        <f t="shared" ca="1" si="40"/>
        <v>9.0267175572519083</v>
      </c>
      <c r="CC65" s="1018">
        <f t="shared" si="18"/>
        <v>0</v>
      </c>
      <c r="CD65" s="1018">
        <f t="shared" ca="1" si="78"/>
        <v>444.91078977599011</v>
      </c>
      <c r="CE65" s="1018">
        <f t="shared" ca="1" si="79"/>
        <v>118.24810168778664</v>
      </c>
      <c r="CF65">
        <f t="shared" ca="1" si="21"/>
        <v>16.894766743913305</v>
      </c>
      <c r="CG65">
        <f t="shared" ca="1" si="22"/>
        <v>28129.110837945889</v>
      </c>
    </row>
    <row r="66" spans="3:85" x14ac:dyDescent="0.25">
      <c r="C66" s="485"/>
      <c r="D66" s="486"/>
      <c r="E66" s="485"/>
      <c r="F66" s="486"/>
      <c r="G66" s="485"/>
      <c r="H66" s="486"/>
      <c r="I66" s="485"/>
      <c r="J66" s="486"/>
      <c r="K66" s="489"/>
      <c r="L66" s="491"/>
      <c r="M66" s="486"/>
      <c r="N66" s="486"/>
      <c r="O66" s="486" t="s">
        <v>18</v>
      </c>
      <c r="P66" s="488">
        <v>0.80827067699999999</v>
      </c>
      <c r="Q66" s="486" t="s">
        <v>7</v>
      </c>
      <c r="R66" s="488">
        <v>0.46289999999999998</v>
      </c>
      <c r="S66" s="486"/>
      <c r="T66" s="496">
        <v>0</v>
      </c>
      <c r="U66" s="485"/>
      <c r="V66" s="176">
        <f t="shared" si="8"/>
        <v>0</v>
      </c>
      <c r="W66" s="176">
        <f t="shared" si="75"/>
        <v>0</v>
      </c>
      <c r="X66" s="176">
        <f>W66-W66*Calculation_sheet!O$76</f>
        <v>0</v>
      </c>
      <c r="Y66" s="34">
        <f>X66/Calculation_sheet!M$67</f>
        <v>0</v>
      </c>
      <c r="Z66" s="176">
        <f ca="1">IF(AN66&gt;0,Y66*Calculation_sheet!C$87,0)</f>
        <v>0</v>
      </c>
      <c r="AA66" s="176">
        <f t="shared" ca="1" si="76"/>
        <v>0</v>
      </c>
      <c r="AB66" s="176">
        <f ca="1">IF(AP66&gt;0,AA66*Calculation_sheet!C$94,0)</f>
        <v>0</v>
      </c>
      <c r="AC66" s="176">
        <f t="shared" ca="1" si="67"/>
        <v>0</v>
      </c>
      <c r="AD66" s="958">
        <f ca="1">AC66*Calculation_sheet!C$99</f>
        <v>0</v>
      </c>
      <c r="AE66" s="176">
        <f t="shared" ca="1" si="67"/>
        <v>0</v>
      </c>
      <c r="AF66" s="176">
        <f t="shared" ca="1" si="77"/>
        <v>0</v>
      </c>
      <c r="AG66" s="958">
        <f ca="1">AF66*User_sheet!B$77/100</f>
        <v>0</v>
      </c>
      <c r="AH66" s="313"/>
      <c r="AI66" s="908">
        <v>201</v>
      </c>
      <c r="AJ66" s="313"/>
      <c r="AK66" s="1020">
        <f t="shared" ca="1" si="12"/>
        <v>444.91078977599011</v>
      </c>
      <c r="AL66" s="954">
        <f ca="1">AK66/'201'!I$24</f>
        <v>2.3205069095915616</v>
      </c>
      <c r="AM66" s="954">
        <f ca="1">0.8*(AK66*30+'201'!D$17*0.34*30*1)</f>
        <v>12768.059274623762</v>
      </c>
      <c r="AN66" s="954">
        <f ca="1">IF(AM66&lt;User_sheet!B$50,Y66,0)</f>
        <v>0</v>
      </c>
      <c r="AO66" s="954">
        <f ca="1">20-(User_sheet!B$57/(AK66+'201'!D$17*1*0.34))</f>
        <v>9.2857640258698524</v>
      </c>
      <c r="AP66" s="954">
        <f ca="1">IF(AO66&lt;User_sheet!B$59,0,BC66*AA66)</f>
        <v>0</v>
      </c>
      <c r="AQ66" s="313"/>
      <c r="AR66" s="909">
        <v>14.1</v>
      </c>
      <c r="AS66" s="909">
        <v>3.7</v>
      </c>
      <c r="AT66" s="909">
        <v>0.89</v>
      </c>
      <c r="AU66" s="909">
        <v>2.75</v>
      </c>
      <c r="AV66" s="909">
        <v>3.3</v>
      </c>
      <c r="AW66" s="909">
        <v>7211.5338771527777</v>
      </c>
      <c r="AX66" s="909">
        <v>76466.30421774846</v>
      </c>
      <c r="AY66" s="909">
        <v>79015.992973719694</v>
      </c>
      <c r="AZ66" s="909">
        <v>0</v>
      </c>
      <c r="BA66" s="909">
        <v>0</v>
      </c>
      <c r="BB66" s="909">
        <v>0.6</v>
      </c>
      <c r="BC66" s="919">
        <v>0</v>
      </c>
      <c r="BD66" s="920">
        <v>1</v>
      </c>
      <c r="BE66" s="920">
        <v>0</v>
      </c>
      <c r="BF66" s="921">
        <v>0</v>
      </c>
      <c r="BG66" s="909">
        <v>1</v>
      </c>
      <c r="BH66" s="909">
        <v>0</v>
      </c>
      <c r="BI66" s="921">
        <v>0</v>
      </c>
      <c r="BJ66" s="909">
        <v>0</v>
      </c>
      <c r="BK66" s="909">
        <v>0</v>
      </c>
      <c r="BL66" s="909">
        <v>1</v>
      </c>
      <c r="BM66" s="921">
        <v>0</v>
      </c>
      <c r="BN66" s="958">
        <v>0</v>
      </c>
      <c r="BO66" s="959">
        <v>18</v>
      </c>
      <c r="BP66">
        <f t="shared" ca="1" si="68"/>
        <v>102.96</v>
      </c>
      <c r="BQ66">
        <f t="shared" ca="1" si="69"/>
        <v>174.94399999999999</v>
      </c>
      <c r="BR66">
        <f t="shared" ca="1" si="70"/>
        <v>37.440000000000005</v>
      </c>
      <c r="BS66">
        <f t="shared" ca="1" si="71"/>
        <v>112.95</v>
      </c>
      <c r="BT66">
        <f t="shared" ca="1" si="72"/>
        <v>34.32</v>
      </c>
      <c r="BU66">
        <f t="shared" ca="1" si="73"/>
        <v>7</v>
      </c>
      <c r="BV66">
        <f t="shared" ca="1" si="74"/>
        <v>4.3</v>
      </c>
      <c r="BW66" s="1018">
        <v>0</v>
      </c>
      <c r="BX66">
        <f t="shared" ca="1" si="38"/>
        <v>153.2822299651568</v>
      </c>
      <c r="BY66">
        <f t="shared" ca="1" si="39"/>
        <v>254.61921202274573</v>
      </c>
      <c r="BZ66">
        <f t="shared" ca="1" si="15"/>
        <v>8.7326302414231254</v>
      </c>
      <c r="CA66">
        <f t="shared" ca="1" si="16"/>
        <v>19.249999989412501</v>
      </c>
      <c r="CB66">
        <f t="shared" ca="1" si="40"/>
        <v>9.0267175572519083</v>
      </c>
      <c r="CC66" s="1018">
        <f t="shared" si="18"/>
        <v>0</v>
      </c>
      <c r="CD66" s="1018">
        <f t="shared" ca="1" si="78"/>
        <v>444.91078977599011</v>
      </c>
      <c r="CE66" s="1018">
        <f t="shared" ca="1" si="79"/>
        <v>118.24810168778664</v>
      </c>
      <c r="CF66">
        <f t="shared" ca="1" si="21"/>
        <v>16.894766743913305</v>
      </c>
      <c r="CG66">
        <f t="shared" ca="1" si="22"/>
        <v>28129.110837945889</v>
      </c>
    </row>
    <row r="67" spans="3:85" x14ac:dyDescent="0.25">
      <c r="C67" s="485"/>
      <c r="D67" s="486"/>
      <c r="E67" s="485"/>
      <c r="F67" s="486"/>
      <c r="G67" s="485"/>
      <c r="H67" s="486"/>
      <c r="I67" s="485"/>
      <c r="J67" s="486"/>
      <c r="K67" s="489"/>
      <c r="L67" s="491"/>
      <c r="M67" s="486"/>
      <c r="N67" s="486"/>
      <c r="O67" s="486"/>
      <c r="P67" s="486"/>
      <c r="Q67" s="486" t="s">
        <v>22</v>
      </c>
      <c r="R67" s="488">
        <v>0.53710000000000002</v>
      </c>
      <c r="S67" s="486"/>
      <c r="T67" s="496">
        <v>0</v>
      </c>
      <c r="U67" s="485"/>
      <c r="V67" s="176">
        <f t="shared" si="8"/>
        <v>0</v>
      </c>
      <c r="W67" s="176">
        <f t="shared" si="75"/>
        <v>0</v>
      </c>
      <c r="X67" s="176">
        <f>W67-W67*Calculation_sheet!O$76</f>
        <v>0</v>
      </c>
      <c r="Y67" s="34">
        <f>X67/Calculation_sheet!M$67</f>
        <v>0</v>
      </c>
      <c r="Z67" s="176">
        <f ca="1">IF(AN67&gt;0,Y67*Calculation_sheet!C$87,0)</f>
        <v>0</v>
      </c>
      <c r="AA67" s="176">
        <f t="shared" ca="1" si="76"/>
        <v>0</v>
      </c>
      <c r="AB67" s="176">
        <f ca="1">IF(AP67&gt;0,AA67*Calculation_sheet!C$94,0)</f>
        <v>0</v>
      </c>
      <c r="AC67" s="176">
        <f t="shared" ca="1" si="67"/>
        <v>0</v>
      </c>
      <c r="AD67" s="958">
        <f ca="1">AC67*Calculation_sheet!C$99</f>
        <v>0</v>
      </c>
      <c r="AE67" s="176">
        <f t="shared" ca="1" si="67"/>
        <v>0</v>
      </c>
      <c r="AF67" s="176">
        <f t="shared" ca="1" si="77"/>
        <v>0</v>
      </c>
      <c r="AG67" s="958">
        <f ca="1">AF67*User_sheet!B$77/100</f>
        <v>0</v>
      </c>
      <c r="AH67" s="313"/>
      <c r="AI67" s="908">
        <v>201</v>
      </c>
      <c r="AJ67" s="313"/>
      <c r="AK67" s="1020">
        <f t="shared" ca="1" si="12"/>
        <v>444.91078977599011</v>
      </c>
      <c r="AL67" s="954">
        <f ca="1">AK67/'201'!I$24</f>
        <v>2.3205069095915616</v>
      </c>
      <c r="AM67" s="954">
        <f ca="1">0.8*(AK67*30+'201'!D$17*0.34*30*1)</f>
        <v>12768.059274623762</v>
      </c>
      <c r="AN67" s="954">
        <f ca="1">IF(AM67&lt;User_sheet!B$50,Y67,0)</f>
        <v>0</v>
      </c>
      <c r="AO67" s="954">
        <f ca="1">20-(User_sheet!B$57/(AK67+'201'!D$17*1*0.34))</f>
        <v>9.2857640258698524</v>
      </c>
      <c r="AP67" s="954">
        <f ca="1">IF(AO67&lt;User_sheet!B$59,0,BC67*AA67)</f>
        <v>0</v>
      </c>
      <c r="AQ67" s="313"/>
      <c r="AR67" s="909">
        <v>14.1</v>
      </c>
      <c r="AS67" s="909">
        <v>3.7</v>
      </c>
      <c r="AT67" s="909">
        <v>0.89</v>
      </c>
      <c r="AU67" s="909">
        <v>2.75</v>
      </c>
      <c r="AV67" s="909">
        <v>3.3</v>
      </c>
      <c r="AW67" s="909">
        <v>7211.5338771527777</v>
      </c>
      <c r="AX67" s="909">
        <v>76466.30421774846</v>
      </c>
      <c r="AY67" s="909">
        <v>79015.992973719694</v>
      </c>
      <c r="AZ67" s="909">
        <v>0</v>
      </c>
      <c r="BA67" s="909">
        <v>0</v>
      </c>
      <c r="BB67" s="909">
        <v>0.6</v>
      </c>
      <c r="BC67" s="919">
        <v>0</v>
      </c>
      <c r="BD67" s="920">
        <v>1</v>
      </c>
      <c r="BE67" s="920">
        <v>0</v>
      </c>
      <c r="BF67" s="921">
        <v>0</v>
      </c>
      <c r="BG67" s="909">
        <v>0</v>
      </c>
      <c r="BH67" s="909">
        <v>1</v>
      </c>
      <c r="BI67" s="921">
        <v>0</v>
      </c>
      <c r="BJ67" s="909">
        <v>0</v>
      </c>
      <c r="BK67" s="909">
        <v>1</v>
      </c>
      <c r="BL67" s="909">
        <v>0</v>
      </c>
      <c r="BM67" s="921">
        <v>0</v>
      </c>
      <c r="BN67" s="958">
        <v>0</v>
      </c>
      <c r="BO67" s="959">
        <v>18</v>
      </c>
      <c r="BP67">
        <f t="shared" ca="1" si="68"/>
        <v>102.96</v>
      </c>
      <c r="BQ67">
        <f t="shared" ca="1" si="69"/>
        <v>174.94399999999999</v>
      </c>
      <c r="BR67">
        <f t="shared" ca="1" si="70"/>
        <v>37.440000000000005</v>
      </c>
      <c r="BS67">
        <f t="shared" ca="1" si="71"/>
        <v>112.95</v>
      </c>
      <c r="BT67">
        <f t="shared" ca="1" si="72"/>
        <v>34.32</v>
      </c>
      <c r="BU67">
        <f t="shared" ca="1" si="73"/>
        <v>7</v>
      </c>
      <c r="BV67">
        <f t="shared" ca="1" si="74"/>
        <v>4.3</v>
      </c>
      <c r="BW67" s="1018">
        <v>0</v>
      </c>
      <c r="BX67">
        <f t="shared" ca="1" si="38"/>
        <v>153.2822299651568</v>
      </c>
      <c r="BY67">
        <f t="shared" ca="1" si="39"/>
        <v>254.61921202274573</v>
      </c>
      <c r="BZ67">
        <f t="shared" ca="1" si="15"/>
        <v>8.7326302414231254</v>
      </c>
      <c r="CA67">
        <f t="shared" ca="1" si="16"/>
        <v>19.249999989412501</v>
      </c>
      <c r="CB67">
        <f t="shared" ca="1" si="40"/>
        <v>9.0267175572519083</v>
      </c>
      <c r="CC67" s="1018">
        <f t="shared" si="18"/>
        <v>0</v>
      </c>
      <c r="CD67" s="1018">
        <f t="shared" ca="1" si="78"/>
        <v>444.91078977599011</v>
      </c>
      <c r="CE67" s="1018">
        <f t="shared" ca="1" si="79"/>
        <v>118.24810168778664</v>
      </c>
      <c r="CF67">
        <f t="shared" ca="1" si="21"/>
        <v>16.894766743913305</v>
      </c>
      <c r="CG67">
        <f t="shared" ca="1" si="22"/>
        <v>28129.110837945889</v>
      </c>
    </row>
    <row r="68" spans="3:85" x14ac:dyDescent="0.25">
      <c r="C68" s="485"/>
      <c r="D68" s="486"/>
      <c r="E68" s="485"/>
      <c r="F68" s="486"/>
      <c r="G68" s="485"/>
      <c r="H68" s="486"/>
      <c r="I68" s="485"/>
      <c r="J68" s="486"/>
      <c r="K68" s="489"/>
      <c r="L68" s="491"/>
      <c r="M68" s="486" t="s">
        <v>22</v>
      </c>
      <c r="N68" s="488">
        <v>0.44680851100000002</v>
      </c>
      <c r="O68" s="486" t="s">
        <v>20</v>
      </c>
      <c r="P68" s="488">
        <v>0.19172932300000001</v>
      </c>
      <c r="Q68" s="486" t="s">
        <v>7</v>
      </c>
      <c r="R68" s="488">
        <v>0.46289999999999998</v>
      </c>
      <c r="S68" s="486"/>
      <c r="T68" s="496">
        <v>0</v>
      </c>
      <c r="U68" s="485"/>
      <c r="V68" s="176">
        <f t="shared" si="8"/>
        <v>0</v>
      </c>
      <c r="W68" s="176">
        <f t="shared" si="75"/>
        <v>0</v>
      </c>
      <c r="X68" s="176">
        <f>W68-W68*Calculation_sheet!O$76</f>
        <v>0</v>
      </c>
      <c r="Y68" s="34">
        <f>X68/Calculation_sheet!M$67</f>
        <v>0</v>
      </c>
      <c r="Z68" s="176">
        <f ca="1">IF(AN68&gt;0,Y68*Calculation_sheet!C$87,0)</f>
        <v>0</v>
      </c>
      <c r="AA68" s="176">
        <f t="shared" ca="1" si="76"/>
        <v>0</v>
      </c>
      <c r="AB68" s="176">
        <f ca="1">IF(AP68&gt;0,AA68*Calculation_sheet!C$94,0)</f>
        <v>0</v>
      </c>
      <c r="AC68" s="176">
        <f t="shared" ca="1" si="67"/>
        <v>0</v>
      </c>
      <c r="AD68" s="958">
        <f ca="1">AC68*Calculation_sheet!C$99</f>
        <v>0</v>
      </c>
      <c r="AE68" s="176">
        <f t="shared" ca="1" si="67"/>
        <v>0</v>
      </c>
      <c r="AF68" s="176">
        <f t="shared" ca="1" si="77"/>
        <v>0</v>
      </c>
      <c r="AG68" s="958">
        <f ca="1">AF68*User_sheet!B$77/100</f>
        <v>0</v>
      </c>
      <c r="AH68" s="313"/>
      <c r="AI68" s="908">
        <v>201</v>
      </c>
      <c r="AJ68" s="313"/>
      <c r="AK68" s="1020">
        <f t="shared" ca="1" si="12"/>
        <v>444.91078977599011</v>
      </c>
      <c r="AL68" s="954">
        <f ca="1">AK68/'201'!I$24</f>
        <v>2.3205069095915616</v>
      </c>
      <c r="AM68" s="954">
        <f ca="1">0.8*(AK68*30+'201'!D$17*0.34*30*1)</f>
        <v>12768.059274623762</v>
      </c>
      <c r="AN68" s="954">
        <f ca="1">IF(AM68&lt;User_sheet!B$50,Y68,0)</f>
        <v>0</v>
      </c>
      <c r="AO68" s="954">
        <f ca="1">20-(User_sheet!B$57/(AK68+'201'!D$17*1*0.34))</f>
        <v>9.2857640258698524</v>
      </c>
      <c r="AP68" s="954">
        <f ca="1">IF(AO68&lt;User_sheet!B$59,0,BC68*AA68)</f>
        <v>0</v>
      </c>
      <c r="AQ68" s="313"/>
      <c r="AR68" s="909">
        <v>14.1</v>
      </c>
      <c r="AS68" s="909">
        <v>3.7</v>
      </c>
      <c r="AT68" s="909">
        <v>0.89</v>
      </c>
      <c r="AU68" s="909">
        <v>2.75</v>
      </c>
      <c r="AV68" s="909">
        <v>3.3</v>
      </c>
      <c r="AW68" s="909">
        <v>7211.5338771527777</v>
      </c>
      <c r="AX68" s="909">
        <v>76466.30421774846</v>
      </c>
      <c r="AY68" s="909">
        <v>79015.992973719694</v>
      </c>
      <c r="AZ68" s="909">
        <v>0</v>
      </c>
      <c r="BA68" s="909">
        <v>0</v>
      </c>
      <c r="BB68" s="909">
        <v>0.6</v>
      </c>
      <c r="BC68" s="919">
        <v>0</v>
      </c>
      <c r="BD68" s="920">
        <v>1</v>
      </c>
      <c r="BE68" s="920">
        <v>0</v>
      </c>
      <c r="BF68" s="921">
        <v>0</v>
      </c>
      <c r="BG68" s="909">
        <v>0</v>
      </c>
      <c r="BH68" s="909">
        <v>1</v>
      </c>
      <c r="BI68" s="921">
        <v>0</v>
      </c>
      <c r="BJ68" s="909">
        <v>0</v>
      </c>
      <c r="BK68" s="909">
        <v>0</v>
      </c>
      <c r="BL68" s="909">
        <v>1</v>
      </c>
      <c r="BM68" s="921">
        <v>0</v>
      </c>
      <c r="BN68" s="958">
        <v>0</v>
      </c>
      <c r="BO68" s="959">
        <v>18</v>
      </c>
      <c r="BP68">
        <f t="shared" ca="1" si="68"/>
        <v>102.96</v>
      </c>
      <c r="BQ68">
        <f t="shared" ca="1" si="69"/>
        <v>174.94399999999999</v>
      </c>
      <c r="BR68">
        <f t="shared" ca="1" si="70"/>
        <v>37.440000000000005</v>
      </c>
      <c r="BS68">
        <f t="shared" ca="1" si="71"/>
        <v>112.95</v>
      </c>
      <c r="BT68">
        <f t="shared" ca="1" si="72"/>
        <v>34.32</v>
      </c>
      <c r="BU68">
        <f t="shared" ca="1" si="73"/>
        <v>7</v>
      </c>
      <c r="BV68">
        <f t="shared" ca="1" si="74"/>
        <v>4.3</v>
      </c>
      <c r="BW68" s="1018">
        <v>0</v>
      </c>
      <c r="BX68">
        <f t="shared" ca="1" si="38"/>
        <v>153.2822299651568</v>
      </c>
      <c r="BY68">
        <f t="shared" ca="1" si="39"/>
        <v>254.61921202274573</v>
      </c>
      <c r="BZ68">
        <f t="shared" ca="1" si="15"/>
        <v>8.7326302414231254</v>
      </c>
      <c r="CA68">
        <f t="shared" ca="1" si="16"/>
        <v>19.249999989412501</v>
      </c>
      <c r="CB68">
        <f t="shared" ca="1" si="40"/>
        <v>9.0267175572519083</v>
      </c>
      <c r="CC68" s="1018">
        <f t="shared" si="18"/>
        <v>0</v>
      </c>
      <c r="CD68" s="1018">
        <f t="shared" ca="1" si="78"/>
        <v>444.91078977599011</v>
      </c>
      <c r="CE68" s="1018">
        <f t="shared" ca="1" si="79"/>
        <v>118.24810168778664</v>
      </c>
      <c r="CF68">
        <f t="shared" ca="1" si="21"/>
        <v>16.894766743913305</v>
      </c>
      <c r="CG68">
        <f t="shared" ca="1" si="22"/>
        <v>28129.110837945889</v>
      </c>
    </row>
    <row r="69" spans="3:85" x14ac:dyDescent="0.25">
      <c r="C69" s="485"/>
      <c r="D69" s="486"/>
      <c r="E69" s="485"/>
      <c r="F69" s="486"/>
      <c r="G69" s="485"/>
      <c r="H69" s="486"/>
      <c r="I69" s="485"/>
      <c r="J69" s="486"/>
      <c r="K69" s="489"/>
      <c r="L69" s="491"/>
      <c r="M69" s="486" t="s">
        <v>7</v>
      </c>
      <c r="N69" s="488">
        <v>2.1276595999999998E-2</v>
      </c>
      <c r="O69" s="486" t="s">
        <v>23</v>
      </c>
      <c r="P69" s="488">
        <v>1</v>
      </c>
      <c r="Q69" s="486" t="s">
        <v>7</v>
      </c>
      <c r="R69" s="488">
        <v>1</v>
      </c>
      <c r="S69" s="486"/>
      <c r="T69" s="496">
        <v>0</v>
      </c>
      <c r="U69" s="485"/>
      <c r="V69" s="176">
        <f t="shared" si="8"/>
        <v>0</v>
      </c>
      <c r="W69" s="176">
        <f t="shared" si="75"/>
        <v>0</v>
      </c>
      <c r="X69" s="176">
        <f>W69-W69*Calculation_sheet!O$76</f>
        <v>0</v>
      </c>
      <c r="Y69" s="34">
        <f>X69/Calculation_sheet!M$67</f>
        <v>0</v>
      </c>
      <c r="Z69" s="176">
        <f ca="1">IF(AN69&gt;0,Y69*Calculation_sheet!C$87,0)</f>
        <v>0</v>
      </c>
      <c r="AA69" s="176">
        <f t="shared" ca="1" si="76"/>
        <v>0</v>
      </c>
      <c r="AB69" s="176">
        <f ca="1">IF(AP69&gt;0,AA69*Calculation_sheet!C$94,0)</f>
        <v>0</v>
      </c>
      <c r="AC69" s="176">
        <f t="shared" ca="1" si="67"/>
        <v>0</v>
      </c>
      <c r="AD69" s="958">
        <f ca="1">AC69*Calculation_sheet!C$99</f>
        <v>0</v>
      </c>
      <c r="AE69" s="176">
        <f t="shared" ca="1" si="67"/>
        <v>0</v>
      </c>
      <c r="AF69" s="176">
        <f t="shared" ca="1" si="77"/>
        <v>0</v>
      </c>
      <c r="AG69" s="958">
        <f ca="1">AF69*User_sheet!B$77/100</f>
        <v>0</v>
      </c>
      <c r="AH69" s="313"/>
      <c r="AI69" s="908">
        <v>201</v>
      </c>
      <c r="AJ69" s="313"/>
      <c r="AK69" s="1020">
        <f t="shared" ca="1" si="12"/>
        <v>444.91078977599011</v>
      </c>
      <c r="AL69" s="954">
        <f ca="1">AK69/'201'!I$24</f>
        <v>2.3205069095915616</v>
      </c>
      <c r="AM69" s="954">
        <f ca="1">0.8*(AK69*30+'201'!D$17*0.34*30*1)</f>
        <v>12768.059274623762</v>
      </c>
      <c r="AN69" s="954">
        <f ca="1">IF(AM69&lt;User_sheet!B$50,Y69,0)</f>
        <v>0</v>
      </c>
      <c r="AO69" s="954">
        <f ca="1">20-(User_sheet!B$57/(AK69+'201'!D$17*1*0.34))</f>
        <v>9.2857640258698524</v>
      </c>
      <c r="AP69" s="954">
        <f ca="1">IF(AO69&lt;User_sheet!B$59,0,BC69*AA69)</f>
        <v>0</v>
      </c>
      <c r="AQ69" s="313"/>
      <c r="AR69" s="909">
        <v>14.1</v>
      </c>
      <c r="AS69" s="909">
        <v>3.7</v>
      </c>
      <c r="AT69" s="909">
        <v>0.89</v>
      </c>
      <c r="AU69" s="909">
        <v>2.75</v>
      </c>
      <c r="AV69" s="909">
        <v>3.3</v>
      </c>
      <c r="AW69" s="909">
        <v>7211.5338771527777</v>
      </c>
      <c r="AX69" s="909">
        <v>76466.30421774846</v>
      </c>
      <c r="AY69" s="909">
        <v>79015.992973719694</v>
      </c>
      <c r="AZ69" s="909">
        <v>0</v>
      </c>
      <c r="BA69" s="909">
        <v>0</v>
      </c>
      <c r="BB69" s="909">
        <v>0.6</v>
      </c>
      <c r="BC69" s="919">
        <v>0</v>
      </c>
      <c r="BD69" s="920">
        <v>0</v>
      </c>
      <c r="BE69" s="920">
        <v>1</v>
      </c>
      <c r="BF69" s="921">
        <v>0</v>
      </c>
      <c r="BG69" s="909">
        <v>0</v>
      </c>
      <c r="BH69" s="909">
        <v>0</v>
      </c>
      <c r="BI69" s="921">
        <v>1</v>
      </c>
      <c r="BJ69" s="909">
        <v>0</v>
      </c>
      <c r="BK69" s="909">
        <v>0</v>
      </c>
      <c r="BL69" s="909">
        <v>1</v>
      </c>
      <c r="BM69" s="921">
        <v>0</v>
      </c>
      <c r="BN69" s="958">
        <v>0</v>
      </c>
      <c r="BO69" s="959">
        <v>18</v>
      </c>
      <c r="BP69">
        <f t="shared" ca="1" si="68"/>
        <v>102.96</v>
      </c>
      <c r="BQ69">
        <f t="shared" ca="1" si="69"/>
        <v>174.94399999999999</v>
      </c>
      <c r="BR69">
        <f t="shared" ca="1" si="70"/>
        <v>37.440000000000005</v>
      </c>
      <c r="BS69">
        <f t="shared" ca="1" si="71"/>
        <v>112.95</v>
      </c>
      <c r="BT69">
        <f t="shared" ca="1" si="72"/>
        <v>34.32</v>
      </c>
      <c r="BU69">
        <f t="shared" ca="1" si="73"/>
        <v>7</v>
      </c>
      <c r="BV69">
        <f t="shared" ca="1" si="74"/>
        <v>4.3</v>
      </c>
      <c r="BW69" s="1018">
        <v>0</v>
      </c>
      <c r="BX69">
        <f t="shared" ca="1" si="38"/>
        <v>153.2822299651568</v>
      </c>
      <c r="BY69">
        <f t="shared" ca="1" si="39"/>
        <v>254.61921202274573</v>
      </c>
      <c r="BZ69">
        <f t="shared" ca="1" si="15"/>
        <v>8.7326302414231254</v>
      </c>
      <c r="CA69">
        <f t="shared" ca="1" si="16"/>
        <v>19.249999989412501</v>
      </c>
      <c r="CB69">
        <f t="shared" ca="1" si="40"/>
        <v>9.0267175572519083</v>
      </c>
      <c r="CC69" s="1018">
        <f t="shared" si="18"/>
        <v>0</v>
      </c>
      <c r="CD69" s="1018">
        <f t="shared" ca="1" si="78"/>
        <v>444.91078977599011</v>
      </c>
      <c r="CE69" s="1018">
        <f t="shared" ca="1" si="79"/>
        <v>118.24810168778664</v>
      </c>
      <c r="CF69">
        <f t="shared" ca="1" si="21"/>
        <v>16.894766743913305</v>
      </c>
      <c r="CG69">
        <f t="shared" ca="1" si="22"/>
        <v>28129.110837945889</v>
      </c>
    </row>
    <row r="70" spans="3:85" x14ac:dyDescent="0.25">
      <c r="C70" s="485" t="s">
        <v>1</v>
      </c>
      <c r="D70" s="488">
        <v>0.40770000000000001</v>
      </c>
      <c r="E70" s="485"/>
      <c r="F70" s="486"/>
      <c r="G70" s="485"/>
      <c r="H70" s="486"/>
      <c r="I70" s="485"/>
      <c r="J70" s="486"/>
      <c r="K70" s="486"/>
      <c r="L70" s="486"/>
      <c r="M70" s="486"/>
      <c r="N70" s="486"/>
      <c r="O70" s="486" t="s">
        <v>18</v>
      </c>
      <c r="P70" s="488">
        <v>0.15910607099999999</v>
      </c>
      <c r="Q70" s="486" t="s">
        <v>17</v>
      </c>
      <c r="R70" s="488">
        <v>1</v>
      </c>
      <c r="S70" s="486"/>
      <c r="T70" s="496">
        <v>0</v>
      </c>
      <c r="U70" s="485"/>
      <c r="V70" s="176">
        <f t="shared" si="8"/>
        <v>0</v>
      </c>
      <c r="W70" s="176">
        <f t="shared" si="75"/>
        <v>0</v>
      </c>
      <c r="X70" s="176">
        <f>W70-W70*Calculation_sheet!O$76</f>
        <v>0</v>
      </c>
      <c r="Y70" s="34">
        <f>X70/Calculation_sheet!M$67</f>
        <v>0</v>
      </c>
      <c r="Z70" s="176">
        <f ca="1">IF(AN70&gt;0,Y70*Calculation_sheet!C$87,0)</f>
        <v>0</v>
      </c>
      <c r="AA70" s="176">
        <f t="shared" ca="1" si="76"/>
        <v>0</v>
      </c>
      <c r="AB70" s="176">
        <f ca="1">IF(AP70&gt;0,AA70*Calculation_sheet!C$94,0)</f>
        <v>0</v>
      </c>
      <c r="AC70" s="176">
        <f t="shared" ca="1" si="67"/>
        <v>0</v>
      </c>
      <c r="AD70" s="958">
        <f ca="1">AC70*Calculation_sheet!C$99</f>
        <v>0</v>
      </c>
      <c r="AE70" s="176">
        <f t="shared" ca="1" si="67"/>
        <v>0</v>
      </c>
      <c r="AF70" s="176">
        <f t="shared" ca="1" si="77"/>
        <v>0</v>
      </c>
      <c r="AG70" s="958">
        <f ca="1">AF70*User_sheet!B$77/100</f>
        <v>0</v>
      </c>
      <c r="AH70" s="313"/>
      <c r="AI70" s="908">
        <v>201</v>
      </c>
      <c r="AJ70" s="313"/>
      <c r="AK70" s="1020">
        <f t="shared" ca="1" si="12"/>
        <v>444.91078977599011</v>
      </c>
      <c r="AL70" s="954">
        <f ca="1">AK70/'201'!I$24</f>
        <v>2.3205069095915616</v>
      </c>
      <c r="AM70" s="954">
        <f ca="1">0.8*(AK70*30+'201'!D$17*0.34*30*1)</f>
        <v>12768.059274623762</v>
      </c>
      <c r="AN70" s="954">
        <f ca="1">IF(AM70&lt;User_sheet!B$50,Y70,0)</f>
        <v>0</v>
      </c>
      <c r="AO70" s="954">
        <f ca="1">20-(User_sheet!B$57/(AK70+'201'!D$17*1*0.34))</f>
        <v>9.2857640258698524</v>
      </c>
      <c r="AP70" s="954">
        <f ca="1">IF(AO70&lt;User_sheet!B$59,0,BC70*AA70)</f>
        <v>0</v>
      </c>
      <c r="AQ70" s="313"/>
      <c r="AR70" s="909">
        <v>14.1</v>
      </c>
      <c r="AS70" s="909">
        <v>3.7</v>
      </c>
      <c r="AT70" s="909">
        <v>0.89</v>
      </c>
      <c r="AU70" s="909">
        <v>2.75</v>
      </c>
      <c r="AV70" s="909">
        <v>3.3</v>
      </c>
      <c r="AW70" s="909">
        <v>7211.5338771527777</v>
      </c>
      <c r="AX70" s="909">
        <v>76466.30421774846</v>
      </c>
      <c r="AY70" s="909">
        <v>79015.992973719694</v>
      </c>
      <c r="AZ70" s="909">
        <v>0</v>
      </c>
      <c r="BA70" s="909">
        <v>0</v>
      </c>
      <c r="BB70" s="909">
        <v>0.6</v>
      </c>
      <c r="BC70" s="919">
        <v>0</v>
      </c>
      <c r="BD70" s="920">
        <v>0</v>
      </c>
      <c r="BE70" s="920">
        <v>0</v>
      </c>
      <c r="BF70" s="921">
        <v>1</v>
      </c>
      <c r="BG70" s="909">
        <v>1</v>
      </c>
      <c r="BH70" s="909">
        <v>0</v>
      </c>
      <c r="BI70" s="921">
        <v>0</v>
      </c>
      <c r="BJ70" s="909">
        <v>0</v>
      </c>
      <c r="BK70" s="909">
        <v>0</v>
      </c>
      <c r="BL70" s="909">
        <v>0</v>
      </c>
      <c r="BM70" s="921">
        <v>1</v>
      </c>
      <c r="BN70" s="958">
        <v>0</v>
      </c>
      <c r="BO70" s="959">
        <v>18</v>
      </c>
      <c r="BP70">
        <f t="shared" ca="1" si="68"/>
        <v>102.96</v>
      </c>
      <c r="BQ70">
        <f t="shared" ca="1" si="69"/>
        <v>174.94399999999999</v>
      </c>
      <c r="BR70">
        <f t="shared" ca="1" si="70"/>
        <v>37.440000000000005</v>
      </c>
      <c r="BS70">
        <f t="shared" ca="1" si="71"/>
        <v>112.95</v>
      </c>
      <c r="BT70">
        <f t="shared" ca="1" si="72"/>
        <v>34.32</v>
      </c>
      <c r="BU70">
        <f t="shared" ca="1" si="73"/>
        <v>7</v>
      </c>
      <c r="BV70">
        <f t="shared" ca="1" si="74"/>
        <v>4.3</v>
      </c>
      <c r="BW70" s="1018">
        <v>0</v>
      </c>
      <c r="BX70">
        <f t="shared" ca="1" si="38"/>
        <v>153.2822299651568</v>
      </c>
      <c r="BY70">
        <f t="shared" ca="1" si="39"/>
        <v>254.61921202274573</v>
      </c>
      <c r="BZ70">
        <f t="shared" ca="1" si="15"/>
        <v>8.7326302414231254</v>
      </c>
      <c r="CA70">
        <f t="shared" ca="1" si="16"/>
        <v>19.249999989412501</v>
      </c>
      <c r="CB70">
        <f t="shared" ca="1" si="40"/>
        <v>9.0267175572519083</v>
      </c>
      <c r="CC70" s="1018">
        <f t="shared" si="18"/>
        <v>0</v>
      </c>
      <c r="CD70" s="1018">
        <f t="shared" ca="1" si="78"/>
        <v>444.91078977599011</v>
      </c>
      <c r="CE70" s="1018">
        <f t="shared" ca="1" si="79"/>
        <v>118.24810168778664</v>
      </c>
      <c r="CF70">
        <f t="shared" ca="1" si="21"/>
        <v>16.894766743913305</v>
      </c>
      <c r="CG70">
        <f t="shared" ca="1" si="22"/>
        <v>28129.110837945889</v>
      </c>
    </row>
    <row r="71" spans="3:85" x14ac:dyDescent="0.25">
      <c r="C71" s="485"/>
      <c r="D71" s="486"/>
      <c r="E71" s="485"/>
      <c r="F71" s="486"/>
      <c r="G71" s="485" t="s">
        <v>9</v>
      </c>
      <c r="H71" s="490">
        <v>0.71429999999999993</v>
      </c>
      <c r="I71" s="485"/>
      <c r="J71" s="486"/>
      <c r="K71" s="489" t="s">
        <v>12</v>
      </c>
      <c r="L71" s="490">
        <v>0</v>
      </c>
      <c r="M71" s="486" t="s">
        <v>17</v>
      </c>
      <c r="N71" s="488">
        <v>8.5106382999999994E-2</v>
      </c>
      <c r="O71" s="486" t="s">
        <v>19</v>
      </c>
      <c r="P71" s="488">
        <v>0.84089392900000004</v>
      </c>
      <c r="Q71" s="486" t="s">
        <v>17</v>
      </c>
      <c r="R71" s="488">
        <v>1</v>
      </c>
      <c r="S71" s="486"/>
      <c r="T71" s="496">
        <v>0</v>
      </c>
      <c r="U71" s="485"/>
      <c r="V71" s="176">
        <f t="shared" si="8"/>
        <v>0</v>
      </c>
      <c r="W71" s="176">
        <f t="shared" si="75"/>
        <v>0</v>
      </c>
      <c r="X71" s="176">
        <f>W71-W71*Calculation_sheet!O$76</f>
        <v>0</v>
      </c>
      <c r="Y71" s="34">
        <f>X71/Calculation_sheet!M$67</f>
        <v>0</v>
      </c>
      <c r="Z71" s="176">
        <f ca="1">IF(AN71&gt;0,Y71*Calculation_sheet!C$87,0)</f>
        <v>0</v>
      </c>
      <c r="AA71" s="176">
        <f t="shared" ca="1" si="76"/>
        <v>0</v>
      </c>
      <c r="AB71" s="176">
        <f ca="1">IF(AP71&gt;0,AA71*Calculation_sheet!C$94,0)</f>
        <v>0</v>
      </c>
      <c r="AC71" s="176">
        <f t="shared" ca="1" si="67"/>
        <v>0</v>
      </c>
      <c r="AD71" s="958">
        <f ca="1">AC71*Calculation_sheet!C$99</f>
        <v>0</v>
      </c>
      <c r="AE71" s="176">
        <f t="shared" ca="1" si="67"/>
        <v>0</v>
      </c>
      <c r="AF71" s="176">
        <f t="shared" ca="1" si="77"/>
        <v>0</v>
      </c>
      <c r="AG71" s="958">
        <f ca="1">AF71*User_sheet!B$77/100</f>
        <v>0</v>
      </c>
      <c r="AH71" s="313"/>
      <c r="AI71" s="908">
        <v>201</v>
      </c>
      <c r="AJ71" s="313"/>
      <c r="AK71" s="1020">
        <f t="shared" ca="1" si="12"/>
        <v>444.91078977599011</v>
      </c>
      <c r="AL71" s="954">
        <f ca="1">AK71/'201'!I$24</f>
        <v>2.3205069095915616</v>
      </c>
      <c r="AM71" s="954">
        <f ca="1">0.8*(AK71*30+'201'!D$17*0.34*30*1)</f>
        <v>12768.059274623762</v>
      </c>
      <c r="AN71" s="954">
        <f ca="1">IF(AM71&lt;User_sheet!B$50,Y71,0)</f>
        <v>0</v>
      </c>
      <c r="AO71" s="954">
        <f ca="1">20-(User_sheet!B$57/(AK71+'201'!D$17*1*0.34))</f>
        <v>9.2857640258698524</v>
      </c>
      <c r="AP71" s="954">
        <f ca="1">IF(AO71&lt;User_sheet!B$59,0,BC71*AA71)</f>
        <v>0</v>
      </c>
      <c r="AQ71" s="313"/>
      <c r="AR71" s="909">
        <v>14.1</v>
      </c>
      <c r="AS71" s="909">
        <v>3.7</v>
      </c>
      <c r="AT71" s="909">
        <v>0.89</v>
      </c>
      <c r="AU71" s="909">
        <v>2.75</v>
      </c>
      <c r="AV71" s="909">
        <v>3.3</v>
      </c>
      <c r="AW71" s="909">
        <v>7211.5338771527777</v>
      </c>
      <c r="AX71" s="909">
        <v>76466.30421774846</v>
      </c>
      <c r="AY71" s="909">
        <v>79015.992973719694</v>
      </c>
      <c r="AZ71" s="909">
        <v>0</v>
      </c>
      <c r="BA71" s="909">
        <v>0</v>
      </c>
      <c r="BB71" s="909">
        <v>0.6</v>
      </c>
      <c r="BC71" s="919">
        <v>0</v>
      </c>
      <c r="BD71" s="920">
        <v>0</v>
      </c>
      <c r="BE71" s="920">
        <v>0</v>
      </c>
      <c r="BF71" s="921">
        <v>1</v>
      </c>
      <c r="BG71" s="909">
        <v>0</v>
      </c>
      <c r="BH71" s="909">
        <v>1</v>
      </c>
      <c r="BI71" s="921">
        <v>0</v>
      </c>
      <c r="BJ71" s="909">
        <v>0</v>
      </c>
      <c r="BK71" s="909">
        <v>0</v>
      </c>
      <c r="BL71" s="909">
        <v>0</v>
      </c>
      <c r="BM71" s="921">
        <v>1</v>
      </c>
      <c r="BN71" s="958">
        <v>0</v>
      </c>
      <c r="BO71" s="959">
        <v>18</v>
      </c>
      <c r="BP71">
        <f t="shared" ca="1" si="68"/>
        <v>102.96</v>
      </c>
      <c r="BQ71">
        <f t="shared" ca="1" si="69"/>
        <v>174.94399999999999</v>
      </c>
      <c r="BR71">
        <f t="shared" ca="1" si="70"/>
        <v>37.440000000000005</v>
      </c>
      <c r="BS71">
        <f t="shared" ca="1" si="71"/>
        <v>112.95</v>
      </c>
      <c r="BT71">
        <f t="shared" ca="1" si="72"/>
        <v>34.32</v>
      </c>
      <c r="BU71">
        <f t="shared" ca="1" si="73"/>
        <v>7</v>
      </c>
      <c r="BV71">
        <f t="shared" ca="1" si="74"/>
        <v>4.3</v>
      </c>
      <c r="BW71" s="1018">
        <v>0</v>
      </c>
      <c r="BX71">
        <f t="shared" ca="1" si="38"/>
        <v>153.2822299651568</v>
      </c>
      <c r="BY71">
        <f t="shared" ca="1" si="39"/>
        <v>254.61921202274573</v>
      </c>
      <c r="BZ71">
        <f t="shared" ca="1" si="15"/>
        <v>8.7326302414231254</v>
      </c>
      <c r="CA71">
        <f t="shared" ca="1" si="16"/>
        <v>19.249999989412501</v>
      </c>
      <c r="CB71">
        <f t="shared" ca="1" si="40"/>
        <v>9.0267175572519083</v>
      </c>
      <c r="CC71" s="1018">
        <f t="shared" si="18"/>
        <v>0</v>
      </c>
      <c r="CD71" s="1018">
        <f t="shared" ca="1" si="78"/>
        <v>444.91078977599011</v>
      </c>
      <c r="CE71" s="1018">
        <f t="shared" ca="1" si="79"/>
        <v>118.24810168778664</v>
      </c>
      <c r="CF71">
        <f t="shared" ca="1" si="21"/>
        <v>16.894766743913305</v>
      </c>
      <c r="CG71">
        <f t="shared" ca="1" si="22"/>
        <v>28129.110837945889</v>
      </c>
    </row>
    <row r="72" spans="3:85" s="14" customFormat="1" x14ac:dyDescent="0.25">
      <c r="C72" s="493"/>
      <c r="D72" s="494"/>
      <c r="E72" s="493"/>
      <c r="F72" s="494"/>
      <c r="G72" s="493"/>
      <c r="H72" s="494"/>
      <c r="I72" s="493"/>
      <c r="J72" s="494"/>
      <c r="K72" s="495"/>
      <c r="L72" s="494"/>
      <c r="M72" s="494"/>
      <c r="N72" s="494"/>
      <c r="O72" s="494"/>
      <c r="P72" s="494"/>
      <c r="Q72" s="494"/>
      <c r="R72" s="494"/>
      <c r="S72" s="494"/>
      <c r="T72" s="498"/>
      <c r="U72" s="493"/>
      <c r="V72" s="292"/>
      <c r="W72" s="292"/>
      <c r="X72" s="292"/>
      <c r="Y72" s="277"/>
      <c r="Z72" s="292"/>
      <c r="AA72" s="292"/>
      <c r="AB72" s="292"/>
      <c r="AC72" s="292"/>
      <c r="AD72" s="277"/>
      <c r="AE72" s="292"/>
      <c r="AF72" s="292"/>
      <c r="AG72" s="277"/>
      <c r="AH72" s="313"/>
      <c r="AI72" s="913"/>
      <c r="AJ72" s="313"/>
      <c r="AK72" s="1020">
        <f t="shared" si="12"/>
        <v>0</v>
      </c>
      <c r="AL72" s="941"/>
      <c r="AM72" s="941"/>
      <c r="AN72" s="986"/>
      <c r="AO72" s="986"/>
      <c r="AP72" s="986"/>
      <c r="AQ72" s="313"/>
      <c r="AR72" s="918"/>
      <c r="AS72" s="918"/>
      <c r="AT72" s="918"/>
      <c r="AU72" s="918"/>
      <c r="AV72" s="918"/>
      <c r="AW72" s="918"/>
      <c r="AX72" s="918"/>
      <c r="AY72" s="918"/>
      <c r="AZ72" s="918"/>
      <c r="BA72" s="918"/>
      <c r="BB72" s="918"/>
      <c r="BC72" s="45"/>
      <c r="BD72" s="277"/>
      <c r="BE72" s="277"/>
      <c r="BF72" s="49"/>
      <c r="BG72" s="918"/>
      <c r="BH72" s="918"/>
      <c r="BI72" s="49"/>
      <c r="BJ72" s="918"/>
      <c r="BK72" s="918"/>
      <c r="BL72" s="918"/>
      <c r="BM72" s="49"/>
      <c r="BN72" s="277"/>
      <c r="BO72" s="49"/>
      <c r="BW72" s="928"/>
      <c r="CC72" s="928"/>
      <c r="CD72" s="928"/>
      <c r="CE72" s="928"/>
    </row>
    <row r="73" spans="3:85" x14ac:dyDescent="0.25">
      <c r="D73" s="1"/>
      <c r="F73" s="1"/>
      <c r="G73" s="3"/>
      <c r="H73" s="6"/>
      <c r="I73" s="3"/>
      <c r="J73" s="6"/>
      <c r="K73" s="8"/>
      <c r="L73" s="6"/>
      <c r="M73" s="1"/>
      <c r="N73" s="1"/>
      <c r="O73" s="1"/>
      <c r="P73" s="1"/>
      <c r="Q73" s="1" t="s">
        <v>16</v>
      </c>
      <c r="R73" s="4"/>
      <c r="S73" s="1"/>
      <c r="T73" s="77"/>
      <c r="U73" s="294"/>
      <c r="X73" s="176">
        <f>W61-X61</f>
        <v>0</v>
      </c>
      <c r="Y73" s="34">
        <f>X73/Calculation_sheet!M$67</f>
        <v>0</v>
      </c>
      <c r="Z73" s="176">
        <f ca="1">IF(AN73&gt;0,Y73*Calculation_sheet!C$87,0)</f>
        <v>0</v>
      </c>
      <c r="AA73" s="176">
        <f ca="1">Y73-Z73</f>
        <v>0</v>
      </c>
      <c r="AB73" s="176">
        <f ca="1">IF(AP73&gt;0,AA73*Calculation_sheet!C$94,0)</f>
        <v>0</v>
      </c>
      <c r="AC73" s="176">
        <f t="shared" ref="AC73:AE83" ca="1" si="80">AA73-AB73</f>
        <v>0</v>
      </c>
      <c r="AD73" s="958">
        <f ca="1">AC73*Calculation_sheet!C$99</f>
        <v>0</v>
      </c>
      <c r="AE73" s="176">
        <f t="shared" ca="1" si="80"/>
        <v>0</v>
      </c>
      <c r="AF73" s="176">
        <f ca="1">Y73-AB73</f>
        <v>0</v>
      </c>
      <c r="AG73" s="958">
        <f ca="1">AF73*User_sheet!B$77/100</f>
        <v>0</v>
      </c>
      <c r="AH73" s="313"/>
      <c r="AI73" s="908">
        <v>201</v>
      </c>
      <c r="AJ73" s="313"/>
      <c r="AK73" s="1020">
        <f t="shared" ca="1" si="12"/>
        <v>297.72974728423918</v>
      </c>
      <c r="AL73" s="954">
        <f ca="1">AK73/'201'!I$24</f>
        <v>1.5528594757431762</v>
      </c>
      <c r="AM73" s="954">
        <f ca="1">0.8*(AK73*30+'201'!D$17*0.34*30*1)</f>
        <v>9235.7142548217416</v>
      </c>
      <c r="AN73" s="954">
        <f ca="1">IF(AM73&lt;User_sheet!B$50,Y73,0)</f>
        <v>0</v>
      </c>
      <c r="AO73" s="954">
        <f ca="1">20-(User_sheet!B$57/(AK73+'201'!D$17*1*0.34))</f>
        <v>5.1879349852579004</v>
      </c>
      <c r="AP73" s="954">
        <f ca="1">IF(AO73&lt;User_sheet!B$59,0,BC73*AA73)</f>
        <v>0</v>
      </c>
      <c r="AQ73" s="313"/>
      <c r="AR73" s="909">
        <v>0.32</v>
      </c>
      <c r="AS73" s="909">
        <v>3.7</v>
      </c>
      <c r="AT73" s="909">
        <v>0.89</v>
      </c>
      <c r="AU73" s="909">
        <v>2</v>
      </c>
      <c r="AV73" s="909">
        <v>3.3</v>
      </c>
      <c r="AW73" s="909">
        <v>14356</v>
      </c>
      <c r="AX73" s="909">
        <v>76466.30421774846</v>
      </c>
      <c r="AY73" s="909">
        <v>79015.992973719694</v>
      </c>
      <c r="AZ73" s="917">
        <v>0</v>
      </c>
      <c r="BA73" s="917">
        <v>0</v>
      </c>
      <c r="BB73" s="909">
        <v>0.6</v>
      </c>
      <c r="BC73" s="919">
        <v>1</v>
      </c>
      <c r="BD73" s="920">
        <v>0</v>
      </c>
      <c r="BE73" s="920">
        <v>0</v>
      </c>
      <c r="BF73" s="921">
        <v>0</v>
      </c>
      <c r="BG73" s="920">
        <v>1</v>
      </c>
      <c r="BH73" s="920">
        <v>0</v>
      </c>
      <c r="BI73" s="921">
        <v>0</v>
      </c>
      <c r="BJ73" s="920">
        <v>1</v>
      </c>
      <c r="BK73" s="920">
        <v>0</v>
      </c>
      <c r="BL73" s="920">
        <v>0</v>
      </c>
      <c r="BM73" s="921">
        <v>0</v>
      </c>
      <c r="BN73" s="958">
        <v>0</v>
      </c>
      <c r="BO73" s="959">
        <v>18</v>
      </c>
      <c r="BP73">
        <f t="shared" ref="BP73:BP83" ca="1" si="81">INDIRECT("'"&amp;AI73&amp;"'!"&amp;"B2")</f>
        <v>102.96</v>
      </c>
      <c r="BQ73">
        <f t="shared" ref="BQ73:BQ83" ca="1" si="82">INDIRECT("'"&amp;AI73&amp;"'!"&amp;"C12")+INDIRECT("'"&amp;AI73&amp;"'!"&amp;"C13")+INDIRECT("'"&amp;AI73&amp;"'!"&amp;"C14")+INDIRECT("'"&amp;AI73&amp;"'!"&amp;"C15")+INDIRECT("'"&amp;AI73&amp;"'!"&amp;"C17")</f>
        <v>174.94399999999999</v>
      </c>
      <c r="BR73">
        <f t="shared" ref="BR73:BR83" ca="1" si="83">INDIRECT("'"&amp;AI73&amp;"'!"&amp;"G5")</f>
        <v>37.440000000000005</v>
      </c>
      <c r="BS73">
        <f t="shared" ref="BS73:BS83" ca="1" si="84">INDIRECT("'"&amp;AI73&amp;"'!"&amp;"G4")</f>
        <v>112.95</v>
      </c>
      <c r="BT73">
        <f t="shared" ref="BT73:BT83" ca="1" si="85">INDIRECT("'"&amp;AI73&amp;"'!"&amp;"G6")</f>
        <v>34.32</v>
      </c>
      <c r="BU73">
        <f t="shared" ref="BU73:BU83" ca="1" si="86">INDIRECT("'"&amp;AI73&amp;"'!"&amp;"G2")</f>
        <v>7</v>
      </c>
      <c r="BV73">
        <f t="shared" ref="BV73:BV83" ca="1" si="87">INDIRECT("'"&amp;AI73&amp;"'!"&amp;"G3")</f>
        <v>4.3</v>
      </c>
      <c r="BW73" s="1018">
        <v>0</v>
      </c>
      <c r="BX73">
        <f t="shared" ca="1" si="38"/>
        <v>11.351187468418397</v>
      </c>
      <c r="BY73">
        <f t="shared" ca="1" si="39"/>
        <v>254.61921202274573</v>
      </c>
      <c r="BZ73">
        <f t="shared" ca="1" si="15"/>
        <v>8.7326302414231254</v>
      </c>
      <c r="CA73">
        <f t="shared" ca="1" si="16"/>
        <v>13.999999994400001</v>
      </c>
      <c r="CB73">
        <f t="shared" ca="1" si="40"/>
        <v>9.0267175572519083</v>
      </c>
      <c r="CC73" s="1018">
        <f t="shared" si="18"/>
        <v>0</v>
      </c>
      <c r="CD73" s="1018">
        <f ca="1">SUM(BX73:CC73)+(BR73+BS73+BT73+BU73+BV73)*BN73</f>
        <v>297.72974728423918</v>
      </c>
      <c r="CE73" s="1018">
        <f ca="1">0.34*BO73*(1/25)^0.66*(BR73+BS73+BU73+BV73)</f>
        <v>118.24810168778664</v>
      </c>
      <c r="CF73">
        <f t="shared" ca="1" si="21"/>
        <v>12.479335469160775</v>
      </c>
      <c r="CG73">
        <f t="shared" ca="1" si="22"/>
        <v>20777.594382733922</v>
      </c>
    </row>
    <row r="74" spans="3:85" x14ac:dyDescent="0.25">
      <c r="D74" s="1"/>
      <c r="F74" s="1"/>
      <c r="G74" s="3"/>
      <c r="H74" s="6"/>
      <c r="I74" s="3"/>
      <c r="J74" s="6"/>
      <c r="K74" s="8"/>
      <c r="L74" s="6"/>
      <c r="M74" s="1"/>
      <c r="N74" s="1"/>
      <c r="O74" s="1" t="s">
        <v>18</v>
      </c>
      <c r="P74" s="4"/>
      <c r="Q74" s="1" t="s">
        <v>7</v>
      </c>
      <c r="R74" s="4"/>
      <c r="S74" s="1"/>
      <c r="T74" s="77"/>
      <c r="U74" s="294"/>
      <c r="X74" s="176">
        <f t="shared" ref="X74:X83" si="88">W62-X62</f>
        <v>0</v>
      </c>
      <c r="Y74" s="34">
        <f>X74/Calculation_sheet!M$67</f>
        <v>0</v>
      </c>
      <c r="Z74" s="176">
        <f ca="1">IF(AN74&gt;0,Y74*Calculation_sheet!C$87,0)</f>
        <v>0</v>
      </c>
      <c r="AA74" s="176">
        <f t="shared" ref="AA74:AA83" ca="1" si="89">Y74-Z74</f>
        <v>0</v>
      </c>
      <c r="AB74" s="176">
        <f ca="1">IF(AP74&gt;0,AA74*Calculation_sheet!C$94,0)</f>
        <v>0</v>
      </c>
      <c r="AC74" s="176">
        <f t="shared" ca="1" si="80"/>
        <v>0</v>
      </c>
      <c r="AD74" s="958">
        <f ca="1">AC74*Calculation_sheet!C$99</f>
        <v>0</v>
      </c>
      <c r="AE74" s="176">
        <f t="shared" ca="1" si="80"/>
        <v>0</v>
      </c>
      <c r="AF74" s="176">
        <f t="shared" ref="AF74:AF83" ca="1" si="90">Y74-AB74</f>
        <v>0</v>
      </c>
      <c r="AG74" s="958">
        <f ca="1">AF74*User_sheet!B$77/100</f>
        <v>0</v>
      </c>
      <c r="AH74" s="313"/>
      <c r="AI74" s="908">
        <v>201</v>
      </c>
      <c r="AJ74" s="313"/>
      <c r="AK74" s="1020">
        <f t="shared" ca="1" si="12"/>
        <v>297.72974728423918</v>
      </c>
      <c r="AL74" s="954">
        <f ca="1">AK74/'201'!I$24</f>
        <v>1.5528594757431762</v>
      </c>
      <c r="AM74" s="954">
        <f ca="1">0.8*(AK74*30+'201'!D$17*0.34*30*1)</f>
        <v>9235.7142548217416</v>
      </c>
      <c r="AN74" s="954">
        <f ca="1">IF(AM74&lt;User_sheet!B$50,Y74,0)</f>
        <v>0</v>
      </c>
      <c r="AO74" s="954">
        <f ca="1">20-(User_sheet!B$57/(AK74+'201'!D$17*1*0.34))</f>
        <v>5.1879349852579004</v>
      </c>
      <c r="AP74" s="954">
        <f ca="1">IF(AO74&lt;User_sheet!B$59,0,BC74*AA74)</f>
        <v>0</v>
      </c>
      <c r="AQ74" s="313"/>
      <c r="AR74" s="909">
        <v>0.32</v>
      </c>
      <c r="AS74" s="909">
        <v>3.7</v>
      </c>
      <c r="AT74" s="909">
        <v>0.89</v>
      </c>
      <c r="AU74" s="909">
        <v>2</v>
      </c>
      <c r="AV74" s="909">
        <v>3.3</v>
      </c>
      <c r="AW74" s="909">
        <v>14356</v>
      </c>
      <c r="AX74" s="909">
        <v>76466.30421774846</v>
      </c>
      <c r="AY74" s="909">
        <v>79015.992973719694</v>
      </c>
      <c r="AZ74" s="917">
        <v>0</v>
      </c>
      <c r="BA74" s="917">
        <v>0</v>
      </c>
      <c r="BB74" s="909">
        <v>0.6</v>
      </c>
      <c r="BC74" s="919">
        <v>1</v>
      </c>
      <c r="BD74" s="920">
        <v>0</v>
      </c>
      <c r="BE74" s="920">
        <v>0</v>
      </c>
      <c r="BF74" s="921">
        <v>0</v>
      </c>
      <c r="BG74" s="920">
        <v>1</v>
      </c>
      <c r="BH74" s="920">
        <v>0</v>
      </c>
      <c r="BI74" s="921">
        <v>0</v>
      </c>
      <c r="BJ74" s="920">
        <v>0</v>
      </c>
      <c r="BK74" s="920">
        <v>0</v>
      </c>
      <c r="BL74" s="920">
        <v>1</v>
      </c>
      <c r="BM74" s="921">
        <v>0</v>
      </c>
      <c r="BN74" s="958">
        <v>0</v>
      </c>
      <c r="BO74" s="959">
        <v>18</v>
      </c>
      <c r="BP74">
        <f t="shared" ca="1" si="81"/>
        <v>102.96</v>
      </c>
      <c r="BQ74">
        <f t="shared" ca="1" si="82"/>
        <v>174.94399999999999</v>
      </c>
      <c r="BR74">
        <f t="shared" ca="1" si="83"/>
        <v>37.440000000000005</v>
      </c>
      <c r="BS74">
        <f t="shared" ca="1" si="84"/>
        <v>112.95</v>
      </c>
      <c r="BT74">
        <f t="shared" ca="1" si="85"/>
        <v>34.32</v>
      </c>
      <c r="BU74">
        <f t="shared" ca="1" si="86"/>
        <v>7</v>
      </c>
      <c r="BV74">
        <f t="shared" ca="1" si="87"/>
        <v>4.3</v>
      </c>
      <c r="BW74" s="1018">
        <v>0</v>
      </c>
      <c r="BX74">
        <f t="shared" ca="1" si="38"/>
        <v>11.351187468418397</v>
      </c>
      <c r="BY74">
        <f t="shared" ca="1" si="39"/>
        <v>254.61921202274573</v>
      </c>
      <c r="BZ74">
        <f t="shared" ca="1" si="15"/>
        <v>8.7326302414231254</v>
      </c>
      <c r="CA74">
        <f t="shared" ca="1" si="16"/>
        <v>13.999999994400001</v>
      </c>
      <c r="CB74">
        <f t="shared" ca="1" si="40"/>
        <v>9.0267175572519083</v>
      </c>
      <c r="CC74" s="1018">
        <f t="shared" si="18"/>
        <v>0</v>
      </c>
      <c r="CD74" s="1018">
        <f t="shared" ref="CD74:CD83" ca="1" si="91">SUM(BX74:CC74)+(BR74+BS74+BT74+BU74+BV74)*BN74</f>
        <v>297.72974728423918</v>
      </c>
      <c r="CE74" s="1018">
        <f t="shared" ref="CE74:CE83" ca="1" si="92">0.34*BO74*(1/25)^0.66*(BR74+BS74+BU74+BV74)</f>
        <v>118.24810168778664</v>
      </c>
      <c r="CF74">
        <f t="shared" ca="1" si="21"/>
        <v>12.479335469160775</v>
      </c>
      <c r="CG74">
        <f t="shared" ca="1" si="22"/>
        <v>20777.594382733922</v>
      </c>
    </row>
    <row r="75" spans="3:85" x14ac:dyDescent="0.25">
      <c r="D75" s="1"/>
      <c r="F75" s="1"/>
      <c r="G75" s="3"/>
      <c r="H75" s="6"/>
      <c r="I75" s="3"/>
      <c r="J75" s="6"/>
      <c r="K75" s="8"/>
      <c r="L75" s="6"/>
      <c r="M75" s="1"/>
      <c r="N75" s="1"/>
      <c r="O75" s="1"/>
      <c r="P75" s="1"/>
      <c r="Q75" s="1" t="s">
        <v>16</v>
      </c>
      <c r="R75" s="4"/>
      <c r="S75" s="1"/>
      <c r="T75" s="77"/>
      <c r="U75" s="294"/>
      <c r="X75" s="176">
        <f t="shared" si="88"/>
        <v>0</v>
      </c>
      <c r="Y75" s="34">
        <f>X75/Calculation_sheet!M$67</f>
        <v>0</v>
      </c>
      <c r="Z75" s="176">
        <f ca="1">IF(AN75&gt;0,Y75*Calculation_sheet!C$87,0)</f>
        <v>0</v>
      </c>
      <c r="AA75" s="176">
        <f t="shared" ca="1" si="89"/>
        <v>0</v>
      </c>
      <c r="AB75" s="176">
        <f ca="1">IF(AP75&gt;0,AA75*Calculation_sheet!C$94,0)</f>
        <v>0</v>
      </c>
      <c r="AC75" s="176">
        <f t="shared" ca="1" si="80"/>
        <v>0</v>
      </c>
      <c r="AD75" s="958">
        <f ca="1">AC75*Calculation_sheet!C$99</f>
        <v>0</v>
      </c>
      <c r="AE75" s="176">
        <f t="shared" ca="1" si="80"/>
        <v>0</v>
      </c>
      <c r="AF75" s="176">
        <f t="shared" ca="1" si="90"/>
        <v>0</v>
      </c>
      <c r="AG75" s="958">
        <f ca="1">AF75*User_sheet!B$77/100</f>
        <v>0</v>
      </c>
      <c r="AH75" s="313"/>
      <c r="AI75" s="908">
        <v>201</v>
      </c>
      <c r="AJ75" s="313"/>
      <c r="AK75" s="1020">
        <f t="shared" ca="1" si="12"/>
        <v>297.72974728423918</v>
      </c>
      <c r="AL75" s="954">
        <f ca="1">AK75/'201'!I$24</f>
        <v>1.5528594757431762</v>
      </c>
      <c r="AM75" s="954">
        <f ca="1">0.8*(AK75*30+'201'!D$17*0.34*30*1)</f>
        <v>9235.7142548217416</v>
      </c>
      <c r="AN75" s="954">
        <f ca="1">IF(AM75&lt;User_sheet!B$50,Y75,0)</f>
        <v>0</v>
      </c>
      <c r="AO75" s="954">
        <f ca="1">20-(User_sheet!B$57/(AK75+'201'!D$17*1*0.34))</f>
        <v>5.1879349852579004</v>
      </c>
      <c r="AP75" s="954">
        <f ca="1">IF(AO75&lt;User_sheet!B$59,0,BC75*AA75)</f>
        <v>0</v>
      </c>
      <c r="AQ75" s="313"/>
      <c r="AR75" s="909">
        <v>0.32</v>
      </c>
      <c r="AS75" s="909">
        <v>3.7</v>
      </c>
      <c r="AT75" s="909">
        <v>0.89</v>
      </c>
      <c r="AU75" s="909">
        <v>2</v>
      </c>
      <c r="AV75" s="909">
        <v>3.3</v>
      </c>
      <c r="AW75" s="909">
        <v>14356</v>
      </c>
      <c r="AX75" s="909">
        <v>76466.30421774846</v>
      </c>
      <c r="AY75" s="909">
        <v>79015.992973719694</v>
      </c>
      <c r="AZ75" s="917">
        <v>0</v>
      </c>
      <c r="BA75" s="917">
        <v>0</v>
      </c>
      <c r="BB75" s="909">
        <v>0.6</v>
      </c>
      <c r="BC75" s="919">
        <v>1</v>
      </c>
      <c r="BD75" s="920">
        <v>0</v>
      </c>
      <c r="BE75" s="920">
        <v>0</v>
      </c>
      <c r="BF75" s="921">
        <v>0</v>
      </c>
      <c r="BG75" s="920">
        <v>0</v>
      </c>
      <c r="BH75" s="920">
        <v>1</v>
      </c>
      <c r="BI75" s="921">
        <v>0</v>
      </c>
      <c r="BJ75" s="920">
        <v>1</v>
      </c>
      <c r="BK75" s="920">
        <v>0</v>
      </c>
      <c r="BL75" s="920">
        <v>0</v>
      </c>
      <c r="BM75" s="921">
        <v>0</v>
      </c>
      <c r="BN75" s="958">
        <v>0</v>
      </c>
      <c r="BO75" s="959">
        <v>18</v>
      </c>
      <c r="BP75">
        <f t="shared" ca="1" si="81"/>
        <v>102.96</v>
      </c>
      <c r="BQ75">
        <f t="shared" ca="1" si="82"/>
        <v>174.94399999999999</v>
      </c>
      <c r="BR75">
        <f t="shared" ca="1" si="83"/>
        <v>37.440000000000005</v>
      </c>
      <c r="BS75">
        <f t="shared" ca="1" si="84"/>
        <v>112.95</v>
      </c>
      <c r="BT75">
        <f t="shared" ca="1" si="85"/>
        <v>34.32</v>
      </c>
      <c r="BU75">
        <f t="shared" ca="1" si="86"/>
        <v>7</v>
      </c>
      <c r="BV75">
        <f t="shared" ca="1" si="87"/>
        <v>4.3</v>
      </c>
      <c r="BW75" s="1018">
        <v>0</v>
      </c>
      <c r="BX75">
        <f t="shared" ca="1" si="38"/>
        <v>11.351187468418397</v>
      </c>
      <c r="BY75">
        <f t="shared" ca="1" si="39"/>
        <v>254.61921202274573</v>
      </c>
      <c r="BZ75">
        <f t="shared" ca="1" si="15"/>
        <v>8.7326302414231254</v>
      </c>
      <c r="CA75">
        <f t="shared" ca="1" si="16"/>
        <v>13.999999994400001</v>
      </c>
      <c r="CB75">
        <f t="shared" ca="1" si="40"/>
        <v>9.0267175572519083</v>
      </c>
      <c r="CC75" s="1018">
        <f t="shared" si="18"/>
        <v>0</v>
      </c>
      <c r="CD75" s="1018">
        <f t="shared" ca="1" si="91"/>
        <v>297.72974728423918</v>
      </c>
      <c r="CE75" s="1018">
        <f t="shared" ca="1" si="92"/>
        <v>118.24810168778664</v>
      </c>
      <c r="CF75">
        <f t="shared" ca="1" si="21"/>
        <v>12.479335469160775</v>
      </c>
      <c r="CG75">
        <f t="shared" ca="1" si="22"/>
        <v>20777.594382733922</v>
      </c>
    </row>
    <row r="76" spans="3:85" x14ac:dyDescent="0.25">
      <c r="D76" s="1"/>
      <c r="F76" s="1"/>
      <c r="G76" s="3"/>
      <c r="H76" s="6"/>
      <c r="I76" s="3"/>
      <c r="J76" s="6"/>
      <c r="K76" s="8"/>
      <c r="L76" s="6"/>
      <c r="M76" s="1" t="s">
        <v>16</v>
      </c>
      <c r="N76" s="4"/>
      <c r="O76" s="1" t="s">
        <v>19</v>
      </c>
      <c r="P76" s="4"/>
      <c r="Q76" s="1" t="s">
        <v>7</v>
      </c>
      <c r="R76" s="4"/>
      <c r="S76" s="1"/>
      <c r="T76" s="77"/>
      <c r="U76" s="294"/>
      <c r="X76" s="176">
        <f t="shared" si="88"/>
        <v>0</v>
      </c>
      <c r="Y76" s="34">
        <f>X76/Calculation_sheet!M$67</f>
        <v>0</v>
      </c>
      <c r="Z76" s="176">
        <f ca="1">IF(AN76&gt;0,Y76*Calculation_sheet!C$87,0)</f>
        <v>0</v>
      </c>
      <c r="AA76" s="176">
        <f t="shared" ca="1" si="89"/>
        <v>0</v>
      </c>
      <c r="AB76" s="176">
        <f ca="1">IF(AP76&gt;0,AA76*Calculation_sheet!C$94,0)</f>
        <v>0</v>
      </c>
      <c r="AC76" s="176">
        <f t="shared" ca="1" si="80"/>
        <v>0</v>
      </c>
      <c r="AD76" s="958">
        <f ca="1">AC76*Calculation_sheet!C$99</f>
        <v>0</v>
      </c>
      <c r="AE76" s="176">
        <f t="shared" ca="1" si="80"/>
        <v>0</v>
      </c>
      <c r="AF76" s="176">
        <f t="shared" ca="1" si="90"/>
        <v>0</v>
      </c>
      <c r="AG76" s="958">
        <f ca="1">AF76*User_sheet!B$77/100</f>
        <v>0</v>
      </c>
      <c r="AH76" s="313"/>
      <c r="AI76" s="908">
        <v>201</v>
      </c>
      <c r="AJ76" s="313"/>
      <c r="AK76" s="1020">
        <f t="shared" ca="1" si="12"/>
        <v>297.72974728423918</v>
      </c>
      <c r="AL76" s="954">
        <f ca="1">AK76/'201'!I$24</f>
        <v>1.5528594757431762</v>
      </c>
      <c r="AM76" s="954">
        <f ca="1">0.8*(AK76*30+'201'!D$17*0.34*30*1)</f>
        <v>9235.7142548217416</v>
      </c>
      <c r="AN76" s="954">
        <f ca="1">IF(AM76&lt;User_sheet!B$50,Y76,0)</f>
        <v>0</v>
      </c>
      <c r="AO76" s="954">
        <f ca="1">20-(User_sheet!B$57/(AK76+'201'!D$17*1*0.34))</f>
        <v>5.1879349852579004</v>
      </c>
      <c r="AP76" s="954">
        <f ca="1">IF(AO76&lt;User_sheet!B$59,0,BC76*AA76)</f>
        <v>0</v>
      </c>
      <c r="AQ76" s="313"/>
      <c r="AR76" s="909">
        <v>0.32</v>
      </c>
      <c r="AS76" s="909">
        <v>3.7</v>
      </c>
      <c r="AT76" s="909">
        <v>0.89</v>
      </c>
      <c r="AU76" s="909">
        <v>2</v>
      </c>
      <c r="AV76" s="909">
        <v>3.3</v>
      </c>
      <c r="AW76" s="909">
        <v>14356</v>
      </c>
      <c r="AX76" s="909">
        <v>76466.30421774846</v>
      </c>
      <c r="AY76" s="909">
        <v>79015.992973719694</v>
      </c>
      <c r="AZ76" s="917">
        <v>0</v>
      </c>
      <c r="BA76" s="917">
        <v>0</v>
      </c>
      <c r="BB76" s="909">
        <v>0.6</v>
      </c>
      <c r="BC76" s="919">
        <v>1</v>
      </c>
      <c r="BD76" s="920">
        <v>0</v>
      </c>
      <c r="BE76" s="920">
        <v>0</v>
      </c>
      <c r="BF76" s="921">
        <v>0</v>
      </c>
      <c r="BG76" s="920">
        <v>0</v>
      </c>
      <c r="BH76" s="920">
        <v>1</v>
      </c>
      <c r="BI76" s="921">
        <v>0</v>
      </c>
      <c r="BJ76" s="920">
        <v>0</v>
      </c>
      <c r="BK76" s="920">
        <v>0</v>
      </c>
      <c r="BL76" s="920">
        <v>1</v>
      </c>
      <c r="BM76" s="921">
        <v>0</v>
      </c>
      <c r="BN76" s="958">
        <v>0</v>
      </c>
      <c r="BO76" s="959">
        <v>18</v>
      </c>
      <c r="BP76">
        <f t="shared" ca="1" si="81"/>
        <v>102.96</v>
      </c>
      <c r="BQ76">
        <f t="shared" ca="1" si="82"/>
        <v>174.94399999999999</v>
      </c>
      <c r="BR76">
        <f t="shared" ca="1" si="83"/>
        <v>37.440000000000005</v>
      </c>
      <c r="BS76">
        <f t="shared" ca="1" si="84"/>
        <v>112.95</v>
      </c>
      <c r="BT76">
        <f t="shared" ca="1" si="85"/>
        <v>34.32</v>
      </c>
      <c r="BU76">
        <f t="shared" ca="1" si="86"/>
        <v>7</v>
      </c>
      <c r="BV76">
        <f t="shared" ca="1" si="87"/>
        <v>4.3</v>
      </c>
      <c r="BW76" s="1018">
        <v>0</v>
      </c>
      <c r="BX76">
        <f t="shared" ca="1" si="38"/>
        <v>11.351187468418397</v>
      </c>
      <c r="BY76">
        <f t="shared" ca="1" si="39"/>
        <v>254.61921202274573</v>
      </c>
      <c r="BZ76">
        <f t="shared" ca="1" si="15"/>
        <v>8.7326302414231254</v>
      </c>
      <c r="CA76">
        <f t="shared" ca="1" si="16"/>
        <v>13.999999994400001</v>
      </c>
      <c r="CB76">
        <f t="shared" ca="1" si="40"/>
        <v>9.0267175572519083</v>
      </c>
      <c r="CC76" s="1018">
        <f t="shared" si="18"/>
        <v>0</v>
      </c>
      <c r="CD76" s="1018">
        <f t="shared" ca="1" si="91"/>
        <v>297.72974728423918</v>
      </c>
      <c r="CE76" s="1018">
        <f t="shared" ca="1" si="92"/>
        <v>118.24810168778664</v>
      </c>
      <c r="CF76">
        <f t="shared" ca="1" si="21"/>
        <v>12.479335469160775</v>
      </c>
      <c r="CG76">
        <f t="shared" ca="1" si="22"/>
        <v>20777.594382733922</v>
      </c>
    </row>
    <row r="77" spans="3:85" x14ac:dyDescent="0.25">
      <c r="D77" s="1"/>
      <c r="F77" s="1"/>
      <c r="G77" s="3"/>
      <c r="H77" s="6"/>
      <c r="I77" s="3"/>
      <c r="J77" s="6"/>
      <c r="K77" s="8"/>
      <c r="L77" s="6"/>
      <c r="M77" s="1"/>
      <c r="N77" s="1"/>
      <c r="O77" s="1"/>
      <c r="P77" s="1"/>
      <c r="Q77" s="1" t="s">
        <v>22</v>
      </c>
      <c r="R77" s="4"/>
      <c r="S77" s="1"/>
      <c r="T77" s="77"/>
      <c r="U77" s="294"/>
      <c r="X77" s="176">
        <f t="shared" si="88"/>
        <v>0</v>
      </c>
      <c r="Y77" s="34">
        <f>X77/Calculation_sheet!M$67</f>
        <v>0</v>
      </c>
      <c r="Z77" s="176">
        <f ca="1">IF(AN77&gt;0,Y77*Calculation_sheet!C$87,0)</f>
        <v>0</v>
      </c>
      <c r="AA77" s="176">
        <f t="shared" ca="1" si="89"/>
        <v>0</v>
      </c>
      <c r="AB77" s="176">
        <f ca="1">IF(AP77&gt;0,AA77*Calculation_sheet!C$94,0)</f>
        <v>0</v>
      </c>
      <c r="AC77" s="176">
        <f t="shared" ca="1" si="80"/>
        <v>0</v>
      </c>
      <c r="AD77" s="958">
        <f ca="1">AC77*Calculation_sheet!C$99</f>
        <v>0</v>
      </c>
      <c r="AE77" s="176">
        <f t="shared" ca="1" si="80"/>
        <v>0</v>
      </c>
      <c r="AF77" s="176">
        <f t="shared" ca="1" si="90"/>
        <v>0</v>
      </c>
      <c r="AG77" s="958">
        <f ca="1">AF77*User_sheet!B$77/100</f>
        <v>0</v>
      </c>
      <c r="AH77" s="313"/>
      <c r="AI77" s="908">
        <v>201</v>
      </c>
      <c r="AJ77" s="313"/>
      <c r="AK77" s="1020">
        <f t="shared" ca="1" si="12"/>
        <v>297.72974728423918</v>
      </c>
      <c r="AL77" s="954">
        <f ca="1">AK77/'201'!I$24</f>
        <v>1.5528594757431762</v>
      </c>
      <c r="AM77" s="954">
        <f ca="1">0.8*(AK77*30+'201'!D$17*0.34*30*1)</f>
        <v>9235.7142548217416</v>
      </c>
      <c r="AN77" s="954">
        <f ca="1">IF(AM77&lt;User_sheet!B$50,Y77,0)</f>
        <v>0</v>
      </c>
      <c r="AO77" s="954">
        <f ca="1">20-(User_sheet!B$57/(AK77+'201'!D$17*1*0.34))</f>
        <v>5.1879349852579004</v>
      </c>
      <c r="AP77" s="954">
        <f ca="1">IF(AO77&lt;User_sheet!B$59,0,BC77*AA77)</f>
        <v>0</v>
      </c>
      <c r="AQ77" s="313"/>
      <c r="AR77" s="909">
        <v>0.32</v>
      </c>
      <c r="AS77" s="909">
        <v>3.7</v>
      </c>
      <c r="AT77" s="909">
        <v>0.89</v>
      </c>
      <c r="AU77" s="909">
        <v>2</v>
      </c>
      <c r="AV77" s="909">
        <v>3.3</v>
      </c>
      <c r="AW77" s="909">
        <v>14356</v>
      </c>
      <c r="AX77" s="909">
        <v>76466.30421774846</v>
      </c>
      <c r="AY77" s="909">
        <v>79015.992973719694</v>
      </c>
      <c r="AZ77" s="917">
        <v>0</v>
      </c>
      <c r="BA77" s="917">
        <v>0</v>
      </c>
      <c r="BB77" s="909">
        <v>0.6</v>
      </c>
      <c r="BC77" s="919">
        <v>0</v>
      </c>
      <c r="BD77" s="920">
        <v>1</v>
      </c>
      <c r="BE77" s="920">
        <v>0</v>
      </c>
      <c r="BF77" s="921">
        <v>0</v>
      </c>
      <c r="BG77" s="920">
        <v>1</v>
      </c>
      <c r="BH77" s="920">
        <v>0</v>
      </c>
      <c r="BI77" s="921">
        <v>0</v>
      </c>
      <c r="BJ77" s="920">
        <v>0</v>
      </c>
      <c r="BK77" s="920">
        <v>1</v>
      </c>
      <c r="BL77" s="920">
        <v>0</v>
      </c>
      <c r="BM77" s="921">
        <v>0</v>
      </c>
      <c r="BN77" s="958">
        <v>0</v>
      </c>
      <c r="BO77" s="959">
        <v>18</v>
      </c>
      <c r="BP77">
        <f t="shared" ca="1" si="81"/>
        <v>102.96</v>
      </c>
      <c r="BQ77">
        <f t="shared" ca="1" si="82"/>
        <v>174.94399999999999</v>
      </c>
      <c r="BR77">
        <f t="shared" ca="1" si="83"/>
        <v>37.440000000000005</v>
      </c>
      <c r="BS77">
        <f t="shared" ca="1" si="84"/>
        <v>112.95</v>
      </c>
      <c r="BT77">
        <f t="shared" ca="1" si="85"/>
        <v>34.32</v>
      </c>
      <c r="BU77">
        <f t="shared" ca="1" si="86"/>
        <v>7</v>
      </c>
      <c r="BV77">
        <f t="shared" ca="1" si="87"/>
        <v>4.3</v>
      </c>
      <c r="BW77" s="1018">
        <v>0</v>
      </c>
      <c r="BX77">
        <f t="shared" ca="1" si="38"/>
        <v>11.351187468418397</v>
      </c>
      <c r="BY77">
        <f t="shared" ca="1" si="39"/>
        <v>254.61921202274573</v>
      </c>
      <c r="BZ77">
        <f t="shared" ca="1" si="15"/>
        <v>8.7326302414231254</v>
      </c>
      <c r="CA77">
        <f t="shared" ca="1" si="16"/>
        <v>13.999999994400001</v>
      </c>
      <c r="CB77">
        <f t="shared" ca="1" si="40"/>
        <v>9.0267175572519083</v>
      </c>
      <c r="CC77" s="1018">
        <f t="shared" si="18"/>
        <v>0</v>
      </c>
      <c r="CD77" s="1018">
        <f t="shared" ca="1" si="91"/>
        <v>297.72974728423918</v>
      </c>
      <c r="CE77" s="1018">
        <f t="shared" ca="1" si="92"/>
        <v>118.24810168778664</v>
      </c>
      <c r="CF77">
        <f t="shared" ca="1" si="21"/>
        <v>12.479335469160775</v>
      </c>
      <c r="CG77">
        <f t="shared" ca="1" si="22"/>
        <v>20777.594382733922</v>
      </c>
    </row>
    <row r="78" spans="3:85" x14ac:dyDescent="0.25">
      <c r="D78" s="1"/>
      <c r="F78" s="1"/>
      <c r="G78" s="3"/>
      <c r="H78" s="6"/>
      <c r="I78" s="3"/>
      <c r="J78" s="3" t="s">
        <v>144</v>
      </c>
      <c r="K78" s="8"/>
      <c r="L78" s="6"/>
      <c r="M78" s="1"/>
      <c r="N78" s="1"/>
      <c r="O78" s="1" t="s">
        <v>18</v>
      </c>
      <c r="P78" s="4"/>
      <c r="Q78" s="1" t="s">
        <v>7</v>
      </c>
      <c r="R78" s="4"/>
      <c r="S78" s="1"/>
      <c r="T78" s="77"/>
      <c r="U78" s="294"/>
      <c r="X78" s="176">
        <f t="shared" si="88"/>
        <v>0</v>
      </c>
      <c r="Y78" s="34">
        <f>X78/Calculation_sheet!M$67</f>
        <v>0</v>
      </c>
      <c r="Z78" s="176">
        <f ca="1">IF(AN78&gt;0,Y78*Calculation_sheet!C$87,0)</f>
        <v>0</v>
      </c>
      <c r="AA78" s="176">
        <f t="shared" ca="1" si="89"/>
        <v>0</v>
      </c>
      <c r="AB78" s="176">
        <f ca="1">IF(AP78&gt;0,AA78*Calculation_sheet!C$94,0)</f>
        <v>0</v>
      </c>
      <c r="AC78" s="176">
        <f t="shared" ca="1" si="80"/>
        <v>0</v>
      </c>
      <c r="AD78" s="958">
        <f ca="1">AC78*Calculation_sheet!C$99</f>
        <v>0</v>
      </c>
      <c r="AE78" s="176">
        <f t="shared" ca="1" si="80"/>
        <v>0</v>
      </c>
      <c r="AF78" s="176">
        <f t="shared" ca="1" si="90"/>
        <v>0</v>
      </c>
      <c r="AG78" s="958">
        <f ca="1">AF78*User_sheet!B$77/100</f>
        <v>0</v>
      </c>
      <c r="AH78" s="313"/>
      <c r="AI78" s="908">
        <v>201</v>
      </c>
      <c r="AJ78" s="313"/>
      <c r="AK78" s="1020">
        <f t="shared" ref="AK78:AK141" ca="1" si="93">CD78</f>
        <v>297.72974728423918</v>
      </c>
      <c r="AL78" s="954">
        <f ca="1">AK78/'201'!I$24</f>
        <v>1.5528594757431762</v>
      </c>
      <c r="AM78" s="954">
        <f ca="1">0.8*(AK78*30+'201'!D$17*0.34*30*1)</f>
        <v>9235.7142548217416</v>
      </c>
      <c r="AN78" s="954">
        <f ca="1">IF(AM78&lt;User_sheet!B$50,Y78,0)</f>
        <v>0</v>
      </c>
      <c r="AO78" s="954">
        <f ca="1">20-(User_sheet!B$57/(AK78+'201'!D$17*1*0.34))</f>
        <v>5.1879349852579004</v>
      </c>
      <c r="AP78" s="954">
        <f ca="1">IF(AO78&lt;User_sheet!B$59,0,BC78*AA78)</f>
        <v>0</v>
      </c>
      <c r="AQ78" s="313"/>
      <c r="AR78" s="909">
        <v>0.32</v>
      </c>
      <c r="AS78" s="909">
        <v>3.7</v>
      </c>
      <c r="AT78" s="909">
        <v>0.89</v>
      </c>
      <c r="AU78" s="909">
        <v>2</v>
      </c>
      <c r="AV78" s="909">
        <v>3.3</v>
      </c>
      <c r="AW78" s="909">
        <v>14356</v>
      </c>
      <c r="AX78" s="909">
        <v>76466.30421774846</v>
      </c>
      <c r="AY78" s="909">
        <v>79015.992973719694</v>
      </c>
      <c r="AZ78" s="917">
        <v>0</v>
      </c>
      <c r="BA78" s="917">
        <v>0</v>
      </c>
      <c r="BB78" s="909">
        <v>0.6</v>
      </c>
      <c r="BC78" s="919">
        <v>0</v>
      </c>
      <c r="BD78" s="920">
        <v>1</v>
      </c>
      <c r="BE78" s="920">
        <v>0</v>
      </c>
      <c r="BF78" s="921">
        <v>0</v>
      </c>
      <c r="BG78" s="920">
        <v>1</v>
      </c>
      <c r="BH78" s="920">
        <v>0</v>
      </c>
      <c r="BI78" s="921">
        <v>0</v>
      </c>
      <c r="BJ78" s="920">
        <v>0</v>
      </c>
      <c r="BK78" s="920">
        <v>0</v>
      </c>
      <c r="BL78" s="920">
        <v>1</v>
      </c>
      <c r="BM78" s="921">
        <v>0</v>
      </c>
      <c r="BN78" s="958">
        <v>0</v>
      </c>
      <c r="BO78" s="959">
        <v>18</v>
      </c>
      <c r="BP78">
        <f t="shared" ca="1" si="81"/>
        <v>102.96</v>
      </c>
      <c r="BQ78">
        <f t="shared" ca="1" si="82"/>
        <v>174.94399999999999</v>
      </c>
      <c r="BR78">
        <f t="shared" ca="1" si="83"/>
        <v>37.440000000000005</v>
      </c>
      <c r="BS78">
        <f t="shared" ca="1" si="84"/>
        <v>112.95</v>
      </c>
      <c r="BT78">
        <f t="shared" ca="1" si="85"/>
        <v>34.32</v>
      </c>
      <c r="BU78">
        <f t="shared" ca="1" si="86"/>
        <v>7</v>
      </c>
      <c r="BV78">
        <f t="shared" ca="1" si="87"/>
        <v>4.3</v>
      </c>
      <c r="BW78" s="1018">
        <v>0</v>
      </c>
      <c r="BX78">
        <f t="shared" ca="1" si="38"/>
        <v>11.351187468418397</v>
      </c>
      <c r="BY78">
        <f t="shared" ca="1" si="39"/>
        <v>254.61921202274573</v>
      </c>
      <c r="BZ78">
        <f t="shared" ref="BZ78:BZ141" ca="1" si="94">IF(BT78=0,0,1/(1/(BT78*$BY$3)+1/(BT78*AT78)+1/(BT78*$BY$4)))*0.33</f>
        <v>8.7326302414231254</v>
      </c>
      <c r="CA78">
        <f t="shared" ref="CA78:CA141" ca="1" si="95">IF(BU78=0,0,1/(1/(BU78*$BY$5)+1/(BU78*AU78)+1/(BU78*$BY$6)))</f>
        <v>13.999999994400001</v>
      </c>
      <c r="CB78">
        <f t="shared" ca="1" si="40"/>
        <v>9.0267175572519083</v>
      </c>
      <c r="CC78" s="1018">
        <f t="shared" ref="CC78:CC141" si="96">0.67*IF(BW78=0,0,1/(1/(BW78*$BY$3)+1/(BW78*AS78)+1/(BW78*$BY$4)))</f>
        <v>0</v>
      </c>
      <c r="CD78" s="1018">
        <f t="shared" ca="1" si="91"/>
        <v>297.72974728423918</v>
      </c>
      <c r="CE78" s="1018">
        <f t="shared" ca="1" si="92"/>
        <v>118.24810168778664</v>
      </c>
      <c r="CF78">
        <f t="shared" ref="CF78:CF141" ca="1" si="97">(CD78+CE78)*($BY$7-$BV$5)/1000</f>
        <v>12.479335469160775</v>
      </c>
      <c r="CG78">
        <f t="shared" ref="CG78:CG141" ca="1" si="98">$BV$8*(CD78+CE78)*($BY$10-$BV$7)*24/1000</f>
        <v>20777.594382733922</v>
      </c>
    </row>
    <row r="79" spans="3:85" x14ac:dyDescent="0.25">
      <c r="D79" s="1"/>
      <c r="F79" s="1"/>
      <c r="G79" s="3"/>
      <c r="H79" s="6"/>
      <c r="I79" s="3"/>
      <c r="J79" s="6" t="s">
        <v>190</v>
      </c>
      <c r="K79" s="8"/>
      <c r="L79" s="6"/>
      <c r="M79" s="1"/>
      <c r="N79" s="1"/>
      <c r="O79" s="1"/>
      <c r="P79" s="1"/>
      <c r="Q79" s="1" t="s">
        <v>22</v>
      </c>
      <c r="R79" s="4"/>
      <c r="S79" s="1"/>
      <c r="T79" s="77"/>
      <c r="U79" s="294"/>
      <c r="X79" s="176">
        <f t="shared" si="88"/>
        <v>0</v>
      </c>
      <c r="Y79" s="34">
        <f>X79/Calculation_sheet!M$67</f>
        <v>0</v>
      </c>
      <c r="Z79" s="176">
        <f ca="1">IF(AN79&gt;0,Y79*Calculation_sheet!C$87,0)</f>
        <v>0</v>
      </c>
      <c r="AA79" s="176">
        <f t="shared" ca="1" si="89"/>
        <v>0</v>
      </c>
      <c r="AB79" s="176">
        <f ca="1">IF(AP79&gt;0,AA79*Calculation_sheet!C$94,0)</f>
        <v>0</v>
      </c>
      <c r="AC79" s="176">
        <f t="shared" ca="1" si="80"/>
        <v>0</v>
      </c>
      <c r="AD79" s="958">
        <f ca="1">AC79*Calculation_sheet!C$99</f>
        <v>0</v>
      </c>
      <c r="AE79" s="176">
        <f t="shared" ca="1" si="80"/>
        <v>0</v>
      </c>
      <c r="AF79" s="176">
        <f t="shared" ca="1" si="90"/>
        <v>0</v>
      </c>
      <c r="AG79" s="958">
        <f ca="1">AF79*User_sheet!B$77/100</f>
        <v>0</v>
      </c>
      <c r="AH79" s="313"/>
      <c r="AI79" s="908">
        <v>201</v>
      </c>
      <c r="AJ79" s="313"/>
      <c r="AK79" s="1020">
        <f t="shared" ca="1" si="93"/>
        <v>297.72974728423918</v>
      </c>
      <c r="AL79" s="954">
        <f ca="1">AK79/'201'!I$24</f>
        <v>1.5528594757431762</v>
      </c>
      <c r="AM79" s="954">
        <f ca="1">0.8*(AK79*30+'201'!D$17*0.34*30*1)</f>
        <v>9235.7142548217416</v>
      </c>
      <c r="AN79" s="954">
        <f ca="1">IF(AM79&lt;User_sheet!B$50,Y79,0)</f>
        <v>0</v>
      </c>
      <c r="AO79" s="954">
        <f ca="1">20-(User_sheet!B$57/(AK79+'201'!D$17*1*0.34))</f>
        <v>5.1879349852579004</v>
      </c>
      <c r="AP79" s="954">
        <f ca="1">IF(AO79&lt;User_sheet!B$59,0,BC79*AA79)</f>
        <v>0</v>
      </c>
      <c r="AQ79" s="313"/>
      <c r="AR79" s="909">
        <v>0.32</v>
      </c>
      <c r="AS79" s="909">
        <v>3.7</v>
      </c>
      <c r="AT79" s="909">
        <v>0.89</v>
      </c>
      <c r="AU79" s="909">
        <v>2</v>
      </c>
      <c r="AV79" s="909">
        <v>3.3</v>
      </c>
      <c r="AW79" s="909">
        <v>14356</v>
      </c>
      <c r="AX79" s="909">
        <v>76466.30421774846</v>
      </c>
      <c r="AY79" s="909">
        <v>79015.992973719694</v>
      </c>
      <c r="AZ79" s="917">
        <v>0</v>
      </c>
      <c r="BA79" s="917">
        <v>0</v>
      </c>
      <c r="BB79" s="909">
        <v>0.6</v>
      </c>
      <c r="BC79" s="919">
        <v>0</v>
      </c>
      <c r="BD79" s="920">
        <v>1</v>
      </c>
      <c r="BE79" s="920">
        <v>0</v>
      </c>
      <c r="BF79" s="921">
        <v>0</v>
      </c>
      <c r="BG79" s="920">
        <v>0</v>
      </c>
      <c r="BH79" s="920">
        <v>1</v>
      </c>
      <c r="BI79" s="921">
        <v>0</v>
      </c>
      <c r="BJ79" s="920">
        <v>0</v>
      </c>
      <c r="BK79" s="920">
        <v>1</v>
      </c>
      <c r="BL79" s="920">
        <v>0</v>
      </c>
      <c r="BM79" s="921">
        <v>0</v>
      </c>
      <c r="BN79" s="958">
        <v>0</v>
      </c>
      <c r="BO79" s="959">
        <v>18</v>
      </c>
      <c r="BP79">
        <f t="shared" ca="1" si="81"/>
        <v>102.96</v>
      </c>
      <c r="BQ79">
        <f t="shared" ca="1" si="82"/>
        <v>174.94399999999999</v>
      </c>
      <c r="BR79">
        <f t="shared" ca="1" si="83"/>
        <v>37.440000000000005</v>
      </c>
      <c r="BS79">
        <f t="shared" ca="1" si="84"/>
        <v>112.95</v>
      </c>
      <c r="BT79">
        <f t="shared" ca="1" si="85"/>
        <v>34.32</v>
      </c>
      <c r="BU79">
        <f t="shared" ca="1" si="86"/>
        <v>7</v>
      </c>
      <c r="BV79">
        <f t="shared" ca="1" si="87"/>
        <v>4.3</v>
      </c>
      <c r="BW79" s="1018">
        <v>0</v>
      </c>
      <c r="BX79">
        <f t="shared" ca="1" si="38"/>
        <v>11.351187468418397</v>
      </c>
      <c r="BY79">
        <f t="shared" ca="1" si="39"/>
        <v>254.61921202274573</v>
      </c>
      <c r="BZ79">
        <f t="shared" ca="1" si="94"/>
        <v>8.7326302414231254</v>
      </c>
      <c r="CA79">
        <f t="shared" ca="1" si="95"/>
        <v>13.999999994400001</v>
      </c>
      <c r="CB79">
        <f t="shared" ca="1" si="40"/>
        <v>9.0267175572519083</v>
      </c>
      <c r="CC79" s="1018">
        <f t="shared" si="96"/>
        <v>0</v>
      </c>
      <c r="CD79" s="1018">
        <f t="shared" ca="1" si="91"/>
        <v>297.72974728423918</v>
      </c>
      <c r="CE79" s="1018">
        <f t="shared" ca="1" si="92"/>
        <v>118.24810168778664</v>
      </c>
      <c r="CF79">
        <f t="shared" ca="1" si="97"/>
        <v>12.479335469160775</v>
      </c>
      <c r="CG79">
        <f t="shared" ca="1" si="98"/>
        <v>20777.594382733922</v>
      </c>
    </row>
    <row r="80" spans="3:85" x14ac:dyDescent="0.25">
      <c r="D80" s="1"/>
      <c r="F80" s="1"/>
      <c r="G80" s="3"/>
      <c r="H80" s="6"/>
      <c r="I80" s="3"/>
      <c r="J80" s="6"/>
      <c r="K80" s="8"/>
      <c r="L80" s="6"/>
      <c r="M80" s="1" t="s">
        <v>22</v>
      </c>
      <c r="N80" s="4"/>
      <c r="O80" s="1" t="s">
        <v>20</v>
      </c>
      <c r="P80" s="4"/>
      <c r="Q80" s="1" t="s">
        <v>7</v>
      </c>
      <c r="R80" s="4"/>
      <c r="S80" s="1"/>
      <c r="T80" s="77"/>
      <c r="U80" s="294"/>
      <c r="X80" s="176">
        <f t="shared" si="88"/>
        <v>0</v>
      </c>
      <c r="Y80" s="34">
        <f>X80/Calculation_sheet!M$67</f>
        <v>0</v>
      </c>
      <c r="Z80" s="176">
        <f ca="1">IF(AN80&gt;0,Y80*Calculation_sheet!C$87,0)</f>
        <v>0</v>
      </c>
      <c r="AA80" s="176">
        <f t="shared" ca="1" si="89"/>
        <v>0</v>
      </c>
      <c r="AB80" s="176">
        <f ca="1">IF(AP80&gt;0,AA80*Calculation_sheet!C$94,0)</f>
        <v>0</v>
      </c>
      <c r="AC80" s="176">
        <f t="shared" ca="1" si="80"/>
        <v>0</v>
      </c>
      <c r="AD80" s="958">
        <f ca="1">AC80*Calculation_sheet!C$99</f>
        <v>0</v>
      </c>
      <c r="AE80" s="176">
        <f t="shared" ca="1" si="80"/>
        <v>0</v>
      </c>
      <c r="AF80" s="176">
        <f t="shared" ca="1" si="90"/>
        <v>0</v>
      </c>
      <c r="AG80" s="958">
        <f ca="1">AF80*User_sheet!B$77/100</f>
        <v>0</v>
      </c>
      <c r="AH80" s="313"/>
      <c r="AI80" s="908">
        <v>201</v>
      </c>
      <c r="AJ80" s="313"/>
      <c r="AK80" s="1020">
        <f t="shared" ca="1" si="93"/>
        <v>297.72974728423918</v>
      </c>
      <c r="AL80" s="954">
        <f ca="1">AK80/'201'!I$24</f>
        <v>1.5528594757431762</v>
      </c>
      <c r="AM80" s="954">
        <f ca="1">0.8*(AK80*30+'201'!D$17*0.34*30*1)</f>
        <v>9235.7142548217416</v>
      </c>
      <c r="AN80" s="954">
        <f ca="1">IF(AM80&lt;User_sheet!B$50,Y80,0)</f>
        <v>0</v>
      </c>
      <c r="AO80" s="954">
        <f ca="1">20-(User_sheet!B$57/(AK80+'201'!D$17*1*0.34))</f>
        <v>5.1879349852579004</v>
      </c>
      <c r="AP80" s="954">
        <f ca="1">IF(AO80&lt;User_sheet!B$59,0,BC80*AA80)</f>
        <v>0</v>
      </c>
      <c r="AQ80" s="313"/>
      <c r="AR80" s="909">
        <v>0.32</v>
      </c>
      <c r="AS80" s="909">
        <v>3.7</v>
      </c>
      <c r="AT80" s="909">
        <v>0.89</v>
      </c>
      <c r="AU80" s="909">
        <v>2</v>
      </c>
      <c r="AV80" s="909">
        <v>3.3</v>
      </c>
      <c r="AW80" s="909">
        <v>14356</v>
      </c>
      <c r="AX80" s="909">
        <v>76466.30421774846</v>
      </c>
      <c r="AY80" s="909">
        <v>79015.992973719694</v>
      </c>
      <c r="AZ80" s="917">
        <v>0</v>
      </c>
      <c r="BA80" s="917">
        <v>0</v>
      </c>
      <c r="BB80" s="909">
        <v>0.6</v>
      </c>
      <c r="BC80" s="919">
        <v>0</v>
      </c>
      <c r="BD80" s="920">
        <v>1</v>
      </c>
      <c r="BE80" s="920">
        <v>0</v>
      </c>
      <c r="BF80" s="921">
        <v>0</v>
      </c>
      <c r="BG80" s="920">
        <v>0</v>
      </c>
      <c r="BH80" s="920">
        <v>1</v>
      </c>
      <c r="BI80" s="921">
        <v>0</v>
      </c>
      <c r="BJ80" s="920">
        <v>0</v>
      </c>
      <c r="BK80" s="920">
        <v>0</v>
      </c>
      <c r="BL80" s="920">
        <v>1</v>
      </c>
      <c r="BM80" s="921">
        <v>0</v>
      </c>
      <c r="BN80" s="958">
        <v>0</v>
      </c>
      <c r="BO80" s="959">
        <v>18</v>
      </c>
      <c r="BP80">
        <f t="shared" ca="1" si="81"/>
        <v>102.96</v>
      </c>
      <c r="BQ80">
        <f t="shared" ca="1" si="82"/>
        <v>174.94399999999999</v>
      </c>
      <c r="BR80">
        <f t="shared" ca="1" si="83"/>
        <v>37.440000000000005</v>
      </c>
      <c r="BS80">
        <f t="shared" ca="1" si="84"/>
        <v>112.95</v>
      </c>
      <c r="BT80">
        <f t="shared" ca="1" si="85"/>
        <v>34.32</v>
      </c>
      <c r="BU80">
        <f t="shared" ca="1" si="86"/>
        <v>7</v>
      </c>
      <c r="BV80">
        <f t="shared" ca="1" si="87"/>
        <v>4.3</v>
      </c>
      <c r="BW80" s="1018">
        <v>0</v>
      </c>
      <c r="BX80">
        <f t="shared" ca="1" si="38"/>
        <v>11.351187468418397</v>
      </c>
      <c r="BY80">
        <f t="shared" ca="1" si="39"/>
        <v>254.61921202274573</v>
      </c>
      <c r="BZ80">
        <f t="shared" ca="1" si="94"/>
        <v>8.7326302414231254</v>
      </c>
      <c r="CA80">
        <f t="shared" ca="1" si="95"/>
        <v>13.999999994400001</v>
      </c>
      <c r="CB80">
        <f t="shared" ca="1" si="40"/>
        <v>9.0267175572519083</v>
      </c>
      <c r="CC80" s="1018">
        <f t="shared" si="96"/>
        <v>0</v>
      </c>
      <c r="CD80" s="1018">
        <f t="shared" ca="1" si="91"/>
        <v>297.72974728423918</v>
      </c>
      <c r="CE80" s="1018">
        <f t="shared" ca="1" si="92"/>
        <v>118.24810168778664</v>
      </c>
      <c r="CF80">
        <f t="shared" ca="1" si="97"/>
        <v>12.479335469160775</v>
      </c>
      <c r="CG80">
        <f t="shared" ca="1" si="98"/>
        <v>20777.594382733922</v>
      </c>
    </row>
    <row r="81" spans="3:85" x14ac:dyDescent="0.25">
      <c r="D81" s="1"/>
      <c r="F81" s="1"/>
      <c r="G81" s="3"/>
      <c r="H81" s="6"/>
      <c r="I81" s="3"/>
      <c r="J81" s="6"/>
      <c r="K81" s="8"/>
      <c r="L81" s="6"/>
      <c r="M81" s="1" t="s">
        <v>7</v>
      </c>
      <c r="N81" s="4"/>
      <c r="O81" s="1" t="s">
        <v>23</v>
      </c>
      <c r="P81" s="4"/>
      <c r="Q81" s="1" t="s">
        <v>7</v>
      </c>
      <c r="R81" s="4"/>
      <c r="S81" s="1"/>
      <c r="T81" s="77"/>
      <c r="U81" s="294"/>
      <c r="X81" s="176">
        <f t="shared" si="88"/>
        <v>0</v>
      </c>
      <c r="Y81" s="34">
        <f>X81/Calculation_sheet!M$67</f>
        <v>0</v>
      </c>
      <c r="Z81" s="176">
        <f ca="1">IF(AN81&gt;0,Y81*Calculation_sheet!C$87,0)</f>
        <v>0</v>
      </c>
      <c r="AA81" s="176">
        <f t="shared" ca="1" si="89"/>
        <v>0</v>
      </c>
      <c r="AB81" s="176">
        <f ca="1">IF(AP81&gt;0,AA81*Calculation_sheet!C$94,0)</f>
        <v>0</v>
      </c>
      <c r="AC81" s="176">
        <f t="shared" ca="1" si="80"/>
        <v>0</v>
      </c>
      <c r="AD81" s="958">
        <f ca="1">AC81*Calculation_sheet!C$99</f>
        <v>0</v>
      </c>
      <c r="AE81" s="176">
        <f t="shared" ca="1" si="80"/>
        <v>0</v>
      </c>
      <c r="AF81" s="176">
        <f t="shared" ca="1" si="90"/>
        <v>0</v>
      </c>
      <c r="AG81" s="958">
        <f ca="1">AF81*User_sheet!B$77/100</f>
        <v>0</v>
      </c>
      <c r="AH81" s="313"/>
      <c r="AI81" s="908">
        <v>201</v>
      </c>
      <c r="AJ81" s="313"/>
      <c r="AK81" s="1020">
        <f t="shared" ca="1" si="93"/>
        <v>297.72974728423918</v>
      </c>
      <c r="AL81" s="954">
        <f ca="1">AK81/'201'!I$24</f>
        <v>1.5528594757431762</v>
      </c>
      <c r="AM81" s="954">
        <f ca="1">0.8*(AK81*30+'201'!D$17*0.34*30*1)</f>
        <v>9235.7142548217416</v>
      </c>
      <c r="AN81" s="954">
        <f ca="1">IF(AM81&lt;User_sheet!B$50,Y81,0)</f>
        <v>0</v>
      </c>
      <c r="AO81" s="954">
        <f ca="1">20-(User_sheet!B$57/(AK81+'201'!D$17*1*0.34))</f>
        <v>5.1879349852579004</v>
      </c>
      <c r="AP81" s="954">
        <f ca="1">IF(AO81&lt;User_sheet!B$59,0,BC81*AA81)</f>
        <v>0</v>
      </c>
      <c r="AQ81" s="313"/>
      <c r="AR81" s="909">
        <v>0.32</v>
      </c>
      <c r="AS81" s="909">
        <v>3.7</v>
      </c>
      <c r="AT81" s="909">
        <v>0.89</v>
      </c>
      <c r="AU81" s="909">
        <v>2</v>
      </c>
      <c r="AV81" s="909">
        <v>3.3</v>
      </c>
      <c r="AW81" s="909">
        <v>14356</v>
      </c>
      <c r="AX81" s="909">
        <v>76466.30421774846</v>
      </c>
      <c r="AY81" s="909">
        <v>79015.992973719694</v>
      </c>
      <c r="AZ81" s="917">
        <v>0</v>
      </c>
      <c r="BA81" s="917">
        <v>0</v>
      </c>
      <c r="BB81" s="909">
        <v>0.6</v>
      </c>
      <c r="BC81" s="919">
        <v>0</v>
      </c>
      <c r="BD81" s="920">
        <v>0</v>
      </c>
      <c r="BE81" s="920">
        <v>1</v>
      </c>
      <c r="BF81" s="921">
        <v>0</v>
      </c>
      <c r="BG81" s="920">
        <v>0</v>
      </c>
      <c r="BH81" s="920">
        <v>0</v>
      </c>
      <c r="BI81" s="921">
        <v>1</v>
      </c>
      <c r="BJ81" s="920">
        <v>0</v>
      </c>
      <c r="BK81" s="920">
        <v>0</v>
      </c>
      <c r="BL81" s="920">
        <v>1</v>
      </c>
      <c r="BM81" s="921">
        <v>0</v>
      </c>
      <c r="BN81" s="958">
        <v>0</v>
      </c>
      <c r="BO81" s="959">
        <v>18</v>
      </c>
      <c r="BP81">
        <f t="shared" ca="1" si="81"/>
        <v>102.96</v>
      </c>
      <c r="BQ81">
        <f t="shared" ca="1" si="82"/>
        <v>174.94399999999999</v>
      </c>
      <c r="BR81">
        <f t="shared" ca="1" si="83"/>
        <v>37.440000000000005</v>
      </c>
      <c r="BS81">
        <f t="shared" ca="1" si="84"/>
        <v>112.95</v>
      </c>
      <c r="BT81">
        <f t="shared" ca="1" si="85"/>
        <v>34.32</v>
      </c>
      <c r="BU81">
        <f t="shared" ca="1" si="86"/>
        <v>7</v>
      </c>
      <c r="BV81">
        <f t="shared" ca="1" si="87"/>
        <v>4.3</v>
      </c>
      <c r="BW81" s="1018">
        <v>0</v>
      </c>
      <c r="BX81">
        <f t="shared" ca="1" si="38"/>
        <v>11.351187468418397</v>
      </c>
      <c r="BY81">
        <f t="shared" ca="1" si="39"/>
        <v>254.61921202274573</v>
      </c>
      <c r="BZ81">
        <f t="shared" ca="1" si="94"/>
        <v>8.7326302414231254</v>
      </c>
      <c r="CA81">
        <f t="shared" ca="1" si="95"/>
        <v>13.999999994400001</v>
      </c>
      <c r="CB81">
        <f t="shared" ca="1" si="40"/>
        <v>9.0267175572519083</v>
      </c>
      <c r="CC81" s="1018">
        <f t="shared" si="96"/>
        <v>0</v>
      </c>
      <c r="CD81" s="1018">
        <f t="shared" ca="1" si="91"/>
        <v>297.72974728423918</v>
      </c>
      <c r="CE81" s="1018">
        <f t="shared" ca="1" si="92"/>
        <v>118.24810168778664</v>
      </c>
      <c r="CF81">
        <f t="shared" ca="1" si="97"/>
        <v>12.479335469160775</v>
      </c>
      <c r="CG81">
        <f t="shared" ca="1" si="98"/>
        <v>20777.594382733922</v>
      </c>
    </row>
    <row r="82" spans="3:85" x14ac:dyDescent="0.25">
      <c r="D82" s="1"/>
      <c r="F82" s="1"/>
      <c r="G82" s="3"/>
      <c r="H82" s="6"/>
      <c r="I82" s="3"/>
      <c r="J82" s="6"/>
      <c r="K82" s="8"/>
      <c r="L82" s="6"/>
      <c r="M82" s="1"/>
      <c r="N82" s="1"/>
      <c r="O82" s="1" t="s">
        <v>18</v>
      </c>
      <c r="P82" s="4"/>
      <c r="Q82" s="1" t="s">
        <v>17</v>
      </c>
      <c r="R82" s="4"/>
      <c r="S82" s="1"/>
      <c r="T82" s="77"/>
      <c r="U82" s="294"/>
      <c r="X82" s="176">
        <f t="shared" si="88"/>
        <v>0</v>
      </c>
      <c r="Y82" s="34">
        <f>X82/Calculation_sheet!M$67</f>
        <v>0</v>
      </c>
      <c r="Z82" s="176">
        <f ca="1">IF(AN82&gt;0,Y82*Calculation_sheet!C$87,0)</f>
        <v>0</v>
      </c>
      <c r="AA82" s="176">
        <f t="shared" ca="1" si="89"/>
        <v>0</v>
      </c>
      <c r="AB82" s="176">
        <f ca="1">IF(AP82&gt;0,AA82*Calculation_sheet!C$94,0)</f>
        <v>0</v>
      </c>
      <c r="AC82" s="176">
        <f t="shared" ca="1" si="80"/>
        <v>0</v>
      </c>
      <c r="AD82" s="958">
        <f ca="1">AC82*Calculation_sheet!C$99</f>
        <v>0</v>
      </c>
      <c r="AE82" s="176">
        <f t="shared" ca="1" si="80"/>
        <v>0</v>
      </c>
      <c r="AF82" s="176">
        <f t="shared" ca="1" si="90"/>
        <v>0</v>
      </c>
      <c r="AG82" s="958">
        <f ca="1">AF82*User_sheet!B$77/100</f>
        <v>0</v>
      </c>
      <c r="AH82" s="313"/>
      <c r="AI82" s="908">
        <v>201</v>
      </c>
      <c r="AJ82" s="313"/>
      <c r="AK82" s="1020">
        <f t="shared" ca="1" si="93"/>
        <v>297.72974728423918</v>
      </c>
      <c r="AL82" s="954">
        <f ca="1">AK82/'201'!I$24</f>
        <v>1.5528594757431762</v>
      </c>
      <c r="AM82" s="954">
        <f ca="1">0.8*(AK82*30+'201'!D$17*0.34*30*1)</f>
        <v>9235.7142548217416</v>
      </c>
      <c r="AN82" s="954">
        <f ca="1">IF(AM82&lt;User_sheet!B$50,Y82,0)</f>
        <v>0</v>
      </c>
      <c r="AO82" s="954">
        <f ca="1">20-(User_sheet!B$57/(AK82+'201'!D$17*1*0.34))</f>
        <v>5.1879349852579004</v>
      </c>
      <c r="AP82" s="954">
        <f ca="1">IF(AO82&lt;User_sheet!B$59,0,BC82*AA82)</f>
        <v>0</v>
      </c>
      <c r="AQ82" s="313"/>
      <c r="AR82" s="909">
        <v>0.32</v>
      </c>
      <c r="AS82" s="909">
        <v>3.7</v>
      </c>
      <c r="AT82" s="909">
        <v>0.89</v>
      </c>
      <c r="AU82" s="909">
        <v>2</v>
      </c>
      <c r="AV82" s="909">
        <v>3.3</v>
      </c>
      <c r="AW82" s="909">
        <v>14356</v>
      </c>
      <c r="AX82" s="909">
        <v>76466.30421774846</v>
      </c>
      <c r="AY82" s="909">
        <v>79015.992973719694</v>
      </c>
      <c r="AZ82" s="917">
        <v>0</v>
      </c>
      <c r="BA82" s="917">
        <v>0</v>
      </c>
      <c r="BB82" s="909">
        <v>0.6</v>
      </c>
      <c r="BC82" s="919">
        <v>0</v>
      </c>
      <c r="BD82" s="920">
        <v>0</v>
      </c>
      <c r="BE82" s="920">
        <v>0</v>
      </c>
      <c r="BF82" s="921">
        <v>1</v>
      </c>
      <c r="BG82" s="920">
        <v>1</v>
      </c>
      <c r="BH82" s="920">
        <v>0</v>
      </c>
      <c r="BI82" s="921">
        <v>0</v>
      </c>
      <c r="BJ82" s="920">
        <v>0</v>
      </c>
      <c r="BK82" s="920">
        <v>0</v>
      </c>
      <c r="BL82" s="920">
        <v>0</v>
      </c>
      <c r="BM82" s="921">
        <v>1</v>
      </c>
      <c r="BN82" s="958">
        <v>0</v>
      </c>
      <c r="BO82" s="959">
        <v>18</v>
      </c>
      <c r="BP82">
        <f t="shared" ca="1" si="81"/>
        <v>102.96</v>
      </c>
      <c r="BQ82">
        <f t="shared" ca="1" si="82"/>
        <v>174.94399999999999</v>
      </c>
      <c r="BR82">
        <f t="shared" ca="1" si="83"/>
        <v>37.440000000000005</v>
      </c>
      <c r="BS82">
        <f t="shared" ca="1" si="84"/>
        <v>112.95</v>
      </c>
      <c r="BT82">
        <f t="shared" ca="1" si="85"/>
        <v>34.32</v>
      </c>
      <c r="BU82">
        <f t="shared" ca="1" si="86"/>
        <v>7</v>
      </c>
      <c r="BV82">
        <f t="shared" ca="1" si="87"/>
        <v>4.3</v>
      </c>
      <c r="BW82" s="1018">
        <v>0</v>
      </c>
      <c r="BX82">
        <f t="shared" ca="1" si="38"/>
        <v>11.351187468418397</v>
      </c>
      <c r="BY82">
        <f t="shared" ca="1" si="39"/>
        <v>254.61921202274573</v>
      </c>
      <c r="BZ82">
        <f t="shared" ca="1" si="94"/>
        <v>8.7326302414231254</v>
      </c>
      <c r="CA82">
        <f t="shared" ca="1" si="95"/>
        <v>13.999999994400001</v>
      </c>
      <c r="CB82">
        <f t="shared" ca="1" si="40"/>
        <v>9.0267175572519083</v>
      </c>
      <c r="CC82" s="1018">
        <f t="shared" si="96"/>
        <v>0</v>
      </c>
      <c r="CD82" s="1018">
        <f t="shared" ca="1" si="91"/>
        <v>297.72974728423918</v>
      </c>
      <c r="CE82" s="1018">
        <f t="shared" ca="1" si="92"/>
        <v>118.24810168778664</v>
      </c>
      <c r="CF82">
        <f t="shared" ca="1" si="97"/>
        <v>12.479335469160775</v>
      </c>
      <c r="CG82">
        <f t="shared" ca="1" si="98"/>
        <v>20777.594382733922</v>
      </c>
    </row>
    <row r="83" spans="3:85" x14ac:dyDescent="0.25">
      <c r="D83" s="1"/>
      <c r="F83" s="1"/>
      <c r="G83" s="3"/>
      <c r="H83" s="6"/>
      <c r="I83" s="3"/>
      <c r="J83" s="6"/>
      <c r="K83" s="8"/>
      <c r="L83" s="6"/>
      <c r="M83" s="1" t="s">
        <v>17</v>
      </c>
      <c r="N83" s="4"/>
      <c r="O83" s="1" t="s">
        <v>19</v>
      </c>
      <c r="P83" s="4"/>
      <c r="Q83" s="1" t="s">
        <v>17</v>
      </c>
      <c r="R83" s="4"/>
      <c r="S83" s="1"/>
      <c r="T83" s="77"/>
      <c r="U83" s="294"/>
      <c r="X83" s="176">
        <f t="shared" si="88"/>
        <v>0</v>
      </c>
      <c r="Y83" s="34">
        <f>X83/Calculation_sheet!M$67</f>
        <v>0</v>
      </c>
      <c r="Z83" s="176">
        <f ca="1">IF(AN83&gt;0,Y83*Calculation_sheet!C$87,0)</f>
        <v>0</v>
      </c>
      <c r="AA83" s="176">
        <f t="shared" ca="1" si="89"/>
        <v>0</v>
      </c>
      <c r="AB83" s="176">
        <f ca="1">IF(AP83&gt;0,AA83*Calculation_sheet!C$94,0)</f>
        <v>0</v>
      </c>
      <c r="AC83" s="176">
        <f t="shared" ca="1" si="80"/>
        <v>0</v>
      </c>
      <c r="AD83" s="958">
        <f ca="1">AC83*Calculation_sheet!C$99</f>
        <v>0</v>
      </c>
      <c r="AE83" s="176">
        <f t="shared" ca="1" si="80"/>
        <v>0</v>
      </c>
      <c r="AF83" s="176">
        <f t="shared" ca="1" si="90"/>
        <v>0</v>
      </c>
      <c r="AG83" s="958">
        <f ca="1">AF83*User_sheet!B$77/100</f>
        <v>0</v>
      </c>
      <c r="AH83" s="313"/>
      <c r="AI83" s="908">
        <v>201</v>
      </c>
      <c r="AJ83" s="313"/>
      <c r="AK83" s="1020">
        <f t="shared" ca="1" si="93"/>
        <v>297.72974728423918</v>
      </c>
      <c r="AL83" s="954">
        <f ca="1">AK83/'201'!I$24</f>
        <v>1.5528594757431762</v>
      </c>
      <c r="AM83" s="954">
        <f ca="1">0.8*(AK83*30+'201'!D$17*0.34*30*1)</f>
        <v>9235.7142548217416</v>
      </c>
      <c r="AN83" s="954">
        <f ca="1">IF(AM83&lt;User_sheet!B$50,Y83,0)</f>
        <v>0</v>
      </c>
      <c r="AO83" s="954">
        <f ca="1">20-(User_sheet!B$57/(AK83+'201'!D$17*1*0.34))</f>
        <v>5.1879349852579004</v>
      </c>
      <c r="AP83" s="954">
        <f ca="1">IF(AO83&lt;User_sheet!B$59,0,BC83*AA83)</f>
        <v>0</v>
      </c>
      <c r="AQ83" s="313"/>
      <c r="AR83" s="909">
        <v>0.32</v>
      </c>
      <c r="AS83" s="909">
        <v>3.7</v>
      </c>
      <c r="AT83" s="909">
        <v>0.89</v>
      </c>
      <c r="AU83" s="909">
        <v>2</v>
      </c>
      <c r="AV83" s="909">
        <v>3.3</v>
      </c>
      <c r="AW83" s="909">
        <v>14356</v>
      </c>
      <c r="AX83" s="909">
        <v>76466.30421774846</v>
      </c>
      <c r="AY83" s="909">
        <v>79015.992973719694</v>
      </c>
      <c r="AZ83" s="917">
        <v>0</v>
      </c>
      <c r="BA83" s="917">
        <v>0</v>
      </c>
      <c r="BB83" s="909">
        <v>0.6</v>
      </c>
      <c r="BC83" s="919">
        <v>0</v>
      </c>
      <c r="BD83" s="920">
        <v>0</v>
      </c>
      <c r="BE83" s="920">
        <v>0</v>
      </c>
      <c r="BF83" s="921">
        <v>1</v>
      </c>
      <c r="BG83" s="920">
        <v>0</v>
      </c>
      <c r="BH83" s="920">
        <v>1</v>
      </c>
      <c r="BI83" s="921">
        <v>0</v>
      </c>
      <c r="BJ83" s="920">
        <v>0</v>
      </c>
      <c r="BK83" s="920">
        <v>0</v>
      </c>
      <c r="BL83" s="920">
        <v>0</v>
      </c>
      <c r="BM83" s="921">
        <v>1</v>
      </c>
      <c r="BN83" s="958">
        <v>0</v>
      </c>
      <c r="BO83" s="959">
        <v>18</v>
      </c>
      <c r="BP83">
        <f t="shared" ca="1" si="81"/>
        <v>102.96</v>
      </c>
      <c r="BQ83">
        <f t="shared" ca="1" si="82"/>
        <v>174.94399999999999</v>
      </c>
      <c r="BR83">
        <f t="shared" ca="1" si="83"/>
        <v>37.440000000000005</v>
      </c>
      <c r="BS83">
        <f t="shared" ca="1" si="84"/>
        <v>112.95</v>
      </c>
      <c r="BT83">
        <f t="shared" ca="1" si="85"/>
        <v>34.32</v>
      </c>
      <c r="BU83">
        <f t="shared" ca="1" si="86"/>
        <v>7</v>
      </c>
      <c r="BV83">
        <f t="shared" ca="1" si="87"/>
        <v>4.3</v>
      </c>
      <c r="BW83" s="1018">
        <v>0</v>
      </c>
      <c r="BX83">
        <f t="shared" ca="1" si="38"/>
        <v>11.351187468418397</v>
      </c>
      <c r="BY83">
        <f t="shared" ca="1" si="39"/>
        <v>254.61921202274573</v>
      </c>
      <c r="BZ83">
        <f t="shared" ca="1" si="94"/>
        <v>8.7326302414231254</v>
      </c>
      <c r="CA83">
        <f t="shared" ca="1" si="95"/>
        <v>13.999999994400001</v>
      </c>
      <c r="CB83">
        <f t="shared" ca="1" si="40"/>
        <v>9.0267175572519083</v>
      </c>
      <c r="CC83" s="1018">
        <f t="shared" si="96"/>
        <v>0</v>
      </c>
      <c r="CD83" s="1018">
        <f t="shared" ca="1" si="91"/>
        <v>297.72974728423918</v>
      </c>
      <c r="CE83" s="1018">
        <f t="shared" ca="1" si="92"/>
        <v>118.24810168778664</v>
      </c>
      <c r="CF83">
        <f t="shared" ca="1" si="97"/>
        <v>12.479335469160775</v>
      </c>
      <c r="CG83">
        <f t="shared" ca="1" si="98"/>
        <v>20777.594382733922</v>
      </c>
    </row>
    <row r="84" spans="3:85" s="14" customFormat="1" x14ac:dyDescent="0.25">
      <c r="D84" s="15"/>
      <c r="F84" s="15"/>
      <c r="H84" s="15"/>
      <c r="J84" s="15"/>
      <c r="K84" s="16"/>
      <c r="L84" s="15"/>
      <c r="M84" s="15"/>
      <c r="N84" s="15"/>
      <c r="O84" s="15"/>
      <c r="P84" s="15"/>
      <c r="Q84" s="15"/>
      <c r="R84" s="15"/>
      <c r="S84" s="15"/>
      <c r="T84" s="80"/>
      <c r="V84" s="292"/>
      <c r="W84" s="292"/>
      <c r="X84" s="292"/>
      <c r="Y84" s="277"/>
      <c r="Z84" s="292"/>
      <c r="AA84" s="292"/>
      <c r="AB84" s="292"/>
      <c r="AC84" s="292"/>
      <c r="AD84" s="277"/>
      <c r="AE84" s="292"/>
      <c r="AF84" s="292"/>
      <c r="AG84" s="277"/>
      <c r="AH84" s="313"/>
      <c r="AI84" s="913"/>
      <c r="AJ84" s="313"/>
      <c r="AK84" s="1020">
        <f t="shared" si="93"/>
        <v>0</v>
      </c>
      <c r="AL84" s="941"/>
      <c r="AM84" s="941"/>
      <c r="AN84" s="986"/>
      <c r="AO84" s="986"/>
      <c r="AP84" s="986"/>
      <c r="AQ84" s="313"/>
      <c r="AR84" s="918"/>
      <c r="AS84" s="918"/>
      <c r="AT84" s="918"/>
      <c r="AU84" s="918"/>
      <c r="AV84" s="918"/>
      <c r="AW84" s="918"/>
      <c r="AX84" s="918"/>
      <c r="AY84" s="918"/>
      <c r="AZ84" s="918"/>
      <c r="BA84" s="918"/>
      <c r="BB84" s="918"/>
      <c r="BC84" s="45"/>
      <c r="BD84" s="277"/>
      <c r="BE84" s="277"/>
      <c r="BF84" s="49"/>
      <c r="BG84" s="918"/>
      <c r="BH84" s="918"/>
      <c r="BI84" s="49"/>
      <c r="BJ84" s="918"/>
      <c r="BK84" s="918"/>
      <c r="BL84" s="918"/>
      <c r="BM84" s="49"/>
      <c r="BN84" s="277"/>
      <c r="BO84" s="49"/>
      <c r="BW84" s="928"/>
      <c r="CC84" s="928"/>
      <c r="CD84" s="928"/>
      <c r="CE84" s="928"/>
    </row>
    <row r="85" spans="3:85" x14ac:dyDescent="0.25">
      <c r="C85" s="499"/>
      <c r="D85" s="500"/>
      <c r="E85" s="499"/>
      <c r="F85" s="500"/>
      <c r="G85" s="499"/>
      <c r="H85" s="504"/>
      <c r="I85" s="499"/>
      <c r="J85" s="500"/>
      <c r="K85" s="502"/>
      <c r="L85" s="504"/>
      <c r="M85" s="500"/>
      <c r="N85" s="500"/>
      <c r="O85" s="500"/>
      <c r="P85" s="500"/>
      <c r="Q85" s="500" t="s">
        <v>16</v>
      </c>
      <c r="R85" s="501">
        <v>0.73860000000000003</v>
      </c>
      <c r="S85" s="500"/>
      <c r="T85" s="508">
        <v>5.016062190136273E-3</v>
      </c>
      <c r="U85" s="499"/>
      <c r="V85" s="176">
        <f t="shared" si="8"/>
        <v>5.016062190136273E-3</v>
      </c>
      <c r="W85" s="176">
        <f>V85-V85*Calculation_sheet!J$66</f>
        <v>5.016062190136273E-3</v>
      </c>
      <c r="X85" s="176">
        <f>W85-W85*Calculation_sheet!J$76</f>
        <v>5.016062190136273E-3</v>
      </c>
      <c r="Y85" s="34">
        <f>X85/Calculation_sheet!M$67</f>
        <v>5.0161647506939905E-3</v>
      </c>
      <c r="Z85" s="176">
        <f ca="1">IF(AN85&gt;0,Y85*Calculation_sheet!C$87,0)</f>
        <v>0</v>
      </c>
      <c r="AA85" s="176">
        <f ca="1">Y85-Z85</f>
        <v>5.0161647506939905E-3</v>
      </c>
      <c r="AB85" s="176">
        <f ca="1">IF(AP85&gt;0,AA85*Calculation_sheet!C$94,0)</f>
        <v>0</v>
      </c>
      <c r="AC85" s="176">
        <f t="shared" ref="AC85:AE95" ca="1" si="99">AA85-AB85</f>
        <v>5.0161647506939905E-3</v>
      </c>
      <c r="AD85" s="958">
        <f ca="1">AC85*Calculation_sheet!C$99</f>
        <v>3.0096988504163943E-3</v>
      </c>
      <c r="AE85" s="176">
        <f t="shared" ca="1" si="99"/>
        <v>2.0064659002775962E-3</v>
      </c>
      <c r="AF85" s="176">
        <f ca="1">Y85-AB85</f>
        <v>5.0161647506939905E-3</v>
      </c>
      <c r="AG85" s="958">
        <f ca="1">AF85*User_sheet!B$77/100</f>
        <v>0</v>
      </c>
      <c r="AH85" s="313"/>
      <c r="AI85" s="908">
        <v>201</v>
      </c>
      <c r="AJ85" s="313"/>
      <c r="AK85" s="1020">
        <f t="shared" ca="1" si="93"/>
        <v>473.94078193186579</v>
      </c>
      <c r="AL85" s="954">
        <f ca="1">AK85/'201'!I$24</f>
        <v>2.4719177068370404</v>
      </c>
      <c r="AM85" s="954">
        <f ca="1">0.8*(AK85*30+'201'!D$17*0.34*30*1)</f>
        <v>13464.779086364781</v>
      </c>
      <c r="AN85" s="954">
        <f ca="1">IF(AM85&lt;User_sheet!B$50,Y85,0)</f>
        <v>0</v>
      </c>
      <c r="AO85" s="954">
        <f ca="1">20-(User_sheet!B$57/(AK85+'201'!D$17*1*0.34))</f>
        <v>9.8401600856168763</v>
      </c>
      <c r="AP85" s="954">
        <f ca="1">IF(AO85&lt;User_sheet!B$59,0,BC85*AA85)</f>
        <v>5.0161647506939905E-3</v>
      </c>
      <c r="AQ85" s="313"/>
      <c r="AR85" s="909">
        <v>14.1</v>
      </c>
      <c r="AS85" s="909">
        <v>3.7</v>
      </c>
      <c r="AT85" s="909">
        <v>7.9</v>
      </c>
      <c r="AU85" s="909">
        <v>2.75</v>
      </c>
      <c r="AV85" s="909">
        <v>3.3</v>
      </c>
      <c r="AW85" s="909">
        <v>7211.5338771527777</v>
      </c>
      <c r="AX85" s="909">
        <v>76466.30421774846</v>
      </c>
      <c r="AY85" s="909">
        <v>67352.647733737584</v>
      </c>
      <c r="AZ85" s="909">
        <v>0</v>
      </c>
      <c r="BA85" s="909">
        <v>0</v>
      </c>
      <c r="BB85" s="909">
        <v>0.6</v>
      </c>
      <c r="BC85" s="919">
        <v>1</v>
      </c>
      <c r="BD85" s="920">
        <v>0</v>
      </c>
      <c r="BE85" s="920">
        <v>0</v>
      </c>
      <c r="BF85" s="921">
        <v>0</v>
      </c>
      <c r="BG85" s="909">
        <v>1</v>
      </c>
      <c r="BH85" s="909">
        <v>0</v>
      </c>
      <c r="BI85" s="921">
        <v>0</v>
      </c>
      <c r="BJ85" s="909">
        <v>1</v>
      </c>
      <c r="BK85" s="909">
        <v>0</v>
      </c>
      <c r="BL85" s="909">
        <v>0</v>
      </c>
      <c r="BM85" s="921">
        <v>0</v>
      </c>
      <c r="BN85" s="958">
        <v>0</v>
      </c>
      <c r="BO85" s="959">
        <v>18</v>
      </c>
      <c r="BP85">
        <f t="shared" ref="BP85:BP95" ca="1" si="100">INDIRECT("'"&amp;AI85&amp;"'!"&amp;"B2")</f>
        <v>102.96</v>
      </c>
      <c r="BQ85">
        <f t="shared" ref="BQ85:BQ95" ca="1" si="101">INDIRECT("'"&amp;AI85&amp;"'!"&amp;"C12")+INDIRECT("'"&amp;AI85&amp;"'!"&amp;"C13")+INDIRECT("'"&amp;AI85&amp;"'!"&amp;"C14")+INDIRECT("'"&amp;AI85&amp;"'!"&amp;"C15")+INDIRECT("'"&amp;AI85&amp;"'!"&amp;"C17")</f>
        <v>174.94399999999999</v>
      </c>
      <c r="BR85">
        <f t="shared" ref="BR85:BR95" ca="1" si="102">INDIRECT("'"&amp;AI85&amp;"'!"&amp;"G5")</f>
        <v>37.440000000000005</v>
      </c>
      <c r="BS85">
        <f t="shared" ref="BS85:BS95" ca="1" si="103">INDIRECT("'"&amp;AI85&amp;"'!"&amp;"G4")</f>
        <v>112.95</v>
      </c>
      <c r="BT85">
        <f t="shared" ref="BT85:BT95" ca="1" si="104">INDIRECT("'"&amp;AI85&amp;"'!"&amp;"G6")</f>
        <v>34.32</v>
      </c>
      <c r="BU85">
        <f t="shared" ref="BU85:BU95" ca="1" si="105">INDIRECT("'"&amp;AI85&amp;"'!"&amp;"G2")</f>
        <v>7</v>
      </c>
      <c r="BV85">
        <f t="shared" ref="BV85:BV95" ca="1" si="106">INDIRECT("'"&amp;AI85&amp;"'!"&amp;"G3")</f>
        <v>4.3</v>
      </c>
      <c r="BW85" s="1018">
        <v>0</v>
      </c>
      <c r="BX85">
        <f t="shared" ca="1" si="38"/>
        <v>153.2822299651568</v>
      </c>
      <c r="BY85">
        <f t="shared" ca="1" si="39"/>
        <v>254.61921202274573</v>
      </c>
      <c r="BZ85">
        <f t="shared" ca="1" si="94"/>
        <v>37.76262239729882</v>
      </c>
      <c r="CA85">
        <f t="shared" ca="1" si="95"/>
        <v>19.249999989412501</v>
      </c>
      <c r="CB85">
        <f t="shared" ca="1" si="40"/>
        <v>9.0267175572519083</v>
      </c>
      <c r="CC85" s="1018">
        <f t="shared" si="96"/>
        <v>0</v>
      </c>
      <c r="CD85" s="1018">
        <f ca="1">SUM(BX85:CC85)+(BR85+BS85+BT85+BU85+BV85)*BN85</f>
        <v>473.94078193186579</v>
      </c>
      <c r="CE85" s="1018">
        <f ca="1">0.34*BO85*(1/25)^0.66*(BR85+BS85+BU85+BV85)</f>
        <v>118.24810168778664</v>
      </c>
      <c r="CF85">
        <f t="shared" ca="1" si="97"/>
        <v>17.765666508589572</v>
      </c>
      <c r="CG85">
        <f t="shared" ca="1" si="98"/>
        <v>29579.124110141292</v>
      </c>
    </row>
    <row r="86" spans="3:85" x14ac:dyDescent="0.25">
      <c r="C86" s="499"/>
      <c r="D86" s="500"/>
      <c r="E86" s="499"/>
      <c r="F86" s="500"/>
      <c r="G86" s="499"/>
      <c r="H86" s="504"/>
      <c r="I86" s="499"/>
      <c r="J86" s="500"/>
      <c r="K86" s="502"/>
      <c r="L86" s="504"/>
      <c r="M86" s="500"/>
      <c r="N86" s="500"/>
      <c r="O86" s="500" t="s">
        <v>18</v>
      </c>
      <c r="P86" s="501">
        <v>0.62953995200000001</v>
      </c>
      <c r="Q86" s="500" t="s">
        <v>7</v>
      </c>
      <c r="R86" s="501">
        <v>0.26140000000000002</v>
      </c>
      <c r="S86" s="500"/>
      <c r="T86" s="508">
        <v>1.7752486548898213E-3</v>
      </c>
      <c r="U86" s="499"/>
      <c r="V86" s="176">
        <f t="shared" si="8"/>
        <v>1.7752486548898213E-3</v>
      </c>
      <c r="W86" s="176">
        <f>V86-V86*Calculation_sheet!J$66</f>
        <v>1.7752486548898213E-3</v>
      </c>
      <c r="X86" s="176">
        <f>W86-W86*Calculation_sheet!J$76</f>
        <v>1.7752486548898213E-3</v>
      </c>
      <c r="Y86" s="34">
        <f>X86/Calculation_sheet!M$67</f>
        <v>1.7752849523847947E-3</v>
      </c>
      <c r="Z86" s="176">
        <f ca="1">IF(AN86&gt;0,Y86*Calculation_sheet!C$87,0)</f>
        <v>0</v>
      </c>
      <c r="AA86" s="176">
        <f t="shared" ref="AA86:AA95" ca="1" si="107">Y86-Z86</f>
        <v>1.7752849523847947E-3</v>
      </c>
      <c r="AB86" s="176">
        <f ca="1">IF(AP86&gt;0,AA86*Calculation_sheet!C$94,0)</f>
        <v>0</v>
      </c>
      <c r="AC86" s="176">
        <f t="shared" ca="1" si="99"/>
        <v>1.7752849523847947E-3</v>
      </c>
      <c r="AD86" s="958">
        <f ca="1">AC86*Calculation_sheet!C$99</f>
        <v>1.0651709714308768E-3</v>
      </c>
      <c r="AE86" s="176">
        <f t="shared" ca="1" si="99"/>
        <v>7.1011398095391799E-4</v>
      </c>
      <c r="AF86" s="176">
        <f t="shared" ref="AF86:AF95" ca="1" si="108">Y86-AB86</f>
        <v>1.7752849523847947E-3</v>
      </c>
      <c r="AG86" s="958">
        <f ca="1">AF86*User_sheet!B$77/100</f>
        <v>0</v>
      </c>
      <c r="AH86" s="313"/>
      <c r="AI86" s="908">
        <v>201</v>
      </c>
      <c r="AJ86" s="313"/>
      <c r="AK86" s="1020">
        <f t="shared" ca="1" si="93"/>
        <v>473.94078193186579</v>
      </c>
      <c r="AL86" s="954">
        <f ca="1">AK86/'201'!I$24</f>
        <v>2.4719177068370404</v>
      </c>
      <c r="AM86" s="954">
        <f ca="1">0.8*(AK86*30+'201'!D$17*0.34*30*1)</f>
        <v>13464.779086364781</v>
      </c>
      <c r="AN86" s="954">
        <f ca="1">IF(AM86&lt;User_sheet!B$50,Y86,0)</f>
        <v>0</v>
      </c>
      <c r="AO86" s="954">
        <f ca="1">20-(User_sheet!B$57/(AK86+'201'!D$17*1*0.34))</f>
        <v>9.8401600856168763</v>
      </c>
      <c r="AP86" s="954">
        <f ca="1">IF(AO86&lt;User_sheet!B$59,0,BC86*AA86)</f>
        <v>1.7752849523847947E-3</v>
      </c>
      <c r="AQ86" s="313"/>
      <c r="AR86" s="909">
        <v>14.1</v>
      </c>
      <c r="AS86" s="909">
        <v>3.7</v>
      </c>
      <c r="AT86" s="909">
        <v>7.9</v>
      </c>
      <c r="AU86" s="909">
        <v>2.75</v>
      </c>
      <c r="AV86" s="909">
        <v>3.3</v>
      </c>
      <c r="AW86" s="909">
        <v>7211.5338771527777</v>
      </c>
      <c r="AX86" s="909">
        <v>76466.30421774846</v>
      </c>
      <c r="AY86" s="909">
        <v>67352.647733737584</v>
      </c>
      <c r="AZ86" s="909">
        <v>0</v>
      </c>
      <c r="BA86" s="909">
        <v>0</v>
      </c>
      <c r="BB86" s="909">
        <v>0.6</v>
      </c>
      <c r="BC86" s="919">
        <v>1</v>
      </c>
      <c r="BD86" s="920">
        <v>0</v>
      </c>
      <c r="BE86" s="920">
        <v>0</v>
      </c>
      <c r="BF86" s="921">
        <v>0</v>
      </c>
      <c r="BG86" s="909">
        <v>1</v>
      </c>
      <c r="BH86" s="909">
        <v>0</v>
      </c>
      <c r="BI86" s="921">
        <v>0</v>
      </c>
      <c r="BJ86" s="909">
        <v>0</v>
      </c>
      <c r="BK86" s="909">
        <v>0</v>
      </c>
      <c r="BL86" s="909">
        <v>1</v>
      </c>
      <c r="BM86" s="921">
        <v>0</v>
      </c>
      <c r="BN86" s="958">
        <v>0</v>
      </c>
      <c r="BO86" s="959">
        <v>18</v>
      </c>
      <c r="BP86">
        <f t="shared" ca="1" si="100"/>
        <v>102.96</v>
      </c>
      <c r="BQ86">
        <f t="shared" ca="1" si="101"/>
        <v>174.94399999999999</v>
      </c>
      <c r="BR86">
        <f t="shared" ca="1" si="102"/>
        <v>37.440000000000005</v>
      </c>
      <c r="BS86">
        <f t="shared" ca="1" si="103"/>
        <v>112.95</v>
      </c>
      <c r="BT86">
        <f t="shared" ca="1" si="104"/>
        <v>34.32</v>
      </c>
      <c r="BU86">
        <f t="shared" ca="1" si="105"/>
        <v>7</v>
      </c>
      <c r="BV86">
        <f t="shared" ca="1" si="106"/>
        <v>4.3</v>
      </c>
      <c r="BW86" s="1018">
        <v>0</v>
      </c>
      <c r="BX86">
        <f t="shared" ca="1" si="38"/>
        <v>153.2822299651568</v>
      </c>
      <c r="BY86">
        <f t="shared" ca="1" si="39"/>
        <v>254.61921202274573</v>
      </c>
      <c r="BZ86">
        <f t="shared" ca="1" si="94"/>
        <v>37.76262239729882</v>
      </c>
      <c r="CA86">
        <f t="shared" ca="1" si="95"/>
        <v>19.249999989412501</v>
      </c>
      <c r="CB86">
        <f t="shared" ca="1" si="40"/>
        <v>9.0267175572519083</v>
      </c>
      <c r="CC86" s="1018">
        <f t="shared" si="96"/>
        <v>0</v>
      </c>
      <c r="CD86" s="1018">
        <f t="shared" ref="CD86:CD95" ca="1" si="109">SUM(BX86:CC86)+(BR86+BS86+BT86+BU86+BV86)*BN86</f>
        <v>473.94078193186579</v>
      </c>
      <c r="CE86" s="1018">
        <f t="shared" ref="CE86:CE95" ca="1" si="110">0.34*BO86*(1/25)^0.66*(BR86+BS86+BU86+BV86)</f>
        <v>118.24810168778664</v>
      </c>
      <c r="CF86">
        <f t="shared" ca="1" si="97"/>
        <v>17.765666508589572</v>
      </c>
      <c r="CG86">
        <f t="shared" ca="1" si="98"/>
        <v>29579.124110141292</v>
      </c>
    </row>
    <row r="87" spans="3:85" x14ac:dyDescent="0.25">
      <c r="C87" s="499"/>
      <c r="D87" s="500"/>
      <c r="E87" s="499"/>
      <c r="F87" s="500"/>
      <c r="G87" s="499"/>
      <c r="H87" s="504"/>
      <c r="I87" s="499"/>
      <c r="J87" s="500"/>
      <c r="K87" s="502"/>
      <c r="L87" s="504"/>
      <c r="M87" s="500"/>
      <c r="N87" s="500"/>
      <c r="O87" s="500"/>
      <c r="P87" s="500"/>
      <c r="Q87" s="500" t="s">
        <v>16</v>
      </c>
      <c r="R87" s="501">
        <v>0.73860000000000003</v>
      </c>
      <c r="S87" s="500"/>
      <c r="T87" s="508">
        <v>2.951759668032742E-3</v>
      </c>
      <c r="U87" s="499"/>
      <c r="V87" s="176">
        <f t="shared" si="8"/>
        <v>2.951759668032742E-3</v>
      </c>
      <c r="W87" s="176">
        <f>V87-V87*Calculation_sheet!J$66</f>
        <v>2.951759668032742E-3</v>
      </c>
      <c r="X87" s="176">
        <f>W87-W87*Calculation_sheet!J$76</f>
        <v>2.951759668032742E-3</v>
      </c>
      <c r="Y87" s="34">
        <f>X87/Calculation_sheet!M$67</f>
        <v>2.9518200209762116E-3</v>
      </c>
      <c r="Z87" s="176">
        <f ca="1">IF(AN87&gt;0,Y87*Calculation_sheet!C$87,0)</f>
        <v>0</v>
      </c>
      <c r="AA87" s="176">
        <f t="shared" ca="1" si="107"/>
        <v>2.9518200209762116E-3</v>
      </c>
      <c r="AB87" s="176">
        <f ca="1">IF(AP87&gt;0,AA87*Calculation_sheet!C$94,0)</f>
        <v>0</v>
      </c>
      <c r="AC87" s="176">
        <f t="shared" ca="1" si="99"/>
        <v>2.9518200209762116E-3</v>
      </c>
      <c r="AD87" s="958">
        <f ca="1">AC87*Calculation_sheet!C$99</f>
        <v>1.7710920125857269E-3</v>
      </c>
      <c r="AE87" s="176">
        <f t="shared" ca="1" si="99"/>
        <v>1.1807280083904847E-3</v>
      </c>
      <c r="AF87" s="176">
        <f t="shared" ca="1" si="108"/>
        <v>2.9518200209762116E-3</v>
      </c>
      <c r="AG87" s="958">
        <f ca="1">AF87*User_sheet!B$77/100</f>
        <v>0</v>
      </c>
      <c r="AH87" s="313"/>
      <c r="AI87" s="908">
        <v>201</v>
      </c>
      <c r="AJ87" s="313"/>
      <c r="AK87" s="1020">
        <f t="shared" ca="1" si="93"/>
        <v>473.94078193186579</v>
      </c>
      <c r="AL87" s="954">
        <f ca="1">AK87/'201'!I$24</f>
        <v>2.4719177068370404</v>
      </c>
      <c r="AM87" s="954">
        <f ca="1">0.8*(AK87*30+'201'!D$17*0.34*30*1)</f>
        <v>13464.779086364781</v>
      </c>
      <c r="AN87" s="954">
        <f ca="1">IF(AM87&lt;User_sheet!B$50,Y87,0)</f>
        <v>0</v>
      </c>
      <c r="AO87" s="954">
        <f ca="1">20-(User_sheet!B$57/(AK87+'201'!D$17*1*0.34))</f>
        <v>9.8401600856168763</v>
      </c>
      <c r="AP87" s="954">
        <f ca="1">IF(AO87&lt;User_sheet!B$59,0,BC87*AA87)</f>
        <v>2.9518200209762116E-3</v>
      </c>
      <c r="AQ87" s="313"/>
      <c r="AR87" s="909">
        <v>14.1</v>
      </c>
      <c r="AS87" s="909">
        <v>3.7</v>
      </c>
      <c r="AT87" s="909">
        <v>7.9</v>
      </c>
      <c r="AU87" s="909">
        <v>2.75</v>
      </c>
      <c r="AV87" s="909">
        <v>3.3</v>
      </c>
      <c r="AW87" s="909">
        <v>7211.5338771527777</v>
      </c>
      <c r="AX87" s="909">
        <v>76466.30421774846</v>
      </c>
      <c r="AY87" s="909">
        <v>67352.647733737584</v>
      </c>
      <c r="AZ87" s="909">
        <v>0</v>
      </c>
      <c r="BA87" s="909">
        <v>0</v>
      </c>
      <c r="BB87" s="909">
        <v>0.6</v>
      </c>
      <c r="BC87" s="919">
        <v>1</v>
      </c>
      <c r="BD87" s="920">
        <v>0</v>
      </c>
      <c r="BE87" s="920">
        <v>0</v>
      </c>
      <c r="BF87" s="921">
        <v>0</v>
      </c>
      <c r="BG87" s="909">
        <v>0</v>
      </c>
      <c r="BH87" s="909">
        <v>1</v>
      </c>
      <c r="BI87" s="921">
        <v>0</v>
      </c>
      <c r="BJ87" s="909">
        <v>1</v>
      </c>
      <c r="BK87" s="909">
        <v>0</v>
      </c>
      <c r="BL87" s="909">
        <v>0</v>
      </c>
      <c r="BM87" s="921">
        <v>0</v>
      </c>
      <c r="BN87" s="958">
        <v>0</v>
      </c>
      <c r="BO87" s="959">
        <v>18</v>
      </c>
      <c r="BP87">
        <f t="shared" ca="1" si="100"/>
        <v>102.96</v>
      </c>
      <c r="BQ87">
        <f t="shared" ca="1" si="101"/>
        <v>174.94399999999999</v>
      </c>
      <c r="BR87">
        <f t="shared" ca="1" si="102"/>
        <v>37.440000000000005</v>
      </c>
      <c r="BS87">
        <f t="shared" ca="1" si="103"/>
        <v>112.95</v>
      </c>
      <c r="BT87">
        <f t="shared" ca="1" si="104"/>
        <v>34.32</v>
      </c>
      <c r="BU87">
        <f t="shared" ca="1" si="105"/>
        <v>7</v>
      </c>
      <c r="BV87">
        <f t="shared" ca="1" si="106"/>
        <v>4.3</v>
      </c>
      <c r="BW87" s="1018">
        <v>0</v>
      </c>
      <c r="BX87">
        <f t="shared" ca="1" si="38"/>
        <v>153.2822299651568</v>
      </c>
      <c r="BY87">
        <f t="shared" ca="1" si="39"/>
        <v>254.61921202274573</v>
      </c>
      <c r="BZ87">
        <f t="shared" ca="1" si="94"/>
        <v>37.76262239729882</v>
      </c>
      <c r="CA87">
        <f t="shared" ca="1" si="95"/>
        <v>19.249999989412501</v>
      </c>
      <c r="CB87">
        <f t="shared" ca="1" si="40"/>
        <v>9.0267175572519083</v>
      </c>
      <c r="CC87" s="1018">
        <f t="shared" si="96"/>
        <v>0</v>
      </c>
      <c r="CD87" s="1018">
        <f t="shared" ca="1" si="109"/>
        <v>473.94078193186579</v>
      </c>
      <c r="CE87" s="1018">
        <f t="shared" ca="1" si="110"/>
        <v>118.24810168778664</v>
      </c>
      <c r="CF87">
        <f t="shared" ca="1" si="97"/>
        <v>17.765666508589572</v>
      </c>
      <c r="CG87">
        <f t="shared" ca="1" si="98"/>
        <v>29579.124110141292</v>
      </c>
    </row>
    <row r="88" spans="3:85" x14ac:dyDescent="0.25">
      <c r="C88" s="499"/>
      <c r="D88" s="500"/>
      <c r="E88" s="499"/>
      <c r="F88" s="500"/>
      <c r="G88" s="499"/>
      <c r="H88" s="504"/>
      <c r="I88" s="499"/>
      <c r="J88" s="500"/>
      <c r="K88" s="502"/>
      <c r="L88" s="504"/>
      <c r="M88" s="500" t="s">
        <v>16</v>
      </c>
      <c r="N88" s="501">
        <v>0.44680851100000002</v>
      </c>
      <c r="O88" s="500" t="s">
        <v>19</v>
      </c>
      <c r="P88" s="501">
        <v>0.37046004799999999</v>
      </c>
      <c r="Q88" s="500" t="s">
        <v>7</v>
      </c>
      <c r="R88" s="501">
        <v>0.26140000000000002</v>
      </c>
      <c r="S88" s="500"/>
      <c r="T88" s="508">
        <v>1.0446655526993756E-3</v>
      </c>
      <c r="U88" s="499"/>
      <c r="V88" s="176">
        <f t="shared" si="8"/>
        <v>1.0446655526993756E-3</v>
      </c>
      <c r="W88" s="176">
        <f>V88-V88*Calculation_sheet!J$66</f>
        <v>1.0446655526993756E-3</v>
      </c>
      <c r="X88" s="176">
        <f>W88-W88*Calculation_sheet!J$76</f>
        <v>1.0446655526993756E-3</v>
      </c>
      <c r="Y88" s="34">
        <f>X88/Calculation_sheet!M$67</f>
        <v>1.0446869123790709E-3</v>
      </c>
      <c r="Z88" s="176">
        <f ca="1">IF(AN88&gt;0,Y88*Calculation_sheet!C$87,0)</f>
        <v>0</v>
      </c>
      <c r="AA88" s="176">
        <f t="shared" ca="1" si="107"/>
        <v>1.0446869123790709E-3</v>
      </c>
      <c r="AB88" s="176">
        <f ca="1">IF(AP88&gt;0,AA88*Calculation_sheet!C$94,0)</f>
        <v>0</v>
      </c>
      <c r="AC88" s="176">
        <f t="shared" ca="1" si="99"/>
        <v>1.0446869123790709E-3</v>
      </c>
      <c r="AD88" s="958">
        <f ca="1">AC88*Calculation_sheet!C$99</f>
        <v>6.2681214742744257E-4</v>
      </c>
      <c r="AE88" s="176">
        <f t="shared" ca="1" si="99"/>
        <v>4.1787476495162834E-4</v>
      </c>
      <c r="AF88" s="176">
        <f t="shared" ca="1" si="108"/>
        <v>1.0446869123790709E-3</v>
      </c>
      <c r="AG88" s="958">
        <f ca="1">AF88*User_sheet!B$77/100</f>
        <v>0</v>
      </c>
      <c r="AH88" s="313"/>
      <c r="AI88" s="908">
        <v>201</v>
      </c>
      <c r="AJ88" s="313"/>
      <c r="AK88" s="1020">
        <f t="shared" ca="1" si="93"/>
        <v>473.94078193186579</v>
      </c>
      <c r="AL88" s="954">
        <f ca="1">AK88/'201'!I$24</f>
        <v>2.4719177068370404</v>
      </c>
      <c r="AM88" s="954">
        <f ca="1">0.8*(AK88*30+'201'!D$17*0.34*30*1)</f>
        <v>13464.779086364781</v>
      </c>
      <c r="AN88" s="954">
        <f ca="1">IF(AM88&lt;User_sheet!B$50,Y88,0)</f>
        <v>0</v>
      </c>
      <c r="AO88" s="954">
        <f ca="1">20-(User_sheet!B$57/(AK88+'201'!D$17*1*0.34))</f>
        <v>9.8401600856168763</v>
      </c>
      <c r="AP88" s="954">
        <f ca="1">IF(AO88&lt;User_sheet!B$59,0,BC88*AA88)</f>
        <v>1.0446869123790709E-3</v>
      </c>
      <c r="AQ88" s="313"/>
      <c r="AR88" s="909">
        <v>14.1</v>
      </c>
      <c r="AS88" s="909">
        <v>3.7</v>
      </c>
      <c r="AT88" s="909">
        <v>7.9</v>
      </c>
      <c r="AU88" s="909">
        <v>2.75</v>
      </c>
      <c r="AV88" s="909">
        <v>3.3</v>
      </c>
      <c r="AW88" s="909">
        <v>7211.5338771527777</v>
      </c>
      <c r="AX88" s="909">
        <v>76466.30421774846</v>
      </c>
      <c r="AY88" s="909">
        <v>67352.647733737584</v>
      </c>
      <c r="AZ88" s="909">
        <v>0</v>
      </c>
      <c r="BA88" s="909">
        <v>0</v>
      </c>
      <c r="BB88" s="909">
        <v>0.6</v>
      </c>
      <c r="BC88" s="919">
        <v>1</v>
      </c>
      <c r="BD88" s="920">
        <v>0</v>
      </c>
      <c r="BE88" s="920">
        <v>0</v>
      </c>
      <c r="BF88" s="921">
        <v>0</v>
      </c>
      <c r="BG88" s="909">
        <v>0</v>
      </c>
      <c r="BH88" s="909">
        <v>1</v>
      </c>
      <c r="BI88" s="921">
        <v>0</v>
      </c>
      <c r="BJ88" s="909">
        <v>0</v>
      </c>
      <c r="BK88" s="909">
        <v>0</v>
      </c>
      <c r="BL88" s="909">
        <v>1</v>
      </c>
      <c r="BM88" s="921">
        <v>0</v>
      </c>
      <c r="BN88" s="958">
        <v>0</v>
      </c>
      <c r="BO88" s="959">
        <v>18</v>
      </c>
      <c r="BP88">
        <f t="shared" ca="1" si="100"/>
        <v>102.96</v>
      </c>
      <c r="BQ88">
        <f t="shared" ca="1" si="101"/>
        <v>174.94399999999999</v>
      </c>
      <c r="BR88">
        <f t="shared" ca="1" si="102"/>
        <v>37.440000000000005</v>
      </c>
      <c r="BS88">
        <f t="shared" ca="1" si="103"/>
        <v>112.95</v>
      </c>
      <c r="BT88">
        <f t="shared" ca="1" si="104"/>
        <v>34.32</v>
      </c>
      <c r="BU88">
        <f t="shared" ca="1" si="105"/>
        <v>7</v>
      </c>
      <c r="BV88">
        <f t="shared" ca="1" si="106"/>
        <v>4.3</v>
      </c>
      <c r="BW88" s="1018">
        <v>0</v>
      </c>
      <c r="BX88">
        <f t="shared" ca="1" si="38"/>
        <v>153.2822299651568</v>
      </c>
      <c r="BY88">
        <f t="shared" ca="1" si="39"/>
        <v>254.61921202274573</v>
      </c>
      <c r="BZ88">
        <f t="shared" ca="1" si="94"/>
        <v>37.76262239729882</v>
      </c>
      <c r="CA88">
        <f t="shared" ca="1" si="95"/>
        <v>19.249999989412501</v>
      </c>
      <c r="CB88">
        <f t="shared" ca="1" si="40"/>
        <v>9.0267175572519083</v>
      </c>
      <c r="CC88" s="1018">
        <f t="shared" si="96"/>
        <v>0</v>
      </c>
      <c r="CD88" s="1018">
        <f t="shared" ca="1" si="109"/>
        <v>473.94078193186579</v>
      </c>
      <c r="CE88" s="1018">
        <f t="shared" ca="1" si="110"/>
        <v>118.24810168778664</v>
      </c>
      <c r="CF88">
        <f t="shared" ca="1" si="97"/>
        <v>17.765666508589572</v>
      </c>
      <c r="CG88">
        <f t="shared" ca="1" si="98"/>
        <v>29579.124110141292</v>
      </c>
    </row>
    <row r="89" spans="3:85" x14ac:dyDescent="0.25">
      <c r="C89" s="499"/>
      <c r="D89" s="500"/>
      <c r="E89" s="499"/>
      <c r="F89" s="500"/>
      <c r="G89" s="499"/>
      <c r="H89" s="504"/>
      <c r="I89" s="499"/>
      <c r="J89" s="500"/>
      <c r="K89" s="502"/>
      <c r="L89" s="504"/>
      <c r="M89" s="500"/>
      <c r="N89" s="500"/>
      <c r="O89" s="500"/>
      <c r="P89" s="500"/>
      <c r="Q89" s="500" t="s">
        <v>22</v>
      </c>
      <c r="R89" s="501">
        <v>0.53710000000000002</v>
      </c>
      <c r="S89" s="500"/>
      <c r="T89" s="508">
        <v>4.6831955047843743E-3</v>
      </c>
      <c r="U89" s="499"/>
      <c r="V89" s="176">
        <f t="shared" si="8"/>
        <v>4.6831955047843743E-3</v>
      </c>
      <c r="W89" s="176">
        <f>V89-V89*Calculation_sheet!J$66</f>
        <v>4.6831955047843743E-3</v>
      </c>
      <c r="X89" s="176">
        <f>W89-W89*Calculation_sheet!J$76</f>
        <v>4.6831955047843743E-3</v>
      </c>
      <c r="Y89" s="34">
        <f>X89/Calculation_sheet!M$67</f>
        <v>4.6832912594071572E-3</v>
      </c>
      <c r="Z89" s="176">
        <f ca="1">IF(AN89&gt;0,Y89*Calculation_sheet!C$87,0)</f>
        <v>0</v>
      </c>
      <c r="AA89" s="176">
        <f t="shared" ca="1" si="107"/>
        <v>4.6832912594071572E-3</v>
      </c>
      <c r="AB89" s="176">
        <f ca="1">IF(AP89&gt;0,AA89*Calculation_sheet!C$94,0)</f>
        <v>0</v>
      </c>
      <c r="AC89" s="176">
        <f t="shared" ca="1" si="99"/>
        <v>4.6832912594071572E-3</v>
      </c>
      <c r="AD89" s="958">
        <f ca="1">AC89*Calculation_sheet!C$99</f>
        <v>2.8099747556442943E-3</v>
      </c>
      <c r="AE89" s="176">
        <f t="shared" ca="1" si="99"/>
        <v>1.8733165037628629E-3</v>
      </c>
      <c r="AF89" s="176">
        <f t="shared" ca="1" si="108"/>
        <v>4.6832912594071572E-3</v>
      </c>
      <c r="AG89" s="958">
        <f ca="1">AF89*User_sheet!B$77/100</f>
        <v>0</v>
      </c>
      <c r="AH89" s="313"/>
      <c r="AI89" s="908">
        <v>201</v>
      </c>
      <c r="AJ89" s="313"/>
      <c r="AK89" s="1020">
        <f t="shared" ca="1" si="93"/>
        <v>473.94078193186579</v>
      </c>
      <c r="AL89" s="954">
        <f ca="1">AK89/'201'!I$24</f>
        <v>2.4719177068370404</v>
      </c>
      <c r="AM89" s="954">
        <f ca="1">0.8*(AK89*30+'201'!D$17*0.34*30*1)</f>
        <v>13464.779086364781</v>
      </c>
      <c r="AN89" s="954">
        <f ca="1">IF(AM89&lt;User_sheet!B$50,Y89,0)</f>
        <v>0</v>
      </c>
      <c r="AO89" s="954">
        <f ca="1">20-(User_sheet!B$57/(AK89+'201'!D$17*1*0.34))</f>
        <v>9.8401600856168763</v>
      </c>
      <c r="AP89" s="954">
        <f ca="1">IF(AO89&lt;User_sheet!B$59,0,BC89*AA89)</f>
        <v>0</v>
      </c>
      <c r="AQ89" s="313"/>
      <c r="AR89" s="909">
        <v>14.1</v>
      </c>
      <c r="AS89" s="909">
        <v>3.7</v>
      </c>
      <c r="AT89" s="909">
        <v>7.9</v>
      </c>
      <c r="AU89" s="909">
        <v>2.75</v>
      </c>
      <c r="AV89" s="909">
        <v>3.3</v>
      </c>
      <c r="AW89" s="909">
        <v>7211.5338771527777</v>
      </c>
      <c r="AX89" s="909">
        <v>76466.30421774846</v>
      </c>
      <c r="AY89" s="909">
        <v>67352.647733737584</v>
      </c>
      <c r="AZ89" s="909">
        <v>0</v>
      </c>
      <c r="BA89" s="909">
        <v>0</v>
      </c>
      <c r="BB89" s="909">
        <v>0.6</v>
      </c>
      <c r="BC89" s="919">
        <v>0</v>
      </c>
      <c r="BD89" s="920">
        <v>1</v>
      </c>
      <c r="BE89" s="920">
        <v>0</v>
      </c>
      <c r="BF89" s="921">
        <v>0</v>
      </c>
      <c r="BG89" s="909">
        <v>1</v>
      </c>
      <c r="BH89" s="909">
        <v>0</v>
      </c>
      <c r="BI89" s="921">
        <v>0</v>
      </c>
      <c r="BJ89" s="909">
        <v>0</v>
      </c>
      <c r="BK89" s="909">
        <v>1</v>
      </c>
      <c r="BL89" s="909">
        <v>0</v>
      </c>
      <c r="BM89" s="921">
        <v>0</v>
      </c>
      <c r="BN89" s="958">
        <v>0</v>
      </c>
      <c r="BO89" s="959">
        <v>18</v>
      </c>
      <c r="BP89">
        <f t="shared" ca="1" si="100"/>
        <v>102.96</v>
      </c>
      <c r="BQ89">
        <f t="shared" ca="1" si="101"/>
        <v>174.94399999999999</v>
      </c>
      <c r="BR89">
        <f t="shared" ca="1" si="102"/>
        <v>37.440000000000005</v>
      </c>
      <c r="BS89">
        <f t="shared" ca="1" si="103"/>
        <v>112.95</v>
      </c>
      <c r="BT89">
        <f t="shared" ca="1" si="104"/>
        <v>34.32</v>
      </c>
      <c r="BU89">
        <f t="shared" ca="1" si="105"/>
        <v>7</v>
      </c>
      <c r="BV89">
        <f t="shared" ca="1" si="106"/>
        <v>4.3</v>
      </c>
      <c r="BW89" s="1018">
        <v>0</v>
      </c>
      <c r="BX89">
        <f t="shared" ca="1" si="38"/>
        <v>153.2822299651568</v>
      </c>
      <c r="BY89">
        <f t="shared" ca="1" si="39"/>
        <v>254.61921202274573</v>
      </c>
      <c r="BZ89">
        <f t="shared" ca="1" si="94"/>
        <v>37.76262239729882</v>
      </c>
      <c r="CA89">
        <f t="shared" ca="1" si="95"/>
        <v>19.249999989412501</v>
      </c>
      <c r="CB89">
        <f t="shared" ca="1" si="40"/>
        <v>9.0267175572519083</v>
      </c>
      <c r="CC89" s="1018">
        <f t="shared" si="96"/>
        <v>0</v>
      </c>
      <c r="CD89" s="1018">
        <f t="shared" ca="1" si="109"/>
        <v>473.94078193186579</v>
      </c>
      <c r="CE89" s="1018">
        <f t="shared" ca="1" si="110"/>
        <v>118.24810168778664</v>
      </c>
      <c r="CF89">
        <f t="shared" ca="1" si="97"/>
        <v>17.765666508589572</v>
      </c>
      <c r="CG89">
        <f t="shared" ca="1" si="98"/>
        <v>29579.124110141292</v>
      </c>
    </row>
    <row r="90" spans="3:85" x14ac:dyDescent="0.25">
      <c r="C90" s="499"/>
      <c r="D90" s="500"/>
      <c r="E90" s="499"/>
      <c r="F90" s="500"/>
      <c r="G90" s="499"/>
      <c r="H90" s="504"/>
      <c r="I90" s="499"/>
      <c r="J90" s="500"/>
      <c r="K90" s="502"/>
      <c r="L90" s="504"/>
      <c r="M90" s="500"/>
      <c r="N90" s="500"/>
      <c r="O90" s="500" t="s">
        <v>18</v>
      </c>
      <c r="P90" s="501">
        <v>0.80827067699999999</v>
      </c>
      <c r="Q90" s="500" t="s">
        <v>7</v>
      </c>
      <c r="R90" s="501">
        <v>0.46289999999999998</v>
      </c>
      <c r="S90" s="500"/>
      <c r="T90" s="508">
        <v>4.0362152283833315E-3</v>
      </c>
      <c r="U90" s="499"/>
      <c r="V90" s="176">
        <f t="shared" si="8"/>
        <v>4.0362152283833315E-3</v>
      </c>
      <c r="W90" s="176">
        <f>V90-V90*Calculation_sheet!J$66</f>
        <v>4.0362152283833315E-3</v>
      </c>
      <c r="X90" s="176">
        <f>W90-W90*Calculation_sheet!J$76</f>
        <v>4.0362152283833315E-3</v>
      </c>
      <c r="Y90" s="34">
        <f>X90/Calculation_sheet!M$67</f>
        <v>4.0362977545700491E-3</v>
      </c>
      <c r="Z90" s="176">
        <f ca="1">IF(AN90&gt;0,Y90*Calculation_sheet!C$87,0)</f>
        <v>0</v>
      </c>
      <c r="AA90" s="176">
        <f t="shared" ca="1" si="107"/>
        <v>4.0362977545700491E-3</v>
      </c>
      <c r="AB90" s="176">
        <f ca="1">IF(AP90&gt;0,AA90*Calculation_sheet!C$94,0)</f>
        <v>0</v>
      </c>
      <c r="AC90" s="176">
        <f t="shared" ca="1" si="99"/>
        <v>4.0362977545700491E-3</v>
      </c>
      <c r="AD90" s="958">
        <f ca="1">AC90*Calculation_sheet!C$99</f>
        <v>2.4217786527420296E-3</v>
      </c>
      <c r="AE90" s="176">
        <f t="shared" ca="1" si="99"/>
        <v>1.6145191018280196E-3</v>
      </c>
      <c r="AF90" s="176">
        <f t="shared" ca="1" si="108"/>
        <v>4.0362977545700491E-3</v>
      </c>
      <c r="AG90" s="958">
        <f ca="1">AF90*User_sheet!B$77/100</f>
        <v>0</v>
      </c>
      <c r="AH90" s="313"/>
      <c r="AI90" s="908">
        <v>201</v>
      </c>
      <c r="AJ90" s="313"/>
      <c r="AK90" s="1020">
        <f t="shared" ca="1" si="93"/>
        <v>473.94078193186579</v>
      </c>
      <c r="AL90" s="954">
        <f ca="1">AK90/'201'!I$24</f>
        <v>2.4719177068370404</v>
      </c>
      <c r="AM90" s="954">
        <f ca="1">0.8*(AK90*30+'201'!D$17*0.34*30*1)</f>
        <v>13464.779086364781</v>
      </c>
      <c r="AN90" s="954">
        <f ca="1">IF(AM90&lt;User_sheet!B$50,Y90,0)</f>
        <v>0</v>
      </c>
      <c r="AO90" s="954">
        <f ca="1">20-(User_sheet!B$57/(AK90+'201'!D$17*1*0.34))</f>
        <v>9.8401600856168763</v>
      </c>
      <c r="AP90" s="954">
        <f ca="1">IF(AO90&lt;User_sheet!B$59,0,BC90*AA90)</f>
        <v>0</v>
      </c>
      <c r="AQ90" s="313"/>
      <c r="AR90" s="909">
        <v>14.1</v>
      </c>
      <c r="AS90" s="909">
        <v>3.7</v>
      </c>
      <c r="AT90" s="909">
        <v>7.9</v>
      </c>
      <c r="AU90" s="909">
        <v>2.75</v>
      </c>
      <c r="AV90" s="909">
        <v>3.3</v>
      </c>
      <c r="AW90" s="909">
        <v>7211.5338771527777</v>
      </c>
      <c r="AX90" s="909">
        <v>76466.30421774846</v>
      </c>
      <c r="AY90" s="909">
        <v>67352.647733737584</v>
      </c>
      <c r="AZ90" s="909">
        <v>0</v>
      </c>
      <c r="BA90" s="909">
        <v>0</v>
      </c>
      <c r="BB90" s="909">
        <v>0.6</v>
      </c>
      <c r="BC90" s="919">
        <v>0</v>
      </c>
      <c r="BD90" s="920">
        <v>1</v>
      </c>
      <c r="BE90" s="920">
        <v>0</v>
      </c>
      <c r="BF90" s="921">
        <v>0</v>
      </c>
      <c r="BG90" s="909">
        <v>1</v>
      </c>
      <c r="BH90" s="909">
        <v>0</v>
      </c>
      <c r="BI90" s="921">
        <v>0</v>
      </c>
      <c r="BJ90" s="909">
        <v>0</v>
      </c>
      <c r="BK90" s="909">
        <v>0</v>
      </c>
      <c r="BL90" s="909">
        <v>1</v>
      </c>
      <c r="BM90" s="921">
        <v>0</v>
      </c>
      <c r="BN90" s="958">
        <v>0</v>
      </c>
      <c r="BO90" s="959">
        <v>18</v>
      </c>
      <c r="BP90">
        <f t="shared" ca="1" si="100"/>
        <v>102.96</v>
      </c>
      <c r="BQ90">
        <f t="shared" ca="1" si="101"/>
        <v>174.94399999999999</v>
      </c>
      <c r="BR90">
        <f t="shared" ca="1" si="102"/>
        <v>37.440000000000005</v>
      </c>
      <c r="BS90">
        <f t="shared" ca="1" si="103"/>
        <v>112.95</v>
      </c>
      <c r="BT90">
        <f t="shared" ca="1" si="104"/>
        <v>34.32</v>
      </c>
      <c r="BU90">
        <f t="shared" ca="1" si="105"/>
        <v>7</v>
      </c>
      <c r="BV90">
        <f t="shared" ca="1" si="106"/>
        <v>4.3</v>
      </c>
      <c r="BW90" s="1018">
        <v>0</v>
      </c>
      <c r="BX90">
        <f t="shared" ca="1" si="38"/>
        <v>153.2822299651568</v>
      </c>
      <c r="BY90">
        <f t="shared" ca="1" si="39"/>
        <v>254.61921202274573</v>
      </c>
      <c r="BZ90">
        <f t="shared" ca="1" si="94"/>
        <v>37.76262239729882</v>
      </c>
      <c r="CA90">
        <f t="shared" ca="1" si="95"/>
        <v>19.249999989412501</v>
      </c>
      <c r="CB90">
        <f t="shared" ca="1" si="40"/>
        <v>9.0267175572519083</v>
      </c>
      <c r="CC90" s="1018">
        <f t="shared" si="96"/>
        <v>0</v>
      </c>
      <c r="CD90" s="1018">
        <f t="shared" ca="1" si="109"/>
        <v>473.94078193186579</v>
      </c>
      <c r="CE90" s="1018">
        <f t="shared" ca="1" si="110"/>
        <v>118.24810168778664</v>
      </c>
      <c r="CF90">
        <f t="shared" ca="1" si="97"/>
        <v>17.765666508589572</v>
      </c>
      <c r="CG90">
        <f t="shared" ca="1" si="98"/>
        <v>29579.124110141292</v>
      </c>
    </row>
    <row r="91" spans="3:85" x14ac:dyDescent="0.25">
      <c r="C91" s="499"/>
      <c r="D91" s="500"/>
      <c r="E91" s="499"/>
      <c r="F91" s="500"/>
      <c r="G91" s="499"/>
      <c r="H91" s="504"/>
      <c r="I91" s="499"/>
      <c r="J91" s="500"/>
      <c r="K91" s="502"/>
      <c r="L91" s="504"/>
      <c r="M91" s="500"/>
      <c r="N91" s="500"/>
      <c r="O91" s="500"/>
      <c r="P91" s="500"/>
      <c r="Q91" s="500" t="s">
        <v>22</v>
      </c>
      <c r="R91" s="501">
        <v>0.53710000000000002</v>
      </c>
      <c r="S91" s="500"/>
      <c r="T91" s="508">
        <v>1.1108975361343602E-3</v>
      </c>
      <c r="U91" s="499"/>
      <c r="V91" s="176">
        <f t="shared" si="8"/>
        <v>1.1108975361343602E-3</v>
      </c>
      <c r="W91" s="176">
        <f>V91-V91*Calculation_sheet!J$66</f>
        <v>1.1108975361343602E-3</v>
      </c>
      <c r="X91" s="176">
        <f>W91-W91*Calculation_sheet!J$76</f>
        <v>1.1108975361343602E-3</v>
      </c>
      <c r="Y91" s="34">
        <f>X91/Calculation_sheet!M$67</f>
        <v>1.1109202500215799E-3</v>
      </c>
      <c r="Z91" s="176">
        <f ca="1">IF(AN91&gt;0,Y91*Calculation_sheet!C$87,0)</f>
        <v>0</v>
      </c>
      <c r="AA91" s="176">
        <f t="shared" ca="1" si="107"/>
        <v>1.1109202500215799E-3</v>
      </c>
      <c r="AB91" s="176">
        <f ca="1">IF(AP91&gt;0,AA91*Calculation_sheet!C$94,0)</f>
        <v>0</v>
      </c>
      <c r="AC91" s="176">
        <f t="shared" ca="1" si="99"/>
        <v>1.1109202500215799E-3</v>
      </c>
      <c r="AD91" s="958">
        <f ca="1">AC91*Calculation_sheet!C$99</f>
        <v>6.6655215001294786E-4</v>
      </c>
      <c r="AE91" s="176">
        <f t="shared" ca="1" si="99"/>
        <v>4.4436810000863202E-4</v>
      </c>
      <c r="AF91" s="176">
        <f t="shared" ca="1" si="108"/>
        <v>1.1109202500215799E-3</v>
      </c>
      <c r="AG91" s="958">
        <f ca="1">AF91*User_sheet!B$77/100</f>
        <v>0</v>
      </c>
      <c r="AH91" s="313"/>
      <c r="AI91" s="908">
        <v>201</v>
      </c>
      <c r="AJ91" s="313"/>
      <c r="AK91" s="1020">
        <f t="shared" ca="1" si="93"/>
        <v>473.94078193186579</v>
      </c>
      <c r="AL91" s="954">
        <f ca="1">AK91/'201'!I$24</f>
        <v>2.4719177068370404</v>
      </c>
      <c r="AM91" s="954">
        <f ca="1">0.8*(AK91*30+'201'!D$17*0.34*30*1)</f>
        <v>13464.779086364781</v>
      </c>
      <c r="AN91" s="954">
        <f ca="1">IF(AM91&lt;User_sheet!B$50,Y91,0)</f>
        <v>0</v>
      </c>
      <c r="AO91" s="954">
        <f ca="1">20-(User_sheet!B$57/(AK91+'201'!D$17*1*0.34))</f>
        <v>9.8401600856168763</v>
      </c>
      <c r="AP91" s="954">
        <f ca="1">IF(AO91&lt;User_sheet!B$59,0,BC91*AA91)</f>
        <v>0</v>
      </c>
      <c r="AQ91" s="313"/>
      <c r="AR91" s="909">
        <v>14.1</v>
      </c>
      <c r="AS91" s="909">
        <v>3.7</v>
      </c>
      <c r="AT91" s="909">
        <v>7.9</v>
      </c>
      <c r="AU91" s="909">
        <v>2.75</v>
      </c>
      <c r="AV91" s="909">
        <v>3.3</v>
      </c>
      <c r="AW91" s="909">
        <v>7211.5338771527777</v>
      </c>
      <c r="AX91" s="909">
        <v>76466.30421774846</v>
      </c>
      <c r="AY91" s="909">
        <v>67352.647733737584</v>
      </c>
      <c r="AZ91" s="909">
        <v>0</v>
      </c>
      <c r="BA91" s="909">
        <v>0</v>
      </c>
      <c r="BB91" s="909">
        <v>0.6</v>
      </c>
      <c r="BC91" s="919">
        <v>0</v>
      </c>
      <c r="BD91" s="920">
        <v>1</v>
      </c>
      <c r="BE91" s="920">
        <v>0</v>
      </c>
      <c r="BF91" s="921">
        <v>0</v>
      </c>
      <c r="BG91" s="909">
        <v>0</v>
      </c>
      <c r="BH91" s="909">
        <v>1</v>
      </c>
      <c r="BI91" s="921">
        <v>0</v>
      </c>
      <c r="BJ91" s="909">
        <v>0</v>
      </c>
      <c r="BK91" s="909">
        <v>1</v>
      </c>
      <c r="BL91" s="909">
        <v>0</v>
      </c>
      <c r="BM91" s="921">
        <v>0</v>
      </c>
      <c r="BN91" s="958">
        <v>0</v>
      </c>
      <c r="BO91" s="959">
        <v>18</v>
      </c>
      <c r="BP91">
        <f t="shared" ca="1" si="100"/>
        <v>102.96</v>
      </c>
      <c r="BQ91">
        <f t="shared" ca="1" si="101"/>
        <v>174.94399999999999</v>
      </c>
      <c r="BR91">
        <f t="shared" ca="1" si="102"/>
        <v>37.440000000000005</v>
      </c>
      <c r="BS91">
        <f t="shared" ca="1" si="103"/>
        <v>112.95</v>
      </c>
      <c r="BT91">
        <f t="shared" ca="1" si="104"/>
        <v>34.32</v>
      </c>
      <c r="BU91">
        <f t="shared" ca="1" si="105"/>
        <v>7</v>
      </c>
      <c r="BV91">
        <f t="shared" ca="1" si="106"/>
        <v>4.3</v>
      </c>
      <c r="BW91" s="1018">
        <v>0</v>
      </c>
      <c r="BX91">
        <f t="shared" ca="1" si="38"/>
        <v>153.2822299651568</v>
      </c>
      <c r="BY91">
        <f t="shared" ca="1" si="39"/>
        <v>254.61921202274573</v>
      </c>
      <c r="BZ91">
        <f t="shared" ca="1" si="94"/>
        <v>37.76262239729882</v>
      </c>
      <c r="CA91">
        <f t="shared" ca="1" si="95"/>
        <v>19.249999989412501</v>
      </c>
      <c r="CB91">
        <f t="shared" ca="1" si="40"/>
        <v>9.0267175572519083</v>
      </c>
      <c r="CC91" s="1018">
        <f t="shared" si="96"/>
        <v>0</v>
      </c>
      <c r="CD91" s="1018">
        <f t="shared" ca="1" si="109"/>
        <v>473.94078193186579</v>
      </c>
      <c r="CE91" s="1018">
        <f t="shared" ca="1" si="110"/>
        <v>118.24810168778664</v>
      </c>
      <c r="CF91">
        <f t="shared" ca="1" si="97"/>
        <v>17.765666508589572</v>
      </c>
      <c r="CG91">
        <f t="shared" ca="1" si="98"/>
        <v>29579.124110141292</v>
      </c>
    </row>
    <row r="92" spans="3:85" x14ac:dyDescent="0.25">
      <c r="C92" s="499"/>
      <c r="D92" s="500"/>
      <c r="E92" s="499"/>
      <c r="F92" s="500"/>
      <c r="G92" s="499"/>
      <c r="H92" s="500"/>
      <c r="I92" s="499"/>
      <c r="J92" s="500"/>
      <c r="K92" s="500"/>
      <c r="L92" s="500"/>
      <c r="M92" s="500" t="s">
        <v>22</v>
      </c>
      <c r="N92" s="501">
        <v>0.44680851100000002</v>
      </c>
      <c r="O92" s="500" t="s">
        <v>20</v>
      </c>
      <c r="P92" s="501">
        <v>0.19172932300000001</v>
      </c>
      <c r="Q92" s="500" t="s">
        <v>7</v>
      </c>
      <c r="R92" s="501">
        <v>0.46289999999999998</v>
      </c>
      <c r="S92" s="500"/>
      <c r="T92" s="508">
        <v>9.574277964561448E-4</v>
      </c>
      <c r="U92" s="499"/>
      <c r="V92" s="176">
        <f t="shared" si="8"/>
        <v>9.574277964561448E-4</v>
      </c>
      <c r="W92" s="176">
        <f>V92-V92*Calculation_sheet!J$66</f>
        <v>9.574277964561448E-4</v>
      </c>
      <c r="X92" s="176">
        <f>W92-W92*Calculation_sheet!J$76</f>
        <v>9.574277964561448E-4</v>
      </c>
      <c r="Y92" s="34">
        <f>X92/Calculation_sheet!M$67</f>
        <v>9.574473724352808E-4</v>
      </c>
      <c r="Z92" s="176">
        <f ca="1">IF(AN92&gt;0,Y92*Calculation_sheet!C$87,0)</f>
        <v>0</v>
      </c>
      <c r="AA92" s="176">
        <f t="shared" ca="1" si="107"/>
        <v>9.574473724352808E-4</v>
      </c>
      <c r="AB92" s="176">
        <f ca="1">IF(AP92&gt;0,AA92*Calculation_sheet!C$94,0)</f>
        <v>0</v>
      </c>
      <c r="AC92" s="176">
        <f t="shared" ca="1" si="99"/>
        <v>9.574473724352808E-4</v>
      </c>
      <c r="AD92" s="958">
        <f ca="1">AC92*Calculation_sheet!C$99</f>
        <v>5.7446842346116844E-4</v>
      </c>
      <c r="AE92" s="176">
        <f t="shared" ca="1" si="99"/>
        <v>3.8297894897411236E-4</v>
      </c>
      <c r="AF92" s="176">
        <f t="shared" ca="1" si="108"/>
        <v>9.574473724352808E-4</v>
      </c>
      <c r="AG92" s="958">
        <f ca="1">AF92*User_sheet!B$77/100</f>
        <v>0</v>
      </c>
      <c r="AH92" s="313"/>
      <c r="AI92" s="908">
        <v>201</v>
      </c>
      <c r="AJ92" s="313"/>
      <c r="AK92" s="1020">
        <f t="shared" ca="1" si="93"/>
        <v>473.94078193186579</v>
      </c>
      <c r="AL92" s="954">
        <f ca="1">AK92/'201'!I$24</f>
        <v>2.4719177068370404</v>
      </c>
      <c r="AM92" s="954">
        <f ca="1">0.8*(AK92*30+'201'!D$17*0.34*30*1)</f>
        <v>13464.779086364781</v>
      </c>
      <c r="AN92" s="954">
        <f ca="1">IF(AM92&lt;User_sheet!B$50,Y92,0)</f>
        <v>0</v>
      </c>
      <c r="AO92" s="954">
        <f ca="1">20-(User_sheet!B$57/(AK92+'201'!D$17*1*0.34))</f>
        <v>9.8401600856168763</v>
      </c>
      <c r="AP92" s="954">
        <f ca="1">IF(AO92&lt;User_sheet!B$59,0,BC92*AA92)</f>
        <v>0</v>
      </c>
      <c r="AQ92" s="313"/>
      <c r="AR92" s="909">
        <v>14.1</v>
      </c>
      <c r="AS92" s="909">
        <v>3.7</v>
      </c>
      <c r="AT92" s="909">
        <v>7.9</v>
      </c>
      <c r="AU92" s="909">
        <v>2.75</v>
      </c>
      <c r="AV92" s="909">
        <v>3.3</v>
      </c>
      <c r="AW92" s="909">
        <v>7211.5338771527777</v>
      </c>
      <c r="AX92" s="909">
        <v>76466.30421774846</v>
      </c>
      <c r="AY92" s="909">
        <v>67352.647733737584</v>
      </c>
      <c r="AZ92" s="909">
        <v>0</v>
      </c>
      <c r="BA92" s="909">
        <v>0</v>
      </c>
      <c r="BB92" s="909">
        <v>0.6</v>
      </c>
      <c r="BC92" s="919">
        <v>0</v>
      </c>
      <c r="BD92" s="920">
        <v>1</v>
      </c>
      <c r="BE92" s="920">
        <v>0</v>
      </c>
      <c r="BF92" s="921">
        <v>0</v>
      </c>
      <c r="BG92" s="909">
        <v>0</v>
      </c>
      <c r="BH92" s="909">
        <v>1</v>
      </c>
      <c r="BI92" s="921">
        <v>0</v>
      </c>
      <c r="BJ92" s="909">
        <v>0</v>
      </c>
      <c r="BK92" s="909">
        <v>0</v>
      </c>
      <c r="BL92" s="909">
        <v>1</v>
      </c>
      <c r="BM92" s="921">
        <v>0</v>
      </c>
      <c r="BN92" s="958">
        <v>0</v>
      </c>
      <c r="BO92" s="959">
        <v>18</v>
      </c>
      <c r="BP92">
        <f t="shared" ca="1" si="100"/>
        <v>102.96</v>
      </c>
      <c r="BQ92">
        <f t="shared" ca="1" si="101"/>
        <v>174.94399999999999</v>
      </c>
      <c r="BR92">
        <f t="shared" ca="1" si="102"/>
        <v>37.440000000000005</v>
      </c>
      <c r="BS92">
        <f t="shared" ca="1" si="103"/>
        <v>112.95</v>
      </c>
      <c r="BT92">
        <f t="shared" ca="1" si="104"/>
        <v>34.32</v>
      </c>
      <c r="BU92">
        <f t="shared" ca="1" si="105"/>
        <v>7</v>
      </c>
      <c r="BV92">
        <f t="shared" ca="1" si="106"/>
        <v>4.3</v>
      </c>
      <c r="BW92" s="1018">
        <v>0</v>
      </c>
      <c r="BX92">
        <f t="shared" ref="BX92:BX155" ca="1" si="111">IF(BR92=0,0,1/(1/(BR92*$BY$3)+1/(BR92*AR92)+1/(BR92*$BY$4)))</f>
        <v>153.2822299651568</v>
      </c>
      <c r="BY92">
        <f t="shared" ref="BY92:BY155" ca="1" si="112">IF(BS92=0,0,1/(1/(BS92*$BY$3)+1/(BS92*AS92)+1/(BS92*$BY$4)))</f>
        <v>254.61921202274573</v>
      </c>
      <c r="BZ92">
        <f t="shared" ca="1" si="94"/>
        <v>37.76262239729882</v>
      </c>
      <c r="CA92">
        <f t="shared" ca="1" si="95"/>
        <v>19.249999989412501</v>
      </c>
      <c r="CB92">
        <f t="shared" ref="CB92:CB155" ca="1" si="113">IF(BV92=0,0,1/(1/(BV92*$BY$3)+1/(BV92*AV92)+1/(BV92*$BY$4)))</f>
        <v>9.0267175572519083</v>
      </c>
      <c r="CC92" s="1018">
        <f t="shared" si="96"/>
        <v>0</v>
      </c>
      <c r="CD92" s="1018">
        <f t="shared" ca="1" si="109"/>
        <v>473.94078193186579</v>
      </c>
      <c r="CE92" s="1018">
        <f t="shared" ca="1" si="110"/>
        <v>118.24810168778664</v>
      </c>
      <c r="CF92">
        <f t="shared" ca="1" si="97"/>
        <v>17.765666508589572</v>
      </c>
      <c r="CG92">
        <f t="shared" ca="1" si="98"/>
        <v>29579.124110141292</v>
      </c>
    </row>
    <row r="93" spans="3:85" x14ac:dyDescent="0.25">
      <c r="D93" s="500"/>
      <c r="E93" s="499" t="s">
        <v>8</v>
      </c>
      <c r="F93" s="503">
        <v>0.86</v>
      </c>
      <c r="G93" s="499"/>
      <c r="H93" s="500"/>
      <c r="I93" s="499" t="s">
        <v>10</v>
      </c>
      <c r="J93" s="503">
        <v>0.49009999999999998</v>
      </c>
      <c r="K93" s="500"/>
      <c r="L93" s="500"/>
      <c r="M93" s="500" t="s">
        <v>7</v>
      </c>
      <c r="N93" s="501">
        <v>2.1276595999999998E-2</v>
      </c>
      <c r="O93" s="500" t="s">
        <v>23</v>
      </c>
      <c r="P93" s="500">
        <v>1</v>
      </c>
      <c r="Q93" s="500" t="s">
        <v>7</v>
      </c>
      <c r="R93" s="501">
        <v>1</v>
      </c>
      <c r="S93" s="500"/>
      <c r="T93" s="508">
        <v>5.1370172316562437E-4</v>
      </c>
      <c r="U93" s="499"/>
      <c r="V93" s="176">
        <f t="shared" si="8"/>
        <v>5.1370172316562437E-4</v>
      </c>
      <c r="W93" s="176">
        <f>V93-V93*Calculation_sheet!J$66</f>
        <v>5.1370172316562437E-4</v>
      </c>
      <c r="X93" s="176">
        <f>W93-W93*Calculation_sheet!J$76</f>
        <v>5.1370172316562437E-4</v>
      </c>
      <c r="Y93" s="34">
        <f>X93/Calculation_sheet!M$67</f>
        <v>5.1371222653125886E-4</v>
      </c>
      <c r="Z93" s="176">
        <f ca="1">IF(AN93&gt;0,Y93*Calculation_sheet!C$87,0)</f>
        <v>0</v>
      </c>
      <c r="AA93" s="176">
        <f t="shared" ca="1" si="107"/>
        <v>5.1371222653125886E-4</v>
      </c>
      <c r="AB93" s="176">
        <f ca="1">IF(AP93&gt;0,AA93*Calculation_sheet!C$94,0)</f>
        <v>0</v>
      </c>
      <c r="AC93" s="176">
        <f t="shared" ca="1" si="99"/>
        <v>5.1371222653125886E-4</v>
      </c>
      <c r="AD93" s="958">
        <f ca="1">AC93*Calculation_sheet!C$99</f>
        <v>3.0822733591875532E-4</v>
      </c>
      <c r="AE93" s="176">
        <f t="shared" ca="1" si="99"/>
        <v>2.0548489061250353E-4</v>
      </c>
      <c r="AF93" s="176">
        <f t="shared" ca="1" si="108"/>
        <v>5.1371222653125886E-4</v>
      </c>
      <c r="AG93" s="958">
        <f ca="1">AF93*User_sheet!B$77/100</f>
        <v>0</v>
      </c>
      <c r="AH93" s="313"/>
      <c r="AI93" s="908">
        <v>201</v>
      </c>
      <c r="AJ93" s="313"/>
      <c r="AK93" s="1020">
        <f t="shared" ca="1" si="93"/>
        <v>473.94078193186579</v>
      </c>
      <c r="AL93" s="954">
        <f ca="1">AK93/'201'!I$24</f>
        <v>2.4719177068370404</v>
      </c>
      <c r="AM93" s="954">
        <f ca="1">0.8*(AK93*30+'201'!D$17*0.34*30*1)</f>
        <v>13464.779086364781</v>
      </c>
      <c r="AN93" s="954">
        <f ca="1">IF(AM93&lt;User_sheet!B$50,Y93,0)</f>
        <v>0</v>
      </c>
      <c r="AO93" s="954">
        <f ca="1">20-(User_sheet!B$57/(AK93+'201'!D$17*1*0.34))</f>
        <v>9.8401600856168763</v>
      </c>
      <c r="AP93" s="954">
        <f ca="1">IF(AO93&lt;User_sheet!B$59,0,BC93*AA93)</f>
        <v>0</v>
      </c>
      <c r="AQ93" s="313"/>
      <c r="AR93" s="909">
        <v>14.1</v>
      </c>
      <c r="AS93" s="909">
        <v>3.7</v>
      </c>
      <c r="AT93" s="909">
        <v>7.9</v>
      </c>
      <c r="AU93" s="909">
        <v>2.75</v>
      </c>
      <c r="AV93" s="909">
        <v>3.3</v>
      </c>
      <c r="AW93" s="909">
        <v>7211.5338771527777</v>
      </c>
      <c r="AX93" s="909">
        <v>76466.30421774846</v>
      </c>
      <c r="AY93" s="909">
        <v>67352.647733737584</v>
      </c>
      <c r="AZ93" s="909">
        <v>0</v>
      </c>
      <c r="BA93" s="909">
        <v>0</v>
      </c>
      <c r="BB93" s="909">
        <v>0.6</v>
      </c>
      <c r="BC93" s="919">
        <v>0</v>
      </c>
      <c r="BD93" s="920">
        <v>0</v>
      </c>
      <c r="BE93" s="920">
        <v>1</v>
      </c>
      <c r="BF93" s="921">
        <v>0</v>
      </c>
      <c r="BG93" s="909">
        <v>0</v>
      </c>
      <c r="BH93" s="909">
        <v>0</v>
      </c>
      <c r="BI93" s="921">
        <v>1</v>
      </c>
      <c r="BJ93" s="909">
        <v>0</v>
      </c>
      <c r="BK93" s="909">
        <v>0</v>
      </c>
      <c r="BL93" s="909">
        <v>1</v>
      </c>
      <c r="BM93" s="921">
        <v>0</v>
      </c>
      <c r="BN93" s="958">
        <v>0</v>
      </c>
      <c r="BO93" s="959">
        <v>18</v>
      </c>
      <c r="BP93">
        <f t="shared" ca="1" si="100"/>
        <v>102.96</v>
      </c>
      <c r="BQ93">
        <f t="shared" ca="1" si="101"/>
        <v>174.94399999999999</v>
      </c>
      <c r="BR93">
        <f t="shared" ca="1" si="102"/>
        <v>37.440000000000005</v>
      </c>
      <c r="BS93">
        <f t="shared" ca="1" si="103"/>
        <v>112.95</v>
      </c>
      <c r="BT93">
        <f t="shared" ca="1" si="104"/>
        <v>34.32</v>
      </c>
      <c r="BU93">
        <f t="shared" ca="1" si="105"/>
        <v>7</v>
      </c>
      <c r="BV93">
        <f t="shared" ca="1" si="106"/>
        <v>4.3</v>
      </c>
      <c r="BW93" s="1018">
        <v>0</v>
      </c>
      <c r="BX93">
        <f t="shared" ca="1" si="111"/>
        <v>153.2822299651568</v>
      </c>
      <c r="BY93">
        <f t="shared" ca="1" si="112"/>
        <v>254.61921202274573</v>
      </c>
      <c r="BZ93">
        <f t="shared" ca="1" si="94"/>
        <v>37.76262239729882</v>
      </c>
      <c r="CA93">
        <f t="shared" ca="1" si="95"/>
        <v>19.249999989412501</v>
      </c>
      <c r="CB93">
        <f t="shared" ca="1" si="113"/>
        <v>9.0267175572519083</v>
      </c>
      <c r="CC93" s="1018">
        <f t="shared" si="96"/>
        <v>0</v>
      </c>
      <c r="CD93" s="1018">
        <f t="shared" ca="1" si="109"/>
        <v>473.94078193186579</v>
      </c>
      <c r="CE93" s="1018">
        <f t="shared" ca="1" si="110"/>
        <v>118.24810168778664</v>
      </c>
      <c r="CF93">
        <f t="shared" ca="1" si="97"/>
        <v>17.765666508589572</v>
      </c>
      <c r="CG93">
        <f t="shared" ca="1" si="98"/>
        <v>29579.124110141292</v>
      </c>
    </row>
    <row r="94" spans="3:85" x14ac:dyDescent="0.25">
      <c r="D94" s="500"/>
      <c r="E94" s="499"/>
      <c r="F94" s="500"/>
      <c r="G94" s="499"/>
      <c r="H94" s="500"/>
      <c r="I94" s="499"/>
      <c r="J94" s="500"/>
      <c r="K94" s="500"/>
      <c r="L94" s="500"/>
      <c r="M94" s="500"/>
      <c r="N94" s="500"/>
      <c r="O94" s="500" t="s">
        <v>18</v>
      </c>
      <c r="P94" s="501">
        <v>0.15910607099999999</v>
      </c>
      <c r="Q94" s="500" t="s">
        <v>17</v>
      </c>
      <c r="R94" s="501">
        <v>1</v>
      </c>
      <c r="S94" s="500"/>
      <c r="T94" s="508">
        <v>3.2693224751379488E-4</v>
      </c>
      <c r="U94" s="499"/>
      <c r="V94" s="176">
        <f t="shared" si="8"/>
        <v>3.2693224751379488E-4</v>
      </c>
      <c r="W94" s="176">
        <f>V94-V94*Calculation_sheet!J$66</f>
        <v>3.2693224751379488E-4</v>
      </c>
      <c r="X94" s="176">
        <f>W94-W94*Calculation_sheet!J$76</f>
        <v>3.2693224751379488E-4</v>
      </c>
      <c r="Y94" s="34">
        <f>X94/Calculation_sheet!M$67</f>
        <v>3.2693893211066988E-4</v>
      </c>
      <c r="Z94" s="176">
        <f ca="1">IF(AN94&gt;0,Y94*Calculation_sheet!C$87,0)</f>
        <v>0</v>
      </c>
      <c r="AA94" s="176">
        <f t="shared" ca="1" si="107"/>
        <v>3.2693893211066988E-4</v>
      </c>
      <c r="AB94" s="176">
        <f ca="1">IF(AP94&gt;0,AA94*Calculation_sheet!C$94,0)</f>
        <v>0</v>
      </c>
      <c r="AC94" s="176">
        <f t="shared" ca="1" si="99"/>
        <v>3.2693893211066988E-4</v>
      </c>
      <c r="AD94" s="958">
        <f ca="1">AC94*Calculation_sheet!C$99</f>
        <v>1.9616335926640193E-4</v>
      </c>
      <c r="AE94" s="176">
        <f t="shared" ca="1" si="99"/>
        <v>1.3077557284426795E-4</v>
      </c>
      <c r="AF94" s="176">
        <f t="shared" ca="1" si="108"/>
        <v>3.2693893211066988E-4</v>
      </c>
      <c r="AG94" s="958">
        <f ca="1">AF94*User_sheet!B$77/100</f>
        <v>0</v>
      </c>
      <c r="AH94" s="313"/>
      <c r="AI94" s="908">
        <v>201</v>
      </c>
      <c r="AJ94" s="313"/>
      <c r="AK94" s="1020">
        <f t="shared" ca="1" si="93"/>
        <v>473.94078193186579</v>
      </c>
      <c r="AL94" s="954">
        <f ca="1">AK94/'201'!I$24</f>
        <v>2.4719177068370404</v>
      </c>
      <c r="AM94" s="954">
        <f ca="1">0.8*(AK94*30+'201'!D$17*0.34*30*1)</f>
        <v>13464.779086364781</v>
      </c>
      <c r="AN94" s="954">
        <f ca="1">IF(AM94&lt;User_sheet!B$50,Y94,0)</f>
        <v>0</v>
      </c>
      <c r="AO94" s="954">
        <f ca="1">20-(User_sheet!B$57/(AK94+'201'!D$17*1*0.34))</f>
        <v>9.8401600856168763</v>
      </c>
      <c r="AP94" s="954">
        <f ca="1">IF(AO94&lt;User_sheet!B$59,0,BC94*AA94)</f>
        <v>0</v>
      </c>
      <c r="AQ94" s="313"/>
      <c r="AR94" s="909">
        <v>14.1</v>
      </c>
      <c r="AS94" s="909">
        <v>3.7</v>
      </c>
      <c r="AT94" s="909">
        <v>7.9</v>
      </c>
      <c r="AU94" s="909">
        <v>2.75</v>
      </c>
      <c r="AV94" s="909">
        <v>3.3</v>
      </c>
      <c r="AW94" s="909">
        <v>7211.5338771527777</v>
      </c>
      <c r="AX94" s="909">
        <v>76466.30421774846</v>
      </c>
      <c r="AY94" s="909">
        <v>67352.647733737584</v>
      </c>
      <c r="AZ94" s="909">
        <v>0</v>
      </c>
      <c r="BA94" s="909">
        <v>0</v>
      </c>
      <c r="BB94" s="909">
        <v>0.6</v>
      </c>
      <c r="BC94" s="919">
        <v>0</v>
      </c>
      <c r="BD94" s="920">
        <v>0</v>
      </c>
      <c r="BE94" s="920">
        <v>0</v>
      </c>
      <c r="BF94" s="921">
        <v>1</v>
      </c>
      <c r="BG94" s="909">
        <v>1</v>
      </c>
      <c r="BH94" s="909">
        <v>0</v>
      </c>
      <c r="BI94" s="921">
        <v>0</v>
      </c>
      <c r="BJ94" s="909">
        <v>0</v>
      </c>
      <c r="BK94" s="909">
        <v>0</v>
      </c>
      <c r="BL94" s="909">
        <v>0</v>
      </c>
      <c r="BM94" s="921">
        <v>1</v>
      </c>
      <c r="BN94" s="958">
        <v>0</v>
      </c>
      <c r="BO94" s="959">
        <v>18</v>
      </c>
      <c r="BP94">
        <f t="shared" ca="1" si="100"/>
        <v>102.96</v>
      </c>
      <c r="BQ94">
        <f t="shared" ca="1" si="101"/>
        <v>174.94399999999999</v>
      </c>
      <c r="BR94">
        <f t="shared" ca="1" si="102"/>
        <v>37.440000000000005</v>
      </c>
      <c r="BS94">
        <f t="shared" ca="1" si="103"/>
        <v>112.95</v>
      </c>
      <c r="BT94">
        <f t="shared" ca="1" si="104"/>
        <v>34.32</v>
      </c>
      <c r="BU94">
        <f t="shared" ca="1" si="105"/>
        <v>7</v>
      </c>
      <c r="BV94">
        <f t="shared" ca="1" si="106"/>
        <v>4.3</v>
      </c>
      <c r="BW94" s="1018">
        <v>0</v>
      </c>
      <c r="BX94">
        <f t="shared" ca="1" si="111"/>
        <v>153.2822299651568</v>
      </c>
      <c r="BY94">
        <f t="shared" ca="1" si="112"/>
        <v>254.61921202274573</v>
      </c>
      <c r="BZ94">
        <f t="shared" ca="1" si="94"/>
        <v>37.76262239729882</v>
      </c>
      <c r="CA94">
        <f t="shared" ca="1" si="95"/>
        <v>19.249999989412501</v>
      </c>
      <c r="CB94">
        <f t="shared" ca="1" si="113"/>
        <v>9.0267175572519083</v>
      </c>
      <c r="CC94" s="1018">
        <f t="shared" si="96"/>
        <v>0</v>
      </c>
      <c r="CD94" s="1018">
        <f t="shared" ca="1" si="109"/>
        <v>473.94078193186579</v>
      </c>
      <c r="CE94" s="1018">
        <f t="shared" ca="1" si="110"/>
        <v>118.24810168778664</v>
      </c>
      <c r="CF94">
        <f t="shared" ca="1" si="97"/>
        <v>17.765666508589572</v>
      </c>
      <c r="CG94">
        <f t="shared" ca="1" si="98"/>
        <v>29579.124110141292</v>
      </c>
    </row>
    <row r="95" spans="3:85" x14ac:dyDescent="0.25">
      <c r="D95" s="500"/>
      <c r="E95" s="499"/>
      <c r="F95" s="500"/>
      <c r="G95" s="499"/>
      <c r="H95" s="500"/>
      <c r="I95" s="499"/>
      <c r="J95" s="500"/>
      <c r="K95" s="502" t="s">
        <v>13</v>
      </c>
      <c r="L95" s="503">
        <v>1</v>
      </c>
      <c r="M95" s="500" t="s">
        <v>17</v>
      </c>
      <c r="N95" s="501">
        <v>8.5106382999999994E-2</v>
      </c>
      <c r="O95" s="500" t="s">
        <v>19</v>
      </c>
      <c r="P95" s="501">
        <v>0.84089392900000004</v>
      </c>
      <c r="Q95" s="500" t="s">
        <v>17</v>
      </c>
      <c r="R95" s="501">
        <v>1</v>
      </c>
      <c r="S95" s="500"/>
      <c r="T95" s="508">
        <v>1.7278746210047219E-3</v>
      </c>
      <c r="U95" s="499"/>
      <c r="V95" s="176">
        <f t="shared" si="8"/>
        <v>1.7278746210047219E-3</v>
      </c>
      <c r="W95" s="176">
        <f>V95-V95*Calculation_sheet!J$66</f>
        <v>1.7278746210047219E-3</v>
      </c>
      <c r="X95" s="176">
        <f>W95-W95*Calculation_sheet!J$76</f>
        <v>1.7278746210047219E-3</v>
      </c>
      <c r="Y95" s="34">
        <f>X95/Calculation_sheet!M$67</f>
        <v>1.7279099498698912E-3</v>
      </c>
      <c r="Z95" s="176">
        <f ca="1">IF(AN95&gt;0,Y95*Calculation_sheet!C$87,0)</f>
        <v>0</v>
      </c>
      <c r="AA95" s="176">
        <f t="shared" ca="1" si="107"/>
        <v>1.7279099498698912E-3</v>
      </c>
      <c r="AB95" s="176">
        <f ca="1">IF(AP95&gt;0,AA95*Calculation_sheet!C$94,0)</f>
        <v>0</v>
      </c>
      <c r="AC95" s="176">
        <f t="shared" ca="1" si="99"/>
        <v>1.7279099498698912E-3</v>
      </c>
      <c r="AD95" s="958">
        <f ca="1">AC95*Calculation_sheet!C$99</f>
        <v>1.0367459699219346E-3</v>
      </c>
      <c r="AE95" s="176">
        <f t="shared" ca="1" si="99"/>
        <v>6.9116397994795661E-4</v>
      </c>
      <c r="AF95" s="176">
        <f t="shared" ca="1" si="108"/>
        <v>1.7279099498698912E-3</v>
      </c>
      <c r="AG95" s="958">
        <f ca="1">AF95*User_sheet!B$77/100</f>
        <v>0</v>
      </c>
      <c r="AH95" s="313"/>
      <c r="AI95" s="908">
        <v>201</v>
      </c>
      <c r="AJ95" s="313"/>
      <c r="AK95" s="1020">
        <f t="shared" ca="1" si="93"/>
        <v>473.94078193186579</v>
      </c>
      <c r="AL95" s="954">
        <f ca="1">AK95/'201'!I$24</f>
        <v>2.4719177068370404</v>
      </c>
      <c r="AM95" s="954">
        <f ca="1">0.8*(AK95*30+'201'!D$17*0.34*30*1)</f>
        <v>13464.779086364781</v>
      </c>
      <c r="AN95" s="954">
        <f ca="1">IF(AM95&lt;User_sheet!B$50,Y95,0)</f>
        <v>0</v>
      </c>
      <c r="AO95" s="954">
        <f ca="1">20-(User_sheet!B$57/(AK95+'201'!D$17*1*0.34))</f>
        <v>9.8401600856168763</v>
      </c>
      <c r="AP95" s="954">
        <f ca="1">IF(AO95&lt;User_sheet!B$59,0,BC95*AA95)</f>
        <v>0</v>
      </c>
      <c r="AQ95" s="313"/>
      <c r="AR95" s="909">
        <v>14.1</v>
      </c>
      <c r="AS95" s="909">
        <v>3.7</v>
      </c>
      <c r="AT95" s="909">
        <v>7.9</v>
      </c>
      <c r="AU95" s="909">
        <v>2.75</v>
      </c>
      <c r="AV95" s="909">
        <v>3.3</v>
      </c>
      <c r="AW95" s="909">
        <v>7211.5338771527777</v>
      </c>
      <c r="AX95" s="909">
        <v>76466.30421774846</v>
      </c>
      <c r="AY95" s="909">
        <v>67352.647733737584</v>
      </c>
      <c r="AZ95" s="909">
        <v>0</v>
      </c>
      <c r="BA95" s="909">
        <v>0</v>
      </c>
      <c r="BB95" s="909">
        <v>0.6</v>
      </c>
      <c r="BC95" s="919">
        <v>0</v>
      </c>
      <c r="BD95" s="920">
        <v>0</v>
      </c>
      <c r="BE95" s="920">
        <v>0</v>
      </c>
      <c r="BF95" s="921">
        <v>1</v>
      </c>
      <c r="BG95" s="909">
        <v>0</v>
      </c>
      <c r="BH95" s="909">
        <v>1</v>
      </c>
      <c r="BI95" s="921">
        <v>0</v>
      </c>
      <c r="BJ95" s="909">
        <v>0</v>
      </c>
      <c r="BK95" s="909">
        <v>0</v>
      </c>
      <c r="BL95" s="909">
        <v>0</v>
      </c>
      <c r="BM95" s="921">
        <v>1</v>
      </c>
      <c r="BN95" s="958">
        <v>0</v>
      </c>
      <c r="BO95" s="959">
        <v>18</v>
      </c>
      <c r="BP95">
        <f t="shared" ca="1" si="100"/>
        <v>102.96</v>
      </c>
      <c r="BQ95">
        <f t="shared" ca="1" si="101"/>
        <v>174.94399999999999</v>
      </c>
      <c r="BR95">
        <f t="shared" ca="1" si="102"/>
        <v>37.440000000000005</v>
      </c>
      <c r="BS95">
        <f t="shared" ca="1" si="103"/>
        <v>112.95</v>
      </c>
      <c r="BT95">
        <f t="shared" ca="1" si="104"/>
        <v>34.32</v>
      </c>
      <c r="BU95">
        <f t="shared" ca="1" si="105"/>
        <v>7</v>
      </c>
      <c r="BV95">
        <f t="shared" ca="1" si="106"/>
        <v>4.3</v>
      </c>
      <c r="BW95" s="1018">
        <v>0</v>
      </c>
      <c r="BX95">
        <f t="shared" ca="1" si="111"/>
        <v>153.2822299651568</v>
      </c>
      <c r="BY95">
        <f t="shared" ca="1" si="112"/>
        <v>254.61921202274573</v>
      </c>
      <c r="BZ95">
        <f t="shared" ca="1" si="94"/>
        <v>37.76262239729882</v>
      </c>
      <c r="CA95">
        <f t="shared" ca="1" si="95"/>
        <v>19.249999989412501</v>
      </c>
      <c r="CB95">
        <f t="shared" ca="1" si="113"/>
        <v>9.0267175572519083</v>
      </c>
      <c r="CC95" s="1018">
        <f t="shared" si="96"/>
        <v>0</v>
      </c>
      <c r="CD95" s="1018">
        <f t="shared" ca="1" si="109"/>
        <v>473.94078193186579</v>
      </c>
      <c r="CE95" s="1018">
        <f t="shared" ca="1" si="110"/>
        <v>118.24810168778664</v>
      </c>
      <c r="CF95">
        <f t="shared" ca="1" si="97"/>
        <v>17.765666508589572</v>
      </c>
      <c r="CG95">
        <f t="shared" ca="1" si="98"/>
        <v>29579.124110141292</v>
      </c>
    </row>
    <row r="96" spans="3:85" s="14" customFormat="1" x14ac:dyDescent="0.25">
      <c r="D96" s="506"/>
      <c r="E96" s="505"/>
      <c r="F96" s="506"/>
      <c r="G96" s="505"/>
      <c r="H96" s="506"/>
      <c r="I96" s="505"/>
      <c r="J96" s="506"/>
      <c r="K96" s="507"/>
      <c r="L96" s="506"/>
      <c r="M96" s="506"/>
      <c r="N96" s="506"/>
      <c r="O96" s="506"/>
      <c r="P96" s="506"/>
      <c r="Q96" s="506"/>
      <c r="R96" s="506"/>
      <c r="S96" s="506"/>
      <c r="T96" s="509"/>
      <c r="U96" s="505"/>
      <c r="V96" s="292"/>
      <c r="W96" s="292"/>
      <c r="X96" s="292"/>
      <c r="Y96" s="277"/>
      <c r="Z96" s="292"/>
      <c r="AA96" s="292"/>
      <c r="AB96" s="292"/>
      <c r="AC96" s="292"/>
      <c r="AD96" s="277"/>
      <c r="AE96" s="292"/>
      <c r="AF96" s="292"/>
      <c r="AG96" s="277"/>
      <c r="AH96" s="313"/>
      <c r="AI96" s="913"/>
      <c r="AJ96" s="313"/>
      <c r="AK96" s="1020">
        <f t="shared" si="93"/>
        <v>0</v>
      </c>
      <c r="AL96" s="941"/>
      <c r="AM96" s="941"/>
      <c r="AN96" s="986"/>
      <c r="AO96" s="986"/>
      <c r="AP96" s="986"/>
      <c r="AQ96" s="313"/>
      <c r="AR96" s="918"/>
      <c r="AS96" s="918"/>
      <c r="AT96" s="918"/>
      <c r="AU96" s="918"/>
      <c r="AV96" s="918"/>
      <c r="AW96" s="918"/>
      <c r="AX96" s="918"/>
      <c r="AY96" s="918"/>
      <c r="AZ96" s="918"/>
      <c r="BA96" s="918"/>
      <c r="BB96" s="918"/>
      <c r="BC96" s="45"/>
      <c r="BD96" s="277"/>
      <c r="BE96" s="277"/>
      <c r="BF96" s="49"/>
      <c r="BG96" s="918"/>
      <c r="BH96" s="918"/>
      <c r="BI96" s="49"/>
      <c r="BJ96" s="918"/>
      <c r="BK96" s="918"/>
      <c r="BL96" s="918"/>
      <c r="BM96" s="49"/>
      <c r="BN96" s="277"/>
      <c r="BO96" s="49"/>
      <c r="BW96" s="928"/>
      <c r="CC96" s="928"/>
      <c r="CD96" s="928"/>
      <c r="CE96" s="928"/>
    </row>
    <row r="97" spans="4:85" x14ac:dyDescent="0.25">
      <c r="D97" s="1"/>
      <c r="F97" s="1"/>
      <c r="G97" s="3"/>
      <c r="H97" s="6"/>
      <c r="I97" s="3"/>
      <c r="J97" s="6"/>
      <c r="K97" s="8"/>
      <c r="L97" s="6"/>
      <c r="M97" s="1"/>
      <c r="N97" s="1"/>
      <c r="O97" s="1"/>
      <c r="P97" s="1"/>
      <c r="Q97" s="1" t="s">
        <v>16</v>
      </c>
      <c r="R97" s="4"/>
      <c r="S97" s="1"/>
      <c r="T97" s="77"/>
      <c r="U97" s="294"/>
      <c r="X97" s="176">
        <f>W85-X85</f>
        <v>0</v>
      </c>
      <c r="Y97" s="34">
        <f>X97/Calculation_sheet!M$67</f>
        <v>0</v>
      </c>
      <c r="Z97" s="176">
        <f ca="1">IF(AN97&gt;0,Y97*Calculation_sheet!C$87,0)</f>
        <v>0</v>
      </c>
      <c r="AA97" s="176">
        <f ca="1">Y97-Z97</f>
        <v>0</v>
      </c>
      <c r="AB97" s="176">
        <f ca="1">IF(AP97&gt;0,AA97*Calculation_sheet!C$94,0)</f>
        <v>0</v>
      </c>
      <c r="AC97" s="176">
        <f t="shared" ref="AC97:AE107" ca="1" si="114">AA97-AB97</f>
        <v>0</v>
      </c>
      <c r="AD97" s="958">
        <f ca="1">AC97*Calculation_sheet!C$99</f>
        <v>0</v>
      </c>
      <c r="AE97" s="176">
        <f t="shared" ca="1" si="114"/>
        <v>0</v>
      </c>
      <c r="AF97" s="176">
        <f ca="1">Y97-AB97</f>
        <v>0</v>
      </c>
      <c r="AG97" s="958">
        <f ca="1">AF97*User_sheet!B$77/100</f>
        <v>0</v>
      </c>
      <c r="AH97" s="313"/>
      <c r="AI97" s="908">
        <v>201</v>
      </c>
      <c r="AJ97" s="313"/>
      <c r="AK97" s="1020">
        <f t="shared" ca="1" si="93"/>
        <v>326.75973944011486</v>
      </c>
      <c r="AL97" s="954">
        <f ca="1">AK97/'201'!I$24</f>
        <v>1.704270272988655</v>
      </c>
      <c r="AM97" s="954">
        <f ca="1">0.8*(AK97*30+'201'!D$17*0.34*30*1)</f>
        <v>9932.4340665627569</v>
      </c>
      <c r="AN97" s="954">
        <f ca="1">IF(AM97&lt;User_sheet!B$50,Y97,0)</f>
        <v>0</v>
      </c>
      <c r="AO97" s="954">
        <f ca="1">20-(User_sheet!B$57/(AK97+'201'!D$17*1*0.34))</f>
        <v>6.2269410415183994</v>
      </c>
      <c r="AP97" s="954">
        <f ca="1">IF(AO97&lt;User_sheet!B$59,0,BC97*AA97)</f>
        <v>0</v>
      </c>
      <c r="AQ97" s="313"/>
      <c r="AR97" s="909">
        <v>0.32</v>
      </c>
      <c r="AS97" s="909">
        <v>3.7</v>
      </c>
      <c r="AT97" s="909">
        <v>7.9</v>
      </c>
      <c r="AU97" s="909">
        <v>2</v>
      </c>
      <c r="AV97" s="909">
        <v>3.3</v>
      </c>
      <c r="AW97" s="909">
        <v>14356</v>
      </c>
      <c r="AX97" s="909">
        <v>76466.30421774846</v>
      </c>
      <c r="AY97" s="909">
        <v>67352.647733737584</v>
      </c>
      <c r="AZ97" s="917">
        <v>0</v>
      </c>
      <c r="BA97" s="917">
        <v>0</v>
      </c>
      <c r="BB97" s="909">
        <v>0.6</v>
      </c>
      <c r="BC97" s="919">
        <v>1</v>
      </c>
      <c r="BD97" s="920">
        <v>0</v>
      </c>
      <c r="BE97" s="920">
        <v>0</v>
      </c>
      <c r="BF97" s="921">
        <v>0</v>
      </c>
      <c r="BG97" s="920">
        <v>1</v>
      </c>
      <c r="BH97" s="920">
        <v>0</v>
      </c>
      <c r="BI97" s="921">
        <v>0</v>
      </c>
      <c r="BJ97" s="920">
        <v>1</v>
      </c>
      <c r="BK97" s="920">
        <v>0</v>
      </c>
      <c r="BL97" s="920">
        <v>0</v>
      </c>
      <c r="BM97" s="921">
        <v>0</v>
      </c>
      <c r="BN97" s="958">
        <v>0</v>
      </c>
      <c r="BO97" s="959">
        <v>18</v>
      </c>
      <c r="BP97">
        <f t="shared" ref="BP97:BP107" ca="1" si="115">INDIRECT("'"&amp;AI97&amp;"'!"&amp;"B2")</f>
        <v>102.96</v>
      </c>
      <c r="BQ97">
        <f t="shared" ref="BQ97:BQ107" ca="1" si="116">INDIRECT("'"&amp;AI97&amp;"'!"&amp;"C12")+INDIRECT("'"&amp;AI97&amp;"'!"&amp;"C13")+INDIRECT("'"&amp;AI97&amp;"'!"&amp;"C14")+INDIRECT("'"&amp;AI97&amp;"'!"&amp;"C15")+INDIRECT("'"&amp;AI97&amp;"'!"&amp;"C17")</f>
        <v>174.94399999999999</v>
      </c>
      <c r="BR97">
        <f t="shared" ref="BR97:BR107" ca="1" si="117">INDIRECT("'"&amp;AI97&amp;"'!"&amp;"G5")</f>
        <v>37.440000000000005</v>
      </c>
      <c r="BS97">
        <f t="shared" ref="BS97:BS107" ca="1" si="118">INDIRECT("'"&amp;AI97&amp;"'!"&amp;"G4")</f>
        <v>112.95</v>
      </c>
      <c r="BT97">
        <f t="shared" ref="BT97:BT107" ca="1" si="119">INDIRECT("'"&amp;AI97&amp;"'!"&amp;"G6")</f>
        <v>34.32</v>
      </c>
      <c r="BU97">
        <f t="shared" ref="BU97:BU107" ca="1" si="120">INDIRECT("'"&amp;AI97&amp;"'!"&amp;"G2")</f>
        <v>7</v>
      </c>
      <c r="BV97">
        <f t="shared" ref="BV97:BV107" ca="1" si="121">INDIRECT("'"&amp;AI97&amp;"'!"&amp;"G3")</f>
        <v>4.3</v>
      </c>
      <c r="BW97" s="1018">
        <v>0</v>
      </c>
      <c r="BX97">
        <f t="shared" ca="1" si="111"/>
        <v>11.351187468418397</v>
      </c>
      <c r="BY97">
        <f t="shared" ca="1" si="112"/>
        <v>254.61921202274573</v>
      </c>
      <c r="BZ97">
        <f t="shared" ca="1" si="94"/>
        <v>37.76262239729882</v>
      </c>
      <c r="CA97">
        <f t="shared" ca="1" si="95"/>
        <v>13.999999994400001</v>
      </c>
      <c r="CB97">
        <f t="shared" ca="1" si="113"/>
        <v>9.0267175572519083</v>
      </c>
      <c r="CC97" s="1018">
        <f t="shared" si="96"/>
        <v>0</v>
      </c>
      <c r="CD97" s="1018">
        <f ca="1">SUM(BX97:CC97)+(BR97+BS97+BT97+BU97+BV97)*BN97</f>
        <v>326.75973944011486</v>
      </c>
      <c r="CE97" s="1018">
        <f ca="1">0.34*BO97*(1/25)^0.66*(BR97+BS97+BU97+BV97)</f>
        <v>118.24810168778664</v>
      </c>
      <c r="CF97">
        <f t="shared" ca="1" si="97"/>
        <v>13.350235233837044</v>
      </c>
      <c r="CG97">
        <f t="shared" ca="1" si="98"/>
        <v>22227.607654929325</v>
      </c>
    </row>
    <row r="98" spans="4:85" x14ac:dyDescent="0.25">
      <c r="D98" s="1"/>
      <c r="F98" s="1"/>
      <c r="G98" s="3"/>
      <c r="H98" s="6"/>
      <c r="I98" s="3"/>
      <c r="J98" s="6"/>
      <c r="K98" s="8"/>
      <c r="L98" s="6"/>
      <c r="M98" s="1"/>
      <c r="N98" s="1"/>
      <c r="O98" s="1" t="s">
        <v>18</v>
      </c>
      <c r="P98" s="4"/>
      <c r="Q98" s="1" t="s">
        <v>7</v>
      </c>
      <c r="R98" s="4"/>
      <c r="S98" s="1"/>
      <c r="T98" s="77"/>
      <c r="U98" s="294"/>
      <c r="X98" s="176">
        <f t="shared" ref="X98:X107" si="122">W86-X86</f>
        <v>0</v>
      </c>
      <c r="Y98" s="34">
        <f>X98/Calculation_sheet!M$67</f>
        <v>0</v>
      </c>
      <c r="Z98" s="176">
        <f ca="1">IF(AN98&gt;0,Y98*Calculation_sheet!C$87,0)</f>
        <v>0</v>
      </c>
      <c r="AA98" s="176">
        <f t="shared" ref="AA98:AA107" ca="1" si="123">Y98-Z98</f>
        <v>0</v>
      </c>
      <c r="AB98" s="176">
        <f ca="1">IF(AP98&gt;0,AA98*Calculation_sheet!C$94,0)</f>
        <v>0</v>
      </c>
      <c r="AC98" s="176">
        <f t="shared" ca="1" si="114"/>
        <v>0</v>
      </c>
      <c r="AD98" s="958">
        <f ca="1">AC98*Calculation_sheet!C$99</f>
        <v>0</v>
      </c>
      <c r="AE98" s="176">
        <f t="shared" ca="1" si="114"/>
        <v>0</v>
      </c>
      <c r="AF98" s="176">
        <f t="shared" ref="AF98:AF107" ca="1" si="124">Y98-AB98</f>
        <v>0</v>
      </c>
      <c r="AG98" s="958">
        <f ca="1">AF98*User_sheet!B$77/100</f>
        <v>0</v>
      </c>
      <c r="AH98" s="313"/>
      <c r="AI98" s="908">
        <v>201</v>
      </c>
      <c r="AJ98" s="313"/>
      <c r="AK98" s="1020">
        <f t="shared" ca="1" si="93"/>
        <v>326.75973944011486</v>
      </c>
      <c r="AL98" s="954">
        <f ca="1">AK98/'201'!I$24</f>
        <v>1.704270272988655</v>
      </c>
      <c r="AM98" s="954">
        <f ca="1">0.8*(AK98*30+'201'!D$17*0.34*30*1)</f>
        <v>9932.4340665627569</v>
      </c>
      <c r="AN98" s="954">
        <f ca="1">IF(AM98&lt;User_sheet!B$50,Y98,0)</f>
        <v>0</v>
      </c>
      <c r="AO98" s="954">
        <f ca="1">20-(User_sheet!B$57/(AK98+'201'!D$17*1*0.34))</f>
        <v>6.2269410415183994</v>
      </c>
      <c r="AP98" s="954">
        <f ca="1">IF(AO98&lt;User_sheet!B$59,0,BC98*AA98)</f>
        <v>0</v>
      </c>
      <c r="AQ98" s="313"/>
      <c r="AR98" s="909">
        <v>0.32</v>
      </c>
      <c r="AS98" s="909">
        <v>3.7</v>
      </c>
      <c r="AT98" s="909">
        <v>7.9</v>
      </c>
      <c r="AU98" s="909">
        <v>2</v>
      </c>
      <c r="AV98" s="909">
        <v>3.3</v>
      </c>
      <c r="AW98" s="909">
        <v>14356</v>
      </c>
      <c r="AX98" s="909">
        <v>76466.30421774846</v>
      </c>
      <c r="AY98" s="909">
        <v>67352.647733737584</v>
      </c>
      <c r="AZ98" s="917">
        <v>0</v>
      </c>
      <c r="BA98" s="917">
        <v>0</v>
      </c>
      <c r="BB98" s="909">
        <v>0.6</v>
      </c>
      <c r="BC98" s="919">
        <v>1</v>
      </c>
      <c r="BD98" s="920">
        <v>0</v>
      </c>
      <c r="BE98" s="920">
        <v>0</v>
      </c>
      <c r="BF98" s="921">
        <v>0</v>
      </c>
      <c r="BG98" s="920">
        <v>1</v>
      </c>
      <c r="BH98" s="920">
        <v>0</v>
      </c>
      <c r="BI98" s="921">
        <v>0</v>
      </c>
      <c r="BJ98" s="920">
        <v>0</v>
      </c>
      <c r="BK98" s="920">
        <v>0</v>
      </c>
      <c r="BL98" s="920">
        <v>1</v>
      </c>
      <c r="BM98" s="921">
        <v>0</v>
      </c>
      <c r="BN98" s="958">
        <v>0</v>
      </c>
      <c r="BO98" s="959">
        <v>18</v>
      </c>
      <c r="BP98">
        <f t="shared" ca="1" si="115"/>
        <v>102.96</v>
      </c>
      <c r="BQ98">
        <f t="shared" ca="1" si="116"/>
        <v>174.94399999999999</v>
      </c>
      <c r="BR98">
        <f t="shared" ca="1" si="117"/>
        <v>37.440000000000005</v>
      </c>
      <c r="BS98">
        <f t="shared" ca="1" si="118"/>
        <v>112.95</v>
      </c>
      <c r="BT98">
        <f t="shared" ca="1" si="119"/>
        <v>34.32</v>
      </c>
      <c r="BU98">
        <f t="shared" ca="1" si="120"/>
        <v>7</v>
      </c>
      <c r="BV98">
        <f t="shared" ca="1" si="121"/>
        <v>4.3</v>
      </c>
      <c r="BW98" s="1018">
        <v>0</v>
      </c>
      <c r="BX98">
        <f t="shared" ca="1" si="111"/>
        <v>11.351187468418397</v>
      </c>
      <c r="BY98">
        <f t="shared" ca="1" si="112"/>
        <v>254.61921202274573</v>
      </c>
      <c r="BZ98">
        <f t="shared" ca="1" si="94"/>
        <v>37.76262239729882</v>
      </c>
      <c r="CA98">
        <f t="shared" ca="1" si="95"/>
        <v>13.999999994400001</v>
      </c>
      <c r="CB98">
        <f t="shared" ca="1" si="113"/>
        <v>9.0267175572519083</v>
      </c>
      <c r="CC98" s="1018">
        <f t="shared" si="96"/>
        <v>0</v>
      </c>
      <c r="CD98" s="1018">
        <f t="shared" ref="CD98:CD107" ca="1" si="125">SUM(BX98:CC98)+(BR98+BS98+BT98+BU98+BV98)*BN98</f>
        <v>326.75973944011486</v>
      </c>
      <c r="CE98" s="1018">
        <f t="shared" ref="CE98:CE107" ca="1" si="126">0.34*BO98*(1/25)^0.66*(BR98+BS98+BU98+BV98)</f>
        <v>118.24810168778664</v>
      </c>
      <c r="CF98">
        <f t="shared" ca="1" si="97"/>
        <v>13.350235233837044</v>
      </c>
      <c r="CG98">
        <f t="shared" ca="1" si="98"/>
        <v>22227.607654929325</v>
      </c>
    </row>
    <row r="99" spans="4:85" x14ac:dyDescent="0.25">
      <c r="D99" s="1"/>
      <c r="F99" s="1"/>
      <c r="G99" s="3"/>
      <c r="H99" s="6"/>
      <c r="I99" s="3"/>
      <c r="J99" s="6"/>
      <c r="K99" s="8"/>
      <c r="L99" s="6"/>
      <c r="M99" s="1"/>
      <c r="N99" s="1"/>
      <c r="O99" s="1"/>
      <c r="P99" s="1"/>
      <c r="Q99" s="1" t="s">
        <v>16</v>
      </c>
      <c r="R99" s="4"/>
      <c r="S99" s="1"/>
      <c r="T99" s="77"/>
      <c r="U99" s="294"/>
      <c r="X99" s="176">
        <f t="shared" si="122"/>
        <v>0</v>
      </c>
      <c r="Y99" s="34">
        <f>X99/Calculation_sheet!M$67</f>
        <v>0</v>
      </c>
      <c r="Z99" s="176">
        <f ca="1">IF(AN99&gt;0,Y99*Calculation_sheet!C$87,0)</f>
        <v>0</v>
      </c>
      <c r="AA99" s="176">
        <f t="shared" ca="1" si="123"/>
        <v>0</v>
      </c>
      <c r="AB99" s="176">
        <f ca="1">IF(AP99&gt;0,AA99*Calculation_sheet!C$94,0)</f>
        <v>0</v>
      </c>
      <c r="AC99" s="176">
        <f t="shared" ca="1" si="114"/>
        <v>0</v>
      </c>
      <c r="AD99" s="958">
        <f ca="1">AC99*Calculation_sheet!C$99</f>
        <v>0</v>
      </c>
      <c r="AE99" s="176">
        <f t="shared" ca="1" si="114"/>
        <v>0</v>
      </c>
      <c r="AF99" s="176">
        <f t="shared" ca="1" si="124"/>
        <v>0</v>
      </c>
      <c r="AG99" s="958">
        <f ca="1">AF99*User_sheet!B$77/100</f>
        <v>0</v>
      </c>
      <c r="AH99" s="313"/>
      <c r="AI99" s="908">
        <v>201</v>
      </c>
      <c r="AJ99" s="313"/>
      <c r="AK99" s="1020">
        <f t="shared" ca="1" si="93"/>
        <v>326.75973944011486</v>
      </c>
      <c r="AL99" s="954">
        <f ca="1">AK99/'201'!I$24</f>
        <v>1.704270272988655</v>
      </c>
      <c r="AM99" s="954">
        <f ca="1">0.8*(AK99*30+'201'!D$17*0.34*30*1)</f>
        <v>9932.4340665627569</v>
      </c>
      <c r="AN99" s="954">
        <f ca="1">IF(AM99&lt;User_sheet!B$50,Y99,0)</f>
        <v>0</v>
      </c>
      <c r="AO99" s="954">
        <f ca="1">20-(User_sheet!B$57/(AK99+'201'!D$17*1*0.34))</f>
        <v>6.2269410415183994</v>
      </c>
      <c r="AP99" s="954">
        <f ca="1">IF(AO99&lt;User_sheet!B$59,0,BC99*AA99)</f>
        <v>0</v>
      </c>
      <c r="AQ99" s="313"/>
      <c r="AR99" s="909">
        <v>0.32</v>
      </c>
      <c r="AS99" s="909">
        <v>3.7</v>
      </c>
      <c r="AT99" s="909">
        <v>7.9</v>
      </c>
      <c r="AU99" s="909">
        <v>2</v>
      </c>
      <c r="AV99" s="909">
        <v>3.3</v>
      </c>
      <c r="AW99" s="909">
        <v>14356</v>
      </c>
      <c r="AX99" s="909">
        <v>76466.30421774846</v>
      </c>
      <c r="AY99" s="909">
        <v>67352.647733737584</v>
      </c>
      <c r="AZ99" s="917">
        <v>0</v>
      </c>
      <c r="BA99" s="917">
        <v>0</v>
      </c>
      <c r="BB99" s="909">
        <v>0.6</v>
      </c>
      <c r="BC99" s="919">
        <v>1</v>
      </c>
      <c r="BD99" s="920">
        <v>0</v>
      </c>
      <c r="BE99" s="920">
        <v>0</v>
      </c>
      <c r="BF99" s="921">
        <v>0</v>
      </c>
      <c r="BG99" s="920">
        <v>0</v>
      </c>
      <c r="BH99" s="920">
        <v>1</v>
      </c>
      <c r="BI99" s="921">
        <v>0</v>
      </c>
      <c r="BJ99" s="920">
        <v>1</v>
      </c>
      <c r="BK99" s="920">
        <v>0</v>
      </c>
      <c r="BL99" s="920">
        <v>0</v>
      </c>
      <c r="BM99" s="921">
        <v>0</v>
      </c>
      <c r="BN99" s="958">
        <v>0</v>
      </c>
      <c r="BO99" s="959">
        <v>18</v>
      </c>
      <c r="BP99">
        <f t="shared" ca="1" si="115"/>
        <v>102.96</v>
      </c>
      <c r="BQ99">
        <f t="shared" ca="1" si="116"/>
        <v>174.94399999999999</v>
      </c>
      <c r="BR99">
        <f t="shared" ca="1" si="117"/>
        <v>37.440000000000005</v>
      </c>
      <c r="BS99">
        <f t="shared" ca="1" si="118"/>
        <v>112.95</v>
      </c>
      <c r="BT99">
        <f t="shared" ca="1" si="119"/>
        <v>34.32</v>
      </c>
      <c r="BU99">
        <f t="shared" ca="1" si="120"/>
        <v>7</v>
      </c>
      <c r="BV99">
        <f t="shared" ca="1" si="121"/>
        <v>4.3</v>
      </c>
      <c r="BW99" s="1018">
        <v>0</v>
      </c>
      <c r="BX99">
        <f t="shared" ca="1" si="111"/>
        <v>11.351187468418397</v>
      </c>
      <c r="BY99">
        <f t="shared" ca="1" si="112"/>
        <v>254.61921202274573</v>
      </c>
      <c r="BZ99">
        <f t="shared" ca="1" si="94"/>
        <v>37.76262239729882</v>
      </c>
      <c r="CA99">
        <f t="shared" ca="1" si="95"/>
        <v>13.999999994400001</v>
      </c>
      <c r="CB99">
        <f t="shared" ca="1" si="113"/>
        <v>9.0267175572519083</v>
      </c>
      <c r="CC99" s="1018">
        <f t="shared" si="96"/>
        <v>0</v>
      </c>
      <c r="CD99" s="1018">
        <f t="shared" ca="1" si="125"/>
        <v>326.75973944011486</v>
      </c>
      <c r="CE99" s="1018">
        <f t="shared" ca="1" si="126"/>
        <v>118.24810168778664</v>
      </c>
      <c r="CF99">
        <f t="shared" ca="1" si="97"/>
        <v>13.350235233837044</v>
      </c>
      <c r="CG99">
        <f t="shared" ca="1" si="98"/>
        <v>22227.607654929325</v>
      </c>
    </row>
    <row r="100" spans="4:85" x14ac:dyDescent="0.25">
      <c r="D100" s="1"/>
      <c r="F100" s="1"/>
      <c r="G100" s="3"/>
      <c r="H100" s="6"/>
      <c r="I100" s="3"/>
      <c r="J100" s="6"/>
      <c r="K100" s="8"/>
      <c r="L100" s="6"/>
      <c r="M100" s="1" t="s">
        <v>16</v>
      </c>
      <c r="N100" s="4"/>
      <c r="O100" s="1" t="s">
        <v>19</v>
      </c>
      <c r="P100" s="4"/>
      <c r="Q100" s="1" t="s">
        <v>7</v>
      </c>
      <c r="R100" s="4"/>
      <c r="S100" s="1"/>
      <c r="T100" s="77"/>
      <c r="U100" s="294"/>
      <c r="X100" s="176">
        <f t="shared" si="122"/>
        <v>0</v>
      </c>
      <c r="Y100" s="34">
        <f>X100/Calculation_sheet!M$67</f>
        <v>0</v>
      </c>
      <c r="Z100" s="176">
        <f ca="1">IF(AN100&gt;0,Y100*Calculation_sheet!C$87,0)</f>
        <v>0</v>
      </c>
      <c r="AA100" s="176">
        <f t="shared" ca="1" si="123"/>
        <v>0</v>
      </c>
      <c r="AB100" s="176">
        <f ca="1">IF(AP100&gt;0,AA100*Calculation_sheet!C$94,0)</f>
        <v>0</v>
      </c>
      <c r="AC100" s="176">
        <f t="shared" ca="1" si="114"/>
        <v>0</v>
      </c>
      <c r="AD100" s="958">
        <f ca="1">AC100*Calculation_sheet!C$99</f>
        <v>0</v>
      </c>
      <c r="AE100" s="176">
        <f t="shared" ca="1" si="114"/>
        <v>0</v>
      </c>
      <c r="AF100" s="176">
        <f t="shared" ca="1" si="124"/>
        <v>0</v>
      </c>
      <c r="AG100" s="958">
        <f ca="1">AF100*User_sheet!B$77/100</f>
        <v>0</v>
      </c>
      <c r="AH100" s="313"/>
      <c r="AI100" s="908">
        <v>201</v>
      </c>
      <c r="AJ100" s="313"/>
      <c r="AK100" s="1020">
        <f t="shared" ca="1" si="93"/>
        <v>326.75973944011486</v>
      </c>
      <c r="AL100" s="954">
        <f ca="1">AK100/'201'!I$24</f>
        <v>1.704270272988655</v>
      </c>
      <c r="AM100" s="954">
        <f ca="1">0.8*(AK100*30+'201'!D$17*0.34*30*1)</f>
        <v>9932.4340665627569</v>
      </c>
      <c r="AN100" s="954">
        <f ca="1">IF(AM100&lt;User_sheet!B$50,Y100,0)</f>
        <v>0</v>
      </c>
      <c r="AO100" s="954">
        <f ca="1">20-(User_sheet!B$57/(AK100+'201'!D$17*1*0.34))</f>
        <v>6.2269410415183994</v>
      </c>
      <c r="AP100" s="954">
        <f ca="1">IF(AO100&lt;User_sheet!B$59,0,BC100*AA100)</f>
        <v>0</v>
      </c>
      <c r="AQ100" s="313"/>
      <c r="AR100" s="909">
        <v>0.32</v>
      </c>
      <c r="AS100" s="909">
        <v>3.7</v>
      </c>
      <c r="AT100" s="909">
        <v>7.9</v>
      </c>
      <c r="AU100" s="909">
        <v>2</v>
      </c>
      <c r="AV100" s="909">
        <v>3.3</v>
      </c>
      <c r="AW100" s="909">
        <v>14356</v>
      </c>
      <c r="AX100" s="909">
        <v>76466.30421774846</v>
      </c>
      <c r="AY100" s="909">
        <v>67352.647733737584</v>
      </c>
      <c r="AZ100" s="917">
        <v>0</v>
      </c>
      <c r="BA100" s="917">
        <v>0</v>
      </c>
      <c r="BB100" s="909">
        <v>0.6</v>
      </c>
      <c r="BC100" s="919">
        <v>1</v>
      </c>
      <c r="BD100" s="920">
        <v>0</v>
      </c>
      <c r="BE100" s="920">
        <v>0</v>
      </c>
      <c r="BF100" s="921">
        <v>0</v>
      </c>
      <c r="BG100" s="920">
        <v>0</v>
      </c>
      <c r="BH100" s="920">
        <v>1</v>
      </c>
      <c r="BI100" s="921">
        <v>0</v>
      </c>
      <c r="BJ100" s="920">
        <v>0</v>
      </c>
      <c r="BK100" s="920">
        <v>0</v>
      </c>
      <c r="BL100" s="920">
        <v>1</v>
      </c>
      <c r="BM100" s="921">
        <v>0</v>
      </c>
      <c r="BN100" s="958">
        <v>0</v>
      </c>
      <c r="BO100" s="959">
        <v>18</v>
      </c>
      <c r="BP100">
        <f t="shared" ca="1" si="115"/>
        <v>102.96</v>
      </c>
      <c r="BQ100">
        <f t="shared" ca="1" si="116"/>
        <v>174.94399999999999</v>
      </c>
      <c r="BR100">
        <f t="shared" ca="1" si="117"/>
        <v>37.440000000000005</v>
      </c>
      <c r="BS100">
        <f t="shared" ca="1" si="118"/>
        <v>112.95</v>
      </c>
      <c r="BT100">
        <f t="shared" ca="1" si="119"/>
        <v>34.32</v>
      </c>
      <c r="BU100">
        <f t="shared" ca="1" si="120"/>
        <v>7</v>
      </c>
      <c r="BV100">
        <f t="shared" ca="1" si="121"/>
        <v>4.3</v>
      </c>
      <c r="BW100" s="1018">
        <v>0</v>
      </c>
      <c r="BX100">
        <f t="shared" ca="1" si="111"/>
        <v>11.351187468418397</v>
      </c>
      <c r="BY100">
        <f t="shared" ca="1" si="112"/>
        <v>254.61921202274573</v>
      </c>
      <c r="BZ100">
        <f t="shared" ca="1" si="94"/>
        <v>37.76262239729882</v>
      </c>
      <c r="CA100">
        <f t="shared" ca="1" si="95"/>
        <v>13.999999994400001</v>
      </c>
      <c r="CB100">
        <f t="shared" ca="1" si="113"/>
        <v>9.0267175572519083</v>
      </c>
      <c r="CC100" s="1018">
        <f t="shared" si="96"/>
        <v>0</v>
      </c>
      <c r="CD100" s="1018">
        <f t="shared" ca="1" si="125"/>
        <v>326.75973944011486</v>
      </c>
      <c r="CE100" s="1018">
        <f t="shared" ca="1" si="126"/>
        <v>118.24810168778664</v>
      </c>
      <c r="CF100">
        <f t="shared" ca="1" si="97"/>
        <v>13.350235233837044</v>
      </c>
      <c r="CG100">
        <f t="shared" ca="1" si="98"/>
        <v>22227.607654929325</v>
      </c>
    </row>
    <row r="101" spans="4:85" x14ac:dyDescent="0.25">
      <c r="D101" s="1"/>
      <c r="F101" s="1"/>
      <c r="G101" s="3"/>
      <c r="H101" s="6"/>
      <c r="I101" s="3"/>
      <c r="J101" s="6"/>
      <c r="K101" s="8"/>
      <c r="L101" s="6"/>
      <c r="M101" s="1"/>
      <c r="N101" s="1"/>
      <c r="O101" s="1"/>
      <c r="P101" s="1"/>
      <c r="Q101" s="1" t="s">
        <v>22</v>
      </c>
      <c r="R101" s="4"/>
      <c r="S101" s="1"/>
      <c r="T101" s="77"/>
      <c r="U101" s="294"/>
      <c r="X101" s="176">
        <f t="shared" si="122"/>
        <v>0</v>
      </c>
      <c r="Y101" s="34">
        <f>X101/Calculation_sheet!M$67</f>
        <v>0</v>
      </c>
      <c r="Z101" s="176">
        <f ca="1">IF(AN101&gt;0,Y101*Calculation_sheet!C$87,0)</f>
        <v>0</v>
      </c>
      <c r="AA101" s="176">
        <f t="shared" ca="1" si="123"/>
        <v>0</v>
      </c>
      <c r="AB101" s="176">
        <f ca="1">IF(AP101&gt;0,AA101*Calculation_sheet!C$94,0)</f>
        <v>0</v>
      </c>
      <c r="AC101" s="176">
        <f t="shared" ca="1" si="114"/>
        <v>0</v>
      </c>
      <c r="AD101" s="958">
        <f ca="1">AC101*Calculation_sheet!C$99</f>
        <v>0</v>
      </c>
      <c r="AE101" s="176">
        <f t="shared" ca="1" si="114"/>
        <v>0</v>
      </c>
      <c r="AF101" s="176">
        <f t="shared" ca="1" si="124"/>
        <v>0</v>
      </c>
      <c r="AG101" s="958">
        <f ca="1">AF101*User_sheet!B$77/100</f>
        <v>0</v>
      </c>
      <c r="AH101" s="313"/>
      <c r="AI101" s="908">
        <v>201</v>
      </c>
      <c r="AJ101" s="313"/>
      <c r="AK101" s="1020">
        <f t="shared" ca="1" si="93"/>
        <v>326.75973944011486</v>
      </c>
      <c r="AL101" s="954">
        <f ca="1">AK101/'201'!I$24</f>
        <v>1.704270272988655</v>
      </c>
      <c r="AM101" s="954">
        <f ca="1">0.8*(AK101*30+'201'!D$17*0.34*30*1)</f>
        <v>9932.4340665627569</v>
      </c>
      <c r="AN101" s="954">
        <f ca="1">IF(AM101&lt;User_sheet!B$50,Y101,0)</f>
        <v>0</v>
      </c>
      <c r="AO101" s="954">
        <f ca="1">20-(User_sheet!B$57/(AK101+'201'!D$17*1*0.34))</f>
        <v>6.2269410415183994</v>
      </c>
      <c r="AP101" s="954">
        <f ca="1">IF(AO101&lt;User_sheet!B$59,0,BC101*AA101)</f>
        <v>0</v>
      </c>
      <c r="AQ101" s="313"/>
      <c r="AR101" s="909">
        <v>0.32</v>
      </c>
      <c r="AS101" s="909">
        <v>3.7</v>
      </c>
      <c r="AT101" s="909">
        <v>7.9</v>
      </c>
      <c r="AU101" s="909">
        <v>2</v>
      </c>
      <c r="AV101" s="909">
        <v>3.3</v>
      </c>
      <c r="AW101" s="909">
        <v>14356</v>
      </c>
      <c r="AX101" s="909">
        <v>76466.30421774846</v>
      </c>
      <c r="AY101" s="909">
        <v>67352.647733737584</v>
      </c>
      <c r="AZ101" s="917">
        <v>0</v>
      </c>
      <c r="BA101" s="917">
        <v>0</v>
      </c>
      <c r="BB101" s="909">
        <v>0.6</v>
      </c>
      <c r="BC101" s="919">
        <v>0</v>
      </c>
      <c r="BD101" s="920">
        <v>1</v>
      </c>
      <c r="BE101" s="920">
        <v>0</v>
      </c>
      <c r="BF101" s="921">
        <v>0</v>
      </c>
      <c r="BG101" s="920">
        <v>1</v>
      </c>
      <c r="BH101" s="920">
        <v>0</v>
      </c>
      <c r="BI101" s="921">
        <v>0</v>
      </c>
      <c r="BJ101" s="920">
        <v>0</v>
      </c>
      <c r="BK101" s="920">
        <v>1</v>
      </c>
      <c r="BL101" s="920">
        <v>0</v>
      </c>
      <c r="BM101" s="921">
        <v>0</v>
      </c>
      <c r="BN101" s="958">
        <v>0</v>
      </c>
      <c r="BO101" s="959">
        <v>18</v>
      </c>
      <c r="BP101">
        <f t="shared" ca="1" si="115"/>
        <v>102.96</v>
      </c>
      <c r="BQ101">
        <f t="shared" ca="1" si="116"/>
        <v>174.94399999999999</v>
      </c>
      <c r="BR101">
        <f t="shared" ca="1" si="117"/>
        <v>37.440000000000005</v>
      </c>
      <c r="BS101">
        <f t="shared" ca="1" si="118"/>
        <v>112.95</v>
      </c>
      <c r="BT101">
        <f t="shared" ca="1" si="119"/>
        <v>34.32</v>
      </c>
      <c r="BU101">
        <f t="shared" ca="1" si="120"/>
        <v>7</v>
      </c>
      <c r="BV101">
        <f t="shared" ca="1" si="121"/>
        <v>4.3</v>
      </c>
      <c r="BW101" s="1018">
        <v>0</v>
      </c>
      <c r="BX101">
        <f t="shared" ca="1" si="111"/>
        <v>11.351187468418397</v>
      </c>
      <c r="BY101">
        <f t="shared" ca="1" si="112"/>
        <v>254.61921202274573</v>
      </c>
      <c r="BZ101">
        <f t="shared" ca="1" si="94"/>
        <v>37.76262239729882</v>
      </c>
      <c r="CA101">
        <f t="shared" ca="1" si="95"/>
        <v>13.999999994400001</v>
      </c>
      <c r="CB101">
        <f t="shared" ca="1" si="113"/>
        <v>9.0267175572519083</v>
      </c>
      <c r="CC101" s="1018">
        <f t="shared" si="96"/>
        <v>0</v>
      </c>
      <c r="CD101" s="1018">
        <f t="shared" ca="1" si="125"/>
        <v>326.75973944011486</v>
      </c>
      <c r="CE101" s="1018">
        <f t="shared" ca="1" si="126"/>
        <v>118.24810168778664</v>
      </c>
      <c r="CF101">
        <f t="shared" ca="1" si="97"/>
        <v>13.350235233837044</v>
      </c>
      <c r="CG101">
        <f t="shared" ca="1" si="98"/>
        <v>22227.607654929325</v>
      </c>
    </row>
    <row r="102" spans="4:85" x14ac:dyDescent="0.25">
      <c r="D102" s="1"/>
      <c r="F102" s="1"/>
      <c r="G102" s="3"/>
      <c r="H102" s="6"/>
      <c r="I102" s="3"/>
      <c r="J102" s="3" t="s">
        <v>144</v>
      </c>
      <c r="K102" s="8"/>
      <c r="L102" s="6"/>
      <c r="M102" s="1"/>
      <c r="N102" s="1"/>
      <c r="O102" s="1" t="s">
        <v>18</v>
      </c>
      <c r="P102" s="4"/>
      <c r="Q102" s="1" t="s">
        <v>7</v>
      </c>
      <c r="R102" s="4"/>
      <c r="S102" s="1"/>
      <c r="T102" s="77"/>
      <c r="U102" s="294"/>
      <c r="X102" s="176">
        <f t="shared" si="122"/>
        <v>0</v>
      </c>
      <c r="Y102" s="34">
        <f>X102/Calculation_sheet!M$67</f>
        <v>0</v>
      </c>
      <c r="Z102" s="176">
        <f ca="1">IF(AN102&gt;0,Y102*Calculation_sheet!C$87,0)</f>
        <v>0</v>
      </c>
      <c r="AA102" s="176">
        <f t="shared" ca="1" si="123"/>
        <v>0</v>
      </c>
      <c r="AB102" s="176">
        <f ca="1">IF(AP102&gt;0,AA102*Calculation_sheet!C$94,0)</f>
        <v>0</v>
      </c>
      <c r="AC102" s="176">
        <f t="shared" ca="1" si="114"/>
        <v>0</v>
      </c>
      <c r="AD102" s="958">
        <f ca="1">AC102*Calculation_sheet!C$99</f>
        <v>0</v>
      </c>
      <c r="AE102" s="176">
        <f t="shared" ca="1" si="114"/>
        <v>0</v>
      </c>
      <c r="AF102" s="176">
        <f t="shared" ca="1" si="124"/>
        <v>0</v>
      </c>
      <c r="AG102" s="958">
        <f ca="1">AF102*User_sheet!B$77/100</f>
        <v>0</v>
      </c>
      <c r="AH102" s="313"/>
      <c r="AI102" s="908">
        <v>201</v>
      </c>
      <c r="AJ102" s="313"/>
      <c r="AK102" s="1020">
        <f t="shared" ca="1" si="93"/>
        <v>326.75973944011486</v>
      </c>
      <c r="AL102" s="954">
        <f ca="1">AK102/'201'!I$24</f>
        <v>1.704270272988655</v>
      </c>
      <c r="AM102" s="954">
        <f ca="1">0.8*(AK102*30+'201'!D$17*0.34*30*1)</f>
        <v>9932.4340665627569</v>
      </c>
      <c r="AN102" s="954">
        <f ca="1">IF(AM102&lt;User_sheet!B$50,Y102,0)</f>
        <v>0</v>
      </c>
      <c r="AO102" s="954">
        <f ca="1">20-(User_sheet!B$57/(AK102+'201'!D$17*1*0.34))</f>
        <v>6.2269410415183994</v>
      </c>
      <c r="AP102" s="954">
        <f ca="1">IF(AO102&lt;User_sheet!B$59,0,BC102*AA102)</f>
        <v>0</v>
      </c>
      <c r="AQ102" s="313"/>
      <c r="AR102" s="909">
        <v>0.32</v>
      </c>
      <c r="AS102" s="909">
        <v>3.7</v>
      </c>
      <c r="AT102" s="909">
        <v>7.9</v>
      </c>
      <c r="AU102" s="909">
        <v>2</v>
      </c>
      <c r="AV102" s="909">
        <v>3.3</v>
      </c>
      <c r="AW102" s="909">
        <v>14356</v>
      </c>
      <c r="AX102" s="909">
        <v>76466.30421774846</v>
      </c>
      <c r="AY102" s="909">
        <v>67352.647733737584</v>
      </c>
      <c r="AZ102" s="917">
        <v>0</v>
      </c>
      <c r="BA102" s="917">
        <v>0</v>
      </c>
      <c r="BB102" s="909">
        <v>0.6</v>
      </c>
      <c r="BC102" s="919">
        <v>0</v>
      </c>
      <c r="BD102" s="920">
        <v>1</v>
      </c>
      <c r="BE102" s="920">
        <v>0</v>
      </c>
      <c r="BF102" s="921">
        <v>0</v>
      </c>
      <c r="BG102" s="920">
        <v>1</v>
      </c>
      <c r="BH102" s="920">
        <v>0</v>
      </c>
      <c r="BI102" s="921">
        <v>0</v>
      </c>
      <c r="BJ102" s="920">
        <v>0</v>
      </c>
      <c r="BK102" s="920">
        <v>0</v>
      </c>
      <c r="BL102" s="920">
        <v>1</v>
      </c>
      <c r="BM102" s="921">
        <v>0</v>
      </c>
      <c r="BN102" s="958">
        <v>0</v>
      </c>
      <c r="BO102" s="959">
        <v>18</v>
      </c>
      <c r="BP102">
        <f t="shared" ca="1" si="115"/>
        <v>102.96</v>
      </c>
      <c r="BQ102">
        <f t="shared" ca="1" si="116"/>
        <v>174.94399999999999</v>
      </c>
      <c r="BR102">
        <f t="shared" ca="1" si="117"/>
        <v>37.440000000000005</v>
      </c>
      <c r="BS102">
        <f t="shared" ca="1" si="118"/>
        <v>112.95</v>
      </c>
      <c r="BT102">
        <f t="shared" ca="1" si="119"/>
        <v>34.32</v>
      </c>
      <c r="BU102">
        <f t="shared" ca="1" si="120"/>
        <v>7</v>
      </c>
      <c r="BV102">
        <f t="shared" ca="1" si="121"/>
        <v>4.3</v>
      </c>
      <c r="BW102" s="1018">
        <v>0</v>
      </c>
      <c r="BX102">
        <f t="shared" ca="1" si="111"/>
        <v>11.351187468418397</v>
      </c>
      <c r="BY102">
        <f t="shared" ca="1" si="112"/>
        <v>254.61921202274573</v>
      </c>
      <c r="BZ102">
        <f t="shared" ca="1" si="94"/>
        <v>37.76262239729882</v>
      </c>
      <c r="CA102">
        <f t="shared" ca="1" si="95"/>
        <v>13.999999994400001</v>
      </c>
      <c r="CB102">
        <f t="shared" ca="1" si="113"/>
        <v>9.0267175572519083</v>
      </c>
      <c r="CC102" s="1018">
        <f t="shared" si="96"/>
        <v>0</v>
      </c>
      <c r="CD102" s="1018">
        <f t="shared" ca="1" si="125"/>
        <v>326.75973944011486</v>
      </c>
      <c r="CE102" s="1018">
        <f t="shared" ca="1" si="126"/>
        <v>118.24810168778664</v>
      </c>
      <c r="CF102">
        <f t="shared" ca="1" si="97"/>
        <v>13.350235233837044</v>
      </c>
      <c r="CG102">
        <f t="shared" ca="1" si="98"/>
        <v>22227.607654929325</v>
      </c>
    </row>
    <row r="103" spans="4:85" x14ac:dyDescent="0.25">
      <c r="D103" s="1"/>
      <c r="F103" s="1"/>
      <c r="G103" s="3"/>
      <c r="H103" s="6"/>
      <c r="I103" s="3"/>
      <c r="J103" s="6" t="s">
        <v>190</v>
      </c>
      <c r="K103" s="8"/>
      <c r="L103" s="6"/>
      <c r="M103" s="1"/>
      <c r="N103" s="1"/>
      <c r="O103" s="1"/>
      <c r="P103" s="1"/>
      <c r="Q103" s="1" t="s">
        <v>22</v>
      </c>
      <c r="R103" s="4"/>
      <c r="S103" s="1"/>
      <c r="T103" s="77"/>
      <c r="U103" s="294"/>
      <c r="X103" s="176">
        <f t="shared" si="122"/>
        <v>0</v>
      </c>
      <c r="Y103" s="34">
        <f>X103/Calculation_sheet!M$67</f>
        <v>0</v>
      </c>
      <c r="Z103" s="176">
        <f ca="1">IF(AN103&gt;0,Y103*Calculation_sheet!C$87,0)</f>
        <v>0</v>
      </c>
      <c r="AA103" s="176">
        <f t="shared" ca="1" si="123"/>
        <v>0</v>
      </c>
      <c r="AB103" s="176">
        <f ca="1">IF(AP103&gt;0,AA103*Calculation_sheet!C$94,0)</f>
        <v>0</v>
      </c>
      <c r="AC103" s="176">
        <f t="shared" ca="1" si="114"/>
        <v>0</v>
      </c>
      <c r="AD103" s="958">
        <f ca="1">AC103*Calculation_sheet!C$99</f>
        <v>0</v>
      </c>
      <c r="AE103" s="176">
        <f t="shared" ca="1" si="114"/>
        <v>0</v>
      </c>
      <c r="AF103" s="176">
        <f t="shared" ca="1" si="124"/>
        <v>0</v>
      </c>
      <c r="AG103" s="958">
        <f ca="1">AF103*User_sheet!B$77/100</f>
        <v>0</v>
      </c>
      <c r="AH103" s="313"/>
      <c r="AI103" s="908">
        <v>201</v>
      </c>
      <c r="AJ103" s="313"/>
      <c r="AK103" s="1020">
        <f t="shared" ca="1" si="93"/>
        <v>326.75973944011486</v>
      </c>
      <c r="AL103" s="954">
        <f ca="1">AK103/'201'!I$24</f>
        <v>1.704270272988655</v>
      </c>
      <c r="AM103" s="954">
        <f ca="1">0.8*(AK103*30+'201'!D$17*0.34*30*1)</f>
        <v>9932.4340665627569</v>
      </c>
      <c r="AN103" s="954">
        <f ca="1">IF(AM103&lt;User_sheet!B$50,Y103,0)</f>
        <v>0</v>
      </c>
      <c r="AO103" s="954">
        <f ca="1">20-(User_sheet!B$57/(AK103+'201'!D$17*1*0.34))</f>
        <v>6.2269410415183994</v>
      </c>
      <c r="AP103" s="954">
        <f ca="1">IF(AO103&lt;User_sheet!B$59,0,BC103*AA103)</f>
        <v>0</v>
      </c>
      <c r="AQ103" s="313"/>
      <c r="AR103" s="909">
        <v>0.32</v>
      </c>
      <c r="AS103" s="909">
        <v>3.7</v>
      </c>
      <c r="AT103" s="909">
        <v>7.9</v>
      </c>
      <c r="AU103" s="909">
        <v>2</v>
      </c>
      <c r="AV103" s="909">
        <v>3.3</v>
      </c>
      <c r="AW103" s="909">
        <v>14356</v>
      </c>
      <c r="AX103" s="909">
        <v>76466.30421774846</v>
      </c>
      <c r="AY103" s="909">
        <v>67352.647733737584</v>
      </c>
      <c r="AZ103" s="917">
        <v>0</v>
      </c>
      <c r="BA103" s="917">
        <v>0</v>
      </c>
      <c r="BB103" s="909">
        <v>0.6</v>
      </c>
      <c r="BC103" s="919">
        <v>0</v>
      </c>
      <c r="BD103" s="920">
        <v>1</v>
      </c>
      <c r="BE103" s="920">
        <v>0</v>
      </c>
      <c r="BF103" s="921">
        <v>0</v>
      </c>
      <c r="BG103" s="920">
        <v>0</v>
      </c>
      <c r="BH103" s="920">
        <v>1</v>
      </c>
      <c r="BI103" s="921">
        <v>0</v>
      </c>
      <c r="BJ103" s="920">
        <v>0</v>
      </c>
      <c r="BK103" s="920">
        <v>1</v>
      </c>
      <c r="BL103" s="920">
        <v>0</v>
      </c>
      <c r="BM103" s="921">
        <v>0</v>
      </c>
      <c r="BN103" s="958">
        <v>0</v>
      </c>
      <c r="BO103" s="959">
        <v>18</v>
      </c>
      <c r="BP103">
        <f t="shared" ca="1" si="115"/>
        <v>102.96</v>
      </c>
      <c r="BQ103">
        <f t="shared" ca="1" si="116"/>
        <v>174.94399999999999</v>
      </c>
      <c r="BR103">
        <f t="shared" ca="1" si="117"/>
        <v>37.440000000000005</v>
      </c>
      <c r="BS103">
        <f t="shared" ca="1" si="118"/>
        <v>112.95</v>
      </c>
      <c r="BT103">
        <f t="shared" ca="1" si="119"/>
        <v>34.32</v>
      </c>
      <c r="BU103">
        <f t="shared" ca="1" si="120"/>
        <v>7</v>
      </c>
      <c r="BV103">
        <f t="shared" ca="1" si="121"/>
        <v>4.3</v>
      </c>
      <c r="BW103" s="1018">
        <v>0</v>
      </c>
      <c r="BX103">
        <f t="shared" ca="1" si="111"/>
        <v>11.351187468418397</v>
      </c>
      <c r="BY103">
        <f t="shared" ca="1" si="112"/>
        <v>254.61921202274573</v>
      </c>
      <c r="BZ103">
        <f t="shared" ca="1" si="94"/>
        <v>37.76262239729882</v>
      </c>
      <c r="CA103">
        <f t="shared" ca="1" si="95"/>
        <v>13.999999994400001</v>
      </c>
      <c r="CB103">
        <f t="shared" ca="1" si="113"/>
        <v>9.0267175572519083</v>
      </c>
      <c r="CC103" s="1018">
        <f t="shared" si="96"/>
        <v>0</v>
      </c>
      <c r="CD103" s="1018">
        <f t="shared" ca="1" si="125"/>
        <v>326.75973944011486</v>
      </c>
      <c r="CE103" s="1018">
        <f t="shared" ca="1" si="126"/>
        <v>118.24810168778664</v>
      </c>
      <c r="CF103">
        <f t="shared" ca="1" si="97"/>
        <v>13.350235233837044</v>
      </c>
      <c r="CG103">
        <f t="shared" ca="1" si="98"/>
        <v>22227.607654929325</v>
      </c>
    </row>
    <row r="104" spans="4:85" x14ac:dyDescent="0.25">
      <c r="D104" s="1"/>
      <c r="F104" s="1"/>
      <c r="G104" s="3"/>
      <c r="H104" s="6"/>
      <c r="I104" s="3"/>
      <c r="J104" s="6"/>
      <c r="K104" s="8"/>
      <c r="L104" s="6"/>
      <c r="M104" s="1" t="s">
        <v>22</v>
      </c>
      <c r="N104" s="4"/>
      <c r="O104" s="1" t="s">
        <v>20</v>
      </c>
      <c r="P104" s="4"/>
      <c r="Q104" s="1" t="s">
        <v>7</v>
      </c>
      <c r="R104" s="4"/>
      <c r="S104" s="1"/>
      <c r="T104" s="77"/>
      <c r="U104" s="294"/>
      <c r="X104" s="176">
        <f t="shared" si="122"/>
        <v>0</v>
      </c>
      <c r="Y104" s="34">
        <f>X104/Calculation_sheet!M$67</f>
        <v>0</v>
      </c>
      <c r="Z104" s="176">
        <f ca="1">IF(AN104&gt;0,Y104*Calculation_sheet!C$87,0)</f>
        <v>0</v>
      </c>
      <c r="AA104" s="176">
        <f t="shared" ca="1" si="123"/>
        <v>0</v>
      </c>
      <c r="AB104" s="176">
        <f ca="1">IF(AP104&gt;0,AA104*Calculation_sheet!C$94,0)</f>
        <v>0</v>
      </c>
      <c r="AC104" s="176">
        <f t="shared" ca="1" si="114"/>
        <v>0</v>
      </c>
      <c r="AD104" s="958">
        <f ca="1">AC104*Calculation_sheet!C$99</f>
        <v>0</v>
      </c>
      <c r="AE104" s="176">
        <f t="shared" ca="1" si="114"/>
        <v>0</v>
      </c>
      <c r="AF104" s="176">
        <f t="shared" ca="1" si="124"/>
        <v>0</v>
      </c>
      <c r="AG104" s="958">
        <f ca="1">AF104*User_sheet!B$77/100</f>
        <v>0</v>
      </c>
      <c r="AH104" s="313"/>
      <c r="AI104" s="908">
        <v>201</v>
      </c>
      <c r="AJ104" s="313"/>
      <c r="AK104" s="1020">
        <f t="shared" ca="1" si="93"/>
        <v>326.75973944011486</v>
      </c>
      <c r="AL104" s="954">
        <f ca="1">AK104/'201'!I$24</f>
        <v>1.704270272988655</v>
      </c>
      <c r="AM104" s="954">
        <f ca="1">0.8*(AK104*30+'201'!D$17*0.34*30*1)</f>
        <v>9932.4340665627569</v>
      </c>
      <c r="AN104" s="954">
        <f ca="1">IF(AM104&lt;User_sheet!B$50,Y104,0)</f>
        <v>0</v>
      </c>
      <c r="AO104" s="954">
        <f ca="1">20-(User_sheet!B$57/(AK104+'201'!D$17*1*0.34))</f>
        <v>6.2269410415183994</v>
      </c>
      <c r="AP104" s="954">
        <f ca="1">IF(AO104&lt;User_sheet!B$59,0,BC104*AA104)</f>
        <v>0</v>
      </c>
      <c r="AQ104" s="313"/>
      <c r="AR104" s="909">
        <v>0.32</v>
      </c>
      <c r="AS104" s="909">
        <v>3.7</v>
      </c>
      <c r="AT104" s="909">
        <v>7.9</v>
      </c>
      <c r="AU104" s="909">
        <v>2</v>
      </c>
      <c r="AV104" s="909">
        <v>3.3</v>
      </c>
      <c r="AW104" s="909">
        <v>14356</v>
      </c>
      <c r="AX104" s="909">
        <v>76466.30421774846</v>
      </c>
      <c r="AY104" s="909">
        <v>67352.647733737584</v>
      </c>
      <c r="AZ104" s="917">
        <v>0</v>
      </c>
      <c r="BA104" s="917">
        <v>0</v>
      </c>
      <c r="BB104" s="909">
        <v>0.6</v>
      </c>
      <c r="BC104" s="919">
        <v>0</v>
      </c>
      <c r="BD104" s="920">
        <v>1</v>
      </c>
      <c r="BE104" s="920">
        <v>0</v>
      </c>
      <c r="BF104" s="921">
        <v>0</v>
      </c>
      <c r="BG104" s="920">
        <v>0</v>
      </c>
      <c r="BH104" s="920">
        <v>1</v>
      </c>
      <c r="BI104" s="921">
        <v>0</v>
      </c>
      <c r="BJ104" s="920">
        <v>0</v>
      </c>
      <c r="BK104" s="920">
        <v>0</v>
      </c>
      <c r="BL104" s="920">
        <v>1</v>
      </c>
      <c r="BM104" s="921">
        <v>0</v>
      </c>
      <c r="BN104" s="958">
        <v>0</v>
      </c>
      <c r="BO104" s="959">
        <v>18</v>
      </c>
      <c r="BP104">
        <f t="shared" ca="1" si="115"/>
        <v>102.96</v>
      </c>
      <c r="BQ104">
        <f t="shared" ca="1" si="116"/>
        <v>174.94399999999999</v>
      </c>
      <c r="BR104">
        <f t="shared" ca="1" si="117"/>
        <v>37.440000000000005</v>
      </c>
      <c r="BS104">
        <f t="shared" ca="1" si="118"/>
        <v>112.95</v>
      </c>
      <c r="BT104">
        <f t="shared" ca="1" si="119"/>
        <v>34.32</v>
      </c>
      <c r="BU104">
        <f t="shared" ca="1" si="120"/>
        <v>7</v>
      </c>
      <c r="BV104">
        <f t="shared" ca="1" si="121"/>
        <v>4.3</v>
      </c>
      <c r="BW104" s="1018">
        <v>0</v>
      </c>
      <c r="BX104">
        <f t="shared" ca="1" si="111"/>
        <v>11.351187468418397</v>
      </c>
      <c r="BY104">
        <f t="shared" ca="1" si="112"/>
        <v>254.61921202274573</v>
      </c>
      <c r="BZ104">
        <f t="shared" ca="1" si="94"/>
        <v>37.76262239729882</v>
      </c>
      <c r="CA104">
        <f t="shared" ca="1" si="95"/>
        <v>13.999999994400001</v>
      </c>
      <c r="CB104">
        <f t="shared" ca="1" si="113"/>
        <v>9.0267175572519083</v>
      </c>
      <c r="CC104" s="1018">
        <f t="shared" si="96"/>
        <v>0</v>
      </c>
      <c r="CD104" s="1018">
        <f t="shared" ca="1" si="125"/>
        <v>326.75973944011486</v>
      </c>
      <c r="CE104" s="1018">
        <f t="shared" ca="1" si="126"/>
        <v>118.24810168778664</v>
      </c>
      <c r="CF104">
        <f t="shared" ca="1" si="97"/>
        <v>13.350235233837044</v>
      </c>
      <c r="CG104">
        <f t="shared" ca="1" si="98"/>
        <v>22227.607654929325</v>
      </c>
    </row>
    <row r="105" spans="4:85" x14ac:dyDescent="0.25">
      <c r="D105" s="1"/>
      <c r="F105" s="1"/>
      <c r="G105" s="3"/>
      <c r="H105" s="6"/>
      <c r="I105" s="3"/>
      <c r="J105" s="6"/>
      <c r="K105" s="8"/>
      <c r="L105" s="6"/>
      <c r="M105" s="1" t="s">
        <v>7</v>
      </c>
      <c r="N105" s="4"/>
      <c r="O105" s="1" t="s">
        <v>23</v>
      </c>
      <c r="P105" s="4"/>
      <c r="Q105" s="1" t="s">
        <v>7</v>
      </c>
      <c r="R105" s="4"/>
      <c r="S105" s="1"/>
      <c r="T105" s="77"/>
      <c r="U105" s="294"/>
      <c r="X105" s="176">
        <f t="shared" si="122"/>
        <v>0</v>
      </c>
      <c r="Y105" s="34">
        <f>X105/Calculation_sheet!M$67</f>
        <v>0</v>
      </c>
      <c r="Z105" s="176">
        <f ca="1">IF(AN105&gt;0,Y105*Calculation_sheet!C$87,0)</f>
        <v>0</v>
      </c>
      <c r="AA105" s="176">
        <f t="shared" ca="1" si="123"/>
        <v>0</v>
      </c>
      <c r="AB105" s="176">
        <f ca="1">IF(AP105&gt;0,AA105*Calculation_sheet!C$94,0)</f>
        <v>0</v>
      </c>
      <c r="AC105" s="176">
        <f t="shared" ca="1" si="114"/>
        <v>0</v>
      </c>
      <c r="AD105" s="958">
        <f ca="1">AC105*Calculation_sheet!C$99</f>
        <v>0</v>
      </c>
      <c r="AE105" s="176">
        <f t="shared" ca="1" si="114"/>
        <v>0</v>
      </c>
      <c r="AF105" s="176">
        <f t="shared" ca="1" si="124"/>
        <v>0</v>
      </c>
      <c r="AG105" s="958">
        <f ca="1">AF105*User_sheet!B$77/100</f>
        <v>0</v>
      </c>
      <c r="AH105" s="313"/>
      <c r="AI105" s="908">
        <v>201</v>
      </c>
      <c r="AJ105" s="313"/>
      <c r="AK105" s="1020">
        <f t="shared" ca="1" si="93"/>
        <v>326.75973944011486</v>
      </c>
      <c r="AL105" s="954">
        <f ca="1">AK105/'201'!I$24</f>
        <v>1.704270272988655</v>
      </c>
      <c r="AM105" s="954">
        <f ca="1">0.8*(AK105*30+'201'!D$17*0.34*30*1)</f>
        <v>9932.4340665627569</v>
      </c>
      <c r="AN105" s="954">
        <f ca="1">IF(AM105&lt;User_sheet!B$50,Y105,0)</f>
        <v>0</v>
      </c>
      <c r="AO105" s="954">
        <f ca="1">20-(User_sheet!B$57/(AK105+'201'!D$17*1*0.34))</f>
        <v>6.2269410415183994</v>
      </c>
      <c r="AP105" s="954">
        <f ca="1">IF(AO105&lt;User_sheet!B$59,0,BC105*AA105)</f>
        <v>0</v>
      </c>
      <c r="AQ105" s="313"/>
      <c r="AR105" s="909">
        <v>0.32</v>
      </c>
      <c r="AS105" s="909">
        <v>3.7</v>
      </c>
      <c r="AT105" s="909">
        <v>7.9</v>
      </c>
      <c r="AU105" s="909">
        <v>2</v>
      </c>
      <c r="AV105" s="909">
        <v>3.3</v>
      </c>
      <c r="AW105" s="909">
        <v>14356</v>
      </c>
      <c r="AX105" s="909">
        <v>76466.30421774846</v>
      </c>
      <c r="AY105" s="909">
        <v>67352.647733737584</v>
      </c>
      <c r="AZ105" s="917">
        <v>0</v>
      </c>
      <c r="BA105" s="917">
        <v>0</v>
      </c>
      <c r="BB105" s="909">
        <v>0.6</v>
      </c>
      <c r="BC105" s="919">
        <v>0</v>
      </c>
      <c r="BD105" s="920">
        <v>0</v>
      </c>
      <c r="BE105" s="920">
        <v>1</v>
      </c>
      <c r="BF105" s="921">
        <v>0</v>
      </c>
      <c r="BG105" s="920">
        <v>0</v>
      </c>
      <c r="BH105" s="920">
        <v>0</v>
      </c>
      <c r="BI105" s="921">
        <v>1</v>
      </c>
      <c r="BJ105" s="920">
        <v>0</v>
      </c>
      <c r="BK105" s="920">
        <v>0</v>
      </c>
      <c r="BL105" s="920">
        <v>1</v>
      </c>
      <c r="BM105" s="921">
        <v>0</v>
      </c>
      <c r="BN105" s="958">
        <v>0</v>
      </c>
      <c r="BO105" s="959">
        <v>18</v>
      </c>
      <c r="BP105">
        <f t="shared" ca="1" si="115"/>
        <v>102.96</v>
      </c>
      <c r="BQ105">
        <f t="shared" ca="1" si="116"/>
        <v>174.94399999999999</v>
      </c>
      <c r="BR105">
        <f t="shared" ca="1" si="117"/>
        <v>37.440000000000005</v>
      </c>
      <c r="BS105">
        <f t="shared" ca="1" si="118"/>
        <v>112.95</v>
      </c>
      <c r="BT105">
        <f t="shared" ca="1" si="119"/>
        <v>34.32</v>
      </c>
      <c r="BU105">
        <f t="shared" ca="1" si="120"/>
        <v>7</v>
      </c>
      <c r="BV105">
        <f t="shared" ca="1" si="121"/>
        <v>4.3</v>
      </c>
      <c r="BW105" s="1018">
        <v>0</v>
      </c>
      <c r="BX105">
        <f t="shared" ca="1" si="111"/>
        <v>11.351187468418397</v>
      </c>
      <c r="BY105">
        <f t="shared" ca="1" si="112"/>
        <v>254.61921202274573</v>
      </c>
      <c r="BZ105">
        <f t="shared" ca="1" si="94"/>
        <v>37.76262239729882</v>
      </c>
      <c r="CA105">
        <f t="shared" ca="1" si="95"/>
        <v>13.999999994400001</v>
      </c>
      <c r="CB105">
        <f t="shared" ca="1" si="113"/>
        <v>9.0267175572519083</v>
      </c>
      <c r="CC105" s="1018">
        <f t="shared" si="96"/>
        <v>0</v>
      </c>
      <c r="CD105" s="1018">
        <f t="shared" ca="1" si="125"/>
        <v>326.75973944011486</v>
      </c>
      <c r="CE105" s="1018">
        <f t="shared" ca="1" si="126"/>
        <v>118.24810168778664</v>
      </c>
      <c r="CF105">
        <f t="shared" ca="1" si="97"/>
        <v>13.350235233837044</v>
      </c>
      <c r="CG105">
        <f t="shared" ca="1" si="98"/>
        <v>22227.607654929325</v>
      </c>
    </row>
    <row r="106" spans="4:85" x14ac:dyDescent="0.25">
      <c r="D106" s="1"/>
      <c r="F106" s="1"/>
      <c r="G106" s="3"/>
      <c r="H106" s="6"/>
      <c r="I106" s="3"/>
      <c r="J106" s="6"/>
      <c r="K106" s="8"/>
      <c r="L106" s="6"/>
      <c r="M106" s="1"/>
      <c r="N106" s="1"/>
      <c r="O106" s="1" t="s">
        <v>18</v>
      </c>
      <c r="P106" s="4"/>
      <c r="Q106" s="1" t="s">
        <v>17</v>
      </c>
      <c r="R106" s="4"/>
      <c r="S106" s="1"/>
      <c r="T106" s="77"/>
      <c r="U106" s="294"/>
      <c r="X106" s="176">
        <f t="shared" si="122"/>
        <v>0</v>
      </c>
      <c r="Y106" s="34">
        <f>X106/Calculation_sheet!M$67</f>
        <v>0</v>
      </c>
      <c r="Z106" s="176">
        <f ca="1">IF(AN106&gt;0,Y106*Calculation_sheet!C$87,0)</f>
        <v>0</v>
      </c>
      <c r="AA106" s="176">
        <f t="shared" ca="1" si="123"/>
        <v>0</v>
      </c>
      <c r="AB106" s="176">
        <f ca="1">IF(AP106&gt;0,AA106*Calculation_sheet!C$94,0)</f>
        <v>0</v>
      </c>
      <c r="AC106" s="176">
        <f t="shared" ca="1" si="114"/>
        <v>0</v>
      </c>
      <c r="AD106" s="958">
        <f ca="1">AC106*Calculation_sheet!C$99</f>
        <v>0</v>
      </c>
      <c r="AE106" s="176">
        <f t="shared" ca="1" si="114"/>
        <v>0</v>
      </c>
      <c r="AF106" s="176">
        <f t="shared" ca="1" si="124"/>
        <v>0</v>
      </c>
      <c r="AG106" s="958">
        <f ca="1">AF106*User_sheet!B$77/100</f>
        <v>0</v>
      </c>
      <c r="AH106" s="313"/>
      <c r="AI106" s="908">
        <v>201</v>
      </c>
      <c r="AJ106" s="313"/>
      <c r="AK106" s="1020">
        <f t="shared" ca="1" si="93"/>
        <v>326.75973944011486</v>
      </c>
      <c r="AL106" s="954">
        <f ca="1">AK106/'201'!I$24</f>
        <v>1.704270272988655</v>
      </c>
      <c r="AM106" s="954">
        <f ca="1">0.8*(AK106*30+'201'!D$17*0.34*30*1)</f>
        <v>9932.4340665627569</v>
      </c>
      <c r="AN106" s="954">
        <f ca="1">IF(AM106&lt;User_sheet!B$50,Y106,0)</f>
        <v>0</v>
      </c>
      <c r="AO106" s="954">
        <f ca="1">20-(User_sheet!B$57/(AK106+'201'!D$17*1*0.34))</f>
        <v>6.2269410415183994</v>
      </c>
      <c r="AP106" s="954">
        <f ca="1">IF(AO106&lt;User_sheet!B$59,0,BC106*AA106)</f>
        <v>0</v>
      </c>
      <c r="AQ106" s="313"/>
      <c r="AR106" s="909">
        <v>0.32</v>
      </c>
      <c r="AS106" s="909">
        <v>3.7</v>
      </c>
      <c r="AT106" s="909">
        <v>7.9</v>
      </c>
      <c r="AU106" s="909">
        <v>2</v>
      </c>
      <c r="AV106" s="909">
        <v>3.3</v>
      </c>
      <c r="AW106" s="909">
        <v>14356</v>
      </c>
      <c r="AX106" s="909">
        <v>76466.30421774846</v>
      </c>
      <c r="AY106" s="909">
        <v>67352.647733737584</v>
      </c>
      <c r="AZ106" s="917">
        <v>0</v>
      </c>
      <c r="BA106" s="917">
        <v>0</v>
      </c>
      <c r="BB106" s="909">
        <v>0.6</v>
      </c>
      <c r="BC106" s="919">
        <v>0</v>
      </c>
      <c r="BD106" s="920">
        <v>0</v>
      </c>
      <c r="BE106" s="920">
        <v>0</v>
      </c>
      <c r="BF106" s="921">
        <v>1</v>
      </c>
      <c r="BG106" s="920">
        <v>1</v>
      </c>
      <c r="BH106" s="920">
        <v>0</v>
      </c>
      <c r="BI106" s="921">
        <v>0</v>
      </c>
      <c r="BJ106" s="920">
        <v>0</v>
      </c>
      <c r="BK106" s="920">
        <v>0</v>
      </c>
      <c r="BL106" s="920">
        <v>0</v>
      </c>
      <c r="BM106" s="921">
        <v>1</v>
      </c>
      <c r="BN106" s="958">
        <v>0</v>
      </c>
      <c r="BO106" s="959">
        <v>18</v>
      </c>
      <c r="BP106">
        <f t="shared" ca="1" si="115"/>
        <v>102.96</v>
      </c>
      <c r="BQ106">
        <f t="shared" ca="1" si="116"/>
        <v>174.94399999999999</v>
      </c>
      <c r="BR106">
        <f t="shared" ca="1" si="117"/>
        <v>37.440000000000005</v>
      </c>
      <c r="BS106">
        <f t="shared" ca="1" si="118"/>
        <v>112.95</v>
      </c>
      <c r="BT106">
        <f t="shared" ca="1" si="119"/>
        <v>34.32</v>
      </c>
      <c r="BU106">
        <f t="shared" ca="1" si="120"/>
        <v>7</v>
      </c>
      <c r="BV106">
        <f t="shared" ca="1" si="121"/>
        <v>4.3</v>
      </c>
      <c r="BW106" s="1018">
        <v>0</v>
      </c>
      <c r="BX106">
        <f t="shared" ca="1" si="111"/>
        <v>11.351187468418397</v>
      </c>
      <c r="BY106">
        <f t="shared" ca="1" si="112"/>
        <v>254.61921202274573</v>
      </c>
      <c r="BZ106">
        <f t="shared" ca="1" si="94"/>
        <v>37.76262239729882</v>
      </c>
      <c r="CA106">
        <f t="shared" ca="1" si="95"/>
        <v>13.999999994400001</v>
      </c>
      <c r="CB106">
        <f t="shared" ca="1" si="113"/>
        <v>9.0267175572519083</v>
      </c>
      <c r="CC106" s="1018">
        <f t="shared" si="96"/>
        <v>0</v>
      </c>
      <c r="CD106" s="1018">
        <f t="shared" ca="1" si="125"/>
        <v>326.75973944011486</v>
      </c>
      <c r="CE106" s="1018">
        <f t="shared" ca="1" si="126"/>
        <v>118.24810168778664</v>
      </c>
      <c r="CF106">
        <f t="shared" ca="1" si="97"/>
        <v>13.350235233837044</v>
      </c>
      <c r="CG106">
        <f t="shared" ca="1" si="98"/>
        <v>22227.607654929325</v>
      </c>
    </row>
    <row r="107" spans="4:85" x14ac:dyDescent="0.25">
      <c r="D107" s="1"/>
      <c r="F107" s="1"/>
      <c r="G107" s="3"/>
      <c r="H107" s="6"/>
      <c r="I107" s="3"/>
      <c r="J107" s="6"/>
      <c r="K107" s="8"/>
      <c r="L107" s="6"/>
      <c r="M107" s="1" t="s">
        <v>17</v>
      </c>
      <c r="N107" s="4"/>
      <c r="O107" s="1" t="s">
        <v>19</v>
      </c>
      <c r="P107" s="4"/>
      <c r="Q107" s="1" t="s">
        <v>17</v>
      </c>
      <c r="R107" s="4"/>
      <c r="S107" s="1"/>
      <c r="T107" s="77"/>
      <c r="U107" s="294"/>
      <c r="X107" s="176">
        <f t="shared" si="122"/>
        <v>0</v>
      </c>
      <c r="Y107" s="34">
        <f>X107/Calculation_sheet!M$67</f>
        <v>0</v>
      </c>
      <c r="Z107" s="176">
        <f ca="1">IF(AN107&gt;0,Y107*Calculation_sheet!C$87,0)</f>
        <v>0</v>
      </c>
      <c r="AA107" s="176">
        <f t="shared" ca="1" si="123"/>
        <v>0</v>
      </c>
      <c r="AB107" s="176">
        <f ca="1">IF(AP107&gt;0,AA107*Calculation_sheet!C$94,0)</f>
        <v>0</v>
      </c>
      <c r="AC107" s="176">
        <f t="shared" ca="1" si="114"/>
        <v>0</v>
      </c>
      <c r="AD107" s="958">
        <f ca="1">AC107*Calculation_sheet!C$99</f>
        <v>0</v>
      </c>
      <c r="AE107" s="176">
        <f t="shared" ca="1" si="114"/>
        <v>0</v>
      </c>
      <c r="AF107" s="176">
        <f t="shared" ca="1" si="124"/>
        <v>0</v>
      </c>
      <c r="AG107" s="958">
        <f ca="1">AF107*User_sheet!B$77/100</f>
        <v>0</v>
      </c>
      <c r="AH107" s="313"/>
      <c r="AI107" s="908">
        <v>201</v>
      </c>
      <c r="AJ107" s="313"/>
      <c r="AK107" s="1020">
        <f t="shared" ca="1" si="93"/>
        <v>326.75973944011486</v>
      </c>
      <c r="AL107" s="954">
        <f ca="1">AK107/'201'!I$24</f>
        <v>1.704270272988655</v>
      </c>
      <c r="AM107" s="954">
        <f ca="1">0.8*(AK107*30+'201'!D$17*0.34*30*1)</f>
        <v>9932.4340665627569</v>
      </c>
      <c r="AN107" s="954">
        <f ca="1">IF(AM107&lt;User_sheet!B$50,Y107,0)</f>
        <v>0</v>
      </c>
      <c r="AO107" s="954">
        <f ca="1">20-(User_sheet!B$57/(AK107+'201'!D$17*1*0.34))</f>
        <v>6.2269410415183994</v>
      </c>
      <c r="AP107" s="954">
        <f ca="1">IF(AO107&lt;User_sheet!B$59,0,BC107*AA107)</f>
        <v>0</v>
      </c>
      <c r="AQ107" s="313"/>
      <c r="AR107" s="909">
        <v>0.32</v>
      </c>
      <c r="AS107" s="909">
        <v>3.7</v>
      </c>
      <c r="AT107" s="909">
        <v>7.9</v>
      </c>
      <c r="AU107" s="909">
        <v>2</v>
      </c>
      <c r="AV107" s="909">
        <v>3.3</v>
      </c>
      <c r="AW107" s="909">
        <v>14356</v>
      </c>
      <c r="AX107" s="909">
        <v>76466.30421774846</v>
      </c>
      <c r="AY107" s="909">
        <v>67352.647733737584</v>
      </c>
      <c r="AZ107" s="917">
        <v>0</v>
      </c>
      <c r="BA107" s="917">
        <v>0</v>
      </c>
      <c r="BB107" s="909">
        <v>0.6</v>
      </c>
      <c r="BC107" s="919">
        <v>0</v>
      </c>
      <c r="BD107" s="920">
        <v>0</v>
      </c>
      <c r="BE107" s="920">
        <v>0</v>
      </c>
      <c r="BF107" s="921">
        <v>1</v>
      </c>
      <c r="BG107" s="920">
        <v>0</v>
      </c>
      <c r="BH107" s="920">
        <v>1</v>
      </c>
      <c r="BI107" s="921">
        <v>0</v>
      </c>
      <c r="BJ107" s="920">
        <v>0</v>
      </c>
      <c r="BK107" s="920">
        <v>0</v>
      </c>
      <c r="BL107" s="920">
        <v>0</v>
      </c>
      <c r="BM107" s="921">
        <v>1</v>
      </c>
      <c r="BN107" s="958">
        <v>0</v>
      </c>
      <c r="BO107" s="959">
        <v>18</v>
      </c>
      <c r="BP107">
        <f t="shared" ca="1" si="115"/>
        <v>102.96</v>
      </c>
      <c r="BQ107">
        <f t="shared" ca="1" si="116"/>
        <v>174.94399999999999</v>
      </c>
      <c r="BR107">
        <f t="shared" ca="1" si="117"/>
        <v>37.440000000000005</v>
      </c>
      <c r="BS107">
        <f t="shared" ca="1" si="118"/>
        <v>112.95</v>
      </c>
      <c r="BT107">
        <f t="shared" ca="1" si="119"/>
        <v>34.32</v>
      </c>
      <c r="BU107">
        <f t="shared" ca="1" si="120"/>
        <v>7</v>
      </c>
      <c r="BV107">
        <f t="shared" ca="1" si="121"/>
        <v>4.3</v>
      </c>
      <c r="BW107" s="1018">
        <v>0</v>
      </c>
      <c r="BX107">
        <f t="shared" ca="1" si="111"/>
        <v>11.351187468418397</v>
      </c>
      <c r="BY107">
        <f t="shared" ca="1" si="112"/>
        <v>254.61921202274573</v>
      </c>
      <c r="BZ107">
        <f t="shared" ca="1" si="94"/>
        <v>37.76262239729882</v>
      </c>
      <c r="CA107">
        <f t="shared" ca="1" si="95"/>
        <v>13.999999994400001</v>
      </c>
      <c r="CB107">
        <f t="shared" ca="1" si="113"/>
        <v>9.0267175572519083</v>
      </c>
      <c r="CC107" s="1018">
        <f t="shared" si="96"/>
        <v>0</v>
      </c>
      <c r="CD107" s="1018">
        <f t="shared" ca="1" si="125"/>
        <v>326.75973944011486</v>
      </c>
      <c r="CE107" s="1018">
        <f t="shared" ca="1" si="126"/>
        <v>118.24810168778664</v>
      </c>
      <c r="CF107">
        <f t="shared" ca="1" si="97"/>
        <v>13.350235233837044</v>
      </c>
      <c r="CG107">
        <f t="shared" ca="1" si="98"/>
        <v>22227.607654929325</v>
      </c>
    </row>
    <row r="108" spans="4:85" s="14" customFormat="1" x14ac:dyDescent="0.25">
      <c r="D108" s="15"/>
      <c r="F108" s="15"/>
      <c r="H108" s="15"/>
      <c r="J108" s="15"/>
      <c r="K108" s="16"/>
      <c r="L108" s="15"/>
      <c r="M108" s="15"/>
      <c r="N108" s="15"/>
      <c r="O108" s="15"/>
      <c r="P108" s="15"/>
      <c r="Q108" s="15"/>
      <c r="R108" s="15"/>
      <c r="S108" s="15"/>
      <c r="T108" s="80"/>
      <c r="V108" s="292"/>
      <c r="W108" s="292"/>
      <c r="X108" s="292"/>
      <c r="Y108" s="277"/>
      <c r="Z108" s="292"/>
      <c r="AA108" s="292"/>
      <c r="AB108" s="292"/>
      <c r="AC108" s="292"/>
      <c r="AD108" s="277"/>
      <c r="AE108" s="292"/>
      <c r="AF108" s="292"/>
      <c r="AG108" s="277"/>
      <c r="AH108" s="313"/>
      <c r="AI108" s="913"/>
      <c r="AJ108" s="313"/>
      <c r="AK108" s="1020">
        <f t="shared" si="93"/>
        <v>0</v>
      </c>
      <c r="AL108" s="941"/>
      <c r="AM108" s="941"/>
      <c r="AN108" s="986"/>
      <c r="AO108" s="986"/>
      <c r="AP108" s="986"/>
      <c r="AQ108" s="313"/>
      <c r="AR108" s="918"/>
      <c r="AS108" s="918"/>
      <c r="AT108" s="918"/>
      <c r="AU108" s="918"/>
      <c r="AV108" s="918"/>
      <c r="AW108" s="918"/>
      <c r="AX108" s="918"/>
      <c r="AY108" s="918"/>
      <c r="AZ108" s="918"/>
      <c r="BA108" s="918"/>
      <c r="BB108" s="918"/>
      <c r="BC108" s="45"/>
      <c r="BD108" s="277"/>
      <c r="BE108" s="277"/>
      <c r="BF108" s="49"/>
      <c r="BG108" s="918"/>
      <c r="BH108" s="918"/>
      <c r="BI108" s="49"/>
      <c r="BJ108" s="918"/>
      <c r="BK108" s="918"/>
      <c r="BL108" s="918"/>
      <c r="BM108" s="49"/>
      <c r="BN108" s="277"/>
      <c r="BO108" s="49"/>
      <c r="BW108" s="928"/>
      <c r="CC108" s="928"/>
      <c r="CD108" s="928"/>
      <c r="CE108" s="928"/>
    </row>
    <row r="109" spans="4:85" x14ac:dyDescent="0.25">
      <c r="D109" s="511"/>
      <c r="E109" s="510"/>
      <c r="F109" s="511"/>
      <c r="G109" s="510"/>
      <c r="H109" s="511"/>
      <c r="I109" s="510"/>
      <c r="J109" s="511"/>
      <c r="K109" s="513"/>
      <c r="L109" s="515"/>
      <c r="M109" s="511"/>
      <c r="N109" s="511"/>
      <c r="O109" s="511"/>
      <c r="P109" s="511"/>
      <c r="Q109" s="511" t="s">
        <v>16</v>
      </c>
      <c r="R109" s="512">
        <v>0.73860000000000003</v>
      </c>
      <c r="S109" s="511"/>
      <c r="T109" s="520">
        <v>4.0936225854358785E-3</v>
      </c>
      <c r="U109" s="510"/>
      <c r="V109" s="176">
        <f>T109-T109*Calculation_sheet!F$58</f>
        <v>4.0936225854358785E-3</v>
      </c>
      <c r="W109" s="176">
        <f>V109-V109*Calculation_sheet!E$66</f>
        <v>4.0936225854358785E-3</v>
      </c>
      <c r="X109" s="176">
        <f>W109-W109*Calculation_sheet!E$76</f>
        <v>4.0936225854358785E-3</v>
      </c>
      <c r="Y109" s="34">
        <f>X109/Calculation_sheet!M$67</f>
        <v>4.0937062853980272E-3</v>
      </c>
      <c r="Z109" s="176">
        <f ca="1">IF(AN109&gt;0,Y109*Calculation_sheet!C$87,0)</f>
        <v>0</v>
      </c>
      <c r="AA109" s="176">
        <f ca="1">Y109-Z109</f>
        <v>4.0937062853980272E-3</v>
      </c>
      <c r="AB109" s="176">
        <f ca="1">IF(AP109&gt;0,AA109*Calculation_sheet!C$94,0)</f>
        <v>0</v>
      </c>
      <c r="AC109" s="176">
        <f t="shared" ref="AC109:AE119" ca="1" si="127">AA109-AB109</f>
        <v>4.0937062853980272E-3</v>
      </c>
      <c r="AD109" s="958">
        <f ca="1">AC109*Calculation_sheet!C$99</f>
        <v>2.4562237712388163E-3</v>
      </c>
      <c r="AE109" s="176">
        <f t="shared" ca="1" si="127"/>
        <v>1.6374825141592109E-3</v>
      </c>
      <c r="AF109" s="176">
        <f ca="1">Y109-AB109</f>
        <v>4.0937062853980272E-3</v>
      </c>
      <c r="AG109" s="958">
        <f ca="1">AF109*User_sheet!B$77/100</f>
        <v>0</v>
      </c>
      <c r="AH109" s="313"/>
      <c r="AI109" s="908">
        <v>201</v>
      </c>
      <c r="AJ109" s="313"/>
      <c r="AK109" s="1020">
        <f t="shared" ca="1" si="93"/>
        <v>489.69078190745324</v>
      </c>
      <c r="AL109" s="954">
        <f ca="1">AK109/'201'!I$24</f>
        <v>2.5540644756034694</v>
      </c>
      <c r="AM109" s="954">
        <f ca="1">0.8*(AK109*30+'201'!D$17*0.34*30*1)</f>
        <v>13842.779085778879</v>
      </c>
      <c r="AN109" s="954">
        <f ca="1">IF(AM109&lt;User_sheet!B$50,Y109,0)</f>
        <v>0</v>
      </c>
      <c r="AO109" s="954">
        <f ca="1">20-(User_sheet!B$57/(AK109+'201'!D$17*1*0.34))</f>
        <v>10.117591333915099</v>
      </c>
      <c r="AP109" s="954">
        <f ca="1">IF(AO109&lt;User_sheet!B$59,0,BC109*AA109)</f>
        <v>4.0937062853980272E-3</v>
      </c>
      <c r="AQ109" s="313"/>
      <c r="AR109" s="909">
        <v>14.1</v>
      </c>
      <c r="AS109" s="909">
        <v>3.7</v>
      </c>
      <c r="AT109" s="909">
        <v>7.9</v>
      </c>
      <c r="AU109" s="909">
        <v>5</v>
      </c>
      <c r="AV109" s="909">
        <v>3.3</v>
      </c>
      <c r="AW109" s="909">
        <v>7211.5338771527777</v>
      </c>
      <c r="AX109" s="909">
        <v>76466.30421774846</v>
      </c>
      <c r="AY109" s="909">
        <v>67352.647733737584</v>
      </c>
      <c r="AZ109" s="909">
        <v>0</v>
      </c>
      <c r="BA109" s="909">
        <v>0</v>
      </c>
      <c r="BB109" s="909">
        <v>0.87</v>
      </c>
      <c r="BC109" s="919">
        <v>1</v>
      </c>
      <c r="BD109" s="920">
        <v>0</v>
      </c>
      <c r="BE109" s="920">
        <v>0</v>
      </c>
      <c r="BF109" s="921">
        <v>0</v>
      </c>
      <c r="BG109" s="909">
        <v>1</v>
      </c>
      <c r="BH109" s="909">
        <v>0</v>
      </c>
      <c r="BI109" s="921">
        <v>0</v>
      </c>
      <c r="BJ109" s="909">
        <v>1</v>
      </c>
      <c r="BK109" s="909">
        <v>0</v>
      </c>
      <c r="BL109" s="909">
        <v>0</v>
      </c>
      <c r="BM109" s="921">
        <v>0</v>
      </c>
      <c r="BN109" s="958">
        <v>0</v>
      </c>
      <c r="BO109" s="959">
        <v>18</v>
      </c>
      <c r="BP109">
        <f t="shared" ref="BP109:BP119" ca="1" si="128">INDIRECT("'"&amp;AI109&amp;"'!"&amp;"B2")</f>
        <v>102.96</v>
      </c>
      <c r="BQ109">
        <f t="shared" ref="BQ109:BQ119" ca="1" si="129">INDIRECT("'"&amp;AI109&amp;"'!"&amp;"C12")+INDIRECT("'"&amp;AI109&amp;"'!"&amp;"C13")+INDIRECT("'"&amp;AI109&amp;"'!"&amp;"C14")+INDIRECT("'"&amp;AI109&amp;"'!"&amp;"C15")+INDIRECT("'"&amp;AI109&amp;"'!"&amp;"C17")</f>
        <v>174.94399999999999</v>
      </c>
      <c r="BR109">
        <f t="shared" ref="BR109:BR119" ca="1" si="130">INDIRECT("'"&amp;AI109&amp;"'!"&amp;"G5")</f>
        <v>37.440000000000005</v>
      </c>
      <c r="BS109">
        <f t="shared" ref="BS109:BS119" ca="1" si="131">INDIRECT("'"&amp;AI109&amp;"'!"&amp;"G4")</f>
        <v>112.95</v>
      </c>
      <c r="BT109">
        <f t="shared" ref="BT109:BT119" ca="1" si="132">INDIRECT("'"&amp;AI109&amp;"'!"&amp;"G6")</f>
        <v>34.32</v>
      </c>
      <c r="BU109">
        <f t="shared" ref="BU109:BU119" ca="1" si="133">INDIRECT("'"&amp;AI109&amp;"'!"&amp;"G2")</f>
        <v>7</v>
      </c>
      <c r="BV109">
        <f t="shared" ref="BV109:BV119" ca="1" si="134">INDIRECT("'"&amp;AI109&amp;"'!"&amp;"G3")</f>
        <v>4.3</v>
      </c>
      <c r="BW109" s="1018">
        <v>0</v>
      </c>
      <c r="BX109">
        <f t="shared" ca="1" si="111"/>
        <v>153.2822299651568</v>
      </c>
      <c r="BY109">
        <f t="shared" ca="1" si="112"/>
        <v>254.61921202274573</v>
      </c>
      <c r="BZ109">
        <f t="shared" ca="1" si="94"/>
        <v>37.76262239729882</v>
      </c>
      <c r="CA109">
        <f t="shared" ca="1" si="95"/>
        <v>34.999999965000001</v>
      </c>
      <c r="CB109">
        <f t="shared" ca="1" si="113"/>
        <v>9.0267175572519083</v>
      </c>
      <c r="CC109" s="1018">
        <f t="shared" si="96"/>
        <v>0</v>
      </c>
      <c r="CD109" s="1018">
        <f ca="1">SUM(BX109:CC109)+(BR109+BS109+BT109+BU109+BV109)*BN109</f>
        <v>489.69078190745324</v>
      </c>
      <c r="CE109" s="1018">
        <f ca="1">0.34*BO109*(1/25)^0.66*(BR109+BS109+BU109+BV109)</f>
        <v>118.24810168778664</v>
      </c>
      <c r="CF109">
        <f t="shared" ca="1" si="97"/>
        <v>18.238166507857198</v>
      </c>
      <c r="CG109">
        <f t="shared" ca="1" si="98"/>
        <v>30365.817708921917</v>
      </c>
    </row>
    <row r="110" spans="4:85" x14ac:dyDescent="0.25">
      <c r="D110" s="511"/>
      <c r="E110" s="510"/>
      <c r="F110" s="511"/>
      <c r="G110" s="510"/>
      <c r="H110" s="511"/>
      <c r="I110" s="510"/>
      <c r="J110" s="511"/>
      <c r="K110" s="513"/>
      <c r="L110" s="515"/>
      <c r="M110" s="511"/>
      <c r="N110" s="511"/>
      <c r="O110" s="511" t="s">
        <v>18</v>
      </c>
      <c r="P110" s="512">
        <v>0.62953995200000001</v>
      </c>
      <c r="Q110" s="511" t="s">
        <v>7</v>
      </c>
      <c r="R110" s="512">
        <v>0.26140000000000002</v>
      </c>
      <c r="S110" s="511"/>
      <c r="T110" s="520">
        <v>1.4487854641659068E-3</v>
      </c>
      <c r="U110" s="510"/>
      <c r="V110" s="176">
        <f>T110-T110*Calculation_sheet!F$58</f>
        <v>1.4487854641659068E-3</v>
      </c>
      <c r="W110" s="176">
        <f>V110-V110*Calculation_sheet!E$66</f>
        <v>1.4487854641659068E-3</v>
      </c>
      <c r="X110" s="176">
        <f>W110-W110*Calculation_sheet!E$76</f>
        <v>1.4487854641659068E-3</v>
      </c>
      <c r="Y110" s="34">
        <f>X110/Calculation_sheet!M$67</f>
        <v>1.4488150866545414E-3</v>
      </c>
      <c r="Z110" s="176">
        <f ca="1">IF(AN110&gt;0,Y110*Calculation_sheet!C$87,0)</f>
        <v>0</v>
      </c>
      <c r="AA110" s="176">
        <f t="shared" ref="AA110:AA119" ca="1" si="135">Y110-Z110</f>
        <v>1.4488150866545414E-3</v>
      </c>
      <c r="AB110" s="176">
        <f ca="1">IF(AP110&gt;0,AA110*Calculation_sheet!C$94,0)</f>
        <v>0</v>
      </c>
      <c r="AC110" s="176">
        <f t="shared" ca="1" si="127"/>
        <v>1.4488150866545414E-3</v>
      </c>
      <c r="AD110" s="958">
        <f ca="1">AC110*Calculation_sheet!C$99</f>
        <v>8.6928905199272477E-4</v>
      </c>
      <c r="AE110" s="176">
        <f t="shared" ca="1" si="127"/>
        <v>5.7952603466181662E-4</v>
      </c>
      <c r="AF110" s="176">
        <f t="shared" ref="AF110:AF119" ca="1" si="136">Y110-AB110</f>
        <v>1.4488150866545414E-3</v>
      </c>
      <c r="AG110" s="958">
        <f ca="1">AF110*User_sheet!B$77/100</f>
        <v>0</v>
      </c>
      <c r="AH110" s="313"/>
      <c r="AI110" s="908">
        <v>201</v>
      </c>
      <c r="AJ110" s="313"/>
      <c r="AK110" s="1020">
        <f t="shared" ca="1" si="93"/>
        <v>489.69078190745324</v>
      </c>
      <c r="AL110" s="954">
        <f ca="1">AK110/'201'!I$24</f>
        <v>2.5540644756034694</v>
      </c>
      <c r="AM110" s="954">
        <f ca="1">0.8*(AK110*30+'201'!D$17*0.34*30*1)</f>
        <v>13842.779085778879</v>
      </c>
      <c r="AN110" s="954">
        <f ca="1">IF(AM110&lt;User_sheet!B$50,Y110,0)</f>
        <v>0</v>
      </c>
      <c r="AO110" s="954">
        <f ca="1">20-(User_sheet!B$57/(AK110+'201'!D$17*1*0.34))</f>
        <v>10.117591333915099</v>
      </c>
      <c r="AP110" s="954">
        <f ca="1">IF(AO110&lt;User_sheet!B$59,0,BC110*AA110)</f>
        <v>1.4488150866545414E-3</v>
      </c>
      <c r="AQ110" s="313"/>
      <c r="AR110" s="909">
        <v>14.1</v>
      </c>
      <c r="AS110" s="909">
        <v>3.7</v>
      </c>
      <c r="AT110" s="909">
        <v>7.9</v>
      </c>
      <c r="AU110" s="909">
        <v>5</v>
      </c>
      <c r="AV110" s="909">
        <v>3.3</v>
      </c>
      <c r="AW110" s="909">
        <v>7211.5338771527777</v>
      </c>
      <c r="AX110" s="909">
        <v>76466.30421774846</v>
      </c>
      <c r="AY110" s="909">
        <v>67352.647733737584</v>
      </c>
      <c r="AZ110" s="909">
        <v>0</v>
      </c>
      <c r="BA110" s="909">
        <v>0</v>
      </c>
      <c r="BB110" s="909">
        <v>0.87</v>
      </c>
      <c r="BC110" s="919">
        <v>1</v>
      </c>
      <c r="BD110" s="920">
        <v>0</v>
      </c>
      <c r="BE110" s="920">
        <v>0</v>
      </c>
      <c r="BF110" s="921">
        <v>0</v>
      </c>
      <c r="BG110" s="909">
        <v>1</v>
      </c>
      <c r="BH110" s="909">
        <v>0</v>
      </c>
      <c r="BI110" s="921">
        <v>0</v>
      </c>
      <c r="BJ110" s="909">
        <v>0</v>
      </c>
      <c r="BK110" s="909">
        <v>0</v>
      </c>
      <c r="BL110" s="909">
        <v>1</v>
      </c>
      <c r="BM110" s="921">
        <v>0</v>
      </c>
      <c r="BN110" s="958">
        <v>0</v>
      </c>
      <c r="BO110" s="959">
        <v>18</v>
      </c>
      <c r="BP110">
        <f t="shared" ca="1" si="128"/>
        <v>102.96</v>
      </c>
      <c r="BQ110">
        <f t="shared" ca="1" si="129"/>
        <v>174.94399999999999</v>
      </c>
      <c r="BR110">
        <f t="shared" ca="1" si="130"/>
        <v>37.440000000000005</v>
      </c>
      <c r="BS110">
        <f t="shared" ca="1" si="131"/>
        <v>112.95</v>
      </c>
      <c r="BT110">
        <f t="shared" ca="1" si="132"/>
        <v>34.32</v>
      </c>
      <c r="BU110">
        <f t="shared" ca="1" si="133"/>
        <v>7</v>
      </c>
      <c r="BV110">
        <f t="shared" ca="1" si="134"/>
        <v>4.3</v>
      </c>
      <c r="BW110" s="1018">
        <v>0</v>
      </c>
      <c r="BX110">
        <f t="shared" ca="1" si="111"/>
        <v>153.2822299651568</v>
      </c>
      <c r="BY110">
        <f t="shared" ca="1" si="112"/>
        <v>254.61921202274573</v>
      </c>
      <c r="BZ110">
        <f t="shared" ca="1" si="94"/>
        <v>37.76262239729882</v>
      </c>
      <c r="CA110">
        <f t="shared" ca="1" si="95"/>
        <v>34.999999965000001</v>
      </c>
      <c r="CB110">
        <f t="shared" ca="1" si="113"/>
        <v>9.0267175572519083</v>
      </c>
      <c r="CC110" s="1018">
        <f t="shared" si="96"/>
        <v>0</v>
      </c>
      <c r="CD110" s="1018">
        <f t="shared" ref="CD110:CD119" ca="1" si="137">SUM(BX110:CC110)+(BR110+BS110+BT110+BU110+BV110)*BN110</f>
        <v>489.69078190745324</v>
      </c>
      <c r="CE110" s="1018">
        <f t="shared" ref="CE110:CE119" ca="1" si="138">0.34*BO110*(1/25)^0.66*(BR110+BS110+BU110+BV110)</f>
        <v>118.24810168778664</v>
      </c>
      <c r="CF110">
        <f t="shared" ca="1" si="97"/>
        <v>18.238166507857198</v>
      </c>
      <c r="CG110">
        <f t="shared" ca="1" si="98"/>
        <v>30365.817708921917</v>
      </c>
    </row>
    <row r="111" spans="4:85" x14ac:dyDescent="0.25">
      <c r="D111" s="511"/>
      <c r="E111" s="510"/>
      <c r="F111" s="511"/>
      <c r="G111" s="510"/>
      <c r="H111" s="511"/>
      <c r="I111" s="510"/>
      <c r="J111" s="511"/>
      <c r="K111" s="513"/>
      <c r="L111" s="515"/>
      <c r="M111" s="511"/>
      <c r="N111" s="511"/>
      <c r="O111" s="511"/>
      <c r="P111" s="511"/>
      <c r="Q111" s="511" t="s">
        <v>16</v>
      </c>
      <c r="R111" s="512">
        <v>0.73860000000000003</v>
      </c>
      <c r="S111" s="511"/>
      <c r="T111" s="520">
        <v>2.4089394401047631E-3</v>
      </c>
      <c r="U111" s="510"/>
      <c r="V111" s="176">
        <f>T111-T111*Calculation_sheet!F$58</f>
        <v>2.4089394401047631E-3</v>
      </c>
      <c r="W111" s="176">
        <f>V111-V111*Calculation_sheet!E$66</f>
        <v>2.4089394401047631E-3</v>
      </c>
      <c r="X111" s="176">
        <f>W111-W111*Calculation_sheet!E$76</f>
        <v>2.4089394401047631E-3</v>
      </c>
      <c r="Y111" s="34">
        <f>X111/Calculation_sheet!M$67</f>
        <v>2.4089886943131681E-3</v>
      </c>
      <c r="Z111" s="176">
        <f ca="1">IF(AN111&gt;0,Y111*Calculation_sheet!C$87,0)</f>
        <v>0</v>
      </c>
      <c r="AA111" s="176">
        <f t="shared" ca="1" si="135"/>
        <v>2.4089886943131681E-3</v>
      </c>
      <c r="AB111" s="176">
        <f ca="1">IF(AP111&gt;0,AA111*Calculation_sheet!C$94,0)</f>
        <v>0</v>
      </c>
      <c r="AC111" s="176">
        <f t="shared" ca="1" si="127"/>
        <v>2.4089886943131681E-3</v>
      </c>
      <c r="AD111" s="958">
        <f ca="1">AC111*Calculation_sheet!C$99</f>
        <v>1.4453932165879007E-3</v>
      </c>
      <c r="AE111" s="176">
        <f t="shared" ca="1" si="127"/>
        <v>9.6359547772526736E-4</v>
      </c>
      <c r="AF111" s="176">
        <f t="shared" ca="1" si="136"/>
        <v>2.4089886943131681E-3</v>
      </c>
      <c r="AG111" s="958">
        <f ca="1">AF111*User_sheet!B$77/100</f>
        <v>0</v>
      </c>
      <c r="AH111" s="313"/>
      <c r="AI111" s="908">
        <v>201</v>
      </c>
      <c r="AJ111" s="313"/>
      <c r="AK111" s="1020">
        <f t="shared" ca="1" si="93"/>
        <v>489.69078190745324</v>
      </c>
      <c r="AL111" s="954">
        <f ca="1">AK111/'201'!I$24</f>
        <v>2.5540644756034694</v>
      </c>
      <c r="AM111" s="954">
        <f ca="1">0.8*(AK111*30+'201'!D$17*0.34*30*1)</f>
        <v>13842.779085778879</v>
      </c>
      <c r="AN111" s="954">
        <f ca="1">IF(AM111&lt;User_sheet!B$50,Y111,0)</f>
        <v>0</v>
      </c>
      <c r="AO111" s="954">
        <f ca="1">20-(User_sheet!B$57/(AK111+'201'!D$17*1*0.34))</f>
        <v>10.117591333915099</v>
      </c>
      <c r="AP111" s="954">
        <f ca="1">IF(AO111&lt;User_sheet!B$59,0,BC111*AA111)</f>
        <v>2.4089886943131681E-3</v>
      </c>
      <c r="AQ111" s="313"/>
      <c r="AR111" s="909">
        <v>14.1</v>
      </c>
      <c r="AS111" s="909">
        <v>3.7</v>
      </c>
      <c r="AT111" s="909">
        <v>7.9</v>
      </c>
      <c r="AU111" s="909">
        <v>5</v>
      </c>
      <c r="AV111" s="909">
        <v>3.3</v>
      </c>
      <c r="AW111" s="909">
        <v>7211.5338771527777</v>
      </c>
      <c r="AX111" s="909">
        <v>76466.30421774846</v>
      </c>
      <c r="AY111" s="909">
        <v>67352.647733737584</v>
      </c>
      <c r="AZ111" s="909">
        <v>0</v>
      </c>
      <c r="BA111" s="909">
        <v>0</v>
      </c>
      <c r="BB111" s="909">
        <v>0.87</v>
      </c>
      <c r="BC111" s="919">
        <v>1</v>
      </c>
      <c r="BD111" s="920">
        <v>0</v>
      </c>
      <c r="BE111" s="920">
        <v>0</v>
      </c>
      <c r="BF111" s="921">
        <v>0</v>
      </c>
      <c r="BG111" s="909">
        <v>0</v>
      </c>
      <c r="BH111" s="909">
        <v>1</v>
      </c>
      <c r="BI111" s="921">
        <v>0</v>
      </c>
      <c r="BJ111" s="909">
        <v>1</v>
      </c>
      <c r="BK111" s="909">
        <v>0</v>
      </c>
      <c r="BL111" s="909">
        <v>0</v>
      </c>
      <c r="BM111" s="921">
        <v>0</v>
      </c>
      <c r="BN111" s="958">
        <v>0</v>
      </c>
      <c r="BO111" s="959">
        <v>18</v>
      </c>
      <c r="BP111">
        <f t="shared" ca="1" si="128"/>
        <v>102.96</v>
      </c>
      <c r="BQ111">
        <f t="shared" ca="1" si="129"/>
        <v>174.94399999999999</v>
      </c>
      <c r="BR111">
        <f t="shared" ca="1" si="130"/>
        <v>37.440000000000005</v>
      </c>
      <c r="BS111">
        <f t="shared" ca="1" si="131"/>
        <v>112.95</v>
      </c>
      <c r="BT111">
        <f t="shared" ca="1" si="132"/>
        <v>34.32</v>
      </c>
      <c r="BU111">
        <f t="shared" ca="1" si="133"/>
        <v>7</v>
      </c>
      <c r="BV111">
        <f t="shared" ca="1" si="134"/>
        <v>4.3</v>
      </c>
      <c r="BW111" s="1018">
        <v>0</v>
      </c>
      <c r="BX111">
        <f t="shared" ca="1" si="111"/>
        <v>153.2822299651568</v>
      </c>
      <c r="BY111">
        <f t="shared" ca="1" si="112"/>
        <v>254.61921202274573</v>
      </c>
      <c r="BZ111">
        <f t="shared" ca="1" si="94"/>
        <v>37.76262239729882</v>
      </c>
      <c r="CA111">
        <f t="shared" ca="1" si="95"/>
        <v>34.999999965000001</v>
      </c>
      <c r="CB111">
        <f t="shared" ca="1" si="113"/>
        <v>9.0267175572519083</v>
      </c>
      <c r="CC111" s="1018">
        <f t="shared" si="96"/>
        <v>0</v>
      </c>
      <c r="CD111" s="1018">
        <f t="shared" ca="1" si="137"/>
        <v>489.69078190745324</v>
      </c>
      <c r="CE111" s="1018">
        <f t="shared" ca="1" si="138"/>
        <v>118.24810168778664</v>
      </c>
      <c r="CF111">
        <f t="shared" ca="1" si="97"/>
        <v>18.238166507857198</v>
      </c>
      <c r="CG111">
        <f t="shared" ca="1" si="98"/>
        <v>30365.817708921917</v>
      </c>
    </row>
    <row r="112" spans="4:85" x14ac:dyDescent="0.25">
      <c r="D112" s="511"/>
      <c r="E112" s="510"/>
      <c r="F112" s="511"/>
      <c r="G112" s="510"/>
      <c r="H112" s="511"/>
      <c r="I112" s="510"/>
      <c r="J112" s="511"/>
      <c r="K112" s="513"/>
      <c r="L112" s="515"/>
      <c r="M112" s="511" t="s">
        <v>16</v>
      </c>
      <c r="N112" s="512">
        <v>0.44680851100000002</v>
      </c>
      <c r="O112" s="511" t="s">
        <v>19</v>
      </c>
      <c r="P112" s="512">
        <v>0.37046004799999999</v>
      </c>
      <c r="Q112" s="511" t="s">
        <v>7</v>
      </c>
      <c r="R112" s="512">
        <v>0.26140000000000002</v>
      </c>
      <c r="S112" s="511"/>
      <c r="T112" s="520">
        <v>8.5255452158595351E-4</v>
      </c>
      <c r="U112" s="510"/>
      <c r="V112" s="176">
        <f>T112-T112*Calculation_sheet!F$58</f>
        <v>8.5255452158595351E-4</v>
      </c>
      <c r="W112" s="176">
        <f>V112-V112*Calculation_sheet!E$66</f>
        <v>8.5255452158595351E-4</v>
      </c>
      <c r="X112" s="176">
        <f>W112-W112*Calculation_sheet!E$76</f>
        <v>8.5255452158595351E-4</v>
      </c>
      <c r="Y112" s="34">
        <f>X112/Calculation_sheet!M$67</f>
        <v>8.525719532811567E-4</v>
      </c>
      <c r="Z112" s="176">
        <f ca="1">IF(AN112&gt;0,Y112*Calculation_sheet!C$87,0)</f>
        <v>0</v>
      </c>
      <c r="AA112" s="176">
        <f t="shared" ca="1" si="135"/>
        <v>8.525719532811567E-4</v>
      </c>
      <c r="AB112" s="176">
        <f ca="1">IF(AP112&gt;0,AA112*Calculation_sheet!C$94,0)</f>
        <v>0</v>
      </c>
      <c r="AC112" s="176">
        <f t="shared" ca="1" si="127"/>
        <v>8.525719532811567E-4</v>
      </c>
      <c r="AD112" s="958">
        <f ca="1">AC112*Calculation_sheet!C$99</f>
        <v>5.11543171968694E-4</v>
      </c>
      <c r="AE112" s="176">
        <f t="shared" ca="1" si="127"/>
        <v>3.410287813124627E-4</v>
      </c>
      <c r="AF112" s="176">
        <f t="shared" ca="1" si="136"/>
        <v>8.525719532811567E-4</v>
      </c>
      <c r="AG112" s="958">
        <f ca="1">AF112*User_sheet!B$77/100</f>
        <v>0</v>
      </c>
      <c r="AH112" s="313"/>
      <c r="AI112" s="908">
        <v>201</v>
      </c>
      <c r="AJ112" s="313"/>
      <c r="AK112" s="1020">
        <f t="shared" ca="1" si="93"/>
        <v>489.69078190745324</v>
      </c>
      <c r="AL112" s="954">
        <f ca="1">AK112/'201'!I$24</f>
        <v>2.5540644756034694</v>
      </c>
      <c r="AM112" s="954">
        <f ca="1">0.8*(AK112*30+'201'!D$17*0.34*30*1)</f>
        <v>13842.779085778879</v>
      </c>
      <c r="AN112" s="954">
        <f ca="1">IF(AM112&lt;User_sheet!B$50,Y112,0)</f>
        <v>0</v>
      </c>
      <c r="AO112" s="954">
        <f ca="1">20-(User_sheet!B$57/(AK112+'201'!D$17*1*0.34))</f>
        <v>10.117591333915099</v>
      </c>
      <c r="AP112" s="954">
        <f ca="1">IF(AO112&lt;User_sheet!B$59,0,BC112*AA112)</f>
        <v>8.525719532811567E-4</v>
      </c>
      <c r="AQ112" s="313"/>
      <c r="AR112" s="909">
        <v>14.1</v>
      </c>
      <c r="AS112" s="909">
        <v>3.7</v>
      </c>
      <c r="AT112" s="909">
        <v>7.9</v>
      </c>
      <c r="AU112" s="909">
        <v>5</v>
      </c>
      <c r="AV112" s="909">
        <v>3.3</v>
      </c>
      <c r="AW112" s="909">
        <v>7211.5338771527777</v>
      </c>
      <c r="AX112" s="909">
        <v>76466.30421774846</v>
      </c>
      <c r="AY112" s="909">
        <v>67352.647733737584</v>
      </c>
      <c r="AZ112" s="909">
        <v>0</v>
      </c>
      <c r="BA112" s="909">
        <v>0</v>
      </c>
      <c r="BB112" s="909">
        <v>0.87</v>
      </c>
      <c r="BC112" s="919">
        <v>1</v>
      </c>
      <c r="BD112" s="920">
        <v>0</v>
      </c>
      <c r="BE112" s="920">
        <v>0</v>
      </c>
      <c r="BF112" s="921">
        <v>0</v>
      </c>
      <c r="BG112" s="909">
        <v>0</v>
      </c>
      <c r="BH112" s="909">
        <v>1</v>
      </c>
      <c r="BI112" s="921">
        <v>0</v>
      </c>
      <c r="BJ112" s="909">
        <v>0</v>
      </c>
      <c r="BK112" s="909">
        <v>0</v>
      </c>
      <c r="BL112" s="909">
        <v>1</v>
      </c>
      <c r="BM112" s="921">
        <v>0</v>
      </c>
      <c r="BN112" s="958">
        <v>0</v>
      </c>
      <c r="BO112" s="959">
        <v>18</v>
      </c>
      <c r="BP112">
        <f t="shared" ca="1" si="128"/>
        <v>102.96</v>
      </c>
      <c r="BQ112">
        <f t="shared" ca="1" si="129"/>
        <v>174.94399999999999</v>
      </c>
      <c r="BR112">
        <f t="shared" ca="1" si="130"/>
        <v>37.440000000000005</v>
      </c>
      <c r="BS112">
        <f t="shared" ca="1" si="131"/>
        <v>112.95</v>
      </c>
      <c r="BT112">
        <f t="shared" ca="1" si="132"/>
        <v>34.32</v>
      </c>
      <c r="BU112">
        <f t="shared" ca="1" si="133"/>
        <v>7</v>
      </c>
      <c r="BV112">
        <f t="shared" ca="1" si="134"/>
        <v>4.3</v>
      </c>
      <c r="BW112" s="1018">
        <v>0</v>
      </c>
      <c r="BX112">
        <f t="shared" ca="1" si="111"/>
        <v>153.2822299651568</v>
      </c>
      <c r="BY112">
        <f t="shared" ca="1" si="112"/>
        <v>254.61921202274573</v>
      </c>
      <c r="BZ112">
        <f t="shared" ca="1" si="94"/>
        <v>37.76262239729882</v>
      </c>
      <c r="CA112">
        <f t="shared" ca="1" si="95"/>
        <v>34.999999965000001</v>
      </c>
      <c r="CB112">
        <f t="shared" ca="1" si="113"/>
        <v>9.0267175572519083</v>
      </c>
      <c r="CC112" s="1018">
        <f t="shared" si="96"/>
        <v>0</v>
      </c>
      <c r="CD112" s="1018">
        <f t="shared" ca="1" si="137"/>
        <v>489.69078190745324</v>
      </c>
      <c r="CE112" s="1018">
        <f t="shared" ca="1" si="138"/>
        <v>118.24810168778664</v>
      </c>
      <c r="CF112">
        <f t="shared" ca="1" si="97"/>
        <v>18.238166507857198</v>
      </c>
      <c r="CG112">
        <f t="shared" ca="1" si="98"/>
        <v>30365.817708921917</v>
      </c>
    </row>
    <row r="113" spans="4:85" x14ac:dyDescent="0.25">
      <c r="D113" s="511"/>
      <c r="E113" s="510"/>
      <c r="F113" s="511"/>
      <c r="G113" s="510"/>
      <c r="H113" s="511"/>
      <c r="I113" s="510"/>
      <c r="J113" s="511"/>
      <c r="K113" s="513"/>
      <c r="L113" s="515"/>
      <c r="M113" s="511"/>
      <c r="N113" s="511"/>
      <c r="O113" s="511"/>
      <c r="P113" s="511"/>
      <c r="Q113" s="511" t="s">
        <v>22</v>
      </c>
      <c r="R113" s="512">
        <v>0.53710000000000002</v>
      </c>
      <c r="S113" s="511"/>
      <c r="T113" s="520">
        <v>3.8219691390780517E-3</v>
      </c>
      <c r="U113" s="510"/>
      <c r="V113" s="176">
        <f>T113-T113*Calculation_sheet!F$58</f>
        <v>3.8219691390780517E-3</v>
      </c>
      <c r="W113" s="176">
        <f>V113-V113*Calculation_sheet!E$66</f>
        <v>3.8219691390780517E-3</v>
      </c>
      <c r="X113" s="176">
        <f>W113-W113*Calculation_sheet!E$76</f>
        <v>3.8219691390780517E-3</v>
      </c>
      <c r="Y113" s="34">
        <f>X113/Calculation_sheet!M$67</f>
        <v>3.8220472846973892E-3</v>
      </c>
      <c r="Z113" s="176">
        <f ca="1">IF(AN113&gt;0,Y113*Calculation_sheet!C$87,0)</f>
        <v>0</v>
      </c>
      <c r="AA113" s="176">
        <f t="shared" ca="1" si="135"/>
        <v>3.8220472846973892E-3</v>
      </c>
      <c r="AB113" s="176">
        <f ca="1">IF(AP113&gt;0,AA113*Calculation_sheet!C$94,0)</f>
        <v>0</v>
      </c>
      <c r="AC113" s="176">
        <f t="shared" ca="1" si="127"/>
        <v>3.8220472846973892E-3</v>
      </c>
      <c r="AD113" s="958">
        <f ca="1">AC113*Calculation_sheet!C$99</f>
        <v>2.2932283708184333E-3</v>
      </c>
      <c r="AE113" s="176">
        <f t="shared" ca="1" si="127"/>
        <v>1.5288189138789559E-3</v>
      </c>
      <c r="AF113" s="176">
        <f t="shared" ca="1" si="136"/>
        <v>3.8220472846973892E-3</v>
      </c>
      <c r="AG113" s="958">
        <f ca="1">AF113*User_sheet!B$77/100</f>
        <v>0</v>
      </c>
      <c r="AH113" s="313"/>
      <c r="AI113" s="908">
        <v>201</v>
      </c>
      <c r="AJ113" s="313"/>
      <c r="AK113" s="1020">
        <f t="shared" ca="1" si="93"/>
        <v>489.69078190745324</v>
      </c>
      <c r="AL113" s="954">
        <f ca="1">AK113/'201'!I$24</f>
        <v>2.5540644756034694</v>
      </c>
      <c r="AM113" s="954">
        <f ca="1">0.8*(AK113*30+'201'!D$17*0.34*30*1)</f>
        <v>13842.779085778879</v>
      </c>
      <c r="AN113" s="954">
        <f ca="1">IF(AM113&lt;User_sheet!B$50,Y113,0)</f>
        <v>0</v>
      </c>
      <c r="AO113" s="954">
        <f ca="1">20-(User_sheet!B$57/(AK113+'201'!D$17*1*0.34))</f>
        <v>10.117591333915099</v>
      </c>
      <c r="AP113" s="954">
        <f ca="1">IF(AO113&lt;User_sheet!B$59,0,BC113*AA113)</f>
        <v>0</v>
      </c>
      <c r="AQ113" s="313"/>
      <c r="AR113" s="909">
        <v>14.1</v>
      </c>
      <c r="AS113" s="909">
        <v>3.7</v>
      </c>
      <c r="AT113" s="909">
        <v>7.9</v>
      </c>
      <c r="AU113" s="909">
        <v>5</v>
      </c>
      <c r="AV113" s="909">
        <v>3.3</v>
      </c>
      <c r="AW113" s="909">
        <v>7211.5338771527777</v>
      </c>
      <c r="AX113" s="909">
        <v>76466.30421774846</v>
      </c>
      <c r="AY113" s="909">
        <v>67352.647733737584</v>
      </c>
      <c r="AZ113" s="909">
        <v>0</v>
      </c>
      <c r="BA113" s="909">
        <v>0</v>
      </c>
      <c r="BB113" s="909">
        <v>0.87</v>
      </c>
      <c r="BC113" s="919">
        <v>0</v>
      </c>
      <c r="BD113" s="920">
        <v>1</v>
      </c>
      <c r="BE113" s="920">
        <v>0</v>
      </c>
      <c r="BF113" s="921">
        <v>0</v>
      </c>
      <c r="BG113" s="909">
        <v>1</v>
      </c>
      <c r="BH113" s="909">
        <v>0</v>
      </c>
      <c r="BI113" s="921">
        <v>0</v>
      </c>
      <c r="BJ113" s="909">
        <v>0</v>
      </c>
      <c r="BK113" s="909">
        <v>1</v>
      </c>
      <c r="BL113" s="909">
        <v>0</v>
      </c>
      <c r="BM113" s="921">
        <v>0</v>
      </c>
      <c r="BN113" s="958">
        <v>0</v>
      </c>
      <c r="BO113" s="959">
        <v>18</v>
      </c>
      <c r="BP113">
        <f t="shared" ca="1" si="128"/>
        <v>102.96</v>
      </c>
      <c r="BQ113">
        <f t="shared" ca="1" si="129"/>
        <v>174.94399999999999</v>
      </c>
      <c r="BR113">
        <f t="shared" ca="1" si="130"/>
        <v>37.440000000000005</v>
      </c>
      <c r="BS113">
        <f t="shared" ca="1" si="131"/>
        <v>112.95</v>
      </c>
      <c r="BT113">
        <f t="shared" ca="1" si="132"/>
        <v>34.32</v>
      </c>
      <c r="BU113">
        <f t="shared" ca="1" si="133"/>
        <v>7</v>
      </c>
      <c r="BV113">
        <f t="shared" ca="1" si="134"/>
        <v>4.3</v>
      </c>
      <c r="BW113" s="1018">
        <v>0</v>
      </c>
      <c r="BX113">
        <f t="shared" ca="1" si="111"/>
        <v>153.2822299651568</v>
      </c>
      <c r="BY113">
        <f t="shared" ca="1" si="112"/>
        <v>254.61921202274573</v>
      </c>
      <c r="BZ113">
        <f t="shared" ca="1" si="94"/>
        <v>37.76262239729882</v>
      </c>
      <c r="CA113">
        <f t="shared" ca="1" si="95"/>
        <v>34.999999965000001</v>
      </c>
      <c r="CB113">
        <f t="shared" ca="1" si="113"/>
        <v>9.0267175572519083</v>
      </c>
      <c r="CC113" s="1018">
        <f t="shared" si="96"/>
        <v>0</v>
      </c>
      <c r="CD113" s="1018">
        <f t="shared" ca="1" si="137"/>
        <v>489.69078190745324</v>
      </c>
      <c r="CE113" s="1018">
        <f t="shared" ca="1" si="138"/>
        <v>118.24810168778664</v>
      </c>
      <c r="CF113">
        <f t="shared" ca="1" si="97"/>
        <v>18.238166507857198</v>
      </c>
      <c r="CG113">
        <f t="shared" ca="1" si="98"/>
        <v>30365.817708921917</v>
      </c>
    </row>
    <row r="114" spans="4:85" x14ac:dyDescent="0.25">
      <c r="D114" s="511"/>
      <c r="E114" s="510"/>
      <c r="F114" s="511"/>
      <c r="G114" s="510"/>
      <c r="H114" s="511"/>
      <c r="I114" s="510"/>
      <c r="J114" s="511"/>
      <c r="K114" s="513"/>
      <c r="L114" s="515"/>
      <c r="M114" s="511"/>
      <c r="N114" s="511"/>
      <c r="O114" s="511" t="s">
        <v>18</v>
      </c>
      <c r="P114" s="512">
        <v>0.80827067699999999</v>
      </c>
      <c r="Q114" s="511" t="s">
        <v>7</v>
      </c>
      <c r="R114" s="512">
        <v>0.46289999999999998</v>
      </c>
      <c r="S114" s="511"/>
      <c r="T114" s="520">
        <v>3.2939666998310002E-3</v>
      </c>
      <c r="U114" s="510"/>
      <c r="V114" s="176">
        <f>T114-T114*Calculation_sheet!F$58</f>
        <v>3.2939666998310002E-3</v>
      </c>
      <c r="W114" s="176">
        <f>V114-V114*Calculation_sheet!E$66</f>
        <v>3.2939666998310002E-3</v>
      </c>
      <c r="X114" s="176">
        <f>W114-W114*Calculation_sheet!E$76</f>
        <v>3.2939666998310002E-3</v>
      </c>
      <c r="Y114" s="34">
        <f>X114/Calculation_sheet!M$67</f>
        <v>3.2940340496861319E-3</v>
      </c>
      <c r="Z114" s="176">
        <f ca="1">IF(AN114&gt;0,Y114*Calculation_sheet!C$87,0)</f>
        <v>0</v>
      </c>
      <c r="AA114" s="176">
        <f t="shared" ca="1" si="135"/>
        <v>3.2940340496861319E-3</v>
      </c>
      <c r="AB114" s="176">
        <f ca="1">IF(AP114&gt;0,AA114*Calculation_sheet!C$94,0)</f>
        <v>0</v>
      </c>
      <c r="AC114" s="176">
        <f t="shared" ca="1" si="127"/>
        <v>3.2940340496861319E-3</v>
      </c>
      <c r="AD114" s="958">
        <f ca="1">AC114*Calculation_sheet!C$99</f>
        <v>1.9764204298116789E-3</v>
      </c>
      <c r="AE114" s="176">
        <f t="shared" ca="1" si="127"/>
        <v>1.317613619874453E-3</v>
      </c>
      <c r="AF114" s="176">
        <f t="shared" ca="1" si="136"/>
        <v>3.2940340496861319E-3</v>
      </c>
      <c r="AG114" s="958">
        <f ca="1">AF114*User_sheet!B$77/100</f>
        <v>0</v>
      </c>
      <c r="AH114" s="313"/>
      <c r="AI114" s="908">
        <v>201</v>
      </c>
      <c r="AJ114" s="313"/>
      <c r="AK114" s="1020">
        <f t="shared" ca="1" si="93"/>
        <v>489.69078190745324</v>
      </c>
      <c r="AL114" s="954">
        <f ca="1">AK114/'201'!I$24</f>
        <v>2.5540644756034694</v>
      </c>
      <c r="AM114" s="954">
        <f ca="1">0.8*(AK114*30+'201'!D$17*0.34*30*1)</f>
        <v>13842.779085778879</v>
      </c>
      <c r="AN114" s="954">
        <f ca="1">IF(AM114&lt;User_sheet!B$50,Y114,0)</f>
        <v>0</v>
      </c>
      <c r="AO114" s="954">
        <f ca="1">20-(User_sheet!B$57/(AK114+'201'!D$17*1*0.34))</f>
        <v>10.117591333915099</v>
      </c>
      <c r="AP114" s="954">
        <f ca="1">IF(AO114&lt;User_sheet!B$59,0,BC114*AA114)</f>
        <v>0</v>
      </c>
      <c r="AQ114" s="313"/>
      <c r="AR114" s="909">
        <v>14.1</v>
      </c>
      <c r="AS114" s="909">
        <v>3.7</v>
      </c>
      <c r="AT114" s="909">
        <v>7.9</v>
      </c>
      <c r="AU114" s="909">
        <v>5</v>
      </c>
      <c r="AV114" s="909">
        <v>3.3</v>
      </c>
      <c r="AW114" s="909">
        <v>7211.5338771527777</v>
      </c>
      <c r="AX114" s="909">
        <v>76466.30421774846</v>
      </c>
      <c r="AY114" s="909">
        <v>67352.647733737584</v>
      </c>
      <c r="AZ114" s="909">
        <v>0</v>
      </c>
      <c r="BA114" s="909">
        <v>0</v>
      </c>
      <c r="BB114" s="909">
        <v>0.87</v>
      </c>
      <c r="BC114" s="919">
        <v>0</v>
      </c>
      <c r="BD114" s="920">
        <v>1</v>
      </c>
      <c r="BE114" s="920">
        <v>0</v>
      </c>
      <c r="BF114" s="921">
        <v>0</v>
      </c>
      <c r="BG114" s="909">
        <v>1</v>
      </c>
      <c r="BH114" s="909">
        <v>0</v>
      </c>
      <c r="BI114" s="921">
        <v>0</v>
      </c>
      <c r="BJ114" s="909">
        <v>0</v>
      </c>
      <c r="BK114" s="909">
        <v>0</v>
      </c>
      <c r="BL114" s="909">
        <v>1</v>
      </c>
      <c r="BM114" s="921">
        <v>0</v>
      </c>
      <c r="BN114" s="958">
        <v>0</v>
      </c>
      <c r="BO114" s="959">
        <v>18</v>
      </c>
      <c r="BP114">
        <f t="shared" ca="1" si="128"/>
        <v>102.96</v>
      </c>
      <c r="BQ114">
        <f t="shared" ca="1" si="129"/>
        <v>174.94399999999999</v>
      </c>
      <c r="BR114">
        <f t="shared" ca="1" si="130"/>
        <v>37.440000000000005</v>
      </c>
      <c r="BS114">
        <f t="shared" ca="1" si="131"/>
        <v>112.95</v>
      </c>
      <c r="BT114">
        <f t="shared" ca="1" si="132"/>
        <v>34.32</v>
      </c>
      <c r="BU114">
        <f t="shared" ca="1" si="133"/>
        <v>7</v>
      </c>
      <c r="BV114">
        <f t="shared" ca="1" si="134"/>
        <v>4.3</v>
      </c>
      <c r="BW114" s="1018">
        <v>0</v>
      </c>
      <c r="BX114">
        <f t="shared" ca="1" si="111"/>
        <v>153.2822299651568</v>
      </c>
      <c r="BY114">
        <f t="shared" ca="1" si="112"/>
        <v>254.61921202274573</v>
      </c>
      <c r="BZ114">
        <f t="shared" ca="1" si="94"/>
        <v>37.76262239729882</v>
      </c>
      <c r="CA114">
        <f t="shared" ca="1" si="95"/>
        <v>34.999999965000001</v>
      </c>
      <c r="CB114">
        <f t="shared" ca="1" si="113"/>
        <v>9.0267175572519083</v>
      </c>
      <c r="CC114" s="1018">
        <f t="shared" si="96"/>
        <v>0</v>
      </c>
      <c r="CD114" s="1018">
        <f t="shared" ca="1" si="137"/>
        <v>489.69078190745324</v>
      </c>
      <c r="CE114" s="1018">
        <f t="shared" ca="1" si="138"/>
        <v>118.24810168778664</v>
      </c>
      <c r="CF114">
        <f t="shared" ca="1" si="97"/>
        <v>18.238166507857198</v>
      </c>
      <c r="CG114">
        <f t="shared" ca="1" si="98"/>
        <v>30365.817708921917</v>
      </c>
    </row>
    <row r="115" spans="4:85" x14ac:dyDescent="0.25">
      <c r="D115" s="511"/>
      <c r="E115" s="510"/>
      <c r="F115" s="511"/>
      <c r="G115" s="510"/>
      <c r="H115" s="511"/>
      <c r="I115" s="510"/>
      <c r="J115" s="511"/>
      <c r="K115" s="513"/>
      <c r="L115" s="515"/>
      <c r="M115" s="511"/>
      <c r="N115" s="511"/>
      <c r="O115" s="511"/>
      <c r="P115" s="511"/>
      <c r="Q115" s="511" t="s">
        <v>22</v>
      </c>
      <c r="R115" s="512">
        <v>0.53710000000000002</v>
      </c>
      <c r="S115" s="511"/>
      <c r="T115" s="520">
        <v>9.0660663118715063E-4</v>
      </c>
      <c r="U115" s="510"/>
      <c r="V115" s="176">
        <f>T115-T115*Calculation_sheet!F$58</f>
        <v>9.0660663118715063E-4</v>
      </c>
      <c r="W115" s="176">
        <f>V115-V115*Calculation_sheet!E$66</f>
        <v>9.0660663118715063E-4</v>
      </c>
      <c r="X115" s="176">
        <f>W115-W115*Calculation_sheet!E$76</f>
        <v>9.0660663118715063E-4</v>
      </c>
      <c r="Y115" s="34">
        <f>X115/Calculation_sheet!M$67</f>
        <v>9.0662516805495655E-4</v>
      </c>
      <c r="Z115" s="176">
        <f ca="1">IF(AN115&gt;0,Y115*Calculation_sheet!C$87,0)</f>
        <v>0</v>
      </c>
      <c r="AA115" s="176">
        <f t="shared" ca="1" si="135"/>
        <v>9.0662516805495655E-4</v>
      </c>
      <c r="AB115" s="176">
        <f ca="1">IF(AP115&gt;0,AA115*Calculation_sheet!C$94,0)</f>
        <v>0</v>
      </c>
      <c r="AC115" s="176">
        <f t="shared" ca="1" si="127"/>
        <v>9.0662516805495655E-4</v>
      </c>
      <c r="AD115" s="958">
        <f ca="1">AC115*Calculation_sheet!C$99</f>
        <v>5.4397510083297395E-4</v>
      </c>
      <c r="AE115" s="176">
        <f t="shared" ca="1" si="127"/>
        <v>3.626500672219826E-4</v>
      </c>
      <c r="AF115" s="176">
        <f t="shared" ca="1" si="136"/>
        <v>9.0662516805495655E-4</v>
      </c>
      <c r="AG115" s="958">
        <f ca="1">AF115*User_sheet!B$77/100</f>
        <v>0</v>
      </c>
      <c r="AH115" s="313"/>
      <c r="AI115" s="908">
        <v>201</v>
      </c>
      <c r="AJ115" s="313"/>
      <c r="AK115" s="1020">
        <f t="shared" ca="1" si="93"/>
        <v>489.69078190745324</v>
      </c>
      <c r="AL115" s="954">
        <f ca="1">AK115/'201'!I$24</f>
        <v>2.5540644756034694</v>
      </c>
      <c r="AM115" s="954">
        <f ca="1">0.8*(AK115*30+'201'!D$17*0.34*30*1)</f>
        <v>13842.779085778879</v>
      </c>
      <c r="AN115" s="954">
        <f ca="1">IF(AM115&lt;User_sheet!B$50,Y115,0)</f>
        <v>0</v>
      </c>
      <c r="AO115" s="954">
        <f ca="1">20-(User_sheet!B$57/(AK115+'201'!D$17*1*0.34))</f>
        <v>10.117591333915099</v>
      </c>
      <c r="AP115" s="954">
        <f ca="1">IF(AO115&lt;User_sheet!B$59,0,BC115*AA115)</f>
        <v>0</v>
      </c>
      <c r="AQ115" s="313"/>
      <c r="AR115" s="909">
        <v>14.1</v>
      </c>
      <c r="AS115" s="909">
        <v>3.7</v>
      </c>
      <c r="AT115" s="909">
        <v>7.9</v>
      </c>
      <c r="AU115" s="909">
        <v>5</v>
      </c>
      <c r="AV115" s="909">
        <v>3.3</v>
      </c>
      <c r="AW115" s="909">
        <v>7211.5338771527777</v>
      </c>
      <c r="AX115" s="909">
        <v>76466.30421774846</v>
      </c>
      <c r="AY115" s="909">
        <v>67352.647733737584</v>
      </c>
      <c r="AZ115" s="909">
        <v>0</v>
      </c>
      <c r="BA115" s="909">
        <v>0</v>
      </c>
      <c r="BB115" s="909">
        <v>0.87</v>
      </c>
      <c r="BC115" s="919">
        <v>0</v>
      </c>
      <c r="BD115" s="920">
        <v>1</v>
      </c>
      <c r="BE115" s="920">
        <v>0</v>
      </c>
      <c r="BF115" s="921">
        <v>0</v>
      </c>
      <c r="BG115" s="909">
        <v>0</v>
      </c>
      <c r="BH115" s="909">
        <v>1</v>
      </c>
      <c r="BI115" s="921">
        <v>0</v>
      </c>
      <c r="BJ115" s="909">
        <v>0</v>
      </c>
      <c r="BK115" s="909">
        <v>1</v>
      </c>
      <c r="BL115" s="909">
        <v>0</v>
      </c>
      <c r="BM115" s="921">
        <v>0</v>
      </c>
      <c r="BN115" s="958">
        <v>0</v>
      </c>
      <c r="BO115" s="959">
        <v>18</v>
      </c>
      <c r="BP115">
        <f t="shared" ca="1" si="128"/>
        <v>102.96</v>
      </c>
      <c r="BQ115">
        <f t="shared" ca="1" si="129"/>
        <v>174.94399999999999</v>
      </c>
      <c r="BR115">
        <f t="shared" ca="1" si="130"/>
        <v>37.440000000000005</v>
      </c>
      <c r="BS115">
        <f t="shared" ca="1" si="131"/>
        <v>112.95</v>
      </c>
      <c r="BT115">
        <f t="shared" ca="1" si="132"/>
        <v>34.32</v>
      </c>
      <c r="BU115">
        <f t="shared" ca="1" si="133"/>
        <v>7</v>
      </c>
      <c r="BV115">
        <f t="shared" ca="1" si="134"/>
        <v>4.3</v>
      </c>
      <c r="BW115" s="1018">
        <v>0</v>
      </c>
      <c r="BX115">
        <f t="shared" ca="1" si="111"/>
        <v>153.2822299651568</v>
      </c>
      <c r="BY115">
        <f t="shared" ca="1" si="112"/>
        <v>254.61921202274573</v>
      </c>
      <c r="BZ115">
        <f t="shared" ca="1" si="94"/>
        <v>37.76262239729882</v>
      </c>
      <c r="CA115">
        <f t="shared" ca="1" si="95"/>
        <v>34.999999965000001</v>
      </c>
      <c r="CB115">
        <f t="shared" ca="1" si="113"/>
        <v>9.0267175572519083</v>
      </c>
      <c r="CC115" s="1018">
        <f t="shared" si="96"/>
        <v>0</v>
      </c>
      <c r="CD115" s="1018">
        <f t="shared" ca="1" si="137"/>
        <v>489.69078190745324</v>
      </c>
      <c r="CE115" s="1018">
        <f t="shared" ca="1" si="138"/>
        <v>118.24810168778664</v>
      </c>
      <c r="CF115">
        <f t="shared" ca="1" si="97"/>
        <v>18.238166507857198</v>
      </c>
      <c r="CG115">
        <f t="shared" ca="1" si="98"/>
        <v>30365.817708921917</v>
      </c>
    </row>
    <row r="116" spans="4:85" x14ac:dyDescent="0.25">
      <c r="D116" s="511"/>
      <c r="E116" s="510"/>
      <c r="F116" s="511"/>
      <c r="G116" s="510"/>
      <c r="H116" s="511"/>
      <c r="I116" s="510"/>
      <c r="J116" s="511"/>
      <c r="K116" s="513"/>
      <c r="L116" s="515"/>
      <c r="M116" s="511" t="s">
        <v>22</v>
      </c>
      <c r="N116" s="512">
        <v>0.44680851100000002</v>
      </c>
      <c r="O116" s="511" t="s">
        <v>20</v>
      </c>
      <c r="P116" s="512">
        <v>0.19172932300000001</v>
      </c>
      <c r="Q116" s="511" t="s">
        <v>7</v>
      </c>
      <c r="R116" s="512">
        <v>0.46289999999999998</v>
      </c>
      <c r="S116" s="511"/>
      <c r="T116" s="520">
        <v>7.8135954119629885E-4</v>
      </c>
      <c r="U116" s="510"/>
      <c r="V116" s="176">
        <f>T116-T116*Calculation_sheet!F$58</f>
        <v>7.8135954119629885E-4</v>
      </c>
      <c r="W116" s="176">
        <f>V116-V116*Calculation_sheet!E$66</f>
        <v>7.8135954119629885E-4</v>
      </c>
      <c r="X116" s="176">
        <f>W116-W116*Calculation_sheet!E$76</f>
        <v>7.8135954119629885E-4</v>
      </c>
      <c r="Y116" s="34">
        <f>X116/Calculation_sheet!M$67</f>
        <v>7.8137551720841461E-4</v>
      </c>
      <c r="Z116" s="176">
        <f ca="1">IF(AN116&gt;0,Y116*Calculation_sheet!C$87,0)</f>
        <v>0</v>
      </c>
      <c r="AA116" s="176">
        <f t="shared" ca="1" si="135"/>
        <v>7.8137551720841461E-4</v>
      </c>
      <c r="AB116" s="176">
        <f ca="1">IF(AP116&gt;0,AA116*Calculation_sheet!C$94,0)</f>
        <v>0</v>
      </c>
      <c r="AC116" s="176">
        <f t="shared" ca="1" si="127"/>
        <v>7.8137551720841461E-4</v>
      </c>
      <c r="AD116" s="958">
        <f ca="1">AC116*Calculation_sheet!C$99</f>
        <v>4.6882531032504872E-4</v>
      </c>
      <c r="AE116" s="176">
        <f t="shared" ca="1" si="127"/>
        <v>3.1255020688336589E-4</v>
      </c>
      <c r="AF116" s="176">
        <f t="shared" ca="1" si="136"/>
        <v>7.8137551720841461E-4</v>
      </c>
      <c r="AG116" s="958">
        <f ca="1">AF116*User_sheet!B$77/100</f>
        <v>0</v>
      </c>
      <c r="AH116" s="313"/>
      <c r="AI116" s="908">
        <v>201</v>
      </c>
      <c r="AJ116" s="313"/>
      <c r="AK116" s="1020">
        <f t="shared" ca="1" si="93"/>
        <v>489.69078190745324</v>
      </c>
      <c r="AL116" s="954">
        <f ca="1">AK116/'201'!I$24</f>
        <v>2.5540644756034694</v>
      </c>
      <c r="AM116" s="954">
        <f ca="1">0.8*(AK116*30+'201'!D$17*0.34*30*1)</f>
        <v>13842.779085778879</v>
      </c>
      <c r="AN116" s="954">
        <f ca="1">IF(AM116&lt;User_sheet!B$50,Y116,0)</f>
        <v>0</v>
      </c>
      <c r="AO116" s="954">
        <f ca="1">20-(User_sheet!B$57/(AK116+'201'!D$17*1*0.34))</f>
        <v>10.117591333915099</v>
      </c>
      <c r="AP116" s="954">
        <f ca="1">IF(AO116&lt;User_sheet!B$59,0,BC116*AA116)</f>
        <v>0</v>
      </c>
      <c r="AQ116" s="313"/>
      <c r="AR116" s="909">
        <v>14.1</v>
      </c>
      <c r="AS116" s="909">
        <v>3.7</v>
      </c>
      <c r="AT116" s="909">
        <v>7.9</v>
      </c>
      <c r="AU116" s="909">
        <v>5</v>
      </c>
      <c r="AV116" s="909">
        <v>3.3</v>
      </c>
      <c r="AW116" s="909">
        <v>7211.5338771527777</v>
      </c>
      <c r="AX116" s="909">
        <v>76466.30421774846</v>
      </c>
      <c r="AY116" s="909">
        <v>67352.647733737584</v>
      </c>
      <c r="AZ116" s="909">
        <v>0</v>
      </c>
      <c r="BA116" s="909">
        <v>0</v>
      </c>
      <c r="BB116" s="909">
        <v>0.87</v>
      </c>
      <c r="BC116" s="919">
        <v>0</v>
      </c>
      <c r="BD116" s="920">
        <v>1</v>
      </c>
      <c r="BE116" s="920">
        <v>0</v>
      </c>
      <c r="BF116" s="921">
        <v>0</v>
      </c>
      <c r="BG116" s="909">
        <v>0</v>
      </c>
      <c r="BH116" s="909">
        <v>1</v>
      </c>
      <c r="BI116" s="921">
        <v>0</v>
      </c>
      <c r="BJ116" s="909">
        <v>0</v>
      </c>
      <c r="BK116" s="909">
        <v>0</v>
      </c>
      <c r="BL116" s="909">
        <v>1</v>
      </c>
      <c r="BM116" s="921">
        <v>0</v>
      </c>
      <c r="BN116" s="958">
        <v>0</v>
      </c>
      <c r="BO116" s="959">
        <v>18</v>
      </c>
      <c r="BP116">
        <f t="shared" ca="1" si="128"/>
        <v>102.96</v>
      </c>
      <c r="BQ116">
        <f t="shared" ca="1" si="129"/>
        <v>174.94399999999999</v>
      </c>
      <c r="BR116">
        <f t="shared" ca="1" si="130"/>
        <v>37.440000000000005</v>
      </c>
      <c r="BS116">
        <f t="shared" ca="1" si="131"/>
        <v>112.95</v>
      </c>
      <c r="BT116">
        <f t="shared" ca="1" si="132"/>
        <v>34.32</v>
      </c>
      <c r="BU116">
        <f t="shared" ca="1" si="133"/>
        <v>7</v>
      </c>
      <c r="BV116">
        <f t="shared" ca="1" si="134"/>
        <v>4.3</v>
      </c>
      <c r="BW116" s="1018">
        <v>0</v>
      </c>
      <c r="BX116">
        <f t="shared" ca="1" si="111"/>
        <v>153.2822299651568</v>
      </c>
      <c r="BY116">
        <f t="shared" ca="1" si="112"/>
        <v>254.61921202274573</v>
      </c>
      <c r="BZ116">
        <f t="shared" ca="1" si="94"/>
        <v>37.76262239729882</v>
      </c>
      <c r="CA116">
        <f t="shared" ca="1" si="95"/>
        <v>34.999999965000001</v>
      </c>
      <c r="CB116">
        <f t="shared" ca="1" si="113"/>
        <v>9.0267175572519083</v>
      </c>
      <c r="CC116" s="1018">
        <f t="shared" si="96"/>
        <v>0</v>
      </c>
      <c r="CD116" s="1018">
        <f t="shared" ca="1" si="137"/>
        <v>489.69078190745324</v>
      </c>
      <c r="CE116" s="1018">
        <f t="shared" ca="1" si="138"/>
        <v>118.24810168778664</v>
      </c>
      <c r="CF116">
        <f t="shared" ca="1" si="97"/>
        <v>18.238166507857198</v>
      </c>
      <c r="CG116">
        <f t="shared" ca="1" si="98"/>
        <v>30365.817708921917</v>
      </c>
    </row>
    <row r="117" spans="4:85" x14ac:dyDescent="0.25">
      <c r="D117" s="511"/>
      <c r="E117" s="510"/>
      <c r="F117" s="511"/>
      <c r="G117" s="510"/>
      <c r="H117" s="511"/>
      <c r="I117" s="510"/>
      <c r="J117" s="511"/>
      <c r="K117" s="510"/>
      <c r="L117" s="510"/>
      <c r="M117" s="511" t="s">
        <v>7</v>
      </c>
      <c r="N117" s="512">
        <v>2.1276595999999998E-2</v>
      </c>
      <c r="O117" s="511" t="s">
        <v>23</v>
      </c>
      <c r="P117" s="512">
        <v>1</v>
      </c>
      <c r="Q117" s="511" t="s">
        <v>7</v>
      </c>
      <c r="R117" s="512">
        <v>1</v>
      </c>
      <c r="S117" s="511"/>
      <c r="T117" s="520">
        <v>4.1923343380058836E-4</v>
      </c>
      <c r="U117" s="510"/>
      <c r="V117" s="176">
        <f>T117-T117*Calculation_sheet!F$58</f>
        <v>4.1923343380058836E-4</v>
      </c>
      <c r="W117" s="176">
        <f>V117-V117*Calculation_sheet!E$66</f>
        <v>4.1923343380058836E-4</v>
      </c>
      <c r="X117" s="176">
        <f>W117-W117*Calculation_sheet!E$76</f>
        <v>4.1923343380058836E-4</v>
      </c>
      <c r="Y117" s="34">
        <f>X117/Calculation_sheet!M$67</f>
        <v>4.1924200562708388E-4</v>
      </c>
      <c r="Z117" s="176">
        <f ca="1">IF(AN117&gt;0,Y117*Calculation_sheet!C$87,0)</f>
        <v>0</v>
      </c>
      <c r="AA117" s="176">
        <f t="shared" ca="1" si="135"/>
        <v>4.1924200562708388E-4</v>
      </c>
      <c r="AB117" s="176">
        <f ca="1">IF(AP117&gt;0,AA117*Calculation_sheet!C$94,0)</f>
        <v>0</v>
      </c>
      <c r="AC117" s="176">
        <f t="shared" ca="1" si="127"/>
        <v>4.1924200562708388E-4</v>
      </c>
      <c r="AD117" s="958">
        <f ca="1">AC117*Calculation_sheet!C$99</f>
        <v>2.5154520337625029E-4</v>
      </c>
      <c r="AE117" s="176">
        <f t="shared" ca="1" si="127"/>
        <v>1.6769680225083358E-4</v>
      </c>
      <c r="AF117" s="176">
        <f t="shared" ca="1" si="136"/>
        <v>4.1924200562708388E-4</v>
      </c>
      <c r="AG117" s="958">
        <f ca="1">AF117*User_sheet!B$77/100</f>
        <v>0</v>
      </c>
      <c r="AH117" s="313"/>
      <c r="AI117" s="908">
        <v>201</v>
      </c>
      <c r="AJ117" s="313"/>
      <c r="AK117" s="1020">
        <f t="shared" ca="1" si="93"/>
        <v>489.69078190745324</v>
      </c>
      <c r="AL117" s="954">
        <f ca="1">AK117/'201'!I$24</f>
        <v>2.5540644756034694</v>
      </c>
      <c r="AM117" s="954">
        <f ca="1">0.8*(AK117*30+'201'!D$17*0.34*30*1)</f>
        <v>13842.779085778879</v>
      </c>
      <c r="AN117" s="954">
        <f ca="1">IF(AM117&lt;User_sheet!B$50,Y117,0)</f>
        <v>0</v>
      </c>
      <c r="AO117" s="954">
        <f ca="1">20-(User_sheet!B$57/(AK117+'201'!D$17*1*0.34))</f>
        <v>10.117591333915099</v>
      </c>
      <c r="AP117" s="954">
        <f ca="1">IF(AO117&lt;User_sheet!B$59,0,BC117*AA117)</f>
        <v>0</v>
      </c>
      <c r="AQ117" s="313"/>
      <c r="AR117" s="909">
        <v>14.1</v>
      </c>
      <c r="AS117" s="909">
        <v>3.7</v>
      </c>
      <c r="AT117" s="909">
        <v>7.9</v>
      </c>
      <c r="AU117" s="909">
        <v>5</v>
      </c>
      <c r="AV117" s="909">
        <v>3.3</v>
      </c>
      <c r="AW117" s="909">
        <v>7211.5338771527777</v>
      </c>
      <c r="AX117" s="909">
        <v>76466.30421774846</v>
      </c>
      <c r="AY117" s="909">
        <v>67352.647733737584</v>
      </c>
      <c r="AZ117" s="909">
        <v>0</v>
      </c>
      <c r="BA117" s="909">
        <v>0</v>
      </c>
      <c r="BB117" s="909">
        <v>0.87</v>
      </c>
      <c r="BC117" s="919">
        <v>0</v>
      </c>
      <c r="BD117" s="920">
        <v>0</v>
      </c>
      <c r="BE117" s="920">
        <v>1</v>
      </c>
      <c r="BF117" s="921">
        <v>0</v>
      </c>
      <c r="BG117" s="909">
        <v>0</v>
      </c>
      <c r="BH117" s="909">
        <v>0</v>
      </c>
      <c r="BI117" s="921">
        <v>1</v>
      </c>
      <c r="BJ117" s="909">
        <v>0</v>
      </c>
      <c r="BK117" s="909">
        <v>0</v>
      </c>
      <c r="BL117" s="909">
        <v>1</v>
      </c>
      <c r="BM117" s="921">
        <v>0</v>
      </c>
      <c r="BN117" s="958">
        <v>0</v>
      </c>
      <c r="BO117" s="959">
        <v>18</v>
      </c>
      <c r="BP117">
        <f t="shared" ca="1" si="128"/>
        <v>102.96</v>
      </c>
      <c r="BQ117">
        <f t="shared" ca="1" si="129"/>
        <v>174.94399999999999</v>
      </c>
      <c r="BR117">
        <f t="shared" ca="1" si="130"/>
        <v>37.440000000000005</v>
      </c>
      <c r="BS117">
        <f t="shared" ca="1" si="131"/>
        <v>112.95</v>
      </c>
      <c r="BT117">
        <f t="shared" ca="1" si="132"/>
        <v>34.32</v>
      </c>
      <c r="BU117">
        <f t="shared" ca="1" si="133"/>
        <v>7</v>
      </c>
      <c r="BV117">
        <f t="shared" ca="1" si="134"/>
        <v>4.3</v>
      </c>
      <c r="BW117" s="1018">
        <v>0</v>
      </c>
      <c r="BX117">
        <f t="shared" ca="1" si="111"/>
        <v>153.2822299651568</v>
      </c>
      <c r="BY117">
        <f t="shared" ca="1" si="112"/>
        <v>254.61921202274573</v>
      </c>
      <c r="BZ117">
        <f t="shared" ca="1" si="94"/>
        <v>37.76262239729882</v>
      </c>
      <c r="CA117">
        <f t="shared" ca="1" si="95"/>
        <v>34.999999965000001</v>
      </c>
      <c r="CB117">
        <f t="shared" ca="1" si="113"/>
        <v>9.0267175572519083</v>
      </c>
      <c r="CC117" s="1018">
        <f t="shared" si="96"/>
        <v>0</v>
      </c>
      <c r="CD117" s="1018">
        <f t="shared" ca="1" si="137"/>
        <v>489.69078190745324</v>
      </c>
      <c r="CE117" s="1018">
        <f t="shared" ca="1" si="138"/>
        <v>118.24810168778664</v>
      </c>
      <c r="CF117">
        <f t="shared" ca="1" si="97"/>
        <v>18.238166507857198</v>
      </c>
      <c r="CG117">
        <f t="shared" ca="1" si="98"/>
        <v>30365.817708921917</v>
      </c>
    </row>
    <row r="118" spans="4:85" x14ac:dyDescent="0.25">
      <c r="D118" s="511"/>
      <c r="E118" s="510"/>
      <c r="F118" s="511"/>
      <c r="G118" s="510"/>
      <c r="H118" s="511"/>
      <c r="I118" s="510"/>
      <c r="J118" s="511"/>
      <c r="K118" s="511"/>
      <c r="L118" s="511"/>
      <c r="M118" s="511"/>
      <c r="N118" s="511"/>
      <c r="O118" s="511" t="s">
        <v>18</v>
      </c>
      <c r="P118" s="512">
        <v>0.15910607099999999</v>
      </c>
      <c r="Q118" s="511" t="s">
        <v>17</v>
      </c>
      <c r="R118" s="512">
        <v>1</v>
      </c>
      <c r="S118" s="511"/>
      <c r="T118" s="520">
        <v>2.668103348003794E-4</v>
      </c>
      <c r="U118" s="510"/>
      <c r="V118" s="176">
        <f>T118-T118*Calculation_sheet!F$58</f>
        <v>2.668103348003794E-4</v>
      </c>
      <c r="W118" s="176">
        <f>V118-V118*Calculation_sheet!E$66</f>
        <v>2.668103348003794E-4</v>
      </c>
      <c r="X118" s="176">
        <f>W118-W118*Calculation_sheet!E$76</f>
        <v>2.668103348003794E-4</v>
      </c>
      <c r="Y118" s="34">
        <f>X118/Calculation_sheet!M$67</f>
        <v>2.6681579011885527E-4</v>
      </c>
      <c r="Z118" s="176">
        <f ca="1">IF(AN118&gt;0,Y118*Calculation_sheet!C$87,0)</f>
        <v>0</v>
      </c>
      <c r="AA118" s="176">
        <f t="shared" ca="1" si="135"/>
        <v>2.6681579011885527E-4</v>
      </c>
      <c r="AB118" s="176">
        <f ca="1">IF(AP118&gt;0,AA118*Calculation_sheet!C$94,0)</f>
        <v>0</v>
      </c>
      <c r="AC118" s="176">
        <f t="shared" ca="1" si="127"/>
        <v>2.6681579011885527E-4</v>
      </c>
      <c r="AD118" s="958">
        <f ca="1">AC118*Calculation_sheet!C$99</f>
        <v>1.6008947407131316E-4</v>
      </c>
      <c r="AE118" s="176">
        <f t="shared" ca="1" si="127"/>
        <v>1.0672631604754211E-4</v>
      </c>
      <c r="AF118" s="176">
        <f t="shared" ca="1" si="136"/>
        <v>2.6681579011885527E-4</v>
      </c>
      <c r="AG118" s="958">
        <f ca="1">AF118*User_sheet!B$77/100</f>
        <v>0</v>
      </c>
      <c r="AH118" s="313"/>
      <c r="AI118" s="908">
        <v>201</v>
      </c>
      <c r="AJ118" s="313"/>
      <c r="AK118" s="1020">
        <f t="shared" ca="1" si="93"/>
        <v>489.69078190745324</v>
      </c>
      <c r="AL118" s="954">
        <f ca="1">AK118/'201'!I$24</f>
        <v>2.5540644756034694</v>
      </c>
      <c r="AM118" s="954">
        <f ca="1">0.8*(AK118*30+'201'!D$17*0.34*30*1)</f>
        <v>13842.779085778879</v>
      </c>
      <c r="AN118" s="954">
        <f ca="1">IF(AM118&lt;User_sheet!B$50,Y118,0)</f>
        <v>0</v>
      </c>
      <c r="AO118" s="954">
        <f ca="1">20-(User_sheet!B$57/(AK118+'201'!D$17*1*0.34))</f>
        <v>10.117591333915099</v>
      </c>
      <c r="AP118" s="954">
        <f ca="1">IF(AO118&lt;User_sheet!B$59,0,BC118*AA118)</f>
        <v>0</v>
      </c>
      <c r="AQ118" s="313"/>
      <c r="AR118" s="909">
        <v>14.1</v>
      </c>
      <c r="AS118" s="909">
        <v>3.7</v>
      </c>
      <c r="AT118" s="909">
        <v>7.9</v>
      </c>
      <c r="AU118" s="909">
        <v>5</v>
      </c>
      <c r="AV118" s="909">
        <v>3.3</v>
      </c>
      <c r="AW118" s="909">
        <v>7211.5338771527777</v>
      </c>
      <c r="AX118" s="909">
        <v>76466.30421774846</v>
      </c>
      <c r="AY118" s="909">
        <v>67352.647733737584</v>
      </c>
      <c r="AZ118" s="909">
        <v>0</v>
      </c>
      <c r="BA118" s="909">
        <v>0</v>
      </c>
      <c r="BB118" s="909">
        <v>0.87</v>
      </c>
      <c r="BC118" s="919">
        <v>0</v>
      </c>
      <c r="BD118" s="920">
        <v>0</v>
      </c>
      <c r="BE118" s="920">
        <v>0</v>
      </c>
      <c r="BF118" s="921">
        <v>1</v>
      </c>
      <c r="BG118" s="909">
        <v>1</v>
      </c>
      <c r="BH118" s="909">
        <v>0</v>
      </c>
      <c r="BI118" s="921">
        <v>0</v>
      </c>
      <c r="BJ118" s="909">
        <v>0</v>
      </c>
      <c r="BK118" s="909">
        <v>0</v>
      </c>
      <c r="BL118" s="909">
        <v>0</v>
      </c>
      <c r="BM118" s="921">
        <v>1</v>
      </c>
      <c r="BN118" s="958">
        <v>0</v>
      </c>
      <c r="BO118" s="959">
        <v>18</v>
      </c>
      <c r="BP118">
        <f t="shared" ca="1" si="128"/>
        <v>102.96</v>
      </c>
      <c r="BQ118">
        <f t="shared" ca="1" si="129"/>
        <v>174.94399999999999</v>
      </c>
      <c r="BR118">
        <f t="shared" ca="1" si="130"/>
        <v>37.440000000000005</v>
      </c>
      <c r="BS118">
        <f t="shared" ca="1" si="131"/>
        <v>112.95</v>
      </c>
      <c r="BT118">
        <f t="shared" ca="1" si="132"/>
        <v>34.32</v>
      </c>
      <c r="BU118">
        <f t="shared" ca="1" si="133"/>
        <v>7</v>
      </c>
      <c r="BV118">
        <f t="shared" ca="1" si="134"/>
        <v>4.3</v>
      </c>
      <c r="BW118" s="1018">
        <v>0</v>
      </c>
      <c r="BX118">
        <f t="shared" ca="1" si="111"/>
        <v>153.2822299651568</v>
      </c>
      <c r="BY118">
        <f t="shared" ca="1" si="112"/>
        <v>254.61921202274573</v>
      </c>
      <c r="BZ118">
        <f t="shared" ca="1" si="94"/>
        <v>37.76262239729882</v>
      </c>
      <c r="CA118">
        <f t="shared" ca="1" si="95"/>
        <v>34.999999965000001</v>
      </c>
      <c r="CB118">
        <f t="shared" ca="1" si="113"/>
        <v>9.0267175572519083</v>
      </c>
      <c r="CC118" s="1018">
        <f t="shared" si="96"/>
        <v>0</v>
      </c>
      <c r="CD118" s="1018">
        <f t="shared" ca="1" si="137"/>
        <v>489.69078190745324</v>
      </c>
      <c r="CE118" s="1018">
        <f t="shared" ca="1" si="138"/>
        <v>118.24810168778664</v>
      </c>
      <c r="CF118">
        <f t="shared" ca="1" si="97"/>
        <v>18.238166507857198</v>
      </c>
      <c r="CG118">
        <f t="shared" ca="1" si="98"/>
        <v>30365.817708921917</v>
      </c>
    </row>
    <row r="119" spans="4:85" x14ac:dyDescent="0.25">
      <c r="D119" s="511"/>
      <c r="E119" s="510"/>
      <c r="F119" s="511"/>
      <c r="G119" s="510" t="s">
        <v>11</v>
      </c>
      <c r="H119" s="514">
        <v>0.28570000000000001</v>
      </c>
      <c r="I119" s="510" t="s">
        <v>10</v>
      </c>
      <c r="J119" s="514">
        <v>1</v>
      </c>
      <c r="K119" s="513" t="s">
        <v>13</v>
      </c>
      <c r="L119" s="514">
        <v>1</v>
      </c>
      <c r="M119" s="511" t="s">
        <v>17</v>
      </c>
      <c r="N119" s="512">
        <v>8.5106382999999994E-2</v>
      </c>
      <c r="O119" s="511" t="s">
        <v>19</v>
      </c>
      <c r="P119" s="512">
        <v>0.84089392900000004</v>
      </c>
      <c r="Q119" s="511" t="s">
        <v>17</v>
      </c>
      <c r="R119" s="512">
        <v>1</v>
      </c>
      <c r="S119" s="511"/>
      <c r="T119" s="520">
        <v>1.4101233806980027E-3</v>
      </c>
      <c r="U119" s="519" t="s">
        <v>49</v>
      </c>
      <c r="V119" s="176">
        <f>T119-T119*Calculation_sheet!F$58</f>
        <v>1.4101233806980027E-3</v>
      </c>
      <c r="W119" s="176">
        <f>V119-V119*Calculation_sheet!E$66</f>
        <v>1.4101233806980027E-3</v>
      </c>
      <c r="X119" s="176">
        <f>W119-W119*Calculation_sheet!E$76</f>
        <v>1.4101233806980027E-3</v>
      </c>
      <c r="Y119" s="34">
        <f>X119/Calculation_sheet!M$67</f>
        <v>1.4101522126851061E-3</v>
      </c>
      <c r="Z119" s="176">
        <f ca="1">IF(AN119&gt;0,Y119*Calculation_sheet!C$87,0)</f>
        <v>0</v>
      </c>
      <c r="AA119" s="176">
        <f t="shared" ca="1" si="135"/>
        <v>1.4101522126851061E-3</v>
      </c>
      <c r="AB119" s="176">
        <f ca="1">IF(AP119&gt;0,AA119*Calculation_sheet!C$94,0)</f>
        <v>0</v>
      </c>
      <c r="AC119" s="176">
        <f t="shared" ca="1" si="127"/>
        <v>1.4101522126851061E-3</v>
      </c>
      <c r="AD119" s="958">
        <f ca="1">AC119*Calculation_sheet!C$99</f>
        <v>8.4609132761106359E-4</v>
      </c>
      <c r="AE119" s="176">
        <f t="shared" ca="1" si="127"/>
        <v>5.640608850740425E-4</v>
      </c>
      <c r="AF119" s="176">
        <f t="shared" ca="1" si="136"/>
        <v>1.4101522126851061E-3</v>
      </c>
      <c r="AG119" s="958">
        <f ca="1">AF119*User_sheet!B$77/100</f>
        <v>0</v>
      </c>
      <c r="AH119" s="313"/>
      <c r="AI119" s="908">
        <v>201</v>
      </c>
      <c r="AJ119" s="313"/>
      <c r="AK119" s="1020">
        <f t="shared" ca="1" si="93"/>
        <v>489.69078190745324</v>
      </c>
      <c r="AL119" s="954">
        <f ca="1">AK119/'201'!I$24</f>
        <v>2.5540644756034694</v>
      </c>
      <c r="AM119" s="954">
        <f ca="1">0.8*(AK119*30+'201'!D$17*0.34*30*1)</f>
        <v>13842.779085778879</v>
      </c>
      <c r="AN119" s="954">
        <f ca="1">IF(AM119&lt;User_sheet!B$50,Y119,0)</f>
        <v>0</v>
      </c>
      <c r="AO119" s="954">
        <f ca="1">20-(User_sheet!B$57/(AK119+'201'!D$17*1*0.34))</f>
        <v>10.117591333915099</v>
      </c>
      <c r="AP119" s="954">
        <f ca="1">IF(AO119&lt;User_sheet!B$59,0,BC119*AA119)</f>
        <v>0</v>
      </c>
      <c r="AQ119" s="313"/>
      <c r="AR119" s="909">
        <v>14.1</v>
      </c>
      <c r="AS119" s="909">
        <v>3.7</v>
      </c>
      <c r="AT119" s="909">
        <v>7.9</v>
      </c>
      <c r="AU119" s="909">
        <v>5</v>
      </c>
      <c r="AV119" s="909">
        <v>3.3</v>
      </c>
      <c r="AW119" s="909">
        <v>7211.5338771527777</v>
      </c>
      <c r="AX119" s="909">
        <v>76466.30421774846</v>
      </c>
      <c r="AY119" s="909">
        <v>67352.647733737584</v>
      </c>
      <c r="AZ119" s="909">
        <v>0</v>
      </c>
      <c r="BA119" s="909">
        <v>0</v>
      </c>
      <c r="BB119" s="909">
        <v>0.87</v>
      </c>
      <c r="BC119" s="919">
        <v>0</v>
      </c>
      <c r="BD119" s="920">
        <v>0</v>
      </c>
      <c r="BE119" s="920">
        <v>0</v>
      </c>
      <c r="BF119" s="921">
        <v>1</v>
      </c>
      <c r="BG119" s="909">
        <v>0</v>
      </c>
      <c r="BH119" s="909">
        <v>1</v>
      </c>
      <c r="BI119" s="921">
        <v>0</v>
      </c>
      <c r="BJ119" s="909">
        <v>0</v>
      </c>
      <c r="BK119" s="909">
        <v>0</v>
      </c>
      <c r="BL119" s="909">
        <v>0</v>
      </c>
      <c r="BM119" s="921">
        <v>1</v>
      </c>
      <c r="BN119" s="958">
        <v>0</v>
      </c>
      <c r="BO119" s="959">
        <v>18</v>
      </c>
      <c r="BP119">
        <f t="shared" ca="1" si="128"/>
        <v>102.96</v>
      </c>
      <c r="BQ119">
        <f t="shared" ca="1" si="129"/>
        <v>174.94399999999999</v>
      </c>
      <c r="BR119">
        <f t="shared" ca="1" si="130"/>
        <v>37.440000000000005</v>
      </c>
      <c r="BS119">
        <f t="shared" ca="1" si="131"/>
        <v>112.95</v>
      </c>
      <c r="BT119">
        <f t="shared" ca="1" si="132"/>
        <v>34.32</v>
      </c>
      <c r="BU119">
        <f t="shared" ca="1" si="133"/>
        <v>7</v>
      </c>
      <c r="BV119">
        <f t="shared" ca="1" si="134"/>
        <v>4.3</v>
      </c>
      <c r="BW119" s="1018">
        <v>0</v>
      </c>
      <c r="BX119">
        <f t="shared" ca="1" si="111"/>
        <v>153.2822299651568</v>
      </c>
      <c r="BY119">
        <f t="shared" ca="1" si="112"/>
        <v>254.61921202274573</v>
      </c>
      <c r="BZ119">
        <f t="shared" ca="1" si="94"/>
        <v>37.76262239729882</v>
      </c>
      <c r="CA119">
        <f t="shared" ca="1" si="95"/>
        <v>34.999999965000001</v>
      </c>
      <c r="CB119">
        <f t="shared" ca="1" si="113"/>
        <v>9.0267175572519083</v>
      </c>
      <c r="CC119" s="1018">
        <f t="shared" si="96"/>
        <v>0</v>
      </c>
      <c r="CD119" s="1018">
        <f t="shared" ca="1" si="137"/>
        <v>489.69078190745324</v>
      </c>
      <c r="CE119" s="1018">
        <f t="shared" ca="1" si="138"/>
        <v>118.24810168778664</v>
      </c>
      <c r="CF119">
        <f t="shared" ca="1" si="97"/>
        <v>18.238166507857198</v>
      </c>
      <c r="CG119">
        <f t="shared" ca="1" si="98"/>
        <v>30365.817708921917</v>
      </c>
    </row>
    <row r="120" spans="4:85" s="516" customFormat="1" x14ac:dyDescent="0.25">
      <c r="D120" s="517"/>
      <c r="F120" s="517"/>
      <c r="H120" s="517"/>
      <c r="J120" s="517"/>
      <c r="K120" s="518"/>
      <c r="L120" s="517"/>
      <c r="M120" s="517"/>
      <c r="N120" s="517"/>
      <c r="O120" s="517"/>
      <c r="P120" s="517"/>
      <c r="Q120" s="517"/>
      <c r="R120" s="517"/>
      <c r="S120" s="517"/>
      <c r="T120" s="521"/>
      <c r="U120" s="517"/>
      <c r="V120" s="292"/>
      <c r="W120" s="292"/>
      <c r="X120" s="292"/>
      <c r="Y120" s="277"/>
      <c r="Z120" s="292"/>
      <c r="AA120" s="292"/>
      <c r="AB120" s="292"/>
      <c r="AC120" s="292"/>
      <c r="AD120" s="277"/>
      <c r="AE120" s="292"/>
      <c r="AF120" s="292"/>
      <c r="AG120" s="277"/>
      <c r="AH120" s="313"/>
      <c r="AI120" s="913"/>
      <c r="AJ120" s="313"/>
      <c r="AK120" s="1020">
        <f t="shared" si="93"/>
        <v>0</v>
      </c>
      <c r="AL120" s="941"/>
      <c r="AM120" s="941"/>
      <c r="AN120" s="941"/>
      <c r="AO120" s="986"/>
      <c r="AP120" s="986"/>
      <c r="AQ120" s="313"/>
      <c r="AR120" s="918"/>
      <c r="AS120" s="918"/>
      <c r="AT120" s="918"/>
      <c r="AU120" s="918"/>
      <c r="AV120" s="918"/>
      <c r="AW120" s="918"/>
      <c r="AX120" s="918"/>
      <c r="AY120" s="918"/>
      <c r="AZ120" s="918"/>
      <c r="BA120" s="918"/>
      <c r="BB120" s="918"/>
      <c r="BC120" s="45"/>
      <c r="BD120" s="277"/>
      <c r="BE120" s="277"/>
      <c r="BF120" s="49"/>
      <c r="BG120" s="918"/>
      <c r="BH120" s="918"/>
      <c r="BI120" s="49"/>
      <c r="BJ120" s="918"/>
      <c r="BK120" s="918"/>
      <c r="BL120" s="918"/>
      <c r="BM120" s="49"/>
      <c r="BN120" s="277"/>
      <c r="BO120" s="49"/>
      <c r="BW120" s="928"/>
      <c r="CC120" s="928"/>
      <c r="CD120" s="928"/>
      <c r="CE120" s="928"/>
    </row>
    <row r="121" spans="4:85" x14ac:dyDescent="0.25">
      <c r="D121" s="1"/>
      <c r="F121" s="1"/>
      <c r="G121" s="3"/>
      <c r="H121" s="6"/>
      <c r="I121" s="3"/>
      <c r="J121" s="6"/>
      <c r="K121" s="8"/>
      <c r="L121" s="6"/>
      <c r="M121" s="1"/>
      <c r="N121" s="1"/>
      <c r="O121" s="1"/>
      <c r="P121" s="1"/>
      <c r="Q121" s="1" t="s">
        <v>16</v>
      </c>
      <c r="R121" s="4"/>
      <c r="S121" s="1"/>
      <c r="T121" s="77"/>
      <c r="U121" s="294"/>
      <c r="X121" s="176">
        <f>W109-X109</f>
        <v>0</v>
      </c>
      <c r="Y121" s="34">
        <f>X121/Calculation_sheet!M$67</f>
        <v>0</v>
      </c>
      <c r="Z121" s="176">
        <f ca="1">IF(AN121&gt;0,Y121*Calculation_sheet!C$87,0)</f>
        <v>0</v>
      </c>
      <c r="AA121" s="176">
        <f ca="1">Y121-Z121</f>
        <v>0</v>
      </c>
      <c r="AB121" s="176">
        <f ca="1">IF(AP121&gt;0,AA121*Calculation_sheet!C$94,0)</f>
        <v>0</v>
      </c>
      <c r="AC121" s="176">
        <f t="shared" ref="AC121:AE131" ca="1" si="139">AA121-AB121</f>
        <v>0</v>
      </c>
      <c r="AD121" s="958">
        <f ca="1">AC121*Calculation_sheet!C$99</f>
        <v>0</v>
      </c>
      <c r="AE121" s="176">
        <f t="shared" ca="1" si="139"/>
        <v>0</v>
      </c>
      <c r="AF121" s="176">
        <f ca="1">Y121-AB121</f>
        <v>0</v>
      </c>
      <c r="AG121" s="958">
        <f ca="1">AF121*User_sheet!B$77/100</f>
        <v>0</v>
      </c>
      <c r="AH121" s="313"/>
      <c r="AI121" s="908">
        <v>201</v>
      </c>
      <c r="AJ121" s="313"/>
      <c r="AK121" s="1020">
        <f t="shared" ca="1" si="93"/>
        <v>326.75973944011486</v>
      </c>
      <c r="AL121" s="954">
        <f ca="1">AK121/'201'!I$24</f>
        <v>1.704270272988655</v>
      </c>
      <c r="AM121" s="954">
        <f ca="1">0.8*(AK121*30+'201'!D$17*0.34*30*1)</f>
        <v>9932.4340665627569</v>
      </c>
      <c r="AN121" s="954">
        <f ca="1">IF(AM121&lt;User_sheet!B$50,Y121,0)</f>
        <v>0</v>
      </c>
      <c r="AO121" s="954">
        <f ca="1">20-(User_sheet!B$57/(AK121+'201'!D$17*1*0.34))</f>
        <v>6.2269410415183994</v>
      </c>
      <c r="AP121" s="954">
        <f ca="1">IF(AO121&lt;User_sheet!B$59,0,BC121*AA121)</f>
        <v>0</v>
      </c>
      <c r="AQ121" s="313"/>
      <c r="AR121" s="909">
        <v>0.32</v>
      </c>
      <c r="AS121" s="909">
        <v>3.7</v>
      </c>
      <c r="AT121" s="909">
        <v>7.9</v>
      </c>
      <c r="AU121" s="909">
        <v>2</v>
      </c>
      <c r="AV121" s="909">
        <v>3.3</v>
      </c>
      <c r="AW121" s="909">
        <v>14356</v>
      </c>
      <c r="AX121" s="909">
        <v>76466.30421774846</v>
      </c>
      <c r="AY121" s="909">
        <v>67352.647733737584</v>
      </c>
      <c r="AZ121" s="917">
        <v>0</v>
      </c>
      <c r="BA121" s="917">
        <v>0</v>
      </c>
      <c r="BB121" s="909">
        <v>0.6</v>
      </c>
      <c r="BC121" s="919">
        <v>1</v>
      </c>
      <c r="BD121" s="920">
        <v>0</v>
      </c>
      <c r="BE121" s="920">
        <v>0</v>
      </c>
      <c r="BF121" s="921">
        <v>0</v>
      </c>
      <c r="BG121" s="920">
        <v>1</v>
      </c>
      <c r="BH121" s="920">
        <v>0</v>
      </c>
      <c r="BI121" s="921">
        <v>0</v>
      </c>
      <c r="BJ121" s="920">
        <v>1</v>
      </c>
      <c r="BK121" s="920">
        <v>0</v>
      </c>
      <c r="BL121" s="920">
        <v>0</v>
      </c>
      <c r="BM121" s="921">
        <v>0</v>
      </c>
      <c r="BN121" s="958">
        <v>0</v>
      </c>
      <c r="BO121" s="959">
        <v>18</v>
      </c>
      <c r="BP121">
        <f t="shared" ref="BP121:BP131" ca="1" si="140">INDIRECT("'"&amp;AI121&amp;"'!"&amp;"B2")</f>
        <v>102.96</v>
      </c>
      <c r="BQ121">
        <f t="shared" ref="BQ121:BQ131" ca="1" si="141">INDIRECT("'"&amp;AI121&amp;"'!"&amp;"C12")+INDIRECT("'"&amp;AI121&amp;"'!"&amp;"C13")+INDIRECT("'"&amp;AI121&amp;"'!"&amp;"C14")+INDIRECT("'"&amp;AI121&amp;"'!"&amp;"C15")+INDIRECT("'"&amp;AI121&amp;"'!"&amp;"C17")</f>
        <v>174.94399999999999</v>
      </c>
      <c r="BR121">
        <f t="shared" ref="BR121:BR131" ca="1" si="142">INDIRECT("'"&amp;AI121&amp;"'!"&amp;"G5")</f>
        <v>37.440000000000005</v>
      </c>
      <c r="BS121">
        <f t="shared" ref="BS121:BS131" ca="1" si="143">INDIRECT("'"&amp;AI121&amp;"'!"&amp;"G4")</f>
        <v>112.95</v>
      </c>
      <c r="BT121">
        <f t="shared" ref="BT121:BT131" ca="1" si="144">INDIRECT("'"&amp;AI121&amp;"'!"&amp;"G6")</f>
        <v>34.32</v>
      </c>
      <c r="BU121">
        <f t="shared" ref="BU121:BU131" ca="1" si="145">INDIRECT("'"&amp;AI121&amp;"'!"&amp;"G2")</f>
        <v>7</v>
      </c>
      <c r="BV121">
        <f t="shared" ref="BV121:BV131" ca="1" si="146">INDIRECT("'"&amp;AI121&amp;"'!"&amp;"G3")</f>
        <v>4.3</v>
      </c>
      <c r="BW121" s="1018">
        <v>0</v>
      </c>
      <c r="BX121">
        <f t="shared" ca="1" si="111"/>
        <v>11.351187468418397</v>
      </c>
      <c r="BY121">
        <f t="shared" ca="1" si="112"/>
        <v>254.61921202274573</v>
      </c>
      <c r="BZ121">
        <f t="shared" ca="1" si="94"/>
        <v>37.76262239729882</v>
      </c>
      <c r="CA121">
        <f t="shared" ca="1" si="95"/>
        <v>13.999999994400001</v>
      </c>
      <c r="CB121">
        <f t="shared" ca="1" si="113"/>
        <v>9.0267175572519083</v>
      </c>
      <c r="CC121" s="1018">
        <f t="shared" si="96"/>
        <v>0</v>
      </c>
      <c r="CD121" s="1018">
        <f t="shared" ref="CD121:CD131" ca="1" si="147">SUM(BX121:CC121)+(BR121+BS121+BT121+BU121+BV121)*BN121</f>
        <v>326.75973944011486</v>
      </c>
      <c r="CE121" s="1018">
        <f ca="1">0.34*BO121*(1/25)^0.66*(BR121+BS121+BU121+BV121)</f>
        <v>118.24810168778664</v>
      </c>
      <c r="CF121">
        <f t="shared" ca="1" si="97"/>
        <v>13.350235233837044</v>
      </c>
      <c r="CG121">
        <f t="shared" ca="1" si="98"/>
        <v>22227.607654929325</v>
      </c>
    </row>
    <row r="122" spans="4:85" x14ac:dyDescent="0.25">
      <c r="D122" s="1"/>
      <c r="F122" s="1"/>
      <c r="G122" s="3"/>
      <c r="H122" s="6"/>
      <c r="I122" s="3"/>
      <c r="J122" s="6"/>
      <c r="K122" s="8"/>
      <c r="L122" s="6"/>
      <c r="M122" s="1"/>
      <c r="N122" s="1"/>
      <c r="O122" s="1" t="s">
        <v>18</v>
      </c>
      <c r="P122" s="4"/>
      <c r="Q122" s="1" t="s">
        <v>7</v>
      </c>
      <c r="R122" s="4"/>
      <c r="S122" s="1"/>
      <c r="T122" s="77"/>
      <c r="U122" s="294"/>
      <c r="X122" s="176">
        <f t="shared" ref="X122:X131" si="148">W110-X110</f>
        <v>0</v>
      </c>
      <c r="Y122" s="34">
        <f>X122/Calculation_sheet!M$67</f>
        <v>0</v>
      </c>
      <c r="Z122" s="176">
        <f ca="1">IF(AN122&gt;0,Y122*Calculation_sheet!C$87,0)</f>
        <v>0</v>
      </c>
      <c r="AA122" s="176">
        <f t="shared" ref="AA122:AA131" ca="1" si="149">Y122-Z122</f>
        <v>0</v>
      </c>
      <c r="AB122" s="176">
        <f ca="1">IF(AP122&gt;0,AA122*Calculation_sheet!C$94,0)</f>
        <v>0</v>
      </c>
      <c r="AC122" s="176">
        <f t="shared" ca="1" si="139"/>
        <v>0</v>
      </c>
      <c r="AD122" s="958">
        <f ca="1">AC122*Calculation_sheet!C$99</f>
        <v>0</v>
      </c>
      <c r="AE122" s="176">
        <f t="shared" ca="1" si="139"/>
        <v>0</v>
      </c>
      <c r="AF122" s="176">
        <f t="shared" ref="AF122:AF131" ca="1" si="150">Y122-AB122</f>
        <v>0</v>
      </c>
      <c r="AG122" s="958">
        <f ca="1">AF122*User_sheet!B$77/100</f>
        <v>0</v>
      </c>
      <c r="AH122" s="313"/>
      <c r="AI122" s="908">
        <v>201</v>
      </c>
      <c r="AJ122" s="313"/>
      <c r="AK122" s="1020">
        <f t="shared" ca="1" si="93"/>
        <v>326.75973944011486</v>
      </c>
      <c r="AL122" s="954">
        <f ca="1">AK122/'201'!I$24</f>
        <v>1.704270272988655</v>
      </c>
      <c r="AM122" s="954">
        <f ca="1">0.8*(AK122*30+'201'!D$17*0.34*30*1)</f>
        <v>9932.4340665627569</v>
      </c>
      <c r="AN122" s="954">
        <f ca="1">IF(AM122&lt;User_sheet!B$50,Y122,0)</f>
        <v>0</v>
      </c>
      <c r="AO122" s="954">
        <f ca="1">20-(User_sheet!B$57/(AK122+'201'!D$17*1*0.34))</f>
        <v>6.2269410415183994</v>
      </c>
      <c r="AP122" s="954">
        <f ca="1">IF(AO122&lt;User_sheet!B$59,0,BC122*AA122)</f>
        <v>0</v>
      </c>
      <c r="AQ122" s="313"/>
      <c r="AR122" s="909">
        <v>0.32</v>
      </c>
      <c r="AS122" s="909">
        <v>3.7</v>
      </c>
      <c r="AT122" s="909">
        <v>7.9</v>
      </c>
      <c r="AU122" s="909">
        <v>2</v>
      </c>
      <c r="AV122" s="909">
        <v>3.3</v>
      </c>
      <c r="AW122" s="909">
        <v>14356</v>
      </c>
      <c r="AX122" s="909">
        <v>76466.30421774846</v>
      </c>
      <c r="AY122" s="909">
        <v>67352.647733737584</v>
      </c>
      <c r="AZ122" s="917">
        <v>0</v>
      </c>
      <c r="BA122" s="917">
        <v>0</v>
      </c>
      <c r="BB122" s="909">
        <v>0.6</v>
      </c>
      <c r="BC122" s="919">
        <v>1</v>
      </c>
      <c r="BD122" s="920">
        <v>0</v>
      </c>
      <c r="BE122" s="920">
        <v>0</v>
      </c>
      <c r="BF122" s="921">
        <v>0</v>
      </c>
      <c r="BG122" s="920">
        <v>1</v>
      </c>
      <c r="BH122" s="920">
        <v>0</v>
      </c>
      <c r="BI122" s="921">
        <v>0</v>
      </c>
      <c r="BJ122" s="920">
        <v>0</v>
      </c>
      <c r="BK122" s="920">
        <v>0</v>
      </c>
      <c r="BL122" s="920">
        <v>1</v>
      </c>
      <c r="BM122" s="921">
        <v>0</v>
      </c>
      <c r="BN122" s="958">
        <v>0</v>
      </c>
      <c r="BO122" s="959">
        <v>18</v>
      </c>
      <c r="BP122">
        <f t="shared" ca="1" si="140"/>
        <v>102.96</v>
      </c>
      <c r="BQ122">
        <f t="shared" ca="1" si="141"/>
        <v>174.94399999999999</v>
      </c>
      <c r="BR122">
        <f t="shared" ca="1" si="142"/>
        <v>37.440000000000005</v>
      </c>
      <c r="BS122">
        <f t="shared" ca="1" si="143"/>
        <v>112.95</v>
      </c>
      <c r="BT122">
        <f t="shared" ca="1" si="144"/>
        <v>34.32</v>
      </c>
      <c r="BU122">
        <f t="shared" ca="1" si="145"/>
        <v>7</v>
      </c>
      <c r="BV122">
        <f t="shared" ca="1" si="146"/>
        <v>4.3</v>
      </c>
      <c r="BW122" s="1018">
        <v>0</v>
      </c>
      <c r="BX122">
        <f t="shared" ca="1" si="111"/>
        <v>11.351187468418397</v>
      </c>
      <c r="BY122">
        <f t="shared" ca="1" si="112"/>
        <v>254.61921202274573</v>
      </c>
      <c r="BZ122">
        <f t="shared" ca="1" si="94"/>
        <v>37.76262239729882</v>
      </c>
      <c r="CA122">
        <f t="shared" ca="1" si="95"/>
        <v>13.999999994400001</v>
      </c>
      <c r="CB122">
        <f t="shared" ca="1" si="113"/>
        <v>9.0267175572519083</v>
      </c>
      <c r="CC122" s="1018">
        <f t="shared" si="96"/>
        <v>0</v>
      </c>
      <c r="CD122" s="1018">
        <f t="shared" ca="1" si="147"/>
        <v>326.75973944011486</v>
      </c>
      <c r="CE122" s="1018">
        <f t="shared" ref="CE122:CE131" ca="1" si="151">0.34*BO122*(1/25)^0.66*(BR122+BS122+BU122+BV122)</f>
        <v>118.24810168778664</v>
      </c>
      <c r="CF122">
        <f t="shared" ca="1" si="97"/>
        <v>13.350235233837044</v>
      </c>
      <c r="CG122">
        <f t="shared" ca="1" si="98"/>
        <v>22227.607654929325</v>
      </c>
    </row>
    <row r="123" spans="4:85" x14ac:dyDescent="0.25">
      <c r="D123" s="1"/>
      <c r="F123" s="1"/>
      <c r="G123" s="3"/>
      <c r="H123" s="6"/>
      <c r="I123" s="3"/>
      <c r="J123" s="6"/>
      <c r="K123" s="8"/>
      <c r="L123" s="6"/>
      <c r="M123" s="1"/>
      <c r="N123" s="1"/>
      <c r="O123" s="1"/>
      <c r="P123" s="1"/>
      <c r="Q123" s="1" t="s">
        <v>16</v>
      </c>
      <c r="R123" s="4"/>
      <c r="S123" s="1"/>
      <c r="T123" s="77"/>
      <c r="U123" s="294"/>
      <c r="X123" s="176">
        <f t="shared" si="148"/>
        <v>0</v>
      </c>
      <c r="Y123" s="34">
        <f>X123/Calculation_sheet!M$67</f>
        <v>0</v>
      </c>
      <c r="Z123" s="176">
        <f ca="1">IF(AN123&gt;0,Y123*Calculation_sheet!C$87,0)</f>
        <v>0</v>
      </c>
      <c r="AA123" s="176">
        <f t="shared" ca="1" si="149"/>
        <v>0</v>
      </c>
      <c r="AB123" s="176">
        <f ca="1">IF(AP123&gt;0,AA123*Calculation_sheet!C$94,0)</f>
        <v>0</v>
      </c>
      <c r="AC123" s="176">
        <f t="shared" ca="1" si="139"/>
        <v>0</v>
      </c>
      <c r="AD123" s="958">
        <f ca="1">AC123*Calculation_sheet!C$99</f>
        <v>0</v>
      </c>
      <c r="AE123" s="176">
        <f t="shared" ca="1" si="139"/>
        <v>0</v>
      </c>
      <c r="AF123" s="176">
        <f t="shared" ca="1" si="150"/>
        <v>0</v>
      </c>
      <c r="AG123" s="958">
        <f ca="1">AF123*User_sheet!B$77/100</f>
        <v>0</v>
      </c>
      <c r="AH123" s="313"/>
      <c r="AI123" s="908">
        <v>201</v>
      </c>
      <c r="AJ123" s="313"/>
      <c r="AK123" s="1020">
        <f t="shared" ca="1" si="93"/>
        <v>326.75973944011486</v>
      </c>
      <c r="AL123" s="954">
        <f ca="1">AK123/'201'!I$24</f>
        <v>1.704270272988655</v>
      </c>
      <c r="AM123" s="954">
        <f ca="1">0.8*(AK123*30+'201'!D$17*0.34*30*1)</f>
        <v>9932.4340665627569</v>
      </c>
      <c r="AN123" s="954">
        <f ca="1">IF(AM123&lt;User_sheet!B$50,Y123,0)</f>
        <v>0</v>
      </c>
      <c r="AO123" s="954">
        <f ca="1">20-(User_sheet!B$57/(AK123+'201'!D$17*1*0.34))</f>
        <v>6.2269410415183994</v>
      </c>
      <c r="AP123" s="954">
        <f ca="1">IF(AO123&lt;User_sheet!B$59,0,BC123*AA123)</f>
        <v>0</v>
      </c>
      <c r="AQ123" s="313"/>
      <c r="AR123" s="909">
        <v>0.32</v>
      </c>
      <c r="AS123" s="909">
        <v>3.7</v>
      </c>
      <c r="AT123" s="909">
        <v>7.9</v>
      </c>
      <c r="AU123" s="909">
        <v>2</v>
      </c>
      <c r="AV123" s="909">
        <v>3.3</v>
      </c>
      <c r="AW123" s="909">
        <v>14356</v>
      </c>
      <c r="AX123" s="909">
        <v>76466.30421774846</v>
      </c>
      <c r="AY123" s="909">
        <v>67352.647733737584</v>
      </c>
      <c r="AZ123" s="917">
        <v>0</v>
      </c>
      <c r="BA123" s="917">
        <v>0</v>
      </c>
      <c r="BB123" s="909">
        <v>0.6</v>
      </c>
      <c r="BC123" s="919">
        <v>1</v>
      </c>
      <c r="BD123" s="920">
        <v>0</v>
      </c>
      <c r="BE123" s="920">
        <v>0</v>
      </c>
      <c r="BF123" s="921">
        <v>0</v>
      </c>
      <c r="BG123" s="920">
        <v>0</v>
      </c>
      <c r="BH123" s="920">
        <v>1</v>
      </c>
      <c r="BI123" s="921">
        <v>0</v>
      </c>
      <c r="BJ123" s="920">
        <v>1</v>
      </c>
      <c r="BK123" s="920">
        <v>0</v>
      </c>
      <c r="BL123" s="920">
        <v>0</v>
      </c>
      <c r="BM123" s="921">
        <v>0</v>
      </c>
      <c r="BN123" s="958">
        <v>0</v>
      </c>
      <c r="BO123" s="959">
        <v>18</v>
      </c>
      <c r="BP123">
        <f t="shared" ca="1" si="140"/>
        <v>102.96</v>
      </c>
      <c r="BQ123">
        <f t="shared" ca="1" si="141"/>
        <v>174.94399999999999</v>
      </c>
      <c r="BR123">
        <f t="shared" ca="1" si="142"/>
        <v>37.440000000000005</v>
      </c>
      <c r="BS123">
        <f t="shared" ca="1" si="143"/>
        <v>112.95</v>
      </c>
      <c r="BT123">
        <f t="shared" ca="1" si="144"/>
        <v>34.32</v>
      </c>
      <c r="BU123">
        <f t="shared" ca="1" si="145"/>
        <v>7</v>
      </c>
      <c r="BV123">
        <f t="shared" ca="1" si="146"/>
        <v>4.3</v>
      </c>
      <c r="BW123" s="1018">
        <v>0</v>
      </c>
      <c r="BX123">
        <f t="shared" ca="1" si="111"/>
        <v>11.351187468418397</v>
      </c>
      <c r="BY123">
        <f t="shared" ca="1" si="112"/>
        <v>254.61921202274573</v>
      </c>
      <c r="BZ123">
        <f t="shared" ca="1" si="94"/>
        <v>37.76262239729882</v>
      </c>
      <c r="CA123">
        <f t="shared" ca="1" si="95"/>
        <v>13.999999994400001</v>
      </c>
      <c r="CB123">
        <f t="shared" ca="1" si="113"/>
        <v>9.0267175572519083</v>
      </c>
      <c r="CC123" s="1018">
        <f t="shared" si="96"/>
        <v>0</v>
      </c>
      <c r="CD123" s="1018">
        <f t="shared" ca="1" si="147"/>
        <v>326.75973944011486</v>
      </c>
      <c r="CE123" s="1018">
        <f t="shared" ca="1" si="151"/>
        <v>118.24810168778664</v>
      </c>
      <c r="CF123">
        <f t="shared" ca="1" si="97"/>
        <v>13.350235233837044</v>
      </c>
      <c r="CG123">
        <f t="shared" ca="1" si="98"/>
        <v>22227.607654929325</v>
      </c>
    </row>
    <row r="124" spans="4:85" x14ac:dyDescent="0.25">
      <c r="D124" s="1"/>
      <c r="F124" s="1"/>
      <c r="G124" s="3"/>
      <c r="H124" s="6"/>
      <c r="I124" s="3"/>
      <c r="J124" s="6"/>
      <c r="K124" s="8"/>
      <c r="L124" s="6"/>
      <c r="M124" s="1" t="s">
        <v>16</v>
      </c>
      <c r="N124" s="4"/>
      <c r="O124" s="1" t="s">
        <v>19</v>
      </c>
      <c r="P124" s="4"/>
      <c r="Q124" s="1" t="s">
        <v>7</v>
      </c>
      <c r="R124" s="4"/>
      <c r="S124" s="1"/>
      <c r="T124" s="77"/>
      <c r="U124" s="294"/>
      <c r="X124" s="176">
        <f t="shared" si="148"/>
        <v>0</v>
      </c>
      <c r="Y124" s="34">
        <f>X124/Calculation_sheet!M$67</f>
        <v>0</v>
      </c>
      <c r="Z124" s="176">
        <f ca="1">IF(AN124&gt;0,Y124*Calculation_sheet!C$87,0)</f>
        <v>0</v>
      </c>
      <c r="AA124" s="176">
        <f t="shared" ca="1" si="149"/>
        <v>0</v>
      </c>
      <c r="AB124" s="176">
        <f ca="1">IF(AP124&gt;0,AA124*Calculation_sheet!C$94,0)</f>
        <v>0</v>
      </c>
      <c r="AC124" s="176">
        <f t="shared" ca="1" si="139"/>
        <v>0</v>
      </c>
      <c r="AD124" s="958">
        <f ca="1">AC124*Calculation_sheet!C$99</f>
        <v>0</v>
      </c>
      <c r="AE124" s="176">
        <f t="shared" ca="1" si="139"/>
        <v>0</v>
      </c>
      <c r="AF124" s="176">
        <f t="shared" ca="1" si="150"/>
        <v>0</v>
      </c>
      <c r="AG124" s="958">
        <f ca="1">AF124*User_sheet!B$77/100</f>
        <v>0</v>
      </c>
      <c r="AH124" s="313"/>
      <c r="AI124" s="908">
        <v>201</v>
      </c>
      <c r="AJ124" s="313"/>
      <c r="AK124" s="1020">
        <f t="shared" ca="1" si="93"/>
        <v>326.75973944011486</v>
      </c>
      <c r="AL124" s="954">
        <f ca="1">AK124/'201'!I$24</f>
        <v>1.704270272988655</v>
      </c>
      <c r="AM124" s="954">
        <f ca="1">0.8*(AK124*30+'201'!D$17*0.34*30*1)</f>
        <v>9932.4340665627569</v>
      </c>
      <c r="AN124" s="954">
        <f ca="1">IF(AM124&lt;User_sheet!B$50,Y124,0)</f>
        <v>0</v>
      </c>
      <c r="AO124" s="954">
        <f ca="1">20-(User_sheet!B$57/(AK124+'201'!D$17*1*0.34))</f>
        <v>6.2269410415183994</v>
      </c>
      <c r="AP124" s="954">
        <f ca="1">IF(AO124&lt;User_sheet!B$59,0,BC124*AA124)</f>
        <v>0</v>
      </c>
      <c r="AQ124" s="313"/>
      <c r="AR124" s="909">
        <v>0.32</v>
      </c>
      <c r="AS124" s="909">
        <v>3.7</v>
      </c>
      <c r="AT124" s="909">
        <v>7.9</v>
      </c>
      <c r="AU124" s="909">
        <v>2</v>
      </c>
      <c r="AV124" s="909">
        <v>3.3</v>
      </c>
      <c r="AW124" s="909">
        <v>14356</v>
      </c>
      <c r="AX124" s="909">
        <v>76466.30421774846</v>
      </c>
      <c r="AY124" s="909">
        <v>67352.647733737584</v>
      </c>
      <c r="AZ124" s="917">
        <v>0</v>
      </c>
      <c r="BA124" s="917">
        <v>0</v>
      </c>
      <c r="BB124" s="909">
        <v>0.6</v>
      </c>
      <c r="BC124" s="919">
        <v>1</v>
      </c>
      <c r="BD124" s="920">
        <v>0</v>
      </c>
      <c r="BE124" s="920">
        <v>0</v>
      </c>
      <c r="BF124" s="921">
        <v>0</v>
      </c>
      <c r="BG124" s="920">
        <v>0</v>
      </c>
      <c r="BH124" s="920">
        <v>1</v>
      </c>
      <c r="BI124" s="921">
        <v>0</v>
      </c>
      <c r="BJ124" s="920">
        <v>0</v>
      </c>
      <c r="BK124" s="920">
        <v>0</v>
      </c>
      <c r="BL124" s="920">
        <v>1</v>
      </c>
      <c r="BM124" s="921">
        <v>0</v>
      </c>
      <c r="BN124" s="958">
        <v>0</v>
      </c>
      <c r="BO124" s="959">
        <v>18</v>
      </c>
      <c r="BP124">
        <f t="shared" ca="1" si="140"/>
        <v>102.96</v>
      </c>
      <c r="BQ124">
        <f t="shared" ca="1" si="141"/>
        <v>174.94399999999999</v>
      </c>
      <c r="BR124">
        <f t="shared" ca="1" si="142"/>
        <v>37.440000000000005</v>
      </c>
      <c r="BS124">
        <f t="shared" ca="1" si="143"/>
        <v>112.95</v>
      </c>
      <c r="BT124">
        <f t="shared" ca="1" si="144"/>
        <v>34.32</v>
      </c>
      <c r="BU124">
        <f t="shared" ca="1" si="145"/>
        <v>7</v>
      </c>
      <c r="BV124">
        <f t="shared" ca="1" si="146"/>
        <v>4.3</v>
      </c>
      <c r="BW124" s="1018">
        <v>0</v>
      </c>
      <c r="BX124">
        <f t="shared" ca="1" si="111"/>
        <v>11.351187468418397</v>
      </c>
      <c r="BY124">
        <f t="shared" ca="1" si="112"/>
        <v>254.61921202274573</v>
      </c>
      <c r="BZ124">
        <f t="shared" ca="1" si="94"/>
        <v>37.76262239729882</v>
      </c>
      <c r="CA124">
        <f t="shared" ca="1" si="95"/>
        <v>13.999999994400001</v>
      </c>
      <c r="CB124">
        <f t="shared" ca="1" si="113"/>
        <v>9.0267175572519083</v>
      </c>
      <c r="CC124" s="1018">
        <f t="shared" si="96"/>
        <v>0</v>
      </c>
      <c r="CD124" s="1018">
        <f t="shared" ca="1" si="147"/>
        <v>326.75973944011486</v>
      </c>
      <c r="CE124" s="1018">
        <f t="shared" ca="1" si="151"/>
        <v>118.24810168778664</v>
      </c>
      <c r="CF124">
        <f t="shared" ca="1" si="97"/>
        <v>13.350235233837044</v>
      </c>
      <c r="CG124">
        <f t="shared" ca="1" si="98"/>
        <v>22227.607654929325</v>
      </c>
    </row>
    <row r="125" spans="4:85" x14ac:dyDescent="0.25">
      <c r="D125" s="1"/>
      <c r="F125" s="1"/>
      <c r="G125" s="3"/>
      <c r="H125" s="6"/>
      <c r="I125" s="3"/>
      <c r="J125" s="6"/>
      <c r="K125" s="8"/>
      <c r="L125" s="6"/>
      <c r="M125" s="1"/>
      <c r="N125" s="1"/>
      <c r="O125" s="1"/>
      <c r="P125" s="1"/>
      <c r="Q125" s="1" t="s">
        <v>22</v>
      </c>
      <c r="R125" s="4"/>
      <c r="S125" s="1"/>
      <c r="T125" s="77"/>
      <c r="U125" s="294"/>
      <c r="X125" s="176">
        <f t="shared" si="148"/>
        <v>0</v>
      </c>
      <c r="Y125" s="34">
        <f>X125/Calculation_sheet!M$67</f>
        <v>0</v>
      </c>
      <c r="Z125" s="176">
        <f ca="1">IF(AN125&gt;0,Y125*Calculation_sheet!C$87,0)</f>
        <v>0</v>
      </c>
      <c r="AA125" s="176">
        <f t="shared" ca="1" si="149"/>
        <v>0</v>
      </c>
      <c r="AB125" s="176">
        <f ca="1">IF(AP125&gt;0,AA125*Calculation_sheet!C$94,0)</f>
        <v>0</v>
      </c>
      <c r="AC125" s="176">
        <f t="shared" ca="1" si="139"/>
        <v>0</v>
      </c>
      <c r="AD125" s="958">
        <f ca="1">AC125*Calculation_sheet!C$99</f>
        <v>0</v>
      </c>
      <c r="AE125" s="176">
        <f t="shared" ca="1" si="139"/>
        <v>0</v>
      </c>
      <c r="AF125" s="176">
        <f t="shared" ca="1" si="150"/>
        <v>0</v>
      </c>
      <c r="AG125" s="958">
        <f ca="1">AF125*User_sheet!B$77/100</f>
        <v>0</v>
      </c>
      <c r="AH125" s="313"/>
      <c r="AI125" s="908">
        <v>201</v>
      </c>
      <c r="AJ125" s="313"/>
      <c r="AK125" s="1020">
        <f t="shared" ca="1" si="93"/>
        <v>326.75973944011486</v>
      </c>
      <c r="AL125" s="954">
        <f ca="1">AK125/'201'!I$24</f>
        <v>1.704270272988655</v>
      </c>
      <c r="AM125" s="954">
        <f ca="1">0.8*(AK125*30+'201'!D$17*0.34*30*1)</f>
        <v>9932.4340665627569</v>
      </c>
      <c r="AN125" s="954">
        <f ca="1">IF(AM125&lt;User_sheet!B$50,Y125,0)</f>
        <v>0</v>
      </c>
      <c r="AO125" s="954">
        <f ca="1">20-(User_sheet!B$57/(AK125+'201'!D$17*1*0.34))</f>
        <v>6.2269410415183994</v>
      </c>
      <c r="AP125" s="954">
        <f ca="1">IF(AO125&lt;User_sheet!B$59,0,BC125*AA125)</f>
        <v>0</v>
      </c>
      <c r="AQ125" s="313"/>
      <c r="AR125" s="909">
        <v>0.32</v>
      </c>
      <c r="AS125" s="909">
        <v>3.7</v>
      </c>
      <c r="AT125" s="909">
        <v>7.9</v>
      </c>
      <c r="AU125" s="909">
        <v>2</v>
      </c>
      <c r="AV125" s="909">
        <v>3.3</v>
      </c>
      <c r="AW125" s="909">
        <v>14356</v>
      </c>
      <c r="AX125" s="909">
        <v>76466.30421774846</v>
      </c>
      <c r="AY125" s="909">
        <v>67352.647733737584</v>
      </c>
      <c r="AZ125" s="917">
        <v>0</v>
      </c>
      <c r="BA125" s="917">
        <v>0</v>
      </c>
      <c r="BB125" s="909">
        <v>0.6</v>
      </c>
      <c r="BC125" s="919">
        <v>0</v>
      </c>
      <c r="BD125" s="920">
        <v>1</v>
      </c>
      <c r="BE125" s="920">
        <v>0</v>
      </c>
      <c r="BF125" s="921">
        <v>0</v>
      </c>
      <c r="BG125" s="920">
        <v>1</v>
      </c>
      <c r="BH125" s="920">
        <v>0</v>
      </c>
      <c r="BI125" s="921">
        <v>0</v>
      </c>
      <c r="BJ125" s="920">
        <v>0</v>
      </c>
      <c r="BK125" s="920">
        <v>1</v>
      </c>
      <c r="BL125" s="920">
        <v>0</v>
      </c>
      <c r="BM125" s="921">
        <v>0</v>
      </c>
      <c r="BN125" s="958">
        <v>0</v>
      </c>
      <c r="BO125" s="959">
        <v>18</v>
      </c>
      <c r="BP125">
        <f t="shared" ca="1" si="140"/>
        <v>102.96</v>
      </c>
      <c r="BQ125">
        <f t="shared" ca="1" si="141"/>
        <v>174.94399999999999</v>
      </c>
      <c r="BR125">
        <f t="shared" ca="1" si="142"/>
        <v>37.440000000000005</v>
      </c>
      <c r="BS125">
        <f t="shared" ca="1" si="143"/>
        <v>112.95</v>
      </c>
      <c r="BT125">
        <f t="shared" ca="1" si="144"/>
        <v>34.32</v>
      </c>
      <c r="BU125">
        <f t="shared" ca="1" si="145"/>
        <v>7</v>
      </c>
      <c r="BV125">
        <f t="shared" ca="1" si="146"/>
        <v>4.3</v>
      </c>
      <c r="BW125" s="1018">
        <v>0</v>
      </c>
      <c r="BX125">
        <f t="shared" ca="1" si="111"/>
        <v>11.351187468418397</v>
      </c>
      <c r="BY125">
        <f t="shared" ca="1" si="112"/>
        <v>254.61921202274573</v>
      </c>
      <c r="BZ125">
        <f t="shared" ca="1" si="94"/>
        <v>37.76262239729882</v>
      </c>
      <c r="CA125">
        <f t="shared" ca="1" si="95"/>
        <v>13.999999994400001</v>
      </c>
      <c r="CB125">
        <f t="shared" ca="1" si="113"/>
        <v>9.0267175572519083</v>
      </c>
      <c r="CC125" s="1018">
        <f t="shared" si="96"/>
        <v>0</v>
      </c>
      <c r="CD125" s="1018">
        <f t="shared" ca="1" si="147"/>
        <v>326.75973944011486</v>
      </c>
      <c r="CE125" s="1018">
        <f t="shared" ca="1" si="151"/>
        <v>118.24810168778664</v>
      </c>
      <c r="CF125">
        <f t="shared" ca="1" si="97"/>
        <v>13.350235233837044</v>
      </c>
      <c r="CG125">
        <f t="shared" ca="1" si="98"/>
        <v>22227.607654929325</v>
      </c>
    </row>
    <row r="126" spans="4:85" x14ac:dyDescent="0.25">
      <c r="D126" s="1"/>
      <c r="F126" s="1"/>
      <c r="G126" s="3"/>
      <c r="H126" s="6"/>
      <c r="I126" s="3"/>
      <c r="J126" s="3" t="s">
        <v>144</v>
      </c>
      <c r="K126" s="8"/>
      <c r="L126" s="6"/>
      <c r="M126" s="1"/>
      <c r="N126" s="1"/>
      <c r="O126" s="1" t="s">
        <v>18</v>
      </c>
      <c r="P126" s="4"/>
      <c r="Q126" s="1" t="s">
        <v>7</v>
      </c>
      <c r="R126" s="4"/>
      <c r="S126" s="1"/>
      <c r="T126" s="77"/>
      <c r="U126" s="294"/>
      <c r="X126" s="176">
        <f t="shared" si="148"/>
        <v>0</v>
      </c>
      <c r="Y126" s="34">
        <f>X126/Calculation_sheet!M$67</f>
        <v>0</v>
      </c>
      <c r="Z126" s="176">
        <f ca="1">IF(AN126&gt;0,Y126*Calculation_sheet!C$87,0)</f>
        <v>0</v>
      </c>
      <c r="AA126" s="176">
        <f t="shared" ca="1" si="149"/>
        <v>0</v>
      </c>
      <c r="AB126" s="176">
        <f ca="1">IF(AP126&gt;0,AA126*Calculation_sheet!C$94,0)</f>
        <v>0</v>
      </c>
      <c r="AC126" s="176">
        <f t="shared" ca="1" si="139"/>
        <v>0</v>
      </c>
      <c r="AD126" s="958">
        <f ca="1">AC126*Calculation_sheet!C$99</f>
        <v>0</v>
      </c>
      <c r="AE126" s="176">
        <f t="shared" ca="1" si="139"/>
        <v>0</v>
      </c>
      <c r="AF126" s="176">
        <f t="shared" ca="1" si="150"/>
        <v>0</v>
      </c>
      <c r="AG126" s="958">
        <f ca="1">AF126*User_sheet!B$77/100</f>
        <v>0</v>
      </c>
      <c r="AH126" s="313"/>
      <c r="AI126" s="908">
        <v>201</v>
      </c>
      <c r="AJ126" s="313"/>
      <c r="AK126" s="1020">
        <f t="shared" ca="1" si="93"/>
        <v>326.75973944011486</v>
      </c>
      <c r="AL126" s="954">
        <f ca="1">AK126/'201'!I$24</f>
        <v>1.704270272988655</v>
      </c>
      <c r="AM126" s="954">
        <f ca="1">0.8*(AK126*30+'201'!D$17*0.34*30*1)</f>
        <v>9932.4340665627569</v>
      </c>
      <c r="AN126" s="954">
        <f ca="1">IF(AM126&lt;User_sheet!B$50,Y126,0)</f>
        <v>0</v>
      </c>
      <c r="AO126" s="954">
        <f ca="1">20-(User_sheet!B$57/(AK126+'201'!D$17*1*0.34))</f>
        <v>6.2269410415183994</v>
      </c>
      <c r="AP126" s="954">
        <f ca="1">IF(AO126&lt;User_sheet!B$59,0,BC126*AA126)</f>
        <v>0</v>
      </c>
      <c r="AQ126" s="313"/>
      <c r="AR126" s="909">
        <v>0.32</v>
      </c>
      <c r="AS126" s="909">
        <v>3.7</v>
      </c>
      <c r="AT126" s="909">
        <v>7.9</v>
      </c>
      <c r="AU126" s="909">
        <v>2</v>
      </c>
      <c r="AV126" s="909">
        <v>3.3</v>
      </c>
      <c r="AW126" s="909">
        <v>14356</v>
      </c>
      <c r="AX126" s="909">
        <v>76466.30421774846</v>
      </c>
      <c r="AY126" s="909">
        <v>67352.647733737584</v>
      </c>
      <c r="AZ126" s="917">
        <v>0</v>
      </c>
      <c r="BA126" s="917">
        <v>0</v>
      </c>
      <c r="BB126" s="909">
        <v>0.6</v>
      </c>
      <c r="BC126" s="919">
        <v>0</v>
      </c>
      <c r="BD126" s="920">
        <v>1</v>
      </c>
      <c r="BE126" s="920">
        <v>0</v>
      </c>
      <c r="BF126" s="921">
        <v>0</v>
      </c>
      <c r="BG126" s="920">
        <v>1</v>
      </c>
      <c r="BH126" s="920">
        <v>0</v>
      </c>
      <c r="BI126" s="921">
        <v>0</v>
      </c>
      <c r="BJ126" s="920">
        <v>0</v>
      </c>
      <c r="BK126" s="920">
        <v>0</v>
      </c>
      <c r="BL126" s="920">
        <v>1</v>
      </c>
      <c r="BM126" s="921">
        <v>0</v>
      </c>
      <c r="BN126" s="958">
        <v>0</v>
      </c>
      <c r="BO126" s="959">
        <v>18</v>
      </c>
      <c r="BP126">
        <f t="shared" ca="1" si="140"/>
        <v>102.96</v>
      </c>
      <c r="BQ126">
        <f t="shared" ca="1" si="141"/>
        <v>174.94399999999999</v>
      </c>
      <c r="BR126">
        <f t="shared" ca="1" si="142"/>
        <v>37.440000000000005</v>
      </c>
      <c r="BS126">
        <f t="shared" ca="1" si="143"/>
        <v>112.95</v>
      </c>
      <c r="BT126">
        <f t="shared" ca="1" si="144"/>
        <v>34.32</v>
      </c>
      <c r="BU126">
        <f t="shared" ca="1" si="145"/>
        <v>7</v>
      </c>
      <c r="BV126">
        <f t="shared" ca="1" si="146"/>
        <v>4.3</v>
      </c>
      <c r="BW126" s="1018">
        <v>0</v>
      </c>
      <c r="BX126">
        <f t="shared" ca="1" si="111"/>
        <v>11.351187468418397</v>
      </c>
      <c r="BY126">
        <f t="shared" ca="1" si="112"/>
        <v>254.61921202274573</v>
      </c>
      <c r="BZ126">
        <f t="shared" ca="1" si="94"/>
        <v>37.76262239729882</v>
      </c>
      <c r="CA126">
        <f t="shared" ca="1" si="95"/>
        <v>13.999999994400001</v>
      </c>
      <c r="CB126">
        <f t="shared" ca="1" si="113"/>
        <v>9.0267175572519083</v>
      </c>
      <c r="CC126" s="1018">
        <f t="shared" si="96"/>
        <v>0</v>
      </c>
      <c r="CD126" s="1018">
        <f t="shared" ca="1" si="147"/>
        <v>326.75973944011486</v>
      </c>
      <c r="CE126" s="1018">
        <f t="shared" ca="1" si="151"/>
        <v>118.24810168778664</v>
      </c>
      <c r="CF126">
        <f t="shared" ca="1" si="97"/>
        <v>13.350235233837044</v>
      </c>
      <c r="CG126">
        <f t="shared" ca="1" si="98"/>
        <v>22227.607654929325</v>
      </c>
    </row>
    <row r="127" spans="4:85" x14ac:dyDescent="0.25">
      <c r="D127" s="1"/>
      <c r="F127" s="1"/>
      <c r="G127" s="3"/>
      <c r="H127" s="6"/>
      <c r="I127" s="3"/>
      <c r="J127" s="6" t="s">
        <v>190</v>
      </c>
      <c r="K127" s="8"/>
      <c r="L127" s="6"/>
      <c r="M127" s="1"/>
      <c r="N127" s="1"/>
      <c r="O127" s="1"/>
      <c r="P127" s="1"/>
      <c r="Q127" s="1" t="s">
        <v>22</v>
      </c>
      <c r="R127" s="4"/>
      <c r="S127" s="1"/>
      <c r="T127" s="77"/>
      <c r="U127" s="294"/>
      <c r="X127" s="176">
        <f t="shared" si="148"/>
        <v>0</v>
      </c>
      <c r="Y127" s="34">
        <f>X127/Calculation_sheet!M$67</f>
        <v>0</v>
      </c>
      <c r="Z127" s="176">
        <f ca="1">IF(AN127&gt;0,Y127*Calculation_sheet!C$87,0)</f>
        <v>0</v>
      </c>
      <c r="AA127" s="176">
        <f t="shared" ca="1" si="149"/>
        <v>0</v>
      </c>
      <c r="AB127" s="176">
        <f ca="1">IF(AP127&gt;0,AA127*Calculation_sheet!C$94,0)</f>
        <v>0</v>
      </c>
      <c r="AC127" s="176">
        <f t="shared" ca="1" si="139"/>
        <v>0</v>
      </c>
      <c r="AD127" s="958">
        <f ca="1">AC127*Calculation_sheet!C$99</f>
        <v>0</v>
      </c>
      <c r="AE127" s="176">
        <f t="shared" ca="1" si="139"/>
        <v>0</v>
      </c>
      <c r="AF127" s="176">
        <f t="shared" ca="1" si="150"/>
        <v>0</v>
      </c>
      <c r="AG127" s="958">
        <f ca="1">AF127*User_sheet!B$77/100</f>
        <v>0</v>
      </c>
      <c r="AH127" s="313"/>
      <c r="AI127" s="908">
        <v>201</v>
      </c>
      <c r="AJ127" s="313"/>
      <c r="AK127" s="1020">
        <f t="shared" ca="1" si="93"/>
        <v>326.75973944011486</v>
      </c>
      <c r="AL127" s="954">
        <f ca="1">AK127/'201'!I$24</f>
        <v>1.704270272988655</v>
      </c>
      <c r="AM127" s="954">
        <f ca="1">0.8*(AK127*30+'201'!D$17*0.34*30*1)</f>
        <v>9932.4340665627569</v>
      </c>
      <c r="AN127" s="954">
        <f ca="1">IF(AM127&lt;User_sheet!B$50,Y127,0)</f>
        <v>0</v>
      </c>
      <c r="AO127" s="954">
        <f ca="1">20-(User_sheet!B$57/(AK127+'201'!D$17*1*0.34))</f>
        <v>6.2269410415183994</v>
      </c>
      <c r="AP127" s="954">
        <f ca="1">IF(AO127&lt;User_sheet!B$59,0,BC127*AA127)</f>
        <v>0</v>
      </c>
      <c r="AQ127" s="313"/>
      <c r="AR127" s="909">
        <v>0.32</v>
      </c>
      <c r="AS127" s="909">
        <v>3.7</v>
      </c>
      <c r="AT127" s="909">
        <v>7.9</v>
      </c>
      <c r="AU127" s="909">
        <v>2</v>
      </c>
      <c r="AV127" s="909">
        <v>3.3</v>
      </c>
      <c r="AW127" s="909">
        <v>14356</v>
      </c>
      <c r="AX127" s="909">
        <v>76466.30421774846</v>
      </c>
      <c r="AY127" s="909">
        <v>67352.647733737584</v>
      </c>
      <c r="AZ127" s="917">
        <v>0</v>
      </c>
      <c r="BA127" s="917">
        <v>0</v>
      </c>
      <c r="BB127" s="909">
        <v>0.6</v>
      </c>
      <c r="BC127" s="919">
        <v>0</v>
      </c>
      <c r="BD127" s="920">
        <v>1</v>
      </c>
      <c r="BE127" s="920">
        <v>0</v>
      </c>
      <c r="BF127" s="921">
        <v>0</v>
      </c>
      <c r="BG127" s="920">
        <v>0</v>
      </c>
      <c r="BH127" s="920">
        <v>1</v>
      </c>
      <c r="BI127" s="921">
        <v>0</v>
      </c>
      <c r="BJ127" s="920">
        <v>0</v>
      </c>
      <c r="BK127" s="920">
        <v>1</v>
      </c>
      <c r="BL127" s="920">
        <v>0</v>
      </c>
      <c r="BM127" s="921">
        <v>0</v>
      </c>
      <c r="BN127" s="958">
        <v>0</v>
      </c>
      <c r="BO127" s="959">
        <v>18</v>
      </c>
      <c r="BP127">
        <f t="shared" ca="1" si="140"/>
        <v>102.96</v>
      </c>
      <c r="BQ127">
        <f t="shared" ca="1" si="141"/>
        <v>174.94399999999999</v>
      </c>
      <c r="BR127">
        <f t="shared" ca="1" si="142"/>
        <v>37.440000000000005</v>
      </c>
      <c r="BS127">
        <f t="shared" ca="1" si="143"/>
        <v>112.95</v>
      </c>
      <c r="BT127">
        <f t="shared" ca="1" si="144"/>
        <v>34.32</v>
      </c>
      <c r="BU127">
        <f t="shared" ca="1" si="145"/>
        <v>7</v>
      </c>
      <c r="BV127">
        <f t="shared" ca="1" si="146"/>
        <v>4.3</v>
      </c>
      <c r="BW127" s="1018">
        <v>0</v>
      </c>
      <c r="BX127">
        <f t="shared" ca="1" si="111"/>
        <v>11.351187468418397</v>
      </c>
      <c r="BY127">
        <f t="shared" ca="1" si="112"/>
        <v>254.61921202274573</v>
      </c>
      <c r="BZ127">
        <f t="shared" ca="1" si="94"/>
        <v>37.76262239729882</v>
      </c>
      <c r="CA127">
        <f t="shared" ca="1" si="95"/>
        <v>13.999999994400001</v>
      </c>
      <c r="CB127">
        <f t="shared" ca="1" si="113"/>
        <v>9.0267175572519083</v>
      </c>
      <c r="CC127" s="1018">
        <f t="shared" si="96"/>
        <v>0</v>
      </c>
      <c r="CD127" s="1018">
        <f t="shared" ca="1" si="147"/>
        <v>326.75973944011486</v>
      </c>
      <c r="CE127" s="1018">
        <f t="shared" ca="1" si="151"/>
        <v>118.24810168778664</v>
      </c>
      <c r="CF127">
        <f t="shared" ca="1" si="97"/>
        <v>13.350235233837044</v>
      </c>
      <c r="CG127">
        <f t="shared" ca="1" si="98"/>
        <v>22227.607654929325</v>
      </c>
    </row>
    <row r="128" spans="4:85" x14ac:dyDescent="0.25">
      <c r="D128" s="1"/>
      <c r="F128" s="1"/>
      <c r="G128" s="3"/>
      <c r="H128" s="6"/>
      <c r="I128" s="3"/>
      <c r="J128" s="6"/>
      <c r="K128" s="8"/>
      <c r="L128" s="6"/>
      <c r="M128" s="1" t="s">
        <v>22</v>
      </c>
      <c r="N128" s="4"/>
      <c r="O128" s="1" t="s">
        <v>20</v>
      </c>
      <c r="P128" s="4"/>
      <c r="Q128" s="1" t="s">
        <v>7</v>
      </c>
      <c r="R128" s="4"/>
      <c r="S128" s="1"/>
      <c r="T128" s="77"/>
      <c r="U128" s="294"/>
      <c r="X128" s="176">
        <f t="shared" si="148"/>
        <v>0</v>
      </c>
      <c r="Y128" s="34">
        <f>X128/Calculation_sheet!M$67</f>
        <v>0</v>
      </c>
      <c r="Z128" s="176">
        <f ca="1">IF(AN128&gt;0,Y128*Calculation_sheet!C$87,0)</f>
        <v>0</v>
      </c>
      <c r="AA128" s="176">
        <f t="shared" ca="1" si="149"/>
        <v>0</v>
      </c>
      <c r="AB128" s="176">
        <f ca="1">IF(AP128&gt;0,AA128*Calculation_sheet!C$94,0)</f>
        <v>0</v>
      </c>
      <c r="AC128" s="176">
        <f t="shared" ca="1" si="139"/>
        <v>0</v>
      </c>
      <c r="AD128" s="958">
        <f ca="1">AC128*Calculation_sheet!C$99</f>
        <v>0</v>
      </c>
      <c r="AE128" s="176">
        <f t="shared" ca="1" si="139"/>
        <v>0</v>
      </c>
      <c r="AF128" s="176">
        <f t="shared" ca="1" si="150"/>
        <v>0</v>
      </c>
      <c r="AG128" s="958">
        <f ca="1">AF128*User_sheet!B$77/100</f>
        <v>0</v>
      </c>
      <c r="AH128" s="313"/>
      <c r="AI128" s="908">
        <v>201</v>
      </c>
      <c r="AJ128" s="313"/>
      <c r="AK128" s="1020">
        <f t="shared" ca="1" si="93"/>
        <v>326.75973944011486</v>
      </c>
      <c r="AL128" s="954">
        <f ca="1">AK128/'201'!I$24</f>
        <v>1.704270272988655</v>
      </c>
      <c r="AM128" s="954">
        <f ca="1">0.8*(AK128*30+'201'!D$17*0.34*30*1)</f>
        <v>9932.4340665627569</v>
      </c>
      <c r="AN128" s="954">
        <f ca="1">IF(AM128&lt;User_sheet!B$50,Y128,0)</f>
        <v>0</v>
      </c>
      <c r="AO128" s="954">
        <f ca="1">20-(User_sheet!B$57/(AK128+'201'!D$17*1*0.34))</f>
        <v>6.2269410415183994</v>
      </c>
      <c r="AP128" s="954">
        <f ca="1">IF(AO128&lt;User_sheet!B$59,0,BC128*AA128)</f>
        <v>0</v>
      </c>
      <c r="AQ128" s="313"/>
      <c r="AR128" s="909">
        <v>0.32</v>
      </c>
      <c r="AS128" s="909">
        <v>3.7</v>
      </c>
      <c r="AT128" s="909">
        <v>7.9</v>
      </c>
      <c r="AU128" s="909">
        <v>2</v>
      </c>
      <c r="AV128" s="909">
        <v>3.3</v>
      </c>
      <c r="AW128" s="909">
        <v>14356</v>
      </c>
      <c r="AX128" s="909">
        <v>76466.30421774846</v>
      </c>
      <c r="AY128" s="909">
        <v>67352.647733737584</v>
      </c>
      <c r="AZ128" s="917">
        <v>0</v>
      </c>
      <c r="BA128" s="917">
        <v>0</v>
      </c>
      <c r="BB128" s="909">
        <v>0.6</v>
      </c>
      <c r="BC128" s="919">
        <v>0</v>
      </c>
      <c r="BD128" s="920">
        <v>1</v>
      </c>
      <c r="BE128" s="920">
        <v>0</v>
      </c>
      <c r="BF128" s="921">
        <v>0</v>
      </c>
      <c r="BG128" s="920">
        <v>0</v>
      </c>
      <c r="BH128" s="920">
        <v>1</v>
      </c>
      <c r="BI128" s="921">
        <v>0</v>
      </c>
      <c r="BJ128" s="920">
        <v>0</v>
      </c>
      <c r="BK128" s="920">
        <v>0</v>
      </c>
      <c r="BL128" s="920">
        <v>1</v>
      </c>
      <c r="BM128" s="921">
        <v>0</v>
      </c>
      <c r="BN128" s="958">
        <v>0</v>
      </c>
      <c r="BO128" s="959">
        <v>18</v>
      </c>
      <c r="BP128">
        <f t="shared" ca="1" si="140"/>
        <v>102.96</v>
      </c>
      <c r="BQ128">
        <f t="shared" ca="1" si="141"/>
        <v>174.94399999999999</v>
      </c>
      <c r="BR128">
        <f t="shared" ca="1" si="142"/>
        <v>37.440000000000005</v>
      </c>
      <c r="BS128">
        <f t="shared" ca="1" si="143"/>
        <v>112.95</v>
      </c>
      <c r="BT128">
        <f t="shared" ca="1" si="144"/>
        <v>34.32</v>
      </c>
      <c r="BU128">
        <f t="shared" ca="1" si="145"/>
        <v>7</v>
      </c>
      <c r="BV128">
        <f t="shared" ca="1" si="146"/>
        <v>4.3</v>
      </c>
      <c r="BW128" s="1018">
        <v>0</v>
      </c>
      <c r="BX128">
        <f t="shared" ca="1" si="111"/>
        <v>11.351187468418397</v>
      </c>
      <c r="BY128">
        <f t="shared" ca="1" si="112"/>
        <v>254.61921202274573</v>
      </c>
      <c r="BZ128">
        <f t="shared" ca="1" si="94"/>
        <v>37.76262239729882</v>
      </c>
      <c r="CA128">
        <f t="shared" ca="1" si="95"/>
        <v>13.999999994400001</v>
      </c>
      <c r="CB128">
        <f t="shared" ca="1" si="113"/>
        <v>9.0267175572519083</v>
      </c>
      <c r="CC128" s="1018">
        <f t="shared" si="96"/>
        <v>0</v>
      </c>
      <c r="CD128" s="1018">
        <f t="shared" ca="1" si="147"/>
        <v>326.75973944011486</v>
      </c>
      <c r="CE128" s="1018">
        <f t="shared" ca="1" si="151"/>
        <v>118.24810168778664</v>
      </c>
      <c r="CF128">
        <f t="shared" ca="1" si="97"/>
        <v>13.350235233837044</v>
      </c>
      <c r="CG128">
        <f t="shared" ca="1" si="98"/>
        <v>22227.607654929325</v>
      </c>
    </row>
    <row r="129" spans="4:85" x14ac:dyDescent="0.25">
      <c r="D129" s="1"/>
      <c r="F129" s="1"/>
      <c r="G129" s="3"/>
      <c r="H129" s="6"/>
      <c r="I129" s="3"/>
      <c r="J129" s="6"/>
      <c r="K129" s="8"/>
      <c r="L129" s="6"/>
      <c r="M129" s="1" t="s">
        <v>7</v>
      </c>
      <c r="N129" s="4"/>
      <c r="O129" s="1" t="s">
        <v>23</v>
      </c>
      <c r="P129" s="4"/>
      <c r="Q129" s="1" t="s">
        <v>7</v>
      </c>
      <c r="R129" s="4"/>
      <c r="S129" s="1"/>
      <c r="T129" s="77"/>
      <c r="U129" s="294"/>
      <c r="X129" s="176">
        <f t="shared" si="148"/>
        <v>0</v>
      </c>
      <c r="Y129" s="34">
        <f>X129/Calculation_sheet!M$67</f>
        <v>0</v>
      </c>
      <c r="Z129" s="176">
        <f ca="1">IF(AN129&gt;0,Y129*Calculation_sheet!C$87,0)</f>
        <v>0</v>
      </c>
      <c r="AA129" s="176">
        <f t="shared" ca="1" si="149"/>
        <v>0</v>
      </c>
      <c r="AB129" s="176">
        <f ca="1">IF(AP129&gt;0,AA129*Calculation_sheet!C$94,0)</f>
        <v>0</v>
      </c>
      <c r="AC129" s="176">
        <f t="shared" ca="1" si="139"/>
        <v>0</v>
      </c>
      <c r="AD129" s="958">
        <f ca="1">AC129*Calculation_sheet!C$99</f>
        <v>0</v>
      </c>
      <c r="AE129" s="176">
        <f t="shared" ca="1" si="139"/>
        <v>0</v>
      </c>
      <c r="AF129" s="176">
        <f t="shared" ca="1" si="150"/>
        <v>0</v>
      </c>
      <c r="AG129" s="958">
        <f ca="1">AF129*User_sheet!B$77/100</f>
        <v>0</v>
      </c>
      <c r="AH129" s="313"/>
      <c r="AI129" s="908">
        <v>201</v>
      </c>
      <c r="AJ129" s="313"/>
      <c r="AK129" s="1020">
        <f t="shared" ca="1" si="93"/>
        <v>326.75973944011486</v>
      </c>
      <c r="AL129" s="954">
        <f ca="1">AK129/'201'!I$24</f>
        <v>1.704270272988655</v>
      </c>
      <c r="AM129" s="954">
        <f ca="1">0.8*(AK129*30+'201'!D$17*0.34*30*1)</f>
        <v>9932.4340665627569</v>
      </c>
      <c r="AN129" s="954">
        <f ca="1">IF(AM129&lt;User_sheet!B$50,Y129,0)</f>
        <v>0</v>
      </c>
      <c r="AO129" s="954">
        <f ca="1">20-(User_sheet!B$57/(AK129+'201'!D$17*1*0.34))</f>
        <v>6.2269410415183994</v>
      </c>
      <c r="AP129" s="954">
        <f ca="1">IF(AO129&lt;User_sheet!B$59,0,BC129*AA129)</f>
        <v>0</v>
      </c>
      <c r="AQ129" s="313"/>
      <c r="AR129" s="909">
        <v>0.32</v>
      </c>
      <c r="AS129" s="909">
        <v>3.7</v>
      </c>
      <c r="AT129" s="909">
        <v>7.9</v>
      </c>
      <c r="AU129" s="909">
        <v>2</v>
      </c>
      <c r="AV129" s="909">
        <v>3.3</v>
      </c>
      <c r="AW129" s="909">
        <v>14356</v>
      </c>
      <c r="AX129" s="909">
        <v>76466.30421774846</v>
      </c>
      <c r="AY129" s="909">
        <v>67352.647733737584</v>
      </c>
      <c r="AZ129" s="917">
        <v>0</v>
      </c>
      <c r="BA129" s="917">
        <v>0</v>
      </c>
      <c r="BB129" s="909">
        <v>0.6</v>
      </c>
      <c r="BC129" s="919">
        <v>0</v>
      </c>
      <c r="BD129" s="920">
        <v>0</v>
      </c>
      <c r="BE129" s="920">
        <v>1</v>
      </c>
      <c r="BF129" s="921">
        <v>0</v>
      </c>
      <c r="BG129" s="920">
        <v>0</v>
      </c>
      <c r="BH129" s="920">
        <v>0</v>
      </c>
      <c r="BI129" s="921">
        <v>1</v>
      </c>
      <c r="BJ129" s="920">
        <v>0</v>
      </c>
      <c r="BK129" s="920">
        <v>0</v>
      </c>
      <c r="BL129" s="920">
        <v>1</v>
      </c>
      <c r="BM129" s="921">
        <v>0</v>
      </c>
      <c r="BN129" s="958">
        <v>0</v>
      </c>
      <c r="BO129" s="959">
        <v>18</v>
      </c>
      <c r="BP129">
        <f t="shared" ca="1" si="140"/>
        <v>102.96</v>
      </c>
      <c r="BQ129">
        <f t="shared" ca="1" si="141"/>
        <v>174.94399999999999</v>
      </c>
      <c r="BR129">
        <f t="shared" ca="1" si="142"/>
        <v>37.440000000000005</v>
      </c>
      <c r="BS129">
        <f t="shared" ca="1" si="143"/>
        <v>112.95</v>
      </c>
      <c r="BT129">
        <f t="shared" ca="1" si="144"/>
        <v>34.32</v>
      </c>
      <c r="BU129">
        <f t="shared" ca="1" si="145"/>
        <v>7</v>
      </c>
      <c r="BV129">
        <f t="shared" ca="1" si="146"/>
        <v>4.3</v>
      </c>
      <c r="BW129" s="1018">
        <v>0</v>
      </c>
      <c r="BX129">
        <f t="shared" ca="1" si="111"/>
        <v>11.351187468418397</v>
      </c>
      <c r="BY129">
        <f t="shared" ca="1" si="112"/>
        <v>254.61921202274573</v>
      </c>
      <c r="BZ129">
        <f t="shared" ca="1" si="94"/>
        <v>37.76262239729882</v>
      </c>
      <c r="CA129">
        <f t="shared" ca="1" si="95"/>
        <v>13.999999994400001</v>
      </c>
      <c r="CB129">
        <f t="shared" ca="1" si="113"/>
        <v>9.0267175572519083</v>
      </c>
      <c r="CC129" s="1018">
        <f t="shared" si="96"/>
        <v>0</v>
      </c>
      <c r="CD129" s="1018">
        <f t="shared" ca="1" si="147"/>
        <v>326.75973944011486</v>
      </c>
      <c r="CE129" s="1018">
        <f t="shared" ca="1" si="151"/>
        <v>118.24810168778664</v>
      </c>
      <c r="CF129">
        <f t="shared" ca="1" si="97"/>
        <v>13.350235233837044</v>
      </c>
      <c r="CG129">
        <f t="shared" ca="1" si="98"/>
        <v>22227.607654929325</v>
      </c>
    </row>
    <row r="130" spans="4:85" x14ac:dyDescent="0.25">
      <c r="D130" s="1"/>
      <c r="F130" s="1"/>
      <c r="G130" s="3"/>
      <c r="H130" s="6"/>
      <c r="I130" s="3"/>
      <c r="J130" s="6"/>
      <c r="K130" s="8"/>
      <c r="L130" s="6"/>
      <c r="M130" s="1"/>
      <c r="N130" s="1"/>
      <c r="O130" s="1" t="s">
        <v>18</v>
      </c>
      <c r="P130" s="4"/>
      <c r="Q130" s="1" t="s">
        <v>17</v>
      </c>
      <c r="R130" s="4"/>
      <c r="S130" s="1"/>
      <c r="T130" s="77"/>
      <c r="U130" s="294"/>
      <c r="X130" s="176">
        <f t="shared" si="148"/>
        <v>0</v>
      </c>
      <c r="Y130" s="34">
        <f>X130/Calculation_sheet!M$67</f>
        <v>0</v>
      </c>
      <c r="Z130" s="176">
        <f ca="1">IF(AN130&gt;0,Y130*Calculation_sheet!C$87,0)</f>
        <v>0</v>
      </c>
      <c r="AA130" s="176">
        <f t="shared" ca="1" si="149"/>
        <v>0</v>
      </c>
      <c r="AB130" s="176">
        <f ca="1">IF(AP130&gt;0,AA130*Calculation_sheet!C$94,0)</f>
        <v>0</v>
      </c>
      <c r="AC130" s="176">
        <f t="shared" ca="1" si="139"/>
        <v>0</v>
      </c>
      <c r="AD130" s="958">
        <f ca="1">AC130*Calculation_sheet!C$99</f>
        <v>0</v>
      </c>
      <c r="AE130" s="176">
        <f t="shared" ca="1" si="139"/>
        <v>0</v>
      </c>
      <c r="AF130" s="176">
        <f t="shared" ca="1" si="150"/>
        <v>0</v>
      </c>
      <c r="AG130" s="958">
        <f ca="1">AF130*User_sheet!B$77/100</f>
        <v>0</v>
      </c>
      <c r="AH130" s="313"/>
      <c r="AI130" s="908">
        <v>201</v>
      </c>
      <c r="AJ130" s="313"/>
      <c r="AK130" s="1020">
        <f t="shared" ca="1" si="93"/>
        <v>326.75973944011486</v>
      </c>
      <c r="AL130" s="954">
        <f ca="1">AK130/'201'!I$24</f>
        <v>1.704270272988655</v>
      </c>
      <c r="AM130" s="954">
        <f ca="1">0.8*(AK130*30+'201'!D$17*0.34*30*1)</f>
        <v>9932.4340665627569</v>
      </c>
      <c r="AN130" s="954">
        <f ca="1">IF(AM130&lt;User_sheet!B$50,Y130,0)</f>
        <v>0</v>
      </c>
      <c r="AO130" s="954">
        <f ca="1">20-(User_sheet!B$57/(AK130+'201'!D$17*1*0.34))</f>
        <v>6.2269410415183994</v>
      </c>
      <c r="AP130" s="954">
        <f ca="1">IF(AO130&lt;User_sheet!B$59,0,BC130*AA130)</f>
        <v>0</v>
      </c>
      <c r="AQ130" s="313"/>
      <c r="AR130" s="909">
        <v>0.32</v>
      </c>
      <c r="AS130" s="909">
        <v>3.7</v>
      </c>
      <c r="AT130" s="909">
        <v>7.9</v>
      </c>
      <c r="AU130" s="909">
        <v>2</v>
      </c>
      <c r="AV130" s="909">
        <v>3.3</v>
      </c>
      <c r="AW130" s="909">
        <v>14356</v>
      </c>
      <c r="AX130" s="909">
        <v>76466.30421774846</v>
      </c>
      <c r="AY130" s="909">
        <v>67352.647733737584</v>
      </c>
      <c r="AZ130" s="917">
        <v>0</v>
      </c>
      <c r="BA130" s="917">
        <v>0</v>
      </c>
      <c r="BB130" s="909">
        <v>0.6</v>
      </c>
      <c r="BC130" s="919">
        <v>0</v>
      </c>
      <c r="BD130" s="920">
        <v>0</v>
      </c>
      <c r="BE130" s="920">
        <v>0</v>
      </c>
      <c r="BF130" s="921">
        <v>1</v>
      </c>
      <c r="BG130" s="920">
        <v>1</v>
      </c>
      <c r="BH130" s="920">
        <v>0</v>
      </c>
      <c r="BI130" s="921">
        <v>0</v>
      </c>
      <c r="BJ130" s="920">
        <v>0</v>
      </c>
      <c r="BK130" s="920">
        <v>0</v>
      </c>
      <c r="BL130" s="920">
        <v>0</v>
      </c>
      <c r="BM130" s="921">
        <v>1</v>
      </c>
      <c r="BN130" s="958">
        <v>0</v>
      </c>
      <c r="BO130" s="959">
        <v>18</v>
      </c>
      <c r="BP130">
        <f t="shared" ca="1" si="140"/>
        <v>102.96</v>
      </c>
      <c r="BQ130">
        <f t="shared" ca="1" si="141"/>
        <v>174.94399999999999</v>
      </c>
      <c r="BR130">
        <f t="shared" ca="1" si="142"/>
        <v>37.440000000000005</v>
      </c>
      <c r="BS130">
        <f t="shared" ca="1" si="143"/>
        <v>112.95</v>
      </c>
      <c r="BT130">
        <f t="shared" ca="1" si="144"/>
        <v>34.32</v>
      </c>
      <c r="BU130">
        <f t="shared" ca="1" si="145"/>
        <v>7</v>
      </c>
      <c r="BV130">
        <f t="shared" ca="1" si="146"/>
        <v>4.3</v>
      </c>
      <c r="BW130" s="1018">
        <v>0</v>
      </c>
      <c r="BX130">
        <f t="shared" ca="1" si="111"/>
        <v>11.351187468418397</v>
      </c>
      <c r="BY130">
        <f t="shared" ca="1" si="112"/>
        <v>254.61921202274573</v>
      </c>
      <c r="BZ130">
        <f t="shared" ca="1" si="94"/>
        <v>37.76262239729882</v>
      </c>
      <c r="CA130">
        <f t="shared" ca="1" si="95"/>
        <v>13.999999994400001</v>
      </c>
      <c r="CB130">
        <f t="shared" ca="1" si="113"/>
        <v>9.0267175572519083</v>
      </c>
      <c r="CC130" s="1018">
        <f t="shared" si="96"/>
        <v>0</v>
      </c>
      <c r="CD130" s="1018">
        <f t="shared" ca="1" si="147"/>
        <v>326.75973944011486</v>
      </c>
      <c r="CE130" s="1018">
        <f t="shared" ca="1" si="151"/>
        <v>118.24810168778664</v>
      </c>
      <c r="CF130">
        <f t="shared" ca="1" si="97"/>
        <v>13.350235233837044</v>
      </c>
      <c r="CG130">
        <f t="shared" ca="1" si="98"/>
        <v>22227.607654929325</v>
      </c>
    </row>
    <row r="131" spans="4:85" x14ac:dyDescent="0.25">
      <c r="D131" s="1"/>
      <c r="F131" s="1"/>
      <c r="G131" s="3"/>
      <c r="H131" s="6"/>
      <c r="I131" s="3"/>
      <c r="J131" s="6"/>
      <c r="K131" s="8"/>
      <c r="L131" s="6"/>
      <c r="M131" s="1" t="s">
        <v>17</v>
      </c>
      <c r="N131" s="4"/>
      <c r="O131" s="1" t="s">
        <v>19</v>
      </c>
      <c r="P131" s="4"/>
      <c r="Q131" s="1" t="s">
        <v>17</v>
      </c>
      <c r="R131" s="4"/>
      <c r="S131" s="1"/>
      <c r="T131" s="77"/>
      <c r="U131" s="294"/>
      <c r="X131" s="176">
        <f t="shared" si="148"/>
        <v>0</v>
      </c>
      <c r="Y131" s="34">
        <f>X131/Calculation_sheet!M$67</f>
        <v>0</v>
      </c>
      <c r="Z131" s="176">
        <f ca="1">IF(AN131&gt;0,Y131*Calculation_sheet!C$87,0)</f>
        <v>0</v>
      </c>
      <c r="AA131" s="176">
        <f t="shared" ca="1" si="149"/>
        <v>0</v>
      </c>
      <c r="AB131" s="176">
        <f ca="1">IF(AP131&gt;0,AA131*Calculation_sheet!C$94,0)</f>
        <v>0</v>
      </c>
      <c r="AC131" s="176">
        <f t="shared" ca="1" si="139"/>
        <v>0</v>
      </c>
      <c r="AD131" s="958">
        <f ca="1">AC131*Calculation_sheet!C$99</f>
        <v>0</v>
      </c>
      <c r="AE131" s="176">
        <f t="shared" ca="1" si="139"/>
        <v>0</v>
      </c>
      <c r="AF131" s="176">
        <f t="shared" ca="1" si="150"/>
        <v>0</v>
      </c>
      <c r="AG131" s="958">
        <f ca="1">AF131*User_sheet!B$77/100</f>
        <v>0</v>
      </c>
      <c r="AH131" s="313"/>
      <c r="AI131" s="908">
        <v>201</v>
      </c>
      <c r="AJ131" s="313"/>
      <c r="AK131" s="1020">
        <f t="shared" ca="1" si="93"/>
        <v>326.75973944011486</v>
      </c>
      <c r="AL131" s="954">
        <f ca="1">AK131/'201'!I$24</f>
        <v>1.704270272988655</v>
      </c>
      <c r="AM131" s="954">
        <f ca="1">0.8*(AK131*30+'201'!D$17*0.34*30*1)</f>
        <v>9932.4340665627569</v>
      </c>
      <c r="AN131" s="954">
        <f ca="1">IF(AM131&lt;User_sheet!B$50,Y131,0)</f>
        <v>0</v>
      </c>
      <c r="AO131" s="954">
        <f ca="1">20-(User_sheet!B$57/(AK131+'201'!D$17*1*0.34))</f>
        <v>6.2269410415183994</v>
      </c>
      <c r="AP131" s="954">
        <f ca="1">IF(AO131&lt;User_sheet!B$59,0,BC131*AA131)</f>
        <v>0</v>
      </c>
      <c r="AQ131" s="313"/>
      <c r="AR131" s="909">
        <v>0.32</v>
      </c>
      <c r="AS131" s="909">
        <v>3.7</v>
      </c>
      <c r="AT131" s="909">
        <v>7.9</v>
      </c>
      <c r="AU131" s="909">
        <v>2</v>
      </c>
      <c r="AV131" s="909">
        <v>3.3</v>
      </c>
      <c r="AW131" s="909">
        <v>14356</v>
      </c>
      <c r="AX131" s="909">
        <v>76466.30421774846</v>
      </c>
      <c r="AY131" s="909">
        <v>67352.647733737584</v>
      </c>
      <c r="AZ131" s="917">
        <v>0</v>
      </c>
      <c r="BA131" s="917">
        <v>0</v>
      </c>
      <c r="BB131" s="909">
        <v>0.6</v>
      </c>
      <c r="BC131" s="919">
        <v>0</v>
      </c>
      <c r="BD131" s="920">
        <v>0</v>
      </c>
      <c r="BE131" s="920">
        <v>0</v>
      </c>
      <c r="BF131" s="921">
        <v>1</v>
      </c>
      <c r="BG131" s="920">
        <v>0</v>
      </c>
      <c r="BH131" s="920">
        <v>1</v>
      </c>
      <c r="BI131" s="921">
        <v>0</v>
      </c>
      <c r="BJ131" s="920">
        <v>0</v>
      </c>
      <c r="BK131" s="920">
        <v>0</v>
      </c>
      <c r="BL131" s="920">
        <v>0</v>
      </c>
      <c r="BM131" s="921">
        <v>1</v>
      </c>
      <c r="BN131" s="958">
        <v>0</v>
      </c>
      <c r="BO131" s="959">
        <v>18</v>
      </c>
      <c r="BP131">
        <f t="shared" ca="1" si="140"/>
        <v>102.96</v>
      </c>
      <c r="BQ131">
        <f t="shared" ca="1" si="141"/>
        <v>174.94399999999999</v>
      </c>
      <c r="BR131">
        <f t="shared" ca="1" si="142"/>
        <v>37.440000000000005</v>
      </c>
      <c r="BS131">
        <f t="shared" ca="1" si="143"/>
        <v>112.95</v>
      </c>
      <c r="BT131">
        <f t="shared" ca="1" si="144"/>
        <v>34.32</v>
      </c>
      <c r="BU131">
        <f t="shared" ca="1" si="145"/>
        <v>7</v>
      </c>
      <c r="BV131">
        <f t="shared" ca="1" si="146"/>
        <v>4.3</v>
      </c>
      <c r="BW131" s="1018">
        <v>0</v>
      </c>
      <c r="BX131">
        <f t="shared" ca="1" si="111"/>
        <v>11.351187468418397</v>
      </c>
      <c r="BY131">
        <f t="shared" ca="1" si="112"/>
        <v>254.61921202274573</v>
      </c>
      <c r="BZ131">
        <f t="shared" ca="1" si="94"/>
        <v>37.76262239729882</v>
      </c>
      <c r="CA131">
        <f t="shared" ca="1" si="95"/>
        <v>13.999999994400001</v>
      </c>
      <c r="CB131">
        <f t="shared" ca="1" si="113"/>
        <v>9.0267175572519083</v>
      </c>
      <c r="CC131" s="1018">
        <f t="shared" si="96"/>
        <v>0</v>
      </c>
      <c r="CD131" s="1018">
        <f t="shared" ca="1" si="147"/>
        <v>326.75973944011486</v>
      </c>
      <c r="CE131" s="1018">
        <f t="shared" ca="1" si="151"/>
        <v>118.24810168778664</v>
      </c>
      <c r="CF131">
        <f t="shared" ca="1" si="97"/>
        <v>13.350235233837044</v>
      </c>
      <c r="CG131">
        <f t="shared" ca="1" si="98"/>
        <v>22227.607654929325</v>
      </c>
    </row>
    <row r="132" spans="4:85" s="14" customFormat="1" x14ac:dyDescent="0.25">
      <c r="D132" s="15"/>
      <c r="F132" s="15"/>
      <c r="H132" s="15"/>
      <c r="J132" s="15"/>
      <c r="K132" s="16"/>
      <c r="L132" s="15"/>
      <c r="M132" s="15"/>
      <c r="N132" s="15"/>
      <c r="O132" s="15"/>
      <c r="P132" s="15"/>
      <c r="Q132" s="15"/>
      <c r="R132" s="15"/>
      <c r="S132" s="15"/>
      <c r="T132" s="80"/>
      <c r="U132" s="269"/>
      <c r="V132" s="292"/>
      <c r="W132" s="292"/>
      <c r="X132" s="292"/>
      <c r="Y132" s="277"/>
      <c r="Z132" s="292"/>
      <c r="AA132" s="292"/>
      <c r="AB132" s="292"/>
      <c r="AC132" s="292"/>
      <c r="AD132" s="277"/>
      <c r="AE132" s="292"/>
      <c r="AF132" s="292"/>
      <c r="AG132" s="277"/>
      <c r="AH132" s="313"/>
      <c r="AI132" s="913"/>
      <c r="AJ132" s="313"/>
      <c r="AK132" s="1020">
        <f t="shared" si="93"/>
        <v>0</v>
      </c>
      <c r="AL132" s="941"/>
      <c r="AM132" s="941"/>
      <c r="AN132" s="986"/>
      <c r="AO132" s="986"/>
      <c r="AP132" s="986"/>
      <c r="AQ132" s="313"/>
      <c r="AR132" s="918"/>
      <c r="AS132" s="918"/>
      <c r="AT132" s="918"/>
      <c r="AU132" s="918"/>
      <c r="AV132" s="918"/>
      <c r="AW132" s="918"/>
      <c r="AX132" s="918"/>
      <c r="AY132" s="918"/>
      <c r="AZ132" s="918"/>
      <c r="BA132" s="918"/>
      <c r="BB132" s="918"/>
      <c r="BC132" s="45"/>
      <c r="BD132" s="277"/>
      <c r="BE132" s="277"/>
      <c r="BF132" s="49"/>
      <c r="BG132" s="918"/>
      <c r="BH132" s="918"/>
      <c r="BI132" s="49"/>
      <c r="BJ132" s="918"/>
      <c r="BK132" s="918"/>
      <c r="BL132" s="918"/>
      <c r="BM132" s="49"/>
      <c r="BN132" s="277"/>
      <c r="BO132" s="49"/>
      <c r="BW132" s="928"/>
      <c r="CC132" s="928"/>
      <c r="CD132" s="928"/>
      <c r="CE132" s="928"/>
    </row>
    <row r="133" spans="4:85" x14ac:dyDescent="0.25">
      <c r="D133" s="1"/>
      <c r="F133" s="6"/>
      <c r="G133" s="3"/>
      <c r="H133" s="6"/>
      <c r="I133" s="3"/>
      <c r="J133" s="6"/>
      <c r="K133" s="8"/>
      <c r="L133" s="6"/>
      <c r="M133" s="1"/>
      <c r="N133" s="1"/>
      <c r="O133" s="1"/>
      <c r="P133" s="1"/>
      <c r="Q133" s="1" t="s">
        <v>16</v>
      </c>
      <c r="R133" s="4"/>
      <c r="S133" s="1"/>
      <c r="T133" s="77"/>
      <c r="U133" s="22"/>
      <c r="W133" s="176">
        <f t="shared" ref="W133:W143" si="152">(V109-W109)+(V85-W85)</f>
        <v>0</v>
      </c>
      <c r="X133" s="176">
        <f>W133</f>
        <v>0</v>
      </c>
      <c r="Y133" s="34">
        <f>X133/Calculation_sheet!M$67</f>
        <v>0</v>
      </c>
      <c r="Z133" s="176">
        <f ca="1">IF(AN133&gt;0,Y133*Calculation_sheet!C$87,0)</f>
        <v>0</v>
      </c>
      <c r="AA133" s="176">
        <f ca="1">Y133-Z133</f>
        <v>0</v>
      </c>
      <c r="AB133" s="176">
        <f ca="1">IF(AP133&gt;0,AA133*Calculation_sheet!C$94,0)</f>
        <v>0</v>
      </c>
      <c r="AC133" s="176">
        <f t="shared" ref="AC133:AE143" ca="1" si="153">AA133-AB133</f>
        <v>0</v>
      </c>
      <c r="AD133" s="958">
        <f ca="1">AC133*Calculation_sheet!C$99</f>
        <v>0</v>
      </c>
      <c r="AE133" s="176">
        <f t="shared" ca="1" si="153"/>
        <v>0</v>
      </c>
      <c r="AF133" s="176">
        <f ca="1">Y133-AB133</f>
        <v>0</v>
      </c>
      <c r="AG133" s="958">
        <f ca="1">AF133*User_sheet!B$77/100</f>
        <v>0</v>
      </c>
      <c r="AH133" s="313"/>
      <c r="AI133" s="908">
        <v>201</v>
      </c>
      <c r="AJ133" s="313"/>
      <c r="AK133" s="1020">
        <f t="shared" ca="1" si="93"/>
        <v>86.069834031113857</v>
      </c>
      <c r="AL133" s="954">
        <f ca="1">AK133/'201'!I$24</f>
        <v>0.44891166761129636</v>
      </c>
      <c r="AM133" s="954">
        <f ca="1">0.8*(AK133*30+'201'!D$17*0.34*30*1)</f>
        <v>4155.8763367467327</v>
      </c>
      <c r="AN133" s="954">
        <f ca="1">IF(AM133&lt;User_sheet!B$50,Y133,0)</f>
        <v>0</v>
      </c>
      <c r="AO133" s="954">
        <f ca="1">20-(User_sheet!B$57/(AK133+'201'!D$17*1*0.34))</f>
        <v>-12.917245104335471</v>
      </c>
      <c r="AP133" s="954">
        <f ca="1">IF(AO133&lt;User_sheet!B$59,0,BC133*AA133)</f>
        <v>0</v>
      </c>
      <c r="AQ133" s="313"/>
      <c r="AR133" s="909">
        <v>0.32</v>
      </c>
      <c r="AS133" s="909">
        <v>0.43</v>
      </c>
      <c r="AT133" s="909">
        <v>0.43</v>
      </c>
      <c r="AU133" s="909">
        <v>2</v>
      </c>
      <c r="AV133" s="909">
        <v>3.3</v>
      </c>
      <c r="AW133" s="909">
        <v>14356</v>
      </c>
      <c r="AX133" s="909">
        <v>74834</v>
      </c>
      <c r="AY133" s="909">
        <v>69246</v>
      </c>
      <c r="AZ133" s="917">
        <v>0</v>
      </c>
      <c r="BA133" s="917">
        <v>0</v>
      </c>
      <c r="BB133" s="909">
        <v>0.6</v>
      </c>
      <c r="BC133" s="919">
        <v>1</v>
      </c>
      <c r="BD133" s="920">
        <v>0</v>
      </c>
      <c r="BE133" s="920">
        <v>0</v>
      </c>
      <c r="BF133" s="921">
        <v>0</v>
      </c>
      <c r="BG133" s="920">
        <v>1</v>
      </c>
      <c r="BH133" s="920">
        <v>0</v>
      </c>
      <c r="BI133" s="921">
        <v>0</v>
      </c>
      <c r="BJ133" s="920">
        <v>1</v>
      </c>
      <c r="BK133" s="920">
        <v>0</v>
      </c>
      <c r="BL133" s="920">
        <v>0</v>
      </c>
      <c r="BM133" s="921">
        <v>0</v>
      </c>
      <c r="BN133" s="958">
        <v>0.01</v>
      </c>
      <c r="BO133" s="959">
        <v>2.5</v>
      </c>
      <c r="BP133">
        <f t="shared" ref="BP133:BP143" ca="1" si="154">INDIRECT("'"&amp;AI133&amp;"'!"&amp;"B2")</f>
        <v>102.96</v>
      </c>
      <c r="BQ133">
        <f t="shared" ref="BQ133:BQ143" ca="1" si="155">INDIRECT("'"&amp;AI133&amp;"'!"&amp;"C12")+INDIRECT("'"&amp;AI133&amp;"'!"&amp;"C13")+INDIRECT("'"&amp;AI133&amp;"'!"&amp;"C14")+INDIRECT("'"&amp;AI133&amp;"'!"&amp;"C15")+INDIRECT("'"&amp;AI133&amp;"'!"&amp;"C17")</f>
        <v>174.94399999999999</v>
      </c>
      <c r="BR133">
        <f t="shared" ref="BR133:BR143" ca="1" si="156">INDIRECT("'"&amp;AI133&amp;"'!"&amp;"G5")</f>
        <v>37.440000000000005</v>
      </c>
      <c r="BS133">
        <f t="shared" ref="BS133:BS143" ca="1" si="157">INDIRECT("'"&amp;AI133&amp;"'!"&amp;"G4")</f>
        <v>112.95</v>
      </c>
      <c r="BT133">
        <f t="shared" ref="BT133:BT143" ca="1" si="158">INDIRECT("'"&amp;AI133&amp;"'!"&amp;"G6")</f>
        <v>34.32</v>
      </c>
      <c r="BU133">
        <f t="shared" ref="BU133:BU143" ca="1" si="159">INDIRECT("'"&amp;AI133&amp;"'!"&amp;"G2")</f>
        <v>7</v>
      </c>
      <c r="BV133">
        <f t="shared" ref="BV133:BV143" ca="1" si="160">INDIRECT("'"&amp;AI133&amp;"'!"&amp;"G3")</f>
        <v>4.3</v>
      </c>
      <c r="BW133" s="1018">
        <v>0</v>
      </c>
      <c r="BX133">
        <f t="shared" ca="1" si="111"/>
        <v>11.351187468418397</v>
      </c>
      <c r="BY133">
        <f t="shared" ca="1" si="112"/>
        <v>45.199621541134135</v>
      </c>
      <c r="BZ133">
        <f t="shared" ca="1" si="94"/>
        <v>4.5322074699094186</v>
      </c>
      <c r="CA133">
        <f t="shared" ca="1" si="95"/>
        <v>13.999999994400001</v>
      </c>
      <c r="CB133">
        <f t="shared" ca="1" si="113"/>
        <v>9.0267175572519083</v>
      </c>
      <c r="CC133" s="1018">
        <f t="shared" si="96"/>
        <v>0</v>
      </c>
      <c r="CD133" s="1018">
        <f t="shared" ref="CD133:CD143" ca="1" si="161">SUM(BX133:CC133)+(BR133+BS133+BT133+BU133+BV133)*BN133</f>
        <v>86.069834031113857</v>
      </c>
      <c r="CE133" s="1018">
        <f ca="1">0.34*BO133*(1/25)^0.66*(BR133+BS133+BU133+BV133)+0.6*BQ133*0.34</f>
        <v>52.11192345663703</v>
      </c>
      <c r="CF133">
        <f t="shared" ca="1" si="97"/>
        <v>4.1454527246325261</v>
      </c>
      <c r="CG133">
        <f t="shared" ca="1" si="98"/>
        <v>6902.0129684041704</v>
      </c>
    </row>
    <row r="134" spans="4:85" x14ac:dyDescent="0.25">
      <c r="D134" s="1"/>
      <c r="F134" s="6"/>
      <c r="G134" s="3"/>
      <c r="H134" s="6"/>
      <c r="I134" s="3"/>
      <c r="J134" s="6"/>
      <c r="K134" s="8"/>
      <c r="L134" s="6"/>
      <c r="M134" s="1"/>
      <c r="N134" s="1"/>
      <c r="O134" s="1" t="s">
        <v>18</v>
      </c>
      <c r="P134" s="4"/>
      <c r="Q134" s="1" t="s">
        <v>7</v>
      </c>
      <c r="R134" s="4"/>
      <c r="S134" s="1"/>
      <c r="T134" s="77"/>
      <c r="U134" s="22"/>
      <c r="W134" s="176">
        <f t="shared" si="152"/>
        <v>0</v>
      </c>
      <c r="X134" s="176">
        <f t="shared" ref="X134:X143" si="162">W134</f>
        <v>0</v>
      </c>
      <c r="Y134" s="34">
        <f>X134/Calculation_sheet!M$67</f>
        <v>0</v>
      </c>
      <c r="Z134" s="176">
        <f ca="1">IF(AN134&gt;0,Y134*Calculation_sheet!C$87,0)</f>
        <v>0</v>
      </c>
      <c r="AA134" s="176">
        <f t="shared" ref="AA134:AA143" ca="1" si="163">Y134-Z134</f>
        <v>0</v>
      </c>
      <c r="AB134" s="176">
        <f ca="1">IF(AP134&gt;0,AA134*Calculation_sheet!C$94,0)</f>
        <v>0</v>
      </c>
      <c r="AC134" s="176">
        <f t="shared" ca="1" si="153"/>
        <v>0</v>
      </c>
      <c r="AD134" s="958">
        <f ca="1">AC134*Calculation_sheet!C$99</f>
        <v>0</v>
      </c>
      <c r="AE134" s="176">
        <f t="shared" ca="1" si="153"/>
        <v>0</v>
      </c>
      <c r="AF134" s="176">
        <f t="shared" ref="AF134:AF143" ca="1" si="164">Y134-AB134</f>
        <v>0</v>
      </c>
      <c r="AG134" s="958">
        <f ca="1">AF134*User_sheet!B$77/100</f>
        <v>0</v>
      </c>
      <c r="AH134" s="313"/>
      <c r="AI134" s="908">
        <v>201</v>
      </c>
      <c r="AJ134" s="313"/>
      <c r="AK134" s="1020">
        <f t="shared" ca="1" si="93"/>
        <v>86.069834031113857</v>
      </c>
      <c r="AL134" s="954">
        <f ca="1">AK134/'201'!I$24</f>
        <v>0.44891166761129636</v>
      </c>
      <c r="AM134" s="954">
        <f ca="1">0.8*(AK134*30+'201'!D$17*0.34*30*1)</f>
        <v>4155.8763367467327</v>
      </c>
      <c r="AN134" s="954">
        <f ca="1">IF(AM134&lt;User_sheet!B$50,Y134,0)</f>
        <v>0</v>
      </c>
      <c r="AO134" s="954">
        <f ca="1">20-(User_sheet!B$57/(AK134+'201'!D$17*1*0.34))</f>
        <v>-12.917245104335471</v>
      </c>
      <c r="AP134" s="954">
        <f ca="1">IF(AO134&lt;User_sheet!B$59,0,BC134*AA134)</f>
        <v>0</v>
      </c>
      <c r="AQ134" s="313"/>
      <c r="AR134" s="909">
        <v>0.32</v>
      </c>
      <c r="AS134" s="909">
        <v>0.43</v>
      </c>
      <c r="AT134" s="909">
        <v>0.43</v>
      </c>
      <c r="AU134" s="909">
        <v>2</v>
      </c>
      <c r="AV134" s="909">
        <v>3.3</v>
      </c>
      <c r="AW134" s="909">
        <v>14356</v>
      </c>
      <c r="AX134" s="909">
        <v>74834</v>
      </c>
      <c r="AY134" s="909">
        <v>69246</v>
      </c>
      <c r="AZ134" s="917">
        <v>0</v>
      </c>
      <c r="BA134" s="917">
        <v>0</v>
      </c>
      <c r="BB134" s="909">
        <v>0.6</v>
      </c>
      <c r="BC134" s="919">
        <v>1</v>
      </c>
      <c r="BD134" s="920">
        <v>0</v>
      </c>
      <c r="BE134" s="920">
        <v>0</v>
      </c>
      <c r="BF134" s="921">
        <v>0</v>
      </c>
      <c r="BG134" s="920">
        <v>1</v>
      </c>
      <c r="BH134" s="920">
        <v>0</v>
      </c>
      <c r="BI134" s="921">
        <v>0</v>
      </c>
      <c r="BJ134" s="920">
        <v>0</v>
      </c>
      <c r="BK134" s="920">
        <v>0</v>
      </c>
      <c r="BL134" s="920">
        <v>1</v>
      </c>
      <c r="BM134" s="921">
        <v>0</v>
      </c>
      <c r="BN134" s="958">
        <v>0.01</v>
      </c>
      <c r="BO134" s="959">
        <v>2.5</v>
      </c>
      <c r="BP134">
        <f t="shared" ca="1" si="154"/>
        <v>102.96</v>
      </c>
      <c r="BQ134">
        <f t="shared" ca="1" si="155"/>
        <v>174.94399999999999</v>
      </c>
      <c r="BR134">
        <f t="shared" ca="1" si="156"/>
        <v>37.440000000000005</v>
      </c>
      <c r="BS134">
        <f t="shared" ca="1" si="157"/>
        <v>112.95</v>
      </c>
      <c r="BT134">
        <f t="shared" ca="1" si="158"/>
        <v>34.32</v>
      </c>
      <c r="BU134">
        <f t="shared" ca="1" si="159"/>
        <v>7</v>
      </c>
      <c r="BV134">
        <f t="shared" ca="1" si="160"/>
        <v>4.3</v>
      </c>
      <c r="BW134" s="1018">
        <v>0</v>
      </c>
      <c r="BX134">
        <f t="shared" ca="1" si="111"/>
        <v>11.351187468418397</v>
      </c>
      <c r="BY134">
        <f t="shared" ca="1" si="112"/>
        <v>45.199621541134135</v>
      </c>
      <c r="BZ134">
        <f t="shared" ca="1" si="94"/>
        <v>4.5322074699094186</v>
      </c>
      <c r="CA134">
        <f t="shared" ca="1" si="95"/>
        <v>13.999999994400001</v>
      </c>
      <c r="CB134">
        <f t="shared" ca="1" si="113"/>
        <v>9.0267175572519083</v>
      </c>
      <c r="CC134" s="1018">
        <f t="shared" si="96"/>
        <v>0</v>
      </c>
      <c r="CD134" s="1018">
        <f t="shared" ca="1" si="161"/>
        <v>86.069834031113857</v>
      </c>
      <c r="CE134" s="1018">
        <f t="shared" ref="CE134:CE143" ca="1" si="165">0.34*BO134*(1/25)^0.66*(BR134+BS134+BU134+BV134)+0.6*BQ134*0.34</f>
        <v>52.11192345663703</v>
      </c>
      <c r="CF134">
        <f t="shared" ca="1" si="97"/>
        <v>4.1454527246325261</v>
      </c>
      <c r="CG134">
        <f t="shared" ca="1" si="98"/>
        <v>6902.0129684041704</v>
      </c>
    </row>
    <row r="135" spans="4:85" x14ac:dyDescent="0.25">
      <c r="D135" s="1"/>
      <c r="F135" s="6"/>
      <c r="G135" s="3"/>
      <c r="H135" s="6"/>
      <c r="I135" s="3"/>
      <c r="J135" s="6"/>
      <c r="K135" s="8"/>
      <c r="L135" s="6"/>
      <c r="M135" s="1"/>
      <c r="N135" s="1"/>
      <c r="O135" s="1"/>
      <c r="P135" s="1"/>
      <c r="Q135" s="1" t="s">
        <v>16</v>
      </c>
      <c r="R135" s="4"/>
      <c r="S135" s="1"/>
      <c r="T135" s="77"/>
      <c r="U135" s="22"/>
      <c r="W135" s="176">
        <f t="shared" si="152"/>
        <v>0</v>
      </c>
      <c r="X135" s="176">
        <f t="shared" si="162"/>
        <v>0</v>
      </c>
      <c r="Y135" s="34">
        <f>X135/Calculation_sheet!M$67</f>
        <v>0</v>
      </c>
      <c r="Z135" s="176">
        <f ca="1">IF(AN135&gt;0,Y135*Calculation_sheet!C$87,0)</f>
        <v>0</v>
      </c>
      <c r="AA135" s="176">
        <f t="shared" ca="1" si="163"/>
        <v>0</v>
      </c>
      <c r="AB135" s="176">
        <f ca="1">IF(AP135&gt;0,AA135*Calculation_sheet!C$94,0)</f>
        <v>0</v>
      </c>
      <c r="AC135" s="176">
        <f t="shared" ca="1" si="153"/>
        <v>0</v>
      </c>
      <c r="AD135" s="958">
        <f ca="1">AC135*Calculation_sheet!C$99</f>
        <v>0</v>
      </c>
      <c r="AE135" s="176">
        <f t="shared" ca="1" si="153"/>
        <v>0</v>
      </c>
      <c r="AF135" s="176">
        <f t="shared" ca="1" si="164"/>
        <v>0</v>
      </c>
      <c r="AG135" s="958">
        <f ca="1">AF135*User_sheet!B$77/100</f>
        <v>0</v>
      </c>
      <c r="AH135" s="313"/>
      <c r="AI135" s="908">
        <v>201</v>
      </c>
      <c r="AJ135" s="313"/>
      <c r="AK135" s="1020">
        <f t="shared" ca="1" si="93"/>
        <v>86.069834031113857</v>
      </c>
      <c r="AL135" s="954">
        <f ca="1">AK135/'201'!I$24</f>
        <v>0.44891166761129636</v>
      </c>
      <c r="AM135" s="954">
        <f ca="1">0.8*(AK135*30+'201'!D$17*0.34*30*1)</f>
        <v>4155.8763367467327</v>
      </c>
      <c r="AN135" s="954">
        <f ca="1">IF(AM135&lt;User_sheet!B$50,Y135,0)</f>
        <v>0</v>
      </c>
      <c r="AO135" s="954">
        <f ca="1">20-(User_sheet!B$57/(AK135+'201'!D$17*1*0.34))</f>
        <v>-12.917245104335471</v>
      </c>
      <c r="AP135" s="954">
        <f ca="1">IF(AO135&lt;User_sheet!B$59,0,BC135*AA135)</f>
        <v>0</v>
      </c>
      <c r="AQ135" s="313"/>
      <c r="AR135" s="909">
        <v>0.32</v>
      </c>
      <c r="AS135" s="909">
        <v>0.43</v>
      </c>
      <c r="AT135" s="909">
        <v>0.43</v>
      </c>
      <c r="AU135" s="909">
        <v>2</v>
      </c>
      <c r="AV135" s="909">
        <v>3.3</v>
      </c>
      <c r="AW135" s="909">
        <v>14356</v>
      </c>
      <c r="AX135" s="909">
        <v>74834</v>
      </c>
      <c r="AY135" s="909">
        <v>69246</v>
      </c>
      <c r="AZ135" s="917">
        <v>0</v>
      </c>
      <c r="BA135" s="917">
        <v>0</v>
      </c>
      <c r="BB135" s="909">
        <v>0.6</v>
      </c>
      <c r="BC135" s="919">
        <v>1</v>
      </c>
      <c r="BD135" s="920">
        <v>0</v>
      </c>
      <c r="BE135" s="920">
        <v>0</v>
      </c>
      <c r="BF135" s="921">
        <v>0</v>
      </c>
      <c r="BG135" s="920">
        <v>0</v>
      </c>
      <c r="BH135" s="920">
        <v>1</v>
      </c>
      <c r="BI135" s="921">
        <v>0</v>
      </c>
      <c r="BJ135" s="920">
        <v>1</v>
      </c>
      <c r="BK135" s="920">
        <v>0</v>
      </c>
      <c r="BL135" s="920">
        <v>0</v>
      </c>
      <c r="BM135" s="921">
        <v>0</v>
      </c>
      <c r="BN135" s="958">
        <v>0.01</v>
      </c>
      <c r="BO135" s="959">
        <v>2.5</v>
      </c>
      <c r="BP135">
        <f t="shared" ca="1" si="154"/>
        <v>102.96</v>
      </c>
      <c r="BQ135">
        <f t="shared" ca="1" si="155"/>
        <v>174.94399999999999</v>
      </c>
      <c r="BR135">
        <f t="shared" ca="1" si="156"/>
        <v>37.440000000000005</v>
      </c>
      <c r="BS135">
        <f t="shared" ca="1" si="157"/>
        <v>112.95</v>
      </c>
      <c r="BT135">
        <f t="shared" ca="1" si="158"/>
        <v>34.32</v>
      </c>
      <c r="BU135">
        <f t="shared" ca="1" si="159"/>
        <v>7</v>
      </c>
      <c r="BV135">
        <f t="shared" ca="1" si="160"/>
        <v>4.3</v>
      </c>
      <c r="BW135" s="1018">
        <v>0</v>
      </c>
      <c r="BX135">
        <f t="shared" ca="1" si="111"/>
        <v>11.351187468418397</v>
      </c>
      <c r="BY135">
        <f t="shared" ca="1" si="112"/>
        <v>45.199621541134135</v>
      </c>
      <c r="BZ135">
        <f t="shared" ca="1" si="94"/>
        <v>4.5322074699094186</v>
      </c>
      <c r="CA135">
        <f t="shared" ca="1" si="95"/>
        <v>13.999999994400001</v>
      </c>
      <c r="CB135">
        <f t="shared" ca="1" si="113"/>
        <v>9.0267175572519083</v>
      </c>
      <c r="CC135" s="1018">
        <f t="shared" si="96"/>
        <v>0</v>
      </c>
      <c r="CD135" s="1018">
        <f t="shared" ca="1" si="161"/>
        <v>86.069834031113857</v>
      </c>
      <c r="CE135" s="1018">
        <f t="shared" ca="1" si="165"/>
        <v>52.11192345663703</v>
      </c>
      <c r="CF135">
        <f t="shared" ca="1" si="97"/>
        <v>4.1454527246325261</v>
      </c>
      <c r="CG135">
        <f t="shared" ca="1" si="98"/>
        <v>6902.0129684041704</v>
      </c>
    </row>
    <row r="136" spans="4:85" x14ac:dyDescent="0.25">
      <c r="D136" s="1"/>
      <c r="F136" s="6"/>
      <c r="G136" s="3"/>
      <c r="H136" s="6"/>
      <c r="I136" s="3"/>
      <c r="J136" s="6"/>
      <c r="K136" s="8"/>
      <c r="L136" s="6"/>
      <c r="M136" s="1" t="s">
        <v>16</v>
      </c>
      <c r="N136" s="4"/>
      <c r="O136" s="1" t="s">
        <v>19</v>
      </c>
      <c r="P136" s="4"/>
      <c r="Q136" s="1" t="s">
        <v>7</v>
      </c>
      <c r="R136" s="4"/>
      <c r="S136" s="1"/>
      <c r="T136" s="77"/>
      <c r="U136" s="22"/>
      <c r="W136" s="176">
        <f t="shared" si="152"/>
        <v>0</v>
      </c>
      <c r="X136" s="176">
        <f t="shared" si="162"/>
        <v>0</v>
      </c>
      <c r="Y136" s="34">
        <f>X136/Calculation_sheet!M$67</f>
        <v>0</v>
      </c>
      <c r="Z136" s="176">
        <f ca="1">IF(AN136&gt;0,Y136*Calculation_sheet!C$87,0)</f>
        <v>0</v>
      </c>
      <c r="AA136" s="176">
        <f t="shared" ca="1" si="163"/>
        <v>0</v>
      </c>
      <c r="AB136" s="176">
        <f ca="1">IF(AP136&gt;0,AA136*Calculation_sheet!C$94,0)</f>
        <v>0</v>
      </c>
      <c r="AC136" s="176">
        <f t="shared" ca="1" si="153"/>
        <v>0</v>
      </c>
      <c r="AD136" s="958">
        <f ca="1">AC136*Calculation_sheet!C$99</f>
        <v>0</v>
      </c>
      <c r="AE136" s="176">
        <f t="shared" ca="1" si="153"/>
        <v>0</v>
      </c>
      <c r="AF136" s="176">
        <f t="shared" ca="1" si="164"/>
        <v>0</v>
      </c>
      <c r="AG136" s="958">
        <f ca="1">AF136*User_sheet!B$77/100</f>
        <v>0</v>
      </c>
      <c r="AH136" s="313"/>
      <c r="AI136" s="908">
        <v>201</v>
      </c>
      <c r="AJ136" s="313"/>
      <c r="AK136" s="1020">
        <f t="shared" ca="1" si="93"/>
        <v>86.069834031113857</v>
      </c>
      <c r="AL136" s="954">
        <f ca="1">AK136/'201'!I$24</f>
        <v>0.44891166761129636</v>
      </c>
      <c r="AM136" s="954">
        <f ca="1">0.8*(AK136*30+'201'!D$17*0.34*30*1)</f>
        <v>4155.8763367467327</v>
      </c>
      <c r="AN136" s="954">
        <f ca="1">IF(AM136&lt;User_sheet!B$50,Y136,0)</f>
        <v>0</v>
      </c>
      <c r="AO136" s="954">
        <f ca="1">20-(User_sheet!B$57/(AK136+'201'!D$17*1*0.34))</f>
        <v>-12.917245104335471</v>
      </c>
      <c r="AP136" s="954">
        <f ca="1">IF(AO136&lt;User_sheet!B$59,0,BC136*AA136)</f>
        <v>0</v>
      </c>
      <c r="AQ136" s="313"/>
      <c r="AR136" s="909">
        <v>0.32</v>
      </c>
      <c r="AS136" s="909">
        <v>0.43</v>
      </c>
      <c r="AT136" s="909">
        <v>0.43</v>
      </c>
      <c r="AU136" s="909">
        <v>2</v>
      </c>
      <c r="AV136" s="909">
        <v>3.3</v>
      </c>
      <c r="AW136" s="909">
        <v>14356</v>
      </c>
      <c r="AX136" s="909">
        <v>74834</v>
      </c>
      <c r="AY136" s="909">
        <v>69246</v>
      </c>
      <c r="AZ136" s="917">
        <v>0</v>
      </c>
      <c r="BA136" s="917">
        <v>0</v>
      </c>
      <c r="BB136" s="909">
        <v>0.6</v>
      </c>
      <c r="BC136" s="919">
        <v>1</v>
      </c>
      <c r="BD136" s="920">
        <v>0</v>
      </c>
      <c r="BE136" s="920">
        <v>0</v>
      </c>
      <c r="BF136" s="921">
        <v>0</v>
      </c>
      <c r="BG136" s="920">
        <v>0</v>
      </c>
      <c r="BH136" s="920">
        <v>1</v>
      </c>
      <c r="BI136" s="921">
        <v>0</v>
      </c>
      <c r="BJ136" s="920">
        <v>0</v>
      </c>
      <c r="BK136" s="920">
        <v>0</v>
      </c>
      <c r="BL136" s="920">
        <v>1</v>
      </c>
      <c r="BM136" s="921">
        <v>0</v>
      </c>
      <c r="BN136" s="958">
        <v>0.01</v>
      </c>
      <c r="BO136" s="959">
        <v>2.5</v>
      </c>
      <c r="BP136">
        <f t="shared" ca="1" si="154"/>
        <v>102.96</v>
      </c>
      <c r="BQ136">
        <f t="shared" ca="1" si="155"/>
        <v>174.94399999999999</v>
      </c>
      <c r="BR136">
        <f t="shared" ca="1" si="156"/>
        <v>37.440000000000005</v>
      </c>
      <c r="BS136">
        <f t="shared" ca="1" si="157"/>
        <v>112.95</v>
      </c>
      <c r="BT136">
        <f t="shared" ca="1" si="158"/>
        <v>34.32</v>
      </c>
      <c r="BU136">
        <f t="shared" ca="1" si="159"/>
        <v>7</v>
      </c>
      <c r="BV136">
        <f t="shared" ca="1" si="160"/>
        <v>4.3</v>
      </c>
      <c r="BW136" s="1018">
        <v>0</v>
      </c>
      <c r="BX136">
        <f t="shared" ca="1" si="111"/>
        <v>11.351187468418397</v>
      </c>
      <c r="BY136">
        <f t="shared" ca="1" si="112"/>
        <v>45.199621541134135</v>
      </c>
      <c r="BZ136">
        <f t="shared" ca="1" si="94"/>
        <v>4.5322074699094186</v>
      </c>
      <c r="CA136">
        <f t="shared" ca="1" si="95"/>
        <v>13.999999994400001</v>
      </c>
      <c r="CB136">
        <f t="shared" ca="1" si="113"/>
        <v>9.0267175572519083</v>
      </c>
      <c r="CC136" s="1018">
        <f t="shared" si="96"/>
        <v>0</v>
      </c>
      <c r="CD136" s="1018">
        <f t="shared" ca="1" si="161"/>
        <v>86.069834031113857</v>
      </c>
      <c r="CE136" s="1018">
        <f t="shared" ca="1" si="165"/>
        <v>52.11192345663703</v>
      </c>
      <c r="CF136">
        <f t="shared" ca="1" si="97"/>
        <v>4.1454527246325261</v>
      </c>
      <c r="CG136">
        <f t="shared" ca="1" si="98"/>
        <v>6902.0129684041704</v>
      </c>
    </row>
    <row r="137" spans="4:85" x14ac:dyDescent="0.25">
      <c r="D137" s="1"/>
      <c r="F137" s="6"/>
      <c r="G137" s="3"/>
      <c r="H137" s="6"/>
      <c r="I137" s="3"/>
      <c r="J137" s="6"/>
      <c r="K137" s="8"/>
      <c r="L137" s="6"/>
      <c r="M137" s="1"/>
      <c r="N137" s="1"/>
      <c r="O137" s="1"/>
      <c r="P137" s="1"/>
      <c r="Q137" s="1" t="s">
        <v>22</v>
      </c>
      <c r="R137" s="4"/>
      <c r="S137" s="1"/>
      <c r="T137" s="77"/>
      <c r="U137" s="22"/>
      <c r="W137" s="176">
        <f t="shared" si="152"/>
        <v>0</v>
      </c>
      <c r="X137" s="176">
        <f t="shared" si="162"/>
        <v>0</v>
      </c>
      <c r="Y137" s="34">
        <f>X137/Calculation_sheet!M$67</f>
        <v>0</v>
      </c>
      <c r="Z137" s="176">
        <f ca="1">IF(AN137&gt;0,Y137*Calculation_sheet!C$87,0)</f>
        <v>0</v>
      </c>
      <c r="AA137" s="176">
        <f t="shared" ca="1" si="163"/>
        <v>0</v>
      </c>
      <c r="AB137" s="176">
        <f ca="1">IF(AP137&gt;0,AA137*Calculation_sheet!C$94,0)</f>
        <v>0</v>
      </c>
      <c r="AC137" s="176">
        <f t="shared" ca="1" si="153"/>
        <v>0</v>
      </c>
      <c r="AD137" s="958">
        <f ca="1">AC137*Calculation_sheet!C$99</f>
        <v>0</v>
      </c>
      <c r="AE137" s="176">
        <f t="shared" ca="1" si="153"/>
        <v>0</v>
      </c>
      <c r="AF137" s="176">
        <f t="shared" ca="1" si="164"/>
        <v>0</v>
      </c>
      <c r="AG137" s="958">
        <f ca="1">AF137*User_sheet!B$77/100</f>
        <v>0</v>
      </c>
      <c r="AH137" s="313"/>
      <c r="AI137" s="908">
        <v>201</v>
      </c>
      <c r="AJ137" s="313"/>
      <c r="AK137" s="1020">
        <f t="shared" ca="1" si="93"/>
        <v>86.069834031113857</v>
      </c>
      <c r="AL137" s="954">
        <f ca="1">AK137/'201'!I$24</f>
        <v>0.44891166761129636</v>
      </c>
      <c r="AM137" s="954">
        <f ca="1">0.8*(AK137*30+'201'!D$17*0.34*30*1)</f>
        <v>4155.8763367467327</v>
      </c>
      <c r="AN137" s="954">
        <f ca="1">IF(AM137&lt;User_sheet!B$50,Y137,0)</f>
        <v>0</v>
      </c>
      <c r="AO137" s="954">
        <f ca="1">20-(User_sheet!B$57/(AK137+'201'!D$17*1*0.34))</f>
        <v>-12.917245104335471</v>
      </c>
      <c r="AP137" s="954">
        <f ca="1">IF(AO137&lt;User_sheet!B$59,0,BC137*AA137)</f>
        <v>0</v>
      </c>
      <c r="AQ137" s="313"/>
      <c r="AR137" s="909">
        <v>0.32</v>
      </c>
      <c r="AS137" s="909">
        <v>0.43</v>
      </c>
      <c r="AT137" s="909">
        <v>0.43</v>
      </c>
      <c r="AU137" s="909">
        <v>2</v>
      </c>
      <c r="AV137" s="909">
        <v>3.3</v>
      </c>
      <c r="AW137" s="909">
        <v>14356</v>
      </c>
      <c r="AX137" s="909">
        <v>74834</v>
      </c>
      <c r="AY137" s="909">
        <v>69246</v>
      </c>
      <c r="AZ137" s="917">
        <v>0</v>
      </c>
      <c r="BA137" s="917">
        <v>0</v>
      </c>
      <c r="BB137" s="909">
        <v>0.6</v>
      </c>
      <c r="BC137" s="919">
        <v>0</v>
      </c>
      <c r="BD137" s="920">
        <v>1</v>
      </c>
      <c r="BE137" s="920">
        <v>0</v>
      </c>
      <c r="BF137" s="921">
        <v>0</v>
      </c>
      <c r="BG137" s="920">
        <v>1</v>
      </c>
      <c r="BH137" s="920">
        <v>0</v>
      </c>
      <c r="BI137" s="921">
        <v>0</v>
      </c>
      <c r="BJ137" s="920">
        <v>0</v>
      </c>
      <c r="BK137" s="920">
        <v>1</v>
      </c>
      <c r="BL137" s="920">
        <v>0</v>
      </c>
      <c r="BM137" s="921">
        <v>0</v>
      </c>
      <c r="BN137" s="958">
        <v>0.01</v>
      </c>
      <c r="BO137" s="959">
        <v>2.5</v>
      </c>
      <c r="BP137">
        <f t="shared" ca="1" si="154"/>
        <v>102.96</v>
      </c>
      <c r="BQ137">
        <f t="shared" ca="1" si="155"/>
        <v>174.94399999999999</v>
      </c>
      <c r="BR137">
        <f t="shared" ca="1" si="156"/>
        <v>37.440000000000005</v>
      </c>
      <c r="BS137">
        <f t="shared" ca="1" si="157"/>
        <v>112.95</v>
      </c>
      <c r="BT137">
        <f t="shared" ca="1" si="158"/>
        <v>34.32</v>
      </c>
      <c r="BU137">
        <f t="shared" ca="1" si="159"/>
        <v>7</v>
      </c>
      <c r="BV137">
        <f t="shared" ca="1" si="160"/>
        <v>4.3</v>
      </c>
      <c r="BW137" s="1018">
        <v>0</v>
      </c>
      <c r="BX137">
        <f t="shared" ca="1" si="111"/>
        <v>11.351187468418397</v>
      </c>
      <c r="BY137">
        <f t="shared" ca="1" si="112"/>
        <v>45.199621541134135</v>
      </c>
      <c r="BZ137">
        <f t="shared" ca="1" si="94"/>
        <v>4.5322074699094186</v>
      </c>
      <c r="CA137">
        <f t="shared" ca="1" si="95"/>
        <v>13.999999994400001</v>
      </c>
      <c r="CB137">
        <f t="shared" ca="1" si="113"/>
        <v>9.0267175572519083</v>
      </c>
      <c r="CC137" s="1018">
        <f t="shared" si="96"/>
        <v>0</v>
      </c>
      <c r="CD137" s="1018">
        <f t="shared" ca="1" si="161"/>
        <v>86.069834031113857</v>
      </c>
      <c r="CE137" s="1018">
        <f t="shared" ca="1" si="165"/>
        <v>52.11192345663703</v>
      </c>
      <c r="CF137">
        <f t="shared" ca="1" si="97"/>
        <v>4.1454527246325261</v>
      </c>
      <c r="CG137">
        <f t="shared" ca="1" si="98"/>
        <v>6902.0129684041704</v>
      </c>
    </row>
    <row r="138" spans="4:85" x14ac:dyDescent="0.25">
      <c r="D138" s="1"/>
      <c r="F138" s="6"/>
      <c r="G138" s="3"/>
      <c r="H138" s="6"/>
      <c r="I138" s="3"/>
      <c r="J138" s="3" t="s">
        <v>143</v>
      </c>
      <c r="K138" s="8"/>
      <c r="L138" s="6"/>
      <c r="M138" s="1"/>
      <c r="N138" s="1"/>
      <c r="O138" s="1" t="s">
        <v>18</v>
      </c>
      <c r="P138" s="4"/>
      <c r="Q138" s="1" t="s">
        <v>7</v>
      </c>
      <c r="R138" s="4"/>
      <c r="S138" s="1"/>
      <c r="T138" s="77"/>
      <c r="U138" s="22"/>
      <c r="W138" s="176">
        <f t="shared" si="152"/>
        <v>0</v>
      </c>
      <c r="X138" s="176">
        <f t="shared" si="162"/>
        <v>0</v>
      </c>
      <c r="Y138" s="34">
        <f>X138/Calculation_sheet!M$67</f>
        <v>0</v>
      </c>
      <c r="Z138" s="176">
        <f ca="1">IF(AN138&gt;0,Y138*Calculation_sheet!C$87,0)</f>
        <v>0</v>
      </c>
      <c r="AA138" s="176">
        <f t="shared" ca="1" si="163"/>
        <v>0</v>
      </c>
      <c r="AB138" s="176">
        <f ca="1">IF(AP138&gt;0,AA138*Calculation_sheet!C$94,0)</f>
        <v>0</v>
      </c>
      <c r="AC138" s="176">
        <f t="shared" ca="1" si="153"/>
        <v>0</v>
      </c>
      <c r="AD138" s="958">
        <f ca="1">AC138*Calculation_sheet!C$99</f>
        <v>0</v>
      </c>
      <c r="AE138" s="176">
        <f t="shared" ca="1" si="153"/>
        <v>0</v>
      </c>
      <c r="AF138" s="176">
        <f t="shared" ca="1" si="164"/>
        <v>0</v>
      </c>
      <c r="AG138" s="958">
        <f ca="1">AF138*User_sheet!B$77/100</f>
        <v>0</v>
      </c>
      <c r="AH138" s="313"/>
      <c r="AI138" s="908">
        <v>201</v>
      </c>
      <c r="AJ138" s="313"/>
      <c r="AK138" s="1020">
        <f t="shared" ca="1" si="93"/>
        <v>86.069834031113857</v>
      </c>
      <c r="AL138" s="954">
        <f ca="1">AK138/'201'!I$24</f>
        <v>0.44891166761129636</v>
      </c>
      <c r="AM138" s="954">
        <f ca="1">0.8*(AK138*30+'201'!D$17*0.34*30*1)</f>
        <v>4155.8763367467327</v>
      </c>
      <c r="AN138" s="954">
        <f ca="1">IF(AM138&lt;User_sheet!B$50,Y138,0)</f>
        <v>0</v>
      </c>
      <c r="AO138" s="954">
        <f ca="1">20-(User_sheet!B$57/(AK138+'201'!D$17*1*0.34))</f>
        <v>-12.917245104335471</v>
      </c>
      <c r="AP138" s="954">
        <f ca="1">IF(AO138&lt;User_sheet!B$59,0,BC138*AA138)</f>
        <v>0</v>
      </c>
      <c r="AQ138" s="313"/>
      <c r="AR138" s="909">
        <v>0.32</v>
      </c>
      <c r="AS138" s="909">
        <v>0.43</v>
      </c>
      <c r="AT138" s="909">
        <v>0.43</v>
      </c>
      <c r="AU138" s="909">
        <v>2</v>
      </c>
      <c r="AV138" s="909">
        <v>3.3</v>
      </c>
      <c r="AW138" s="909">
        <v>14356</v>
      </c>
      <c r="AX138" s="909">
        <v>74834</v>
      </c>
      <c r="AY138" s="909">
        <v>69246</v>
      </c>
      <c r="AZ138" s="917">
        <v>0</v>
      </c>
      <c r="BA138" s="917">
        <v>0</v>
      </c>
      <c r="BB138" s="909">
        <v>0.6</v>
      </c>
      <c r="BC138" s="919">
        <v>0</v>
      </c>
      <c r="BD138" s="920">
        <v>1</v>
      </c>
      <c r="BE138" s="920">
        <v>0</v>
      </c>
      <c r="BF138" s="921">
        <v>0</v>
      </c>
      <c r="BG138" s="920">
        <v>1</v>
      </c>
      <c r="BH138" s="920">
        <v>0</v>
      </c>
      <c r="BI138" s="921">
        <v>0</v>
      </c>
      <c r="BJ138" s="920">
        <v>0</v>
      </c>
      <c r="BK138" s="920">
        <v>0</v>
      </c>
      <c r="BL138" s="920">
        <v>1</v>
      </c>
      <c r="BM138" s="921">
        <v>0</v>
      </c>
      <c r="BN138" s="958">
        <v>0.01</v>
      </c>
      <c r="BO138" s="959">
        <v>2.5</v>
      </c>
      <c r="BP138">
        <f t="shared" ca="1" si="154"/>
        <v>102.96</v>
      </c>
      <c r="BQ138">
        <f t="shared" ca="1" si="155"/>
        <v>174.94399999999999</v>
      </c>
      <c r="BR138">
        <f t="shared" ca="1" si="156"/>
        <v>37.440000000000005</v>
      </c>
      <c r="BS138">
        <f t="shared" ca="1" si="157"/>
        <v>112.95</v>
      </c>
      <c r="BT138">
        <f t="shared" ca="1" si="158"/>
        <v>34.32</v>
      </c>
      <c r="BU138">
        <f t="shared" ca="1" si="159"/>
        <v>7</v>
      </c>
      <c r="BV138">
        <f t="shared" ca="1" si="160"/>
        <v>4.3</v>
      </c>
      <c r="BW138" s="1018">
        <v>0</v>
      </c>
      <c r="BX138">
        <f t="shared" ca="1" si="111"/>
        <v>11.351187468418397</v>
      </c>
      <c r="BY138">
        <f t="shared" ca="1" si="112"/>
        <v>45.199621541134135</v>
      </c>
      <c r="BZ138">
        <f t="shared" ca="1" si="94"/>
        <v>4.5322074699094186</v>
      </c>
      <c r="CA138">
        <f t="shared" ca="1" si="95"/>
        <v>13.999999994400001</v>
      </c>
      <c r="CB138">
        <f t="shared" ca="1" si="113"/>
        <v>9.0267175572519083</v>
      </c>
      <c r="CC138" s="1018">
        <f t="shared" si="96"/>
        <v>0</v>
      </c>
      <c r="CD138" s="1018">
        <f t="shared" ca="1" si="161"/>
        <v>86.069834031113857</v>
      </c>
      <c r="CE138" s="1018">
        <f t="shared" ca="1" si="165"/>
        <v>52.11192345663703</v>
      </c>
      <c r="CF138">
        <f t="shared" ca="1" si="97"/>
        <v>4.1454527246325261</v>
      </c>
      <c r="CG138">
        <f t="shared" ca="1" si="98"/>
        <v>6902.0129684041704</v>
      </c>
    </row>
    <row r="139" spans="4:85" x14ac:dyDescent="0.25">
      <c r="D139" s="1"/>
      <c r="F139" s="6"/>
      <c r="G139" s="3"/>
      <c r="H139" s="6"/>
      <c r="I139" s="3"/>
      <c r="J139" s="6" t="s">
        <v>190</v>
      </c>
      <c r="K139" s="8"/>
      <c r="L139" s="6"/>
      <c r="M139" s="1"/>
      <c r="N139" s="1"/>
      <c r="O139" s="1"/>
      <c r="P139" s="1"/>
      <c r="Q139" s="1" t="s">
        <v>22</v>
      </c>
      <c r="R139" s="4"/>
      <c r="S139" s="1"/>
      <c r="T139" s="77"/>
      <c r="U139" s="22"/>
      <c r="W139" s="176">
        <f t="shared" si="152"/>
        <v>0</v>
      </c>
      <c r="X139" s="176">
        <f t="shared" si="162"/>
        <v>0</v>
      </c>
      <c r="Y139" s="34">
        <f>X139/Calculation_sheet!M$67</f>
        <v>0</v>
      </c>
      <c r="Z139" s="176">
        <f ca="1">IF(AN139&gt;0,Y139*Calculation_sheet!C$87,0)</f>
        <v>0</v>
      </c>
      <c r="AA139" s="176">
        <f t="shared" ca="1" si="163"/>
        <v>0</v>
      </c>
      <c r="AB139" s="176">
        <f ca="1">IF(AP139&gt;0,AA139*Calculation_sheet!C$94,0)</f>
        <v>0</v>
      </c>
      <c r="AC139" s="176">
        <f t="shared" ca="1" si="153"/>
        <v>0</v>
      </c>
      <c r="AD139" s="958">
        <f ca="1">AC139*Calculation_sheet!C$99</f>
        <v>0</v>
      </c>
      <c r="AE139" s="176">
        <f t="shared" ca="1" si="153"/>
        <v>0</v>
      </c>
      <c r="AF139" s="176">
        <f t="shared" ca="1" si="164"/>
        <v>0</v>
      </c>
      <c r="AG139" s="958">
        <f ca="1">AF139*User_sheet!B$77/100</f>
        <v>0</v>
      </c>
      <c r="AH139" s="313"/>
      <c r="AI139" s="908">
        <v>201</v>
      </c>
      <c r="AJ139" s="313"/>
      <c r="AK139" s="1020">
        <f t="shared" ca="1" si="93"/>
        <v>86.069834031113857</v>
      </c>
      <c r="AL139" s="954">
        <f ca="1">AK139/'201'!I$24</f>
        <v>0.44891166761129636</v>
      </c>
      <c r="AM139" s="954">
        <f ca="1">0.8*(AK139*30+'201'!D$17*0.34*30*1)</f>
        <v>4155.8763367467327</v>
      </c>
      <c r="AN139" s="954">
        <f ca="1">IF(AM139&lt;User_sheet!B$50,Y139,0)</f>
        <v>0</v>
      </c>
      <c r="AO139" s="954">
        <f ca="1">20-(User_sheet!B$57/(AK139+'201'!D$17*1*0.34))</f>
        <v>-12.917245104335471</v>
      </c>
      <c r="AP139" s="954">
        <f ca="1">IF(AO139&lt;User_sheet!B$59,0,BC139*AA139)</f>
        <v>0</v>
      </c>
      <c r="AQ139" s="313"/>
      <c r="AR139" s="909">
        <v>0.32</v>
      </c>
      <c r="AS139" s="909">
        <v>0.43</v>
      </c>
      <c r="AT139" s="909">
        <v>0.43</v>
      </c>
      <c r="AU139" s="909">
        <v>2</v>
      </c>
      <c r="AV139" s="909">
        <v>3.3</v>
      </c>
      <c r="AW139" s="909">
        <v>14356</v>
      </c>
      <c r="AX139" s="909">
        <v>74834</v>
      </c>
      <c r="AY139" s="909">
        <v>69246</v>
      </c>
      <c r="AZ139" s="917">
        <v>0</v>
      </c>
      <c r="BA139" s="917">
        <v>0</v>
      </c>
      <c r="BB139" s="909">
        <v>0.6</v>
      </c>
      <c r="BC139" s="919">
        <v>0</v>
      </c>
      <c r="BD139" s="920">
        <v>1</v>
      </c>
      <c r="BE139" s="920">
        <v>0</v>
      </c>
      <c r="BF139" s="921">
        <v>0</v>
      </c>
      <c r="BG139" s="920">
        <v>0</v>
      </c>
      <c r="BH139" s="920">
        <v>1</v>
      </c>
      <c r="BI139" s="921">
        <v>0</v>
      </c>
      <c r="BJ139" s="920">
        <v>0</v>
      </c>
      <c r="BK139" s="920">
        <v>1</v>
      </c>
      <c r="BL139" s="920">
        <v>0</v>
      </c>
      <c r="BM139" s="921">
        <v>0</v>
      </c>
      <c r="BN139" s="958">
        <v>0.01</v>
      </c>
      <c r="BO139" s="959">
        <v>2.5</v>
      </c>
      <c r="BP139">
        <f t="shared" ca="1" si="154"/>
        <v>102.96</v>
      </c>
      <c r="BQ139">
        <f t="shared" ca="1" si="155"/>
        <v>174.94399999999999</v>
      </c>
      <c r="BR139">
        <f t="shared" ca="1" si="156"/>
        <v>37.440000000000005</v>
      </c>
      <c r="BS139">
        <f t="shared" ca="1" si="157"/>
        <v>112.95</v>
      </c>
      <c r="BT139">
        <f t="shared" ca="1" si="158"/>
        <v>34.32</v>
      </c>
      <c r="BU139">
        <f t="shared" ca="1" si="159"/>
        <v>7</v>
      </c>
      <c r="BV139">
        <f t="shared" ca="1" si="160"/>
        <v>4.3</v>
      </c>
      <c r="BW139" s="1018">
        <v>0</v>
      </c>
      <c r="BX139">
        <f t="shared" ca="1" si="111"/>
        <v>11.351187468418397</v>
      </c>
      <c r="BY139">
        <f t="shared" ca="1" si="112"/>
        <v>45.199621541134135</v>
      </c>
      <c r="BZ139">
        <f t="shared" ca="1" si="94"/>
        <v>4.5322074699094186</v>
      </c>
      <c r="CA139">
        <f t="shared" ca="1" si="95"/>
        <v>13.999999994400001</v>
      </c>
      <c r="CB139">
        <f t="shared" ca="1" si="113"/>
        <v>9.0267175572519083</v>
      </c>
      <c r="CC139" s="1018">
        <f t="shared" si="96"/>
        <v>0</v>
      </c>
      <c r="CD139" s="1018">
        <f t="shared" ca="1" si="161"/>
        <v>86.069834031113857</v>
      </c>
      <c r="CE139" s="1018">
        <f t="shared" ca="1" si="165"/>
        <v>52.11192345663703</v>
      </c>
      <c r="CF139">
        <f t="shared" ca="1" si="97"/>
        <v>4.1454527246325261</v>
      </c>
      <c r="CG139">
        <f t="shared" ca="1" si="98"/>
        <v>6902.0129684041704</v>
      </c>
    </row>
    <row r="140" spans="4:85" x14ac:dyDescent="0.25">
      <c r="D140" s="1"/>
      <c r="F140" s="6"/>
      <c r="G140" s="3"/>
      <c r="H140" s="6"/>
      <c r="I140" s="3"/>
      <c r="J140" s="6"/>
      <c r="K140" s="8"/>
      <c r="L140" s="6"/>
      <c r="M140" s="1" t="s">
        <v>22</v>
      </c>
      <c r="N140" s="4"/>
      <c r="O140" s="1" t="s">
        <v>20</v>
      </c>
      <c r="P140" s="4"/>
      <c r="Q140" s="1" t="s">
        <v>7</v>
      </c>
      <c r="R140" s="4"/>
      <c r="S140" s="1"/>
      <c r="T140" s="77"/>
      <c r="U140" s="22"/>
      <c r="W140" s="176">
        <f t="shared" si="152"/>
        <v>0</v>
      </c>
      <c r="X140" s="176">
        <f t="shared" si="162"/>
        <v>0</v>
      </c>
      <c r="Y140" s="34">
        <f>X140/Calculation_sheet!M$67</f>
        <v>0</v>
      </c>
      <c r="Z140" s="176">
        <f ca="1">IF(AN140&gt;0,Y140*Calculation_sheet!C$87,0)</f>
        <v>0</v>
      </c>
      <c r="AA140" s="176">
        <f t="shared" ca="1" si="163"/>
        <v>0</v>
      </c>
      <c r="AB140" s="176">
        <f ca="1">IF(AP140&gt;0,AA140*Calculation_sheet!C$94,0)</f>
        <v>0</v>
      </c>
      <c r="AC140" s="176">
        <f t="shared" ca="1" si="153"/>
        <v>0</v>
      </c>
      <c r="AD140" s="958">
        <f ca="1">AC140*Calculation_sheet!C$99</f>
        <v>0</v>
      </c>
      <c r="AE140" s="176">
        <f t="shared" ca="1" si="153"/>
        <v>0</v>
      </c>
      <c r="AF140" s="176">
        <f t="shared" ca="1" si="164"/>
        <v>0</v>
      </c>
      <c r="AG140" s="958">
        <f ca="1">AF140*User_sheet!B$77/100</f>
        <v>0</v>
      </c>
      <c r="AH140" s="313"/>
      <c r="AI140" s="908">
        <v>201</v>
      </c>
      <c r="AJ140" s="313"/>
      <c r="AK140" s="1020">
        <f t="shared" ca="1" si="93"/>
        <v>86.069834031113857</v>
      </c>
      <c r="AL140" s="954">
        <f ca="1">AK140/'201'!I$24</f>
        <v>0.44891166761129636</v>
      </c>
      <c r="AM140" s="954">
        <f ca="1">0.8*(AK140*30+'201'!D$17*0.34*30*1)</f>
        <v>4155.8763367467327</v>
      </c>
      <c r="AN140" s="954">
        <f ca="1">IF(AM140&lt;User_sheet!B$50,Y140,0)</f>
        <v>0</v>
      </c>
      <c r="AO140" s="954">
        <f ca="1">20-(User_sheet!B$57/(AK140+'201'!D$17*1*0.34))</f>
        <v>-12.917245104335471</v>
      </c>
      <c r="AP140" s="954">
        <f ca="1">IF(AO140&lt;User_sheet!B$59,0,BC140*AA140)</f>
        <v>0</v>
      </c>
      <c r="AQ140" s="313"/>
      <c r="AR140" s="909">
        <v>0.32</v>
      </c>
      <c r="AS140" s="909">
        <v>0.43</v>
      </c>
      <c r="AT140" s="909">
        <v>0.43</v>
      </c>
      <c r="AU140" s="909">
        <v>2</v>
      </c>
      <c r="AV140" s="909">
        <v>3.3</v>
      </c>
      <c r="AW140" s="909">
        <v>14356</v>
      </c>
      <c r="AX140" s="909">
        <v>74834</v>
      </c>
      <c r="AY140" s="909">
        <v>69246</v>
      </c>
      <c r="AZ140" s="917">
        <v>0</v>
      </c>
      <c r="BA140" s="917">
        <v>0</v>
      </c>
      <c r="BB140" s="909">
        <v>0.6</v>
      </c>
      <c r="BC140" s="919">
        <v>0</v>
      </c>
      <c r="BD140" s="920">
        <v>1</v>
      </c>
      <c r="BE140" s="920">
        <v>0</v>
      </c>
      <c r="BF140" s="921">
        <v>0</v>
      </c>
      <c r="BG140" s="920">
        <v>0</v>
      </c>
      <c r="BH140" s="920">
        <v>1</v>
      </c>
      <c r="BI140" s="921">
        <v>0</v>
      </c>
      <c r="BJ140" s="920">
        <v>0</v>
      </c>
      <c r="BK140" s="920">
        <v>0</v>
      </c>
      <c r="BL140" s="920">
        <v>1</v>
      </c>
      <c r="BM140" s="921">
        <v>0</v>
      </c>
      <c r="BN140" s="958">
        <v>0.01</v>
      </c>
      <c r="BO140" s="959">
        <v>2.5</v>
      </c>
      <c r="BP140">
        <f t="shared" ca="1" si="154"/>
        <v>102.96</v>
      </c>
      <c r="BQ140">
        <f t="shared" ca="1" si="155"/>
        <v>174.94399999999999</v>
      </c>
      <c r="BR140">
        <f t="shared" ca="1" si="156"/>
        <v>37.440000000000005</v>
      </c>
      <c r="BS140">
        <f t="shared" ca="1" si="157"/>
        <v>112.95</v>
      </c>
      <c r="BT140">
        <f t="shared" ca="1" si="158"/>
        <v>34.32</v>
      </c>
      <c r="BU140">
        <f t="shared" ca="1" si="159"/>
        <v>7</v>
      </c>
      <c r="BV140">
        <f t="shared" ca="1" si="160"/>
        <v>4.3</v>
      </c>
      <c r="BW140" s="1018">
        <v>0</v>
      </c>
      <c r="BX140">
        <f t="shared" ca="1" si="111"/>
        <v>11.351187468418397</v>
      </c>
      <c r="BY140">
        <f t="shared" ca="1" si="112"/>
        <v>45.199621541134135</v>
      </c>
      <c r="BZ140">
        <f t="shared" ca="1" si="94"/>
        <v>4.5322074699094186</v>
      </c>
      <c r="CA140">
        <f t="shared" ca="1" si="95"/>
        <v>13.999999994400001</v>
      </c>
      <c r="CB140">
        <f t="shared" ca="1" si="113"/>
        <v>9.0267175572519083</v>
      </c>
      <c r="CC140" s="1018">
        <f t="shared" si="96"/>
        <v>0</v>
      </c>
      <c r="CD140" s="1018">
        <f t="shared" ca="1" si="161"/>
        <v>86.069834031113857</v>
      </c>
      <c r="CE140" s="1018">
        <f t="shared" ca="1" si="165"/>
        <v>52.11192345663703</v>
      </c>
      <c r="CF140">
        <f t="shared" ca="1" si="97"/>
        <v>4.1454527246325261</v>
      </c>
      <c r="CG140">
        <f t="shared" ca="1" si="98"/>
        <v>6902.0129684041704</v>
      </c>
    </row>
    <row r="141" spans="4:85" x14ac:dyDescent="0.25">
      <c r="D141" s="1"/>
      <c r="F141" s="6"/>
      <c r="G141" s="3"/>
      <c r="H141" s="6"/>
      <c r="I141" s="3"/>
      <c r="J141" s="6"/>
      <c r="K141" s="8"/>
      <c r="L141" s="6"/>
      <c r="M141" s="1" t="s">
        <v>7</v>
      </c>
      <c r="N141" s="4"/>
      <c r="O141" s="1" t="s">
        <v>23</v>
      </c>
      <c r="P141" s="4"/>
      <c r="Q141" s="1" t="s">
        <v>7</v>
      </c>
      <c r="R141" s="4"/>
      <c r="S141" s="1"/>
      <c r="T141" s="77"/>
      <c r="U141" s="22"/>
      <c r="W141" s="176">
        <f t="shared" si="152"/>
        <v>0</v>
      </c>
      <c r="X141" s="176">
        <f t="shared" si="162"/>
        <v>0</v>
      </c>
      <c r="Y141" s="34">
        <f>X141/Calculation_sheet!M$67</f>
        <v>0</v>
      </c>
      <c r="Z141" s="176">
        <f ca="1">IF(AN141&gt;0,Y141*Calculation_sheet!C$87,0)</f>
        <v>0</v>
      </c>
      <c r="AA141" s="176">
        <f t="shared" ca="1" si="163"/>
        <v>0</v>
      </c>
      <c r="AB141" s="176">
        <f ca="1">IF(AP141&gt;0,AA141*Calculation_sheet!C$94,0)</f>
        <v>0</v>
      </c>
      <c r="AC141" s="176">
        <f t="shared" ca="1" si="153"/>
        <v>0</v>
      </c>
      <c r="AD141" s="958">
        <f ca="1">AC141*Calculation_sheet!C$99</f>
        <v>0</v>
      </c>
      <c r="AE141" s="176">
        <f t="shared" ca="1" si="153"/>
        <v>0</v>
      </c>
      <c r="AF141" s="176">
        <f t="shared" ca="1" si="164"/>
        <v>0</v>
      </c>
      <c r="AG141" s="958">
        <f ca="1">AF141*User_sheet!B$77/100</f>
        <v>0</v>
      </c>
      <c r="AH141" s="313"/>
      <c r="AI141" s="908">
        <v>201</v>
      </c>
      <c r="AJ141" s="313"/>
      <c r="AK141" s="1020">
        <f t="shared" ca="1" si="93"/>
        <v>86.069834031113857</v>
      </c>
      <c r="AL141" s="954">
        <f ca="1">AK141/'201'!I$24</f>
        <v>0.44891166761129636</v>
      </c>
      <c r="AM141" s="954">
        <f ca="1">0.8*(AK141*30+'201'!D$17*0.34*30*1)</f>
        <v>4155.8763367467327</v>
      </c>
      <c r="AN141" s="954">
        <f ca="1">IF(AM141&lt;User_sheet!B$50,Y141,0)</f>
        <v>0</v>
      </c>
      <c r="AO141" s="954">
        <f ca="1">20-(User_sheet!B$57/(AK141+'201'!D$17*1*0.34))</f>
        <v>-12.917245104335471</v>
      </c>
      <c r="AP141" s="954">
        <f ca="1">IF(AO141&lt;User_sheet!B$59,0,BC141*AA141)</f>
        <v>0</v>
      </c>
      <c r="AQ141" s="313"/>
      <c r="AR141" s="909">
        <v>0.32</v>
      </c>
      <c r="AS141" s="909">
        <v>0.43</v>
      </c>
      <c r="AT141" s="909">
        <v>0.43</v>
      </c>
      <c r="AU141" s="909">
        <v>2</v>
      </c>
      <c r="AV141" s="909">
        <v>3.3</v>
      </c>
      <c r="AW141" s="909">
        <v>14356</v>
      </c>
      <c r="AX141" s="909">
        <v>74834</v>
      </c>
      <c r="AY141" s="909">
        <v>69246</v>
      </c>
      <c r="AZ141" s="917">
        <v>0</v>
      </c>
      <c r="BA141" s="917">
        <v>0</v>
      </c>
      <c r="BB141" s="909">
        <v>0.6</v>
      </c>
      <c r="BC141" s="919">
        <v>0</v>
      </c>
      <c r="BD141" s="920">
        <v>0</v>
      </c>
      <c r="BE141" s="920">
        <v>1</v>
      </c>
      <c r="BF141" s="921">
        <v>0</v>
      </c>
      <c r="BG141" s="920">
        <v>0</v>
      </c>
      <c r="BH141" s="920">
        <v>0</v>
      </c>
      <c r="BI141" s="921">
        <v>1</v>
      </c>
      <c r="BJ141" s="920">
        <v>0</v>
      </c>
      <c r="BK141" s="920">
        <v>0</v>
      </c>
      <c r="BL141" s="920">
        <v>1</v>
      </c>
      <c r="BM141" s="921">
        <v>0</v>
      </c>
      <c r="BN141" s="958">
        <v>0.01</v>
      </c>
      <c r="BO141" s="959">
        <v>2.5</v>
      </c>
      <c r="BP141">
        <f t="shared" ca="1" si="154"/>
        <v>102.96</v>
      </c>
      <c r="BQ141">
        <f t="shared" ca="1" si="155"/>
        <v>174.94399999999999</v>
      </c>
      <c r="BR141">
        <f t="shared" ca="1" si="156"/>
        <v>37.440000000000005</v>
      </c>
      <c r="BS141">
        <f t="shared" ca="1" si="157"/>
        <v>112.95</v>
      </c>
      <c r="BT141">
        <f t="shared" ca="1" si="158"/>
        <v>34.32</v>
      </c>
      <c r="BU141">
        <f t="shared" ca="1" si="159"/>
        <v>7</v>
      </c>
      <c r="BV141">
        <f t="shared" ca="1" si="160"/>
        <v>4.3</v>
      </c>
      <c r="BW141" s="1018">
        <v>0</v>
      </c>
      <c r="BX141">
        <f t="shared" ca="1" si="111"/>
        <v>11.351187468418397</v>
      </c>
      <c r="BY141">
        <f t="shared" ca="1" si="112"/>
        <v>45.199621541134135</v>
      </c>
      <c r="BZ141">
        <f t="shared" ca="1" si="94"/>
        <v>4.5322074699094186</v>
      </c>
      <c r="CA141">
        <f t="shared" ca="1" si="95"/>
        <v>13.999999994400001</v>
      </c>
      <c r="CB141">
        <f t="shared" ca="1" si="113"/>
        <v>9.0267175572519083</v>
      </c>
      <c r="CC141" s="1018">
        <f t="shared" si="96"/>
        <v>0</v>
      </c>
      <c r="CD141" s="1018">
        <f t="shared" ca="1" si="161"/>
        <v>86.069834031113857</v>
      </c>
      <c r="CE141" s="1018">
        <f t="shared" ca="1" si="165"/>
        <v>52.11192345663703</v>
      </c>
      <c r="CF141">
        <f t="shared" ca="1" si="97"/>
        <v>4.1454527246325261</v>
      </c>
      <c r="CG141">
        <f t="shared" ca="1" si="98"/>
        <v>6902.0129684041704</v>
      </c>
    </row>
    <row r="142" spans="4:85" x14ac:dyDescent="0.25">
      <c r="D142" s="1"/>
      <c r="F142" s="6"/>
      <c r="G142" s="3"/>
      <c r="H142" s="6"/>
      <c r="I142" s="3"/>
      <c r="J142" s="6"/>
      <c r="K142" s="8"/>
      <c r="L142" s="6"/>
      <c r="M142" s="1"/>
      <c r="N142" s="1"/>
      <c r="O142" s="1" t="s">
        <v>18</v>
      </c>
      <c r="P142" s="4"/>
      <c r="Q142" s="1" t="s">
        <v>17</v>
      </c>
      <c r="R142" s="4"/>
      <c r="S142" s="1"/>
      <c r="T142" s="77"/>
      <c r="U142" s="22"/>
      <c r="W142" s="176">
        <f t="shared" si="152"/>
        <v>0</v>
      </c>
      <c r="X142" s="176">
        <f t="shared" si="162"/>
        <v>0</v>
      </c>
      <c r="Y142" s="34">
        <f>X142/Calculation_sheet!M$67</f>
        <v>0</v>
      </c>
      <c r="Z142" s="176">
        <f ca="1">IF(AN142&gt;0,Y142*Calculation_sheet!C$87,0)</f>
        <v>0</v>
      </c>
      <c r="AA142" s="176">
        <f t="shared" ca="1" si="163"/>
        <v>0</v>
      </c>
      <c r="AB142" s="176">
        <f ca="1">IF(AP142&gt;0,AA142*Calculation_sheet!C$94,0)</f>
        <v>0</v>
      </c>
      <c r="AC142" s="176">
        <f t="shared" ca="1" si="153"/>
        <v>0</v>
      </c>
      <c r="AD142" s="958">
        <f ca="1">AC142*Calculation_sheet!C$99</f>
        <v>0</v>
      </c>
      <c r="AE142" s="176">
        <f t="shared" ca="1" si="153"/>
        <v>0</v>
      </c>
      <c r="AF142" s="176">
        <f t="shared" ca="1" si="164"/>
        <v>0</v>
      </c>
      <c r="AG142" s="958">
        <f ca="1">AF142*User_sheet!B$77/100</f>
        <v>0</v>
      </c>
      <c r="AH142" s="313"/>
      <c r="AI142" s="908">
        <v>201</v>
      </c>
      <c r="AJ142" s="313"/>
      <c r="AK142" s="1020">
        <f t="shared" ref="AK142:AK205" ca="1" si="166">CD142</f>
        <v>86.069834031113857</v>
      </c>
      <c r="AL142" s="954">
        <f ca="1">AK142/'201'!I$24</f>
        <v>0.44891166761129636</v>
      </c>
      <c r="AM142" s="954">
        <f ca="1">0.8*(AK142*30+'201'!D$17*0.34*30*1)</f>
        <v>4155.8763367467327</v>
      </c>
      <c r="AN142" s="954">
        <f ca="1">IF(AM142&lt;User_sheet!B$50,Y142,0)</f>
        <v>0</v>
      </c>
      <c r="AO142" s="954">
        <f ca="1">20-(User_sheet!B$57/(AK142+'201'!D$17*1*0.34))</f>
        <v>-12.917245104335471</v>
      </c>
      <c r="AP142" s="954">
        <f ca="1">IF(AO142&lt;User_sheet!B$59,0,BC142*AA142)</f>
        <v>0</v>
      </c>
      <c r="AQ142" s="313"/>
      <c r="AR142" s="909">
        <v>0.32</v>
      </c>
      <c r="AS142" s="909">
        <v>0.43</v>
      </c>
      <c r="AT142" s="909">
        <v>0.43</v>
      </c>
      <c r="AU142" s="909">
        <v>2</v>
      </c>
      <c r="AV142" s="909">
        <v>3.3</v>
      </c>
      <c r="AW142" s="909">
        <v>14356</v>
      </c>
      <c r="AX142" s="909">
        <v>74834</v>
      </c>
      <c r="AY142" s="909">
        <v>69246</v>
      </c>
      <c r="AZ142" s="917">
        <v>0</v>
      </c>
      <c r="BA142" s="917">
        <v>0</v>
      </c>
      <c r="BB142" s="909">
        <v>0.6</v>
      </c>
      <c r="BC142" s="919">
        <v>0</v>
      </c>
      <c r="BD142" s="920">
        <v>0</v>
      </c>
      <c r="BE142" s="920">
        <v>0</v>
      </c>
      <c r="BF142" s="921">
        <v>1</v>
      </c>
      <c r="BG142" s="920">
        <v>1</v>
      </c>
      <c r="BH142" s="920">
        <v>0</v>
      </c>
      <c r="BI142" s="921">
        <v>0</v>
      </c>
      <c r="BJ142" s="920">
        <v>0</v>
      </c>
      <c r="BK142" s="920">
        <v>0</v>
      </c>
      <c r="BL142" s="920">
        <v>0</v>
      </c>
      <c r="BM142" s="921">
        <v>1</v>
      </c>
      <c r="BN142" s="958">
        <v>0.01</v>
      </c>
      <c r="BO142" s="959">
        <v>2.5</v>
      </c>
      <c r="BP142">
        <f t="shared" ca="1" si="154"/>
        <v>102.96</v>
      </c>
      <c r="BQ142">
        <f t="shared" ca="1" si="155"/>
        <v>174.94399999999999</v>
      </c>
      <c r="BR142">
        <f t="shared" ca="1" si="156"/>
        <v>37.440000000000005</v>
      </c>
      <c r="BS142">
        <f t="shared" ca="1" si="157"/>
        <v>112.95</v>
      </c>
      <c r="BT142">
        <f t="shared" ca="1" si="158"/>
        <v>34.32</v>
      </c>
      <c r="BU142">
        <f t="shared" ca="1" si="159"/>
        <v>7</v>
      </c>
      <c r="BV142">
        <f t="shared" ca="1" si="160"/>
        <v>4.3</v>
      </c>
      <c r="BW142" s="1018">
        <v>0</v>
      </c>
      <c r="BX142">
        <f t="shared" ca="1" si="111"/>
        <v>11.351187468418397</v>
      </c>
      <c r="BY142">
        <f t="shared" ca="1" si="112"/>
        <v>45.199621541134135</v>
      </c>
      <c r="BZ142">
        <f t="shared" ref="BZ142:BZ205" ca="1" si="167">IF(BT142=0,0,1/(1/(BT142*$BY$3)+1/(BT142*AT142)+1/(BT142*$BY$4)))*0.33</f>
        <v>4.5322074699094186</v>
      </c>
      <c r="CA142">
        <f t="shared" ref="CA142:CA205" ca="1" si="168">IF(BU142=0,0,1/(1/(BU142*$BY$5)+1/(BU142*AU142)+1/(BU142*$BY$6)))</f>
        <v>13.999999994400001</v>
      </c>
      <c r="CB142">
        <f t="shared" ca="1" si="113"/>
        <v>9.0267175572519083</v>
      </c>
      <c r="CC142" s="1018">
        <f t="shared" ref="CC142:CC205" si="169">0.67*IF(BW142=0,0,1/(1/(BW142*$BY$3)+1/(BW142*AS142)+1/(BW142*$BY$4)))</f>
        <v>0</v>
      </c>
      <c r="CD142" s="1018">
        <f t="shared" ca="1" si="161"/>
        <v>86.069834031113857</v>
      </c>
      <c r="CE142" s="1018">
        <f t="shared" ca="1" si="165"/>
        <v>52.11192345663703</v>
      </c>
      <c r="CF142">
        <f t="shared" ref="CF142:CF205" ca="1" si="170">(CD142+CE142)*($BY$7-$BV$5)/1000</f>
        <v>4.1454527246325261</v>
      </c>
      <c r="CG142">
        <f t="shared" ref="CG142:CG205" ca="1" si="171">$BV$8*(CD142+CE142)*($BY$10-$BV$7)*24/1000</f>
        <v>6902.0129684041704</v>
      </c>
    </row>
    <row r="143" spans="4:85" x14ac:dyDescent="0.25">
      <c r="D143" s="1"/>
      <c r="F143" s="6"/>
      <c r="G143" s="3"/>
      <c r="H143" s="6"/>
      <c r="I143" s="3"/>
      <c r="J143" s="6"/>
      <c r="K143" s="8"/>
      <c r="L143" s="6"/>
      <c r="M143" s="1" t="s">
        <v>17</v>
      </c>
      <c r="N143" s="4"/>
      <c r="O143" s="1" t="s">
        <v>19</v>
      </c>
      <c r="P143" s="4"/>
      <c r="Q143" s="1" t="s">
        <v>17</v>
      </c>
      <c r="R143" s="4"/>
      <c r="S143" s="1"/>
      <c r="T143" s="77"/>
      <c r="U143" s="22" t="s">
        <v>49</v>
      </c>
      <c r="W143" s="176">
        <f t="shared" si="152"/>
        <v>0</v>
      </c>
      <c r="X143" s="176">
        <f t="shared" si="162"/>
        <v>0</v>
      </c>
      <c r="Y143" s="34">
        <f>X143/Calculation_sheet!M$67</f>
        <v>0</v>
      </c>
      <c r="Z143" s="176">
        <f ca="1">IF(AN143&gt;0,Y143*Calculation_sheet!C$87,0)</f>
        <v>0</v>
      </c>
      <c r="AA143" s="176">
        <f t="shared" ca="1" si="163"/>
        <v>0</v>
      </c>
      <c r="AB143" s="176">
        <f ca="1">IF(AP143&gt;0,AA143*Calculation_sheet!C$94,0)</f>
        <v>0</v>
      </c>
      <c r="AC143" s="176">
        <f t="shared" ca="1" si="153"/>
        <v>0</v>
      </c>
      <c r="AD143" s="958">
        <f ca="1">AC143*Calculation_sheet!C$99</f>
        <v>0</v>
      </c>
      <c r="AE143" s="176">
        <f t="shared" ca="1" si="153"/>
        <v>0</v>
      </c>
      <c r="AF143" s="176">
        <f t="shared" ca="1" si="164"/>
        <v>0</v>
      </c>
      <c r="AG143" s="958">
        <f ca="1">AF143*User_sheet!B$77/100</f>
        <v>0</v>
      </c>
      <c r="AH143" s="313"/>
      <c r="AI143" s="908">
        <v>201</v>
      </c>
      <c r="AJ143" s="313"/>
      <c r="AK143" s="1020">
        <f t="shared" ca="1" si="166"/>
        <v>86.069834031113857</v>
      </c>
      <c r="AL143" s="954">
        <f ca="1">AK143/'201'!I$24</f>
        <v>0.44891166761129636</v>
      </c>
      <c r="AM143" s="954">
        <f ca="1">0.8*(AK143*30+'201'!D$17*0.34*30*1)</f>
        <v>4155.8763367467327</v>
      </c>
      <c r="AN143" s="954">
        <f ca="1">IF(AM143&lt;User_sheet!B$50,Y143,0)</f>
        <v>0</v>
      </c>
      <c r="AO143" s="954">
        <f ca="1">20-(User_sheet!B$57/(AK143+'201'!D$17*1*0.34))</f>
        <v>-12.917245104335471</v>
      </c>
      <c r="AP143" s="954">
        <f ca="1">IF(AO143&lt;User_sheet!B$59,0,BC143*AA143)</f>
        <v>0</v>
      </c>
      <c r="AQ143" s="313"/>
      <c r="AR143" s="909">
        <v>0.32</v>
      </c>
      <c r="AS143" s="909">
        <v>0.43</v>
      </c>
      <c r="AT143" s="909">
        <v>0.43</v>
      </c>
      <c r="AU143" s="909">
        <v>2</v>
      </c>
      <c r="AV143" s="909">
        <v>3.3</v>
      </c>
      <c r="AW143" s="909">
        <v>14356</v>
      </c>
      <c r="AX143" s="909">
        <v>74834</v>
      </c>
      <c r="AY143" s="909">
        <v>69246</v>
      </c>
      <c r="AZ143" s="917">
        <v>0</v>
      </c>
      <c r="BA143" s="917">
        <v>0</v>
      </c>
      <c r="BB143" s="909">
        <v>0.6</v>
      </c>
      <c r="BC143" s="919">
        <v>0</v>
      </c>
      <c r="BD143" s="920">
        <v>0</v>
      </c>
      <c r="BE143" s="920">
        <v>0</v>
      </c>
      <c r="BF143" s="921">
        <v>1</v>
      </c>
      <c r="BG143" s="920">
        <v>0</v>
      </c>
      <c r="BH143" s="920">
        <v>1</v>
      </c>
      <c r="BI143" s="921">
        <v>0</v>
      </c>
      <c r="BJ143" s="920">
        <v>0</v>
      </c>
      <c r="BK143" s="920">
        <v>0</v>
      </c>
      <c r="BL143" s="920">
        <v>0</v>
      </c>
      <c r="BM143" s="921">
        <v>1</v>
      </c>
      <c r="BN143" s="958">
        <v>0.01</v>
      </c>
      <c r="BO143" s="959">
        <v>2.5</v>
      </c>
      <c r="BP143">
        <f t="shared" ca="1" si="154"/>
        <v>102.96</v>
      </c>
      <c r="BQ143">
        <f t="shared" ca="1" si="155"/>
        <v>174.94399999999999</v>
      </c>
      <c r="BR143">
        <f t="shared" ca="1" si="156"/>
        <v>37.440000000000005</v>
      </c>
      <c r="BS143">
        <f t="shared" ca="1" si="157"/>
        <v>112.95</v>
      </c>
      <c r="BT143">
        <f t="shared" ca="1" si="158"/>
        <v>34.32</v>
      </c>
      <c r="BU143">
        <f t="shared" ca="1" si="159"/>
        <v>7</v>
      </c>
      <c r="BV143">
        <f t="shared" ca="1" si="160"/>
        <v>4.3</v>
      </c>
      <c r="BW143" s="1018">
        <v>0</v>
      </c>
      <c r="BX143">
        <f t="shared" ca="1" si="111"/>
        <v>11.351187468418397</v>
      </c>
      <c r="BY143">
        <f t="shared" ca="1" si="112"/>
        <v>45.199621541134135</v>
      </c>
      <c r="BZ143">
        <f t="shared" ca="1" si="167"/>
        <v>4.5322074699094186</v>
      </c>
      <c r="CA143">
        <f t="shared" ca="1" si="168"/>
        <v>13.999999994400001</v>
      </c>
      <c r="CB143">
        <f t="shared" ca="1" si="113"/>
        <v>9.0267175572519083</v>
      </c>
      <c r="CC143" s="1018">
        <f t="shared" si="169"/>
        <v>0</v>
      </c>
      <c r="CD143" s="1018">
        <f t="shared" ca="1" si="161"/>
        <v>86.069834031113857</v>
      </c>
      <c r="CE143" s="1018">
        <f t="shared" ca="1" si="165"/>
        <v>52.11192345663703</v>
      </c>
      <c r="CF143">
        <f t="shared" ca="1" si="170"/>
        <v>4.1454527246325261</v>
      </c>
      <c r="CG143">
        <f t="shared" ca="1" si="171"/>
        <v>6902.0129684041704</v>
      </c>
    </row>
    <row r="144" spans="4:85" s="17" customFormat="1" x14ac:dyDescent="0.25">
      <c r="D144" s="18"/>
      <c r="F144" s="18"/>
      <c r="H144" s="18"/>
      <c r="J144" s="18"/>
      <c r="K144" s="19"/>
      <c r="L144" s="18"/>
      <c r="M144" s="18"/>
      <c r="N144" s="18"/>
      <c r="O144" s="18"/>
      <c r="P144" s="18"/>
      <c r="Q144" s="18"/>
      <c r="R144" s="18"/>
      <c r="S144" s="18"/>
      <c r="T144" s="86"/>
      <c r="U144" s="18"/>
      <c r="V144" s="283"/>
      <c r="W144" s="283"/>
      <c r="X144" s="283"/>
      <c r="Y144" s="279"/>
      <c r="Z144" s="283"/>
      <c r="AA144" s="283"/>
      <c r="AB144" s="283"/>
      <c r="AC144" s="283"/>
      <c r="AD144" s="279"/>
      <c r="AE144" s="283"/>
      <c r="AF144" s="283"/>
      <c r="AG144" s="279"/>
      <c r="AH144" s="313"/>
      <c r="AI144" s="914"/>
      <c r="AJ144" s="313"/>
      <c r="AK144" s="1020">
        <f t="shared" si="166"/>
        <v>0</v>
      </c>
      <c r="AL144" s="916"/>
      <c r="AM144" s="916"/>
      <c r="AN144" s="916"/>
      <c r="AO144" s="916"/>
      <c r="AP144" s="916"/>
      <c r="AQ144" s="313"/>
      <c r="AR144" s="916"/>
      <c r="AS144" s="916"/>
      <c r="AT144" s="916"/>
      <c r="AU144" s="916"/>
      <c r="AV144" s="916"/>
      <c r="AW144" s="916"/>
      <c r="AX144" s="916"/>
      <c r="AY144" s="916"/>
      <c r="AZ144" s="916"/>
      <c r="BA144" s="916"/>
      <c r="BB144" s="916"/>
      <c r="BC144" s="47"/>
      <c r="BD144" s="279"/>
      <c r="BE144" s="279"/>
      <c r="BF144" s="51"/>
      <c r="BG144" s="916"/>
      <c r="BH144" s="916"/>
      <c r="BI144" s="51"/>
      <c r="BJ144" s="916"/>
      <c r="BK144" s="916"/>
      <c r="BL144" s="916"/>
      <c r="BM144" s="51"/>
      <c r="BN144" s="279"/>
      <c r="BO144" s="51"/>
    </row>
    <row r="145" spans="4:85" s="3" customFormat="1" x14ac:dyDescent="0.25">
      <c r="D145" s="528"/>
      <c r="E145" s="524"/>
      <c r="F145" s="528"/>
      <c r="G145" s="524"/>
      <c r="H145" s="528"/>
      <c r="I145" s="524"/>
      <c r="J145" s="528"/>
      <c r="K145" s="528"/>
      <c r="L145" s="528"/>
      <c r="M145" s="528"/>
      <c r="N145" s="528"/>
      <c r="O145" s="528"/>
      <c r="P145" s="528"/>
      <c r="Q145" s="528" t="s">
        <v>16</v>
      </c>
      <c r="R145" s="525">
        <v>0.73860000000000003</v>
      </c>
      <c r="S145" s="528"/>
      <c r="T145" s="533">
        <v>2.2642235848061424E-3</v>
      </c>
      <c r="U145" s="524"/>
      <c r="V145" s="176">
        <f t="shared" ref="V145:V227" si="172">T145</f>
        <v>2.2642235848061424E-3</v>
      </c>
      <c r="W145" s="176">
        <f>V145</f>
        <v>2.2642235848061424E-3</v>
      </c>
      <c r="X145" s="176">
        <f>W145</f>
        <v>2.2642235848061424E-3</v>
      </c>
      <c r="Y145" s="34">
        <f>X145/Calculation_sheet!M$67</f>
        <v>2.2642698800921361E-3</v>
      </c>
      <c r="Z145" s="176">
        <f ca="1">IF(AN145&gt;0,Y145*Calculation_sheet!C$87,0)</f>
        <v>0</v>
      </c>
      <c r="AA145" s="176">
        <f ca="1">Y145-Z145</f>
        <v>2.2642698800921361E-3</v>
      </c>
      <c r="AB145" s="176">
        <f ca="1">IF(AP145&gt;0,AA145*Calculation_sheet!C$94,0)</f>
        <v>0</v>
      </c>
      <c r="AC145" s="176">
        <f t="shared" ref="AC145:AE155" ca="1" si="173">AA145-AB145</f>
        <v>2.2642698800921361E-3</v>
      </c>
      <c r="AD145" s="958">
        <f ca="1">AC145*Calculation_sheet!C$99</f>
        <v>1.3585619280552816E-3</v>
      </c>
      <c r="AE145" s="176">
        <f t="shared" ca="1" si="173"/>
        <v>9.0570795203685447E-4</v>
      </c>
      <c r="AF145" s="176">
        <f ca="1">Y145-AB145</f>
        <v>2.2642698800921361E-3</v>
      </c>
      <c r="AG145" s="958">
        <f ca="1">AF145*User_sheet!B$77/100</f>
        <v>0</v>
      </c>
      <c r="AH145" s="313"/>
      <c r="AI145" s="908">
        <v>202</v>
      </c>
      <c r="AJ145" s="313"/>
      <c r="AK145" s="1020">
        <f t="shared" ca="1" si="166"/>
        <v>200.23362637835783</v>
      </c>
      <c r="AL145" s="954">
        <f ca="1">AK145/'202'!I$24</f>
        <v>0.6450617775791947</v>
      </c>
      <c r="AM145" s="954">
        <f ca="1">0.8*(AK145*30+'202'!D$17*0.34*30*1)</f>
        <v>8417.5494330805868</v>
      </c>
      <c r="AN145" s="954">
        <f ca="1">IF(AM145&lt;User_sheet!B$50,Y145,0)</f>
        <v>2.2642698800921361E-3</v>
      </c>
      <c r="AO145" s="954">
        <f ca="1">20-(User_sheet!B$57/(AK145+'202'!D$17*1*0.34))</f>
        <v>3.7482391891418914</v>
      </c>
      <c r="AP145" s="954">
        <f ca="1">IF(AO145&lt;User_sheet!B$59,0,BC145*AA145)</f>
        <v>0</v>
      </c>
      <c r="AQ145" s="313"/>
      <c r="AR145" s="909">
        <v>0.47</v>
      </c>
      <c r="AS145" s="909">
        <v>0.6</v>
      </c>
      <c r="AT145" s="909">
        <v>0.89</v>
      </c>
      <c r="AU145" s="909">
        <v>2.75</v>
      </c>
      <c r="AV145" s="909">
        <v>3.3</v>
      </c>
      <c r="AW145" s="909">
        <v>11617.129718053829</v>
      </c>
      <c r="AX145" s="909">
        <v>69341.450841082013</v>
      </c>
      <c r="AY145" s="909">
        <v>79015.992973719694</v>
      </c>
      <c r="AZ145" s="909">
        <v>0</v>
      </c>
      <c r="BA145" s="909">
        <v>0</v>
      </c>
      <c r="BB145" s="909">
        <v>0.6</v>
      </c>
      <c r="BC145" s="46">
        <v>1</v>
      </c>
      <c r="BD145" s="199">
        <v>0</v>
      </c>
      <c r="BE145" s="199">
        <v>0</v>
      </c>
      <c r="BF145" s="50">
        <v>0</v>
      </c>
      <c r="BG145" s="917">
        <v>1</v>
      </c>
      <c r="BH145" s="917">
        <v>0</v>
      </c>
      <c r="BI145" s="50">
        <v>0</v>
      </c>
      <c r="BJ145" s="917">
        <v>1</v>
      </c>
      <c r="BK145" s="917">
        <v>0</v>
      </c>
      <c r="BL145" s="917">
        <v>0</v>
      </c>
      <c r="BM145" s="50">
        <v>0</v>
      </c>
      <c r="BN145" s="199">
        <v>0.08</v>
      </c>
      <c r="BO145" s="959">
        <v>6</v>
      </c>
      <c r="BP145" s="3">
        <f t="shared" ref="BP145:BP155" ca="1" si="174">INDIRECT("'"&amp;AI145&amp;"'!"&amp;"B2")</f>
        <v>173.25</v>
      </c>
      <c r="BQ145" s="3">
        <f t="shared" ref="BQ145:BQ155" ca="1" si="175">INDIRECT("'"&amp;AI145&amp;"'!"&amp;"C12")+INDIRECT("'"&amp;AI145&amp;"'!"&amp;"C13")+INDIRECT("'"&amp;AI145&amp;"'!"&amp;"C14")+INDIRECT("'"&amp;AI145&amp;"'!"&amp;"C15")+INDIRECT("'"&amp;AI145&amp;"'!"&amp;"C17")</f>
        <v>294.14</v>
      </c>
      <c r="BR145" s="3">
        <f t="shared" ref="BR145:BR155" ca="1" si="176">INDIRECT("'"&amp;AI145&amp;"'!"&amp;"G5")</f>
        <v>99.660000000000011</v>
      </c>
      <c r="BS145" s="3">
        <f t="shared" ref="BS145:BS155" ca="1" si="177">INDIRECT("'"&amp;AI145&amp;"'!"&amp;"G4")</f>
        <v>135.5</v>
      </c>
      <c r="BT145" s="3">
        <f t="shared" ref="BT145:BT155" ca="1" si="178">INDIRECT("'"&amp;AI145&amp;"'!"&amp;"G6")</f>
        <v>63.2</v>
      </c>
      <c r="BU145" s="3">
        <f t="shared" ref="BU145:BU155" ca="1" si="179">INDIRECT("'"&amp;AI145&amp;"'!"&amp;"G2")</f>
        <v>12</v>
      </c>
      <c r="BV145" s="3">
        <f t="shared" ref="BV145:BV155" ca="1" si="180">INDIRECT("'"&amp;AI145&amp;"'!"&amp;"G3")</f>
        <v>4.3</v>
      </c>
      <c r="BW145" s="926">
        <v>0</v>
      </c>
      <c r="BX145" s="3">
        <f t="shared" ca="1" si="111"/>
        <v>43.311737147084209</v>
      </c>
      <c r="BY145" s="3">
        <f t="shared" ca="1" si="112"/>
        <v>73.641304347826079</v>
      </c>
      <c r="BZ145" s="3">
        <f t="shared" ca="1" si="167"/>
        <v>16.081067344345623</v>
      </c>
      <c r="CA145" s="3">
        <f t="shared" ca="1" si="168"/>
        <v>32.999999981849996</v>
      </c>
      <c r="CB145" s="3">
        <f t="shared" ca="1" si="113"/>
        <v>9.0267175572519083</v>
      </c>
      <c r="CC145" s="926">
        <f t="shared" si="169"/>
        <v>0</v>
      </c>
      <c r="CD145" s="1018">
        <f t="shared" ref="CD145:CD155" ca="1" si="181">SUM(BX145:CC145)+(BR145+BS145+BT145+BU145+BV145)*BN145</f>
        <v>200.23362637835783</v>
      </c>
      <c r="CE145" s="1018">
        <f ca="1">0.34*BO145*(1/25)^0.66*(BR145+BS145+BU145+BV145)</f>
        <v>61.29974570765215</v>
      </c>
      <c r="CF145" s="3">
        <f t="shared" ca="1" si="170"/>
        <v>7.8460011625802997</v>
      </c>
      <c r="CG145" s="3">
        <f t="shared" ca="1" si="171"/>
        <v>13063.278095649697</v>
      </c>
    </row>
    <row r="146" spans="4:85" x14ac:dyDescent="0.25">
      <c r="D146" s="523"/>
      <c r="E146" s="522"/>
      <c r="F146" s="523"/>
      <c r="G146" s="522"/>
      <c r="H146" s="523"/>
      <c r="I146" s="522"/>
      <c r="J146" s="523"/>
      <c r="K146" s="523"/>
      <c r="L146" s="523"/>
      <c r="M146" s="523"/>
      <c r="N146" s="523"/>
      <c r="O146" s="523" t="s">
        <v>18</v>
      </c>
      <c r="P146" s="525">
        <v>0.62953995200000001</v>
      </c>
      <c r="Q146" s="523" t="s">
        <v>7</v>
      </c>
      <c r="R146" s="525">
        <v>0.26140000000000002</v>
      </c>
      <c r="S146" s="523"/>
      <c r="T146" s="533">
        <v>8.0133772687290253E-4</v>
      </c>
      <c r="U146" s="522"/>
      <c r="V146" s="176">
        <f t="shared" si="172"/>
        <v>8.0133772687290253E-4</v>
      </c>
      <c r="W146" s="176">
        <f t="shared" ref="W146:X155" si="182">V146</f>
        <v>8.0133772687290253E-4</v>
      </c>
      <c r="X146" s="176">
        <f t="shared" si="182"/>
        <v>8.0133772687290253E-4</v>
      </c>
      <c r="Y146" s="34">
        <f>X146/Calculation_sheet!M$67</f>
        <v>8.0135411136756643E-4</v>
      </c>
      <c r="Z146" s="176">
        <f ca="1">IF(AN146&gt;0,Y146*Calculation_sheet!C$87,0)</f>
        <v>0</v>
      </c>
      <c r="AA146" s="176">
        <f t="shared" ref="AA146:AA155" ca="1" si="183">Y146-Z146</f>
        <v>8.0135411136756643E-4</v>
      </c>
      <c r="AB146" s="176">
        <f ca="1">IF(AP146&gt;0,AA146*Calculation_sheet!C$94,0)</f>
        <v>0</v>
      </c>
      <c r="AC146" s="176">
        <f t="shared" ca="1" si="173"/>
        <v>8.0135411136756643E-4</v>
      </c>
      <c r="AD146" s="958">
        <f ca="1">AC146*Calculation_sheet!C$99</f>
        <v>4.8081246682053986E-4</v>
      </c>
      <c r="AE146" s="176">
        <f t="shared" ca="1" si="173"/>
        <v>3.2054164454702657E-4</v>
      </c>
      <c r="AF146" s="176">
        <f t="shared" ref="AF146:AF155" ca="1" si="184">Y146-AB146</f>
        <v>8.0135411136756643E-4</v>
      </c>
      <c r="AG146" s="958">
        <f ca="1">AF146*User_sheet!B$77/100</f>
        <v>0</v>
      </c>
      <c r="AH146" s="313"/>
      <c r="AI146" s="908">
        <v>202</v>
      </c>
      <c r="AJ146" s="313"/>
      <c r="AK146" s="1020">
        <f t="shared" ca="1" si="166"/>
        <v>200.23362637835783</v>
      </c>
      <c r="AL146" s="954">
        <f ca="1">AK146/'202'!I$24</f>
        <v>0.6450617775791947</v>
      </c>
      <c r="AM146" s="954">
        <f ca="1">0.8*(AK146*30+'202'!D$17*0.34*30*1)</f>
        <v>8417.5494330805868</v>
      </c>
      <c r="AN146" s="954">
        <f ca="1">IF(AM146&lt;User_sheet!B$50,Y146,0)</f>
        <v>8.0135411136756643E-4</v>
      </c>
      <c r="AO146" s="954">
        <f ca="1">20-(User_sheet!B$57/(AK146+'202'!D$17*1*0.34))</f>
        <v>3.7482391891418914</v>
      </c>
      <c r="AP146" s="954">
        <f ca="1">IF(AO146&lt;User_sheet!B$59,0,BC146*AA146)</f>
        <v>0</v>
      </c>
      <c r="AQ146" s="313"/>
      <c r="AR146" s="909">
        <v>0.47</v>
      </c>
      <c r="AS146" s="909">
        <v>0.6</v>
      </c>
      <c r="AT146" s="909">
        <v>0.89</v>
      </c>
      <c r="AU146" s="909">
        <v>2.75</v>
      </c>
      <c r="AV146" s="909">
        <v>3.3</v>
      </c>
      <c r="AW146" s="909">
        <v>11617.129718053829</v>
      </c>
      <c r="AX146" s="909">
        <v>69341.450841082013</v>
      </c>
      <c r="AY146" s="909">
        <v>79015.992973719694</v>
      </c>
      <c r="AZ146" s="909">
        <v>0</v>
      </c>
      <c r="BA146" s="909">
        <v>0</v>
      </c>
      <c r="BB146" s="909">
        <v>0.6</v>
      </c>
      <c r="BC146" s="919">
        <v>1</v>
      </c>
      <c r="BD146" s="920">
        <v>0</v>
      </c>
      <c r="BE146" s="920">
        <v>0</v>
      </c>
      <c r="BF146" s="921">
        <v>0</v>
      </c>
      <c r="BG146" s="909">
        <v>1</v>
      </c>
      <c r="BH146" s="909">
        <v>0</v>
      </c>
      <c r="BI146" s="921">
        <v>0</v>
      </c>
      <c r="BJ146" s="909">
        <v>0</v>
      </c>
      <c r="BK146" s="909">
        <v>0</v>
      </c>
      <c r="BL146" s="909">
        <v>1</v>
      </c>
      <c r="BM146" s="921">
        <v>0</v>
      </c>
      <c r="BN146" s="199">
        <v>0.08</v>
      </c>
      <c r="BO146" s="959">
        <v>6</v>
      </c>
      <c r="BP146">
        <f t="shared" ca="1" si="174"/>
        <v>173.25</v>
      </c>
      <c r="BQ146">
        <f t="shared" ca="1" si="175"/>
        <v>294.14</v>
      </c>
      <c r="BR146">
        <f t="shared" ca="1" si="176"/>
        <v>99.660000000000011</v>
      </c>
      <c r="BS146">
        <f t="shared" ca="1" si="177"/>
        <v>135.5</v>
      </c>
      <c r="BT146">
        <f t="shared" ca="1" si="178"/>
        <v>63.2</v>
      </c>
      <c r="BU146">
        <f t="shared" ca="1" si="179"/>
        <v>12</v>
      </c>
      <c r="BV146">
        <f t="shared" ca="1" si="180"/>
        <v>4.3</v>
      </c>
      <c r="BW146" s="1018">
        <v>0</v>
      </c>
      <c r="BX146">
        <f t="shared" ca="1" si="111"/>
        <v>43.311737147084209</v>
      </c>
      <c r="BY146">
        <f t="shared" ca="1" si="112"/>
        <v>73.641304347826079</v>
      </c>
      <c r="BZ146">
        <f t="shared" ca="1" si="167"/>
        <v>16.081067344345623</v>
      </c>
      <c r="CA146">
        <f t="shared" ca="1" si="168"/>
        <v>32.999999981849996</v>
      </c>
      <c r="CB146">
        <f t="shared" ca="1" si="113"/>
        <v>9.0267175572519083</v>
      </c>
      <c r="CC146" s="1018">
        <f t="shared" si="169"/>
        <v>0</v>
      </c>
      <c r="CD146" s="1018">
        <f t="shared" ca="1" si="181"/>
        <v>200.23362637835783</v>
      </c>
      <c r="CE146" s="1018">
        <f t="shared" ref="CE146:CE155" ca="1" si="185">0.34*BO146*(1/25)^0.66*(BR146+BS146+BU146+BV146)</f>
        <v>61.29974570765215</v>
      </c>
      <c r="CF146">
        <f t="shared" ca="1" si="170"/>
        <v>7.8460011625802997</v>
      </c>
      <c r="CG146">
        <f t="shared" ca="1" si="171"/>
        <v>13063.278095649697</v>
      </c>
    </row>
    <row r="147" spans="4:85" x14ac:dyDescent="0.25">
      <c r="D147" s="523"/>
      <c r="E147" s="522"/>
      <c r="F147" s="523"/>
      <c r="G147" s="522"/>
      <c r="H147" s="523"/>
      <c r="I147" s="522"/>
      <c r="J147" s="523"/>
      <c r="K147" s="523"/>
      <c r="L147" s="523"/>
      <c r="M147" s="523"/>
      <c r="N147" s="523"/>
      <c r="O147" s="523"/>
      <c r="P147" s="523"/>
      <c r="Q147" s="523" t="s">
        <v>16</v>
      </c>
      <c r="R147" s="525">
        <v>0.73860000000000003</v>
      </c>
      <c r="S147" s="523"/>
      <c r="T147" s="533">
        <v>1.3324084917012791E-3</v>
      </c>
      <c r="U147" s="522"/>
      <c r="V147" s="176">
        <f t="shared" si="172"/>
        <v>1.3324084917012791E-3</v>
      </c>
      <c r="W147" s="176">
        <f t="shared" si="182"/>
        <v>1.3324084917012791E-3</v>
      </c>
      <c r="X147" s="176">
        <f t="shared" si="182"/>
        <v>1.3324084917012791E-3</v>
      </c>
      <c r="Y147" s="34">
        <f>X147/Calculation_sheet!M$67</f>
        <v>1.3324357346964487E-3</v>
      </c>
      <c r="Z147" s="176">
        <f ca="1">IF(AN147&gt;0,Y147*Calculation_sheet!C$87,0)</f>
        <v>0</v>
      </c>
      <c r="AA147" s="176">
        <f t="shared" ca="1" si="183"/>
        <v>1.3324357346964487E-3</v>
      </c>
      <c r="AB147" s="176">
        <f ca="1">IF(AP147&gt;0,AA147*Calculation_sheet!C$94,0)</f>
        <v>0</v>
      </c>
      <c r="AC147" s="176">
        <f t="shared" ca="1" si="173"/>
        <v>1.3324357346964487E-3</v>
      </c>
      <c r="AD147" s="958">
        <f ca="1">AC147*Calculation_sheet!C$99</f>
        <v>7.9946144081786919E-4</v>
      </c>
      <c r="AE147" s="176">
        <f t="shared" ca="1" si="173"/>
        <v>5.3297429387857954E-4</v>
      </c>
      <c r="AF147" s="176">
        <f t="shared" ca="1" si="184"/>
        <v>1.3324357346964487E-3</v>
      </c>
      <c r="AG147" s="958">
        <f ca="1">AF147*User_sheet!B$77/100</f>
        <v>0</v>
      </c>
      <c r="AH147" s="313"/>
      <c r="AI147" s="908">
        <v>202</v>
      </c>
      <c r="AJ147" s="313"/>
      <c r="AK147" s="1020">
        <f t="shared" ca="1" si="166"/>
        <v>200.23362637835783</v>
      </c>
      <c r="AL147" s="954">
        <f ca="1">AK147/'202'!I$24</f>
        <v>0.6450617775791947</v>
      </c>
      <c r="AM147" s="954">
        <f ca="1">0.8*(AK147*30+'202'!D$17*0.34*30*1)</f>
        <v>8417.5494330805868</v>
      </c>
      <c r="AN147" s="954">
        <f ca="1">IF(AM147&lt;User_sheet!B$50,Y147,0)</f>
        <v>1.3324357346964487E-3</v>
      </c>
      <c r="AO147" s="954">
        <f ca="1">20-(User_sheet!B$57/(AK147+'202'!D$17*1*0.34))</f>
        <v>3.7482391891418914</v>
      </c>
      <c r="AP147" s="954">
        <f ca="1">IF(AO147&lt;User_sheet!B$59,0,BC147*AA147)</f>
        <v>0</v>
      </c>
      <c r="AQ147" s="313"/>
      <c r="AR147" s="909">
        <v>0.47</v>
      </c>
      <c r="AS147" s="909">
        <v>0.6</v>
      </c>
      <c r="AT147" s="909">
        <v>0.89</v>
      </c>
      <c r="AU147" s="909">
        <v>2.75</v>
      </c>
      <c r="AV147" s="909">
        <v>3.3</v>
      </c>
      <c r="AW147" s="909">
        <v>11617.129718053829</v>
      </c>
      <c r="AX147" s="909">
        <v>69341.450841082013</v>
      </c>
      <c r="AY147" s="909">
        <v>79015.992973719694</v>
      </c>
      <c r="AZ147" s="909">
        <v>0</v>
      </c>
      <c r="BA147" s="909">
        <v>0</v>
      </c>
      <c r="BB147" s="909">
        <v>0.6</v>
      </c>
      <c r="BC147" s="919">
        <v>1</v>
      </c>
      <c r="BD147" s="920">
        <v>0</v>
      </c>
      <c r="BE147" s="920">
        <v>0</v>
      </c>
      <c r="BF147" s="921">
        <v>0</v>
      </c>
      <c r="BG147" s="909">
        <v>0</v>
      </c>
      <c r="BH147" s="909">
        <v>1</v>
      </c>
      <c r="BI147" s="921">
        <v>0</v>
      </c>
      <c r="BJ147" s="909">
        <v>1</v>
      </c>
      <c r="BK147" s="909">
        <v>0</v>
      </c>
      <c r="BL147" s="909">
        <v>0</v>
      </c>
      <c r="BM147" s="921">
        <v>0</v>
      </c>
      <c r="BN147" s="199">
        <v>0.08</v>
      </c>
      <c r="BO147" s="959">
        <v>6</v>
      </c>
      <c r="BP147">
        <f t="shared" ca="1" si="174"/>
        <v>173.25</v>
      </c>
      <c r="BQ147">
        <f t="shared" ca="1" si="175"/>
        <v>294.14</v>
      </c>
      <c r="BR147">
        <f t="shared" ca="1" si="176"/>
        <v>99.660000000000011</v>
      </c>
      <c r="BS147">
        <f t="shared" ca="1" si="177"/>
        <v>135.5</v>
      </c>
      <c r="BT147">
        <f t="shared" ca="1" si="178"/>
        <v>63.2</v>
      </c>
      <c r="BU147">
        <f t="shared" ca="1" si="179"/>
        <v>12</v>
      </c>
      <c r="BV147">
        <f t="shared" ca="1" si="180"/>
        <v>4.3</v>
      </c>
      <c r="BW147" s="1018">
        <v>0</v>
      </c>
      <c r="BX147">
        <f t="shared" ca="1" si="111"/>
        <v>43.311737147084209</v>
      </c>
      <c r="BY147">
        <f t="shared" ca="1" si="112"/>
        <v>73.641304347826079</v>
      </c>
      <c r="BZ147">
        <f t="shared" ca="1" si="167"/>
        <v>16.081067344345623</v>
      </c>
      <c r="CA147">
        <f t="shared" ca="1" si="168"/>
        <v>32.999999981849996</v>
      </c>
      <c r="CB147">
        <f t="shared" ca="1" si="113"/>
        <v>9.0267175572519083</v>
      </c>
      <c r="CC147" s="1018">
        <f t="shared" si="169"/>
        <v>0</v>
      </c>
      <c r="CD147" s="1018">
        <f t="shared" ca="1" si="181"/>
        <v>200.23362637835783</v>
      </c>
      <c r="CE147" s="1018">
        <f t="shared" ca="1" si="185"/>
        <v>61.29974570765215</v>
      </c>
      <c r="CF147">
        <f t="shared" ca="1" si="170"/>
        <v>7.8460011625802997</v>
      </c>
      <c r="CG147">
        <f t="shared" ca="1" si="171"/>
        <v>13063.278095649697</v>
      </c>
    </row>
    <row r="148" spans="4:85" x14ac:dyDescent="0.25">
      <c r="D148" s="523"/>
      <c r="E148" s="522"/>
      <c r="F148" s="523"/>
      <c r="G148" s="522"/>
      <c r="H148" s="523"/>
      <c r="I148" s="522"/>
      <c r="J148" s="523"/>
      <c r="K148" s="523"/>
      <c r="L148" s="523"/>
      <c r="M148" s="523" t="s">
        <v>16</v>
      </c>
      <c r="N148" s="525">
        <v>0.44680851100000002</v>
      </c>
      <c r="O148" s="523" t="s">
        <v>19</v>
      </c>
      <c r="P148" s="525">
        <v>0.37046004799999999</v>
      </c>
      <c r="Q148" s="523" t="s">
        <v>7</v>
      </c>
      <c r="R148" s="525">
        <v>0.26140000000000002</v>
      </c>
      <c r="S148" s="523"/>
      <c r="T148" s="533">
        <v>4.715564307212488E-4</v>
      </c>
      <c r="U148" s="522"/>
      <c r="V148" s="176">
        <f t="shared" si="172"/>
        <v>4.715564307212488E-4</v>
      </c>
      <c r="W148" s="176">
        <f t="shared" si="182"/>
        <v>4.715564307212488E-4</v>
      </c>
      <c r="X148" s="176">
        <f t="shared" si="182"/>
        <v>4.715564307212488E-4</v>
      </c>
      <c r="Y148" s="34">
        <f>X148/Calculation_sheet!M$67</f>
        <v>4.7156607236616805E-4</v>
      </c>
      <c r="Z148" s="176">
        <f ca="1">IF(AN148&gt;0,Y148*Calculation_sheet!C$87,0)</f>
        <v>0</v>
      </c>
      <c r="AA148" s="176">
        <f t="shared" ca="1" si="183"/>
        <v>4.7156607236616805E-4</v>
      </c>
      <c r="AB148" s="176">
        <f ca="1">IF(AP148&gt;0,AA148*Calculation_sheet!C$94,0)</f>
        <v>0</v>
      </c>
      <c r="AC148" s="176">
        <f t="shared" ca="1" si="173"/>
        <v>4.7156607236616805E-4</v>
      </c>
      <c r="AD148" s="958">
        <f ca="1">AC148*Calculation_sheet!C$99</f>
        <v>2.8293964341970083E-4</v>
      </c>
      <c r="AE148" s="176">
        <f t="shared" ca="1" si="173"/>
        <v>1.8862642894646722E-4</v>
      </c>
      <c r="AF148" s="176">
        <f t="shared" ca="1" si="184"/>
        <v>4.7156607236616805E-4</v>
      </c>
      <c r="AG148" s="958">
        <f ca="1">AF148*User_sheet!B$77/100</f>
        <v>0</v>
      </c>
      <c r="AH148" s="313"/>
      <c r="AI148" s="908">
        <v>202</v>
      </c>
      <c r="AJ148" s="313"/>
      <c r="AK148" s="1020">
        <f t="shared" ca="1" si="166"/>
        <v>200.23362637835783</v>
      </c>
      <c r="AL148" s="954">
        <f ca="1">AK148/'202'!I$24</f>
        <v>0.6450617775791947</v>
      </c>
      <c r="AM148" s="954">
        <f ca="1">0.8*(AK148*30+'202'!D$17*0.34*30*1)</f>
        <v>8417.5494330805868</v>
      </c>
      <c r="AN148" s="954">
        <f ca="1">IF(AM148&lt;User_sheet!B$50,Y148,0)</f>
        <v>4.7156607236616805E-4</v>
      </c>
      <c r="AO148" s="954">
        <f ca="1">20-(User_sheet!B$57/(AK148+'202'!D$17*1*0.34))</f>
        <v>3.7482391891418914</v>
      </c>
      <c r="AP148" s="954">
        <f ca="1">IF(AO148&lt;User_sheet!B$59,0,BC148*AA148)</f>
        <v>0</v>
      </c>
      <c r="AQ148" s="313"/>
      <c r="AR148" s="909">
        <v>0.47</v>
      </c>
      <c r="AS148" s="909">
        <v>0.6</v>
      </c>
      <c r="AT148" s="909">
        <v>0.89</v>
      </c>
      <c r="AU148" s="909">
        <v>2.75</v>
      </c>
      <c r="AV148" s="909">
        <v>3.3</v>
      </c>
      <c r="AW148" s="909">
        <v>11617.129718053829</v>
      </c>
      <c r="AX148" s="909">
        <v>69341.450841082013</v>
      </c>
      <c r="AY148" s="909">
        <v>79015.992973719694</v>
      </c>
      <c r="AZ148" s="909">
        <v>0</v>
      </c>
      <c r="BA148" s="909">
        <v>0</v>
      </c>
      <c r="BB148" s="909">
        <v>0.6</v>
      </c>
      <c r="BC148" s="919">
        <v>1</v>
      </c>
      <c r="BD148" s="920">
        <v>0</v>
      </c>
      <c r="BE148" s="920">
        <v>0</v>
      </c>
      <c r="BF148" s="921">
        <v>0</v>
      </c>
      <c r="BG148" s="909">
        <v>0</v>
      </c>
      <c r="BH148" s="909">
        <v>1</v>
      </c>
      <c r="BI148" s="921">
        <v>0</v>
      </c>
      <c r="BJ148" s="909">
        <v>0</v>
      </c>
      <c r="BK148" s="909">
        <v>0</v>
      </c>
      <c r="BL148" s="909">
        <v>1</v>
      </c>
      <c r="BM148" s="921">
        <v>0</v>
      </c>
      <c r="BN148" s="199">
        <v>0.08</v>
      </c>
      <c r="BO148" s="959">
        <v>6</v>
      </c>
      <c r="BP148">
        <f t="shared" ca="1" si="174"/>
        <v>173.25</v>
      </c>
      <c r="BQ148">
        <f t="shared" ca="1" si="175"/>
        <v>294.14</v>
      </c>
      <c r="BR148">
        <f t="shared" ca="1" si="176"/>
        <v>99.660000000000011</v>
      </c>
      <c r="BS148">
        <f t="shared" ca="1" si="177"/>
        <v>135.5</v>
      </c>
      <c r="BT148">
        <f t="shared" ca="1" si="178"/>
        <v>63.2</v>
      </c>
      <c r="BU148">
        <f t="shared" ca="1" si="179"/>
        <v>12</v>
      </c>
      <c r="BV148">
        <f t="shared" ca="1" si="180"/>
        <v>4.3</v>
      </c>
      <c r="BW148" s="1018">
        <v>0</v>
      </c>
      <c r="BX148">
        <f t="shared" ca="1" si="111"/>
        <v>43.311737147084209</v>
      </c>
      <c r="BY148">
        <f t="shared" ca="1" si="112"/>
        <v>73.641304347826079</v>
      </c>
      <c r="BZ148">
        <f t="shared" ca="1" si="167"/>
        <v>16.081067344345623</v>
      </c>
      <c r="CA148">
        <f t="shared" ca="1" si="168"/>
        <v>32.999999981849996</v>
      </c>
      <c r="CB148">
        <f t="shared" ca="1" si="113"/>
        <v>9.0267175572519083</v>
      </c>
      <c r="CC148" s="1018">
        <f t="shared" si="169"/>
        <v>0</v>
      </c>
      <c r="CD148" s="1018">
        <f t="shared" ca="1" si="181"/>
        <v>200.23362637835783</v>
      </c>
      <c r="CE148" s="1018">
        <f t="shared" ca="1" si="185"/>
        <v>61.29974570765215</v>
      </c>
      <c r="CF148">
        <f t="shared" ca="1" si="170"/>
        <v>7.8460011625802997</v>
      </c>
      <c r="CG148">
        <f t="shared" ca="1" si="171"/>
        <v>13063.278095649697</v>
      </c>
    </row>
    <row r="149" spans="4:85" x14ac:dyDescent="0.25">
      <c r="D149" s="523"/>
      <c r="E149" s="522"/>
      <c r="F149" s="523"/>
      <c r="G149" s="522"/>
      <c r="H149" s="523"/>
      <c r="I149" s="522"/>
      <c r="J149" s="523"/>
      <c r="K149" s="523"/>
      <c r="L149" s="523"/>
      <c r="M149" s="523"/>
      <c r="N149" s="523"/>
      <c r="O149" s="523"/>
      <c r="P149" s="523"/>
      <c r="Q149" s="523" t="s">
        <v>22</v>
      </c>
      <c r="R149" s="525">
        <v>0.53710000000000002</v>
      </c>
      <c r="S149" s="523"/>
      <c r="T149" s="533">
        <v>2.1139693473184022E-3</v>
      </c>
      <c r="U149" s="522"/>
      <c r="V149" s="176">
        <f t="shared" si="172"/>
        <v>2.1139693473184022E-3</v>
      </c>
      <c r="W149" s="176">
        <f t="shared" si="182"/>
        <v>2.1139693473184022E-3</v>
      </c>
      <c r="X149" s="176">
        <f t="shared" si="182"/>
        <v>2.1139693473184022E-3</v>
      </c>
      <c r="Y149" s="34">
        <f>X149/Calculation_sheet!M$67</f>
        <v>2.1140125704418485E-3</v>
      </c>
      <c r="Z149" s="176">
        <f ca="1">IF(AN149&gt;0,Y149*Calculation_sheet!C$87,0)</f>
        <v>0</v>
      </c>
      <c r="AA149" s="176">
        <f t="shared" ca="1" si="183"/>
        <v>2.1140125704418485E-3</v>
      </c>
      <c r="AB149" s="176">
        <f ca="1">IF(AP149&gt;0,AA149*Calculation_sheet!C$94,0)</f>
        <v>0</v>
      </c>
      <c r="AC149" s="176">
        <f t="shared" ca="1" si="173"/>
        <v>2.1140125704418485E-3</v>
      </c>
      <c r="AD149" s="958">
        <f ca="1">AC149*Calculation_sheet!C$99</f>
        <v>1.2684075422651089E-3</v>
      </c>
      <c r="AE149" s="176">
        <f t="shared" ca="1" si="173"/>
        <v>8.4560502817673951E-4</v>
      </c>
      <c r="AF149" s="176">
        <f t="shared" ca="1" si="184"/>
        <v>2.1140125704418485E-3</v>
      </c>
      <c r="AG149" s="958">
        <f ca="1">AF149*User_sheet!B$77/100</f>
        <v>0</v>
      </c>
      <c r="AH149" s="313"/>
      <c r="AI149" s="908">
        <v>202</v>
      </c>
      <c r="AJ149" s="313"/>
      <c r="AK149" s="1020">
        <f t="shared" ca="1" si="166"/>
        <v>200.23362637835783</v>
      </c>
      <c r="AL149" s="954">
        <f ca="1">AK149/'202'!I$24</f>
        <v>0.6450617775791947</v>
      </c>
      <c r="AM149" s="954">
        <f ca="1">0.8*(AK149*30+'202'!D$17*0.34*30*1)</f>
        <v>8417.5494330805868</v>
      </c>
      <c r="AN149" s="954">
        <f ca="1">IF(AM149&lt;User_sheet!B$50,Y149,0)</f>
        <v>2.1140125704418485E-3</v>
      </c>
      <c r="AO149" s="954">
        <f ca="1">20-(User_sheet!B$57/(AK149+'202'!D$17*1*0.34))</f>
        <v>3.7482391891418914</v>
      </c>
      <c r="AP149" s="954">
        <f ca="1">IF(AO149&lt;User_sheet!B$59,0,BC149*AA149)</f>
        <v>0</v>
      </c>
      <c r="AQ149" s="313"/>
      <c r="AR149" s="909">
        <v>0.47</v>
      </c>
      <c r="AS149" s="909">
        <v>0.6</v>
      </c>
      <c r="AT149" s="909">
        <v>0.89</v>
      </c>
      <c r="AU149" s="909">
        <v>2.75</v>
      </c>
      <c r="AV149" s="909">
        <v>3.3</v>
      </c>
      <c r="AW149" s="909">
        <v>11617.129718053829</v>
      </c>
      <c r="AX149" s="909">
        <v>69341.450841082013</v>
      </c>
      <c r="AY149" s="909">
        <v>79015.992973719694</v>
      </c>
      <c r="AZ149" s="909">
        <v>0</v>
      </c>
      <c r="BA149" s="909">
        <v>0</v>
      </c>
      <c r="BB149" s="909">
        <v>0.6</v>
      </c>
      <c r="BC149" s="919">
        <v>0</v>
      </c>
      <c r="BD149" s="920">
        <v>1</v>
      </c>
      <c r="BE149" s="920">
        <v>0</v>
      </c>
      <c r="BF149" s="921">
        <v>0</v>
      </c>
      <c r="BG149" s="909">
        <v>1</v>
      </c>
      <c r="BH149" s="909">
        <v>0</v>
      </c>
      <c r="BI149" s="921">
        <v>0</v>
      </c>
      <c r="BJ149" s="909">
        <v>0</v>
      </c>
      <c r="BK149" s="909">
        <v>1</v>
      </c>
      <c r="BL149" s="909">
        <v>0</v>
      </c>
      <c r="BM149" s="921">
        <v>0</v>
      </c>
      <c r="BN149" s="199">
        <v>0.08</v>
      </c>
      <c r="BO149" s="959">
        <v>6</v>
      </c>
      <c r="BP149">
        <f t="shared" ca="1" si="174"/>
        <v>173.25</v>
      </c>
      <c r="BQ149">
        <f t="shared" ca="1" si="175"/>
        <v>294.14</v>
      </c>
      <c r="BR149">
        <f t="shared" ca="1" si="176"/>
        <v>99.660000000000011</v>
      </c>
      <c r="BS149">
        <f t="shared" ca="1" si="177"/>
        <v>135.5</v>
      </c>
      <c r="BT149">
        <f t="shared" ca="1" si="178"/>
        <v>63.2</v>
      </c>
      <c r="BU149">
        <f t="shared" ca="1" si="179"/>
        <v>12</v>
      </c>
      <c r="BV149">
        <f t="shared" ca="1" si="180"/>
        <v>4.3</v>
      </c>
      <c r="BW149" s="1018">
        <v>0</v>
      </c>
      <c r="BX149">
        <f t="shared" ca="1" si="111"/>
        <v>43.311737147084209</v>
      </c>
      <c r="BY149">
        <f t="shared" ca="1" si="112"/>
        <v>73.641304347826079</v>
      </c>
      <c r="BZ149">
        <f t="shared" ca="1" si="167"/>
        <v>16.081067344345623</v>
      </c>
      <c r="CA149">
        <f t="shared" ca="1" si="168"/>
        <v>32.999999981849996</v>
      </c>
      <c r="CB149">
        <f t="shared" ca="1" si="113"/>
        <v>9.0267175572519083</v>
      </c>
      <c r="CC149" s="1018">
        <f t="shared" si="169"/>
        <v>0</v>
      </c>
      <c r="CD149" s="1018">
        <f t="shared" ca="1" si="181"/>
        <v>200.23362637835783</v>
      </c>
      <c r="CE149" s="1018">
        <f t="shared" ca="1" si="185"/>
        <v>61.29974570765215</v>
      </c>
      <c r="CF149">
        <f t="shared" ca="1" si="170"/>
        <v>7.8460011625802997</v>
      </c>
      <c r="CG149">
        <f t="shared" ca="1" si="171"/>
        <v>13063.278095649697</v>
      </c>
    </row>
    <row r="150" spans="4:85" x14ac:dyDescent="0.25">
      <c r="D150" s="523"/>
      <c r="E150" s="522"/>
      <c r="F150" s="523"/>
      <c r="G150" s="522"/>
      <c r="H150" s="523"/>
      <c r="I150" s="522"/>
      <c r="J150" s="523"/>
      <c r="K150" s="523"/>
      <c r="L150" s="523"/>
      <c r="M150" s="523"/>
      <c r="N150" s="523"/>
      <c r="O150" s="523" t="s">
        <v>18</v>
      </c>
      <c r="P150" s="525">
        <v>0.80827067699999999</v>
      </c>
      <c r="Q150" s="523" t="s">
        <v>7</v>
      </c>
      <c r="R150" s="525">
        <v>0.46289999999999998</v>
      </c>
      <c r="S150" s="523"/>
      <c r="T150" s="533">
        <v>1.821925918588137E-3</v>
      </c>
      <c r="U150" s="522"/>
      <c r="V150" s="176">
        <f t="shared" si="172"/>
        <v>1.821925918588137E-3</v>
      </c>
      <c r="W150" s="176">
        <f t="shared" si="182"/>
        <v>1.821925918588137E-3</v>
      </c>
      <c r="X150" s="176">
        <f t="shared" si="182"/>
        <v>1.821925918588137E-3</v>
      </c>
      <c r="Y150" s="34">
        <f>X150/Calculation_sheet!M$67</f>
        <v>1.8219631704664526E-3</v>
      </c>
      <c r="Z150" s="176">
        <f ca="1">IF(AN150&gt;0,Y150*Calculation_sheet!C$87,0)</f>
        <v>0</v>
      </c>
      <c r="AA150" s="176">
        <f t="shared" ca="1" si="183"/>
        <v>1.8219631704664526E-3</v>
      </c>
      <c r="AB150" s="176">
        <f ca="1">IF(AP150&gt;0,AA150*Calculation_sheet!C$94,0)</f>
        <v>0</v>
      </c>
      <c r="AC150" s="176">
        <f t="shared" ca="1" si="173"/>
        <v>1.8219631704664526E-3</v>
      </c>
      <c r="AD150" s="958">
        <f ca="1">AC150*Calculation_sheet!C$99</f>
        <v>1.0931779022798716E-3</v>
      </c>
      <c r="AE150" s="176">
        <f t="shared" ca="1" si="173"/>
        <v>7.2878526818658104E-4</v>
      </c>
      <c r="AF150" s="176">
        <f t="shared" ca="1" si="184"/>
        <v>1.8219631704664526E-3</v>
      </c>
      <c r="AG150" s="958">
        <f ca="1">AF150*User_sheet!B$77/100</f>
        <v>0</v>
      </c>
      <c r="AH150" s="313"/>
      <c r="AI150" s="908">
        <v>202</v>
      </c>
      <c r="AJ150" s="313"/>
      <c r="AK150" s="1020">
        <f t="shared" ca="1" si="166"/>
        <v>200.23362637835783</v>
      </c>
      <c r="AL150" s="954">
        <f ca="1">AK150/'202'!I$24</f>
        <v>0.6450617775791947</v>
      </c>
      <c r="AM150" s="954">
        <f ca="1">0.8*(AK150*30+'202'!D$17*0.34*30*1)</f>
        <v>8417.5494330805868</v>
      </c>
      <c r="AN150" s="954">
        <f ca="1">IF(AM150&lt;User_sheet!B$50,Y150,0)</f>
        <v>1.8219631704664526E-3</v>
      </c>
      <c r="AO150" s="954">
        <f ca="1">20-(User_sheet!B$57/(AK150+'202'!D$17*1*0.34))</f>
        <v>3.7482391891418914</v>
      </c>
      <c r="AP150" s="954">
        <f ca="1">IF(AO150&lt;User_sheet!B$59,0,BC150*AA150)</f>
        <v>0</v>
      </c>
      <c r="AQ150" s="313"/>
      <c r="AR150" s="909">
        <v>0.47</v>
      </c>
      <c r="AS150" s="909">
        <v>0.6</v>
      </c>
      <c r="AT150" s="909">
        <v>0.89</v>
      </c>
      <c r="AU150" s="909">
        <v>2.75</v>
      </c>
      <c r="AV150" s="909">
        <v>3.3</v>
      </c>
      <c r="AW150" s="909">
        <v>11617.129718053829</v>
      </c>
      <c r="AX150" s="909">
        <v>69341.450841082013</v>
      </c>
      <c r="AY150" s="909">
        <v>79015.992973719694</v>
      </c>
      <c r="AZ150" s="909">
        <v>0</v>
      </c>
      <c r="BA150" s="909">
        <v>0</v>
      </c>
      <c r="BB150" s="909">
        <v>0.6</v>
      </c>
      <c r="BC150" s="919">
        <v>0</v>
      </c>
      <c r="BD150" s="920">
        <v>1</v>
      </c>
      <c r="BE150" s="920">
        <v>0</v>
      </c>
      <c r="BF150" s="921">
        <v>0</v>
      </c>
      <c r="BG150" s="909">
        <v>1</v>
      </c>
      <c r="BH150" s="909">
        <v>0</v>
      </c>
      <c r="BI150" s="921">
        <v>0</v>
      </c>
      <c r="BJ150" s="909">
        <v>0</v>
      </c>
      <c r="BK150" s="909">
        <v>0</v>
      </c>
      <c r="BL150" s="909">
        <v>1</v>
      </c>
      <c r="BM150" s="921">
        <v>0</v>
      </c>
      <c r="BN150" s="199">
        <v>0.08</v>
      </c>
      <c r="BO150" s="959">
        <v>6</v>
      </c>
      <c r="BP150">
        <f t="shared" ca="1" si="174"/>
        <v>173.25</v>
      </c>
      <c r="BQ150">
        <f t="shared" ca="1" si="175"/>
        <v>294.14</v>
      </c>
      <c r="BR150">
        <f t="shared" ca="1" si="176"/>
        <v>99.660000000000011</v>
      </c>
      <c r="BS150">
        <f t="shared" ca="1" si="177"/>
        <v>135.5</v>
      </c>
      <c r="BT150">
        <f t="shared" ca="1" si="178"/>
        <v>63.2</v>
      </c>
      <c r="BU150">
        <f t="shared" ca="1" si="179"/>
        <v>12</v>
      </c>
      <c r="BV150">
        <f t="shared" ca="1" si="180"/>
        <v>4.3</v>
      </c>
      <c r="BW150" s="1018">
        <v>0</v>
      </c>
      <c r="BX150">
        <f t="shared" ca="1" si="111"/>
        <v>43.311737147084209</v>
      </c>
      <c r="BY150">
        <f t="shared" ca="1" si="112"/>
        <v>73.641304347826079</v>
      </c>
      <c r="BZ150">
        <f t="shared" ca="1" si="167"/>
        <v>16.081067344345623</v>
      </c>
      <c r="CA150">
        <f t="shared" ca="1" si="168"/>
        <v>32.999999981849996</v>
      </c>
      <c r="CB150">
        <f t="shared" ca="1" si="113"/>
        <v>9.0267175572519083</v>
      </c>
      <c r="CC150" s="1018">
        <f t="shared" si="169"/>
        <v>0</v>
      </c>
      <c r="CD150" s="1018">
        <f t="shared" ca="1" si="181"/>
        <v>200.23362637835783</v>
      </c>
      <c r="CE150" s="1018">
        <f t="shared" ca="1" si="185"/>
        <v>61.29974570765215</v>
      </c>
      <c r="CF150">
        <f t="shared" ca="1" si="170"/>
        <v>7.8460011625802997</v>
      </c>
      <c r="CG150">
        <f t="shared" ca="1" si="171"/>
        <v>13063.278095649697</v>
      </c>
    </row>
    <row r="151" spans="4:85" x14ac:dyDescent="0.25">
      <c r="D151" s="523"/>
      <c r="E151" s="522"/>
      <c r="F151" s="523"/>
      <c r="G151" s="522"/>
      <c r="H151" s="523"/>
      <c r="I151" s="522"/>
      <c r="J151" s="523"/>
      <c r="K151" s="523"/>
      <c r="L151" s="523"/>
      <c r="M151" s="523"/>
      <c r="N151" s="523"/>
      <c r="O151" s="523"/>
      <c r="P151" s="523"/>
      <c r="Q151" s="523" t="s">
        <v>22</v>
      </c>
      <c r="R151" s="525">
        <v>0.53710000000000002</v>
      </c>
      <c r="S151" s="523"/>
      <c r="T151" s="533">
        <v>5.0145319301755269E-4</v>
      </c>
      <c r="U151" s="522"/>
      <c r="V151" s="176">
        <f t="shared" si="172"/>
        <v>5.0145319301755269E-4</v>
      </c>
      <c r="W151" s="176">
        <f t="shared" si="182"/>
        <v>5.0145319301755269E-4</v>
      </c>
      <c r="X151" s="176">
        <f t="shared" si="182"/>
        <v>5.0145319301755269E-4</v>
      </c>
      <c r="Y151" s="34">
        <f>X151/Calculation_sheet!M$67</f>
        <v>5.014634459444893E-4</v>
      </c>
      <c r="Z151" s="176">
        <f ca="1">IF(AN151&gt;0,Y151*Calculation_sheet!C$87,0)</f>
        <v>0</v>
      </c>
      <c r="AA151" s="176">
        <f t="shared" ca="1" si="183"/>
        <v>5.014634459444893E-4</v>
      </c>
      <c r="AB151" s="176">
        <f ca="1">IF(AP151&gt;0,AA151*Calculation_sheet!C$94,0)</f>
        <v>0</v>
      </c>
      <c r="AC151" s="176">
        <f t="shared" ca="1" si="173"/>
        <v>5.014634459444893E-4</v>
      </c>
      <c r="AD151" s="958">
        <f ca="1">AC151*Calculation_sheet!C$99</f>
        <v>3.0087806756669359E-4</v>
      </c>
      <c r="AE151" s="176">
        <f t="shared" ca="1" si="173"/>
        <v>2.0058537837779571E-4</v>
      </c>
      <c r="AF151" s="176">
        <f t="shared" ca="1" si="184"/>
        <v>5.014634459444893E-4</v>
      </c>
      <c r="AG151" s="958">
        <f ca="1">AF151*User_sheet!B$77/100</f>
        <v>0</v>
      </c>
      <c r="AH151" s="313"/>
      <c r="AI151" s="908">
        <v>202</v>
      </c>
      <c r="AJ151" s="313"/>
      <c r="AK151" s="1020">
        <f t="shared" ca="1" si="166"/>
        <v>200.23362637835783</v>
      </c>
      <c r="AL151" s="954">
        <f ca="1">AK151/'202'!I$24</f>
        <v>0.6450617775791947</v>
      </c>
      <c r="AM151" s="954">
        <f ca="1">0.8*(AK151*30+'202'!D$17*0.34*30*1)</f>
        <v>8417.5494330805868</v>
      </c>
      <c r="AN151" s="954">
        <f ca="1">IF(AM151&lt;User_sheet!B$50,Y151,0)</f>
        <v>5.014634459444893E-4</v>
      </c>
      <c r="AO151" s="954">
        <f ca="1">20-(User_sheet!B$57/(AK151+'202'!D$17*1*0.34))</f>
        <v>3.7482391891418914</v>
      </c>
      <c r="AP151" s="954">
        <f ca="1">IF(AO151&lt;User_sheet!B$59,0,BC151*AA151)</f>
        <v>0</v>
      </c>
      <c r="AQ151" s="313"/>
      <c r="AR151" s="909">
        <v>0.47</v>
      </c>
      <c r="AS151" s="909">
        <v>0.6</v>
      </c>
      <c r="AT151" s="909">
        <v>0.89</v>
      </c>
      <c r="AU151" s="909">
        <v>2.75</v>
      </c>
      <c r="AV151" s="909">
        <v>3.3</v>
      </c>
      <c r="AW151" s="909">
        <v>11617.129718053829</v>
      </c>
      <c r="AX151" s="909">
        <v>69341.450841082013</v>
      </c>
      <c r="AY151" s="909">
        <v>79015.992973719694</v>
      </c>
      <c r="AZ151" s="909">
        <v>0</v>
      </c>
      <c r="BA151" s="909">
        <v>0</v>
      </c>
      <c r="BB151" s="909">
        <v>0.6</v>
      </c>
      <c r="BC151" s="919">
        <v>0</v>
      </c>
      <c r="BD151" s="920">
        <v>1</v>
      </c>
      <c r="BE151" s="920">
        <v>0</v>
      </c>
      <c r="BF151" s="921">
        <v>0</v>
      </c>
      <c r="BG151" s="909">
        <v>0</v>
      </c>
      <c r="BH151" s="909">
        <v>1</v>
      </c>
      <c r="BI151" s="921">
        <v>0</v>
      </c>
      <c r="BJ151" s="909">
        <v>0</v>
      </c>
      <c r="BK151" s="909">
        <v>1</v>
      </c>
      <c r="BL151" s="909">
        <v>0</v>
      </c>
      <c r="BM151" s="921">
        <v>0</v>
      </c>
      <c r="BN151" s="199">
        <v>0.08</v>
      </c>
      <c r="BO151" s="959">
        <v>6</v>
      </c>
      <c r="BP151">
        <f t="shared" ca="1" si="174"/>
        <v>173.25</v>
      </c>
      <c r="BQ151">
        <f t="shared" ca="1" si="175"/>
        <v>294.14</v>
      </c>
      <c r="BR151">
        <f t="shared" ca="1" si="176"/>
        <v>99.660000000000011</v>
      </c>
      <c r="BS151">
        <f t="shared" ca="1" si="177"/>
        <v>135.5</v>
      </c>
      <c r="BT151">
        <f t="shared" ca="1" si="178"/>
        <v>63.2</v>
      </c>
      <c r="BU151">
        <f t="shared" ca="1" si="179"/>
        <v>12</v>
      </c>
      <c r="BV151">
        <f t="shared" ca="1" si="180"/>
        <v>4.3</v>
      </c>
      <c r="BW151" s="1018">
        <v>0</v>
      </c>
      <c r="BX151">
        <f t="shared" ca="1" si="111"/>
        <v>43.311737147084209</v>
      </c>
      <c r="BY151">
        <f t="shared" ca="1" si="112"/>
        <v>73.641304347826079</v>
      </c>
      <c r="BZ151">
        <f t="shared" ca="1" si="167"/>
        <v>16.081067344345623</v>
      </c>
      <c r="CA151">
        <f t="shared" ca="1" si="168"/>
        <v>32.999999981849996</v>
      </c>
      <c r="CB151">
        <f t="shared" ca="1" si="113"/>
        <v>9.0267175572519083</v>
      </c>
      <c r="CC151" s="1018">
        <f t="shared" si="169"/>
        <v>0</v>
      </c>
      <c r="CD151" s="1018">
        <f t="shared" ca="1" si="181"/>
        <v>200.23362637835783</v>
      </c>
      <c r="CE151" s="1018">
        <f t="shared" ca="1" si="185"/>
        <v>61.29974570765215</v>
      </c>
      <c r="CF151">
        <f t="shared" ca="1" si="170"/>
        <v>7.8460011625802997</v>
      </c>
      <c r="CG151">
        <f t="shared" ca="1" si="171"/>
        <v>13063.278095649697</v>
      </c>
    </row>
    <row r="152" spans="4:85" x14ac:dyDescent="0.25">
      <c r="D152" s="523"/>
      <c r="E152" s="522"/>
      <c r="F152" s="523"/>
      <c r="G152" s="522"/>
      <c r="H152" s="523"/>
      <c r="I152" s="522"/>
      <c r="J152" s="523"/>
      <c r="K152" s="523"/>
      <c r="L152" s="523"/>
      <c r="M152" s="523" t="s">
        <v>22</v>
      </c>
      <c r="N152" s="525">
        <v>0.44680851100000002</v>
      </c>
      <c r="O152" s="523" t="s">
        <v>20</v>
      </c>
      <c r="P152" s="525">
        <v>0.19172932300000001</v>
      </c>
      <c r="Q152" s="523" t="s">
        <v>7</v>
      </c>
      <c r="R152" s="525">
        <v>0.46289999999999998</v>
      </c>
      <c r="S152" s="523"/>
      <c r="T152" s="533">
        <v>4.3217777517748124E-4</v>
      </c>
      <c r="U152" s="522"/>
      <c r="V152" s="176">
        <f t="shared" si="172"/>
        <v>4.3217777517748124E-4</v>
      </c>
      <c r="W152" s="176">
        <f t="shared" si="182"/>
        <v>4.3217777517748124E-4</v>
      </c>
      <c r="X152" s="176">
        <f t="shared" si="182"/>
        <v>4.3217777517748124E-4</v>
      </c>
      <c r="Y152" s="34">
        <f>X152/Calculation_sheet!M$67</f>
        <v>4.3218661166952925E-4</v>
      </c>
      <c r="Z152" s="176">
        <f ca="1">IF(AN152&gt;0,Y152*Calculation_sheet!C$87,0)</f>
        <v>0</v>
      </c>
      <c r="AA152" s="176">
        <f t="shared" ca="1" si="183"/>
        <v>4.3218661166952925E-4</v>
      </c>
      <c r="AB152" s="176">
        <f ca="1">IF(AP152&gt;0,AA152*Calculation_sheet!C$94,0)</f>
        <v>0</v>
      </c>
      <c r="AC152" s="176">
        <f t="shared" ca="1" si="173"/>
        <v>4.3218661166952925E-4</v>
      </c>
      <c r="AD152" s="958">
        <f ca="1">AC152*Calculation_sheet!C$99</f>
        <v>2.5931196700171755E-4</v>
      </c>
      <c r="AE152" s="176">
        <f t="shared" ca="1" si="173"/>
        <v>1.728746446678117E-4</v>
      </c>
      <c r="AF152" s="176">
        <f t="shared" ca="1" si="184"/>
        <v>4.3218661166952925E-4</v>
      </c>
      <c r="AG152" s="958">
        <f ca="1">AF152*User_sheet!B$77/100</f>
        <v>0</v>
      </c>
      <c r="AH152" s="313"/>
      <c r="AI152" s="908">
        <v>202</v>
      </c>
      <c r="AJ152" s="313"/>
      <c r="AK152" s="1020">
        <f t="shared" ca="1" si="166"/>
        <v>200.23362637835783</v>
      </c>
      <c r="AL152" s="954">
        <f ca="1">AK152/'202'!I$24</f>
        <v>0.6450617775791947</v>
      </c>
      <c r="AM152" s="954">
        <f ca="1">0.8*(AK152*30+'202'!D$17*0.34*30*1)</f>
        <v>8417.5494330805868</v>
      </c>
      <c r="AN152" s="954">
        <f ca="1">IF(AM152&lt;User_sheet!B$50,Y152,0)</f>
        <v>4.3218661166952925E-4</v>
      </c>
      <c r="AO152" s="954">
        <f ca="1">20-(User_sheet!B$57/(AK152+'202'!D$17*1*0.34))</f>
        <v>3.7482391891418914</v>
      </c>
      <c r="AP152" s="954">
        <f ca="1">IF(AO152&lt;User_sheet!B$59,0,BC152*AA152)</f>
        <v>0</v>
      </c>
      <c r="AQ152" s="313"/>
      <c r="AR152" s="909">
        <v>0.47</v>
      </c>
      <c r="AS152" s="909">
        <v>0.6</v>
      </c>
      <c r="AT152" s="909">
        <v>0.89</v>
      </c>
      <c r="AU152" s="909">
        <v>2.75</v>
      </c>
      <c r="AV152" s="909">
        <v>3.3</v>
      </c>
      <c r="AW152" s="909">
        <v>11617.129718053829</v>
      </c>
      <c r="AX152" s="909">
        <v>69341.450841082013</v>
      </c>
      <c r="AY152" s="909">
        <v>79015.992973719694</v>
      </c>
      <c r="AZ152" s="909">
        <v>0</v>
      </c>
      <c r="BA152" s="909">
        <v>0</v>
      </c>
      <c r="BB152" s="909">
        <v>0.6</v>
      </c>
      <c r="BC152" s="919">
        <v>0</v>
      </c>
      <c r="BD152" s="920">
        <v>1</v>
      </c>
      <c r="BE152" s="920">
        <v>0</v>
      </c>
      <c r="BF152" s="921">
        <v>0</v>
      </c>
      <c r="BG152" s="909">
        <v>0</v>
      </c>
      <c r="BH152" s="909">
        <v>1</v>
      </c>
      <c r="BI152" s="921">
        <v>0</v>
      </c>
      <c r="BJ152" s="909">
        <v>0</v>
      </c>
      <c r="BK152" s="909">
        <v>0</v>
      </c>
      <c r="BL152" s="909">
        <v>1</v>
      </c>
      <c r="BM152" s="921">
        <v>0</v>
      </c>
      <c r="BN152" s="199">
        <v>0.08</v>
      </c>
      <c r="BO152" s="959">
        <v>6</v>
      </c>
      <c r="BP152">
        <f t="shared" ca="1" si="174"/>
        <v>173.25</v>
      </c>
      <c r="BQ152">
        <f t="shared" ca="1" si="175"/>
        <v>294.14</v>
      </c>
      <c r="BR152">
        <f t="shared" ca="1" si="176"/>
        <v>99.660000000000011</v>
      </c>
      <c r="BS152">
        <f t="shared" ca="1" si="177"/>
        <v>135.5</v>
      </c>
      <c r="BT152">
        <f t="shared" ca="1" si="178"/>
        <v>63.2</v>
      </c>
      <c r="BU152">
        <f t="shared" ca="1" si="179"/>
        <v>12</v>
      </c>
      <c r="BV152">
        <f t="shared" ca="1" si="180"/>
        <v>4.3</v>
      </c>
      <c r="BW152" s="1018">
        <v>0</v>
      </c>
      <c r="BX152">
        <f t="shared" ca="1" si="111"/>
        <v>43.311737147084209</v>
      </c>
      <c r="BY152">
        <f t="shared" ca="1" si="112"/>
        <v>73.641304347826079</v>
      </c>
      <c r="BZ152">
        <f t="shared" ca="1" si="167"/>
        <v>16.081067344345623</v>
      </c>
      <c r="CA152">
        <f t="shared" ca="1" si="168"/>
        <v>32.999999981849996</v>
      </c>
      <c r="CB152">
        <f t="shared" ca="1" si="113"/>
        <v>9.0267175572519083</v>
      </c>
      <c r="CC152" s="1018">
        <f t="shared" si="169"/>
        <v>0</v>
      </c>
      <c r="CD152" s="1018">
        <f t="shared" ca="1" si="181"/>
        <v>200.23362637835783</v>
      </c>
      <c r="CE152" s="1018">
        <f t="shared" ca="1" si="185"/>
        <v>61.29974570765215</v>
      </c>
      <c r="CF152">
        <f t="shared" ca="1" si="170"/>
        <v>7.8460011625802997</v>
      </c>
      <c r="CG152">
        <f t="shared" ca="1" si="171"/>
        <v>13063.278095649697</v>
      </c>
    </row>
    <row r="153" spans="4:85" x14ac:dyDescent="0.25">
      <c r="D153" s="523"/>
      <c r="E153" s="522"/>
      <c r="F153" s="523"/>
      <c r="G153" s="522"/>
      <c r="H153" s="523"/>
      <c r="I153" s="522"/>
      <c r="J153" s="523"/>
      <c r="K153" s="523"/>
      <c r="L153" s="523"/>
      <c r="M153" s="523" t="s">
        <v>7</v>
      </c>
      <c r="N153" s="525">
        <v>2.1276595999999998E-2</v>
      </c>
      <c r="O153" s="523" t="s">
        <v>23</v>
      </c>
      <c r="P153" s="525">
        <v>1</v>
      </c>
      <c r="Q153" s="523" t="s">
        <v>7</v>
      </c>
      <c r="R153" s="525">
        <v>1</v>
      </c>
      <c r="S153" s="523"/>
      <c r="T153" s="533">
        <v>2.3188220421875664E-4</v>
      </c>
      <c r="U153" s="522"/>
      <c r="V153" s="176">
        <f t="shared" si="172"/>
        <v>2.3188220421875664E-4</v>
      </c>
      <c r="W153" s="176">
        <f t="shared" si="182"/>
        <v>2.3188220421875664E-4</v>
      </c>
      <c r="X153" s="176">
        <f t="shared" si="182"/>
        <v>2.3188220421875664E-4</v>
      </c>
      <c r="Y153" s="34">
        <f>X153/Calculation_sheet!M$67</f>
        <v>2.3188694538170239E-4</v>
      </c>
      <c r="Z153" s="176">
        <f ca="1">IF(AN153&gt;0,Y153*Calculation_sheet!C$87,0)</f>
        <v>0</v>
      </c>
      <c r="AA153" s="176">
        <f t="shared" ca="1" si="183"/>
        <v>2.3188694538170239E-4</v>
      </c>
      <c r="AB153" s="176">
        <f ca="1">IF(AP153&gt;0,AA153*Calculation_sheet!C$94,0)</f>
        <v>0</v>
      </c>
      <c r="AC153" s="176">
        <f t="shared" ca="1" si="173"/>
        <v>2.3188694538170239E-4</v>
      </c>
      <c r="AD153" s="958">
        <f ca="1">AC153*Calculation_sheet!C$99</f>
        <v>1.3913216722902144E-4</v>
      </c>
      <c r="AE153" s="176">
        <f t="shared" ca="1" si="173"/>
        <v>9.275477815268095E-5</v>
      </c>
      <c r="AF153" s="176">
        <f t="shared" ca="1" si="184"/>
        <v>2.3188694538170239E-4</v>
      </c>
      <c r="AG153" s="958">
        <f ca="1">AF153*User_sheet!B$77/100</f>
        <v>0</v>
      </c>
      <c r="AH153" s="313"/>
      <c r="AI153" s="908">
        <v>202</v>
      </c>
      <c r="AJ153" s="313"/>
      <c r="AK153" s="1020">
        <f t="shared" ca="1" si="166"/>
        <v>200.23362637835783</v>
      </c>
      <c r="AL153" s="954">
        <f ca="1">AK153/'202'!I$24</f>
        <v>0.6450617775791947</v>
      </c>
      <c r="AM153" s="954">
        <f ca="1">0.8*(AK153*30+'202'!D$17*0.34*30*1)</f>
        <v>8417.5494330805868</v>
      </c>
      <c r="AN153" s="954">
        <f ca="1">IF(AM153&lt;User_sheet!B$50,Y153,0)</f>
        <v>2.3188694538170239E-4</v>
      </c>
      <c r="AO153" s="954">
        <f ca="1">20-(User_sheet!B$57/(AK153+'202'!D$17*1*0.34))</f>
        <v>3.7482391891418914</v>
      </c>
      <c r="AP153" s="954">
        <f ca="1">IF(AO153&lt;User_sheet!B$59,0,BC153*AA153)</f>
        <v>0</v>
      </c>
      <c r="AQ153" s="313"/>
      <c r="AR153" s="909">
        <v>0.47</v>
      </c>
      <c r="AS153" s="909">
        <v>0.6</v>
      </c>
      <c r="AT153" s="909">
        <v>0.89</v>
      </c>
      <c r="AU153" s="909">
        <v>2.75</v>
      </c>
      <c r="AV153" s="909">
        <v>3.3</v>
      </c>
      <c r="AW153" s="909">
        <v>11617.129718053829</v>
      </c>
      <c r="AX153" s="909">
        <v>69341.450841082013</v>
      </c>
      <c r="AY153" s="909">
        <v>79015.992973719694</v>
      </c>
      <c r="AZ153" s="909">
        <v>0</v>
      </c>
      <c r="BA153" s="909">
        <v>0</v>
      </c>
      <c r="BB153" s="909">
        <v>0.6</v>
      </c>
      <c r="BC153" s="919">
        <v>0</v>
      </c>
      <c r="BD153" s="920">
        <v>0</v>
      </c>
      <c r="BE153" s="920">
        <v>1</v>
      </c>
      <c r="BF153" s="921">
        <v>0</v>
      </c>
      <c r="BG153" s="909">
        <v>0</v>
      </c>
      <c r="BH153" s="909">
        <v>0</v>
      </c>
      <c r="BI153" s="921">
        <v>1</v>
      </c>
      <c r="BJ153" s="909">
        <v>0</v>
      </c>
      <c r="BK153" s="909">
        <v>0</v>
      </c>
      <c r="BL153" s="909">
        <v>1</v>
      </c>
      <c r="BM153" s="921">
        <v>0</v>
      </c>
      <c r="BN153" s="199">
        <v>0.08</v>
      </c>
      <c r="BO153" s="959">
        <v>6</v>
      </c>
      <c r="BP153">
        <f t="shared" ca="1" si="174"/>
        <v>173.25</v>
      </c>
      <c r="BQ153">
        <f t="shared" ca="1" si="175"/>
        <v>294.14</v>
      </c>
      <c r="BR153">
        <f t="shared" ca="1" si="176"/>
        <v>99.660000000000011</v>
      </c>
      <c r="BS153">
        <f t="shared" ca="1" si="177"/>
        <v>135.5</v>
      </c>
      <c r="BT153">
        <f t="shared" ca="1" si="178"/>
        <v>63.2</v>
      </c>
      <c r="BU153">
        <f t="shared" ca="1" si="179"/>
        <v>12</v>
      </c>
      <c r="BV153">
        <f t="shared" ca="1" si="180"/>
        <v>4.3</v>
      </c>
      <c r="BW153" s="1018">
        <v>0</v>
      </c>
      <c r="BX153">
        <f t="shared" ca="1" si="111"/>
        <v>43.311737147084209</v>
      </c>
      <c r="BY153">
        <f t="shared" ca="1" si="112"/>
        <v>73.641304347826079</v>
      </c>
      <c r="BZ153">
        <f t="shared" ca="1" si="167"/>
        <v>16.081067344345623</v>
      </c>
      <c r="CA153">
        <f t="shared" ca="1" si="168"/>
        <v>32.999999981849996</v>
      </c>
      <c r="CB153">
        <f t="shared" ca="1" si="113"/>
        <v>9.0267175572519083</v>
      </c>
      <c r="CC153" s="1018">
        <f t="shared" si="169"/>
        <v>0</v>
      </c>
      <c r="CD153" s="1018">
        <f t="shared" ca="1" si="181"/>
        <v>200.23362637835783</v>
      </c>
      <c r="CE153" s="1018">
        <f t="shared" ca="1" si="185"/>
        <v>61.29974570765215</v>
      </c>
      <c r="CF153">
        <f t="shared" ca="1" si="170"/>
        <v>7.8460011625802997</v>
      </c>
      <c r="CG153">
        <f t="shared" ca="1" si="171"/>
        <v>13063.278095649697</v>
      </c>
    </row>
    <row r="154" spans="4:85" x14ac:dyDescent="0.25">
      <c r="D154" s="523"/>
      <c r="E154" s="522"/>
      <c r="F154" s="523"/>
      <c r="G154" s="522"/>
      <c r="H154" s="523"/>
      <c r="I154" s="522"/>
      <c r="J154" s="523"/>
      <c r="K154" s="523"/>
      <c r="L154" s="523"/>
      <c r="M154" s="523"/>
      <c r="N154" s="523"/>
      <c r="O154" s="523" t="s">
        <v>18</v>
      </c>
      <c r="P154" s="525">
        <v>0.15910607099999999</v>
      </c>
      <c r="Q154" s="523" t="s">
        <v>17</v>
      </c>
      <c r="R154" s="525">
        <v>1</v>
      </c>
      <c r="S154" s="523"/>
      <c r="T154" s="533">
        <v>1.4757546405825227E-4</v>
      </c>
      <c r="U154" s="522"/>
      <c r="V154" s="176">
        <f t="shared" si="172"/>
        <v>1.4757546405825227E-4</v>
      </c>
      <c r="W154" s="176">
        <f t="shared" si="182"/>
        <v>1.4757546405825227E-4</v>
      </c>
      <c r="X154" s="176">
        <f t="shared" si="182"/>
        <v>1.4757546405825227E-4</v>
      </c>
      <c r="Y154" s="34">
        <f>X154/Calculation_sheet!M$67</f>
        <v>1.475784814494499E-4</v>
      </c>
      <c r="Z154" s="176">
        <f ca="1">IF(AN154&gt;0,Y154*Calculation_sheet!C$87,0)</f>
        <v>0</v>
      </c>
      <c r="AA154" s="176">
        <f t="shared" ca="1" si="183"/>
        <v>1.475784814494499E-4</v>
      </c>
      <c r="AB154" s="176">
        <f ca="1">IF(AP154&gt;0,AA154*Calculation_sheet!C$94,0)</f>
        <v>0</v>
      </c>
      <c r="AC154" s="176">
        <f t="shared" ca="1" si="173"/>
        <v>1.475784814494499E-4</v>
      </c>
      <c r="AD154" s="958">
        <f ca="1">AC154*Calculation_sheet!C$99</f>
        <v>8.8547088869669942E-5</v>
      </c>
      <c r="AE154" s="176">
        <f t="shared" ca="1" si="173"/>
        <v>5.9031392579779961E-5</v>
      </c>
      <c r="AF154" s="176">
        <f t="shared" ca="1" si="184"/>
        <v>1.475784814494499E-4</v>
      </c>
      <c r="AG154" s="958">
        <f ca="1">AF154*User_sheet!B$77/100</f>
        <v>0</v>
      </c>
      <c r="AH154" s="313"/>
      <c r="AI154" s="908">
        <v>202</v>
      </c>
      <c r="AJ154" s="313"/>
      <c r="AK154" s="1020">
        <f t="shared" ca="1" si="166"/>
        <v>200.23362637835783</v>
      </c>
      <c r="AL154" s="954">
        <f ca="1">AK154/'202'!I$24</f>
        <v>0.6450617775791947</v>
      </c>
      <c r="AM154" s="954">
        <f ca="1">0.8*(AK154*30+'202'!D$17*0.34*30*1)</f>
        <v>8417.5494330805868</v>
      </c>
      <c r="AN154" s="954">
        <f ca="1">IF(AM154&lt;User_sheet!B$50,Y154,0)</f>
        <v>1.475784814494499E-4</v>
      </c>
      <c r="AO154" s="954">
        <f ca="1">20-(User_sheet!B$57/(AK154+'202'!D$17*1*0.34))</f>
        <v>3.7482391891418914</v>
      </c>
      <c r="AP154" s="954">
        <f ca="1">IF(AO154&lt;User_sheet!B$59,0,BC154*AA154)</f>
        <v>0</v>
      </c>
      <c r="AQ154" s="313"/>
      <c r="AR154" s="909">
        <v>0.47</v>
      </c>
      <c r="AS154" s="909">
        <v>0.6</v>
      </c>
      <c r="AT154" s="909">
        <v>0.89</v>
      </c>
      <c r="AU154" s="909">
        <v>2.75</v>
      </c>
      <c r="AV154" s="909">
        <v>3.3</v>
      </c>
      <c r="AW154" s="909">
        <v>11617.129718053829</v>
      </c>
      <c r="AX154" s="909">
        <v>69341.450841082013</v>
      </c>
      <c r="AY154" s="909">
        <v>79015.992973719694</v>
      </c>
      <c r="AZ154" s="909">
        <v>0</v>
      </c>
      <c r="BA154" s="909">
        <v>0</v>
      </c>
      <c r="BB154" s="909">
        <v>0.6</v>
      </c>
      <c r="BC154" s="919">
        <v>0</v>
      </c>
      <c r="BD154" s="920">
        <v>0</v>
      </c>
      <c r="BE154" s="920">
        <v>0</v>
      </c>
      <c r="BF154" s="921">
        <v>1</v>
      </c>
      <c r="BG154" s="909">
        <v>1</v>
      </c>
      <c r="BH154" s="909">
        <v>0</v>
      </c>
      <c r="BI154" s="921">
        <v>0</v>
      </c>
      <c r="BJ154" s="909">
        <v>0</v>
      </c>
      <c r="BK154" s="909">
        <v>0</v>
      </c>
      <c r="BL154" s="909">
        <v>0</v>
      </c>
      <c r="BM154" s="921">
        <v>1</v>
      </c>
      <c r="BN154" s="199">
        <v>0.08</v>
      </c>
      <c r="BO154" s="959">
        <v>6</v>
      </c>
      <c r="BP154">
        <f t="shared" ca="1" si="174"/>
        <v>173.25</v>
      </c>
      <c r="BQ154">
        <f t="shared" ca="1" si="175"/>
        <v>294.14</v>
      </c>
      <c r="BR154">
        <f t="shared" ca="1" si="176"/>
        <v>99.660000000000011</v>
      </c>
      <c r="BS154">
        <f t="shared" ca="1" si="177"/>
        <v>135.5</v>
      </c>
      <c r="BT154">
        <f t="shared" ca="1" si="178"/>
        <v>63.2</v>
      </c>
      <c r="BU154">
        <f t="shared" ca="1" si="179"/>
        <v>12</v>
      </c>
      <c r="BV154">
        <f t="shared" ca="1" si="180"/>
        <v>4.3</v>
      </c>
      <c r="BW154" s="1018">
        <v>0</v>
      </c>
      <c r="BX154">
        <f t="shared" ca="1" si="111"/>
        <v>43.311737147084209</v>
      </c>
      <c r="BY154">
        <f t="shared" ca="1" si="112"/>
        <v>73.641304347826079</v>
      </c>
      <c r="BZ154">
        <f t="shared" ca="1" si="167"/>
        <v>16.081067344345623</v>
      </c>
      <c r="CA154">
        <f t="shared" ca="1" si="168"/>
        <v>32.999999981849996</v>
      </c>
      <c r="CB154">
        <f t="shared" ca="1" si="113"/>
        <v>9.0267175572519083</v>
      </c>
      <c r="CC154" s="1018">
        <f t="shared" si="169"/>
        <v>0</v>
      </c>
      <c r="CD154" s="1018">
        <f t="shared" ca="1" si="181"/>
        <v>200.23362637835783</v>
      </c>
      <c r="CE154" s="1018">
        <f t="shared" ca="1" si="185"/>
        <v>61.29974570765215</v>
      </c>
      <c r="CF154">
        <f t="shared" ca="1" si="170"/>
        <v>7.8460011625802997</v>
      </c>
      <c r="CG154">
        <f t="shared" ca="1" si="171"/>
        <v>13063.278095649697</v>
      </c>
    </row>
    <row r="155" spans="4:85" x14ac:dyDescent="0.25">
      <c r="D155" s="523"/>
      <c r="E155" s="522" t="s">
        <v>4</v>
      </c>
      <c r="F155" s="527">
        <v>0.25</v>
      </c>
      <c r="G155" s="522" t="s">
        <v>5</v>
      </c>
      <c r="H155" s="527">
        <v>1</v>
      </c>
      <c r="I155" s="522" t="s">
        <v>6</v>
      </c>
      <c r="J155" s="527">
        <v>1</v>
      </c>
      <c r="K155" s="526" t="s">
        <v>12</v>
      </c>
      <c r="L155" s="527">
        <v>0.73899999999999999</v>
      </c>
      <c r="M155" s="523" t="s">
        <v>17</v>
      </c>
      <c r="N155" s="525">
        <v>8.5106382999999994E-2</v>
      </c>
      <c r="O155" s="523" t="s">
        <v>19</v>
      </c>
      <c r="P155" s="525">
        <v>0.84089392900000004</v>
      </c>
      <c r="Q155" s="523" t="s">
        <v>17</v>
      </c>
      <c r="R155" s="525">
        <v>1</v>
      </c>
      <c r="S155" s="523"/>
      <c r="T155" s="533">
        <v>7.7995334191831073E-4</v>
      </c>
      <c r="U155" s="522"/>
      <c r="V155" s="176">
        <f t="shared" si="172"/>
        <v>7.7995334191831073E-4</v>
      </c>
      <c r="W155" s="176">
        <f t="shared" si="182"/>
        <v>7.7995334191831073E-4</v>
      </c>
      <c r="X155" s="176">
        <f t="shared" si="182"/>
        <v>7.7995334191831073E-4</v>
      </c>
      <c r="Y155" s="34">
        <f>X155/Calculation_sheet!M$67</f>
        <v>7.7996928917867323E-4</v>
      </c>
      <c r="Z155" s="176">
        <f ca="1">IF(AN155&gt;0,Y155*Calculation_sheet!C$87,0)</f>
        <v>0</v>
      </c>
      <c r="AA155" s="176">
        <f t="shared" ca="1" si="183"/>
        <v>7.7996928917867323E-4</v>
      </c>
      <c r="AB155" s="176">
        <f ca="1">IF(AP155&gt;0,AA155*Calculation_sheet!C$94,0)</f>
        <v>0</v>
      </c>
      <c r="AC155" s="176">
        <f t="shared" ca="1" si="173"/>
        <v>7.7996928917867323E-4</v>
      </c>
      <c r="AD155" s="958">
        <f ca="1">AC155*Calculation_sheet!C$99</f>
        <v>4.6798157350720393E-4</v>
      </c>
      <c r="AE155" s="176">
        <f t="shared" ca="1" si="173"/>
        <v>3.119877156714693E-4</v>
      </c>
      <c r="AF155" s="176">
        <f t="shared" ca="1" si="184"/>
        <v>7.7996928917867323E-4</v>
      </c>
      <c r="AG155" s="958">
        <f ca="1">AF155*User_sheet!B$77/100</f>
        <v>0</v>
      </c>
      <c r="AH155" s="313"/>
      <c r="AI155" s="908">
        <v>202</v>
      </c>
      <c r="AJ155" s="313"/>
      <c r="AK155" s="1020">
        <f t="shared" ca="1" si="166"/>
        <v>200.23362637835783</v>
      </c>
      <c r="AL155" s="954">
        <f ca="1">AK155/'202'!I$24</f>
        <v>0.6450617775791947</v>
      </c>
      <c r="AM155" s="954">
        <f ca="1">0.8*(AK155*30+'202'!D$17*0.34*30*1)</f>
        <v>8417.5494330805868</v>
      </c>
      <c r="AN155" s="954">
        <f ca="1">IF(AM155&lt;User_sheet!B$50,Y155,0)</f>
        <v>7.7996928917867323E-4</v>
      </c>
      <c r="AO155" s="954">
        <f ca="1">20-(User_sheet!B$57/(AK155+'202'!D$17*1*0.34))</f>
        <v>3.7482391891418914</v>
      </c>
      <c r="AP155" s="954">
        <f ca="1">IF(AO155&lt;User_sheet!B$59,0,BC155*AA155)</f>
        <v>0</v>
      </c>
      <c r="AQ155" s="313"/>
      <c r="AR155" s="909">
        <v>0.47</v>
      </c>
      <c r="AS155" s="909">
        <v>0.6</v>
      </c>
      <c r="AT155" s="909">
        <v>0.89</v>
      </c>
      <c r="AU155" s="909">
        <v>2.75</v>
      </c>
      <c r="AV155" s="909">
        <v>3.3</v>
      </c>
      <c r="AW155" s="909">
        <v>11617.129718053829</v>
      </c>
      <c r="AX155" s="909">
        <v>69341.450841082013</v>
      </c>
      <c r="AY155" s="909">
        <v>79015.992973719694</v>
      </c>
      <c r="AZ155" s="909">
        <v>0</v>
      </c>
      <c r="BA155" s="909">
        <v>0</v>
      </c>
      <c r="BB155" s="909">
        <v>0.6</v>
      </c>
      <c r="BC155" s="919">
        <v>0</v>
      </c>
      <c r="BD155" s="920">
        <v>0</v>
      </c>
      <c r="BE155" s="920">
        <v>0</v>
      </c>
      <c r="BF155" s="921">
        <v>1</v>
      </c>
      <c r="BG155" s="909">
        <v>0</v>
      </c>
      <c r="BH155" s="909">
        <v>1</v>
      </c>
      <c r="BI155" s="921">
        <v>0</v>
      </c>
      <c r="BJ155" s="909">
        <v>0</v>
      </c>
      <c r="BK155" s="909">
        <v>0</v>
      </c>
      <c r="BL155" s="909">
        <v>0</v>
      </c>
      <c r="BM155" s="921">
        <v>1</v>
      </c>
      <c r="BN155" s="199">
        <v>0.08</v>
      </c>
      <c r="BO155" s="959">
        <v>6</v>
      </c>
      <c r="BP155">
        <f t="shared" ca="1" si="174"/>
        <v>173.25</v>
      </c>
      <c r="BQ155">
        <f t="shared" ca="1" si="175"/>
        <v>294.14</v>
      </c>
      <c r="BR155">
        <f t="shared" ca="1" si="176"/>
        <v>99.660000000000011</v>
      </c>
      <c r="BS155">
        <f t="shared" ca="1" si="177"/>
        <v>135.5</v>
      </c>
      <c r="BT155">
        <f t="shared" ca="1" si="178"/>
        <v>63.2</v>
      </c>
      <c r="BU155">
        <f t="shared" ca="1" si="179"/>
        <v>12</v>
      </c>
      <c r="BV155">
        <f t="shared" ca="1" si="180"/>
        <v>4.3</v>
      </c>
      <c r="BW155" s="1018">
        <v>0</v>
      </c>
      <c r="BX155">
        <f t="shared" ca="1" si="111"/>
        <v>43.311737147084209</v>
      </c>
      <c r="BY155">
        <f t="shared" ca="1" si="112"/>
        <v>73.641304347826079</v>
      </c>
      <c r="BZ155">
        <f t="shared" ca="1" si="167"/>
        <v>16.081067344345623</v>
      </c>
      <c r="CA155">
        <f t="shared" ca="1" si="168"/>
        <v>32.999999981849996</v>
      </c>
      <c r="CB155">
        <f t="shared" ca="1" si="113"/>
        <v>9.0267175572519083</v>
      </c>
      <c r="CC155" s="1018">
        <f t="shared" si="169"/>
        <v>0</v>
      </c>
      <c r="CD155" s="1018">
        <f t="shared" ca="1" si="181"/>
        <v>200.23362637835783</v>
      </c>
      <c r="CE155" s="1018">
        <f t="shared" ca="1" si="185"/>
        <v>61.29974570765215</v>
      </c>
      <c r="CF155">
        <f t="shared" ca="1" si="170"/>
        <v>7.8460011625802997</v>
      </c>
      <c r="CG155">
        <f t="shared" ca="1" si="171"/>
        <v>13063.278095649697</v>
      </c>
    </row>
    <row r="156" spans="4:85" s="14" customFormat="1" x14ac:dyDescent="0.25">
      <c r="D156" s="531"/>
      <c r="E156" s="530"/>
      <c r="F156" s="531"/>
      <c r="G156" s="530"/>
      <c r="H156" s="531"/>
      <c r="I156" s="530"/>
      <c r="J156" s="531"/>
      <c r="K156" s="532"/>
      <c r="L156" s="531"/>
      <c r="M156" s="531"/>
      <c r="N156" s="531"/>
      <c r="O156" s="531"/>
      <c r="P156" s="531"/>
      <c r="Q156" s="531"/>
      <c r="R156" s="531"/>
      <c r="S156" s="531"/>
      <c r="T156" s="534"/>
      <c r="U156" s="530"/>
      <c r="V156" s="292"/>
      <c r="W156" s="292"/>
      <c r="X156" s="292"/>
      <c r="Y156" s="277"/>
      <c r="Z156" s="292"/>
      <c r="AA156" s="292"/>
      <c r="AB156" s="292"/>
      <c r="AC156" s="292"/>
      <c r="AD156" s="277"/>
      <c r="AE156" s="292"/>
      <c r="AF156" s="292"/>
      <c r="AG156" s="277"/>
      <c r="AH156" s="313"/>
      <c r="AI156" s="913"/>
      <c r="AJ156" s="313"/>
      <c r="AK156" s="1020">
        <f t="shared" si="166"/>
        <v>0</v>
      </c>
      <c r="AL156" s="955"/>
      <c r="AM156" s="955"/>
      <c r="AN156" s="941"/>
      <c r="AO156" s="941"/>
      <c r="AP156" s="941"/>
      <c r="AQ156" s="313"/>
      <c r="AR156" s="913"/>
      <c r="AS156" s="913"/>
      <c r="AT156" s="913"/>
      <c r="AU156" s="913"/>
      <c r="AV156" s="913"/>
      <c r="AW156" s="913"/>
      <c r="AX156" s="913"/>
      <c r="AY156" s="913"/>
      <c r="AZ156" s="913"/>
      <c r="BA156" s="913"/>
      <c r="BB156" s="913"/>
      <c r="BC156" s="897"/>
      <c r="BD156" s="898"/>
      <c r="BE156" s="898"/>
      <c r="BF156" s="373"/>
      <c r="BG156" s="913"/>
      <c r="BH156" s="913"/>
      <c r="BI156" s="373"/>
      <c r="BJ156" s="913"/>
      <c r="BK156" s="913"/>
      <c r="BL156" s="913"/>
      <c r="BM156" s="373"/>
      <c r="BN156" s="277"/>
      <c r="BO156" s="49"/>
      <c r="BW156" s="928"/>
      <c r="CC156" s="928"/>
      <c r="CD156" s="928"/>
      <c r="CE156" s="928"/>
    </row>
    <row r="157" spans="4:85" s="3" customFormat="1" x14ac:dyDescent="0.25">
      <c r="D157" s="528"/>
      <c r="E157" s="524"/>
      <c r="F157" s="528"/>
      <c r="G157" s="524"/>
      <c r="H157" s="528"/>
      <c r="I157" s="524"/>
      <c r="J157" s="528"/>
      <c r="K157" s="528"/>
      <c r="L157" s="528"/>
      <c r="M157" s="528"/>
      <c r="N157" s="528"/>
      <c r="O157" s="528"/>
      <c r="P157" s="528"/>
      <c r="Q157" s="528" t="s">
        <v>16</v>
      </c>
      <c r="R157" s="525">
        <v>0.73860000000000003</v>
      </c>
      <c r="S157" s="528"/>
      <c r="T157" s="533">
        <v>7.9967842440379321E-4</v>
      </c>
      <c r="U157" s="524"/>
      <c r="V157" s="176">
        <f>T157</f>
        <v>7.9967842440379321E-4</v>
      </c>
      <c r="W157" s="176">
        <f>V157</f>
        <v>7.9967842440379321E-4</v>
      </c>
      <c r="X157" s="176">
        <f>W157</f>
        <v>7.9967842440379321E-4</v>
      </c>
      <c r="Y157" s="958">
        <f>X157/Calculation_sheet!M$67</f>
        <v>7.9969477497164761E-4</v>
      </c>
      <c r="Z157" s="176">
        <f ca="1">IF(AN157&gt;0,Y157*Calculation_sheet!C$87,0)</f>
        <v>0</v>
      </c>
      <c r="AA157" s="176">
        <f ca="1">Y157-Z157</f>
        <v>7.9969477497164761E-4</v>
      </c>
      <c r="AB157" s="176">
        <f ca="1">IF(AP157&gt;0,AA157*Calculation_sheet!C$94,0)</f>
        <v>0</v>
      </c>
      <c r="AC157" s="176">
        <f t="shared" ref="AC157:AE167" ca="1" si="186">AA157-AB157</f>
        <v>7.9969477497164761E-4</v>
      </c>
      <c r="AD157" s="958">
        <f ca="1">AC157*Calculation_sheet!C$99</f>
        <v>4.7981686498298854E-4</v>
      </c>
      <c r="AE157" s="176">
        <f t="shared" ca="1" si="186"/>
        <v>3.1987790998865907E-4</v>
      </c>
      <c r="AF157" s="176">
        <f ca="1">Y157-AB157</f>
        <v>7.9969477497164761E-4</v>
      </c>
      <c r="AG157" s="958">
        <f ca="1">AF157*User_sheet!B$77/100</f>
        <v>0</v>
      </c>
      <c r="AH157" s="313"/>
      <c r="AI157" s="910">
        <v>202</v>
      </c>
      <c r="AJ157" s="313"/>
      <c r="AK157" s="1020">
        <f t="shared" ca="1" si="166"/>
        <v>231.78165521574249</v>
      </c>
      <c r="AL157" s="954">
        <f ca="1">AK157/'202'!I$24</f>
        <v>0.74669519414884333</v>
      </c>
      <c r="AM157" s="954">
        <f ca="1">0.8*(AK157*30+'202'!D$17*0.34*30*1)</f>
        <v>9174.7021251778206</v>
      </c>
      <c r="AN157" s="954">
        <f ca="1">IF(AM157&lt;User_sheet!B$50,Y157,0)</f>
        <v>7.9969477497164761E-4</v>
      </c>
      <c r="AO157" s="954">
        <f ca="1">20-(User_sheet!B$57/(AK157+'202'!D$17*1*0.34))</f>
        <v>5.0894341708833846</v>
      </c>
      <c r="AP157" s="954">
        <f ca="1">IF(AO157&lt;User_sheet!B$59,0,BC157*AA157)</f>
        <v>0</v>
      </c>
      <c r="AQ157" s="313"/>
      <c r="AR157" s="908">
        <v>0.47</v>
      </c>
      <c r="AS157" s="908">
        <v>0.6</v>
      </c>
      <c r="AT157" s="908">
        <v>3.78</v>
      </c>
      <c r="AU157" s="908">
        <v>2.75</v>
      </c>
      <c r="AV157" s="908">
        <v>3.3</v>
      </c>
      <c r="AW157" s="908">
        <v>11617.129718053829</v>
      </c>
      <c r="AX157" s="908">
        <v>69341.450841082013</v>
      </c>
      <c r="AY157" s="908">
        <v>67352.647733737584</v>
      </c>
      <c r="AZ157" s="908">
        <v>0</v>
      </c>
      <c r="BA157" s="908">
        <v>0</v>
      </c>
      <c r="BB157" s="908">
        <v>0.6</v>
      </c>
      <c r="BC157" s="902">
        <v>1</v>
      </c>
      <c r="BD157" s="922">
        <v>0</v>
      </c>
      <c r="BE157" s="922">
        <v>0</v>
      </c>
      <c r="BF157" s="903">
        <v>0</v>
      </c>
      <c r="BG157" s="908">
        <v>1</v>
      </c>
      <c r="BH157" s="908">
        <v>0</v>
      </c>
      <c r="BI157" s="903">
        <v>0</v>
      </c>
      <c r="BJ157" s="908">
        <v>1</v>
      </c>
      <c r="BK157" s="908">
        <v>0</v>
      </c>
      <c r="BL157" s="908">
        <v>0</v>
      </c>
      <c r="BM157" s="903">
        <v>0</v>
      </c>
      <c r="BN157" s="199">
        <v>0.08</v>
      </c>
      <c r="BO157" s="959">
        <v>6</v>
      </c>
      <c r="BP157" s="3">
        <f t="shared" ref="BP157:BP167" ca="1" si="187">INDIRECT("'"&amp;AI157&amp;"'!"&amp;"B2")</f>
        <v>173.25</v>
      </c>
      <c r="BQ157" s="3">
        <f t="shared" ref="BQ157:BQ167" ca="1" si="188">INDIRECT("'"&amp;AI157&amp;"'!"&amp;"C12")+INDIRECT("'"&amp;AI157&amp;"'!"&amp;"C13")+INDIRECT("'"&amp;AI157&amp;"'!"&amp;"C14")+INDIRECT("'"&amp;AI157&amp;"'!"&amp;"C15")+INDIRECT("'"&amp;AI157&amp;"'!"&amp;"C17")</f>
        <v>294.14</v>
      </c>
      <c r="BR157" s="3">
        <f t="shared" ref="BR157:BR167" ca="1" si="189">INDIRECT("'"&amp;AI157&amp;"'!"&amp;"G5")</f>
        <v>99.660000000000011</v>
      </c>
      <c r="BS157" s="3">
        <f t="shared" ref="BS157:BS167" ca="1" si="190">INDIRECT("'"&amp;AI157&amp;"'!"&amp;"G4")</f>
        <v>135.5</v>
      </c>
      <c r="BT157" s="3">
        <f t="shared" ref="BT157:BT167" ca="1" si="191">INDIRECT("'"&amp;AI157&amp;"'!"&amp;"G6")</f>
        <v>63.2</v>
      </c>
      <c r="BU157" s="3">
        <f t="shared" ref="BU157:BU167" ca="1" si="192">INDIRECT("'"&amp;AI157&amp;"'!"&amp;"G2")</f>
        <v>12</v>
      </c>
      <c r="BV157" s="3">
        <f t="shared" ref="BV157:BV167" ca="1" si="193">INDIRECT("'"&amp;AI157&amp;"'!"&amp;"G3")</f>
        <v>4.3</v>
      </c>
      <c r="BW157" s="926">
        <v>0</v>
      </c>
      <c r="BX157" s="3">
        <f t="shared" ref="BX157:BX219" ca="1" si="194">IF(BR157=0,0,1/(1/(BR157*$BY$3)+1/(BR157*AR157)+1/(BR157*$BY$4)))</f>
        <v>43.311737147084209</v>
      </c>
      <c r="BY157" s="3">
        <f t="shared" ref="BY157:BY219" ca="1" si="195">IF(BS157=0,0,1/(1/(BS157*$BY$3)+1/(BS157*AS157)+1/(BS157*$BY$4)))</f>
        <v>73.641304347826079</v>
      </c>
      <c r="BZ157" s="3">
        <f t="shared" ca="1" si="167"/>
        <v>47.629096181730297</v>
      </c>
      <c r="CA157" s="3">
        <f t="shared" ca="1" si="168"/>
        <v>32.999999981849996</v>
      </c>
      <c r="CB157" s="3">
        <f t="shared" ref="CB157:CB219" ca="1" si="196">IF(BV157=0,0,1/(1/(BV157*$BY$3)+1/(BV157*AV157)+1/(BV157*$BY$4)))</f>
        <v>9.0267175572519083</v>
      </c>
      <c r="CC157" s="926">
        <f t="shared" si="169"/>
        <v>0</v>
      </c>
      <c r="CD157" s="1018">
        <f t="shared" ref="CD157:CD167" ca="1" si="197">SUM(BX157:CC157)+(BR157+BS157+BT157+BU157+BV157)*BN157</f>
        <v>231.78165521574249</v>
      </c>
      <c r="CE157" s="1018">
        <f ca="1">0.34*BO157*(1/25)^0.66*(BR157+BS157+BU157+BV157)</f>
        <v>61.29974570765215</v>
      </c>
      <c r="CF157" s="3">
        <f t="shared" ca="1" si="170"/>
        <v>8.7924420277018402</v>
      </c>
      <c r="CG157" s="3">
        <f t="shared" ca="1" si="171"/>
        <v>14639.064278442454</v>
      </c>
    </row>
    <row r="158" spans="4:85" s="3" customFormat="1" x14ac:dyDescent="0.25">
      <c r="D158" s="528"/>
      <c r="E158" s="524"/>
      <c r="F158" s="528"/>
      <c r="G158" s="524"/>
      <c r="H158" s="528"/>
      <c r="I158" s="524"/>
      <c r="J158" s="528"/>
      <c r="K158" s="523"/>
      <c r="L158" s="523"/>
      <c r="M158" s="523"/>
      <c r="N158" s="523"/>
      <c r="O158" s="523" t="s">
        <v>18</v>
      </c>
      <c r="P158" s="525">
        <v>0.62953995200000001</v>
      </c>
      <c r="Q158" s="523" t="s">
        <v>7</v>
      </c>
      <c r="R158" s="525">
        <v>0.26140000000000002</v>
      </c>
      <c r="S158" s="523"/>
      <c r="T158" s="533">
        <v>2.8301643668988844E-4</v>
      </c>
      <c r="U158" s="522"/>
      <c r="V158" s="176">
        <f t="shared" ref="V158:V167" si="198">T158</f>
        <v>2.8301643668988844E-4</v>
      </c>
      <c r="W158" s="176">
        <f t="shared" ref="W158:W167" si="199">V158</f>
        <v>2.8301643668988844E-4</v>
      </c>
      <c r="X158" s="176">
        <f t="shared" ref="X158:X167" si="200">W158</f>
        <v>2.8301643668988844E-4</v>
      </c>
      <c r="Y158" s="958">
        <f>X158/Calculation_sheet!M$67</f>
        <v>2.8302222336527041E-4</v>
      </c>
      <c r="Z158" s="176">
        <f ca="1">IF(AN158&gt;0,Y158*Calculation_sheet!C$87,0)</f>
        <v>0</v>
      </c>
      <c r="AA158" s="176">
        <f t="shared" ref="AA158:AA167" ca="1" si="201">Y158-Z158</f>
        <v>2.8302222336527041E-4</v>
      </c>
      <c r="AB158" s="176">
        <f ca="1">IF(AP158&gt;0,AA158*Calculation_sheet!C$94,0)</f>
        <v>0</v>
      </c>
      <c r="AC158" s="176">
        <f t="shared" ca="1" si="186"/>
        <v>2.8302222336527041E-4</v>
      </c>
      <c r="AD158" s="958">
        <f ca="1">AC158*Calculation_sheet!C$99</f>
        <v>1.6981333401916223E-4</v>
      </c>
      <c r="AE158" s="176">
        <f t="shared" ca="1" si="186"/>
        <v>1.1320888934610818E-4</v>
      </c>
      <c r="AF158" s="176">
        <f t="shared" ref="AF158:AF167" ca="1" si="202">Y158-AB158</f>
        <v>2.8302222336527041E-4</v>
      </c>
      <c r="AG158" s="958">
        <f ca="1">AF158*User_sheet!B$77/100</f>
        <v>0</v>
      </c>
      <c r="AH158" s="313"/>
      <c r="AI158" s="910">
        <v>202</v>
      </c>
      <c r="AJ158" s="313"/>
      <c r="AK158" s="1020">
        <f t="shared" ca="1" si="166"/>
        <v>231.78165521574249</v>
      </c>
      <c r="AL158" s="954">
        <f ca="1">AK158/'202'!I$24</f>
        <v>0.74669519414884333</v>
      </c>
      <c r="AM158" s="954">
        <f ca="1">0.8*(AK158*30+'202'!D$17*0.34*30*1)</f>
        <v>9174.7021251778206</v>
      </c>
      <c r="AN158" s="954">
        <f ca="1">IF(AM158&lt;User_sheet!B$50,Y158,0)</f>
        <v>2.8302222336527041E-4</v>
      </c>
      <c r="AO158" s="954">
        <f ca="1">20-(User_sheet!B$57/(AK158+'202'!D$17*1*0.34))</f>
        <v>5.0894341708833846</v>
      </c>
      <c r="AP158" s="954">
        <f ca="1">IF(AO158&lt;User_sheet!B$59,0,BC158*AA158)</f>
        <v>0</v>
      </c>
      <c r="AQ158" s="313"/>
      <c r="AR158" s="908">
        <v>0.47</v>
      </c>
      <c r="AS158" s="908">
        <v>0.6</v>
      </c>
      <c r="AT158" s="908">
        <v>3.78</v>
      </c>
      <c r="AU158" s="908">
        <v>2.75</v>
      </c>
      <c r="AV158" s="908">
        <v>3.3</v>
      </c>
      <c r="AW158" s="908">
        <v>11617.129718053829</v>
      </c>
      <c r="AX158" s="908">
        <v>69341.450841082013</v>
      </c>
      <c r="AY158" s="908">
        <v>67352.647733737584</v>
      </c>
      <c r="AZ158" s="908">
        <v>0</v>
      </c>
      <c r="BA158" s="908">
        <v>0</v>
      </c>
      <c r="BB158" s="908">
        <v>0.6</v>
      </c>
      <c r="BC158" s="902">
        <v>1</v>
      </c>
      <c r="BD158" s="922">
        <v>0</v>
      </c>
      <c r="BE158" s="922">
        <v>0</v>
      </c>
      <c r="BF158" s="903">
        <v>0</v>
      </c>
      <c r="BG158" s="908">
        <v>1</v>
      </c>
      <c r="BH158" s="908">
        <v>0</v>
      </c>
      <c r="BI158" s="903">
        <v>0</v>
      </c>
      <c r="BJ158" s="908">
        <v>0</v>
      </c>
      <c r="BK158" s="908">
        <v>0</v>
      </c>
      <c r="BL158" s="908">
        <v>1</v>
      </c>
      <c r="BM158" s="903">
        <v>0</v>
      </c>
      <c r="BN158" s="199">
        <v>0.08</v>
      </c>
      <c r="BO158" s="959">
        <v>6</v>
      </c>
      <c r="BP158" s="3">
        <f t="shared" ca="1" si="187"/>
        <v>173.25</v>
      </c>
      <c r="BQ158" s="3">
        <f t="shared" ca="1" si="188"/>
        <v>294.14</v>
      </c>
      <c r="BR158" s="3">
        <f t="shared" ca="1" si="189"/>
        <v>99.660000000000011</v>
      </c>
      <c r="BS158" s="3">
        <f t="shared" ca="1" si="190"/>
        <v>135.5</v>
      </c>
      <c r="BT158" s="3">
        <f t="shared" ca="1" si="191"/>
        <v>63.2</v>
      </c>
      <c r="BU158" s="3">
        <f t="shared" ca="1" si="192"/>
        <v>12</v>
      </c>
      <c r="BV158" s="3">
        <f t="shared" ca="1" si="193"/>
        <v>4.3</v>
      </c>
      <c r="BW158" s="926">
        <v>0</v>
      </c>
      <c r="BX158" s="3">
        <f t="shared" ca="1" si="194"/>
        <v>43.311737147084209</v>
      </c>
      <c r="BY158" s="3">
        <f t="shared" ca="1" si="195"/>
        <v>73.641304347826079</v>
      </c>
      <c r="BZ158" s="3">
        <f t="shared" ca="1" si="167"/>
        <v>47.629096181730297</v>
      </c>
      <c r="CA158" s="3">
        <f t="shared" ca="1" si="168"/>
        <v>32.999999981849996</v>
      </c>
      <c r="CB158" s="3">
        <f t="shared" ca="1" si="196"/>
        <v>9.0267175572519083</v>
      </c>
      <c r="CC158" s="926">
        <f t="shared" si="169"/>
        <v>0</v>
      </c>
      <c r="CD158" s="1018">
        <f t="shared" ca="1" si="197"/>
        <v>231.78165521574249</v>
      </c>
      <c r="CE158" s="1018">
        <f t="shared" ref="CE158:CE167" ca="1" si="203">0.34*BO158*(1/25)^0.66*(BR158+BS158+BU158+BV158)</f>
        <v>61.29974570765215</v>
      </c>
      <c r="CF158" s="3">
        <f t="shared" ca="1" si="170"/>
        <v>8.7924420277018402</v>
      </c>
      <c r="CG158" s="3">
        <f t="shared" ca="1" si="171"/>
        <v>14639.064278442454</v>
      </c>
    </row>
    <row r="159" spans="4:85" s="3" customFormat="1" x14ac:dyDescent="0.25">
      <c r="D159" s="528"/>
      <c r="E159" s="524"/>
      <c r="F159" s="528"/>
      <c r="G159" s="524"/>
      <c r="H159" s="528"/>
      <c r="I159" s="524"/>
      <c r="J159" s="528"/>
      <c r="K159" s="523"/>
      <c r="L159" s="523"/>
      <c r="M159" s="523"/>
      <c r="N159" s="523"/>
      <c r="O159" s="523"/>
      <c r="P159" s="523"/>
      <c r="Q159" s="523" t="s">
        <v>16</v>
      </c>
      <c r="R159" s="525">
        <v>0.73860000000000003</v>
      </c>
      <c r="S159" s="523"/>
      <c r="T159" s="533">
        <v>4.7057999503928799E-4</v>
      </c>
      <c r="U159" s="522"/>
      <c r="V159" s="176">
        <f t="shared" si="198"/>
        <v>4.7057999503928799E-4</v>
      </c>
      <c r="W159" s="176">
        <f t="shared" si="199"/>
        <v>4.7057999503928799E-4</v>
      </c>
      <c r="X159" s="176">
        <f t="shared" si="200"/>
        <v>4.7057999503928799E-4</v>
      </c>
      <c r="Y159" s="958">
        <f>X159/Calculation_sheet!M$67</f>
        <v>4.7058961671958473E-4</v>
      </c>
      <c r="Z159" s="176">
        <f ca="1">IF(AN159&gt;0,Y159*Calculation_sheet!C$87,0)</f>
        <v>0</v>
      </c>
      <c r="AA159" s="176">
        <f t="shared" ca="1" si="201"/>
        <v>4.7058961671958473E-4</v>
      </c>
      <c r="AB159" s="176">
        <f ca="1">IF(AP159&gt;0,AA159*Calculation_sheet!C$94,0)</f>
        <v>0</v>
      </c>
      <c r="AC159" s="176">
        <f t="shared" ca="1" si="186"/>
        <v>4.7058961671958473E-4</v>
      </c>
      <c r="AD159" s="958">
        <f ca="1">AC159*Calculation_sheet!C$99</f>
        <v>2.8235377003175082E-4</v>
      </c>
      <c r="AE159" s="176">
        <f t="shared" ca="1" si="186"/>
        <v>1.8823584668783391E-4</v>
      </c>
      <c r="AF159" s="176">
        <f t="shared" ca="1" si="202"/>
        <v>4.7058961671958473E-4</v>
      </c>
      <c r="AG159" s="958">
        <f ca="1">AF159*User_sheet!B$77/100</f>
        <v>0</v>
      </c>
      <c r="AH159" s="313"/>
      <c r="AI159" s="910">
        <v>202</v>
      </c>
      <c r="AJ159" s="313"/>
      <c r="AK159" s="1020">
        <f t="shared" ca="1" si="166"/>
        <v>231.78165521574249</v>
      </c>
      <c r="AL159" s="954">
        <f ca="1">AK159/'202'!I$24</f>
        <v>0.74669519414884333</v>
      </c>
      <c r="AM159" s="954">
        <f ca="1">0.8*(AK159*30+'202'!D$17*0.34*30*1)</f>
        <v>9174.7021251778206</v>
      </c>
      <c r="AN159" s="954">
        <f ca="1">IF(AM159&lt;User_sheet!B$50,Y159,0)</f>
        <v>4.7058961671958473E-4</v>
      </c>
      <c r="AO159" s="954">
        <f ca="1">20-(User_sheet!B$57/(AK159+'202'!D$17*1*0.34))</f>
        <v>5.0894341708833846</v>
      </c>
      <c r="AP159" s="954">
        <f ca="1">IF(AO159&lt;User_sheet!B$59,0,BC159*AA159)</f>
        <v>0</v>
      </c>
      <c r="AQ159" s="313"/>
      <c r="AR159" s="908">
        <v>0.47</v>
      </c>
      <c r="AS159" s="908">
        <v>0.6</v>
      </c>
      <c r="AT159" s="908">
        <v>3.78</v>
      </c>
      <c r="AU159" s="908">
        <v>2.75</v>
      </c>
      <c r="AV159" s="908">
        <v>3.3</v>
      </c>
      <c r="AW159" s="908">
        <v>11617.129718053829</v>
      </c>
      <c r="AX159" s="908">
        <v>69341.450841082013</v>
      </c>
      <c r="AY159" s="908">
        <v>67352.647733737584</v>
      </c>
      <c r="AZ159" s="908">
        <v>0</v>
      </c>
      <c r="BA159" s="908">
        <v>0</v>
      </c>
      <c r="BB159" s="908">
        <v>0.6</v>
      </c>
      <c r="BC159" s="902">
        <v>1</v>
      </c>
      <c r="BD159" s="922">
        <v>0</v>
      </c>
      <c r="BE159" s="922">
        <v>0</v>
      </c>
      <c r="BF159" s="903">
        <v>0</v>
      </c>
      <c r="BG159" s="908">
        <v>0</v>
      </c>
      <c r="BH159" s="908">
        <v>1</v>
      </c>
      <c r="BI159" s="903">
        <v>0</v>
      </c>
      <c r="BJ159" s="908">
        <v>1</v>
      </c>
      <c r="BK159" s="908">
        <v>0</v>
      </c>
      <c r="BL159" s="908">
        <v>0</v>
      </c>
      <c r="BM159" s="903">
        <v>0</v>
      </c>
      <c r="BN159" s="199">
        <v>0.08</v>
      </c>
      <c r="BO159" s="959">
        <v>6</v>
      </c>
      <c r="BP159" s="3">
        <f t="shared" ca="1" si="187"/>
        <v>173.25</v>
      </c>
      <c r="BQ159" s="3">
        <f t="shared" ca="1" si="188"/>
        <v>294.14</v>
      </c>
      <c r="BR159" s="3">
        <f t="shared" ca="1" si="189"/>
        <v>99.660000000000011</v>
      </c>
      <c r="BS159" s="3">
        <f t="shared" ca="1" si="190"/>
        <v>135.5</v>
      </c>
      <c r="BT159" s="3">
        <f t="shared" ca="1" si="191"/>
        <v>63.2</v>
      </c>
      <c r="BU159" s="3">
        <f t="shared" ca="1" si="192"/>
        <v>12</v>
      </c>
      <c r="BV159" s="3">
        <f t="shared" ca="1" si="193"/>
        <v>4.3</v>
      </c>
      <c r="BW159" s="926">
        <v>0</v>
      </c>
      <c r="BX159" s="3">
        <f t="shared" ca="1" si="194"/>
        <v>43.311737147084209</v>
      </c>
      <c r="BY159" s="3">
        <f t="shared" ca="1" si="195"/>
        <v>73.641304347826079</v>
      </c>
      <c r="BZ159" s="3">
        <f t="shared" ca="1" si="167"/>
        <v>47.629096181730297</v>
      </c>
      <c r="CA159" s="3">
        <f t="shared" ca="1" si="168"/>
        <v>32.999999981849996</v>
      </c>
      <c r="CB159" s="3">
        <f t="shared" ca="1" si="196"/>
        <v>9.0267175572519083</v>
      </c>
      <c r="CC159" s="926">
        <f t="shared" si="169"/>
        <v>0</v>
      </c>
      <c r="CD159" s="1018">
        <f t="shared" ca="1" si="197"/>
        <v>231.78165521574249</v>
      </c>
      <c r="CE159" s="1018">
        <f t="shared" ca="1" si="203"/>
        <v>61.29974570765215</v>
      </c>
      <c r="CF159" s="3">
        <f t="shared" ca="1" si="170"/>
        <v>8.7924420277018402</v>
      </c>
      <c r="CG159" s="3">
        <f t="shared" ca="1" si="171"/>
        <v>14639.064278442454</v>
      </c>
    </row>
    <row r="160" spans="4:85" s="3" customFormat="1" x14ac:dyDescent="0.25">
      <c r="D160" s="528"/>
      <c r="E160" s="524"/>
      <c r="F160" s="528"/>
      <c r="G160" s="524"/>
      <c r="H160" s="528"/>
      <c r="I160" s="524"/>
      <c r="J160" s="528"/>
      <c r="K160" s="523"/>
      <c r="L160" s="523"/>
      <c r="M160" s="523" t="s">
        <v>16</v>
      </c>
      <c r="N160" s="525">
        <v>0.44680851100000002</v>
      </c>
      <c r="O160" s="523" t="s">
        <v>19</v>
      </c>
      <c r="P160" s="525">
        <v>0.37046004799999999</v>
      </c>
      <c r="Q160" s="523" t="s">
        <v>7</v>
      </c>
      <c r="R160" s="525">
        <v>0.26140000000000002</v>
      </c>
      <c r="S160" s="523"/>
      <c r="T160" s="533">
        <v>1.665442874401163E-4</v>
      </c>
      <c r="U160" s="522"/>
      <c r="V160" s="176">
        <f t="shared" si="198"/>
        <v>1.665442874401163E-4</v>
      </c>
      <c r="W160" s="176">
        <f t="shared" si="199"/>
        <v>1.665442874401163E-4</v>
      </c>
      <c r="X160" s="176">
        <f t="shared" si="200"/>
        <v>1.665442874401163E-4</v>
      </c>
      <c r="Y160" s="958">
        <f>X160/Calculation_sheet!M$67</f>
        <v>1.6654769267600793E-4</v>
      </c>
      <c r="Z160" s="176">
        <f ca="1">IF(AN160&gt;0,Y160*Calculation_sheet!C$87,0)</f>
        <v>0</v>
      </c>
      <c r="AA160" s="176">
        <f t="shared" ca="1" si="201"/>
        <v>1.6654769267600793E-4</v>
      </c>
      <c r="AB160" s="176">
        <f ca="1">IF(AP160&gt;0,AA160*Calculation_sheet!C$94,0)</f>
        <v>0</v>
      </c>
      <c r="AC160" s="176">
        <f t="shared" ca="1" si="186"/>
        <v>1.6654769267600793E-4</v>
      </c>
      <c r="AD160" s="958">
        <f ca="1">AC160*Calculation_sheet!C$99</f>
        <v>9.9928615605604751E-5</v>
      </c>
      <c r="AE160" s="176">
        <f t="shared" ca="1" si="186"/>
        <v>6.6619077070403181E-5</v>
      </c>
      <c r="AF160" s="176">
        <f t="shared" ca="1" si="202"/>
        <v>1.6654769267600793E-4</v>
      </c>
      <c r="AG160" s="958">
        <f ca="1">AF160*User_sheet!B$77/100</f>
        <v>0</v>
      </c>
      <c r="AH160" s="313"/>
      <c r="AI160" s="910">
        <v>202</v>
      </c>
      <c r="AJ160" s="313"/>
      <c r="AK160" s="1020">
        <f t="shared" ca="1" si="166"/>
        <v>231.78165521574249</v>
      </c>
      <c r="AL160" s="954">
        <f ca="1">AK160/'202'!I$24</f>
        <v>0.74669519414884333</v>
      </c>
      <c r="AM160" s="954">
        <f ca="1">0.8*(AK160*30+'202'!D$17*0.34*30*1)</f>
        <v>9174.7021251778206</v>
      </c>
      <c r="AN160" s="954">
        <f ca="1">IF(AM160&lt;User_sheet!B$50,Y160,0)</f>
        <v>1.6654769267600793E-4</v>
      </c>
      <c r="AO160" s="954">
        <f ca="1">20-(User_sheet!B$57/(AK160+'202'!D$17*1*0.34))</f>
        <v>5.0894341708833846</v>
      </c>
      <c r="AP160" s="954">
        <f ca="1">IF(AO160&lt;User_sheet!B$59,0,BC160*AA160)</f>
        <v>0</v>
      </c>
      <c r="AQ160" s="313"/>
      <c r="AR160" s="908">
        <v>0.47</v>
      </c>
      <c r="AS160" s="908">
        <v>0.6</v>
      </c>
      <c r="AT160" s="908">
        <v>3.78</v>
      </c>
      <c r="AU160" s="908">
        <v>2.75</v>
      </c>
      <c r="AV160" s="908">
        <v>3.3</v>
      </c>
      <c r="AW160" s="908">
        <v>11617.129718053829</v>
      </c>
      <c r="AX160" s="908">
        <v>69341.450841082013</v>
      </c>
      <c r="AY160" s="908">
        <v>67352.647733737584</v>
      </c>
      <c r="AZ160" s="908">
        <v>0</v>
      </c>
      <c r="BA160" s="908">
        <v>0</v>
      </c>
      <c r="BB160" s="908">
        <v>0.6</v>
      </c>
      <c r="BC160" s="902">
        <v>1</v>
      </c>
      <c r="BD160" s="922">
        <v>0</v>
      </c>
      <c r="BE160" s="922">
        <v>0</v>
      </c>
      <c r="BF160" s="903">
        <v>0</v>
      </c>
      <c r="BG160" s="908">
        <v>0</v>
      </c>
      <c r="BH160" s="908">
        <v>1</v>
      </c>
      <c r="BI160" s="903">
        <v>0</v>
      </c>
      <c r="BJ160" s="908">
        <v>0</v>
      </c>
      <c r="BK160" s="908">
        <v>0</v>
      </c>
      <c r="BL160" s="908">
        <v>1</v>
      </c>
      <c r="BM160" s="903">
        <v>0</v>
      </c>
      <c r="BN160" s="199">
        <v>0.08</v>
      </c>
      <c r="BO160" s="959">
        <v>6</v>
      </c>
      <c r="BP160" s="3">
        <f t="shared" ca="1" si="187"/>
        <v>173.25</v>
      </c>
      <c r="BQ160" s="3">
        <f t="shared" ca="1" si="188"/>
        <v>294.14</v>
      </c>
      <c r="BR160" s="3">
        <f t="shared" ca="1" si="189"/>
        <v>99.660000000000011</v>
      </c>
      <c r="BS160" s="3">
        <f t="shared" ca="1" si="190"/>
        <v>135.5</v>
      </c>
      <c r="BT160" s="3">
        <f t="shared" ca="1" si="191"/>
        <v>63.2</v>
      </c>
      <c r="BU160" s="3">
        <f t="shared" ca="1" si="192"/>
        <v>12</v>
      </c>
      <c r="BV160" s="3">
        <f t="shared" ca="1" si="193"/>
        <v>4.3</v>
      </c>
      <c r="BW160" s="926">
        <v>0</v>
      </c>
      <c r="BX160" s="3">
        <f t="shared" ca="1" si="194"/>
        <v>43.311737147084209</v>
      </c>
      <c r="BY160" s="3">
        <f t="shared" ca="1" si="195"/>
        <v>73.641304347826079</v>
      </c>
      <c r="BZ160" s="3">
        <f t="shared" ca="1" si="167"/>
        <v>47.629096181730297</v>
      </c>
      <c r="CA160" s="3">
        <f t="shared" ca="1" si="168"/>
        <v>32.999999981849996</v>
      </c>
      <c r="CB160" s="3">
        <f t="shared" ca="1" si="196"/>
        <v>9.0267175572519083</v>
      </c>
      <c r="CC160" s="926">
        <f t="shared" si="169"/>
        <v>0</v>
      </c>
      <c r="CD160" s="1018">
        <f t="shared" ca="1" si="197"/>
        <v>231.78165521574249</v>
      </c>
      <c r="CE160" s="1018">
        <f t="shared" ca="1" si="203"/>
        <v>61.29974570765215</v>
      </c>
      <c r="CF160" s="3">
        <f t="shared" ca="1" si="170"/>
        <v>8.7924420277018402</v>
      </c>
      <c r="CG160" s="3">
        <f t="shared" ca="1" si="171"/>
        <v>14639.064278442454</v>
      </c>
    </row>
    <row r="161" spans="4:85" s="3" customFormat="1" x14ac:dyDescent="0.25">
      <c r="D161" s="528"/>
      <c r="E161" s="524"/>
      <c r="F161" s="528"/>
      <c r="G161" s="524"/>
      <c r="H161" s="528"/>
      <c r="I161" s="524"/>
      <c r="J161" s="528"/>
      <c r="K161" s="523"/>
      <c r="L161" s="523"/>
      <c r="M161" s="523"/>
      <c r="N161" s="523"/>
      <c r="O161" s="523"/>
      <c r="P161" s="523"/>
      <c r="Q161" s="523" t="s">
        <v>22</v>
      </c>
      <c r="R161" s="525">
        <v>0.53710000000000002</v>
      </c>
      <c r="S161" s="523"/>
      <c r="T161" s="533">
        <v>7.4661163687429343E-4</v>
      </c>
      <c r="U161" s="522"/>
      <c r="V161" s="176">
        <f t="shared" si="198"/>
        <v>7.4661163687429343E-4</v>
      </c>
      <c r="W161" s="176">
        <f t="shared" si="199"/>
        <v>7.4661163687429343E-4</v>
      </c>
      <c r="X161" s="176">
        <f t="shared" si="200"/>
        <v>7.4661163687429343E-4</v>
      </c>
      <c r="Y161" s="958">
        <f>X161/Calculation_sheet!M$67</f>
        <v>7.4662690241586243E-4</v>
      </c>
      <c r="Z161" s="176">
        <f ca="1">IF(AN161&gt;0,Y161*Calculation_sheet!C$87,0)</f>
        <v>0</v>
      </c>
      <c r="AA161" s="176">
        <f t="shared" ca="1" si="201"/>
        <v>7.4662690241586243E-4</v>
      </c>
      <c r="AB161" s="176">
        <f ca="1">IF(AP161&gt;0,AA161*Calculation_sheet!C$94,0)</f>
        <v>0</v>
      </c>
      <c r="AC161" s="176">
        <f t="shared" ca="1" si="186"/>
        <v>7.4662690241586243E-4</v>
      </c>
      <c r="AD161" s="958">
        <f ca="1">AC161*Calculation_sheet!C$99</f>
        <v>4.4797614144951746E-4</v>
      </c>
      <c r="AE161" s="176">
        <f t="shared" ca="1" si="186"/>
        <v>2.9865076096634497E-4</v>
      </c>
      <c r="AF161" s="176">
        <f t="shared" ca="1" si="202"/>
        <v>7.4662690241586243E-4</v>
      </c>
      <c r="AG161" s="958">
        <f ca="1">AF161*User_sheet!B$77/100</f>
        <v>0</v>
      </c>
      <c r="AH161" s="313"/>
      <c r="AI161" s="910">
        <v>202</v>
      </c>
      <c r="AJ161" s="313"/>
      <c r="AK161" s="1020">
        <f t="shared" ca="1" si="166"/>
        <v>231.78165521574249</v>
      </c>
      <c r="AL161" s="954">
        <f ca="1">AK161/'202'!I$24</f>
        <v>0.74669519414884333</v>
      </c>
      <c r="AM161" s="954">
        <f ca="1">0.8*(AK161*30+'202'!D$17*0.34*30*1)</f>
        <v>9174.7021251778206</v>
      </c>
      <c r="AN161" s="954">
        <f ca="1">IF(AM161&lt;User_sheet!B$50,Y161,0)</f>
        <v>7.4662690241586243E-4</v>
      </c>
      <c r="AO161" s="954">
        <f ca="1">20-(User_sheet!B$57/(AK161+'202'!D$17*1*0.34))</f>
        <v>5.0894341708833846</v>
      </c>
      <c r="AP161" s="954">
        <f ca="1">IF(AO161&lt;User_sheet!B$59,0,BC161*AA161)</f>
        <v>0</v>
      </c>
      <c r="AQ161" s="313"/>
      <c r="AR161" s="908">
        <v>0.47</v>
      </c>
      <c r="AS161" s="908">
        <v>0.6</v>
      </c>
      <c r="AT161" s="908">
        <v>3.78</v>
      </c>
      <c r="AU161" s="908">
        <v>2.75</v>
      </c>
      <c r="AV161" s="908">
        <v>3.3</v>
      </c>
      <c r="AW161" s="908">
        <v>11617.129718053829</v>
      </c>
      <c r="AX161" s="908">
        <v>69341.450841082013</v>
      </c>
      <c r="AY161" s="908">
        <v>67352.647733737584</v>
      </c>
      <c r="AZ161" s="908">
        <v>0</v>
      </c>
      <c r="BA161" s="908">
        <v>0</v>
      </c>
      <c r="BB161" s="908">
        <v>0.6</v>
      </c>
      <c r="BC161" s="902">
        <v>0</v>
      </c>
      <c r="BD161" s="922">
        <v>1</v>
      </c>
      <c r="BE161" s="922">
        <v>0</v>
      </c>
      <c r="BF161" s="903">
        <v>0</v>
      </c>
      <c r="BG161" s="908">
        <v>1</v>
      </c>
      <c r="BH161" s="908">
        <v>0</v>
      </c>
      <c r="BI161" s="903">
        <v>0</v>
      </c>
      <c r="BJ161" s="908">
        <v>0</v>
      </c>
      <c r="BK161" s="908">
        <v>1</v>
      </c>
      <c r="BL161" s="908">
        <v>0</v>
      </c>
      <c r="BM161" s="903">
        <v>0</v>
      </c>
      <c r="BN161" s="199">
        <v>0.08</v>
      </c>
      <c r="BO161" s="959">
        <v>6</v>
      </c>
      <c r="BP161" s="3">
        <f t="shared" ca="1" si="187"/>
        <v>173.25</v>
      </c>
      <c r="BQ161" s="3">
        <f t="shared" ca="1" si="188"/>
        <v>294.14</v>
      </c>
      <c r="BR161" s="3">
        <f t="shared" ca="1" si="189"/>
        <v>99.660000000000011</v>
      </c>
      <c r="BS161" s="3">
        <f t="shared" ca="1" si="190"/>
        <v>135.5</v>
      </c>
      <c r="BT161" s="3">
        <f t="shared" ca="1" si="191"/>
        <v>63.2</v>
      </c>
      <c r="BU161" s="3">
        <f t="shared" ca="1" si="192"/>
        <v>12</v>
      </c>
      <c r="BV161" s="3">
        <f t="shared" ca="1" si="193"/>
        <v>4.3</v>
      </c>
      <c r="BW161" s="926">
        <v>0</v>
      </c>
      <c r="BX161" s="3">
        <f t="shared" ca="1" si="194"/>
        <v>43.311737147084209</v>
      </c>
      <c r="BY161" s="3">
        <f t="shared" ca="1" si="195"/>
        <v>73.641304347826079</v>
      </c>
      <c r="BZ161" s="3">
        <f t="shared" ca="1" si="167"/>
        <v>47.629096181730297</v>
      </c>
      <c r="CA161" s="3">
        <f t="shared" ca="1" si="168"/>
        <v>32.999999981849996</v>
      </c>
      <c r="CB161" s="3">
        <f t="shared" ca="1" si="196"/>
        <v>9.0267175572519083</v>
      </c>
      <c r="CC161" s="926">
        <f t="shared" si="169"/>
        <v>0</v>
      </c>
      <c r="CD161" s="1018">
        <f t="shared" ca="1" si="197"/>
        <v>231.78165521574249</v>
      </c>
      <c r="CE161" s="1018">
        <f t="shared" ca="1" si="203"/>
        <v>61.29974570765215</v>
      </c>
      <c r="CF161" s="3">
        <f t="shared" ca="1" si="170"/>
        <v>8.7924420277018402</v>
      </c>
      <c r="CG161" s="3">
        <f t="shared" ca="1" si="171"/>
        <v>14639.064278442454</v>
      </c>
    </row>
    <row r="162" spans="4:85" s="3" customFormat="1" x14ac:dyDescent="0.25">
      <c r="D162" s="528"/>
      <c r="E162" s="524"/>
      <c r="F162" s="528"/>
      <c r="G162" s="524"/>
      <c r="H162" s="528"/>
      <c r="I162" s="524"/>
      <c r="J162" s="528"/>
      <c r="K162" s="523"/>
      <c r="L162" s="523"/>
      <c r="M162" s="523"/>
      <c r="N162" s="523"/>
      <c r="O162" s="523" t="s">
        <v>18</v>
      </c>
      <c r="P162" s="525">
        <v>0.80827067699999999</v>
      </c>
      <c r="Q162" s="523" t="s">
        <v>7</v>
      </c>
      <c r="R162" s="525">
        <v>0.46289999999999998</v>
      </c>
      <c r="S162" s="523"/>
      <c r="T162" s="533">
        <v>6.4346774661908491E-4</v>
      </c>
      <c r="U162" s="522"/>
      <c r="V162" s="176">
        <f t="shared" si="198"/>
        <v>6.4346774661908491E-4</v>
      </c>
      <c r="W162" s="176">
        <f t="shared" si="199"/>
        <v>6.4346774661908491E-4</v>
      </c>
      <c r="X162" s="176">
        <f t="shared" si="200"/>
        <v>6.4346774661908491E-4</v>
      </c>
      <c r="Y162" s="958">
        <f>X162/Calculation_sheet!M$67</f>
        <v>6.4348090323646022E-4</v>
      </c>
      <c r="Z162" s="176">
        <f ca="1">IF(AN162&gt;0,Y162*Calculation_sheet!C$87,0)</f>
        <v>0</v>
      </c>
      <c r="AA162" s="176">
        <f t="shared" ca="1" si="201"/>
        <v>6.4348090323646022E-4</v>
      </c>
      <c r="AB162" s="176">
        <f ca="1">IF(AP162&gt;0,AA162*Calculation_sheet!C$94,0)</f>
        <v>0</v>
      </c>
      <c r="AC162" s="176">
        <f t="shared" ca="1" si="186"/>
        <v>6.4348090323646022E-4</v>
      </c>
      <c r="AD162" s="958">
        <f ca="1">AC162*Calculation_sheet!C$99</f>
        <v>3.8608854194187612E-4</v>
      </c>
      <c r="AE162" s="176">
        <f t="shared" ca="1" si="186"/>
        <v>2.573923612945841E-4</v>
      </c>
      <c r="AF162" s="176">
        <f t="shared" ca="1" si="202"/>
        <v>6.4348090323646022E-4</v>
      </c>
      <c r="AG162" s="958">
        <f ca="1">AF162*User_sheet!B$77/100</f>
        <v>0</v>
      </c>
      <c r="AH162" s="313"/>
      <c r="AI162" s="910">
        <v>202</v>
      </c>
      <c r="AJ162" s="313"/>
      <c r="AK162" s="1020">
        <f t="shared" ca="1" si="166"/>
        <v>231.78165521574249</v>
      </c>
      <c r="AL162" s="954">
        <f ca="1">AK162/'202'!I$24</f>
        <v>0.74669519414884333</v>
      </c>
      <c r="AM162" s="954">
        <f ca="1">0.8*(AK162*30+'202'!D$17*0.34*30*1)</f>
        <v>9174.7021251778206</v>
      </c>
      <c r="AN162" s="954">
        <f ca="1">IF(AM162&lt;User_sheet!B$50,Y162,0)</f>
        <v>6.4348090323646022E-4</v>
      </c>
      <c r="AO162" s="954">
        <f ca="1">20-(User_sheet!B$57/(AK162+'202'!D$17*1*0.34))</f>
        <v>5.0894341708833846</v>
      </c>
      <c r="AP162" s="954">
        <f ca="1">IF(AO162&lt;User_sheet!B$59,0,BC162*AA162)</f>
        <v>0</v>
      </c>
      <c r="AQ162" s="313"/>
      <c r="AR162" s="908">
        <v>0.47</v>
      </c>
      <c r="AS162" s="908">
        <v>0.6</v>
      </c>
      <c r="AT162" s="908">
        <v>3.78</v>
      </c>
      <c r="AU162" s="908">
        <v>2.75</v>
      </c>
      <c r="AV162" s="908">
        <v>3.3</v>
      </c>
      <c r="AW162" s="908">
        <v>11617.129718053829</v>
      </c>
      <c r="AX162" s="908">
        <v>69341.450841082013</v>
      </c>
      <c r="AY162" s="908">
        <v>67352.647733737584</v>
      </c>
      <c r="AZ162" s="908">
        <v>0</v>
      </c>
      <c r="BA162" s="908">
        <v>0</v>
      </c>
      <c r="BB162" s="908">
        <v>0.6</v>
      </c>
      <c r="BC162" s="902">
        <v>0</v>
      </c>
      <c r="BD162" s="922">
        <v>1</v>
      </c>
      <c r="BE162" s="922">
        <v>0</v>
      </c>
      <c r="BF162" s="903">
        <v>0</v>
      </c>
      <c r="BG162" s="908">
        <v>1</v>
      </c>
      <c r="BH162" s="908">
        <v>0</v>
      </c>
      <c r="BI162" s="903">
        <v>0</v>
      </c>
      <c r="BJ162" s="908">
        <v>0</v>
      </c>
      <c r="BK162" s="908">
        <v>0</v>
      </c>
      <c r="BL162" s="908">
        <v>1</v>
      </c>
      <c r="BM162" s="903">
        <v>0</v>
      </c>
      <c r="BN162" s="199">
        <v>0.08</v>
      </c>
      <c r="BO162" s="959">
        <v>6</v>
      </c>
      <c r="BP162" s="3">
        <f t="shared" ca="1" si="187"/>
        <v>173.25</v>
      </c>
      <c r="BQ162" s="3">
        <f t="shared" ca="1" si="188"/>
        <v>294.14</v>
      </c>
      <c r="BR162" s="3">
        <f t="shared" ca="1" si="189"/>
        <v>99.660000000000011</v>
      </c>
      <c r="BS162" s="3">
        <f t="shared" ca="1" si="190"/>
        <v>135.5</v>
      </c>
      <c r="BT162" s="3">
        <f t="shared" ca="1" si="191"/>
        <v>63.2</v>
      </c>
      <c r="BU162" s="3">
        <f t="shared" ca="1" si="192"/>
        <v>12</v>
      </c>
      <c r="BV162" s="3">
        <f t="shared" ca="1" si="193"/>
        <v>4.3</v>
      </c>
      <c r="BW162" s="926">
        <v>0</v>
      </c>
      <c r="BX162" s="3">
        <f t="shared" ca="1" si="194"/>
        <v>43.311737147084209</v>
      </c>
      <c r="BY162" s="3">
        <f t="shared" ca="1" si="195"/>
        <v>73.641304347826079</v>
      </c>
      <c r="BZ162" s="3">
        <f t="shared" ca="1" si="167"/>
        <v>47.629096181730297</v>
      </c>
      <c r="CA162" s="3">
        <f t="shared" ca="1" si="168"/>
        <v>32.999999981849996</v>
      </c>
      <c r="CB162" s="3">
        <f t="shared" ca="1" si="196"/>
        <v>9.0267175572519083</v>
      </c>
      <c r="CC162" s="926">
        <f t="shared" si="169"/>
        <v>0</v>
      </c>
      <c r="CD162" s="1018">
        <f t="shared" ca="1" si="197"/>
        <v>231.78165521574249</v>
      </c>
      <c r="CE162" s="1018">
        <f t="shared" ca="1" si="203"/>
        <v>61.29974570765215</v>
      </c>
      <c r="CF162" s="3">
        <f t="shared" ca="1" si="170"/>
        <v>8.7924420277018402</v>
      </c>
      <c r="CG162" s="3">
        <f t="shared" ca="1" si="171"/>
        <v>14639.064278442454</v>
      </c>
    </row>
    <row r="163" spans="4:85" s="3" customFormat="1" x14ac:dyDescent="0.25">
      <c r="D163" s="528"/>
      <c r="E163" s="524"/>
      <c r="F163" s="528"/>
      <c r="G163" s="524"/>
      <c r="H163" s="528"/>
      <c r="I163" s="524"/>
      <c r="J163" s="528"/>
      <c r="K163" s="523"/>
      <c r="L163" s="523"/>
      <c r="M163" s="523"/>
      <c r="N163" s="523"/>
      <c r="O163" s="523"/>
      <c r="P163" s="523"/>
      <c r="Q163" s="523" t="s">
        <v>22</v>
      </c>
      <c r="R163" s="525">
        <v>0.53710000000000002</v>
      </c>
      <c r="S163" s="523"/>
      <c r="T163" s="533">
        <v>1.7710322513881093E-4</v>
      </c>
      <c r="U163" s="522"/>
      <c r="V163" s="176">
        <f t="shared" si="198"/>
        <v>1.7710322513881093E-4</v>
      </c>
      <c r="W163" s="176">
        <f t="shared" si="199"/>
        <v>1.7710322513881093E-4</v>
      </c>
      <c r="X163" s="176">
        <f t="shared" si="200"/>
        <v>1.7710322513881093E-4</v>
      </c>
      <c r="Y163" s="958">
        <f>X163/Calculation_sheet!M$67</f>
        <v>1.7710684626726894E-4</v>
      </c>
      <c r="Z163" s="176">
        <f ca="1">IF(AN163&gt;0,Y163*Calculation_sheet!C$87,0)</f>
        <v>0</v>
      </c>
      <c r="AA163" s="176">
        <f t="shared" ca="1" si="201"/>
        <v>1.7710684626726894E-4</v>
      </c>
      <c r="AB163" s="176">
        <f ca="1">IF(AP163&gt;0,AA163*Calculation_sheet!C$94,0)</f>
        <v>0</v>
      </c>
      <c r="AC163" s="176">
        <f t="shared" ca="1" si="186"/>
        <v>1.7710684626726894E-4</v>
      </c>
      <c r="AD163" s="958">
        <f ca="1">AC163*Calculation_sheet!C$99</f>
        <v>1.0626410776036137E-4</v>
      </c>
      <c r="AE163" s="176">
        <f t="shared" ca="1" si="186"/>
        <v>7.0842738506907575E-5</v>
      </c>
      <c r="AF163" s="176">
        <f t="shared" ca="1" si="202"/>
        <v>1.7710684626726894E-4</v>
      </c>
      <c r="AG163" s="958">
        <f ca="1">AF163*User_sheet!B$77/100</f>
        <v>0</v>
      </c>
      <c r="AH163" s="313"/>
      <c r="AI163" s="910">
        <v>202</v>
      </c>
      <c r="AJ163" s="313"/>
      <c r="AK163" s="1020">
        <f t="shared" ca="1" si="166"/>
        <v>231.78165521574249</v>
      </c>
      <c r="AL163" s="954">
        <f ca="1">AK163/'202'!I$24</f>
        <v>0.74669519414884333</v>
      </c>
      <c r="AM163" s="954">
        <f ca="1">0.8*(AK163*30+'202'!D$17*0.34*30*1)</f>
        <v>9174.7021251778206</v>
      </c>
      <c r="AN163" s="954">
        <f ca="1">IF(AM163&lt;User_sheet!B$50,Y163,0)</f>
        <v>1.7710684626726894E-4</v>
      </c>
      <c r="AO163" s="954">
        <f ca="1">20-(User_sheet!B$57/(AK163+'202'!D$17*1*0.34))</f>
        <v>5.0894341708833846</v>
      </c>
      <c r="AP163" s="954">
        <f ca="1">IF(AO163&lt;User_sheet!B$59,0,BC163*AA163)</f>
        <v>0</v>
      </c>
      <c r="AQ163" s="313"/>
      <c r="AR163" s="908">
        <v>0.47</v>
      </c>
      <c r="AS163" s="908">
        <v>0.6</v>
      </c>
      <c r="AT163" s="908">
        <v>3.78</v>
      </c>
      <c r="AU163" s="908">
        <v>2.75</v>
      </c>
      <c r="AV163" s="908">
        <v>3.3</v>
      </c>
      <c r="AW163" s="908">
        <v>11617.129718053829</v>
      </c>
      <c r="AX163" s="908">
        <v>69341.450841082013</v>
      </c>
      <c r="AY163" s="908">
        <v>67352.647733737584</v>
      </c>
      <c r="AZ163" s="908">
        <v>0</v>
      </c>
      <c r="BA163" s="908">
        <v>0</v>
      </c>
      <c r="BB163" s="908">
        <v>0.6</v>
      </c>
      <c r="BC163" s="902">
        <v>0</v>
      </c>
      <c r="BD163" s="922">
        <v>1</v>
      </c>
      <c r="BE163" s="922">
        <v>0</v>
      </c>
      <c r="BF163" s="903">
        <v>0</v>
      </c>
      <c r="BG163" s="908">
        <v>0</v>
      </c>
      <c r="BH163" s="908">
        <v>1</v>
      </c>
      <c r="BI163" s="903">
        <v>0</v>
      </c>
      <c r="BJ163" s="908">
        <v>0</v>
      </c>
      <c r="BK163" s="908">
        <v>1</v>
      </c>
      <c r="BL163" s="908">
        <v>0</v>
      </c>
      <c r="BM163" s="903">
        <v>0</v>
      </c>
      <c r="BN163" s="199">
        <v>0.08</v>
      </c>
      <c r="BO163" s="959">
        <v>6</v>
      </c>
      <c r="BP163" s="3">
        <f t="shared" ca="1" si="187"/>
        <v>173.25</v>
      </c>
      <c r="BQ163" s="3">
        <f t="shared" ca="1" si="188"/>
        <v>294.14</v>
      </c>
      <c r="BR163" s="3">
        <f t="shared" ca="1" si="189"/>
        <v>99.660000000000011</v>
      </c>
      <c r="BS163" s="3">
        <f t="shared" ca="1" si="190"/>
        <v>135.5</v>
      </c>
      <c r="BT163" s="3">
        <f t="shared" ca="1" si="191"/>
        <v>63.2</v>
      </c>
      <c r="BU163" s="3">
        <f t="shared" ca="1" si="192"/>
        <v>12</v>
      </c>
      <c r="BV163" s="3">
        <f t="shared" ca="1" si="193"/>
        <v>4.3</v>
      </c>
      <c r="BW163" s="926">
        <v>0</v>
      </c>
      <c r="BX163" s="3">
        <f t="shared" ca="1" si="194"/>
        <v>43.311737147084209</v>
      </c>
      <c r="BY163" s="3">
        <f t="shared" ca="1" si="195"/>
        <v>73.641304347826079</v>
      </c>
      <c r="BZ163" s="3">
        <f t="shared" ca="1" si="167"/>
        <v>47.629096181730297</v>
      </c>
      <c r="CA163" s="3">
        <f t="shared" ca="1" si="168"/>
        <v>32.999999981849996</v>
      </c>
      <c r="CB163" s="3">
        <f t="shared" ca="1" si="196"/>
        <v>9.0267175572519083</v>
      </c>
      <c r="CC163" s="926">
        <f t="shared" si="169"/>
        <v>0</v>
      </c>
      <c r="CD163" s="1018">
        <f t="shared" ca="1" si="197"/>
        <v>231.78165521574249</v>
      </c>
      <c r="CE163" s="1018">
        <f t="shared" ca="1" si="203"/>
        <v>61.29974570765215</v>
      </c>
      <c r="CF163" s="3">
        <f t="shared" ca="1" si="170"/>
        <v>8.7924420277018402</v>
      </c>
      <c r="CG163" s="3">
        <f t="shared" ca="1" si="171"/>
        <v>14639.064278442454</v>
      </c>
    </row>
    <row r="164" spans="4:85" s="3" customFormat="1" x14ac:dyDescent="0.25">
      <c r="D164" s="528"/>
      <c r="E164" s="524"/>
      <c r="F164" s="528"/>
      <c r="G164" s="524"/>
      <c r="H164" s="528"/>
      <c r="I164" s="524"/>
      <c r="J164" s="528"/>
      <c r="K164" s="523"/>
      <c r="L164" s="523"/>
      <c r="M164" s="523" t="s">
        <v>22</v>
      </c>
      <c r="N164" s="525">
        <v>0.44680851100000002</v>
      </c>
      <c r="O164" s="523" t="s">
        <v>20</v>
      </c>
      <c r="P164" s="525">
        <v>0.19172932300000001</v>
      </c>
      <c r="Q164" s="523" t="s">
        <v>7</v>
      </c>
      <c r="R164" s="525">
        <v>0.46289999999999998</v>
      </c>
      <c r="S164" s="523"/>
      <c r="T164" s="533">
        <v>1.5263653494089664E-4</v>
      </c>
      <c r="U164" s="522"/>
      <c r="V164" s="176">
        <f t="shared" si="198"/>
        <v>1.5263653494089664E-4</v>
      </c>
      <c r="W164" s="176">
        <f t="shared" si="199"/>
        <v>1.5263653494089664E-4</v>
      </c>
      <c r="X164" s="176">
        <f t="shared" si="200"/>
        <v>1.5263653494089664E-4</v>
      </c>
      <c r="Y164" s="958">
        <f>X164/Calculation_sheet!M$67</f>
        <v>1.5263965581291901E-4</v>
      </c>
      <c r="Z164" s="176">
        <f ca="1">IF(AN164&gt;0,Y164*Calculation_sheet!C$87,0)</f>
        <v>0</v>
      </c>
      <c r="AA164" s="176">
        <f t="shared" ca="1" si="201"/>
        <v>1.5263965581291901E-4</v>
      </c>
      <c r="AB164" s="176">
        <f ca="1">IF(AP164&gt;0,AA164*Calculation_sheet!C$94,0)</f>
        <v>0</v>
      </c>
      <c r="AC164" s="176">
        <f t="shared" ca="1" si="186"/>
        <v>1.5263965581291901E-4</v>
      </c>
      <c r="AD164" s="958">
        <f ca="1">AC164*Calculation_sheet!C$99</f>
        <v>9.158379348775141E-5</v>
      </c>
      <c r="AE164" s="176">
        <f t="shared" ca="1" si="186"/>
        <v>6.1055862325167602E-5</v>
      </c>
      <c r="AF164" s="176">
        <f t="shared" ca="1" si="202"/>
        <v>1.5263965581291901E-4</v>
      </c>
      <c r="AG164" s="958">
        <f ca="1">AF164*User_sheet!B$77/100</f>
        <v>0</v>
      </c>
      <c r="AH164" s="313"/>
      <c r="AI164" s="910">
        <v>202</v>
      </c>
      <c r="AJ164" s="313"/>
      <c r="AK164" s="1020">
        <f t="shared" ca="1" si="166"/>
        <v>231.78165521574249</v>
      </c>
      <c r="AL164" s="954">
        <f ca="1">AK164/'202'!I$24</f>
        <v>0.74669519414884333</v>
      </c>
      <c r="AM164" s="954">
        <f ca="1">0.8*(AK164*30+'202'!D$17*0.34*30*1)</f>
        <v>9174.7021251778206</v>
      </c>
      <c r="AN164" s="954">
        <f ca="1">IF(AM164&lt;User_sheet!B$50,Y164,0)</f>
        <v>1.5263965581291901E-4</v>
      </c>
      <c r="AO164" s="954">
        <f ca="1">20-(User_sheet!B$57/(AK164+'202'!D$17*1*0.34))</f>
        <v>5.0894341708833846</v>
      </c>
      <c r="AP164" s="954">
        <f ca="1">IF(AO164&lt;User_sheet!B$59,0,BC164*AA164)</f>
        <v>0</v>
      </c>
      <c r="AQ164" s="313"/>
      <c r="AR164" s="908">
        <v>0.47</v>
      </c>
      <c r="AS164" s="908">
        <v>0.6</v>
      </c>
      <c r="AT164" s="908">
        <v>3.78</v>
      </c>
      <c r="AU164" s="908">
        <v>2.75</v>
      </c>
      <c r="AV164" s="908">
        <v>3.3</v>
      </c>
      <c r="AW164" s="908">
        <v>11617.129718053829</v>
      </c>
      <c r="AX164" s="908">
        <v>69341.450841082013</v>
      </c>
      <c r="AY164" s="908">
        <v>67352.647733737584</v>
      </c>
      <c r="AZ164" s="908">
        <v>0</v>
      </c>
      <c r="BA164" s="908">
        <v>0</v>
      </c>
      <c r="BB164" s="908">
        <v>0.6</v>
      </c>
      <c r="BC164" s="902">
        <v>0</v>
      </c>
      <c r="BD164" s="922">
        <v>1</v>
      </c>
      <c r="BE164" s="922">
        <v>0</v>
      </c>
      <c r="BF164" s="903">
        <v>0</v>
      </c>
      <c r="BG164" s="908">
        <v>0</v>
      </c>
      <c r="BH164" s="908">
        <v>1</v>
      </c>
      <c r="BI164" s="903">
        <v>0</v>
      </c>
      <c r="BJ164" s="908">
        <v>0</v>
      </c>
      <c r="BK164" s="908">
        <v>0</v>
      </c>
      <c r="BL164" s="908">
        <v>1</v>
      </c>
      <c r="BM164" s="903">
        <v>0</v>
      </c>
      <c r="BN164" s="199">
        <v>0.08</v>
      </c>
      <c r="BO164" s="959">
        <v>6</v>
      </c>
      <c r="BP164" s="3">
        <f t="shared" ca="1" si="187"/>
        <v>173.25</v>
      </c>
      <c r="BQ164" s="3">
        <f t="shared" ca="1" si="188"/>
        <v>294.14</v>
      </c>
      <c r="BR164" s="3">
        <f t="shared" ca="1" si="189"/>
        <v>99.660000000000011</v>
      </c>
      <c r="BS164" s="3">
        <f t="shared" ca="1" si="190"/>
        <v>135.5</v>
      </c>
      <c r="BT164" s="3">
        <f t="shared" ca="1" si="191"/>
        <v>63.2</v>
      </c>
      <c r="BU164" s="3">
        <f t="shared" ca="1" si="192"/>
        <v>12</v>
      </c>
      <c r="BV164" s="3">
        <f t="shared" ca="1" si="193"/>
        <v>4.3</v>
      </c>
      <c r="BW164" s="926">
        <v>0</v>
      </c>
      <c r="BX164" s="3">
        <f t="shared" ca="1" si="194"/>
        <v>43.311737147084209</v>
      </c>
      <c r="BY164" s="3">
        <f t="shared" ca="1" si="195"/>
        <v>73.641304347826079</v>
      </c>
      <c r="BZ164" s="3">
        <f t="shared" ca="1" si="167"/>
        <v>47.629096181730297</v>
      </c>
      <c r="CA164" s="3">
        <f t="shared" ca="1" si="168"/>
        <v>32.999999981849996</v>
      </c>
      <c r="CB164" s="3">
        <f t="shared" ca="1" si="196"/>
        <v>9.0267175572519083</v>
      </c>
      <c r="CC164" s="926">
        <f t="shared" si="169"/>
        <v>0</v>
      </c>
      <c r="CD164" s="1018">
        <f t="shared" ca="1" si="197"/>
        <v>231.78165521574249</v>
      </c>
      <c r="CE164" s="1018">
        <f t="shared" ca="1" si="203"/>
        <v>61.29974570765215</v>
      </c>
      <c r="CF164" s="3">
        <f t="shared" ca="1" si="170"/>
        <v>8.7924420277018402</v>
      </c>
      <c r="CG164" s="3">
        <f t="shared" ca="1" si="171"/>
        <v>14639.064278442454</v>
      </c>
    </row>
    <row r="165" spans="4:85" s="3" customFormat="1" x14ac:dyDescent="0.25">
      <c r="D165" s="528"/>
      <c r="E165" s="524"/>
      <c r="F165" s="528"/>
      <c r="G165" s="524"/>
      <c r="H165" s="528"/>
      <c r="I165" s="524"/>
      <c r="J165" s="528"/>
      <c r="K165" s="523"/>
      <c r="L165" s="523"/>
      <c r="M165" s="523" t="s">
        <v>7</v>
      </c>
      <c r="N165" s="525">
        <v>2.1276595999999998E-2</v>
      </c>
      <c r="O165" s="523" t="s">
        <v>23</v>
      </c>
      <c r="P165" s="525">
        <v>1</v>
      </c>
      <c r="Q165" s="523" t="s">
        <v>7</v>
      </c>
      <c r="R165" s="525">
        <v>1</v>
      </c>
      <c r="S165" s="523"/>
      <c r="T165" s="533">
        <v>8.1896150610413372E-5</v>
      </c>
      <c r="U165" s="522"/>
      <c r="V165" s="176">
        <f t="shared" si="198"/>
        <v>8.1896150610413372E-5</v>
      </c>
      <c r="W165" s="176">
        <f t="shared" si="199"/>
        <v>8.1896150610413372E-5</v>
      </c>
      <c r="X165" s="176">
        <f t="shared" si="200"/>
        <v>8.1896150610413372E-5</v>
      </c>
      <c r="Y165" s="958">
        <f>X165/Calculation_sheet!M$67</f>
        <v>8.1897825094214244E-5</v>
      </c>
      <c r="Z165" s="176">
        <f ca="1">IF(AN165&gt;0,Y165*Calculation_sheet!C$87,0)</f>
        <v>0</v>
      </c>
      <c r="AA165" s="176">
        <f t="shared" ca="1" si="201"/>
        <v>8.1897825094214244E-5</v>
      </c>
      <c r="AB165" s="176">
        <f ca="1">IF(AP165&gt;0,AA165*Calculation_sheet!C$94,0)</f>
        <v>0</v>
      </c>
      <c r="AC165" s="176">
        <f t="shared" ca="1" si="186"/>
        <v>8.1897825094214244E-5</v>
      </c>
      <c r="AD165" s="958">
        <f ca="1">AC165*Calculation_sheet!C$99</f>
        <v>4.9138695056528543E-5</v>
      </c>
      <c r="AE165" s="176">
        <f t="shared" ca="1" si="186"/>
        <v>3.27591300376857E-5</v>
      </c>
      <c r="AF165" s="176">
        <f t="shared" ca="1" si="202"/>
        <v>8.1897825094214244E-5</v>
      </c>
      <c r="AG165" s="958">
        <f ca="1">AF165*User_sheet!B$77/100</f>
        <v>0</v>
      </c>
      <c r="AH165" s="313"/>
      <c r="AI165" s="910">
        <v>202</v>
      </c>
      <c r="AJ165" s="313"/>
      <c r="AK165" s="1020">
        <f t="shared" ca="1" si="166"/>
        <v>231.78165521574249</v>
      </c>
      <c r="AL165" s="954">
        <f ca="1">AK165/'202'!I$24</f>
        <v>0.74669519414884333</v>
      </c>
      <c r="AM165" s="954">
        <f ca="1">0.8*(AK165*30+'202'!D$17*0.34*30*1)</f>
        <v>9174.7021251778206</v>
      </c>
      <c r="AN165" s="954">
        <f ca="1">IF(AM165&lt;User_sheet!B$50,Y165,0)</f>
        <v>8.1897825094214244E-5</v>
      </c>
      <c r="AO165" s="954">
        <f ca="1">20-(User_sheet!B$57/(AK165+'202'!D$17*1*0.34))</f>
        <v>5.0894341708833846</v>
      </c>
      <c r="AP165" s="954">
        <f ca="1">IF(AO165&lt;User_sheet!B$59,0,BC165*AA165)</f>
        <v>0</v>
      </c>
      <c r="AQ165" s="313"/>
      <c r="AR165" s="908">
        <v>0.47</v>
      </c>
      <c r="AS165" s="908">
        <v>0.6</v>
      </c>
      <c r="AT165" s="908">
        <v>3.78</v>
      </c>
      <c r="AU165" s="908">
        <v>2.75</v>
      </c>
      <c r="AV165" s="908">
        <v>3.3</v>
      </c>
      <c r="AW165" s="908">
        <v>11617.129718053829</v>
      </c>
      <c r="AX165" s="908">
        <v>69341.450841082013</v>
      </c>
      <c r="AY165" s="908">
        <v>67352.647733737584</v>
      </c>
      <c r="AZ165" s="908">
        <v>0</v>
      </c>
      <c r="BA165" s="908">
        <v>0</v>
      </c>
      <c r="BB165" s="908">
        <v>0.6</v>
      </c>
      <c r="BC165" s="902">
        <v>0</v>
      </c>
      <c r="BD165" s="922">
        <v>0</v>
      </c>
      <c r="BE165" s="922">
        <v>1</v>
      </c>
      <c r="BF165" s="903">
        <v>0</v>
      </c>
      <c r="BG165" s="908">
        <v>0</v>
      </c>
      <c r="BH165" s="908">
        <v>0</v>
      </c>
      <c r="BI165" s="903">
        <v>1</v>
      </c>
      <c r="BJ165" s="908">
        <v>0</v>
      </c>
      <c r="BK165" s="908">
        <v>0</v>
      </c>
      <c r="BL165" s="908">
        <v>1</v>
      </c>
      <c r="BM165" s="903">
        <v>0</v>
      </c>
      <c r="BN165" s="199">
        <v>0.08</v>
      </c>
      <c r="BO165" s="959">
        <v>6</v>
      </c>
      <c r="BP165" s="3">
        <f t="shared" ca="1" si="187"/>
        <v>173.25</v>
      </c>
      <c r="BQ165" s="3">
        <f t="shared" ca="1" si="188"/>
        <v>294.14</v>
      </c>
      <c r="BR165" s="3">
        <f t="shared" ca="1" si="189"/>
        <v>99.660000000000011</v>
      </c>
      <c r="BS165" s="3">
        <f t="shared" ca="1" si="190"/>
        <v>135.5</v>
      </c>
      <c r="BT165" s="3">
        <f t="shared" ca="1" si="191"/>
        <v>63.2</v>
      </c>
      <c r="BU165" s="3">
        <f t="shared" ca="1" si="192"/>
        <v>12</v>
      </c>
      <c r="BV165" s="3">
        <f t="shared" ca="1" si="193"/>
        <v>4.3</v>
      </c>
      <c r="BW165" s="926">
        <v>0</v>
      </c>
      <c r="BX165" s="3">
        <f t="shared" ca="1" si="194"/>
        <v>43.311737147084209</v>
      </c>
      <c r="BY165" s="3">
        <f t="shared" ca="1" si="195"/>
        <v>73.641304347826079</v>
      </c>
      <c r="BZ165" s="3">
        <f t="shared" ca="1" si="167"/>
        <v>47.629096181730297</v>
      </c>
      <c r="CA165" s="3">
        <f t="shared" ca="1" si="168"/>
        <v>32.999999981849996</v>
      </c>
      <c r="CB165" s="3">
        <f t="shared" ca="1" si="196"/>
        <v>9.0267175572519083</v>
      </c>
      <c r="CC165" s="926">
        <f t="shared" si="169"/>
        <v>0</v>
      </c>
      <c r="CD165" s="1018">
        <f t="shared" ca="1" si="197"/>
        <v>231.78165521574249</v>
      </c>
      <c r="CE165" s="1018">
        <f t="shared" ca="1" si="203"/>
        <v>61.29974570765215</v>
      </c>
      <c r="CF165" s="3">
        <f t="shared" ca="1" si="170"/>
        <v>8.7924420277018402</v>
      </c>
      <c r="CG165" s="3">
        <f t="shared" ca="1" si="171"/>
        <v>14639.064278442454</v>
      </c>
    </row>
    <row r="166" spans="4:85" s="3" customFormat="1" x14ac:dyDescent="0.25">
      <c r="D166" s="528"/>
      <c r="E166" s="524"/>
      <c r="F166" s="528"/>
      <c r="G166" s="524"/>
      <c r="H166" s="528"/>
      <c r="I166" s="524"/>
      <c r="J166" s="528"/>
      <c r="K166" s="523"/>
      <c r="L166" s="523"/>
      <c r="M166" s="523"/>
      <c r="N166" s="523"/>
      <c r="O166" s="523" t="s">
        <v>18</v>
      </c>
      <c r="P166" s="525">
        <v>0.15910607099999999</v>
      </c>
      <c r="Q166" s="523" t="s">
        <v>17</v>
      </c>
      <c r="R166" s="525">
        <v>1</v>
      </c>
      <c r="S166" s="523"/>
      <c r="T166" s="533">
        <v>5.212069840217028E-5</v>
      </c>
      <c r="U166" s="522"/>
      <c r="V166" s="176">
        <f t="shared" si="198"/>
        <v>5.212069840217028E-5</v>
      </c>
      <c r="W166" s="176">
        <f t="shared" si="199"/>
        <v>5.212069840217028E-5</v>
      </c>
      <c r="X166" s="176">
        <f t="shared" si="200"/>
        <v>5.212069840217028E-5</v>
      </c>
      <c r="Y166" s="958">
        <f>X166/Calculation_sheet!M$67</f>
        <v>5.2121764084311797E-5</v>
      </c>
      <c r="Z166" s="176">
        <f ca="1">IF(AN166&gt;0,Y166*Calculation_sheet!C$87,0)</f>
        <v>0</v>
      </c>
      <c r="AA166" s="176">
        <f t="shared" ca="1" si="201"/>
        <v>5.2121764084311797E-5</v>
      </c>
      <c r="AB166" s="176">
        <f ca="1">IF(AP166&gt;0,AA166*Calculation_sheet!C$94,0)</f>
        <v>0</v>
      </c>
      <c r="AC166" s="176">
        <f t="shared" ca="1" si="186"/>
        <v>5.2121764084311797E-5</v>
      </c>
      <c r="AD166" s="958">
        <f ca="1">AC166*Calculation_sheet!C$99</f>
        <v>3.127305845058708E-5</v>
      </c>
      <c r="AE166" s="176">
        <f t="shared" ca="1" si="186"/>
        <v>2.0848705633724718E-5</v>
      </c>
      <c r="AF166" s="176">
        <f t="shared" ca="1" si="202"/>
        <v>5.2121764084311797E-5</v>
      </c>
      <c r="AG166" s="958">
        <f ca="1">AF166*User_sheet!B$77/100</f>
        <v>0</v>
      </c>
      <c r="AH166" s="313"/>
      <c r="AI166" s="910">
        <v>202</v>
      </c>
      <c r="AJ166" s="313"/>
      <c r="AK166" s="1020">
        <f t="shared" ca="1" si="166"/>
        <v>231.78165521574249</v>
      </c>
      <c r="AL166" s="954">
        <f ca="1">AK166/'202'!I$24</f>
        <v>0.74669519414884333</v>
      </c>
      <c r="AM166" s="954">
        <f ca="1">0.8*(AK166*30+'202'!D$17*0.34*30*1)</f>
        <v>9174.7021251778206</v>
      </c>
      <c r="AN166" s="954">
        <f ca="1">IF(AM166&lt;User_sheet!B$50,Y166,0)</f>
        <v>5.2121764084311797E-5</v>
      </c>
      <c r="AO166" s="954">
        <f ca="1">20-(User_sheet!B$57/(AK166+'202'!D$17*1*0.34))</f>
        <v>5.0894341708833846</v>
      </c>
      <c r="AP166" s="954">
        <f ca="1">IF(AO166&lt;User_sheet!B$59,0,BC166*AA166)</f>
        <v>0</v>
      </c>
      <c r="AQ166" s="313"/>
      <c r="AR166" s="908">
        <v>0.47</v>
      </c>
      <c r="AS166" s="908">
        <v>0.6</v>
      </c>
      <c r="AT166" s="908">
        <v>3.78</v>
      </c>
      <c r="AU166" s="908">
        <v>2.75</v>
      </c>
      <c r="AV166" s="908">
        <v>3.3</v>
      </c>
      <c r="AW166" s="908">
        <v>11617.129718053829</v>
      </c>
      <c r="AX166" s="908">
        <v>69341.450841082013</v>
      </c>
      <c r="AY166" s="908">
        <v>67352.647733737584</v>
      </c>
      <c r="AZ166" s="908">
        <v>0</v>
      </c>
      <c r="BA166" s="908">
        <v>0</v>
      </c>
      <c r="BB166" s="908">
        <v>0.6</v>
      </c>
      <c r="BC166" s="902">
        <v>0</v>
      </c>
      <c r="BD166" s="922">
        <v>0</v>
      </c>
      <c r="BE166" s="922">
        <v>0</v>
      </c>
      <c r="BF166" s="903">
        <v>1</v>
      </c>
      <c r="BG166" s="908">
        <v>1</v>
      </c>
      <c r="BH166" s="908">
        <v>0</v>
      </c>
      <c r="BI166" s="903">
        <v>0</v>
      </c>
      <c r="BJ166" s="908">
        <v>0</v>
      </c>
      <c r="BK166" s="908">
        <v>0</v>
      </c>
      <c r="BL166" s="908">
        <v>0</v>
      </c>
      <c r="BM166" s="903">
        <v>1</v>
      </c>
      <c r="BN166" s="199">
        <v>0.08</v>
      </c>
      <c r="BO166" s="959">
        <v>6</v>
      </c>
      <c r="BP166" s="3">
        <f t="shared" ca="1" si="187"/>
        <v>173.25</v>
      </c>
      <c r="BQ166" s="3">
        <f t="shared" ca="1" si="188"/>
        <v>294.14</v>
      </c>
      <c r="BR166" s="3">
        <f t="shared" ca="1" si="189"/>
        <v>99.660000000000011</v>
      </c>
      <c r="BS166" s="3">
        <f t="shared" ca="1" si="190"/>
        <v>135.5</v>
      </c>
      <c r="BT166" s="3">
        <f t="shared" ca="1" si="191"/>
        <v>63.2</v>
      </c>
      <c r="BU166" s="3">
        <f t="shared" ca="1" si="192"/>
        <v>12</v>
      </c>
      <c r="BV166" s="3">
        <f t="shared" ca="1" si="193"/>
        <v>4.3</v>
      </c>
      <c r="BW166" s="926">
        <v>0</v>
      </c>
      <c r="BX166" s="3">
        <f t="shared" ca="1" si="194"/>
        <v>43.311737147084209</v>
      </c>
      <c r="BY166" s="3">
        <f t="shared" ca="1" si="195"/>
        <v>73.641304347826079</v>
      </c>
      <c r="BZ166" s="3">
        <f t="shared" ca="1" si="167"/>
        <v>47.629096181730297</v>
      </c>
      <c r="CA166" s="3">
        <f t="shared" ca="1" si="168"/>
        <v>32.999999981849996</v>
      </c>
      <c r="CB166" s="3">
        <f t="shared" ca="1" si="196"/>
        <v>9.0267175572519083</v>
      </c>
      <c r="CC166" s="926">
        <f t="shared" si="169"/>
        <v>0</v>
      </c>
      <c r="CD166" s="1018">
        <f t="shared" ca="1" si="197"/>
        <v>231.78165521574249</v>
      </c>
      <c r="CE166" s="1018">
        <f t="shared" ca="1" si="203"/>
        <v>61.29974570765215</v>
      </c>
      <c r="CF166" s="3">
        <f t="shared" ca="1" si="170"/>
        <v>8.7924420277018402</v>
      </c>
      <c r="CG166" s="3">
        <f t="shared" ca="1" si="171"/>
        <v>14639.064278442454</v>
      </c>
    </row>
    <row r="167" spans="4:85" s="3" customFormat="1" x14ac:dyDescent="0.25">
      <c r="D167" s="528"/>
      <c r="E167" s="524"/>
      <c r="F167" s="528"/>
      <c r="G167" s="524"/>
      <c r="H167" s="528"/>
      <c r="I167" s="524"/>
      <c r="J167" s="528"/>
      <c r="K167" s="526" t="s">
        <v>228</v>
      </c>
      <c r="L167" s="527">
        <v>0.26100000000000001</v>
      </c>
      <c r="M167" s="523" t="s">
        <v>17</v>
      </c>
      <c r="N167" s="525">
        <v>8.5106382999999994E-2</v>
      </c>
      <c r="O167" s="523" t="s">
        <v>19</v>
      </c>
      <c r="P167" s="525">
        <v>0.84089392900000004</v>
      </c>
      <c r="Q167" s="523" t="s">
        <v>17</v>
      </c>
      <c r="R167" s="525">
        <v>1</v>
      </c>
      <c r="S167" s="523"/>
      <c r="T167" s="533">
        <v>2.7546390019036413E-4</v>
      </c>
      <c r="U167" s="522"/>
      <c r="V167" s="176">
        <f t="shared" si="198"/>
        <v>2.7546390019036413E-4</v>
      </c>
      <c r="W167" s="176">
        <f t="shared" si="199"/>
        <v>2.7546390019036413E-4</v>
      </c>
      <c r="X167" s="176">
        <f t="shared" si="200"/>
        <v>2.7546390019036413E-4</v>
      </c>
      <c r="Y167" s="958">
        <f>X167/Calculation_sheet!M$67</f>
        <v>2.7546953244334742E-4</v>
      </c>
      <c r="Z167" s="176">
        <f ca="1">IF(AN167&gt;0,Y167*Calculation_sheet!C$87,0)</f>
        <v>0</v>
      </c>
      <c r="AA167" s="176">
        <f t="shared" ca="1" si="201"/>
        <v>2.7546953244334742E-4</v>
      </c>
      <c r="AB167" s="176">
        <f ca="1">IF(AP167&gt;0,AA167*Calculation_sheet!C$94,0)</f>
        <v>0</v>
      </c>
      <c r="AC167" s="176">
        <f t="shared" ca="1" si="186"/>
        <v>2.7546953244334742E-4</v>
      </c>
      <c r="AD167" s="958">
        <f ca="1">AC167*Calculation_sheet!C$99</f>
        <v>1.6528171946600845E-4</v>
      </c>
      <c r="AE167" s="176">
        <f t="shared" ca="1" si="186"/>
        <v>1.1018781297733897E-4</v>
      </c>
      <c r="AF167" s="176">
        <f t="shared" ca="1" si="202"/>
        <v>2.7546953244334742E-4</v>
      </c>
      <c r="AG167" s="958">
        <f ca="1">AF167*User_sheet!B$77/100</f>
        <v>0</v>
      </c>
      <c r="AH167" s="313"/>
      <c r="AI167" s="910">
        <v>202</v>
      </c>
      <c r="AJ167" s="313"/>
      <c r="AK167" s="1020">
        <f t="shared" ca="1" si="166"/>
        <v>231.78165521574249</v>
      </c>
      <c r="AL167" s="954">
        <f ca="1">AK167/'202'!I$24</f>
        <v>0.74669519414884333</v>
      </c>
      <c r="AM167" s="954">
        <f ca="1">0.8*(AK167*30+'202'!D$17*0.34*30*1)</f>
        <v>9174.7021251778206</v>
      </c>
      <c r="AN167" s="954">
        <f ca="1">IF(AM167&lt;User_sheet!B$50,Y167,0)</f>
        <v>2.7546953244334742E-4</v>
      </c>
      <c r="AO167" s="954">
        <f ca="1">20-(User_sheet!B$57/(AK167+'202'!D$17*1*0.34))</f>
        <v>5.0894341708833846</v>
      </c>
      <c r="AP167" s="954">
        <f ca="1">IF(AO167&lt;User_sheet!B$59,0,BC167*AA167)</f>
        <v>0</v>
      </c>
      <c r="AQ167" s="313"/>
      <c r="AR167" s="908">
        <v>0.47</v>
      </c>
      <c r="AS167" s="908">
        <v>0.6</v>
      </c>
      <c r="AT167" s="908">
        <v>3.78</v>
      </c>
      <c r="AU167" s="908">
        <v>2.75</v>
      </c>
      <c r="AV167" s="908">
        <v>3.3</v>
      </c>
      <c r="AW167" s="908">
        <v>11617.129718053829</v>
      </c>
      <c r="AX167" s="908">
        <v>69341.450841082013</v>
      </c>
      <c r="AY167" s="908">
        <v>67352.647733737584</v>
      </c>
      <c r="AZ167" s="908">
        <v>0</v>
      </c>
      <c r="BA167" s="908">
        <v>0</v>
      </c>
      <c r="BB167" s="908">
        <v>0.6</v>
      </c>
      <c r="BC167" s="902">
        <v>0</v>
      </c>
      <c r="BD167" s="922">
        <v>0</v>
      </c>
      <c r="BE167" s="922">
        <v>0</v>
      </c>
      <c r="BF167" s="903">
        <v>1</v>
      </c>
      <c r="BG167" s="908">
        <v>0</v>
      </c>
      <c r="BH167" s="908">
        <v>1</v>
      </c>
      <c r="BI167" s="903">
        <v>0</v>
      </c>
      <c r="BJ167" s="908">
        <v>0</v>
      </c>
      <c r="BK167" s="908">
        <v>0</v>
      </c>
      <c r="BL167" s="908">
        <v>0</v>
      </c>
      <c r="BM167" s="903">
        <v>1</v>
      </c>
      <c r="BN167" s="199">
        <v>0.08</v>
      </c>
      <c r="BO167" s="959">
        <v>6</v>
      </c>
      <c r="BP167" s="3">
        <f t="shared" ca="1" si="187"/>
        <v>173.25</v>
      </c>
      <c r="BQ167" s="3">
        <f t="shared" ca="1" si="188"/>
        <v>294.14</v>
      </c>
      <c r="BR167" s="3">
        <f t="shared" ca="1" si="189"/>
        <v>99.660000000000011</v>
      </c>
      <c r="BS167" s="3">
        <f t="shared" ca="1" si="190"/>
        <v>135.5</v>
      </c>
      <c r="BT167" s="3">
        <f t="shared" ca="1" si="191"/>
        <v>63.2</v>
      </c>
      <c r="BU167" s="3">
        <f t="shared" ca="1" si="192"/>
        <v>12</v>
      </c>
      <c r="BV167" s="3">
        <f t="shared" ca="1" si="193"/>
        <v>4.3</v>
      </c>
      <c r="BW167" s="926">
        <v>0</v>
      </c>
      <c r="BX167" s="3">
        <f t="shared" ca="1" si="194"/>
        <v>43.311737147084209</v>
      </c>
      <c r="BY167" s="3">
        <f t="shared" ca="1" si="195"/>
        <v>73.641304347826079</v>
      </c>
      <c r="BZ167" s="3">
        <f t="shared" ca="1" si="167"/>
        <v>47.629096181730297</v>
      </c>
      <c r="CA167" s="3">
        <f t="shared" ca="1" si="168"/>
        <v>32.999999981849996</v>
      </c>
      <c r="CB167" s="3">
        <f t="shared" ca="1" si="196"/>
        <v>9.0267175572519083</v>
      </c>
      <c r="CC167" s="926">
        <f t="shared" si="169"/>
        <v>0</v>
      </c>
      <c r="CD167" s="1018">
        <f t="shared" ca="1" si="197"/>
        <v>231.78165521574249</v>
      </c>
      <c r="CE167" s="1018">
        <f t="shared" ca="1" si="203"/>
        <v>61.29974570765215</v>
      </c>
      <c r="CF167" s="3">
        <f t="shared" ca="1" si="170"/>
        <v>8.7924420277018402</v>
      </c>
      <c r="CG167" s="3">
        <f t="shared" ca="1" si="171"/>
        <v>14639.064278442454</v>
      </c>
    </row>
    <row r="168" spans="4:85" s="14" customFormat="1" x14ac:dyDescent="0.25">
      <c r="D168" s="531"/>
      <c r="E168" s="530"/>
      <c r="F168" s="531"/>
      <c r="G168" s="530"/>
      <c r="H168" s="531"/>
      <c r="I168" s="530"/>
      <c r="J168" s="531"/>
      <c r="K168" s="532"/>
      <c r="L168" s="531"/>
      <c r="M168" s="531"/>
      <c r="N168" s="531"/>
      <c r="O168" s="531"/>
      <c r="P168" s="531"/>
      <c r="Q168" s="531"/>
      <c r="R168" s="531"/>
      <c r="S168" s="531"/>
      <c r="T168" s="534"/>
      <c r="U168" s="530"/>
      <c r="V168" s="292"/>
      <c r="W168" s="292"/>
      <c r="X168" s="292"/>
      <c r="Y168" s="277"/>
      <c r="Z168" s="292"/>
      <c r="AA168" s="292"/>
      <c r="AB168" s="292"/>
      <c r="AC168" s="292"/>
      <c r="AD168" s="277"/>
      <c r="AE168" s="292"/>
      <c r="AF168" s="292"/>
      <c r="AG168" s="277"/>
      <c r="AH168" s="313"/>
      <c r="AI168" s="913"/>
      <c r="AJ168" s="313"/>
      <c r="AK168" s="1020">
        <f t="shared" si="166"/>
        <v>0</v>
      </c>
      <c r="AL168" s="955"/>
      <c r="AM168" s="955"/>
      <c r="AN168" s="941"/>
      <c r="AO168" s="941"/>
      <c r="AP168" s="941"/>
      <c r="AQ168" s="313"/>
      <c r="AR168" s="913"/>
      <c r="AS168" s="913"/>
      <c r="AT168" s="913"/>
      <c r="AU168" s="913"/>
      <c r="AV168" s="913"/>
      <c r="AW168" s="913"/>
      <c r="AX168" s="913"/>
      <c r="AY168" s="913"/>
      <c r="AZ168" s="913"/>
      <c r="BA168" s="913"/>
      <c r="BB168" s="913"/>
      <c r="BC168" s="897"/>
      <c r="BD168" s="898"/>
      <c r="BE168" s="898"/>
      <c r="BF168" s="373"/>
      <c r="BG168" s="913"/>
      <c r="BH168" s="913"/>
      <c r="BI168" s="373"/>
      <c r="BJ168" s="913"/>
      <c r="BK168" s="913"/>
      <c r="BL168" s="913"/>
      <c r="BM168" s="373"/>
      <c r="BN168" s="277"/>
      <c r="BO168" s="49"/>
      <c r="BW168" s="928"/>
      <c r="CC168" s="928"/>
      <c r="CD168" s="928"/>
      <c r="CE168" s="928"/>
    </row>
    <row r="169" spans="4:85" x14ac:dyDescent="0.25">
      <c r="D169" s="523"/>
      <c r="E169" s="522"/>
      <c r="F169" s="528"/>
      <c r="G169" s="524"/>
      <c r="H169" s="528"/>
      <c r="I169" s="524"/>
      <c r="J169" s="528"/>
      <c r="K169" s="529"/>
      <c r="L169" s="528"/>
      <c r="M169" s="523"/>
      <c r="N169" s="523"/>
      <c r="O169" s="523"/>
      <c r="P169" s="523"/>
      <c r="Q169" s="523" t="s">
        <v>16</v>
      </c>
      <c r="R169" s="525">
        <v>0.73860000000000003</v>
      </c>
      <c r="S169" s="523"/>
      <c r="T169" s="533">
        <v>0</v>
      </c>
      <c r="U169" s="522"/>
      <c r="V169" s="176">
        <f t="shared" si="172"/>
        <v>0</v>
      </c>
      <c r="W169" s="176">
        <f>V169</f>
        <v>0</v>
      </c>
      <c r="X169" s="176">
        <f>W169</f>
        <v>0</v>
      </c>
      <c r="Y169" s="34">
        <f>X169/Calculation_sheet!M$67</f>
        <v>0</v>
      </c>
      <c r="Z169" s="176">
        <f ca="1">IF(AN169&gt;0,Y169*Calculation_sheet!C$87,0)</f>
        <v>0</v>
      </c>
      <c r="AA169" s="176">
        <f ca="1">Y169-Z169</f>
        <v>0</v>
      </c>
      <c r="AB169" s="176">
        <f ca="1">IF(AP169&gt;0,AA169*Calculation_sheet!C$94,0)</f>
        <v>0</v>
      </c>
      <c r="AC169" s="176">
        <f t="shared" ref="AC169:AE179" ca="1" si="204">AA169-AB169</f>
        <v>0</v>
      </c>
      <c r="AD169" s="958">
        <f ca="1">AC169*Calculation_sheet!C$99</f>
        <v>0</v>
      </c>
      <c r="AE169" s="176">
        <f t="shared" ca="1" si="204"/>
        <v>0</v>
      </c>
      <c r="AF169" s="176">
        <f ca="1">Y169-AB169</f>
        <v>0</v>
      </c>
      <c r="AG169" s="958">
        <f ca="1">AF169*User_sheet!B$77/100</f>
        <v>0</v>
      </c>
      <c r="AH169" s="313"/>
      <c r="AI169" s="908">
        <v>202</v>
      </c>
      <c r="AJ169" s="313"/>
      <c r="AK169" s="1020">
        <f t="shared" ca="1" si="166"/>
        <v>310.03389153199805</v>
      </c>
      <c r="AL169" s="954">
        <f ca="1">AK169/'202'!I$24</f>
        <v>0.9987883493830676</v>
      </c>
      <c r="AM169" s="954">
        <f ca="1">0.8*(AK169*30+'202'!D$17*0.34*30*1)</f>
        <v>11052.755796767953</v>
      </c>
      <c r="AN169" s="954">
        <f ca="1">IF(AM169&lt;User_sheet!B$50,Y169,0)</f>
        <v>0</v>
      </c>
      <c r="AO169" s="954">
        <f ca="1">20-(User_sheet!B$57/(AK169+'202'!D$17*1*0.34))</f>
        <v>7.6229962449724038</v>
      </c>
      <c r="AP169" s="954">
        <f ca="1">IF(AO169&lt;User_sheet!B$59,0,BC169*AA169)</f>
        <v>0</v>
      </c>
      <c r="AQ169" s="313"/>
      <c r="AR169" s="909">
        <v>0.47</v>
      </c>
      <c r="AS169" s="909">
        <v>2.1</v>
      </c>
      <c r="AT169" s="909">
        <v>0.89</v>
      </c>
      <c r="AU169" s="909">
        <v>2.75</v>
      </c>
      <c r="AV169" s="909">
        <v>3.3</v>
      </c>
      <c r="AW169" s="909">
        <v>11617.129718053829</v>
      </c>
      <c r="AX169" s="909">
        <v>74715.401027665983</v>
      </c>
      <c r="AY169" s="909">
        <v>79015.992973719694</v>
      </c>
      <c r="AZ169" s="909">
        <v>0</v>
      </c>
      <c r="BA169" s="909">
        <v>0</v>
      </c>
      <c r="BB169" s="909">
        <v>0.6</v>
      </c>
      <c r="BC169" s="919">
        <v>1</v>
      </c>
      <c r="BD169" s="920">
        <v>0</v>
      </c>
      <c r="BE169" s="920">
        <v>0</v>
      </c>
      <c r="BF169" s="921">
        <v>0</v>
      </c>
      <c r="BG169" s="909">
        <v>1</v>
      </c>
      <c r="BH169" s="909">
        <v>0</v>
      </c>
      <c r="BI169" s="921">
        <v>0</v>
      </c>
      <c r="BJ169" s="909">
        <v>1</v>
      </c>
      <c r="BK169" s="909">
        <v>0</v>
      </c>
      <c r="BL169" s="909">
        <v>0</v>
      </c>
      <c r="BM169" s="921">
        <v>0</v>
      </c>
      <c r="BN169" s="958">
        <v>0</v>
      </c>
      <c r="BO169" s="959">
        <v>18</v>
      </c>
      <c r="BP169">
        <f t="shared" ref="BP169:BP179" ca="1" si="205">INDIRECT("'"&amp;AI169&amp;"'!"&amp;"B2")</f>
        <v>173.25</v>
      </c>
      <c r="BQ169">
        <f t="shared" ref="BQ169:BQ179" ca="1" si="206">INDIRECT("'"&amp;AI169&amp;"'!"&amp;"C12")+INDIRECT("'"&amp;AI169&amp;"'!"&amp;"C13")+INDIRECT("'"&amp;AI169&amp;"'!"&amp;"C14")+INDIRECT("'"&amp;AI169&amp;"'!"&amp;"C15")+INDIRECT("'"&amp;AI169&amp;"'!"&amp;"C17")</f>
        <v>294.14</v>
      </c>
      <c r="BR169">
        <f t="shared" ref="BR169:BR179" ca="1" si="207">INDIRECT("'"&amp;AI169&amp;"'!"&amp;"G5")</f>
        <v>99.660000000000011</v>
      </c>
      <c r="BS169">
        <f t="shared" ref="BS169:BS179" ca="1" si="208">INDIRECT("'"&amp;AI169&amp;"'!"&amp;"G4")</f>
        <v>135.5</v>
      </c>
      <c r="BT169">
        <f t="shared" ref="BT169:BT179" ca="1" si="209">INDIRECT("'"&amp;AI169&amp;"'!"&amp;"G6")</f>
        <v>63.2</v>
      </c>
      <c r="BU169">
        <f t="shared" ref="BU169:BU179" ca="1" si="210">INDIRECT("'"&amp;AI169&amp;"'!"&amp;"G2")</f>
        <v>12</v>
      </c>
      <c r="BV169">
        <f t="shared" ref="BV169:BV179" ca="1" si="211">INDIRECT("'"&amp;AI169&amp;"'!"&amp;"G3")</f>
        <v>4.3</v>
      </c>
      <c r="BW169" s="1018">
        <v>0</v>
      </c>
      <c r="BX169">
        <f t="shared" ca="1" si="194"/>
        <v>43.311737147084209</v>
      </c>
      <c r="BY169">
        <f t="shared" ca="1" si="195"/>
        <v>208.61436950146629</v>
      </c>
      <c r="BZ169">
        <f t="shared" ca="1" si="167"/>
        <v>16.081067344345623</v>
      </c>
      <c r="CA169">
        <f t="shared" ca="1" si="168"/>
        <v>32.999999981849996</v>
      </c>
      <c r="CB169">
        <f t="shared" ca="1" si="196"/>
        <v>9.0267175572519083</v>
      </c>
      <c r="CC169" s="1018">
        <f t="shared" si="169"/>
        <v>0</v>
      </c>
      <c r="CD169" s="1018">
        <f t="shared" ref="CD169:CD179" ca="1" si="212">SUM(BX169:CC169)+(BR169+BS169+BT169+BU169+BV169)*BN169</f>
        <v>310.03389153199805</v>
      </c>
      <c r="CE169" s="1018">
        <f ca="1">0.34*BO169*(1/25)^0.66*(BR169+BS169+BU169+BV169)</f>
        <v>183.89923712295646</v>
      </c>
      <c r="CF169">
        <f t="shared" ca="1" si="170"/>
        <v>14.817993859648636</v>
      </c>
      <c r="CG169">
        <f t="shared" ca="1" si="171"/>
        <v>24671.36705656059</v>
      </c>
    </row>
    <row r="170" spans="4:85" x14ac:dyDescent="0.25">
      <c r="D170" s="523"/>
      <c r="E170" s="522"/>
      <c r="F170" s="528"/>
      <c r="G170" s="524"/>
      <c r="H170" s="528"/>
      <c r="I170" s="524"/>
      <c r="J170" s="528"/>
      <c r="K170" s="529"/>
      <c r="L170" s="528"/>
      <c r="M170" s="523"/>
      <c r="N170" s="523"/>
      <c r="O170" s="523" t="s">
        <v>18</v>
      </c>
      <c r="P170" s="525">
        <v>0.62953995200000001</v>
      </c>
      <c r="Q170" s="523" t="s">
        <v>7</v>
      </c>
      <c r="R170" s="525">
        <v>0.26140000000000002</v>
      </c>
      <c r="S170" s="523"/>
      <c r="T170" s="533">
        <v>0</v>
      </c>
      <c r="U170" s="522"/>
      <c r="V170" s="176">
        <f t="shared" si="172"/>
        <v>0</v>
      </c>
      <c r="W170" s="176">
        <f t="shared" ref="W170:X179" si="213">V170</f>
        <v>0</v>
      </c>
      <c r="X170" s="176">
        <f t="shared" si="213"/>
        <v>0</v>
      </c>
      <c r="Y170" s="34">
        <f>X170/Calculation_sheet!M$67</f>
        <v>0</v>
      </c>
      <c r="Z170" s="176">
        <f ca="1">IF(AN170&gt;0,Y170*Calculation_sheet!C$87,0)</f>
        <v>0</v>
      </c>
      <c r="AA170" s="176">
        <f t="shared" ref="AA170:AA179" ca="1" si="214">Y170-Z170</f>
        <v>0</v>
      </c>
      <c r="AB170" s="176">
        <f ca="1">IF(AP170&gt;0,AA170*Calculation_sheet!C$94,0)</f>
        <v>0</v>
      </c>
      <c r="AC170" s="176">
        <f t="shared" ca="1" si="204"/>
        <v>0</v>
      </c>
      <c r="AD170" s="958">
        <f ca="1">AC170*Calculation_sheet!C$99</f>
        <v>0</v>
      </c>
      <c r="AE170" s="176">
        <f t="shared" ca="1" si="204"/>
        <v>0</v>
      </c>
      <c r="AF170" s="176">
        <f t="shared" ref="AF170:AF179" ca="1" si="215">Y170-AB170</f>
        <v>0</v>
      </c>
      <c r="AG170" s="958">
        <f ca="1">AF170*User_sheet!B$77/100</f>
        <v>0</v>
      </c>
      <c r="AH170" s="313"/>
      <c r="AI170" s="908">
        <v>202</v>
      </c>
      <c r="AJ170" s="313"/>
      <c r="AK170" s="1020">
        <f t="shared" ca="1" si="166"/>
        <v>310.03389153199805</v>
      </c>
      <c r="AL170" s="954">
        <f ca="1">AK170/'202'!I$24</f>
        <v>0.9987883493830676</v>
      </c>
      <c r="AM170" s="954">
        <f ca="1">0.8*(AK170*30+'202'!D$17*0.34*30*1)</f>
        <v>11052.755796767953</v>
      </c>
      <c r="AN170" s="954">
        <f ca="1">IF(AM170&lt;User_sheet!B$50,Y170,0)</f>
        <v>0</v>
      </c>
      <c r="AO170" s="954">
        <f ca="1">20-(User_sheet!B$57/(AK170+'202'!D$17*1*0.34))</f>
        <v>7.6229962449724038</v>
      </c>
      <c r="AP170" s="954">
        <f ca="1">IF(AO170&lt;User_sheet!B$59,0,BC170*AA170)</f>
        <v>0</v>
      </c>
      <c r="AQ170" s="313"/>
      <c r="AR170" s="909">
        <v>0.47</v>
      </c>
      <c r="AS170" s="909">
        <v>2.1</v>
      </c>
      <c r="AT170" s="909">
        <v>0.89</v>
      </c>
      <c r="AU170" s="909">
        <v>2.75</v>
      </c>
      <c r="AV170" s="909">
        <v>3.3</v>
      </c>
      <c r="AW170" s="909">
        <v>11617.129718053829</v>
      </c>
      <c r="AX170" s="909">
        <v>74715.401027665983</v>
      </c>
      <c r="AY170" s="909">
        <v>79015.992973719694</v>
      </c>
      <c r="AZ170" s="909">
        <v>0</v>
      </c>
      <c r="BA170" s="909">
        <v>0</v>
      </c>
      <c r="BB170" s="909">
        <v>0.6</v>
      </c>
      <c r="BC170" s="919">
        <v>1</v>
      </c>
      <c r="BD170" s="920">
        <v>0</v>
      </c>
      <c r="BE170" s="920">
        <v>0</v>
      </c>
      <c r="BF170" s="921">
        <v>0</v>
      </c>
      <c r="BG170" s="909">
        <v>1</v>
      </c>
      <c r="BH170" s="909">
        <v>0</v>
      </c>
      <c r="BI170" s="921">
        <v>0</v>
      </c>
      <c r="BJ170" s="909">
        <v>0</v>
      </c>
      <c r="BK170" s="909">
        <v>0</v>
      </c>
      <c r="BL170" s="909">
        <v>1</v>
      </c>
      <c r="BM170" s="921">
        <v>0</v>
      </c>
      <c r="BN170" s="958">
        <v>0</v>
      </c>
      <c r="BO170" s="959">
        <v>18</v>
      </c>
      <c r="BP170">
        <f t="shared" ca="1" si="205"/>
        <v>173.25</v>
      </c>
      <c r="BQ170">
        <f t="shared" ca="1" si="206"/>
        <v>294.14</v>
      </c>
      <c r="BR170">
        <f t="shared" ca="1" si="207"/>
        <v>99.660000000000011</v>
      </c>
      <c r="BS170">
        <f t="shared" ca="1" si="208"/>
        <v>135.5</v>
      </c>
      <c r="BT170">
        <f t="shared" ca="1" si="209"/>
        <v>63.2</v>
      </c>
      <c r="BU170">
        <f t="shared" ca="1" si="210"/>
        <v>12</v>
      </c>
      <c r="BV170">
        <f t="shared" ca="1" si="211"/>
        <v>4.3</v>
      </c>
      <c r="BW170" s="1018">
        <v>0</v>
      </c>
      <c r="BX170">
        <f t="shared" ca="1" si="194"/>
        <v>43.311737147084209</v>
      </c>
      <c r="BY170">
        <f t="shared" ca="1" si="195"/>
        <v>208.61436950146629</v>
      </c>
      <c r="BZ170">
        <f t="shared" ca="1" si="167"/>
        <v>16.081067344345623</v>
      </c>
      <c r="CA170">
        <f t="shared" ca="1" si="168"/>
        <v>32.999999981849996</v>
      </c>
      <c r="CB170">
        <f t="shared" ca="1" si="196"/>
        <v>9.0267175572519083</v>
      </c>
      <c r="CC170" s="1018">
        <f t="shared" si="169"/>
        <v>0</v>
      </c>
      <c r="CD170" s="1018">
        <f t="shared" ca="1" si="212"/>
        <v>310.03389153199805</v>
      </c>
      <c r="CE170" s="1018">
        <f t="shared" ref="CE170:CE179" ca="1" si="216">0.34*BO170*(1/25)^0.66*(BR170+BS170+BU170+BV170)</f>
        <v>183.89923712295646</v>
      </c>
      <c r="CF170">
        <f t="shared" ca="1" si="170"/>
        <v>14.817993859648636</v>
      </c>
      <c r="CG170">
        <f t="shared" ca="1" si="171"/>
        <v>24671.36705656059</v>
      </c>
    </row>
    <row r="171" spans="4:85" x14ac:dyDescent="0.25">
      <c r="D171" s="523"/>
      <c r="E171" s="522"/>
      <c r="F171" s="528"/>
      <c r="G171" s="524"/>
      <c r="H171" s="528"/>
      <c r="I171" s="524"/>
      <c r="J171" s="528"/>
      <c r="K171" s="529"/>
      <c r="L171" s="528"/>
      <c r="M171" s="523"/>
      <c r="N171" s="523"/>
      <c r="O171" s="523"/>
      <c r="P171" s="523"/>
      <c r="Q171" s="523" t="s">
        <v>16</v>
      </c>
      <c r="R171" s="525">
        <v>0.73860000000000003</v>
      </c>
      <c r="S171" s="523"/>
      <c r="T171" s="533">
        <v>0</v>
      </c>
      <c r="U171" s="522"/>
      <c r="V171" s="176">
        <f t="shared" si="172"/>
        <v>0</v>
      </c>
      <c r="W171" s="176">
        <f t="shared" si="213"/>
        <v>0</v>
      </c>
      <c r="X171" s="176">
        <f t="shared" si="213"/>
        <v>0</v>
      </c>
      <c r="Y171" s="34">
        <f>X171/Calculation_sheet!M$67</f>
        <v>0</v>
      </c>
      <c r="Z171" s="176">
        <f ca="1">IF(AN171&gt;0,Y171*Calculation_sheet!C$87,0)</f>
        <v>0</v>
      </c>
      <c r="AA171" s="176">
        <f t="shared" ca="1" si="214"/>
        <v>0</v>
      </c>
      <c r="AB171" s="176">
        <f ca="1">IF(AP171&gt;0,AA171*Calculation_sheet!C$94,0)</f>
        <v>0</v>
      </c>
      <c r="AC171" s="176">
        <f t="shared" ca="1" si="204"/>
        <v>0</v>
      </c>
      <c r="AD171" s="958">
        <f ca="1">AC171*Calculation_sheet!C$99</f>
        <v>0</v>
      </c>
      <c r="AE171" s="176">
        <f t="shared" ca="1" si="204"/>
        <v>0</v>
      </c>
      <c r="AF171" s="176">
        <f t="shared" ca="1" si="215"/>
        <v>0</v>
      </c>
      <c r="AG171" s="958">
        <f ca="1">AF171*User_sheet!B$77/100</f>
        <v>0</v>
      </c>
      <c r="AH171" s="313"/>
      <c r="AI171" s="908">
        <v>202</v>
      </c>
      <c r="AJ171" s="313"/>
      <c r="AK171" s="1020">
        <f t="shared" ca="1" si="166"/>
        <v>310.03389153199805</v>
      </c>
      <c r="AL171" s="954">
        <f ca="1">AK171/'202'!I$24</f>
        <v>0.9987883493830676</v>
      </c>
      <c r="AM171" s="954">
        <f ca="1">0.8*(AK171*30+'202'!D$17*0.34*30*1)</f>
        <v>11052.755796767953</v>
      </c>
      <c r="AN171" s="954">
        <f ca="1">IF(AM171&lt;User_sheet!B$50,Y171,0)</f>
        <v>0</v>
      </c>
      <c r="AO171" s="954">
        <f ca="1">20-(User_sheet!B$57/(AK171+'202'!D$17*1*0.34))</f>
        <v>7.6229962449724038</v>
      </c>
      <c r="AP171" s="954">
        <f ca="1">IF(AO171&lt;User_sheet!B$59,0,BC171*AA171)</f>
        <v>0</v>
      </c>
      <c r="AQ171" s="313"/>
      <c r="AR171" s="909">
        <v>0.47</v>
      </c>
      <c r="AS171" s="909">
        <v>2.1</v>
      </c>
      <c r="AT171" s="909">
        <v>0.89</v>
      </c>
      <c r="AU171" s="909">
        <v>2.75</v>
      </c>
      <c r="AV171" s="909">
        <v>3.3</v>
      </c>
      <c r="AW171" s="909">
        <v>11617.129718053829</v>
      </c>
      <c r="AX171" s="909">
        <v>74715.401027665983</v>
      </c>
      <c r="AY171" s="909">
        <v>79015.992973719694</v>
      </c>
      <c r="AZ171" s="909">
        <v>0</v>
      </c>
      <c r="BA171" s="909">
        <v>0</v>
      </c>
      <c r="BB171" s="909">
        <v>0.6</v>
      </c>
      <c r="BC171" s="919">
        <v>1</v>
      </c>
      <c r="BD171" s="920">
        <v>0</v>
      </c>
      <c r="BE171" s="920">
        <v>0</v>
      </c>
      <c r="BF171" s="921">
        <v>0</v>
      </c>
      <c r="BG171" s="909">
        <v>0</v>
      </c>
      <c r="BH171" s="909">
        <v>1</v>
      </c>
      <c r="BI171" s="921">
        <v>0</v>
      </c>
      <c r="BJ171" s="909">
        <v>1</v>
      </c>
      <c r="BK171" s="909">
        <v>0</v>
      </c>
      <c r="BL171" s="909">
        <v>0</v>
      </c>
      <c r="BM171" s="921">
        <v>0</v>
      </c>
      <c r="BN171" s="958">
        <v>0</v>
      </c>
      <c r="BO171" s="959">
        <v>18</v>
      </c>
      <c r="BP171">
        <f t="shared" ca="1" si="205"/>
        <v>173.25</v>
      </c>
      <c r="BQ171">
        <f t="shared" ca="1" si="206"/>
        <v>294.14</v>
      </c>
      <c r="BR171">
        <f t="shared" ca="1" si="207"/>
        <v>99.660000000000011</v>
      </c>
      <c r="BS171">
        <f t="shared" ca="1" si="208"/>
        <v>135.5</v>
      </c>
      <c r="BT171">
        <f t="shared" ca="1" si="209"/>
        <v>63.2</v>
      </c>
      <c r="BU171">
        <f t="shared" ca="1" si="210"/>
        <v>12</v>
      </c>
      <c r="BV171">
        <f t="shared" ca="1" si="211"/>
        <v>4.3</v>
      </c>
      <c r="BW171" s="1018">
        <v>0</v>
      </c>
      <c r="BX171">
        <f t="shared" ca="1" si="194"/>
        <v>43.311737147084209</v>
      </c>
      <c r="BY171">
        <f t="shared" ca="1" si="195"/>
        <v>208.61436950146629</v>
      </c>
      <c r="BZ171">
        <f t="shared" ca="1" si="167"/>
        <v>16.081067344345623</v>
      </c>
      <c r="CA171">
        <f t="shared" ca="1" si="168"/>
        <v>32.999999981849996</v>
      </c>
      <c r="CB171">
        <f t="shared" ca="1" si="196"/>
        <v>9.0267175572519083</v>
      </c>
      <c r="CC171" s="1018">
        <f t="shared" si="169"/>
        <v>0</v>
      </c>
      <c r="CD171" s="1018">
        <f t="shared" ca="1" si="212"/>
        <v>310.03389153199805</v>
      </c>
      <c r="CE171" s="1018">
        <f t="shared" ca="1" si="216"/>
        <v>183.89923712295646</v>
      </c>
      <c r="CF171">
        <f t="shared" ca="1" si="170"/>
        <v>14.817993859648636</v>
      </c>
      <c r="CG171">
        <f t="shared" ca="1" si="171"/>
        <v>24671.36705656059</v>
      </c>
    </row>
    <row r="172" spans="4:85" x14ac:dyDescent="0.25">
      <c r="D172" s="523"/>
      <c r="E172" s="522"/>
      <c r="F172" s="528"/>
      <c r="G172" s="524"/>
      <c r="H172" s="528"/>
      <c r="I172" s="524"/>
      <c r="J172" s="528"/>
      <c r="K172" s="529"/>
      <c r="L172" s="528"/>
      <c r="M172" s="523" t="s">
        <v>16</v>
      </c>
      <c r="N172" s="525">
        <v>0.44680851100000002</v>
      </c>
      <c r="O172" s="523" t="s">
        <v>19</v>
      </c>
      <c r="P172" s="525">
        <v>0.37046004799999999</v>
      </c>
      <c r="Q172" s="523" t="s">
        <v>7</v>
      </c>
      <c r="R172" s="525">
        <v>0.26140000000000002</v>
      </c>
      <c r="S172" s="523"/>
      <c r="T172" s="533">
        <v>0</v>
      </c>
      <c r="U172" s="522"/>
      <c r="V172" s="176">
        <f t="shared" si="172"/>
        <v>0</v>
      </c>
      <c r="W172" s="176">
        <f t="shared" si="213"/>
        <v>0</v>
      </c>
      <c r="X172" s="176">
        <f t="shared" si="213"/>
        <v>0</v>
      </c>
      <c r="Y172" s="34">
        <f>X172/Calculation_sheet!M$67</f>
        <v>0</v>
      </c>
      <c r="Z172" s="176">
        <f ca="1">IF(AN172&gt;0,Y172*Calculation_sheet!C$87,0)</f>
        <v>0</v>
      </c>
      <c r="AA172" s="176">
        <f t="shared" ca="1" si="214"/>
        <v>0</v>
      </c>
      <c r="AB172" s="176">
        <f ca="1">IF(AP172&gt;0,AA172*Calculation_sheet!C$94,0)</f>
        <v>0</v>
      </c>
      <c r="AC172" s="176">
        <f t="shared" ca="1" si="204"/>
        <v>0</v>
      </c>
      <c r="AD172" s="958">
        <f ca="1">AC172*Calculation_sheet!C$99</f>
        <v>0</v>
      </c>
      <c r="AE172" s="176">
        <f t="shared" ca="1" si="204"/>
        <v>0</v>
      </c>
      <c r="AF172" s="176">
        <f t="shared" ca="1" si="215"/>
        <v>0</v>
      </c>
      <c r="AG172" s="958">
        <f ca="1">AF172*User_sheet!B$77/100</f>
        <v>0</v>
      </c>
      <c r="AH172" s="313"/>
      <c r="AI172" s="908">
        <v>202</v>
      </c>
      <c r="AJ172" s="313"/>
      <c r="AK172" s="1020">
        <f t="shared" ca="1" si="166"/>
        <v>310.03389153199805</v>
      </c>
      <c r="AL172" s="954">
        <f ca="1">AK172/'202'!I$24</f>
        <v>0.9987883493830676</v>
      </c>
      <c r="AM172" s="954">
        <f ca="1">0.8*(AK172*30+'202'!D$17*0.34*30*1)</f>
        <v>11052.755796767953</v>
      </c>
      <c r="AN172" s="954">
        <f ca="1">IF(AM172&lt;User_sheet!B$50,Y172,0)</f>
        <v>0</v>
      </c>
      <c r="AO172" s="954">
        <f ca="1">20-(User_sheet!B$57/(AK172+'202'!D$17*1*0.34))</f>
        <v>7.6229962449724038</v>
      </c>
      <c r="AP172" s="954">
        <f ca="1">IF(AO172&lt;User_sheet!B$59,0,BC172*AA172)</f>
        <v>0</v>
      </c>
      <c r="AQ172" s="313"/>
      <c r="AR172" s="909">
        <v>0.47</v>
      </c>
      <c r="AS172" s="909">
        <v>2.1</v>
      </c>
      <c r="AT172" s="909">
        <v>0.89</v>
      </c>
      <c r="AU172" s="909">
        <v>2.75</v>
      </c>
      <c r="AV172" s="909">
        <v>3.3</v>
      </c>
      <c r="AW172" s="909">
        <v>11617.129718053829</v>
      </c>
      <c r="AX172" s="909">
        <v>74715.401027665983</v>
      </c>
      <c r="AY172" s="909">
        <v>79015.992973719694</v>
      </c>
      <c r="AZ172" s="909">
        <v>0</v>
      </c>
      <c r="BA172" s="909">
        <v>0</v>
      </c>
      <c r="BB172" s="909">
        <v>0.6</v>
      </c>
      <c r="BC172" s="919">
        <v>1</v>
      </c>
      <c r="BD172" s="920">
        <v>0</v>
      </c>
      <c r="BE172" s="920">
        <v>0</v>
      </c>
      <c r="BF172" s="921">
        <v>0</v>
      </c>
      <c r="BG172" s="909">
        <v>0</v>
      </c>
      <c r="BH172" s="909">
        <v>1</v>
      </c>
      <c r="BI172" s="921">
        <v>0</v>
      </c>
      <c r="BJ172" s="909">
        <v>0</v>
      </c>
      <c r="BK172" s="909">
        <v>0</v>
      </c>
      <c r="BL172" s="909">
        <v>1</v>
      </c>
      <c r="BM172" s="921">
        <v>0</v>
      </c>
      <c r="BN172" s="958">
        <v>0</v>
      </c>
      <c r="BO172" s="959">
        <v>18</v>
      </c>
      <c r="BP172">
        <f t="shared" ca="1" si="205"/>
        <v>173.25</v>
      </c>
      <c r="BQ172">
        <f t="shared" ca="1" si="206"/>
        <v>294.14</v>
      </c>
      <c r="BR172">
        <f t="shared" ca="1" si="207"/>
        <v>99.660000000000011</v>
      </c>
      <c r="BS172">
        <f t="shared" ca="1" si="208"/>
        <v>135.5</v>
      </c>
      <c r="BT172">
        <f t="shared" ca="1" si="209"/>
        <v>63.2</v>
      </c>
      <c r="BU172">
        <f t="shared" ca="1" si="210"/>
        <v>12</v>
      </c>
      <c r="BV172">
        <f t="shared" ca="1" si="211"/>
        <v>4.3</v>
      </c>
      <c r="BW172" s="1018">
        <v>0</v>
      </c>
      <c r="BX172">
        <f t="shared" ca="1" si="194"/>
        <v>43.311737147084209</v>
      </c>
      <c r="BY172">
        <f t="shared" ca="1" si="195"/>
        <v>208.61436950146629</v>
      </c>
      <c r="BZ172">
        <f t="shared" ca="1" si="167"/>
        <v>16.081067344345623</v>
      </c>
      <c r="CA172">
        <f t="shared" ca="1" si="168"/>
        <v>32.999999981849996</v>
      </c>
      <c r="CB172">
        <f t="shared" ca="1" si="196"/>
        <v>9.0267175572519083</v>
      </c>
      <c r="CC172" s="1018">
        <f t="shared" si="169"/>
        <v>0</v>
      </c>
      <c r="CD172" s="1018">
        <f t="shared" ca="1" si="212"/>
        <v>310.03389153199805</v>
      </c>
      <c r="CE172" s="1018">
        <f t="shared" ca="1" si="216"/>
        <v>183.89923712295646</v>
      </c>
      <c r="CF172">
        <f t="shared" ca="1" si="170"/>
        <v>14.817993859648636</v>
      </c>
      <c r="CG172">
        <f t="shared" ca="1" si="171"/>
        <v>24671.36705656059</v>
      </c>
    </row>
    <row r="173" spans="4:85" x14ac:dyDescent="0.25">
      <c r="D173" s="523"/>
      <c r="E173" s="522"/>
      <c r="F173" s="528"/>
      <c r="G173" s="524"/>
      <c r="H173" s="528"/>
      <c r="I173" s="524"/>
      <c r="J173" s="528"/>
      <c r="K173" s="529"/>
      <c r="L173" s="528"/>
      <c r="M173" s="523"/>
      <c r="N173" s="523"/>
      <c r="O173" s="523"/>
      <c r="P173" s="523"/>
      <c r="Q173" s="523" t="s">
        <v>22</v>
      </c>
      <c r="R173" s="525">
        <v>0.53710000000000002</v>
      </c>
      <c r="S173" s="523"/>
      <c r="T173" s="533">
        <v>0</v>
      </c>
      <c r="U173" s="522"/>
      <c r="V173" s="176">
        <f t="shared" si="172"/>
        <v>0</v>
      </c>
      <c r="W173" s="176">
        <f t="shared" si="213"/>
        <v>0</v>
      </c>
      <c r="X173" s="176">
        <f t="shared" si="213"/>
        <v>0</v>
      </c>
      <c r="Y173" s="34">
        <f>X173/Calculation_sheet!M$67</f>
        <v>0</v>
      </c>
      <c r="Z173" s="176">
        <f ca="1">IF(AN173&gt;0,Y173*Calculation_sheet!C$87,0)</f>
        <v>0</v>
      </c>
      <c r="AA173" s="176">
        <f t="shared" ca="1" si="214"/>
        <v>0</v>
      </c>
      <c r="AB173" s="176">
        <f ca="1">IF(AP173&gt;0,AA173*Calculation_sheet!C$94,0)</f>
        <v>0</v>
      </c>
      <c r="AC173" s="176">
        <f t="shared" ca="1" si="204"/>
        <v>0</v>
      </c>
      <c r="AD173" s="958">
        <f ca="1">AC173*Calculation_sheet!C$99</f>
        <v>0</v>
      </c>
      <c r="AE173" s="176">
        <f t="shared" ca="1" si="204"/>
        <v>0</v>
      </c>
      <c r="AF173" s="176">
        <f t="shared" ca="1" si="215"/>
        <v>0</v>
      </c>
      <c r="AG173" s="958">
        <f ca="1">AF173*User_sheet!B$77/100</f>
        <v>0</v>
      </c>
      <c r="AH173" s="313"/>
      <c r="AI173" s="908">
        <v>202</v>
      </c>
      <c r="AJ173" s="313"/>
      <c r="AK173" s="1020">
        <f t="shared" ca="1" si="166"/>
        <v>310.03389153199805</v>
      </c>
      <c r="AL173" s="954">
        <f ca="1">AK173/'202'!I$24</f>
        <v>0.9987883493830676</v>
      </c>
      <c r="AM173" s="954">
        <f ca="1">0.8*(AK173*30+'202'!D$17*0.34*30*1)</f>
        <v>11052.755796767953</v>
      </c>
      <c r="AN173" s="954">
        <f ca="1">IF(AM173&lt;User_sheet!B$50,Y173,0)</f>
        <v>0</v>
      </c>
      <c r="AO173" s="954">
        <f ca="1">20-(User_sheet!B$57/(AK173+'202'!D$17*1*0.34))</f>
        <v>7.6229962449724038</v>
      </c>
      <c r="AP173" s="954">
        <f ca="1">IF(AO173&lt;User_sheet!B$59,0,BC173*AA173)</f>
        <v>0</v>
      </c>
      <c r="AQ173" s="313"/>
      <c r="AR173" s="909">
        <v>0.47</v>
      </c>
      <c r="AS173" s="909">
        <v>2.1</v>
      </c>
      <c r="AT173" s="909">
        <v>0.89</v>
      </c>
      <c r="AU173" s="909">
        <v>2.75</v>
      </c>
      <c r="AV173" s="909">
        <v>3.3</v>
      </c>
      <c r="AW173" s="909">
        <v>11617.129718053829</v>
      </c>
      <c r="AX173" s="909">
        <v>74715.401027665983</v>
      </c>
      <c r="AY173" s="909">
        <v>79015.992973719694</v>
      </c>
      <c r="AZ173" s="909">
        <v>0</v>
      </c>
      <c r="BA173" s="909">
        <v>0</v>
      </c>
      <c r="BB173" s="909">
        <v>0.6</v>
      </c>
      <c r="BC173" s="919">
        <v>0</v>
      </c>
      <c r="BD173" s="920">
        <v>1</v>
      </c>
      <c r="BE173" s="920">
        <v>0</v>
      </c>
      <c r="BF173" s="921">
        <v>0</v>
      </c>
      <c r="BG173" s="909">
        <v>1</v>
      </c>
      <c r="BH173" s="909">
        <v>0</v>
      </c>
      <c r="BI173" s="921">
        <v>0</v>
      </c>
      <c r="BJ173" s="909">
        <v>0</v>
      </c>
      <c r="BK173" s="909">
        <v>1</v>
      </c>
      <c r="BL173" s="909">
        <v>0</v>
      </c>
      <c r="BM173" s="921">
        <v>0</v>
      </c>
      <c r="BN173" s="958">
        <v>0</v>
      </c>
      <c r="BO173" s="959">
        <v>18</v>
      </c>
      <c r="BP173">
        <f t="shared" ca="1" si="205"/>
        <v>173.25</v>
      </c>
      <c r="BQ173">
        <f t="shared" ca="1" si="206"/>
        <v>294.14</v>
      </c>
      <c r="BR173">
        <f t="shared" ca="1" si="207"/>
        <v>99.660000000000011</v>
      </c>
      <c r="BS173">
        <f t="shared" ca="1" si="208"/>
        <v>135.5</v>
      </c>
      <c r="BT173">
        <f t="shared" ca="1" si="209"/>
        <v>63.2</v>
      </c>
      <c r="BU173">
        <f t="shared" ca="1" si="210"/>
        <v>12</v>
      </c>
      <c r="BV173">
        <f t="shared" ca="1" si="211"/>
        <v>4.3</v>
      </c>
      <c r="BW173" s="1018">
        <v>0</v>
      </c>
      <c r="BX173">
        <f t="shared" ca="1" si="194"/>
        <v>43.311737147084209</v>
      </c>
      <c r="BY173">
        <f t="shared" ca="1" si="195"/>
        <v>208.61436950146629</v>
      </c>
      <c r="BZ173">
        <f t="shared" ca="1" si="167"/>
        <v>16.081067344345623</v>
      </c>
      <c r="CA173">
        <f t="shared" ca="1" si="168"/>
        <v>32.999999981849996</v>
      </c>
      <c r="CB173">
        <f t="shared" ca="1" si="196"/>
        <v>9.0267175572519083</v>
      </c>
      <c r="CC173" s="1018">
        <f t="shared" si="169"/>
        <v>0</v>
      </c>
      <c r="CD173" s="1018">
        <f t="shared" ca="1" si="212"/>
        <v>310.03389153199805</v>
      </c>
      <c r="CE173" s="1018">
        <f t="shared" ca="1" si="216"/>
        <v>183.89923712295646</v>
      </c>
      <c r="CF173">
        <f t="shared" ca="1" si="170"/>
        <v>14.817993859648636</v>
      </c>
      <c r="CG173">
        <f t="shared" ca="1" si="171"/>
        <v>24671.36705656059</v>
      </c>
    </row>
    <row r="174" spans="4:85" x14ac:dyDescent="0.25">
      <c r="D174" s="523"/>
      <c r="E174" s="522"/>
      <c r="F174" s="528"/>
      <c r="G174" s="524"/>
      <c r="H174" s="528"/>
      <c r="I174" s="524"/>
      <c r="J174" s="528"/>
      <c r="K174" s="529"/>
      <c r="L174" s="528"/>
      <c r="M174" s="523"/>
      <c r="N174" s="523"/>
      <c r="O174" s="523" t="s">
        <v>18</v>
      </c>
      <c r="P174" s="525">
        <v>0.80827067699999999</v>
      </c>
      <c r="Q174" s="523" t="s">
        <v>7</v>
      </c>
      <c r="R174" s="525">
        <v>0.46289999999999998</v>
      </c>
      <c r="S174" s="523"/>
      <c r="T174" s="533">
        <v>0</v>
      </c>
      <c r="U174" s="522"/>
      <c r="V174" s="176">
        <f t="shared" si="172"/>
        <v>0</v>
      </c>
      <c r="W174" s="176">
        <f t="shared" si="213"/>
        <v>0</v>
      </c>
      <c r="X174" s="176">
        <f t="shared" si="213"/>
        <v>0</v>
      </c>
      <c r="Y174" s="34">
        <f>X174/Calculation_sheet!M$67</f>
        <v>0</v>
      </c>
      <c r="Z174" s="176">
        <f ca="1">IF(AN174&gt;0,Y174*Calculation_sheet!C$87,0)</f>
        <v>0</v>
      </c>
      <c r="AA174" s="176">
        <f t="shared" ca="1" si="214"/>
        <v>0</v>
      </c>
      <c r="AB174" s="176">
        <f ca="1">IF(AP174&gt;0,AA174*Calculation_sheet!C$94,0)</f>
        <v>0</v>
      </c>
      <c r="AC174" s="176">
        <f t="shared" ca="1" si="204"/>
        <v>0</v>
      </c>
      <c r="AD174" s="958">
        <f ca="1">AC174*Calculation_sheet!C$99</f>
        <v>0</v>
      </c>
      <c r="AE174" s="176">
        <f t="shared" ca="1" si="204"/>
        <v>0</v>
      </c>
      <c r="AF174" s="176">
        <f t="shared" ca="1" si="215"/>
        <v>0</v>
      </c>
      <c r="AG174" s="958">
        <f ca="1">AF174*User_sheet!B$77/100</f>
        <v>0</v>
      </c>
      <c r="AH174" s="313"/>
      <c r="AI174" s="908">
        <v>202</v>
      </c>
      <c r="AJ174" s="313"/>
      <c r="AK174" s="1020">
        <f t="shared" ca="1" si="166"/>
        <v>310.03389153199805</v>
      </c>
      <c r="AL174" s="954">
        <f ca="1">AK174/'202'!I$24</f>
        <v>0.9987883493830676</v>
      </c>
      <c r="AM174" s="954">
        <f ca="1">0.8*(AK174*30+'202'!D$17*0.34*30*1)</f>
        <v>11052.755796767953</v>
      </c>
      <c r="AN174" s="954">
        <f ca="1">IF(AM174&lt;User_sheet!B$50,Y174,0)</f>
        <v>0</v>
      </c>
      <c r="AO174" s="954">
        <f ca="1">20-(User_sheet!B$57/(AK174+'202'!D$17*1*0.34))</f>
        <v>7.6229962449724038</v>
      </c>
      <c r="AP174" s="954">
        <f ca="1">IF(AO174&lt;User_sheet!B$59,0,BC174*AA174)</f>
        <v>0</v>
      </c>
      <c r="AQ174" s="313"/>
      <c r="AR174" s="909">
        <v>0.47</v>
      </c>
      <c r="AS174" s="909">
        <v>2.1</v>
      </c>
      <c r="AT174" s="909">
        <v>0.89</v>
      </c>
      <c r="AU174" s="909">
        <v>2.75</v>
      </c>
      <c r="AV174" s="909">
        <v>3.3</v>
      </c>
      <c r="AW174" s="909">
        <v>11617.129718053829</v>
      </c>
      <c r="AX174" s="909">
        <v>74715.401027665983</v>
      </c>
      <c r="AY174" s="909">
        <v>79015.992973719694</v>
      </c>
      <c r="AZ174" s="909">
        <v>0</v>
      </c>
      <c r="BA174" s="909">
        <v>0</v>
      </c>
      <c r="BB174" s="909">
        <v>0.6</v>
      </c>
      <c r="BC174" s="919">
        <v>0</v>
      </c>
      <c r="BD174" s="920">
        <v>1</v>
      </c>
      <c r="BE174" s="920">
        <v>0</v>
      </c>
      <c r="BF174" s="921">
        <v>0</v>
      </c>
      <c r="BG174" s="909">
        <v>1</v>
      </c>
      <c r="BH174" s="909">
        <v>0</v>
      </c>
      <c r="BI174" s="921">
        <v>0</v>
      </c>
      <c r="BJ174" s="909">
        <v>0</v>
      </c>
      <c r="BK174" s="909">
        <v>0</v>
      </c>
      <c r="BL174" s="909">
        <v>1</v>
      </c>
      <c r="BM174" s="921">
        <v>0</v>
      </c>
      <c r="BN174" s="958">
        <v>0</v>
      </c>
      <c r="BO174" s="959">
        <v>18</v>
      </c>
      <c r="BP174">
        <f t="shared" ca="1" si="205"/>
        <v>173.25</v>
      </c>
      <c r="BQ174">
        <f t="shared" ca="1" si="206"/>
        <v>294.14</v>
      </c>
      <c r="BR174">
        <f t="shared" ca="1" si="207"/>
        <v>99.660000000000011</v>
      </c>
      <c r="BS174">
        <f t="shared" ca="1" si="208"/>
        <v>135.5</v>
      </c>
      <c r="BT174">
        <f t="shared" ca="1" si="209"/>
        <v>63.2</v>
      </c>
      <c r="BU174">
        <f t="shared" ca="1" si="210"/>
        <v>12</v>
      </c>
      <c r="BV174">
        <f t="shared" ca="1" si="211"/>
        <v>4.3</v>
      </c>
      <c r="BW174" s="1018">
        <v>0</v>
      </c>
      <c r="BX174">
        <f t="shared" ca="1" si="194"/>
        <v>43.311737147084209</v>
      </c>
      <c r="BY174">
        <f t="shared" ca="1" si="195"/>
        <v>208.61436950146629</v>
      </c>
      <c r="BZ174">
        <f t="shared" ca="1" si="167"/>
        <v>16.081067344345623</v>
      </c>
      <c r="CA174">
        <f t="shared" ca="1" si="168"/>
        <v>32.999999981849996</v>
      </c>
      <c r="CB174">
        <f t="shared" ca="1" si="196"/>
        <v>9.0267175572519083</v>
      </c>
      <c r="CC174" s="1018">
        <f t="shared" si="169"/>
        <v>0</v>
      </c>
      <c r="CD174" s="1018">
        <f t="shared" ca="1" si="212"/>
        <v>310.03389153199805</v>
      </c>
      <c r="CE174" s="1018">
        <f t="shared" ca="1" si="216"/>
        <v>183.89923712295646</v>
      </c>
      <c r="CF174">
        <f t="shared" ca="1" si="170"/>
        <v>14.817993859648636</v>
      </c>
      <c r="CG174">
        <f t="shared" ca="1" si="171"/>
        <v>24671.36705656059</v>
      </c>
    </row>
    <row r="175" spans="4:85" x14ac:dyDescent="0.25">
      <c r="D175" s="523"/>
      <c r="E175" s="522"/>
      <c r="F175" s="528"/>
      <c r="G175" s="524"/>
      <c r="H175" s="528"/>
      <c r="I175" s="524"/>
      <c r="J175" s="528"/>
      <c r="K175" s="529"/>
      <c r="L175" s="528"/>
      <c r="M175" s="523"/>
      <c r="N175" s="523"/>
      <c r="O175" s="523"/>
      <c r="P175" s="523"/>
      <c r="Q175" s="523" t="s">
        <v>22</v>
      </c>
      <c r="R175" s="525">
        <v>0.53710000000000002</v>
      </c>
      <c r="S175" s="523"/>
      <c r="T175" s="533">
        <v>0</v>
      </c>
      <c r="U175" s="522"/>
      <c r="V175" s="176">
        <f t="shared" si="172"/>
        <v>0</v>
      </c>
      <c r="W175" s="176">
        <f t="shared" si="213"/>
        <v>0</v>
      </c>
      <c r="X175" s="176">
        <f t="shared" si="213"/>
        <v>0</v>
      </c>
      <c r="Y175" s="34">
        <f>X175/Calculation_sheet!M$67</f>
        <v>0</v>
      </c>
      <c r="Z175" s="176">
        <f ca="1">IF(AN175&gt;0,Y175*Calculation_sheet!C$87,0)</f>
        <v>0</v>
      </c>
      <c r="AA175" s="176">
        <f t="shared" ca="1" si="214"/>
        <v>0</v>
      </c>
      <c r="AB175" s="176">
        <f ca="1">IF(AP175&gt;0,AA175*Calculation_sheet!C$94,0)</f>
        <v>0</v>
      </c>
      <c r="AC175" s="176">
        <f t="shared" ca="1" si="204"/>
        <v>0</v>
      </c>
      <c r="AD175" s="958">
        <f ca="1">AC175*Calculation_sheet!C$99</f>
        <v>0</v>
      </c>
      <c r="AE175" s="176">
        <f t="shared" ca="1" si="204"/>
        <v>0</v>
      </c>
      <c r="AF175" s="176">
        <f t="shared" ca="1" si="215"/>
        <v>0</v>
      </c>
      <c r="AG175" s="958">
        <f ca="1">AF175*User_sheet!B$77/100</f>
        <v>0</v>
      </c>
      <c r="AH175" s="313"/>
      <c r="AI175" s="908">
        <v>202</v>
      </c>
      <c r="AJ175" s="313"/>
      <c r="AK175" s="1020">
        <f t="shared" ca="1" si="166"/>
        <v>310.03389153199805</v>
      </c>
      <c r="AL175" s="954">
        <f ca="1">AK175/'202'!I$24</f>
        <v>0.9987883493830676</v>
      </c>
      <c r="AM175" s="954">
        <f ca="1">0.8*(AK175*30+'202'!D$17*0.34*30*1)</f>
        <v>11052.755796767953</v>
      </c>
      <c r="AN175" s="954">
        <f ca="1">IF(AM175&lt;User_sheet!B$50,Y175,0)</f>
        <v>0</v>
      </c>
      <c r="AO175" s="954">
        <f ca="1">20-(User_sheet!B$57/(AK175+'202'!D$17*1*0.34))</f>
        <v>7.6229962449724038</v>
      </c>
      <c r="AP175" s="954">
        <f ca="1">IF(AO175&lt;User_sheet!B$59,0,BC175*AA175)</f>
        <v>0</v>
      </c>
      <c r="AQ175" s="313"/>
      <c r="AR175" s="909">
        <v>0.47</v>
      </c>
      <c r="AS175" s="909">
        <v>2.1</v>
      </c>
      <c r="AT175" s="909">
        <v>0.89</v>
      </c>
      <c r="AU175" s="909">
        <v>2.75</v>
      </c>
      <c r="AV175" s="909">
        <v>3.3</v>
      </c>
      <c r="AW175" s="909">
        <v>11617.129718053829</v>
      </c>
      <c r="AX175" s="909">
        <v>74715.401027665983</v>
      </c>
      <c r="AY175" s="909">
        <v>79015.992973719694</v>
      </c>
      <c r="AZ175" s="909">
        <v>0</v>
      </c>
      <c r="BA175" s="909">
        <v>0</v>
      </c>
      <c r="BB175" s="909">
        <v>0.6</v>
      </c>
      <c r="BC175" s="919">
        <v>0</v>
      </c>
      <c r="BD175" s="920">
        <v>1</v>
      </c>
      <c r="BE175" s="920">
        <v>0</v>
      </c>
      <c r="BF175" s="921">
        <v>0</v>
      </c>
      <c r="BG175" s="909">
        <v>0</v>
      </c>
      <c r="BH175" s="909">
        <v>1</v>
      </c>
      <c r="BI175" s="921">
        <v>0</v>
      </c>
      <c r="BJ175" s="909">
        <v>0</v>
      </c>
      <c r="BK175" s="909">
        <v>1</v>
      </c>
      <c r="BL175" s="909">
        <v>0</v>
      </c>
      <c r="BM175" s="921">
        <v>0</v>
      </c>
      <c r="BN175" s="958">
        <v>0</v>
      </c>
      <c r="BO175" s="959">
        <v>18</v>
      </c>
      <c r="BP175">
        <f t="shared" ca="1" si="205"/>
        <v>173.25</v>
      </c>
      <c r="BQ175">
        <f t="shared" ca="1" si="206"/>
        <v>294.14</v>
      </c>
      <c r="BR175">
        <f t="shared" ca="1" si="207"/>
        <v>99.660000000000011</v>
      </c>
      <c r="BS175">
        <f t="shared" ca="1" si="208"/>
        <v>135.5</v>
      </c>
      <c r="BT175">
        <f t="shared" ca="1" si="209"/>
        <v>63.2</v>
      </c>
      <c r="BU175">
        <f t="shared" ca="1" si="210"/>
        <v>12</v>
      </c>
      <c r="BV175">
        <f t="shared" ca="1" si="211"/>
        <v>4.3</v>
      </c>
      <c r="BW175" s="1018">
        <v>0</v>
      </c>
      <c r="BX175">
        <f t="shared" ca="1" si="194"/>
        <v>43.311737147084209</v>
      </c>
      <c r="BY175">
        <f t="shared" ca="1" si="195"/>
        <v>208.61436950146629</v>
      </c>
      <c r="BZ175">
        <f t="shared" ca="1" si="167"/>
        <v>16.081067344345623</v>
      </c>
      <c r="CA175">
        <f t="shared" ca="1" si="168"/>
        <v>32.999999981849996</v>
      </c>
      <c r="CB175">
        <f t="shared" ca="1" si="196"/>
        <v>9.0267175572519083</v>
      </c>
      <c r="CC175" s="1018">
        <f t="shared" si="169"/>
        <v>0</v>
      </c>
      <c r="CD175" s="1018">
        <f t="shared" ca="1" si="212"/>
        <v>310.03389153199805</v>
      </c>
      <c r="CE175" s="1018">
        <f t="shared" ca="1" si="216"/>
        <v>183.89923712295646</v>
      </c>
      <c r="CF175">
        <f t="shared" ca="1" si="170"/>
        <v>14.817993859648636</v>
      </c>
      <c r="CG175">
        <f t="shared" ca="1" si="171"/>
        <v>24671.36705656059</v>
      </c>
    </row>
    <row r="176" spans="4:85" x14ac:dyDescent="0.25">
      <c r="D176" s="523"/>
      <c r="E176" s="522"/>
      <c r="F176" s="528"/>
      <c r="G176" s="524"/>
      <c r="H176" s="528"/>
      <c r="I176" s="524"/>
      <c r="J176" s="528"/>
      <c r="K176" s="529"/>
      <c r="L176" s="528"/>
      <c r="M176" s="523" t="s">
        <v>22</v>
      </c>
      <c r="N176" s="525">
        <v>0.44680851100000002</v>
      </c>
      <c r="O176" s="523" t="s">
        <v>20</v>
      </c>
      <c r="P176" s="525">
        <v>0.19172932300000001</v>
      </c>
      <c r="Q176" s="523" t="s">
        <v>7</v>
      </c>
      <c r="R176" s="525">
        <v>0.46289999999999998</v>
      </c>
      <c r="S176" s="523"/>
      <c r="T176" s="533">
        <v>0</v>
      </c>
      <c r="U176" s="522"/>
      <c r="V176" s="176">
        <f t="shared" si="172"/>
        <v>0</v>
      </c>
      <c r="W176" s="176">
        <f t="shared" si="213"/>
        <v>0</v>
      </c>
      <c r="X176" s="176">
        <f t="shared" si="213"/>
        <v>0</v>
      </c>
      <c r="Y176" s="34">
        <f>X176/Calculation_sheet!M$67</f>
        <v>0</v>
      </c>
      <c r="Z176" s="176">
        <f ca="1">IF(AN176&gt;0,Y176*Calculation_sheet!C$87,0)</f>
        <v>0</v>
      </c>
      <c r="AA176" s="176">
        <f t="shared" ca="1" si="214"/>
        <v>0</v>
      </c>
      <c r="AB176" s="176">
        <f ca="1">IF(AP176&gt;0,AA176*Calculation_sheet!C$94,0)</f>
        <v>0</v>
      </c>
      <c r="AC176" s="176">
        <f t="shared" ca="1" si="204"/>
        <v>0</v>
      </c>
      <c r="AD176" s="958">
        <f ca="1">AC176*Calculation_sheet!C$99</f>
        <v>0</v>
      </c>
      <c r="AE176" s="176">
        <f t="shared" ca="1" si="204"/>
        <v>0</v>
      </c>
      <c r="AF176" s="176">
        <f t="shared" ca="1" si="215"/>
        <v>0</v>
      </c>
      <c r="AG176" s="958">
        <f ca="1">AF176*User_sheet!B$77/100</f>
        <v>0</v>
      </c>
      <c r="AH176" s="313"/>
      <c r="AI176" s="908">
        <v>202</v>
      </c>
      <c r="AJ176" s="313"/>
      <c r="AK176" s="1020">
        <f t="shared" ca="1" si="166"/>
        <v>310.03389153199805</v>
      </c>
      <c r="AL176" s="954">
        <f ca="1">AK176/'202'!I$24</f>
        <v>0.9987883493830676</v>
      </c>
      <c r="AM176" s="954">
        <f ca="1">0.8*(AK176*30+'202'!D$17*0.34*30*1)</f>
        <v>11052.755796767953</v>
      </c>
      <c r="AN176" s="954">
        <f ca="1">IF(AM176&lt;User_sheet!B$50,Y176,0)</f>
        <v>0</v>
      </c>
      <c r="AO176" s="954">
        <f ca="1">20-(User_sheet!B$57/(AK176+'202'!D$17*1*0.34))</f>
        <v>7.6229962449724038</v>
      </c>
      <c r="AP176" s="954">
        <f ca="1">IF(AO176&lt;User_sheet!B$59,0,BC176*AA176)</f>
        <v>0</v>
      </c>
      <c r="AQ176" s="313"/>
      <c r="AR176" s="909">
        <v>0.47</v>
      </c>
      <c r="AS176" s="909">
        <v>2.1</v>
      </c>
      <c r="AT176" s="909">
        <v>0.89</v>
      </c>
      <c r="AU176" s="909">
        <v>2.75</v>
      </c>
      <c r="AV176" s="909">
        <v>3.3</v>
      </c>
      <c r="AW176" s="909">
        <v>11617.129718053829</v>
      </c>
      <c r="AX176" s="909">
        <v>74715.401027665983</v>
      </c>
      <c r="AY176" s="909">
        <v>79015.992973719694</v>
      </c>
      <c r="AZ176" s="909">
        <v>0</v>
      </c>
      <c r="BA176" s="909">
        <v>0</v>
      </c>
      <c r="BB176" s="909">
        <v>0.6</v>
      </c>
      <c r="BC176" s="919">
        <v>0</v>
      </c>
      <c r="BD176" s="920">
        <v>1</v>
      </c>
      <c r="BE176" s="920">
        <v>0</v>
      </c>
      <c r="BF176" s="921">
        <v>0</v>
      </c>
      <c r="BG176" s="909">
        <v>0</v>
      </c>
      <c r="BH176" s="909">
        <v>1</v>
      </c>
      <c r="BI176" s="921">
        <v>0</v>
      </c>
      <c r="BJ176" s="909">
        <v>0</v>
      </c>
      <c r="BK176" s="909">
        <v>0</v>
      </c>
      <c r="BL176" s="909">
        <v>1</v>
      </c>
      <c r="BM176" s="921">
        <v>0</v>
      </c>
      <c r="BN176" s="958">
        <v>0</v>
      </c>
      <c r="BO176" s="959">
        <v>18</v>
      </c>
      <c r="BP176">
        <f t="shared" ca="1" si="205"/>
        <v>173.25</v>
      </c>
      <c r="BQ176">
        <f t="shared" ca="1" si="206"/>
        <v>294.14</v>
      </c>
      <c r="BR176">
        <f t="shared" ca="1" si="207"/>
        <v>99.660000000000011</v>
      </c>
      <c r="BS176">
        <f t="shared" ca="1" si="208"/>
        <v>135.5</v>
      </c>
      <c r="BT176">
        <f t="shared" ca="1" si="209"/>
        <v>63.2</v>
      </c>
      <c r="BU176">
        <f t="shared" ca="1" si="210"/>
        <v>12</v>
      </c>
      <c r="BV176">
        <f t="shared" ca="1" si="211"/>
        <v>4.3</v>
      </c>
      <c r="BW176" s="1018">
        <v>0</v>
      </c>
      <c r="BX176">
        <f t="shared" ca="1" si="194"/>
        <v>43.311737147084209</v>
      </c>
      <c r="BY176">
        <f t="shared" ca="1" si="195"/>
        <v>208.61436950146629</v>
      </c>
      <c r="BZ176">
        <f t="shared" ca="1" si="167"/>
        <v>16.081067344345623</v>
      </c>
      <c r="CA176">
        <f t="shared" ca="1" si="168"/>
        <v>32.999999981849996</v>
      </c>
      <c r="CB176">
        <f t="shared" ca="1" si="196"/>
        <v>9.0267175572519083</v>
      </c>
      <c r="CC176" s="1018">
        <f t="shared" si="169"/>
        <v>0</v>
      </c>
      <c r="CD176" s="1018">
        <f t="shared" ca="1" si="212"/>
        <v>310.03389153199805</v>
      </c>
      <c r="CE176" s="1018">
        <f t="shared" ca="1" si="216"/>
        <v>183.89923712295646</v>
      </c>
      <c r="CF176">
        <f t="shared" ca="1" si="170"/>
        <v>14.817993859648636</v>
      </c>
      <c r="CG176">
        <f t="shared" ca="1" si="171"/>
        <v>24671.36705656059</v>
      </c>
    </row>
    <row r="177" spans="4:85" x14ac:dyDescent="0.25">
      <c r="D177" s="523"/>
      <c r="E177" s="522"/>
      <c r="F177" s="523"/>
      <c r="G177" s="522"/>
      <c r="H177" s="523"/>
      <c r="I177" s="522"/>
      <c r="J177" s="523"/>
      <c r="K177" s="522"/>
      <c r="L177" s="522"/>
      <c r="M177" s="523" t="s">
        <v>7</v>
      </c>
      <c r="N177" s="525">
        <v>2.1276595999999998E-2</v>
      </c>
      <c r="O177" s="523" t="s">
        <v>23</v>
      </c>
      <c r="P177" s="525">
        <v>1</v>
      </c>
      <c r="Q177" s="523" t="s">
        <v>7</v>
      </c>
      <c r="R177" s="525">
        <v>1</v>
      </c>
      <c r="S177" s="523"/>
      <c r="T177" s="533">
        <v>0</v>
      </c>
      <c r="U177" s="522"/>
      <c r="V177" s="176">
        <f t="shared" si="172"/>
        <v>0</v>
      </c>
      <c r="W177" s="176">
        <f t="shared" si="213"/>
        <v>0</v>
      </c>
      <c r="X177" s="176">
        <f t="shared" si="213"/>
        <v>0</v>
      </c>
      <c r="Y177" s="34">
        <f>X177/Calculation_sheet!M$67</f>
        <v>0</v>
      </c>
      <c r="Z177" s="176">
        <f ca="1">IF(AN177&gt;0,Y177*Calculation_sheet!C$87,0)</f>
        <v>0</v>
      </c>
      <c r="AA177" s="176">
        <f t="shared" ca="1" si="214"/>
        <v>0</v>
      </c>
      <c r="AB177" s="176">
        <f ca="1">IF(AP177&gt;0,AA177*Calculation_sheet!C$94,0)</f>
        <v>0</v>
      </c>
      <c r="AC177" s="176">
        <f t="shared" ca="1" si="204"/>
        <v>0</v>
      </c>
      <c r="AD177" s="958">
        <f ca="1">AC177*Calculation_sheet!C$99</f>
        <v>0</v>
      </c>
      <c r="AE177" s="176">
        <f t="shared" ca="1" si="204"/>
        <v>0</v>
      </c>
      <c r="AF177" s="176">
        <f t="shared" ca="1" si="215"/>
        <v>0</v>
      </c>
      <c r="AG177" s="958">
        <f ca="1">AF177*User_sheet!B$77/100</f>
        <v>0</v>
      </c>
      <c r="AH177" s="313"/>
      <c r="AI177" s="908">
        <v>202</v>
      </c>
      <c r="AJ177" s="313"/>
      <c r="AK177" s="1020">
        <f t="shared" ca="1" si="166"/>
        <v>310.03389153199805</v>
      </c>
      <c r="AL177" s="954">
        <f ca="1">AK177/'202'!I$24</f>
        <v>0.9987883493830676</v>
      </c>
      <c r="AM177" s="954">
        <f ca="1">0.8*(AK177*30+'202'!D$17*0.34*30*1)</f>
        <v>11052.755796767953</v>
      </c>
      <c r="AN177" s="954">
        <f ca="1">IF(AM177&lt;User_sheet!B$50,Y177,0)</f>
        <v>0</v>
      </c>
      <c r="AO177" s="954">
        <f ca="1">20-(User_sheet!B$57/(AK177+'202'!D$17*1*0.34))</f>
        <v>7.6229962449724038</v>
      </c>
      <c r="AP177" s="954">
        <f ca="1">IF(AO177&lt;User_sheet!B$59,0,BC177*AA177)</f>
        <v>0</v>
      </c>
      <c r="AQ177" s="313"/>
      <c r="AR177" s="909">
        <v>0.47</v>
      </c>
      <c r="AS177" s="909">
        <v>2.1</v>
      </c>
      <c r="AT177" s="909">
        <v>0.89</v>
      </c>
      <c r="AU177" s="909">
        <v>2.75</v>
      </c>
      <c r="AV177" s="909">
        <v>3.3</v>
      </c>
      <c r="AW177" s="909">
        <v>11617.129718053829</v>
      </c>
      <c r="AX177" s="909">
        <v>74715.401027665983</v>
      </c>
      <c r="AY177" s="909">
        <v>79015.992973719694</v>
      </c>
      <c r="AZ177" s="909">
        <v>0</v>
      </c>
      <c r="BA177" s="909">
        <v>0</v>
      </c>
      <c r="BB177" s="909">
        <v>0.6</v>
      </c>
      <c r="BC177" s="919">
        <v>0</v>
      </c>
      <c r="BD177" s="920">
        <v>0</v>
      </c>
      <c r="BE177" s="920">
        <v>1</v>
      </c>
      <c r="BF177" s="921">
        <v>0</v>
      </c>
      <c r="BG177" s="909">
        <v>0</v>
      </c>
      <c r="BH177" s="909">
        <v>0</v>
      </c>
      <c r="BI177" s="921">
        <v>1</v>
      </c>
      <c r="BJ177" s="909">
        <v>0</v>
      </c>
      <c r="BK177" s="909">
        <v>0</v>
      </c>
      <c r="BL177" s="909">
        <v>1</v>
      </c>
      <c r="BM177" s="921">
        <v>0</v>
      </c>
      <c r="BN177" s="958">
        <v>0</v>
      </c>
      <c r="BO177" s="959">
        <v>18</v>
      </c>
      <c r="BP177">
        <f t="shared" ca="1" si="205"/>
        <v>173.25</v>
      </c>
      <c r="BQ177">
        <f t="shared" ca="1" si="206"/>
        <v>294.14</v>
      </c>
      <c r="BR177">
        <f t="shared" ca="1" si="207"/>
        <v>99.660000000000011</v>
      </c>
      <c r="BS177">
        <f t="shared" ca="1" si="208"/>
        <v>135.5</v>
      </c>
      <c r="BT177">
        <f t="shared" ca="1" si="209"/>
        <v>63.2</v>
      </c>
      <c r="BU177">
        <f t="shared" ca="1" si="210"/>
        <v>12</v>
      </c>
      <c r="BV177">
        <f t="shared" ca="1" si="211"/>
        <v>4.3</v>
      </c>
      <c r="BW177" s="1018">
        <v>0</v>
      </c>
      <c r="BX177">
        <f t="shared" ca="1" si="194"/>
        <v>43.311737147084209</v>
      </c>
      <c r="BY177">
        <f t="shared" ca="1" si="195"/>
        <v>208.61436950146629</v>
      </c>
      <c r="BZ177">
        <f t="shared" ca="1" si="167"/>
        <v>16.081067344345623</v>
      </c>
      <c r="CA177">
        <f t="shared" ca="1" si="168"/>
        <v>32.999999981849996</v>
      </c>
      <c r="CB177">
        <f t="shared" ca="1" si="196"/>
        <v>9.0267175572519083</v>
      </c>
      <c r="CC177" s="1018">
        <f t="shared" si="169"/>
        <v>0</v>
      </c>
      <c r="CD177" s="1018">
        <f t="shared" ca="1" si="212"/>
        <v>310.03389153199805</v>
      </c>
      <c r="CE177" s="1018">
        <f t="shared" ca="1" si="216"/>
        <v>183.89923712295646</v>
      </c>
      <c r="CF177">
        <f t="shared" ca="1" si="170"/>
        <v>14.817993859648636</v>
      </c>
      <c r="CG177">
        <f t="shared" ca="1" si="171"/>
        <v>24671.36705656059</v>
      </c>
    </row>
    <row r="178" spans="4:85" x14ac:dyDescent="0.25">
      <c r="D178" s="523"/>
      <c r="E178" s="522"/>
      <c r="F178" s="523"/>
      <c r="G178" s="522"/>
      <c r="H178" s="523"/>
      <c r="I178" s="522"/>
      <c r="J178" s="523"/>
      <c r="K178" s="523"/>
      <c r="L178" s="523"/>
      <c r="M178" s="523"/>
      <c r="N178" s="523"/>
      <c r="O178" s="523" t="s">
        <v>18</v>
      </c>
      <c r="P178" s="525">
        <v>0.15910607099999999</v>
      </c>
      <c r="Q178" s="523" t="s">
        <v>17</v>
      </c>
      <c r="R178" s="525">
        <v>1</v>
      </c>
      <c r="S178" s="523"/>
      <c r="T178" s="533">
        <v>0</v>
      </c>
      <c r="U178" s="522"/>
      <c r="V178" s="176">
        <f t="shared" si="172"/>
        <v>0</v>
      </c>
      <c r="W178" s="176">
        <f t="shared" si="213"/>
        <v>0</v>
      </c>
      <c r="X178" s="176">
        <f t="shared" si="213"/>
        <v>0</v>
      </c>
      <c r="Y178" s="34">
        <f>X178/Calculation_sheet!M$67</f>
        <v>0</v>
      </c>
      <c r="Z178" s="176">
        <f ca="1">IF(AN178&gt;0,Y178*Calculation_sheet!C$87,0)</f>
        <v>0</v>
      </c>
      <c r="AA178" s="176">
        <f t="shared" ca="1" si="214"/>
        <v>0</v>
      </c>
      <c r="AB178" s="176">
        <f ca="1">IF(AP178&gt;0,AA178*Calculation_sheet!C$94,0)</f>
        <v>0</v>
      </c>
      <c r="AC178" s="176">
        <f t="shared" ca="1" si="204"/>
        <v>0</v>
      </c>
      <c r="AD178" s="958">
        <f ca="1">AC178*Calculation_sheet!C$99</f>
        <v>0</v>
      </c>
      <c r="AE178" s="176">
        <f t="shared" ca="1" si="204"/>
        <v>0</v>
      </c>
      <c r="AF178" s="176">
        <f t="shared" ca="1" si="215"/>
        <v>0</v>
      </c>
      <c r="AG178" s="958">
        <f ca="1">AF178*User_sheet!B$77/100</f>
        <v>0</v>
      </c>
      <c r="AH178" s="313"/>
      <c r="AI178" s="908">
        <v>202</v>
      </c>
      <c r="AJ178" s="313"/>
      <c r="AK178" s="1020">
        <f t="shared" ca="1" si="166"/>
        <v>310.03389153199805</v>
      </c>
      <c r="AL178" s="954">
        <f ca="1">AK178/'202'!I$24</f>
        <v>0.9987883493830676</v>
      </c>
      <c r="AM178" s="954">
        <f ca="1">0.8*(AK178*30+'202'!D$17*0.34*30*1)</f>
        <v>11052.755796767953</v>
      </c>
      <c r="AN178" s="954">
        <f ca="1">IF(AM178&lt;User_sheet!B$50,Y178,0)</f>
        <v>0</v>
      </c>
      <c r="AO178" s="954">
        <f ca="1">20-(User_sheet!B$57/(AK178+'202'!D$17*1*0.34))</f>
        <v>7.6229962449724038</v>
      </c>
      <c r="AP178" s="954">
        <f ca="1">IF(AO178&lt;User_sheet!B$59,0,BC178*AA178)</f>
        <v>0</v>
      </c>
      <c r="AQ178" s="313"/>
      <c r="AR178" s="909">
        <v>0.47</v>
      </c>
      <c r="AS178" s="909">
        <v>2.1</v>
      </c>
      <c r="AT178" s="909">
        <v>0.89</v>
      </c>
      <c r="AU178" s="909">
        <v>2.75</v>
      </c>
      <c r="AV178" s="909">
        <v>3.3</v>
      </c>
      <c r="AW178" s="909">
        <v>11617.129718053829</v>
      </c>
      <c r="AX178" s="909">
        <v>74715.401027665983</v>
      </c>
      <c r="AY178" s="909">
        <v>79015.992973719694</v>
      </c>
      <c r="AZ178" s="909">
        <v>0</v>
      </c>
      <c r="BA178" s="909">
        <v>0</v>
      </c>
      <c r="BB178" s="909">
        <v>0.6</v>
      </c>
      <c r="BC178" s="919">
        <v>0</v>
      </c>
      <c r="BD178" s="920">
        <v>0</v>
      </c>
      <c r="BE178" s="920">
        <v>0</v>
      </c>
      <c r="BF178" s="921">
        <v>1</v>
      </c>
      <c r="BG178" s="909">
        <v>1</v>
      </c>
      <c r="BH178" s="909">
        <v>0</v>
      </c>
      <c r="BI178" s="921">
        <v>0</v>
      </c>
      <c r="BJ178" s="909">
        <v>0</v>
      </c>
      <c r="BK178" s="909">
        <v>0</v>
      </c>
      <c r="BL178" s="909">
        <v>0</v>
      </c>
      <c r="BM178" s="921">
        <v>1</v>
      </c>
      <c r="BN178" s="958">
        <v>0</v>
      </c>
      <c r="BO178" s="959">
        <v>18</v>
      </c>
      <c r="BP178">
        <f t="shared" ca="1" si="205"/>
        <v>173.25</v>
      </c>
      <c r="BQ178">
        <f t="shared" ca="1" si="206"/>
        <v>294.14</v>
      </c>
      <c r="BR178">
        <f t="shared" ca="1" si="207"/>
        <v>99.660000000000011</v>
      </c>
      <c r="BS178">
        <f t="shared" ca="1" si="208"/>
        <v>135.5</v>
      </c>
      <c r="BT178">
        <f t="shared" ca="1" si="209"/>
        <v>63.2</v>
      </c>
      <c r="BU178">
        <f t="shared" ca="1" si="210"/>
        <v>12</v>
      </c>
      <c r="BV178">
        <f t="shared" ca="1" si="211"/>
        <v>4.3</v>
      </c>
      <c r="BW178" s="1018">
        <v>0</v>
      </c>
      <c r="BX178">
        <f t="shared" ca="1" si="194"/>
        <v>43.311737147084209</v>
      </c>
      <c r="BY178">
        <f t="shared" ca="1" si="195"/>
        <v>208.61436950146629</v>
      </c>
      <c r="BZ178">
        <f t="shared" ca="1" si="167"/>
        <v>16.081067344345623</v>
      </c>
      <c r="CA178">
        <f t="shared" ca="1" si="168"/>
        <v>32.999999981849996</v>
      </c>
      <c r="CB178">
        <f t="shared" ca="1" si="196"/>
        <v>9.0267175572519083</v>
      </c>
      <c r="CC178" s="1018">
        <f t="shared" si="169"/>
        <v>0</v>
      </c>
      <c r="CD178" s="1018">
        <f t="shared" ca="1" si="212"/>
        <v>310.03389153199805</v>
      </c>
      <c r="CE178" s="1018">
        <f t="shared" ca="1" si="216"/>
        <v>183.89923712295646</v>
      </c>
      <c r="CF178">
        <f t="shared" ca="1" si="170"/>
        <v>14.817993859648636</v>
      </c>
      <c r="CG178">
        <f t="shared" ca="1" si="171"/>
        <v>24671.36705656059</v>
      </c>
    </row>
    <row r="179" spans="4:85" x14ac:dyDescent="0.25">
      <c r="D179" s="523"/>
      <c r="E179" s="522"/>
      <c r="F179" s="523"/>
      <c r="G179" s="522"/>
      <c r="H179" s="523"/>
      <c r="I179" s="522"/>
      <c r="J179" s="523"/>
      <c r="K179" s="526" t="s">
        <v>12</v>
      </c>
      <c r="L179" s="527">
        <v>0</v>
      </c>
      <c r="M179" s="523" t="s">
        <v>17</v>
      </c>
      <c r="N179" s="525">
        <v>8.5106382999999994E-2</v>
      </c>
      <c r="O179" s="523" t="s">
        <v>19</v>
      </c>
      <c r="P179" s="525">
        <v>0.84089392900000004</v>
      </c>
      <c r="Q179" s="523" t="s">
        <v>17</v>
      </c>
      <c r="R179" s="525">
        <v>1</v>
      </c>
      <c r="S179" s="523"/>
      <c r="T179" s="533">
        <v>0</v>
      </c>
      <c r="U179" s="522"/>
      <c r="V179" s="176">
        <f t="shared" si="172"/>
        <v>0</v>
      </c>
      <c r="W179" s="176">
        <f t="shared" si="213"/>
        <v>0</v>
      </c>
      <c r="X179" s="176">
        <f t="shared" si="213"/>
        <v>0</v>
      </c>
      <c r="Y179" s="34">
        <f>X179/Calculation_sheet!M$67</f>
        <v>0</v>
      </c>
      <c r="Z179" s="176">
        <f ca="1">IF(AN179&gt;0,Y179*Calculation_sheet!C$87,0)</f>
        <v>0</v>
      </c>
      <c r="AA179" s="176">
        <f t="shared" ca="1" si="214"/>
        <v>0</v>
      </c>
      <c r="AB179" s="176">
        <f ca="1">IF(AP179&gt;0,AA179*Calculation_sheet!C$94,0)</f>
        <v>0</v>
      </c>
      <c r="AC179" s="176">
        <f t="shared" ca="1" si="204"/>
        <v>0</v>
      </c>
      <c r="AD179" s="958">
        <f ca="1">AC179*Calculation_sheet!C$99</f>
        <v>0</v>
      </c>
      <c r="AE179" s="176">
        <f t="shared" ca="1" si="204"/>
        <v>0</v>
      </c>
      <c r="AF179" s="176">
        <f t="shared" ca="1" si="215"/>
        <v>0</v>
      </c>
      <c r="AG179" s="958">
        <f ca="1">AF179*User_sheet!B$77/100</f>
        <v>0</v>
      </c>
      <c r="AH179" s="313"/>
      <c r="AI179" s="908">
        <v>202</v>
      </c>
      <c r="AJ179" s="313"/>
      <c r="AK179" s="1020">
        <f t="shared" ca="1" si="166"/>
        <v>310.03389153199805</v>
      </c>
      <c r="AL179" s="954">
        <f ca="1">AK179/'202'!I$24</f>
        <v>0.9987883493830676</v>
      </c>
      <c r="AM179" s="954">
        <f ca="1">0.8*(AK179*30+'202'!D$17*0.34*30*1)</f>
        <v>11052.755796767953</v>
      </c>
      <c r="AN179" s="954">
        <f ca="1">IF(AM179&lt;User_sheet!B$50,Y179,0)</f>
        <v>0</v>
      </c>
      <c r="AO179" s="954">
        <f ca="1">20-(User_sheet!B$57/(AK179+'202'!D$17*1*0.34))</f>
        <v>7.6229962449724038</v>
      </c>
      <c r="AP179" s="954">
        <f ca="1">IF(AO179&lt;User_sheet!B$59,0,BC179*AA179)</f>
        <v>0</v>
      </c>
      <c r="AQ179" s="313"/>
      <c r="AR179" s="909">
        <v>0.47</v>
      </c>
      <c r="AS179" s="909">
        <v>2.1</v>
      </c>
      <c r="AT179" s="909">
        <v>0.89</v>
      </c>
      <c r="AU179" s="909">
        <v>2.75</v>
      </c>
      <c r="AV179" s="909">
        <v>3.3</v>
      </c>
      <c r="AW179" s="909">
        <v>11617.129718053829</v>
      </c>
      <c r="AX179" s="909">
        <v>74715.401027665983</v>
      </c>
      <c r="AY179" s="909">
        <v>79015.992973719694</v>
      </c>
      <c r="AZ179" s="909">
        <v>0</v>
      </c>
      <c r="BA179" s="909">
        <v>0</v>
      </c>
      <c r="BB179" s="909">
        <v>0.6</v>
      </c>
      <c r="BC179" s="919">
        <v>0</v>
      </c>
      <c r="BD179" s="920">
        <v>0</v>
      </c>
      <c r="BE179" s="920">
        <v>0</v>
      </c>
      <c r="BF179" s="921">
        <v>1</v>
      </c>
      <c r="BG179" s="909">
        <v>0</v>
      </c>
      <c r="BH179" s="909">
        <v>1</v>
      </c>
      <c r="BI179" s="921">
        <v>0</v>
      </c>
      <c r="BJ179" s="909">
        <v>0</v>
      </c>
      <c r="BK179" s="909">
        <v>0</v>
      </c>
      <c r="BL179" s="909">
        <v>0</v>
      </c>
      <c r="BM179" s="921">
        <v>1</v>
      </c>
      <c r="BN179" s="958">
        <v>0</v>
      </c>
      <c r="BO179" s="959">
        <v>18</v>
      </c>
      <c r="BP179">
        <f t="shared" ca="1" si="205"/>
        <v>173.25</v>
      </c>
      <c r="BQ179">
        <f t="shared" ca="1" si="206"/>
        <v>294.14</v>
      </c>
      <c r="BR179">
        <f t="shared" ca="1" si="207"/>
        <v>99.660000000000011</v>
      </c>
      <c r="BS179">
        <f t="shared" ca="1" si="208"/>
        <v>135.5</v>
      </c>
      <c r="BT179">
        <f t="shared" ca="1" si="209"/>
        <v>63.2</v>
      </c>
      <c r="BU179">
        <f t="shared" ca="1" si="210"/>
        <v>12</v>
      </c>
      <c r="BV179">
        <f t="shared" ca="1" si="211"/>
        <v>4.3</v>
      </c>
      <c r="BW179" s="1018">
        <v>0</v>
      </c>
      <c r="BX179">
        <f t="shared" ca="1" si="194"/>
        <v>43.311737147084209</v>
      </c>
      <c r="BY179">
        <f t="shared" ca="1" si="195"/>
        <v>208.61436950146629</v>
      </c>
      <c r="BZ179">
        <f t="shared" ca="1" si="167"/>
        <v>16.081067344345623</v>
      </c>
      <c r="CA179">
        <f t="shared" ca="1" si="168"/>
        <v>32.999999981849996</v>
      </c>
      <c r="CB179">
        <f t="shared" ca="1" si="196"/>
        <v>9.0267175572519083</v>
      </c>
      <c r="CC179" s="1018">
        <f t="shared" si="169"/>
        <v>0</v>
      </c>
      <c r="CD179" s="1018">
        <f t="shared" ca="1" si="212"/>
        <v>310.03389153199805</v>
      </c>
      <c r="CE179" s="1018">
        <f t="shared" ca="1" si="216"/>
        <v>183.89923712295646</v>
      </c>
      <c r="CF179">
        <f t="shared" ca="1" si="170"/>
        <v>14.817993859648636</v>
      </c>
      <c r="CG179">
        <f t="shared" ca="1" si="171"/>
        <v>24671.36705656059</v>
      </c>
    </row>
    <row r="180" spans="4:85" s="14" customFormat="1" x14ac:dyDescent="0.25">
      <c r="D180" s="531"/>
      <c r="E180" s="530"/>
      <c r="F180" s="531"/>
      <c r="G180" s="530"/>
      <c r="H180" s="531"/>
      <c r="I180" s="530"/>
      <c r="J180" s="531"/>
      <c r="K180" s="532"/>
      <c r="L180" s="531"/>
      <c r="M180" s="531"/>
      <c r="N180" s="531"/>
      <c r="O180" s="531"/>
      <c r="P180" s="531"/>
      <c r="Q180" s="531"/>
      <c r="R180" s="531"/>
      <c r="S180" s="531"/>
      <c r="T180" s="534"/>
      <c r="U180" s="530"/>
      <c r="V180" s="292"/>
      <c r="W180" s="292"/>
      <c r="X180" s="292"/>
      <c r="Y180" s="277"/>
      <c r="Z180" s="292"/>
      <c r="AA180" s="292"/>
      <c r="AB180" s="292"/>
      <c r="AC180" s="292"/>
      <c r="AD180" s="277"/>
      <c r="AE180" s="292"/>
      <c r="AF180" s="292"/>
      <c r="AG180" s="277"/>
      <c r="AH180" s="313"/>
      <c r="AI180" s="913"/>
      <c r="AJ180" s="313"/>
      <c r="AK180" s="1020">
        <f t="shared" si="166"/>
        <v>0</v>
      </c>
      <c r="AL180" s="955"/>
      <c r="AM180" s="955"/>
      <c r="AN180" s="941"/>
      <c r="AO180" s="941"/>
      <c r="AP180" s="941"/>
      <c r="AQ180" s="313"/>
      <c r="AR180" s="918"/>
      <c r="AS180" s="918"/>
      <c r="AT180" s="918"/>
      <c r="AU180" s="918"/>
      <c r="AV180" s="918"/>
      <c r="AW180" s="918"/>
      <c r="AX180" s="918"/>
      <c r="AY180" s="918"/>
      <c r="AZ180" s="918"/>
      <c r="BA180" s="918"/>
      <c r="BB180" s="918"/>
      <c r="BC180" s="45"/>
      <c r="BD180" s="277"/>
      <c r="BE180" s="277"/>
      <c r="BF180" s="49"/>
      <c r="BG180" s="918"/>
      <c r="BH180" s="918"/>
      <c r="BI180" s="49"/>
      <c r="BJ180" s="918"/>
      <c r="BK180" s="918"/>
      <c r="BL180" s="918"/>
      <c r="BM180" s="49"/>
      <c r="BN180" s="277"/>
      <c r="BO180" s="49"/>
      <c r="BW180" s="928"/>
      <c r="CC180" s="928"/>
      <c r="CD180" s="928"/>
      <c r="CE180" s="928"/>
    </row>
    <row r="181" spans="4:85" x14ac:dyDescent="0.25">
      <c r="D181" s="523"/>
      <c r="E181" s="522"/>
      <c r="F181" s="523"/>
      <c r="G181" s="522"/>
      <c r="H181" s="523"/>
      <c r="I181" s="522"/>
      <c r="J181" s="523"/>
      <c r="K181" s="526"/>
      <c r="L181" s="528"/>
      <c r="M181" s="523"/>
      <c r="N181" s="523"/>
      <c r="O181" s="523"/>
      <c r="P181" s="523"/>
      <c r="Q181" s="523" t="s">
        <v>16</v>
      </c>
      <c r="R181" s="525">
        <v>0.73860000000000003</v>
      </c>
      <c r="S181" s="523"/>
      <c r="T181" s="533">
        <v>3.3478176003617914E-3</v>
      </c>
      <c r="U181" s="522"/>
      <c r="V181" s="176">
        <f t="shared" si="172"/>
        <v>3.3478176003617914E-3</v>
      </c>
      <c r="W181" s="176">
        <f>V181</f>
        <v>3.3478176003617914E-3</v>
      </c>
      <c r="X181" s="176">
        <f>W181</f>
        <v>3.3478176003617914E-3</v>
      </c>
      <c r="Y181" s="34">
        <f>X181/Calculation_sheet!M$67</f>
        <v>3.347886051275519E-3</v>
      </c>
      <c r="Z181" s="176">
        <f ca="1">IF(AN181&gt;0,Y181*Calculation_sheet!C$87,0)</f>
        <v>0</v>
      </c>
      <c r="AA181" s="176">
        <f ca="1">Y181-Z181</f>
        <v>3.347886051275519E-3</v>
      </c>
      <c r="AB181" s="176">
        <f ca="1">IF(AP181&gt;0,AA181*Calculation_sheet!C$94,0)</f>
        <v>0</v>
      </c>
      <c r="AC181" s="176">
        <f t="shared" ref="AC181:AE191" ca="1" si="217">AA181-AB181</f>
        <v>3.347886051275519E-3</v>
      </c>
      <c r="AD181" s="958">
        <f ca="1">AC181*Calculation_sheet!C$99</f>
        <v>2.0087316307653112E-3</v>
      </c>
      <c r="AE181" s="176">
        <f t="shared" ca="1" si="217"/>
        <v>1.3391544205102078E-3</v>
      </c>
      <c r="AF181" s="176">
        <f ca="1">Y181-AB181</f>
        <v>3.347886051275519E-3</v>
      </c>
      <c r="AG181" s="958">
        <f ca="1">AF181*User_sheet!B$77/100</f>
        <v>0</v>
      </c>
      <c r="AH181" s="313"/>
      <c r="AI181" s="908">
        <v>202</v>
      </c>
      <c r="AJ181" s="313"/>
      <c r="AK181" s="1020">
        <f t="shared" ca="1" si="166"/>
        <v>341.58192036938271</v>
      </c>
      <c r="AL181" s="954">
        <f ca="1">AK181/'202'!I$24</f>
        <v>1.1004217659527165</v>
      </c>
      <c r="AM181" s="954">
        <f ca="1">0.8*(AK181*30+'202'!D$17*0.34*30*1)</f>
        <v>11809.908488865185</v>
      </c>
      <c r="AN181" s="954">
        <f ca="1">IF(AM181&lt;User_sheet!B$50,Y181,0)</f>
        <v>0</v>
      </c>
      <c r="AO181" s="954">
        <f ca="1">20-(User_sheet!B$57/(AK181+'202'!D$17*1*0.34))</f>
        <v>8.4165063489712857</v>
      </c>
      <c r="AP181" s="954">
        <f ca="1">IF(AO181&lt;User_sheet!B$59,0,BC181*AA181)</f>
        <v>0</v>
      </c>
      <c r="AQ181" s="313"/>
      <c r="AR181" s="909">
        <v>0.47</v>
      </c>
      <c r="AS181" s="909">
        <v>2.1</v>
      </c>
      <c r="AT181" s="909">
        <v>3.78</v>
      </c>
      <c r="AU181" s="909">
        <v>2.75</v>
      </c>
      <c r="AV181" s="909">
        <v>3.3</v>
      </c>
      <c r="AW181" s="909">
        <v>11617.129718053829</v>
      </c>
      <c r="AX181" s="909">
        <v>74715.401027665983</v>
      </c>
      <c r="AY181" s="909">
        <v>67352.647733737584</v>
      </c>
      <c r="AZ181" s="909">
        <v>0</v>
      </c>
      <c r="BA181" s="909">
        <v>0</v>
      </c>
      <c r="BB181" s="909">
        <v>0.6</v>
      </c>
      <c r="BC181" s="919">
        <v>1</v>
      </c>
      <c r="BD181" s="920">
        <v>0</v>
      </c>
      <c r="BE181" s="920">
        <v>0</v>
      </c>
      <c r="BF181" s="921">
        <v>0</v>
      </c>
      <c r="BG181" s="909">
        <v>1</v>
      </c>
      <c r="BH181" s="909">
        <v>0</v>
      </c>
      <c r="BI181" s="921">
        <v>0</v>
      </c>
      <c r="BJ181" s="909">
        <v>1</v>
      </c>
      <c r="BK181" s="909">
        <v>0</v>
      </c>
      <c r="BL181" s="909">
        <v>0</v>
      </c>
      <c r="BM181" s="921">
        <v>0</v>
      </c>
      <c r="BN181" s="958">
        <v>0</v>
      </c>
      <c r="BO181" s="959">
        <v>18</v>
      </c>
      <c r="BP181">
        <f t="shared" ref="BP181:BP191" ca="1" si="218">INDIRECT("'"&amp;AI181&amp;"'!"&amp;"B2")</f>
        <v>173.25</v>
      </c>
      <c r="BQ181">
        <f t="shared" ref="BQ181:BQ191" ca="1" si="219">INDIRECT("'"&amp;AI181&amp;"'!"&amp;"C12")+INDIRECT("'"&amp;AI181&amp;"'!"&amp;"C13")+INDIRECT("'"&amp;AI181&amp;"'!"&amp;"C14")+INDIRECT("'"&amp;AI181&amp;"'!"&amp;"C15")+INDIRECT("'"&amp;AI181&amp;"'!"&amp;"C17")</f>
        <v>294.14</v>
      </c>
      <c r="BR181">
        <f t="shared" ref="BR181:BR191" ca="1" si="220">INDIRECT("'"&amp;AI181&amp;"'!"&amp;"G5")</f>
        <v>99.660000000000011</v>
      </c>
      <c r="BS181">
        <f t="shared" ref="BS181:BS191" ca="1" si="221">INDIRECT("'"&amp;AI181&amp;"'!"&amp;"G4")</f>
        <v>135.5</v>
      </c>
      <c r="BT181">
        <f t="shared" ref="BT181:BT191" ca="1" si="222">INDIRECT("'"&amp;AI181&amp;"'!"&amp;"G6")</f>
        <v>63.2</v>
      </c>
      <c r="BU181">
        <f t="shared" ref="BU181:BU191" ca="1" si="223">INDIRECT("'"&amp;AI181&amp;"'!"&amp;"G2")</f>
        <v>12</v>
      </c>
      <c r="BV181">
        <f t="shared" ref="BV181:BV191" ca="1" si="224">INDIRECT("'"&amp;AI181&amp;"'!"&amp;"G3")</f>
        <v>4.3</v>
      </c>
      <c r="BW181" s="1018">
        <v>0</v>
      </c>
      <c r="BX181">
        <f t="shared" ca="1" si="194"/>
        <v>43.311737147084209</v>
      </c>
      <c r="BY181">
        <f t="shared" ca="1" si="195"/>
        <v>208.61436950146629</v>
      </c>
      <c r="BZ181">
        <f t="shared" ca="1" si="167"/>
        <v>47.629096181730297</v>
      </c>
      <c r="CA181">
        <f t="shared" ca="1" si="168"/>
        <v>32.999999981849996</v>
      </c>
      <c r="CB181">
        <f t="shared" ca="1" si="196"/>
        <v>9.0267175572519083</v>
      </c>
      <c r="CC181" s="1018">
        <f t="shared" si="169"/>
        <v>0</v>
      </c>
      <c r="CD181" s="1018">
        <f t="shared" ref="CD181:CD191" ca="1" si="225">SUM(BX181:CC181)+(BR181+BS181+BT181+BU181+BV181)*BN181</f>
        <v>341.58192036938271</v>
      </c>
      <c r="CE181" s="1018">
        <f ca="1">0.34*BO181*(1/25)^0.66*(BR181+BS181+BU181+BV181)</f>
        <v>183.89923712295646</v>
      </c>
      <c r="CF181">
        <f t="shared" ca="1" si="170"/>
        <v>15.764434724770178</v>
      </c>
      <c r="CG181">
        <f t="shared" ca="1" si="171"/>
        <v>26247.153239353353</v>
      </c>
    </row>
    <row r="182" spans="4:85" x14ac:dyDescent="0.25">
      <c r="D182" s="523"/>
      <c r="E182" s="522"/>
      <c r="F182" s="523"/>
      <c r="G182" s="522"/>
      <c r="H182" s="523"/>
      <c r="I182" s="522"/>
      <c r="J182" s="523"/>
      <c r="K182" s="526"/>
      <c r="L182" s="528"/>
      <c r="M182" s="523"/>
      <c r="N182" s="523"/>
      <c r="O182" s="523" t="s">
        <v>18</v>
      </c>
      <c r="P182" s="525">
        <v>0.62953995200000001</v>
      </c>
      <c r="Q182" s="523" t="s">
        <v>7</v>
      </c>
      <c r="R182" s="525">
        <v>0.26140000000000002</v>
      </c>
      <c r="S182" s="523"/>
      <c r="T182" s="533">
        <v>1.1848355276666293E-3</v>
      </c>
      <c r="U182" s="522"/>
      <c r="V182" s="176">
        <f t="shared" si="172"/>
        <v>1.1848355276666293E-3</v>
      </c>
      <c r="W182" s="176">
        <f t="shared" ref="W182:X191" si="226">V182</f>
        <v>1.1848355276666293E-3</v>
      </c>
      <c r="X182" s="176">
        <f t="shared" si="226"/>
        <v>1.1848355276666293E-3</v>
      </c>
      <c r="Y182" s="34">
        <f>X182/Calculation_sheet!M$67</f>
        <v>1.1848597533217179E-3</v>
      </c>
      <c r="Z182" s="176">
        <f ca="1">IF(AN182&gt;0,Y182*Calculation_sheet!C$87,0)</f>
        <v>0</v>
      </c>
      <c r="AA182" s="176">
        <f t="shared" ref="AA182:AA191" ca="1" si="227">Y182-Z182</f>
        <v>1.1848597533217179E-3</v>
      </c>
      <c r="AB182" s="176">
        <f ca="1">IF(AP182&gt;0,AA182*Calculation_sheet!C$94,0)</f>
        <v>0</v>
      </c>
      <c r="AC182" s="176">
        <f t="shared" ca="1" si="217"/>
        <v>1.1848597533217179E-3</v>
      </c>
      <c r="AD182" s="958">
        <f ca="1">AC182*Calculation_sheet!C$99</f>
        <v>7.1091585199303071E-4</v>
      </c>
      <c r="AE182" s="176">
        <f t="shared" ca="1" si="217"/>
        <v>4.7394390132868714E-4</v>
      </c>
      <c r="AF182" s="176">
        <f t="shared" ref="AF182:AF191" ca="1" si="228">Y182-AB182</f>
        <v>1.1848597533217179E-3</v>
      </c>
      <c r="AG182" s="958">
        <f ca="1">AF182*User_sheet!B$77/100</f>
        <v>0</v>
      </c>
      <c r="AH182" s="313"/>
      <c r="AI182" s="908">
        <v>202</v>
      </c>
      <c r="AJ182" s="313"/>
      <c r="AK182" s="1020">
        <f t="shared" ca="1" si="166"/>
        <v>341.58192036938271</v>
      </c>
      <c r="AL182" s="954">
        <f ca="1">AK182/'202'!I$24</f>
        <v>1.1004217659527165</v>
      </c>
      <c r="AM182" s="954">
        <f ca="1">0.8*(AK182*30+'202'!D$17*0.34*30*1)</f>
        <v>11809.908488865185</v>
      </c>
      <c r="AN182" s="954">
        <f ca="1">IF(AM182&lt;User_sheet!B$50,Y182,0)</f>
        <v>0</v>
      </c>
      <c r="AO182" s="954">
        <f ca="1">20-(User_sheet!B$57/(AK182+'202'!D$17*1*0.34))</f>
        <v>8.4165063489712857</v>
      </c>
      <c r="AP182" s="954">
        <f ca="1">IF(AO182&lt;User_sheet!B$59,0,BC182*AA182)</f>
        <v>0</v>
      </c>
      <c r="AQ182" s="313"/>
      <c r="AR182" s="909">
        <v>0.47</v>
      </c>
      <c r="AS182" s="909">
        <v>2.1</v>
      </c>
      <c r="AT182" s="909">
        <v>3.78</v>
      </c>
      <c r="AU182" s="909">
        <v>2.75</v>
      </c>
      <c r="AV182" s="909">
        <v>3.3</v>
      </c>
      <c r="AW182" s="909">
        <v>11617.129718053829</v>
      </c>
      <c r="AX182" s="909">
        <v>74715.401027665983</v>
      </c>
      <c r="AY182" s="909">
        <v>67352.647733737584</v>
      </c>
      <c r="AZ182" s="909">
        <v>0</v>
      </c>
      <c r="BA182" s="909">
        <v>0</v>
      </c>
      <c r="BB182" s="909">
        <v>0.6</v>
      </c>
      <c r="BC182" s="919">
        <v>1</v>
      </c>
      <c r="BD182" s="920">
        <v>0</v>
      </c>
      <c r="BE182" s="920">
        <v>0</v>
      </c>
      <c r="BF182" s="921">
        <v>0</v>
      </c>
      <c r="BG182" s="909">
        <v>1</v>
      </c>
      <c r="BH182" s="909">
        <v>0</v>
      </c>
      <c r="BI182" s="921">
        <v>0</v>
      </c>
      <c r="BJ182" s="909">
        <v>0</v>
      </c>
      <c r="BK182" s="909">
        <v>0</v>
      </c>
      <c r="BL182" s="909">
        <v>1</v>
      </c>
      <c r="BM182" s="921">
        <v>0</v>
      </c>
      <c r="BN182" s="958">
        <v>0</v>
      </c>
      <c r="BO182" s="959">
        <v>18</v>
      </c>
      <c r="BP182">
        <f t="shared" ca="1" si="218"/>
        <v>173.25</v>
      </c>
      <c r="BQ182">
        <f t="shared" ca="1" si="219"/>
        <v>294.14</v>
      </c>
      <c r="BR182">
        <f t="shared" ca="1" si="220"/>
        <v>99.660000000000011</v>
      </c>
      <c r="BS182">
        <f t="shared" ca="1" si="221"/>
        <v>135.5</v>
      </c>
      <c r="BT182">
        <f t="shared" ca="1" si="222"/>
        <v>63.2</v>
      </c>
      <c r="BU182">
        <f t="shared" ca="1" si="223"/>
        <v>12</v>
      </c>
      <c r="BV182">
        <f t="shared" ca="1" si="224"/>
        <v>4.3</v>
      </c>
      <c r="BW182" s="1018">
        <v>0</v>
      </c>
      <c r="BX182">
        <f t="shared" ca="1" si="194"/>
        <v>43.311737147084209</v>
      </c>
      <c r="BY182">
        <f t="shared" ca="1" si="195"/>
        <v>208.61436950146629</v>
      </c>
      <c r="BZ182">
        <f t="shared" ca="1" si="167"/>
        <v>47.629096181730297</v>
      </c>
      <c r="CA182">
        <f t="shared" ca="1" si="168"/>
        <v>32.999999981849996</v>
      </c>
      <c r="CB182">
        <f t="shared" ca="1" si="196"/>
        <v>9.0267175572519083</v>
      </c>
      <c r="CC182" s="1018">
        <f t="shared" si="169"/>
        <v>0</v>
      </c>
      <c r="CD182" s="1018">
        <f t="shared" ca="1" si="225"/>
        <v>341.58192036938271</v>
      </c>
      <c r="CE182" s="1018">
        <f t="shared" ref="CE182:CE191" ca="1" si="229">0.34*BO182*(1/25)^0.66*(BR182+BS182+BU182+BV182)</f>
        <v>183.89923712295646</v>
      </c>
      <c r="CF182">
        <f t="shared" ca="1" si="170"/>
        <v>15.764434724770178</v>
      </c>
      <c r="CG182">
        <f t="shared" ca="1" si="171"/>
        <v>26247.153239353353</v>
      </c>
    </row>
    <row r="183" spans="4:85" x14ac:dyDescent="0.25">
      <c r="D183" s="523"/>
      <c r="E183" s="522"/>
      <c r="F183" s="523"/>
      <c r="G183" s="522"/>
      <c r="H183" s="523"/>
      <c r="I183" s="522"/>
      <c r="J183" s="523"/>
      <c r="K183" s="526"/>
      <c r="L183" s="528"/>
      <c r="M183" s="523"/>
      <c r="N183" s="523"/>
      <c r="O183" s="523"/>
      <c r="P183" s="523"/>
      <c r="Q183" s="523" t="s">
        <v>16</v>
      </c>
      <c r="R183" s="525">
        <v>0.73860000000000003</v>
      </c>
      <c r="S183" s="523"/>
      <c r="T183" s="533">
        <v>1.9700618919977204E-3</v>
      </c>
      <c r="U183" s="522"/>
      <c r="V183" s="176">
        <f t="shared" si="172"/>
        <v>1.9700618919977204E-3</v>
      </c>
      <c r="W183" s="176">
        <f t="shared" si="226"/>
        <v>1.9700618919977204E-3</v>
      </c>
      <c r="X183" s="176">
        <f t="shared" si="226"/>
        <v>1.9700618919977204E-3</v>
      </c>
      <c r="Y183" s="34">
        <f>X183/Calculation_sheet!M$67</f>
        <v>1.9701021727276482E-3</v>
      </c>
      <c r="Z183" s="176">
        <f ca="1">IF(AN183&gt;0,Y183*Calculation_sheet!C$87,0)</f>
        <v>0</v>
      </c>
      <c r="AA183" s="176">
        <f t="shared" ca="1" si="227"/>
        <v>1.9701021727276482E-3</v>
      </c>
      <c r="AB183" s="176">
        <f ca="1">IF(AP183&gt;0,AA183*Calculation_sheet!C$94,0)</f>
        <v>0</v>
      </c>
      <c r="AC183" s="176">
        <f t="shared" ca="1" si="217"/>
        <v>1.9701021727276482E-3</v>
      </c>
      <c r="AD183" s="958">
        <f ca="1">AC183*Calculation_sheet!C$99</f>
        <v>1.1820613036365888E-3</v>
      </c>
      <c r="AE183" s="176">
        <f t="shared" ca="1" si="217"/>
        <v>7.8804086909105937E-4</v>
      </c>
      <c r="AF183" s="176">
        <f t="shared" ca="1" si="228"/>
        <v>1.9701021727276482E-3</v>
      </c>
      <c r="AG183" s="958">
        <f ca="1">AF183*User_sheet!B$77/100</f>
        <v>0</v>
      </c>
      <c r="AH183" s="313"/>
      <c r="AI183" s="908">
        <v>202</v>
      </c>
      <c r="AJ183" s="313"/>
      <c r="AK183" s="1020">
        <f t="shared" ca="1" si="166"/>
        <v>341.58192036938271</v>
      </c>
      <c r="AL183" s="954">
        <f ca="1">AK183/'202'!I$24</f>
        <v>1.1004217659527165</v>
      </c>
      <c r="AM183" s="954">
        <f ca="1">0.8*(AK183*30+'202'!D$17*0.34*30*1)</f>
        <v>11809.908488865185</v>
      </c>
      <c r="AN183" s="954">
        <f ca="1">IF(AM183&lt;User_sheet!B$50,Y183,0)</f>
        <v>0</v>
      </c>
      <c r="AO183" s="954">
        <f ca="1">20-(User_sheet!B$57/(AK183+'202'!D$17*1*0.34))</f>
        <v>8.4165063489712857</v>
      </c>
      <c r="AP183" s="954">
        <f ca="1">IF(AO183&lt;User_sheet!B$59,0,BC183*AA183)</f>
        <v>0</v>
      </c>
      <c r="AQ183" s="313"/>
      <c r="AR183" s="909">
        <v>0.47</v>
      </c>
      <c r="AS183" s="909">
        <v>2.1</v>
      </c>
      <c r="AT183" s="909">
        <v>3.78</v>
      </c>
      <c r="AU183" s="909">
        <v>2.75</v>
      </c>
      <c r="AV183" s="909">
        <v>3.3</v>
      </c>
      <c r="AW183" s="909">
        <v>11617.129718053829</v>
      </c>
      <c r="AX183" s="909">
        <v>74715.401027665983</v>
      </c>
      <c r="AY183" s="909">
        <v>67352.647733737584</v>
      </c>
      <c r="AZ183" s="909">
        <v>0</v>
      </c>
      <c r="BA183" s="909">
        <v>0</v>
      </c>
      <c r="BB183" s="909">
        <v>0.6</v>
      </c>
      <c r="BC183" s="919">
        <v>1</v>
      </c>
      <c r="BD183" s="920">
        <v>0</v>
      </c>
      <c r="BE183" s="920">
        <v>0</v>
      </c>
      <c r="BF183" s="921">
        <v>0</v>
      </c>
      <c r="BG183" s="909">
        <v>0</v>
      </c>
      <c r="BH183" s="909">
        <v>1</v>
      </c>
      <c r="BI183" s="921">
        <v>0</v>
      </c>
      <c r="BJ183" s="909">
        <v>1</v>
      </c>
      <c r="BK183" s="909">
        <v>0</v>
      </c>
      <c r="BL183" s="909">
        <v>0</v>
      </c>
      <c r="BM183" s="921">
        <v>0</v>
      </c>
      <c r="BN183" s="958">
        <v>0</v>
      </c>
      <c r="BO183" s="959">
        <v>18</v>
      </c>
      <c r="BP183">
        <f t="shared" ca="1" si="218"/>
        <v>173.25</v>
      </c>
      <c r="BQ183">
        <f t="shared" ca="1" si="219"/>
        <v>294.14</v>
      </c>
      <c r="BR183">
        <f t="shared" ca="1" si="220"/>
        <v>99.660000000000011</v>
      </c>
      <c r="BS183">
        <f t="shared" ca="1" si="221"/>
        <v>135.5</v>
      </c>
      <c r="BT183">
        <f t="shared" ca="1" si="222"/>
        <v>63.2</v>
      </c>
      <c r="BU183">
        <f t="shared" ca="1" si="223"/>
        <v>12</v>
      </c>
      <c r="BV183">
        <f t="shared" ca="1" si="224"/>
        <v>4.3</v>
      </c>
      <c r="BW183" s="1018">
        <v>0</v>
      </c>
      <c r="BX183">
        <f t="shared" ca="1" si="194"/>
        <v>43.311737147084209</v>
      </c>
      <c r="BY183">
        <f t="shared" ca="1" si="195"/>
        <v>208.61436950146629</v>
      </c>
      <c r="BZ183">
        <f t="shared" ca="1" si="167"/>
        <v>47.629096181730297</v>
      </c>
      <c r="CA183">
        <f t="shared" ca="1" si="168"/>
        <v>32.999999981849996</v>
      </c>
      <c r="CB183">
        <f t="shared" ca="1" si="196"/>
        <v>9.0267175572519083</v>
      </c>
      <c r="CC183" s="1018">
        <f t="shared" si="169"/>
        <v>0</v>
      </c>
      <c r="CD183" s="1018">
        <f t="shared" ca="1" si="225"/>
        <v>341.58192036938271</v>
      </c>
      <c r="CE183" s="1018">
        <f t="shared" ca="1" si="229"/>
        <v>183.89923712295646</v>
      </c>
      <c r="CF183">
        <f t="shared" ca="1" si="170"/>
        <v>15.764434724770178</v>
      </c>
      <c r="CG183">
        <f t="shared" ca="1" si="171"/>
        <v>26247.153239353353</v>
      </c>
    </row>
    <row r="184" spans="4:85" x14ac:dyDescent="0.25">
      <c r="D184" s="523"/>
      <c r="E184" s="522"/>
      <c r="F184" s="523"/>
      <c r="G184" s="522"/>
      <c r="H184" s="523"/>
      <c r="I184" s="522"/>
      <c r="J184" s="523"/>
      <c r="K184" s="526"/>
      <c r="L184" s="528"/>
      <c r="M184" s="523" t="s">
        <v>16</v>
      </c>
      <c r="N184" s="525">
        <v>0.44680851100000002</v>
      </c>
      <c r="O184" s="523" t="s">
        <v>19</v>
      </c>
      <c r="P184" s="525">
        <v>0.37046004799999999</v>
      </c>
      <c r="Q184" s="523" t="s">
        <v>7</v>
      </c>
      <c r="R184" s="525">
        <v>0.26140000000000002</v>
      </c>
      <c r="S184" s="523"/>
      <c r="T184" s="533">
        <v>6.9723013616057974E-4</v>
      </c>
      <c r="U184" s="522"/>
      <c r="V184" s="176">
        <f t="shared" si="172"/>
        <v>6.9723013616057974E-4</v>
      </c>
      <c r="W184" s="176">
        <f t="shared" si="226"/>
        <v>6.9723013616057974E-4</v>
      </c>
      <c r="X184" s="176">
        <f t="shared" si="226"/>
        <v>6.9723013616057974E-4</v>
      </c>
      <c r="Y184" s="34">
        <f>X184/Calculation_sheet!M$67</f>
        <v>6.9724439202681733E-4</v>
      </c>
      <c r="Z184" s="176">
        <f ca="1">IF(AN184&gt;0,Y184*Calculation_sheet!C$87,0)</f>
        <v>0</v>
      </c>
      <c r="AA184" s="176">
        <f t="shared" ca="1" si="227"/>
        <v>6.9724439202681733E-4</v>
      </c>
      <c r="AB184" s="176">
        <f ca="1">IF(AP184&gt;0,AA184*Calculation_sheet!C$94,0)</f>
        <v>0</v>
      </c>
      <c r="AC184" s="176">
        <f t="shared" ca="1" si="217"/>
        <v>6.9724439202681733E-4</v>
      </c>
      <c r="AD184" s="958">
        <f ca="1">AC184*Calculation_sheet!C$99</f>
        <v>4.1834663521609039E-4</v>
      </c>
      <c r="AE184" s="176">
        <f t="shared" ca="1" si="217"/>
        <v>2.7889775681072694E-4</v>
      </c>
      <c r="AF184" s="176">
        <f t="shared" ca="1" si="228"/>
        <v>6.9724439202681733E-4</v>
      </c>
      <c r="AG184" s="958">
        <f ca="1">AF184*User_sheet!B$77/100</f>
        <v>0</v>
      </c>
      <c r="AH184" s="313"/>
      <c r="AI184" s="908">
        <v>202</v>
      </c>
      <c r="AJ184" s="313"/>
      <c r="AK184" s="1020">
        <f t="shared" ca="1" si="166"/>
        <v>341.58192036938271</v>
      </c>
      <c r="AL184" s="954">
        <f ca="1">AK184/'202'!I$24</f>
        <v>1.1004217659527165</v>
      </c>
      <c r="AM184" s="954">
        <f ca="1">0.8*(AK184*30+'202'!D$17*0.34*30*1)</f>
        <v>11809.908488865185</v>
      </c>
      <c r="AN184" s="954">
        <f ca="1">IF(AM184&lt;User_sheet!B$50,Y184,0)</f>
        <v>0</v>
      </c>
      <c r="AO184" s="954">
        <f ca="1">20-(User_sheet!B$57/(AK184+'202'!D$17*1*0.34))</f>
        <v>8.4165063489712857</v>
      </c>
      <c r="AP184" s="954">
        <f ca="1">IF(AO184&lt;User_sheet!B$59,0,BC184*AA184)</f>
        <v>0</v>
      </c>
      <c r="AQ184" s="313"/>
      <c r="AR184" s="909">
        <v>0.47</v>
      </c>
      <c r="AS184" s="909">
        <v>2.1</v>
      </c>
      <c r="AT184" s="909">
        <v>3.78</v>
      </c>
      <c r="AU184" s="909">
        <v>2.75</v>
      </c>
      <c r="AV184" s="909">
        <v>3.3</v>
      </c>
      <c r="AW184" s="909">
        <v>11617.129718053829</v>
      </c>
      <c r="AX184" s="909">
        <v>74715.401027665983</v>
      </c>
      <c r="AY184" s="909">
        <v>67352.647733737584</v>
      </c>
      <c r="AZ184" s="909">
        <v>0</v>
      </c>
      <c r="BA184" s="909">
        <v>0</v>
      </c>
      <c r="BB184" s="909">
        <v>0.6</v>
      </c>
      <c r="BC184" s="919">
        <v>1</v>
      </c>
      <c r="BD184" s="920">
        <v>0</v>
      </c>
      <c r="BE184" s="920">
        <v>0</v>
      </c>
      <c r="BF184" s="921">
        <v>0</v>
      </c>
      <c r="BG184" s="909">
        <v>0</v>
      </c>
      <c r="BH184" s="909">
        <v>1</v>
      </c>
      <c r="BI184" s="921">
        <v>0</v>
      </c>
      <c r="BJ184" s="909">
        <v>0</v>
      </c>
      <c r="BK184" s="909">
        <v>0</v>
      </c>
      <c r="BL184" s="909">
        <v>1</v>
      </c>
      <c r="BM184" s="921">
        <v>0</v>
      </c>
      <c r="BN184" s="958">
        <v>0</v>
      </c>
      <c r="BO184" s="959">
        <v>18</v>
      </c>
      <c r="BP184">
        <f t="shared" ca="1" si="218"/>
        <v>173.25</v>
      </c>
      <c r="BQ184">
        <f t="shared" ca="1" si="219"/>
        <v>294.14</v>
      </c>
      <c r="BR184">
        <f t="shared" ca="1" si="220"/>
        <v>99.660000000000011</v>
      </c>
      <c r="BS184">
        <f t="shared" ca="1" si="221"/>
        <v>135.5</v>
      </c>
      <c r="BT184">
        <f t="shared" ca="1" si="222"/>
        <v>63.2</v>
      </c>
      <c r="BU184">
        <f t="shared" ca="1" si="223"/>
        <v>12</v>
      </c>
      <c r="BV184">
        <f t="shared" ca="1" si="224"/>
        <v>4.3</v>
      </c>
      <c r="BW184" s="1018">
        <v>0</v>
      </c>
      <c r="BX184">
        <f t="shared" ca="1" si="194"/>
        <v>43.311737147084209</v>
      </c>
      <c r="BY184">
        <f t="shared" ca="1" si="195"/>
        <v>208.61436950146629</v>
      </c>
      <c r="BZ184">
        <f t="shared" ca="1" si="167"/>
        <v>47.629096181730297</v>
      </c>
      <c r="CA184">
        <f t="shared" ca="1" si="168"/>
        <v>32.999999981849996</v>
      </c>
      <c r="CB184">
        <f t="shared" ca="1" si="196"/>
        <v>9.0267175572519083</v>
      </c>
      <c r="CC184" s="1018">
        <f t="shared" si="169"/>
        <v>0</v>
      </c>
      <c r="CD184" s="1018">
        <f t="shared" ca="1" si="225"/>
        <v>341.58192036938271</v>
      </c>
      <c r="CE184" s="1018">
        <f t="shared" ca="1" si="229"/>
        <v>183.89923712295646</v>
      </c>
      <c r="CF184">
        <f t="shared" ca="1" si="170"/>
        <v>15.764434724770178</v>
      </c>
      <c r="CG184">
        <f t="shared" ca="1" si="171"/>
        <v>26247.153239353353</v>
      </c>
    </row>
    <row r="185" spans="4:85" x14ac:dyDescent="0.25">
      <c r="D185" s="523"/>
      <c r="E185" s="522"/>
      <c r="F185" s="523"/>
      <c r="G185" s="522"/>
      <c r="H185" s="523"/>
      <c r="I185" s="522"/>
      <c r="J185" s="523"/>
      <c r="K185" s="526"/>
      <c r="L185" s="528"/>
      <c r="M185" s="523"/>
      <c r="N185" s="523"/>
      <c r="O185" s="523"/>
      <c r="P185" s="523"/>
      <c r="Q185" s="523" t="s">
        <v>22</v>
      </c>
      <c r="R185" s="525">
        <v>0.53710000000000002</v>
      </c>
      <c r="S185" s="523"/>
      <c r="T185" s="533">
        <v>3.1256558915244257E-3</v>
      </c>
      <c r="U185" s="522"/>
      <c r="V185" s="176">
        <f t="shared" si="172"/>
        <v>3.1256558915244257E-3</v>
      </c>
      <c r="W185" s="176">
        <f t="shared" si="226"/>
        <v>3.1256558915244257E-3</v>
      </c>
      <c r="X185" s="176">
        <f t="shared" si="226"/>
        <v>3.1256558915244257E-3</v>
      </c>
      <c r="Y185" s="34">
        <f>X185/Calculation_sheet!M$67</f>
        <v>3.1257198000246228E-3</v>
      </c>
      <c r="Z185" s="176">
        <f ca="1">IF(AN185&gt;0,Y185*Calculation_sheet!C$87,0)</f>
        <v>0</v>
      </c>
      <c r="AA185" s="176">
        <f t="shared" ca="1" si="227"/>
        <v>3.1257198000246228E-3</v>
      </c>
      <c r="AB185" s="176">
        <f ca="1">IF(AP185&gt;0,AA185*Calculation_sheet!C$94,0)</f>
        <v>0</v>
      </c>
      <c r="AC185" s="176">
        <f t="shared" ca="1" si="217"/>
        <v>3.1257198000246228E-3</v>
      </c>
      <c r="AD185" s="958">
        <f ca="1">AC185*Calculation_sheet!C$99</f>
        <v>1.8754318800147736E-3</v>
      </c>
      <c r="AE185" s="176">
        <f t="shared" ca="1" si="217"/>
        <v>1.2502879200098492E-3</v>
      </c>
      <c r="AF185" s="176">
        <f t="shared" ca="1" si="228"/>
        <v>3.1257198000246228E-3</v>
      </c>
      <c r="AG185" s="958">
        <f ca="1">AF185*User_sheet!B$77/100</f>
        <v>0</v>
      </c>
      <c r="AH185" s="313"/>
      <c r="AI185" s="908">
        <v>202</v>
      </c>
      <c r="AJ185" s="313"/>
      <c r="AK185" s="1020">
        <f t="shared" ca="1" si="166"/>
        <v>341.58192036938271</v>
      </c>
      <c r="AL185" s="954">
        <f ca="1">AK185/'202'!I$24</f>
        <v>1.1004217659527165</v>
      </c>
      <c r="AM185" s="954">
        <f ca="1">0.8*(AK185*30+'202'!D$17*0.34*30*1)</f>
        <v>11809.908488865185</v>
      </c>
      <c r="AN185" s="954">
        <f ca="1">IF(AM185&lt;User_sheet!B$50,Y185,0)</f>
        <v>0</v>
      </c>
      <c r="AO185" s="954">
        <f ca="1">20-(User_sheet!B$57/(AK185+'202'!D$17*1*0.34))</f>
        <v>8.4165063489712857</v>
      </c>
      <c r="AP185" s="954">
        <f ca="1">IF(AO185&lt;User_sheet!B$59,0,BC185*AA185)</f>
        <v>0</v>
      </c>
      <c r="AQ185" s="313"/>
      <c r="AR185" s="909">
        <v>0.47</v>
      </c>
      <c r="AS185" s="909">
        <v>2.1</v>
      </c>
      <c r="AT185" s="909">
        <v>3.78</v>
      </c>
      <c r="AU185" s="909">
        <v>2.75</v>
      </c>
      <c r="AV185" s="909">
        <v>3.3</v>
      </c>
      <c r="AW185" s="909">
        <v>11617.129718053829</v>
      </c>
      <c r="AX185" s="909">
        <v>74715.401027665983</v>
      </c>
      <c r="AY185" s="909">
        <v>67352.647733737584</v>
      </c>
      <c r="AZ185" s="909">
        <v>0</v>
      </c>
      <c r="BA185" s="909">
        <v>0</v>
      </c>
      <c r="BB185" s="909">
        <v>0.6</v>
      </c>
      <c r="BC185" s="919">
        <v>0</v>
      </c>
      <c r="BD185" s="920">
        <v>1</v>
      </c>
      <c r="BE185" s="920">
        <v>0</v>
      </c>
      <c r="BF185" s="921">
        <v>0</v>
      </c>
      <c r="BG185" s="909">
        <v>1</v>
      </c>
      <c r="BH185" s="909">
        <v>0</v>
      </c>
      <c r="BI185" s="921">
        <v>0</v>
      </c>
      <c r="BJ185" s="909">
        <v>0</v>
      </c>
      <c r="BK185" s="909">
        <v>1</v>
      </c>
      <c r="BL185" s="909">
        <v>0</v>
      </c>
      <c r="BM185" s="921">
        <v>0</v>
      </c>
      <c r="BN185" s="958">
        <v>0</v>
      </c>
      <c r="BO185" s="959">
        <v>18</v>
      </c>
      <c r="BP185">
        <f t="shared" ca="1" si="218"/>
        <v>173.25</v>
      </c>
      <c r="BQ185">
        <f t="shared" ca="1" si="219"/>
        <v>294.14</v>
      </c>
      <c r="BR185">
        <f t="shared" ca="1" si="220"/>
        <v>99.660000000000011</v>
      </c>
      <c r="BS185">
        <f t="shared" ca="1" si="221"/>
        <v>135.5</v>
      </c>
      <c r="BT185">
        <f t="shared" ca="1" si="222"/>
        <v>63.2</v>
      </c>
      <c r="BU185">
        <f t="shared" ca="1" si="223"/>
        <v>12</v>
      </c>
      <c r="BV185">
        <f t="shared" ca="1" si="224"/>
        <v>4.3</v>
      </c>
      <c r="BW185" s="1018">
        <v>0</v>
      </c>
      <c r="BX185">
        <f t="shared" ca="1" si="194"/>
        <v>43.311737147084209</v>
      </c>
      <c r="BY185">
        <f t="shared" ca="1" si="195"/>
        <v>208.61436950146629</v>
      </c>
      <c r="BZ185">
        <f t="shared" ca="1" si="167"/>
        <v>47.629096181730297</v>
      </c>
      <c r="CA185">
        <f t="shared" ca="1" si="168"/>
        <v>32.999999981849996</v>
      </c>
      <c r="CB185">
        <f t="shared" ca="1" si="196"/>
        <v>9.0267175572519083</v>
      </c>
      <c r="CC185" s="1018">
        <f t="shared" si="169"/>
        <v>0</v>
      </c>
      <c r="CD185" s="1018">
        <f t="shared" ca="1" si="225"/>
        <v>341.58192036938271</v>
      </c>
      <c r="CE185" s="1018">
        <f t="shared" ca="1" si="229"/>
        <v>183.89923712295646</v>
      </c>
      <c r="CF185">
        <f t="shared" ca="1" si="170"/>
        <v>15.764434724770178</v>
      </c>
      <c r="CG185">
        <f t="shared" ca="1" si="171"/>
        <v>26247.153239353353</v>
      </c>
    </row>
    <row r="186" spans="4:85" x14ac:dyDescent="0.25">
      <c r="D186" s="523"/>
      <c r="E186" s="522"/>
      <c r="F186" s="523"/>
      <c r="G186" s="522"/>
      <c r="H186" s="523"/>
      <c r="I186" s="522"/>
      <c r="J186" s="523"/>
      <c r="K186" s="526"/>
      <c r="L186" s="528"/>
      <c r="M186" s="523"/>
      <c r="N186" s="523"/>
      <c r="O186" s="523" t="s">
        <v>18</v>
      </c>
      <c r="P186" s="525">
        <v>0.80827067699999999</v>
      </c>
      <c r="Q186" s="523" t="s">
        <v>7</v>
      </c>
      <c r="R186" s="525">
        <v>0.46289999999999998</v>
      </c>
      <c r="S186" s="523"/>
      <c r="T186" s="533">
        <v>2.6938486542294857E-3</v>
      </c>
      <c r="U186" s="522"/>
      <c r="V186" s="176">
        <f t="shared" si="172"/>
        <v>2.6938486542294857E-3</v>
      </c>
      <c r="W186" s="176">
        <f t="shared" si="226"/>
        <v>2.6938486542294857E-3</v>
      </c>
      <c r="X186" s="176">
        <f t="shared" si="226"/>
        <v>2.6938486542294857E-3</v>
      </c>
      <c r="Y186" s="34">
        <f>X186/Calculation_sheet!M$67</f>
        <v>2.6939037338138115E-3</v>
      </c>
      <c r="Z186" s="176">
        <f ca="1">IF(AN186&gt;0,Y186*Calculation_sheet!C$87,0)</f>
        <v>0</v>
      </c>
      <c r="AA186" s="176">
        <f t="shared" ca="1" si="227"/>
        <v>2.6939037338138115E-3</v>
      </c>
      <c r="AB186" s="176">
        <f ca="1">IF(AP186&gt;0,AA186*Calculation_sheet!C$94,0)</f>
        <v>0</v>
      </c>
      <c r="AC186" s="176">
        <f t="shared" ca="1" si="217"/>
        <v>2.6939037338138115E-3</v>
      </c>
      <c r="AD186" s="958">
        <f ca="1">AC186*Calculation_sheet!C$99</f>
        <v>1.6163422402882869E-3</v>
      </c>
      <c r="AE186" s="176">
        <f t="shared" ca="1" si="217"/>
        <v>1.0775614935255246E-3</v>
      </c>
      <c r="AF186" s="176">
        <f t="shared" ca="1" si="228"/>
        <v>2.6939037338138115E-3</v>
      </c>
      <c r="AG186" s="958">
        <f ca="1">AF186*User_sheet!B$77/100</f>
        <v>0</v>
      </c>
      <c r="AH186" s="313"/>
      <c r="AI186" s="908">
        <v>202</v>
      </c>
      <c r="AJ186" s="313"/>
      <c r="AK186" s="1020">
        <f t="shared" ca="1" si="166"/>
        <v>341.58192036938271</v>
      </c>
      <c r="AL186" s="954">
        <f ca="1">AK186/'202'!I$24</f>
        <v>1.1004217659527165</v>
      </c>
      <c r="AM186" s="954">
        <f ca="1">0.8*(AK186*30+'202'!D$17*0.34*30*1)</f>
        <v>11809.908488865185</v>
      </c>
      <c r="AN186" s="954">
        <f ca="1">IF(AM186&lt;User_sheet!B$50,Y186,0)</f>
        <v>0</v>
      </c>
      <c r="AO186" s="954">
        <f ca="1">20-(User_sheet!B$57/(AK186+'202'!D$17*1*0.34))</f>
        <v>8.4165063489712857</v>
      </c>
      <c r="AP186" s="954">
        <f ca="1">IF(AO186&lt;User_sheet!B$59,0,BC186*AA186)</f>
        <v>0</v>
      </c>
      <c r="AQ186" s="313"/>
      <c r="AR186" s="909">
        <v>0.47</v>
      </c>
      <c r="AS186" s="909">
        <v>2.1</v>
      </c>
      <c r="AT186" s="909">
        <v>3.78</v>
      </c>
      <c r="AU186" s="909">
        <v>2.75</v>
      </c>
      <c r="AV186" s="909">
        <v>3.3</v>
      </c>
      <c r="AW186" s="909">
        <v>11617.129718053829</v>
      </c>
      <c r="AX186" s="909">
        <v>74715.401027665983</v>
      </c>
      <c r="AY186" s="909">
        <v>67352.647733737584</v>
      </c>
      <c r="AZ186" s="909">
        <v>0</v>
      </c>
      <c r="BA186" s="909">
        <v>0</v>
      </c>
      <c r="BB186" s="909">
        <v>0.6</v>
      </c>
      <c r="BC186" s="919">
        <v>0</v>
      </c>
      <c r="BD186" s="920">
        <v>1</v>
      </c>
      <c r="BE186" s="920">
        <v>0</v>
      </c>
      <c r="BF186" s="921">
        <v>0</v>
      </c>
      <c r="BG186" s="909">
        <v>1</v>
      </c>
      <c r="BH186" s="909">
        <v>0</v>
      </c>
      <c r="BI186" s="921">
        <v>0</v>
      </c>
      <c r="BJ186" s="909">
        <v>0</v>
      </c>
      <c r="BK186" s="909">
        <v>0</v>
      </c>
      <c r="BL186" s="909">
        <v>1</v>
      </c>
      <c r="BM186" s="921">
        <v>0</v>
      </c>
      <c r="BN186" s="958">
        <v>0</v>
      </c>
      <c r="BO186" s="959">
        <v>18</v>
      </c>
      <c r="BP186">
        <f t="shared" ca="1" si="218"/>
        <v>173.25</v>
      </c>
      <c r="BQ186">
        <f t="shared" ca="1" si="219"/>
        <v>294.14</v>
      </c>
      <c r="BR186">
        <f t="shared" ca="1" si="220"/>
        <v>99.660000000000011</v>
      </c>
      <c r="BS186">
        <f t="shared" ca="1" si="221"/>
        <v>135.5</v>
      </c>
      <c r="BT186">
        <f t="shared" ca="1" si="222"/>
        <v>63.2</v>
      </c>
      <c r="BU186">
        <f t="shared" ca="1" si="223"/>
        <v>12</v>
      </c>
      <c r="BV186">
        <f t="shared" ca="1" si="224"/>
        <v>4.3</v>
      </c>
      <c r="BW186" s="1018">
        <v>0</v>
      </c>
      <c r="BX186">
        <f t="shared" ca="1" si="194"/>
        <v>43.311737147084209</v>
      </c>
      <c r="BY186">
        <f t="shared" ca="1" si="195"/>
        <v>208.61436950146629</v>
      </c>
      <c r="BZ186">
        <f t="shared" ca="1" si="167"/>
        <v>47.629096181730297</v>
      </c>
      <c r="CA186">
        <f t="shared" ca="1" si="168"/>
        <v>32.999999981849996</v>
      </c>
      <c r="CB186">
        <f t="shared" ca="1" si="196"/>
        <v>9.0267175572519083</v>
      </c>
      <c r="CC186" s="1018">
        <f t="shared" si="169"/>
        <v>0</v>
      </c>
      <c r="CD186" s="1018">
        <f t="shared" ca="1" si="225"/>
        <v>341.58192036938271</v>
      </c>
      <c r="CE186" s="1018">
        <f t="shared" ca="1" si="229"/>
        <v>183.89923712295646</v>
      </c>
      <c r="CF186">
        <f t="shared" ca="1" si="170"/>
        <v>15.764434724770178</v>
      </c>
      <c r="CG186">
        <f t="shared" ca="1" si="171"/>
        <v>26247.153239353353</v>
      </c>
    </row>
    <row r="187" spans="4:85" x14ac:dyDescent="0.25">
      <c r="D187" s="523"/>
      <c r="E187" s="522"/>
      <c r="F187" s="523"/>
      <c r="G187" s="522"/>
      <c r="H187" s="523"/>
      <c r="I187" s="522"/>
      <c r="J187" s="523"/>
      <c r="K187" s="526"/>
      <c r="L187" s="528"/>
      <c r="M187" s="523"/>
      <c r="N187" s="523"/>
      <c r="O187" s="523"/>
      <c r="P187" s="523"/>
      <c r="Q187" s="523" t="s">
        <v>22</v>
      </c>
      <c r="R187" s="525">
        <v>0.53710000000000002</v>
      </c>
      <c r="S187" s="523"/>
      <c r="T187" s="533">
        <v>7.4143465186346177E-4</v>
      </c>
      <c r="U187" s="522"/>
      <c r="V187" s="176">
        <f t="shared" si="172"/>
        <v>7.4143465186346177E-4</v>
      </c>
      <c r="W187" s="176">
        <f t="shared" si="226"/>
        <v>7.4143465186346177E-4</v>
      </c>
      <c r="X187" s="176">
        <f t="shared" si="226"/>
        <v>7.4143465186346177E-4</v>
      </c>
      <c r="Y187" s="34">
        <f>X187/Calculation_sheet!M$67</f>
        <v>7.4144981155417611E-4</v>
      </c>
      <c r="Z187" s="176">
        <f ca="1">IF(AN187&gt;0,Y187*Calculation_sheet!C$87,0)</f>
        <v>0</v>
      </c>
      <c r="AA187" s="176">
        <f t="shared" ca="1" si="227"/>
        <v>7.4144981155417611E-4</v>
      </c>
      <c r="AB187" s="176">
        <f ca="1">IF(AP187&gt;0,AA187*Calculation_sheet!C$94,0)</f>
        <v>0</v>
      </c>
      <c r="AC187" s="176">
        <f t="shared" ca="1" si="217"/>
        <v>7.4144981155417611E-4</v>
      </c>
      <c r="AD187" s="958">
        <f ca="1">AC187*Calculation_sheet!C$99</f>
        <v>4.4486988693250566E-4</v>
      </c>
      <c r="AE187" s="176">
        <f t="shared" ca="1" si="217"/>
        <v>2.9657992462167046E-4</v>
      </c>
      <c r="AF187" s="176">
        <f t="shared" ca="1" si="228"/>
        <v>7.4144981155417611E-4</v>
      </c>
      <c r="AG187" s="958">
        <f ca="1">AF187*User_sheet!B$77/100</f>
        <v>0</v>
      </c>
      <c r="AH187" s="313"/>
      <c r="AI187" s="908">
        <v>202</v>
      </c>
      <c r="AJ187" s="313"/>
      <c r="AK187" s="1020">
        <f t="shared" ca="1" si="166"/>
        <v>341.58192036938271</v>
      </c>
      <c r="AL187" s="954">
        <f ca="1">AK187/'202'!I$24</f>
        <v>1.1004217659527165</v>
      </c>
      <c r="AM187" s="954">
        <f ca="1">0.8*(AK187*30+'202'!D$17*0.34*30*1)</f>
        <v>11809.908488865185</v>
      </c>
      <c r="AN187" s="954">
        <f ca="1">IF(AM187&lt;User_sheet!B$50,Y187,0)</f>
        <v>0</v>
      </c>
      <c r="AO187" s="954">
        <f ca="1">20-(User_sheet!B$57/(AK187+'202'!D$17*1*0.34))</f>
        <v>8.4165063489712857</v>
      </c>
      <c r="AP187" s="954">
        <f ca="1">IF(AO187&lt;User_sheet!B$59,0,BC187*AA187)</f>
        <v>0</v>
      </c>
      <c r="AQ187" s="313"/>
      <c r="AR187" s="909">
        <v>0.47</v>
      </c>
      <c r="AS187" s="909">
        <v>2.1</v>
      </c>
      <c r="AT187" s="909">
        <v>3.78</v>
      </c>
      <c r="AU187" s="909">
        <v>2.75</v>
      </c>
      <c r="AV187" s="909">
        <v>3.3</v>
      </c>
      <c r="AW187" s="909">
        <v>11617.129718053829</v>
      </c>
      <c r="AX187" s="909">
        <v>74715.401027665983</v>
      </c>
      <c r="AY187" s="909">
        <v>67352.647733737584</v>
      </c>
      <c r="AZ187" s="909">
        <v>0</v>
      </c>
      <c r="BA187" s="909">
        <v>0</v>
      </c>
      <c r="BB187" s="909">
        <v>0.6</v>
      </c>
      <c r="BC187" s="919">
        <v>0</v>
      </c>
      <c r="BD187" s="920">
        <v>1</v>
      </c>
      <c r="BE187" s="920">
        <v>0</v>
      </c>
      <c r="BF187" s="921">
        <v>0</v>
      </c>
      <c r="BG187" s="909">
        <v>0</v>
      </c>
      <c r="BH187" s="909">
        <v>1</v>
      </c>
      <c r="BI187" s="921">
        <v>0</v>
      </c>
      <c r="BJ187" s="909">
        <v>0</v>
      </c>
      <c r="BK187" s="909">
        <v>1</v>
      </c>
      <c r="BL187" s="909">
        <v>0</v>
      </c>
      <c r="BM187" s="921">
        <v>0</v>
      </c>
      <c r="BN187" s="958">
        <v>0</v>
      </c>
      <c r="BO187" s="959">
        <v>18</v>
      </c>
      <c r="BP187">
        <f t="shared" ca="1" si="218"/>
        <v>173.25</v>
      </c>
      <c r="BQ187">
        <f t="shared" ca="1" si="219"/>
        <v>294.14</v>
      </c>
      <c r="BR187">
        <f t="shared" ca="1" si="220"/>
        <v>99.660000000000011</v>
      </c>
      <c r="BS187">
        <f t="shared" ca="1" si="221"/>
        <v>135.5</v>
      </c>
      <c r="BT187">
        <f t="shared" ca="1" si="222"/>
        <v>63.2</v>
      </c>
      <c r="BU187">
        <f t="shared" ca="1" si="223"/>
        <v>12</v>
      </c>
      <c r="BV187">
        <f t="shared" ca="1" si="224"/>
        <v>4.3</v>
      </c>
      <c r="BW187" s="1018">
        <v>0</v>
      </c>
      <c r="BX187">
        <f t="shared" ca="1" si="194"/>
        <v>43.311737147084209</v>
      </c>
      <c r="BY187">
        <f t="shared" ca="1" si="195"/>
        <v>208.61436950146629</v>
      </c>
      <c r="BZ187">
        <f t="shared" ca="1" si="167"/>
        <v>47.629096181730297</v>
      </c>
      <c r="CA187">
        <f t="shared" ca="1" si="168"/>
        <v>32.999999981849996</v>
      </c>
      <c r="CB187">
        <f t="shared" ca="1" si="196"/>
        <v>9.0267175572519083</v>
      </c>
      <c r="CC187" s="1018">
        <f t="shared" si="169"/>
        <v>0</v>
      </c>
      <c r="CD187" s="1018">
        <f t="shared" ca="1" si="225"/>
        <v>341.58192036938271</v>
      </c>
      <c r="CE187" s="1018">
        <f t="shared" ca="1" si="229"/>
        <v>183.89923712295646</v>
      </c>
      <c r="CF187">
        <f t="shared" ca="1" si="170"/>
        <v>15.764434724770178</v>
      </c>
      <c r="CG187">
        <f t="shared" ca="1" si="171"/>
        <v>26247.153239353353</v>
      </c>
    </row>
    <row r="188" spans="4:85" x14ac:dyDescent="0.25">
      <c r="D188" s="523"/>
      <c r="E188" s="522"/>
      <c r="F188" s="523"/>
      <c r="G188" s="522"/>
      <c r="H188" s="523"/>
      <c r="I188" s="522"/>
      <c r="J188" s="523"/>
      <c r="K188" s="523"/>
      <c r="L188" s="523"/>
      <c r="M188" s="523" t="s">
        <v>22</v>
      </c>
      <c r="N188" s="525">
        <v>0.44680851100000002</v>
      </c>
      <c r="O188" s="523" t="s">
        <v>20</v>
      </c>
      <c r="P188" s="525">
        <v>0.19172932300000001</v>
      </c>
      <c r="Q188" s="523" t="s">
        <v>7</v>
      </c>
      <c r="R188" s="525">
        <v>0.46289999999999998</v>
      </c>
      <c r="S188" s="523"/>
      <c r="T188" s="533">
        <v>6.3900595856934749E-4</v>
      </c>
      <c r="U188" s="522"/>
      <c r="V188" s="176">
        <f t="shared" si="172"/>
        <v>6.3900595856934749E-4</v>
      </c>
      <c r="W188" s="176">
        <f t="shared" si="226"/>
        <v>6.3900595856934749E-4</v>
      </c>
      <c r="X188" s="176">
        <f t="shared" si="226"/>
        <v>6.3900595856934749E-4</v>
      </c>
      <c r="Y188" s="34">
        <f>X188/Calculation_sheet!M$67</f>
        <v>6.3901902395909177E-4</v>
      </c>
      <c r="Z188" s="176">
        <f ca="1">IF(AN188&gt;0,Y188*Calculation_sheet!C$87,0)</f>
        <v>0</v>
      </c>
      <c r="AA188" s="176">
        <f t="shared" ca="1" si="227"/>
        <v>6.3901902395909177E-4</v>
      </c>
      <c r="AB188" s="176">
        <f ca="1">IF(AP188&gt;0,AA188*Calculation_sheet!C$94,0)</f>
        <v>0</v>
      </c>
      <c r="AC188" s="176">
        <f t="shared" ca="1" si="217"/>
        <v>6.3901902395909177E-4</v>
      </c>
      <c r="AD188" s="958">
        <f ca="1">AC188*Calculation_sheet!C$99</f>
        <v>3.8341141437545507E-4</v>
      </c>
      <c r="AE188" s="176">
        <f t="shared" ca="1" si="217"/>
        <v>2.556076095836367E-4</v>
      </c>
      <c r="AF188" s="176">
        <f t="shared" ca="1" si="228"/>
        <v>6.3901902395909177E-4</v>
      </c>
      <c r="AG188" s="958">
        <f ca="1">AF188*User_sheet!B$77/100</f>
        <v>0</v>
      </c>
      <c r="AH188" s="313"/>
      <c r="AI188" s="908">
        <v>202</v>
      </c>
      <c r="AJ188" s="313"/>
      <c r="AK188" s="1020">
        <f t="shared" ca="1" si="166"/>
        <v>341.58192036938271</v>
      </c>
      <c r="AL188" s="954">
        <f ca="1">AK188/'202'!I$24</f>
        <v>1.1004217659527165</v>
      </c>
      <c r="AM188" s="954">
        <f ca="1">0.8*(AK188*30+'202'!D$17*0.34*30*1)</f>
        <v>11809.908488865185</v>
      </c>
      <c r="AN188" s="954">
        <f ca="1">IF(AM188&lt;User_sheet!B$50,Y188,0)</f>
        <v>0</v>
      </c>
      <c r="AO188" s="954">
        <f ca="1">20-(User_sheet!B$57/(AK188+'202'!D$17*1*0.34))</f>
        <v>8.4165063489712857</v>
      </c>
      <c r="AP188" s="954">
        <f ca="1">IF(AO188&lt;User_sheet!B$59,0,BC188*AA188)</f>
        <v>0</v>
      </c>
      <c r="AQ188" s="313"/>
      <c r="AR188" s="909">
        <v>0.47</v>
      </c>
      <c r="AS188" s="909">
        <v>2.1</v>
      </c>
      <c r="AT188" s="909">
        <v>3.78</v>
      </c>
      <c r="AU188" s="909">
        <v>2.75</v>
      </c>
      <c r="AV188" s="909">
        <v>3.3</v>
      </c>
      <c r="AW188" s="909">
        <v>11617.129718053829</v>
      </c>
      <c r="AX188" s="909">
        <v>74715.401027665983</v>
      </c>
      <c r="AY188" s="909">
        <v>67352.647733737584</v>
      </c>
      <c r="AZ188" s="909">
        <v>0</v>
      </c>
      <c r="BA188" s="909">
        <v>0</v>
      </c>
      <c r="BB188" s="909">
        <v>0.6</v>
      </c>
      <c r="BC188" s="919">
        <v>0</v>
      </c>
      <c r="BD188" s="920">
        <v>1</v>
      </c>
      <c r="BE188" s="920">
        <v>0</v>
      </c>
      <c r="BF188" s="921">
        <v>0</v>
      </c>
      <c r="BG188" s="909">
        <v>0</v>
      </c>
      <c r="BH188" s="909">
        <v>1</v>
      </c>
      <c r="BI188" s="921">
        <v>0</v>
      </c>
      <c r="BJ188" s="909">
        <v>0</v>
      </c>
      <c r="BK188" s="909">
        <v>0</v>
      </c>
      <c r="BL188" s="909">
        <v>1</v>
      </c>
      <c r="BM188" s="921">
        <v>0</v>
      </c>
      <c r="BN188" s="958">
        <v>0</v>
      </c>
      <c r="BO188" s="959">
        <v>18</v>
      </c>
      <c r="BP188">
        <f t="shared" ca="1" si="218"/>
        <v>173.25</v>
      </c>
      <c r="BQ188">
        <f t="shared" ca="1" si="219"/>
        <v>294.14</v>
      </c>
      <c r="BR188">
        <f t="shared" ca="1" si="220"/>
        <v>99.660000000000011</v>
      </c>
      <c r="BS188">
        <f t="shared" ca="1" si="221"/>
        <v>135.5</v>
      </c>
      <c r="BT188">
        <f t="shared" ca="1" si="222"/>
        <v>63.2</v>
      </c>
      <c r="BU188">
        <f t="shared" ca="1" si="223"/>
        <v>12</v>
      </c>
      <c r="BV188">
        <f t="shared" ca="1" si="224"/>
        <v>4.3</v>
      </c>
      <c r="BW188" s="1018">
        <v>0</v>
      </c>
      <c r="BX188">
        <f t="shared" ca="1" si="194"/>
        <v>43.311737147084209</v>
      </c>
      <c r="BY188">
        <f t="shared" ca="1" si="195"/>
        <v>208.61436950146629</v>
      </c>
      <c r="BZ188">
        <f t="shared" ca="1" si="167"/>
        <v>47.629096181730297</v>
      </c>
      <c r="CA188">
        <f t="shared" ca="1" si="168"/>
        <v>32.999999981849996</v>
      </c>
      <c r="CB188">
        <f t="shared" ca="1" si="196"/>
        <v>9.0267175572519083</v>
      </c>
      <c r="CC188" s="1018">
        <f t="shared" si="169"/>
        <v>0</v>
      </c>
      <c r="CD188" s="1018">
        <f t="shared" ca="1" si="225"/>
        <v>341.58192036938271</v>
      </c>
      <c r="CE188" s="1018">
        <f t="shared" ca="1" si="229"/>
        <v>183.89923712295646</v>
      </c>
      <c r="CF188">
        <f t="shared" ca="1" si="170"/>
        <v>15.764434724770178</v>
      </c>
      <c r="CG188">
        <f t="shared" ca="1" si="171"/>
        <v>26247.153239353353</v>
      </c>
    </row>
    <row r="189" spans="4:85" x14ac:dyDescent="0.25">
      <c r="D189" s="523"/>
      <c r="E189" s="522"/>
      <c r="F189" s="523"/>
      <c r="G189" s="522"/>
      <c r="H189" s="523"/>
      <c r="I189" s="522" t="s">
        <v>6</v>
      </c>
      <c r="J189" s="527">
        <v>0.50990000000000002</v>
      </c>
      <c r="K189" s="523"/>
      <c r="L189" s="523"/>
      <c r="M189" s="523" t="s">
        <v>7</v>
      </c>
      <c r="N189" s="525">
        <v>2.1276595999999998E-2</v>
      </c>
      <c r="O189" s="523" t="s">
        <v>23</v>
      </c>
      <c r="P189" s="525">
        <v>1</v>
      </c>
      <c r="Q189" s="523" t="s">
        <v>7</v>
      </c>
      <c r="R189" s="525">
        <v>1</v>
      </c>
      <c r="S189" s="523"/>
      <c r="T189" s="533">
        <v>3.4285453508369211E-4</v>
      </c>
      <c r="U189" s="522"/>
      <c r="V189" s="176">
        <f t="shared" si="172"/>
        <v>3.4285453508369211E-4</v>
      </c>
      <c r="W189" s="176">
        <f t="shared" si="226"/>
        <v>3.4285453508369211E-4</v>
      </c>
      <c r="X189" s="176">
        <f t="shared" si="226"/>
        <v>3.4285453508369211E-4</v>
      </c>
      <c r="Y189" s="34">
        <f>X189/Calculation_sheet!M$67</f>
        <v>3.42861545234484E-4</v>
      </c>
      <c r="Z189" s="176">
        <f ca="1">IF(AN189&gt;0,Y189*Calculation_sheet!C$87,0)</f>
        <v>0</v>
      </c>
      <c r="AA189" s="176">
        <f t="shared" ca="1" si="227"/>
        <v>3.42861545234484E-4</v>
      </c>
      <c r="AB189" s="176">
        <f ca="1">IF(AP189&gt;0,AA189*Calculation_sheet!C$94,0)</f>
        <v>0</v>
      </c>
      <c r="AC189" s="176">
        <f t="shared" ca="1" si="217"/>
        <v>3.42861545234484E-4</v>
      </c>
      <c r="AD189" s="958">
        <f ca="1">AC189*Calculation_sheet!C$99</f>
        <v>2.0571692714069039E-4</v>
      </c>
      <c r="AE189" s="176">
        <f t="shared" ca="1" si="217"/>
        <v>1.3714461809379361E-4</v>
      </c>
      <c r="AF189" s="176">
        <f t="shared" ca="1" si="228"/>
        <v>3.42861545234484E-4</v>
      </c>
      <c r="AG189" s="958">
        <f ca="1">AF189*User_sheet!B$77/100</f>
        <v>0</v>
      </c>
      <c r="AH189" s="313"/>
      <c r="AI189" s="908">
        <v>202</v>
      </c>
      <c r="AJ189" s="313"/>
      <c r="AK189" s="1020">
        <f t="shared" ca="1" si="166"/>
        <v>341.58192036938271</v>
      </c>
      <c r="AL189" s="954">
        <f ca="1">AK189/'202'!I$24</f>
        <v>1.1004217659527165</v>
      </c>
      <c r="AM189" s="954">
        <f ca="1">0.8*(AK189*30+'202'!D$17*0.34*30*1)</f>
        <v>11809.908488865185</v>
      </c>
      <c r="AN189" s="954">
        <f ca="1">IF(AM189&lt;User_sheet!B$50,Y189,0)</f>
        <v>0</v>
      </c>
      <c r="AO189" s="954">
        <f ca="1">20-(User_sheet!B$57/(AK189+'202'!D$17*1*0.34))</f>
        <v>8.4165063489712857</v>
      </c>
      <c r="AP189" s="954">
        <f ca="1">IF(AO189&lt;User_sheet!B$59,0,BC189*AA189)</f>
        <v>0</v>
      </c>
      <c r="AQ189" s="313"/>
      <c r="AR189" s="909">
        <v>0.47</v>
      </c>
      <c r="AS189" s="909">
        <v>2.1</v>
      </c>
      <c r="AT189" s="909">
        <v>3.78</v>
      </c>
      <c r="AU189" s="909">
        <v>2.75</v>
      </c>
      <c r="AV189" s="909">
        <v>3.3</v>
      </c>
      <c r="AW189" s="909">
        <v>11617.129718053829</v>
      </c>
      <c r="AX189" s="909">
        <v>74715.401027665983</v>
      </c>
      <c r="AY189" s="909">
        <v>67352.647733737584</v>
      </c>
      <c r="AZ189" s="909">
        <v>0</v>
      </c>
      <c r="BA189" s="909">
        <v>0</v>
      </c>
      <c r="BB189" s="909">
        <v>0.6</v>
      </c>
      <c r="BC189" s="919">
        <v>0</v>
      </c>
      <c r="BD189" s="920">
        <v>0</v>
      </c>
      <c r="BE189" s="920">
        <v>1</v>
      </c>
      <c r="BF189" s="921">
        <v>0</v>
      </c>
      <c r="BG189" s="909">
        <v>0</v>
      </c>
      <c r="BH189" s="909">
        <v>0</v>
      </c>
      <c r="BI189" s="921">
        <v>1</v>
      </c>
      <c r="BJ189" s="909">
        <v>0</v>
      </c>
      <c r="BK189" s="909">
        <v>0</v>
      </c>
      <c r="BL189" s="909">
        <v>1</v>
      </c>
      <c r="BM189" s="921">
        <v>0</v>
      </c>
      <c r="BN189" s="958">
        <v>0</v>
      </c>
      <c r="BO189" s="959">
        <v>18</v>
      </c>
      <c r="BP189">
        <f t="shared" ca="1" si="218"/>
        <v>173.25</v>
      </c>
      <c r="BQ189">
        <f t="shared" ca="1" si="219"/>
        <v>294.14</v>
      </c>
      <c r="BR189">
        <f t="shared" ca="1" si="220"/>
        <v>99.660000000000011</v>
      </c>
      <c r="BS189">
        <f t="shared" ca="1" si="221"/>
        <v>135.5</v>
      </c>
      <c r="BT189">
        <f t="shared" ca="1" si="222"/>
        <v>63.2</v>
      </c>
      <c r="BU189">
        <f t="shared" ca="1" si="223"/>
        <v>12</v>
      </c>
      <c r="BV189">
        <f t="shared" ca="1" si="224"/>
        <v>4.3</v>
      </c>
      <c r="BW189" s="1018">
        <v>0</v>
      </c>
      <c r="BX189">
        <f t="shared" ca="1" si="194"/>
        <v>43.311737147084209</v>
      </c>
      <c r="BY189">
        <f t="shared" ca="1" si="195"/>
        <v>208.61436950146629</v>
      </c>
      <c r="BZ189">
        <f t="shared" ca="1" si="167"/>
        <v>47.629096181730297</v>
      </c>
      <c r="CA189">
        <f t="shared" ca="1" si="168"/>
        <v>32.999999981849996</v>
      </c>
      <c r="CB189">
        <f t="shared" ca="1" si="196"/>
        <v>9.0267175572519083</v>
      </c>
      <c r="CC189" s="1018">
        <f t="shared" si="169"/>
        <v>0</v>
      </c>
      <c r="CD189" s="1018">
        <f t="shared" ca="1" si="225"/>
        <v>341.58192036938271</v>
      </c>
      <c r="CE189" s="1018">
        <f t="shared" ca="1" si="229"/>
        <v>183.89923712295646</v>
      </c>
      <c r="CF189">
        <f t="shared" ca="1" si="170"/>
        <v>15.764434724770178</v>
      </c>
      <c r="CG189">
        <f t="shared" ca="1" si="171"/>
        <v>26247.153239353353</v>
      </c>
    </row>
    <row r="190" spans="4:85" x14ac:dyDescent="0.25">
      <c r="D190" s="523"/>
      <c r="E190" s="522"/>
      <c r="F190" s="523"/>
      <c r="G190" s="522"/>
      <c r="H190" s="523"/>
      <c r="I190" s="522"/>
      <c r="J190" s="523"/>
      <c r="K190" s="523"/>
      <c r="L190" s="523"/>
      <c r="M190" s="523"/>
      <c r="N190" s="523"/>
      <c r="O190" s="523" t="s">
        <v>18</v>
      </c>
      <c r="P190" s="525">
        <v>0.15910607099999999</v>
      </c>
      <c r="Q190" s="523" t="s">
        <v>17</v>
      </c>
      <c r="R190" s="525">
        <v>1</v>
      </c>
      <c r="S190" s="523"/>
      <c r="T190" s="533">
        <v>2.1820094944293049E-4</v>
      </c>
      <c r="U190" s="522"/>
      <c r="V190" s="176">
        <f t="shared" si="172"/>
        <v>2.1820094944293049E-4</v>
      </c>
      <c r="W190" s="176">
        <f t="shared" si="226"/>
        <v>2.1820094944293049E-4</v>
      </c>
      <c r="X190" s="176">
        <f t="shared" si="226"/>
        <v>2.1820094944293049E-4</v>
      </c>
      <c r="Y190" s="34">
        <f>X190/Calculation_sheet!M$67</f>
        <v>2.1820541087307652E-4</v>
      </c>
      <c r="Z190" s="176">
        <f ca="1">IF(AN190&gt;0,Y190*Calculation_sheet!C$87,0)</f>
        <v>0</v>
      </c>
      <c r="AA190" s="176">
        <f t="shared" ca="1" si="227"/>
        <v>2.1820541087307652E-4</v>
      </c>
      <c r="AB190" s="176">
        <f ca="1">IF(AP190&gt;0,AA190*Calculation_sheet!C$94,0)</f>
        <v>0</v>
      </c>
      <c r="AC190" s="176">
        <f t="shared" ca="1" si="217"/>
        <v>2.1820541087307652E-4</v>
      </c>
      <c r="AD190" s="958">
        <f ca="1">AC190*Calculation_sheet!C$99</f>
        <v>1.309232465238459E-4</v>
      </c>
      <c r="AE190" s="176">
        <f t="shared" ca="1" si="217"/>
        <v>8.7282164349230618E-5</v>
      </c>
      <c r="AF190" s="176">
        <f t="shared" ca="1" si="228"/>
        <v>2.1820541087307652E-4</v>
      </c>
      <c r="AG190" s="958">
        <f ca="1">AF190*User_sheet!B$77/100</f>
        <v>0</v>
      </c>
      <c r="AH190" s="313"/>
      <c r="AI190" s="908">
        <v>202</v>
      </c>
      <c r="AJ190" s="313"/>
      <c r="AK190" s="1020">
        <f t="shared" ca="1" si="166"/>
        <v>341.58192036938271</v>
      </c>
      <c r="AL190" s="954">
        <f ca="1">AK190/'202'!I$24</f>
        <v>1.1004217659527165</v>
      </c>
      <c r="AM190" s="954">
        <f ca="1">0.8*(AK190*30+'202'!D$17*0.34*30*1)</f>
        <v>11809.908488865185</v>
      </c>
      <c r="AN190" s="954">
        <f ca="1">IF(AM190&lt;User_sheet!B$50,Y190,0)</f>
        <v>0</v>
      </c>
      <c r="AO190" s="954">
        <f ca="1">20-(User_sheet!B$57/(AK190+'202'!D$17*1*0.34))</f>
        <v>8.4165063489712857</v>
      </c>
      <c r="AP190" s="954">
        <f ca="1">IF(AO190&lt;User_sheet!B$59,0,BC190*AA190)</f>
        <v>0</v>
      </c>
      <c r="AQ190" s="313"/>
      <c r="AR190" s="909">
        <v>0.47</v>
      </c>
      <c r="AS190" s="909">
        <v>2.1</v>
      </c>
      <c r="AT190" s="909">
        <v>3.78</v>
      </c>
      <c r="AU190" s="909">
        <v>2.75</v>
      </c>
      <c r="AV190" s="909">
        <v>3.3</v>
      </c>
      <c r="AW190" s="909">
        <v>11617.129718053829</v>
      </c>
      <c r="AX190" s="909">
        <v>74715.401027665983</v>
      </c>
      <c r="AY190" s="909">
        <v>67352.647733737584</v>
      </c>
      <c r="AZ190" s="909">
        <v>0</v>
      </c>
      <c r="BA190" s="909">
        <v>0</v>
      </c>
      <c r="BB190" s="909">
        <v>0.6</v>
      </c>
      <c r="BC190" s="919">
        <v>0</v>
      </c>
      <c r="BD190" s="920">
        <v>0</v>
      </c>
      <c r="BE190" s="920">
        <v>0</v>
      </c>
      <c r="BF190" s="921">
        <v>1</v>
      </c>
      <c r="BG190" s="909">
        <v>1</v>
      </c>
      <c r="BH190" s="909">
        <v>0</v>
      </c>
      <c r="BI190" s="921">
        <v>0</v>
      </c>
      <c r="BJ190" s="909">
        <v>0</v>
      </c>
      <c r="BK190" s="909">
        <v>0</v>
      </c>
      <c r="BL190" s="909">
        <v>0</v>
      </c>
      <c r="BM190" s="921">
        <v>1</v>
      </c>
      <c r="BN190" s="958">
        <v>0</v>
      </c>
      <c r="BO190" s="959">
        <v>18</v>
      </c>
      <c r="BP190">
        <f t="shared" ca="1" si="218"/>
        <v>173.25</v>
      </c>
      <c r="BQ190">
        <f t="shared" ca="1" si="219"/>
        <v>294.14</v>
      </c>
      <c r="BR190">
        <f t="shared" ca="1" si="220"/>
        <v>99.660000000000011</v>
      </c>
      <c r="BS190">
        <f t="shared" ca="1" si="221"/>
        <v>135.5</v>
      </c>
      <c r="BT190">
        <f t="shared" ca="1" si="222"/>
        <v>63.2</v>
      </c>
      <c r="BU190">
        <f t="shared" ca="1" si="223"/>
        <v>12</v>
      </c>
      <c r="BV190">
        <f t="shared" ca="1" si="224"/>
        <v>4.3</v>
      </c>
      <c r="BW190" s="1018">
        <v>0</v>
      </c>
      <c r="BX190">
        <f t="shared" ca="1" si="194"/>
        <v>43.311737147084209</v>
      </c>
      <c r="BY190">
        <f t="shared" ca="1" si="195"/>
        <v>208.61436950146629</v>
      </c>
      <c r="BZ190">
        <f t="shared" ca="1" si="167"/>
        <v>47.629096181730297</v>
      </c>
      <c r="CA190">
        <f t="shared" ca="1" si="168"/>
        <v>32.999999981849996</v>
      </c>
      <c r="CB190">
        <f t="shared" ca="1" si="196"/>
        <v>9.0267175572519083</v>
      </c>
      <c r="CC190" s="1018">
        <f t="shared" si="169"/>
        <v>0</v>
      </c>
      <c r="CD190" s="1018">
        <f t="shared" ca="1" si="225"/>
        <v>341.58192036938271</v>
      </c>
      <c r="CE190" s="1018">
        <f t="shared" ca="1" si="229"/>
        <v>183.89923712295646</v>
      </c>
      <c r="CF190">
        <f t="shared" ca="1" si="170"/>
        <v>15.764434724770178</v>
      </c>
      <c r="CG190">
        <f t="shared" ca="1" si="171"/>
        <v>26247.153239353353</v>
      </c>
    </row>
    <row r="191" spans="4:85" x14ac:dyDescent="0.25">
      <c r="D191" s="523"/>
      <c r="E191" s="522"/>
      <c r="F191" s="523"/>
      <c r="G191" s="522"/>
      <c r="H191" s="523"/>
      <c r="I191" s="522"/>
      <c r="J191" s="523"/>
      <c r="K191" s="526" t="s">
        <v>13</v>
      </c>
      <c r="L191" s="527">
        <v>1</v>
      </c>
      <c r="M191" s="523" t="s">
        <v>17</v>
      </c>
      <c r="N191" s="525">
        <v>8.5106382999999994E-2</v>
      </c>
      <c r="O191" s="523" t="s">
        <v>19</v>
      </c>
      <c r="P191" s="525">
        <v>0.84089392900000004</v>
      </c>
      <c r="Q191" s="523" t="s">
        <v>17</v>
      </c>
      <c r="R191" s="525">
        <v>1</v>
      </c>
      <c r="S191" s="523"/>
      <c r="T191" s="533">
        <v>1.1532171747776752E-3</v>
      </c>
      <c r="U191" s="522"/>
      <c r="V191" s="176">
        <f t="shared" si="172"/>
        <v>1.1532171747776752E-3</v>
      </c>
      <c r="W191" s="176">
        <f t="shared" si="226"/>
        <v>1.1532171747776752E-3</v>
      </c>
      <c r="X191" s="176">
        <f t="shared" si="226"/>
        <v>1.1532171747776752E-3</v>
      </c>
      <c r="Y191" s="34">
        <f>X191/Calculation_sheet!M$67</f>
        <v>1.1532407539503672E-3</v>
      </c>
      <c r="Z191" s="176">
        <f ca="1">IF(AN191&gt;0,Y191*Calculation_sheet!C$87,0)</f>
        <v>0</v>
      </c>
      <c r="AA191" s="176">
        <f t="shared" ca="1" si="227"/>
        <v>1.1532407539503672E-3</v>
      </c>
      <c r="AB191" s="176">
        <f ca="1">IF(AP191&gt;0,AA191*Calculation_sheet!C$94,0)</f>
        <v>0</v>
      </c>
      <c r="AC191" s="176">
        <f t="shared" ca="1" si="217"/>
        <v>1.1532407539503672E-3</v>
      </c>
      <c r="AD191" s="958">
        <f ca="1">AC191*Calculation_sheet!C$99</f>
        <v>6.9194445237022028E-4</v>
      </c>
      <c r="AE191" s="176">
        <f t="shared" ca="1" si="217"/>
        <v>4.6129630158014696E-4</v>
      </c>
      <c r="AF191" s="176">
        <f t="shared" ca="1" si="228"/>
        <v>1.1532407539503672E-3</v>
      </c>
      <c r="AG191" s="958">
        <f ca="1">AF191*User_sheet!B$77/100</f>
        <v>0</v>
      </c>
      <c r="AH191" s="313"/>
      <c r="AI191" s="908">
        <v>202</v>
      </c>
      <c r="AJ191" s="313"/>
      <c r="AK191" s="1020">
        <f t="shared" ca="1" si="166"/>
        <v>341.58192036938271</v>
      </c>
      <c r="AL191" s="954">
        <f ca="1">AK191/'202'!I$24</f>
        <v>1.1004217659527165</v>
      </c>
      <c r="AM191" s="954">
        <f ca="1">0.8*(AK191*30+'202'!D$17*0.34*30*1)</f>
        <v>11809.908488865185</v>
      </c>
      <c r="AN191" s="954">
        <f ca="1">IF(AM191&lt;User_sheet!B$50,Y191,0)</f>
        <v>0</v>
      </c>
      <c r="AO191" s="954">
        <f ca="1">20-(User_sheet!B$57/(AK191+'202'!D$17*1*0.34))</f>
        <v>8.4165063489712857</v>
      </c>
      <c r="AP191" s="954">
        <f ca="1">IF(AO191&lt;User_sheet!B$59,0,BC191*AA191)</f>
        <v>0</v>
      </c>
      <c r="AQ191" s="313"/>
      <c r="AR191" s="909">
        <v>0.47</v>
      </c>
      <c r="AS191" s="909">
        <v>2.1</v>
      </c>
      <c r="AT191" s="909">
        <v>3.78</v>
      </c>
      <c r="AU191" s="909">
        <v>2.75</v>
      </c>
      <c r="AV191" s="909">
        <v>3.3</v>
      </c>
      <c r="AW191" s="909">
        <v>11617.129718053829</v>
      </c>
      <c r="AX191" s="909">
        <v>74715.401027665983</v>
      </c>
      <c r="AY191" s="909">
        <v>67352.647733737584</v>
      </c>
      <c r="AZ191" s="909">
        <v>0</v>
      </c>
      <c r="BA191" s="909">
        <v>0</v>
      </c>
      <c r="BB191" s="909">
        <v>0.6</v>
      </c>
      <c r="BC191" s="919">
        <v>0</v>
      </c>
      <c r="BD191" s="920">
        <v>0</v>
      </c>
      <c r="BE191" s="920">
        <v>0</v>
      </c>
      <c r="BF191" s="921">
        <v>1</v>
      </c>
      <c r="BG191" s="909">
        <v>0</v>
      </c>
      <c r="BH191" s="909">
        <v>1</v>
      </c>
      <c r="BI191" s="921">
        <v>0</v>
      </c>
      <c r="BJ191" s="909">
        <v>0</v>
      </c>
      <c r="BK191" s="909">
        <v>0</v>
      </c>
      <c r="BL191" s="909">
        <v>0</v>
      </c>
      <c r="BM191" s="921">
        <v>1</v>
      </c>
      <c r="BN191" s="958">
        <v>0</v>
      </c>
      <c r="BO191" s="959">
        <v>18</v>
      </c>
      <c r="BP191">
        <f t="shared" ca="1" si="218"/>
        <v>173.25</v>
      </c>
      <c r="BQ191">
        <f t="shared" ca="1" si="219"/>
        <v>294.14</v>
      </c>
      <c r="BR191">
        <f t="shared" ca="1" si="220"/>
        <v>99.660000000000011</v>
      </c>
      <c r="BS191">
        <f t="shared" ca="1" si="221"/>
        <v>135.5</v>
      </c>
      <c r="BT191">
        <f t="shared" ca="1" si="222"/>
        <v>63.2</v>
      </c>
      <c r="BU191">
        <f t="shared" ca="1" si="223"/>
        <v>12</v>
      </c>
      <c r="BV191">
        <f t="shared" ca="1" si="224"/>
        <v>4.3</v>
      </c>
      <c r="BW191" s="1018">
        <v>0</v>
      </c>
      <c r="BX191">
        <f t="shared" ca="1" si="194"/>
        <v>43.311737147084209</v>
      </c>
      <c r="BY191">
        <f t="shared" ca="1" si="195"/>
        <v>208.61436950146629</v>
      </c>
      <c r="BZ191">
        <f t="shared" ca="1" si="167"/>
        <v>47.629096181730297</v>
      </c>
      <c r="CA191">
        <f t="shared" ca="1" si="168"/>
        <v>32.999999981849996</v>
      </c>
      <c r="CB191">
        <f t="shared" ca="1" si="196"/>
        <v>9.0267175572519083</v>
      </c>
      <c r="CC191" s="1018">
        <f t="shared" si="169"/>
        <v>0</v>
      </c>
      <c r="CD191" s="1018">
        <f t="shared" ca="1" si="225"/>
        <v>341.58192036938271</v>
      </c>
      <c r="CE191" s="1018">
        <f t="shared" ca="1" si="229"/>
        <v>183.89923712295646</v>
      </c>
      <c r="CF191">
        <f t="shared" ca="1" si="170"/>
        <v>15.764434724770178</v>
      </c>
      <c r="CG191">
        <f t="shared" ca="1" si="171"/>
        <v>26247.153239353353</v>
      </c>
    </row>
    <row r="192" spans="4:85" s="14" customFormat="1" x14ac:dyDescent="0.25">
      <c r="D192" s="531"/>
      <c r="E192" s="530"/>
      <c r="F192" s="531"/>
      <c r="G192" s="530"/>
      <c r="H192" s="531"/>
      <c r="I192" s="530"/>
      <c r="J192" s="531"/>
      <c r="K192" s="532"/>
      <c r="L192" s="531"/>
      <c r="M192" s="531"/>
      <c r="N192" s="531"/>
      <c r="O192" s="531"/>
      <c r="P192" s="531"/>
      <c r="Q192" s="531"/>
      <c r="R192" s="531"/>
      <c r="S192" s="531"/>
      <c r="T192" s="534"/>
      <c r="U192" s="530"/>
      <c r="V192" s="292"/>
      <c r="W192" s="292"/>
      <c r="X192" s="292"/>
      <c r="Y192" s="277"/>
      <c r="Z192" s="292"/>
      <c r="AA192" s="292"/>
      <c r="AB192" s="292"/>
      <c r="AC192" s="292"/>
      <c r="AD192" s="277"/>
      <c r="AE192" s="292"/>
      <c r="AF192" s="292"/>
      <c r="AG192" s="277"/>
      <c r="AH192" s="313"/>
      <c r="AI192" s="913"/>
      <c r="AJ192" s="313"/>
      <c r="AK192" s="1020">
        <f t="shared" si="166"/>
        <v>0</v>
      </c>
      <c r="AL192" s="955"/>
      <c r="AM192" s="955"/>
      <c r="AN192" s="941"/>
      <c r="AO192" s="941"/>
      <c r="AP192" s="941"/>
      <c r="AQ192" s="313"/>
      <c r="AR192" s="918"/>
      <c r="AS192" s="918"/>
      <c r="AT192" s="918"/>
      <c r="AU192" s="918"/>
      <c r="AV192" s="918"/>
      <c r="AW192" s="918"/>
      <c r="AX192" s="918"/>
      <c r="AY192" s="918"/>
      <c r="AZ192" s="918"/>
      <c r="BA192" s="918"/>
      <c r="BB192" s="918"/>
      <c r="BC192" s="45"/>
      <c r="BD192" s="277"/>
      <c r="BE192" s="277"/>
      <c r="BF192" s="49"/>
      <c r="BG192" s="918"/>
      <c r="BH192" s="918"/>
      <c r="BI192" s="49"/>
      <c r="BJ192" s="918"/>
      <c r="BK192" s="918"/>
      <c r="BL192" s="918"/>
      <c r="BM192" s="49"/>
      <c r="BN192" s="277"/>
      <c r="BO192" s="49"/>
      <c r="BW192" s="928"/>
      <c r="CC192" s="928"/>
      <c r="CD192" s="928"/>
      <c r="CE192" s="928"/>
    </row>
    <row r="193" spans="3:85" s="3" customFormat="1" x14ac:dyDescent="0.25">
      <c r="C193" s="524"/>
      <c r="D193" s="528"/>
      <c r="E193" s="524"/>
      <c r="F193" s="528"/>
      <c r="G193" s="524"/>
      <c r="H193" s="528"/>
      <c r="I193" s="524"/>
      <c r="J193" s="528"/>
      <c r="K193" s="529"/>
      <c r="L193" s="528"/>
      <c r="M193" s="528"/>
      <c r="N193" s="528"/>
      <c r="O193" s="528"/>
      <c r="P193" s="528"/>
      <c r="Q193" s="528" t="s">
        <v>16</v>
      </c>
      <c r="R193" s="525">
        <v>0.73860000000000003</v>
      </c>
      <c r="S193" s="528"/>
      <c r="T193" s="533">
        <v>0</v>
      </c>
      <c r="U193" s="524"/>
      <c r="V193" s="176">
        <f t="shared" si="172"/>
        <v>0</v>
      </c>
      <c r="W193" s="176">
        <f>V193</f>
        <v>0</v>
      </c>
      <c r="X193" s="176">
        <f>W193-W193*Calculation_sheet!O$77</f>
        <v>0</v>
      </c>
      <c r="Y193" s="34">
        <f>X193/Calculation_sheet!M$67</f>
        <v>0</v>
      </c>
      <c r="Z193" s="176">
        <f ca="1">IF(AN193&gt;0,Y193*Calculation_sheet!C$87,0)</f>
        <v>0</v>
      </c>
      <c r="AA193" s="176">
        <f ca="1">Y193-Z193</f>
        <v>0</v>
      </c>
      <c r="AB193" s="176">
        <f ca="1">IF(AP193&gt;0,AA193*Calculation_sheet!C$94,0)</f>
        <v>0</v>
      </c>
      <c r="AC193" s="176">
        <f t="shared" ref="AC193:AE203" ca="1" si="230">AA193-AB193</f>
        <v>0</v>
      </c>
      <c r="AD193" s="958">
        <f ca="1">AC193*Calculation_sheet!C$99</f>
        <v>0</v>
      </c>
      <c r="AE193" s="176">
        <f t="shared" ca="1" si="230"/>
        <v>0</v>
      </c>
      <c r="AF193" s="176">
        <f ca="1">Y193-AB193</f>
        <v>0</v>
      </c>
      <c r="AG193" s="958">
        <f ca="1">AF193*User_sheet!B$77/100</f>
        <v>0</v>
      </c>
      <c r="AH193" s="313"/>
      <c r="AI193" s="908">
        <v>202</v>
      </c>
      <c r="AJ193" s="313"/>
      <c r="AK193" s="1020">
        <f t="shared" ca="1" si="166"/>
        <v>477.13795453708229</v>
      </c>
      <c r="AL193" s="954">
        <f ca="1">AK193/'202'!I$24</f>
        <v>1.5371217246128741</v>
      </c>
      <c r="AM193" s="954">
        <f ca="1">0.8*(AK193*30+'202'!D$17*0.34*30*1)</f>
        <v>15063.253308889975</v>
      </c>
      <c r="AN193" s="954">
        <f ca="1">IF(AM193&lt;User_sheet!B$50,Y193,0)</f>
        <v>0</v>
      </c>
      <c r="AO193" s="954">
        <f ca="1">20-(User_sheet!B$57/(AK193+'202'!D$17*1*0.34))</f>
        <v>10.918296519699108</v>
      </c>
      <c r="AP193" s="954">
        <f ca="1">IF(AO193&lt;User_sheet!B$59,0,BC193*AA193)</f>
        <v>0</v>
      </c>
      <c r="AQ193" s="313"/>
      <c r="AR193" s="909">
        <v>3.33</v>
      </c>
      <c r="AS193" s="909">
        <v>2.1</v>
      </c>
      <c r="AT193" s="909">
        <v>0.89</v>
      </c>
      <c r="AU193" s="909">
        <v>2.75</v>
      </c>
      <c r="AV193" s="909">
        <v>3.3</v>
      </c>
      <c r="AW193" s="909">
        <v>11357.186356387729</v>
      </c>
      <c r="AX193" s="909">
        <v>74715.401027665983</v>
      </c>
      <c r="AY193" s="909">
        <v>79015.992973719694</v>
      </c>
      <c r="AZ193" s="909">
        <v>0</v>
      </c>
      <c r="BA193" s="909">
        <v>0</v>
      </c>
      <c r="BB193" s="909">
        <v>0.6</v>
      </c>
      <c r="BC193" s="46">
        <v>1</v>
      </c>
      <c r="BD193" s="199">
        <v>0</v>
      </c>
      <c r="BE193" s="199">
        <v>0</v>
      </c>
      <c r="BF193" s="50">
        <v>0</v>
      </c>
      <c r="BG193" s="917">
        <v>1</v>
      </c>
      <c r="BH193" s="917">
        <v>0</v>
      </c>
      <c r="BI193" s="50">
        <v>0</v>
      </c>
      <c r="BJ193" s="917">
        <v>1</v>
      </c>
      <c r="BK193" s="917">
        <v>0</v>
      </c>
      <c r="BL193" s="917">
        <v>0</v>
      </c>
      <c r="BM193" s="50">
        <v>0</v>
      </c>
      <c r="BN193" s="958">
        <v>0</v>
      </c>
      <c r="BO193" s="959">
        <v>18</v>
      </c>
      <c r="BP193" s="3">
        <f t="shared" ref="BP193:BP203" ca="1" si="231">INDIRECT("'"&amp;AI193&amp;"'!"&amp;"B2")</f>
        <v>173.25</v>
      </c>
      <c r="BQ193" s="3">
        <f t="shared" ref="BQ193:BQ203" ca="1" si="232">INDIRECT("'"&amp;AI193&amp;"'!"&amp;"C12")+INDIRECT("'"&amp;AI193&amp;"'!"&amp;"C13")+INDIRECT("'"&amp;AI193&amp;"'!"&amp;"C14")+INDIRECT("'"&amp;AI193&amp;"'!"&amp;"C15")+INDIRECT("'"&amp;AI193&amp;"'!"&amp;"C17")</f>
        <v>294.14</v>
      </c>
      <c r="BR193" s="3">
        <f t="shared" ref="BR193:BR203" ca="1" si="233">INDIRECT("'"&amp;AI193&amp;"'!"&amp;"G5")</f>
        <v>99.660000000000011</v>
      </c>
      <c r="BS193" s="3">
        <f t="shared" ref="BS193:BS203" ca="1" si="234">INDIRECT("'"&amp;AI193&amp;"'!"&amp;"G4")</f>
        <v>135.5</v>
      </c>
      <c r="BT193" s="3">
        <f t="shared" ref="BT193:BT203" ca="1" si="235">INDIRECT("'"&amp;AI193&amp;"'!"&amp;"G6")</f>
        <v>63.2</v>
      </c>
      <c r="BU193" s="3">
        <f t="shared" ref="BU193:BU203" ca="1" si="236">INDIRECT("'"&amp;AI193&amp;"'!"&amp;"G2")</f>
        <v>12</v>
      </c>
      <c r="BV193" s="3">
        <f t="shared" ref="BV193:BV203" ca="1" si="237">INDIRECT("'"&amp;AI193&amp;"'!"&amp;"G3")</f>
        <v>4.3</v>
      </c>
      <c r="BW193" s="926">
        <v>0</v>
      </c>
      <c r="BX193" s="3">
        <f t="shared" ca="1" si="194"/>
        <v>210.41580015216843</v>
      </c>
      <c r="BY193" s="3">
        <f t="shared" ca="1" si="195"/>
        <v>208.61436950146629</v>
      </c>
      <c r="BZ193" s="3">
        <f t="shared" ca="1" si="167"/>
        <v>16.081067344345623</v>
      </c>
      <c r="CA193" s="3">
        <f t="shared" ca="1" si="168"/>
        <v>32.999999981849996</v>
      </c>
      <c r="CB193" s="3">
        <f t="shared" ca="1" si="196"/>
        <v>9.0267175572519083</v>
      </c>
      <c r="CC193" s="926">
        <f t="shared" si="169"/>
        <v>0</v>
      </c>
      <c r="CD193" s="1018">
        <f t="shared" ref="CD193:CD203" ca="1" si="238">SUM(BX193:CC193)+(BR193+BS193+BT193+BU193+BV193)*BN193</f>
        <v>477.13795453708229</v>
      </c>
      <c r="CE193" s="1018">
        <f ca="1">0.34*BO193*(1/25)^0.66*(BR193+BS193+BU193+BV193)</f>
        <v>183.89923712295646</v>
      </c>
      <c r="CF193" s="3">
        <f t="shared" ca="1" si="170"/>
        <v>19.831115749801164</v>
      </c>
      <c r="CG193" s="3">
        <f t="shared" ca="1" si="171"/>
        <v>33018.014478788937</v>
      </c>
    </row>
    <row r="194" spans="3:85" x14ac:dyDescent="0.25">
      <c r="C194" s="522"/>
      <c r="D194" s="523"/>
      <c r="E194" s="522"/>
      <c r="F194" s="523"/>
      <c r="G194" s="522"/>
      <c r="H194" s="523"/>
      <c r="I194" s="522"/>
      <c r="J194" s="523"/>
      <c r="K194" s="526"/>
      <c r="L194" s="528"/>
      <c r="M194" s="523"/>
      <c r="N194" s="523"/>
      <c r="O194" s="523" t="s">
        <v>18</v>
      </c>
      <c r="P194" s="525">
        <v>0.62953995200000001</v>
      </c>
      <c r="Q194" s="523" t="s">
        <v>7</v>
      </c>
      <c r="R194" s="525">
        <v>0.26140000000000002</v>
      </c>
      <c r="S194" s="523"/>
      <c r="T194" s="533">
        <v>0</v>
      </c>
      <c r="U194" s="522"/>
      <c r="V194" s="176">
        <f t="shared" si="172"/>
        <v>0</v>
      </c>
      <c r="W194" s="176">
        <f t="shared" ref="W194:W203" si="239">V194</f>
        <v>0</v>
      </c>
      <c r="X194" s="176">
        <f>W194-W194*Calculation_sheet!O$77</f>
        <v>0</v>
      </c>
      <c r="Y194" s="34">
        <f>X194/Calculation_sheet!M$67</f>
        <v>0</v>
      </c>
      <c r="Z194" s="176">
        <f ca="1">IF(AN194&gt;0,Y194*Calculation_sheet!C$87,0)</f>
        <v>0</v>
      </c>
      <c r="AA194" s="176">
        <f t="shared" ref="AA194:AA203" ca="1" si="240">Y194-Z194</f>
        <v>0</v>
      </c>
      <c r="AB194" s="176">
        <f ca="1">IF(AP194&gt;0,AA194*Calculation_sheet!C$94,0)</f>
        <v>0</v>
      </c>
      <c r="AC194" s="176">
        <f t="shared" ca="1" si="230"/>
        <v>0</v>
      </c>
      <c r="AD194" s="958">
        <f ca="1">AC194*Calculation_sheet!C$99</f>
        <v>0</v>
      </c>
      <c r="AE194" s="176">
        <f t="shared" ca="1" si="230"/>
        <v>0</v>
      </c>
      <c r="AF194" s="176">
        <f t="shared" ref="AF194:AF203" ca="1" si="241">Y194-AB194</f>
        <v>0</v>
      </c>
      <c r="AG194" s="958">
        <f ca="1">AF194*User_sheet!B$77/100</f>
        <v>0</v>
      </c>
      <c r="AH194" s="313"/>
      <c r="AI194" s="908">
        <v>202</v>
      </c>
      <c r="AJ194" s="313"/>
      <c r="AK194" s="1020">
        <f t="shared" ca="1" si="166"/>
        <v>477.13795453708229</v>
      </c>
      <c r="AL194" s="954">
        <f ca="1">AK194/'202'!I$24</f>
        <v>1.5371217246128741</v>
      </c>
      <c r="AM194" s="954">
        <f ca="1">0.8*(AK194*30+'202'!D$17*0.34*30*1)</f>
        <v>15063.253308889975</v>
      </c>
      <c r="AN194" s="954">
        <f ca="1">IF(AM194&lt;User_sheet!B$50,Y194,0)</f>
        <v>0</v>
      </c>
      <c r="AO194" s="954">
        <f ca="1">20-(User_sheet!B$57/(AK194+'202'!D$17*1*0.34))</f>
        <v>10.918296519699108</v>
      </c>
      <c r="AP194" s="954">
        <f ca="1">IF(AO194&lt;User_sheet!B$59,0,BC194*AA194)</f>
        <v>0</v>
      </c>
      <c r="AQ194" s="313"/>
      <c r="AR194" s="909">
        <v>3.33</v>
      </c>
      <c r="AS194" s="909">
        <v>2.1</v>
      </c>
      <c r="AT194" s="909">
        <v>0.89</v>
      </c>
      <c r="AU194" s="909">
        <v>2.75</v>
      </c>
      <c r="AV194" s="909">
        <v>3.3</v>
      </c>
      <c r="AW194" s="909">
        <v>11357.186356387729</v>
      </c>
      <c r="AX194" s="909">
        <v>74715.401027665983</v>
      </c>
      <c r="AY194" s="909">
        <v>79015.992973719694</v>
      </c>
      <c r="AZ194" s="909">
        <v>0</v>
      </c>
      <c r="BA194" s="909">
        <v>0</v>
      </c>
      <c r="BB194" s="909">
        <v>0.6</v>
      </c>
      <c r="BC194" s="919">
        <v>1</v>
      </c>
      <c r="BD194" s="920">
        <v>0</v>
      </c>
      <c r="BE194" s="920">
        <v>0</v>
      </c>
      <c r="BF194" s="921">
        <v>0</v>
      </c>
      <c r="BG194" s="909">
        <v>1</v>
      </c>
      <c r="BH194" s="909">
        <v>0</v>
      </c>
      <c r="BI194" s="921">
        <v>0</v>
      </c>
      <c r="BJ194" s="909">
        <v>0</v>
      </c>
      <c r="BK194" s="909">
        <v>0</v>
      </c>
      <c r="BL194" s="909">
        <v>1</v>
      </c>
      <c r="BM194" s="921">
        <v>0</v>
      </c>
      <c r="BN194" s="958">
        <v>0</v>
      </c>
      <c r="BO194" s="959">
        <v>18</v>
      </c>
      <c r="BP194">
        <f t="shared" ca="1" si="231"/>
        <v>173.25</v>
      </c>
      <c r="BQ194">
        <f t="shared" ca="1" si="232"/>
        <v>294.14</v>
      </c>
      <c r="BR194">
        <f t="shared" ca="1" si="233"/>
        <v>99.660000000000011</v>
      </c>
      <c r="BS194">
        <f t="shared" ca="1" si="234"/>
        <v>135.5</v>
      </c>
      <c r="BT194">
        <f t="shared" ca="1" si="235"/>
        <v>63.2</v>
      </c>
      <c r="BU194">
        <f t="shared" ca="1" si="236"/>
        <v>12</v>
      </c>
      <c r="BV194">
        <f t="shared" ca="1" si="237"/>
        <v>4.3</v>
      </c>
      <c r="BW194" s="1018">
        <v>0</v>
      </c>
      <c r="BX194">
        <f t="shared" ca="1" si="194"/>
        <v>210.41580015216843</v>
      </c>
      <c r="BY194">
        <f t="shared" ca="1" si="195"/>
        <v>208.61436950146629</v>
      </c>
      <c r="BZ194">
        <f t="shared" ca="1" si="167"/>
        <v>16.081067344345623</v>
      </c>
      <c r="CA194">
        <f t="shared" ca="1" si="168"/>
        <v>32.999999981849996</v>
      </c>
      <c r="CB194">
        <f t="shared" ca="1" si="196"/>
        <v>9.0267175572519083</v>
      </c>
      <c r="CC194" s="1018">
        <f t="shared" si="169"/>
        <v>0</v>
      </c>
      <c r="CD194" s="1018">
        <f t="shared" ca="1" si="238"/>
        <v>477.13795453708229</v>
      </c>
      <c r="CE194" s="1018">
        <f t="shared" ref="CE194:CE203" ca="1" si="242">0.34*BO194*(1/25)^0.66*(BR194+BS194+BU194+BV194)</f>
        <v>183.89923712295646</v>
      </c>
      <c r="CF194">
        <f t="shared" ca="1" si="170"/>
        <v>19.831115749801164</v>
      </c>
      <c r="CG194">
        <f t="shared" ca="1" si="171"/>
        <v>33018.014478788937</v>
      </c>
    </row>
    <row r="195" spans="3:85" x14ac:dyDescent="0.25">
      <c r="C195" s="522"/>
      <c r="D195" s="523"/>
      <c r="E195" s="522"/>
      <c r="F195" s="523"/>
      <c r="G195" s="522"/>
      <c r="H195" s="523"/>
      <c r="I195" s="522"/>
      <c r="J195" s="523"/>
      <c r="K195" s="526"/>
      <c r="L195" s="528"/>
      <c r="M195" s="523"/>
      <c r="N195" s="523"/>
      <c r="O195" s="523"/>
      <c r="P195" s="523"/>
      <c r="Q195" s="523" t="s">
        <v>16</v>
      </c>
      <c r="R195" s="525">
        <v>0.73860000000000003</v>
      </c>
      <c r="S195" s="523"/>
      <c r="T195" s="533">
        <v>0</v>
      </c>
      <c r="U195" s="522"/>
      <c r="V195" s="176">
        <f t="shared" si="172"/>
        <v>0</v>
      </c>
      <c r="W195" s="176">
        <f t="shared" si="239"/>
        <v>0</v>
      </c>
      <c r="X195" s="176">
        <f>W195-W195*Calculation_sheet!O$77</f>
        <v>0</v>
      </c>
      <c r="Y195" s="34">
        <f>X195/Calculation_sheet!M$67</f>
        <v>0</v>
      </c>
      <c r="Z195" s="176">
        <f ca="1">IF(AN195&gt;0,Y195*Calculation_sheet!C$87,0)</f>
        <v>0</v>
      </c>
      <c r="AA195" s="176">
        <f t="shared" ca="1" si="240"/>
        <v>0</v>
      </c>
      <c r="AB195" s="176">
        <f ca="1">IF(AP195&gt;0,AA195*Calculation_sheet!C$94,0)</f>
        <v>0</v>
      </c>
      <c r="AC195" s="176">
        <f t="shared" ca="1" si="230"/>
        <v>0</v>
      </c>
      <c r="AD195" s="958">
        <f ca="1">AC195*Calculation_sheet!C$99</f>
        <v>0</v>
      </c>
      <c r="AE195" s="176">
        <f t="shared" ca="1" si="230"/>
        <v>0</v>
      </c>
      <c r="AF195" s="176">
        <f t="shared" ca="1" si="241"/>
        <v>0</v>
      </c>
      <c r="AG195" s="958">
        <f ca="1">AF195*User_sheet!B$77/100</f>
        <v>0</v>
      </c>
      <c r="AH195" s="313"/>
      <c r="AI195" s="908">
        <v>202</v>
      </c>
      <c r="AJ195" s="313"/>
      <c r="AK195" s="1020">
        <f t="shared" ca="1" si="166"/>
        <v>477.13795453708229</v>
      </c>
      <c r="AL195" s="954">
        <f ca="1">AK195/'202'!I$24</f>
        <v>1.5371217246128741</v>
      </c>
      <c r="AM195" s="954">
        <f ca="1">0.8*(AK195*30+'202'!D$17*0.34*30*1)</f>
        <v>15063.253308889975</v>
      </c>
      <c r="AN195" s="954">
        <f ca="1">IF(AM195&lt;User_sheet!B$50,Y195,0)</f>
        <v>0</v>
      </c>
      <c r="AO195" s="954">
        <f ca="1">20-(User_sheet!B$57/(AK195+'202'!D$17*1*0.34))</f>
        <v>10.918296519699108</v>
      </c>
      <c r="AP195" s="954">
        <f ca="1">IF(AO195&lt;User_sheet!B$59,0,BC195*AA195)</f>
        <v>0</v>
      </c>
      <c r="AQ195" s="313"/>
      <c r="AR195" s="909">
        <v>3.33</v>
      </c>
      <c r="AS195" s="909">
        <v>2.1</v>
      </c>
      <c r="AT195" s="909">
        <v>0.89</v>
      </c>
      <c r="AU195" s="909">
        <v>2.75</v>
      </c>
      <c r="AV195" s="909">
        <v>3.3</v>
      </c>
      <c r="AW195" s="909">
        <v>11357.186356387729</v>
      </c>
      <c r="AX195" s="909">
        <v>74715.401027665983</v>
      </c>
      <c r="AY195" s="909">
        <v>79015.992973719694</v>
      </c>
      <c r="AZ195" s="909">
        <v>0</v>
      </c>
      <c r="BA195" s="909">
        <v>0</v>
      </c>
      <c r="BB195" s="909">
        <v>0.6</v>
      </c>
      <c r="BC195" s="919">
        <v>1</v>
      </c>
      <c r="BD195" s="920">
        <v>0</v>
      </c>
      <c r="BE195" s="920">
        <v>0</v>
      </c>
      <c r="BF195" s="921">
        <v>0</v>
      </c>
      <c r="BG195" s="909">
        <v>0</v>
      </c>
      <c r="BH195" s="909">
        <v>1</v>
      </c>
      <c r="BI195" s="921">
        <v>0</v>
      </c>
      <c r="BJ195" s="909">
        <v>1</v>
      </c>
      <c r="BK195" s="909">
        <v>0</v>
      </c>
      <c r="BL195" s="909">
        <v>0</v>
      </c>
      <c r="BM195" s="921">
        <v>0</v>
      </c>
      <c r="BN195" s="958">
        <v>0</v>
      </c>
      <c r="BO195" s="959">
        <v>18</v>
      </c>
      <c r="BP195">
        <f t="shared" ca="1" si="231"/>
        <v>173.25</v>
      </c>
      <c r="BQ195">
        <f t="shared" ca="1" si="232"/>
        <v>294.14</v>
      </c>
      <c r="BR195">
        <f t="shared" ca="1" si="233"/>
        <v>99.660000000000011</v>
      </c>
      <c r="BS195">
        <f t="shared" ca="1" si="234"/>
        <v>135.5</v>
      </c>
      <c r="BT195">
        <f t="shared" ca="1" si="235"/>
        <v>63.2</v>
      </c>
      <c r="BU195">
        <f t="shared" ca="1" si="236"/>
        <v>12</v>
      </c>
      <c r="BV195">
        <f t="shared" ca="1" si="237"/>
        <v>4.3</v>
      </c>
      <c r="BW195" s="1018">
        <v>0</v>
      </c>
      <c r="BX195">
        <f t="shared" ca="1" si="194"/>
        <v>210.41580015216843</v>
      </c>
      <c r="BY195">
        <f t="shared" ca="1" si="195"/>
        <v>208.61436950146629</v>
      </c>
      <c r="BZ195">
        <f t="shared" ca="1" si="167"/>
        <v>16.081067344345623</v>
      </c>
      <c r="CA195">
        <f t="shared" ca="1" si="168"/>
        <v>32.999999981849996</v>
      </c>
      <c r="CB195">
        <f t="shared" ca="1" si="196"/>
        <v>9.0267175572519083</v>
      </c>
      <c r="CC195" s="1018">
        <f t="shared" si="169"/>
        <v>0</v>
      </c>
      <c r="CD195" s="1018">
        <f t="shared" ca="1" si="238"/>
        <v>477.13795453708229</v>
      </c>
      <c r="CE195" s="1018">
        <f t="shared" ca="1" si="242"/>
        <v>183.89923712295646</v>
      </c>
      <c r="CF195">
        <f t="shared" ca="1" si="170"/>
        <v>19.831115749801164</v>
      </c>
      <c r="CG195">
        <f t="shared" ca="1" si="171"/>
        <v>33018.014478788937</v>
      </c>
    </row>
    <row r="196" spans="3:85" x14ac:dyDescent="0.25">
      <c r="C196" s="522"/>
      <c r="D196" s="523"/>
      <c r="E196" s="522"/>
      <c r="F196" s="523"/>
      <c r="G196" s="522"/>
      <c r="H196" s="523"/>
      <c r="I196" s="522"/>
      <c r="J196" s="523"/>
      <c r="K196" s="526"/>
      <c r="L196" s="528"/>
      <c r="M196" s="523" t="s">
        <v>16</v>
      </c>
      <c r="N196" s="525">
        <v>0.44680851100000002</v>
      </c>
      <c r="O196" s="523" t="s">
        <v>19</v>
      </c>
      <c r="P196" s="525">
        <v>0.37046004799999999</v>
      </c>
      <c r="Q196" s="523" t="s">
        <v>7</v>
      </c>
      <c r="R196" s="525">
        <v>0.26140000000000002</v>
      </c>
      <c r="S196" s="523"/>
      <c r="T196" s="533">
        <v>0</v>
      </c>
      <c r="U196" s="522"/>
      <c r="V196" s="176">
        <f t="shared" si="172"/>
        <v>0</v>
      </c>
      <c r="W196" s="176">
        <f t="shared" si="239"/>
        <v>0</v>
      </c>
      <c r="X196" s="176">
        <f>W196-W196*Calculation_sheet!O$77</f>
        <v>0</v>
      </c>
      <c r="Y196" s="34">
        <f>X196/Calculation_sheet!M$67</f>
        <v>0</v>
      </c>
      <c r="Z196" s="176">
        <f ca="1">IF(AN196&gt;0,Y196*Calculation_sheet!C$87,0)</f>
        <v>0</v>
      </c>
      <c r="AA196" s="176">
        <f t="shared" ca="1" si="240"/>
        <v>0</v>
      </c>
      <c r="AB196" s="176">
        <f ca="1">IF(AP196&gt;0,AA196*Calculation_sheet!C$94,0)</f>
        <v>0</v>
      </c>
      <c r="AC196" s="176">
        <f t="shared" ca="1" si="230"/>
        <v>0</v>
      </c>
      <c r="AD196" s="958">
        <f ca="1">AC196*Calculation_sheet!C$99</f>
        <v>0</v>
      </c>
      <c r="AE196" s="176">
        <f t="shared" ca="1" si="230"/>
        <v>0</v>
      </c>
      <c r="AF196" s="176">
        <f t="shared" ca="1" si="241"/>
        <v>0</v>
      </c>
      <c r="AG196" s="958">
        <f ca="1">AF196*User_sheet!B$77/100</f>
        <v>0</v>
      </c>
      <c r="AH196" s="313"/>
      <c r="AI196" s="908">
        <v>202</v>
      </c>
      <c r="AJ196" s="313"/>
      <c r="AK196" s="1020">
        <f t="shared" ca="1" si="166"/>
        <v>477.13795453708229</v>
      </c>
      <c r="AL196" s="954">
        <f ca="1">AK196/'202'!I$24</f>
        <v>1.5371217246128741</v>
      </c>
      <c r="AM196" s="954">
        <f ca="1">0.8*(AK196*30+'202'!D$17*0.34*30*1)</f>
        <v>15063.253308889975</v>
      </c>
      <c r="AN196" s="954">
        <f ca="1">IF(AM196&lt;User_sheet!B$50,Y196,0)</f>
        <v>0</v>
      </c>
      <c r="AO196" s="954">
        <f ca="1">20-(User_sheet!B$57/(AK196+'202'!D$17*1*0.34))</f>
        <v>10.918296519699108</v>
      </c>
      <c r="AP196" s="954">
        <f ca="1">IF(AO196&lt;User_sheet!B$59,0,BC196*AA196)</f>
        <v>0</v>
      </c>
      <c r="AQ196" s="313"/>
      <c r="AR196" s="909">
        <v>3.33</v>
      </c>
      <c r="AS196" s="909">
        <v>2.1</v>
      </c>
      <c r="AT196" s="909">
        <v>0.89</v>
      </c>
      <c r="AU196" s="909">
        <v>2.75</v>
      </c>
      <c r="AV196" s="909">
        <v>3.3</v>
      </c>
      <c r="AW196" s="909">
        <v>11357.186356387729</v>
      </c>
      <c r="AX196" s="909">
        <v>74715.401027665983</v>
      </c>
      <c r="AY196" s="909">
        <v>79015.992973719694</v>
      </c>
      <c r="AZ196" s="909">
        <v>0</v>
      </c>
      <c r="BA196" s="909">
        <v>0</v>
      </c>
      <c r="BB196" s="909">
        <v>0.6</v>
      </c>
      <c r="BC196" s="919">
        <v>1</v>
      </c>
      <c r="BD196" s="920">
        <v>0</v>
      </c>
      <c r="BE196" s="920">
        <v>0</v>
      </c>
      <c r="BF196" s="921">
        <v>0</v>
      </c>
      <c r="BG196" s="909">
        <v>0</v>
      </c>
      <c r="BH196" s="909">
        <v>1</v>
      </c>
      <c r="BI196" s="921">
        <v>0</v>
      </c>
      <c r="BJ196" s="909">
        <v>0</v>
      </c>
      <c r="BK196" s="909">
        <v>0</v>
      </c>
      <c r="BL196" s="909">
        <v>1</v>
      </c>
      <c r="BM196" s="921">
        <v>0</v>
      </c>
      <c r="BN196" s="958">
        <v>0</v>
      </c>
      <c r="BO196" s="959">
        <v>18</v>
      </c>
      <c r="BP196">
        <f t="shared" ca="1" si="231"/>
        <v>173.25</v>
      </c>
      <c r="BQ196">
        <f t="shared" ca="1" si="232"/>
        <v>294.14</v>
      </c>
      <c r="BR196">
        <f t="shared" ca="1" si="233"/>
        <v>99.660000000000011</v>
      </c>
      <c r="BS196">
        <f t="shared" ca="1" si="234"/>
        <v>135.5</v>
      </c>
      <c r="BT196">
        <f t="shared" ca="1" si="235"/>
        <v>63.2</v>
      </c>
      <c r="BU196">
        <f t="shared" ca="1" si="236"/>
        <v>12</v>
      </c>
      <c r="BV196">
        <f t="shared" ca="1" si="237"/>
        <v>4.3</v>
      </c>
      <c r="BW196" s="1018">
        <v>0</v>
      </c>
      <c r="BX196">
        <f t="shared" ca="1" si="194"/>
        <v>210.41580015216843</v>
      </c>
      <c r="BY196">
        <f t="shared" ca="1" si="195"/>
        <v>208.61436950146629</v>
      </c>
      <c r="BZ196">
        <f t="shared" ca="1" si="167"/>
        <v>16.081067344345623</v>
      </c>
      <c r="CA196">
        <f t="shared" ca="1" si="168"/>
        <v>32.999999981849996</v>
      </c>
      <c r="CB196">
        <f t="shared" ca="1" si="196"/>
        <v>9.0267175572519083</v>
      </c>
      <c r="CC196" s="1018">
        <f t="shared" si="169"/>
        <v>0</v>
      </c>
      <c r="CD196" s="1018">
        <f t="shared" ca="1" si="238"/>
        <v>477.13795453708229</v>
      </c>
      <c r="CE196" s="1018">
        <f t="shared" ca="1" si="242"/>
        <v>183.89923712295646</v>
      </c>
      <c r="CF196">
        <f t="shared" ca="1" si="170"/>
        <v>19.831115749801164</v>
      </c>
      <c r="CG196">
        <f t="shared" ca="1" si="171"/>
        <v>33018.014478788937</v>
      </c>
    </row>
    <row r="197" spans="3:85" x14ac:dyDescent="0.25">
      <c r="C197" s="522"/>
      <c r="D197" s="523"/>
      <c r="E197" s="522"/>
      <c r="F197" s="523"/>
      <c r="G197" s="522"/>
      <c r="H197" s="523"/>
      <c r="I197" s="522"/>
      <c r="J197" s="523"/>
      <c r="K197" s="526"/>
      <c r="L197" s="528"/>
      <c r="M197" s="523"/>
      <c r="N197" s="523"/>
      <c r="O197" s="523"/>
      <c r="P197" s="523"/>
      <c r="Q197" s="523" t="s">
        <v>22</v>
      </c>
      <c r="R197" s="525">
        <v>0.53710000000000002</v>
      </c>
      <c r="S197" s="523"/>
      <c r="T197" s="533">
        <v>0</v>
      </c>
      <c r="U197" s="522"/>
      <c r="V197" s="176">
        <f t="shared" si="172"/>
        <v>0</v>
      </c>
      <c r="W197" s="176">
        <f t="shared" si="239"/>
        <v>0</v>
      </c>
      <c r="X197" s="176">
        <f>W197-W197*Calculation_sheet!O$77</f>
        <v>0</v>
      </c>
      <c r="Y197" s="34">
        <f>X197/Calculation_sheet!M$67</f>
        <v>0</v>
      </c>
      <c r="Z197" s="176">
        <f ca="1">IF(AN197&gt;0,Y197*Calculation_sheet!C$87,0)</f>
        <v>0</v>
      </c>
      <c r="AA197" s="176">
        <f t="shared" ca="1" si="240"/>
        <v>0</v>
      </c>
      <c r="AB197" s="176">
        <f ca="1">IF(AP197&gt;0,AA197*Calculation_sheet!C$94,0)</f>
        <v>0</v>
      </c>
      <c r="AC197" s="176">
        <f t="shared" ca="1" si="230"/>
        <v>0</v>
      </c>
      <c r="AD197" s="958">
        <f ca="1">AC197*Calculation_sheet!C$99</f>
        <v>0</v>
      </c>
      <c r="AE197" s="176">
        <f t="shared" ca="1" si="230"/>
        <v>0</v>
      </c>
      <c r="AF197" s="176">
        <f t="shared" ca="1" si="241"/>
        <v>0</v>
      </c>
      <c r="AG197" s="958">
        <f ca="1">AF197*User_sheet!B$77/100</f>
        <v>0</v>
      </c>
      <c r="AH197" s="313"/>
      <c r="AI197" s="908">
        <v>202</v>
      </c>
      <c r="AJ197" s="313"/>
      <c r="AK197" s="1020">
        <f t="shared" ca="1" si="166"/>
        <v>477.13795453708229</v>
      </c>
      <c r="AL197" s="954">
        <f ca="1">AK197/'202'!I$24</f>
        <v>1.5371217246128741</v>
      </c>
      <c r="AM197" s="954">
        <f ca="1">0.8*(AK197*30+'202'!D$17*0.34*30*1)</f>
        <v>15063.253308889975</v>
      </c>
      <c r="AN197" s="954">
        <f ca="1">IF(AM197&lt;User_sheet!B$50,Y197,0)</f>
        <v>0</v>
      </c>
      <c r="AO197" s="954">
        <f ca="1">20-(User_sheet!B$57/(AK197+'202'!D$17*1*0.34))</f>
        <v>10.918296519699108</v>
      </c>
      <c r="AP197" s="954">
        <f ca="1">IF(AO197&lt;User_sheet!B$59,0,BC197*AA197)</f>
        <v>0</v>
      </c>
      <c r="AQ197" s="313"/>
      <c r="AR197" s="909">
        <v>3.33</v>
      </c>
      <c r="AS197" s="909">
        <v>2.1</v>
      </c>
      <c r="AT197" s="909">
        <v>0.89</v>
      </c>
      <c r="AU197" s="909">
        <v>2.75</v>
      </c>
      <c r="AV197" s="909">
        <v>3.3</v>
      </c>
      <c r="AW197" s="909">
        <v>11357.186356387729</v>
      </c>
      <c r="AX197" s="909">
        <v>74715.401027665983</v>
      </c>
      <c r="AY197" s="909">
        <v>79015.992973719694</v>
      </c>
      <c r="AZ197" s="909">
        <v>0</v>
      </c>
      <c r="BA197" s="909">
        <v>0</v>
      </c>
      <c r="BB197" s="909">
        <v>0.6</v>
      </c>
      <c r="BC197" s="919">
        <v>0</v>
      </c>
      <c r="BD197" s="920">
        <v>1</v>
      </c>
      <c r="BE197" s="920">
        <v>0</v>
      </c>
      <c r="BF197" s="921">
        <v>0</v>
      </c>
      <c r="BG197" s="909">
        <v>1</v>
      </c>
      <c r="BH197" s="909">
        <v>0</v>
      </c>
      <c r="BI197" s="921">
        <v>0</v>
      </c>
      <c r="BJ197" s="909">
        <v>0</v>
      </c>
      <c r="BK197" s="909">
        <v>1</v>
      </c>
      <c r="BL197" s="909">
        <v>0</v>
      </c>
      <c r="BM197" s="921">
        <v>0</v>
      </c>
      <c r="BN197" s="958">
        <v>0</v>
      </c>
      <c r="BO197" s="959">
        <v>18</v>
      </c>
      <c r="BP197">
        <f t="shared" ca="1" si="231"/>
        <v>173.25</v>
      </c>
      <c r="BQ197">
        <f t="shared" ca="1" si="232"/>
        <v>294.14</v>
      </c>
      <c r="BR197">
        <f t="shared" ca="1" si="233"/>
        <v>99.660000000000011</v>
      </c>
      <c r="BS197">
        <f t="shared" ca="1" si="234"/>
        <v>135.5</v>
      </c>
      <c r="BT197">
        <f t="shared" ca="1" si="235"/>
        <v>63.2</v>
      </c>
      <c r="BU197">
        <f t="shared" ca="1" si="236"/>
        <v>12</v>
      </c>
      <c r="BV197">
        <f t="shared" ca="1" si="237"/>
        <v>4.3</v>
      </c>
      <c r="BW197" s="1018">
        <v>0</v>
      </c>
      <c r="BX197">
        <f t="shared" ca="1" si="194"/>
        <v>210.41580015216843</v>
      </c>
      <c r="BY197">
        <f t="shared" ca="1" si="195"/>
        <v>208.61436950146629</v>
      </c>
      <c r="BZ197">
        <f t="shared" ca="1" si="167"/>
        <v>16.081067344345623</v>
      </c>
      <c r="CA197">
        <f t="shared" ca="1" si="168"/>
        <v>32.999999981849996</v>
      </c>
      <c r="CB197">
        <f t="shared" ca="1" si="196"/>
        <v>9.0267175572519083</v>
      </c>
      <c r="CC197" s="1018">
        <f t="shared" si="169"/>
        <v>0</v>
      </c>
      <c r="CD197" s="1018">
        <f t="shared" ca="1" si="238"/>
        <v>477.13795453708229</v>
      </c>
      <c r="CE197" s="1018">
        <f t="shared" ca="1" si="242"/>
        <v>183.89923712295646</v>
      </c>
      <c r="CF197">
        <f t="shared" ca="1" si="170"/>
        <v>19.831115749801164</v>
      </c>
      <c r="CG197">
        <f t="shared" ca="1" si="171"/>
        <v>33018.014478788937</v>
      </c>
    </row>
    <row r="198" spans="3:85" x14ac:dyDescent="0.25">
      <c r="C198" s="522"/>
      <c r="D198" s="523"/>
      <c r="E198" s="522"/>
      <c r="F198" s="523"/>
      <c r="G198" s="522"/>
      <c r="H198" s="523"/>
      <c r="I198" s="522"/>
      <c r="J198" s="523"/>
      <c r="K198" s="526"/>
      <c r="L198" s="528"/>
      <c r="M198" s="523"/>
      <c r="N198" s="523"/>
      <c r="O198" s="523" t="s">
        <v>18</v>
      </c>
      <c r="P198" s="525">
        <v>0.80827067699999999</v>
      </c>
      <c r="Q198" s="523" t="s">
        <v>7</v>
      </c>
      <c r="R198" s="525">
        <v>0.46289999999999998</v>
      </c>
      <c r="S198" s="523"/>
      <c r="T198" s="533">
        <v>0</v>
      </c>
      <c r="U198" s="522"/>
      <c r="V198" s="176">
        <f t="shared" si="172"/>
        <v>0</v>
      </c>
      <c r="W198" s="176">
        <f t="shared" si="239"/>
        <v>0</v>
      </c>
      <c r="X198" s="176">
        <f>W198-W198*Calculation_sheet!O$77</f>
        <v>0</v>
      </c>
      <c r="Y198" s="34">
        <f>X198/Calculation_sheet!M$67</f>
        <v>0</v>
      </c>
      <c r="Z198" s="176">
        <f ca="1">IF(AN198&gt;0,Y198*Calculation_sheet!C$87,0)</f>
        <v>0</v>
      </c>
      <c r="AA198" s="176">
        <f t="shared" ca="1" si="240"/>
        <v>0</v>
      </c>
      <c r="AB198" s="176">
        <f ca="1">IF(AP198&gt;0,AA198*Calculation_sheet!C$94,0)</f>
        <v>0</v>
      </c>
      <c r="AC198" s="176">
        <f t="shared" ca="1" si="230"/>
        <v>0</v>
      </c>
      <c r="AD198" s="958">
        <f ca="1">AC198*Calculation_sheet!C$99</f>
        <v>0</v>
      </c>
      <c r="AE198" s="176">
        <f t="shared" ca="1" si="230"/>
        <v>0</v>
      </c>
      <c r="AF198" s="176">
        <f t="shared" ca="1" si="241"/>
        <v>0</v>
      </c>
      <c r="AG198" s="958">
        <f ca="1">AF198*User_sheet!B$77/100</f>
        <v>0</v>
      </c>
      <c r="AH198" s="313"/>
      <c r="AI198" s="908">
        <v>202</v>
      </c>
      <c r="AJ198" s="313"/>
      <c r="AK198" s="1020">
        <f t="shared" ca="1" si="166"/>
        <v>477.13795453708229</v>
      </c>
      <c r="AL198" s="954">
        <f ca="1">AK198/'202'!I$24</f>
        <v>1.5371217246128741</v>
      </c>
      <c r="AM198" s="954">
        <f ca="1">0.8*(AK198*30+'202'!D$17*0.34*30*1)</f>
        <v>15063.253308889975</v>
      </c>
      <c r="AN198" s="954">
        <f ca="1">IF(AM198&lt;User_sheet!B$50,Y198,0)</f>
        <v>0</v>
      </c>
      <c r="AO198" s="954">
        <f ca="1">20-(User_sheet!B$57/(AK198+'202'!D$17*1*0.34))</f>
        <v>10.918296519699108</v>
      </c>
      <c r="AP198" s="954">
        <f ca="1">IF(AO198&lt;User_sheet!B$59,0,BC198*AA198)</f>
        <v>0</v>
      </c>
      <c r="AQ198" s="313"/>
      <c r="AR198" s="909">
        <v>3.33</v>
      </c>
      <c r="AS198" s="909">
        <v>2.1</v>
      </c>
      <c r="AT198" s="909">
        <v>0.89</v>
      </c>
      <c r="AU198" s="909">
        <v>2.75</v>
      </c>
      <c r="AV198" s="909">
        <v>3.3</v>
      </c>
      <c r="AW198" s="909">
        <v>11357.186356387729</v>
      </c>
      <c r="AX198" s="909">
        <v>74715.401027665983</v>
      </c>
      <c r="AY198" s="909">
        <v>79015.992973719694</v>
      </c>
      <c r="AZ198" s="909">
        <v>0</v>
      </c>
      <c r="BA198" s="909">
        <v>0</v>
      </c>
      <c r="BB198" s="909">
        <v>0.6</v>
      </c>
      <c r="BC198" s="919">
        <v>0</v>
      </c>
      <c r="BD198" s="920">
        <v>1</v>
      </c>
      <c r="BE198" s="920">
        <v>0</v>
      </c>
      <c r="BF198" s="921">
        <v>0</v>
      </c>
      <c r="BG198" s="909">
        <v>1</v>
      </c>
      <c r="BH198" s="909">
        <v>0</v>
      </c>
      <c r="BI198" s="921">
        <v>0</v>
      </c>
      <c r="BJ198" s="909">
        <v>0</v>
      </c>
      <c r="BK198" s="909">
        <v>0</v>
      </c>
      <c r="BL198" s="909">
        <v>1</v>
      </c>
      <c r="BM198" s="921">
        <v>0</v>
      </c>
      <c r="BN198" s="958">
        <v>0</v>
      </c>
      <c r="BO198" s="959">
        <v>18</v>
      </c>
      <c r="BP198">
        <f t="shared" ca="1" si="231"/>
        <v>173.25</v>
      </c>
      <c r="BQ198">
        <f t="shared" ca="1" si="232"/>
        <v>294.14</v>
      </c>
      <c r="BR198">
        <f t="shared" ca="1" si="233"/>
        <v>99.660000000000011</v>
      </c>
      <c r="BS198">
        <f t="shared" ca="1" si="234"/>
        <v>135.5</v>
      </c>
      <c r="BT198">
        <f t="shared" ca="1" si="235"/>
        <v>63.2</v>
      </c>
      <c r="BU198">
        <f t="shared" ca="1" si="236"/>
        <v>12</v>
      </c>
      <c r="BV198">
        <f t="shared" ca="1" si="237"/>
        <v>4.3</v>
      </c>
      <c r="BW198" s="1018">
        <v>0</v>
      </c>
      <c r="BX198">
        <f t="shared" ca="1" si="194"/>
        <v>210.41580015216843</v>
      </c>
      <c r="BY198">
        <f t="shared" ca="1" si="195"/>
        <v>208.61436950146629</v>
      </c>
      <c r="BZ198">
        <f t="shared" ca="1" si="167"/>
        <v>16.081067344345623</v>
      </c>
      <c r="CA198">
        <f t="shared" ca="1" si="168"/>
        <v>32.999999981849996</v>
      </c>
      <c r="CB198">
        <f t="shared" ca="1" si="196"/>
        <v>9.0267175572519083</v>
      </c>
      <c r="CC198" s="1018">
        <f t="shared" si="169"/>
        <v>0</v>
      </c>
      <c r="CD198" s="1018">
        <f t="shared" ca="1" si="238"/>
        <v>477.13795453708229</v>
      </c>
      <c r="CE198" s="1018">
        <f t="shared" ca="1" si="242"/>
        <v>183.89923712295646</v>
      </c>
      <c r="CF198">
        <f t="shared" ca="1" si="170"/>
        <v>19.831115749801164</v>
      </c>
      <c r="CG198">
        <f t="shared" ca="1" si="171"/>
        <v>33018.014478788937</v>
      </c>
    </row>
    <row r="199" spans="3:85" x14ac:dyDescent="0.25">
      <c r="C199" s="522"/>
      <c r="D199" s="523"/>
      <c r="E199" s="522"/>
      <c r="F199" s="523"/>
      <c r="G199" s="522"/>
      <c r="H199" s="523"/>
      <c r="I199" s="522"/>
      <c r="J199" s="523"/>
      <c r="K199" s="526"/>
      <c r="L199" s="528"/>
      <c r="M199" s="523"/>
      <c r="N199" s="523"/>
      <c r="O199" s="523"/>
      <c r="P199" s="523"/>
      <c r="Q199" s="523" t="s">
        <v>22</v>
      </c>
      <c r="R199" s="525">
        <v>0.53710000000000002</v>
      </c>
      <c r="S199" s="523"/>
      <c r="T199" s="533">
        <v>0</v>
      </c>
      <c r="U199" s="522"/>
      <c r="V199" s="176">
        <f t="shared" si="172"/>
        <v>0</v>
      </c>
      <c r="W199" s="176">
        <f t="shared" si="239"/>
        <v>0</v>
      </c>
      <c r="X199" s="176">
        <f>W199-W199*Calculation_sheet!O$77</f>
        <v>0</v>
      </c>
      <c r="Y199" s="34">
        <f>X199/Calculation_sheet!M$67</f>
        <v>0</v>
      </c>
      <c r="Z199" s="176">
        <f ca="1">IF(AN199&gt;0,Y199*Calculation_sheet!C$87,0)</f>
        <v>0</v>
      </c>
      <c r="AA199" s="176">
        <f t="shared" ca="1" si="240"/>
        <v>0</v>
      </c>
      <c r="AB199" s="176">
        <f ca="1">IF(AP199&gt;0,AA199*Calculation_sheet!C$94,0)</f>
        <v>0</v>
      </c>
      <c r="AC199" s="176">
        <f t="shared" ca="1" si="230"/>
        <v>0</v>
      </c>
      <c r="AD199" s="958">
        <f ca="1">AC199*Calculation_sheet!C$99</f>
        <v>0</v>
      </c>
      <c r="AE199" s="176">
        <f t="shared" ca="1" si="230"/>
        <v>0</v>
      </c>
      <c r="AF199" s="176">
        <f t="shared" ca="1" si="241"/>
        <v>0</v>
      </c>
      <c r="AG199" s="958">
        <f ca="1">AF199*User_sheet!B$77/100</f>
        <v>0</v>
      </c>
      <c r="AH199" s="313"/>
      <c r="AI199" s="908">
        <v>202</v>
      </c>
      <c r="AJ199" s="313"/>
      <c r="AK199" s="1020">
        <f t="shared" ca="1" si="166"/>
        <v>477.13795453708229</v>
      </c>
      <c r="AL199" s="954">
        <f ca="1">AK199/'202'!I$24</f>
        <v>1.5371217246128741</v>
      </c>
      <c r="AM199" s="954">
        <f ca="1">0.8*(AK199*30+'202'!D$17*0.34*30*1)</f>
        <v>15063.253308889975</v>
      </c>
      <c r="AN199" s="954">
        <f ca="1">IF(AM199&lt;User_sheet!B$50,Y199,0)</f>
        <v>0</v>
      </c>
      <c r="AO199" s="954">
        <f ca="1">20-(User_sheet!B$57/(AK199+'202'!D$17*1*0.34))</f>
        <v>10.918296519699108</v>
      </c>
      <c r="AP199" s="954">
        <f ca="1">IF(AO199&lt;User_sheet!B$59,0,BC199*AA199)</f>
        <v>0</v>
      </c>
      <c r="AQ199" s="313"/>
      <c r="AR199" s="909">
        <v>3.33</v>
      </c>
      <c r="AS199" s="909">
        <v>2.1</v>
      </c>
      <c r="AT199" s="909">
        <v>0.89</v>
      </c>
      <c r="AU199" s="909">
        <v>2.75</v>
      </c>
      <c r="AV199" s="909">
        <v>3.3</v>
      </c>
      <c r="AW199" s="909">
        <v>11357.186356387729</v>
      </c>
      <c r="AX199" s="909">
        <v>74715.401027665983</v>
      </c>
      <c r="AY199" s="909">
        <v>79015.992973719694</v>
      </c>
      <c r="AZ199" s="909">
        <v>0</v>
      </c>
      <c r="BA199" s="909">
        <v>0</v>
      </c>
      <c r="BB199" s="909">
        <v>0.6</v>
      </c>
      <c r="BC199" s="919">
        <v>0</v>
      </c>
      <c r="BD199" s="920">
        <v>1</v>
      </c>
      <c r="BE199" s="920">
        <v>0</v>
      </c>
      <c r="BF199" s="921">
        <v>0</v>
      </c>
      <c r="BG199" s="909">
        <v>0</v>
      </c>
      <c r="BH199" s="909">
        <v>1</v>
      </c>
      <c r="BI199" s="921">
        <v>0</v>
      </c>
      <c r="BJ199" s="909">
        <v>0</v>
      </c>
      <c r="BK199" s="909">
        <v>1</v>
      </c>
      <c r="BL199" s="909">
        <v>0</v>
      </c>
      <c r="BM199" s="921">
        <v>0</v>
      </c>
      <c r="BN199" s="958">
        <v>0</v>
      </c>
      <c r="BO199" s="959">
        <v>18</v>
      </c>
      <c r="BP199">
        <f t="shared" ca="1" si="231"/>
        <v>173.25</v>
      </c>
      <c r="BQ199">
        <f t="shared" ca="1" si="232"/>
        <v>294.14</v>
      </c>
      <c r="BR199">
        <f t="shared" ca="1" si="233"/>
        <v>99.660000000000011</v>
      </c>
      <c r="BS199">
        <f t="shared" ca="1" si="234"/>
        <v>135.5</v>
      </c>
      <c r="BT199">
        <f t="shared" ca="1" si="235"/>
        <v>63.2</v>
      </c>
      <c r="BU199">
        <f t="shared" ca="1" si="236"/>
        <v>12</v>
      </c>
      <c r="BV199">
        <f t="shared" ca="1" si="237"/>
        <v>4.3</v>
      </c>
      <c r="BW199" s="1018">
        <v>0</v>
      </c>
      <c r="BX199">
        <f t="shared" ca="1" si="194"/>
        <v>210.41580015216843</v>
      </c>
      <c r="BY199">
        <f t="shared" ca="1" si="195"/>
        <v>208.61436950146629</v>
      </c>
      <c r="BZ199">
        <f t="shared" ca="1" si="167"/>
        <v>16.081067344345623</v>
      </c>
      <c r="CA199">
        <f t="shared" ca="1" si="168"/>
        <v>32.999999981849996</v>
      </c>
      <c r="CB199">
        <f t="shared" ca="1" si="196"/>
        <v>9.0267175572519083</v>
      </c>
      <c r="CC199" s="1018">
        <f t="shared" si="169"/>
        <v>0</v>
      </c>
      <c r="CD199" s="1018">
        <f t="shared" ca="1" si="238"/>
        <v>477.13795453708229</v>
      </c>
      <c r="CE199" s="1018">
        <f t="shared" ca="1" si="242"/>
        <v>183.89923712295646</v>
      </c>
      <c r="CF199">
        <f t="shared" ca="1" si="170"/>
        <v>19.831115749801164</v>
      </c>
      <c r="CG199">
        <f t="shared" ca="1" si="171"/>
        <v>33018.014478788937</v>
      </c>
    </row>
    <row r="200" spans="3:85" x14ac:dyDescent="0.25">
      <c r="C200" s="522"/>
      <c r="D200" s="523"/>
      <c r="E200" s="522"/>
      <c r="F200" s="523"/>
      <c r="G200" s="522"/>
      <c r="H200" s="523"/>
      <c r="I200" s="522"/>
      <c r="J200" s="523"/>
      <c r="K200" s="526"/>
      <c r="L200" s="528"/>
      <c r="M200" s="523" t="s">
        <v>22</v>
      </c>
      <c r="N200" s="525">
        <v>0.44680851100000002</v>
      </c>
      <c r="O200" s="523" t="s">
        <v>20</v>
      </c>
      <c r="P200" s="525">
        <v>0.19172932300000001</v>
      </c>
      <c r="Q200" s="523" t="s">
        <v>7</v>
      </c>
      <c r="R200" s="525">
        <v>0.46289999999999998</v>
      </c>
      <c r="S200" s="523"/>
      <c r="T200" s="533">
        <v>0</v>
      </c>
      <c r="U200" s="522"/>
      <c r="V200" s="176">
        <f t="shared" si="172"/>
        <v>0</v>
      </c>
      <c r="W200" s="176">
        <f t="shared" si="239"/>
        <v>0</v>
      </c>
      <c r="X200" s="176">
        <f>W200-W200*Calculation_sheet!O$77</f>
        <v>0</v>
      </c>
      <c r="Y200" s="34">
        <f>X200/Calculation_sheet!M$67</f>
        <v>0</v>
      </c>
      <c r="Z200" s="176">
        <f ca="1">IF(AN200&gt;0,Y200*Calculation_sheet!C$87,0)</f>
        <v>0</v>
      </c>
      <c r="AA200" s="176">
        <f t="shared" ca="1" si="240"/>
        <v>0</v>
      </c>
      <c r="AB200" s="176">
        <f ca="1">IF(AP200&gt;0,AA200*Calculation_sheet!C$94,0)</f>
        <v>0</v>
      </c>
      <c r="AC200" s="176">
        <f t="shared" ca="1" si="230"/>
        <v>0</v>
      </c>
      <c r="AD200" s="958">
        <f ca="1">AC200*Calculation_sheet!C$99</f>
        <v>0</v>
      </c>
      <c r="AE200" s="176">
        <f t="shared" ca="1" si="230"/>
        <v>0</v>
      </c>
      <c r="AF200" s="176">
        <f t="shared" ca="1" si="241"/>
        <v>0</v>
      </c>
      <c r="AG200" s="958">
        <f ca="1">AF200*User_sheet!B$77/100</f>
        <v>0</v>
      </c>
      <c r="AH200" s="313"/>
      <c r="AI200" s="908">
        <v>202</v>
      </c>
      <c r="AJ200" s="313"/>
      <c r="AK200" s="1020">
        <f t="shared" ca="1" si="166"/>
        <v>477.13795453708229</v>
      </c>
      <c r="AL200" s="954">
        <f ca="1">AK200/'202'!I$24</f>
        <v>1.5371217246128741</v>
      </c>
      <c r="AM200" s="954">
        <f ca="1">0.8*(AK200*30+'202'!D$17*0.34*30*1)</f>
        <v>15063.253308889975</v>
      </c>
      <c r="AN200" s="954">
        <f ca="1">IF(AM200&lt;User_sheet!B$50,Y200,0)</f>
        <v>0</v>
      </c>
      <c r="AO200" s="954">
        <f ca="1">20-(User_sheet!B$57/(AK200+'202'!D$17*1*0.34))</f>
        <v>10.918296519699108</v>
      </c>
      <c r="AP200" s="954">
        <f ca="1">IF(AO200&lt;User_sheet!B$59,0,BC200*AA200)</f>
        <v>0</v>
      </c>
      <c r="AQ200" s="313"/>
      <c r="AR200" s="909">
        <v>3.33</v>
      </c>
      <c r="AS200" s="909">
        <v>2.1</v>
      </c>
      <c r="AT200" s="909">
        <v>0.89</v>
      </c>
      <c r="AU200" s="909">
        <v>2.75</v>
      </c>
      <c r="AV200" s="909">
        <v>3.3</v>
      </c>
      <c r="AW200" s="909">
        <v>11357.186356387729</v>
      </c>
      <c r="AX200" s="909">
        <v>74715.401027665983</v>
      </c>
      <c r="AY200" s="909">
        <v>79015.992973719694</v>
      </c>
      <c r="AZ200" s="909">
        <v>0</v>
      </c>
      <c r="BA200" s="909">
        <v>0</v>
      </c>
      <c r="BB200" s="909">
        <v>0.6</v>
      </c>
      <c r="BC200" s="919">
        <v>0</v>
      </c>
      <c r="BD200" s="920">
        <v>1</v>
      </c>
      <c r="BE200" s="920">
        <v>0</v>
      </c>
      <c r="BF200" s="921">
        <v>0</v>
      </c>
      <c r="BG200" s="909">
        <v>0</v>
      </c>
      <c r="BH200" s="909">
        <v>1</v>
      </c>
      <c r="BI200" s="921">
        <v>0</v>
      </c>
      <c r="BJ200" s="909">
        <v>0</v>
      </c>
      <c r="BK200" s="909">
        <v>0</v>
      </c>
      <c r="BL200" s="909">
        <v>1</v>
      </c>
      <c r="BM200" s="921">
        <v>0</v>
      </c>
      <c r="BN200" s="958">
        <v>0</v>
      </c>
      <c r="BO200" s="959">
        <v>18</v>
      </c>
      <c r="BP200">
        <f t="shared" ca="1" si="231"/>
        <v>173.25</v>
      </c>
      <c r="BQ200">
        <f t="shared" ca="1" si="232"/>
        <v>294.14</v>
      </c>
      <c r="BR200">
        <f t="shared" ca="1" si="233"/>
        <v>99.660000000000011</v>
      </c>
      <c r="BS200">
        <f t="shared" ca="1" si="234"/>
        <v>135.5</v>
      </c>
      <c r="BT200">
        <f t="shared" ca="1" si="235"/>
        <v>63.2</v>
      </c>
      <c r="BU200">
        <f t="shared" ca="1" si="236"/>
        <v>12</v>
      </c>
      <c r="BV200">
        <f t="shared" ca="1" si="237"/>
        <v>4.3</v>
      </c>
      <c r="BW200" s="1018">
        <v>0</v>
      </c>
      <c r="BX200">
        <f t="shared" ca="1" si="194"/>
        <v>210.41580015216843</v>
      </c>
      <c r="BY200">
        <f t="shared" ca="1" si="195"/>
        <v>208.61436950146629</v>
      </c>
      <c r="BZ200">
        <f t="shared" ca="1" si="167"/>
        <v>16.081067344345623</v>
      </c>
      <c r="CA200">
        <f t="shared" ca="1" si="168"/>
        <v>32.999999981849996</v>
      </c>
      <c r="CB200">
        <f t="shared" ca="1" si="196"/>
        <v>9.0267175572519083</v>
      </c>
      <c r="CC200" s="1018">
        <f t="shared" si="169"/>
        <v>0</v>
      </c>
      <c r="CD200" s="1018">
        <f t="shared" ca="1" si="238"/>
        <v>477.13795453708229</v>
      </c>
      <c r="CE200" s="1018">
        <f t="shared" ca="1" si="242"/>
        <v>183.89923712295646</v>
      </c>
      <c r="CF200">
        <f t="shared" ca="1" si="170"/>
        <v>19.831115749801164</v>
      </c>
      <c r="CG200">
        <f t="shared" ca="1" si="171"/>
        <v>33018.014478788937</v>
      </c>
    </row>
    <row r="201" spans="3:85" x14ac:dyDescent="0.25">
      <c r="C201" s="522"/>
      <c r="D201" s="523"/>
      <c r="E201" s="522"/>
      <c r="F201" s="523"/>
      <c r="G201" s="522"/>
      <c r="H201" s="523"/>
      <c r="I201" s="522"/>
      <c r="J201" s="523"/>
      <c r="K201" s="526"/>
      <c r="L201" s="528"/>
      <c r="M201" s="523" t="s">
        <v>7</v>
      </c>
      <c r="N201" s="525">
        <v>2.1276595999999998E-2</v>
      </c>
      <c r="O201" s="523" t="s">
        <v>23</v>
      </c>
      <c r="P201" s="525">
        <v>1</v>
      </c>
      <c r="Q201" s="523" t="s">
        <v>7</v>
      </c>
      <c r="R201" s="525">
        <v>1</v>
      </c>
      <c r="S201" s="523"/>
      <c r="T201" s="533">
        <v>0</v>
      </c>
      <c r="U201" s="522"/>
      <c r="V201" s="176">
        <f t="shared" si="172"/>
        <v>0</v>
      </c>
      <c r="W201" s="176">
        <f t="shared" si="239"/>
        <v>0</v>
      </c>
      <c r="X201" s="176">
        <f>W201-W201*Calculation_sheet!O$77</f>
        <v>0</v>
      </c>
      <c r="Y201" s="34">
        <f>X201/Calculation_sheet!M$67</f>
        <v>0</v>
      </c>
      <c r="Z201" s="176">
        <f ca="1">IF(AN201&gt;0,Y201*Calculation_sheet!C$87,0)</f>
        <v>0</v>
      </c>
      <c r="AA201" s="176">
        <f t="shared" ca="1" si="240"/>
        <v>0</v>
      </c>
      <c r="AB201" s="176">
        <f ca="1">IF(AP201&gt;0,AA201*Calculation_sheet!C$94,0)</f>
        <v>0</v>
      </c>
      <c r="AC201" s="176">
        <f t="shared" ca="1" si="230"/>
        <v>0</v>
      </c>
      <c r="AD201" s="958">
        <f ca="1">AC201*Calculation_sheet!C$99</f>
        <v>0</v>
      </c>
      <c r="AE201" s="176">
        <f t="shared" ca="1" si="230"/>
        <v>0</v>
      </c>
      <c r="AF201" s="176">
        <f t="shared" ca="1" si="241"/>
        <v>0</v>
      </c>
      <c r="AG201" s="958">
        <f ca="1">AF201*User_sheet!B$77/100</f>
        <v>0</v>
      </c>
      <c r="AH201" s="313"/>
      <c r="AI201" s="908">
        <v>202</v>
      </c>
      <c r="AJ201" s="313"/>
      <c r="AK201" s="1020">
        <f t="shared" ca="1" si="166"/>
        <v>477.13795453708229</v>
      </c>
      <c r="AL201" s="954">
        <f ca="1">AK201/'202'!I$24</f>
        <v>1.5371217246128741</v>
      </c>
      <c r="AM201" s="954">
        <f ca="1">0.8*(AK201*30+'202'!D$17*0.34*30*1)</f>
        <v>15063.253308889975</v>
      </c>
      <c r="AN201" s="954">
        <f ca="1">IF(AM201&lt;User_sheet!B$50,Y201,0)</f>
        <v>0</v>
      </c>
      <c r="AO201" s="954">
        <f ca="1">20-(User_sheet!B$57/(AK201+'202'!D$17*1*0.34))</f>
        <v>10.918296519699108</v>
      </c>
      <c r="AP201" s="954">
        <f ca="1">IF(AO201&lt;User_sheet!B$59,0,BC201*AA201)</f>
        <v>0</v>
      </c>
      <c r="AQ201" s="313"/>
      <c r="AR201" s="909">
        <v>3.33</v>
      </c>
      <c r="AS201" s="909">
        <v>2.1</v>
      </c>
      <c r="AT201" s="909">
        <v>0.89</v>
      </c>
      <c r="AU201" s="909">
        <v>2.75</v>
      </c>
      <c r="AV201" s="909">
        <v>3.3</v>
      </c>
      <c r="AW201" s="909">
        <v>11357.186356387729</v>
      </c>
      <c r="AX201" s="909">
        <v>74715.401027665983</v>
      </c>
      <c r="AY201" s="909">
        <v>79015.992973719694</v>
      </c>
      <c r="AZ201" s="909">
        <v>0</v>
      </c>
      <c r="BA201" s="909">
        <v>0</v>
      </c>
      <c r="BB201" s="909">
        <v>0.6</v>
      </c>
      <c r="BC201" s="919">
        <v>0</v>
      </c>
      <c r="BD201" s="920">
        <v>0</v>
      </c>
      <c r="BE201" s="920">
        <v>1</v>
      </c>
      <c r="BF201" s="921">
        <v>0</v>
      </c>
      <c r="BG201" s="909">
        <v>0</v>
      </c>
      <c r="BH201" s="909">
        <v>0</v>
      </c>
      <c r="BI201" s="921">
        <v>1</v>
      </c>
      <c r="BJ201" s="909">
        <v>0</v>
      </c>
      <c r="BK201" s="909">
        <v>0</v>
      </c>
      <c r="BL201" s="909">
        <v>1</v>
      </c>
      <c r="BM201" s="921">
        <v>0</v>
      </c>
      <c r="BN201" s="958">
        <v>0</v>
      </c>
      <c r="BO201" s="959">
        <v>18</v>
      </c>
      <c r="BP201">
        <f t="shared" ca="1" si="231"/>
        <v>173.25</v>
      </c>
      <c r="BQ201">
        <f t="shared" ca="1" si="232"/>
        <v>294.14</v>
      </c>
      <c r="BR201">
        <f t="shared" ca="1" si="233"/>
        <v>99.660000000000011</v>
      </c>
      <c r="BS201">
        <f t="shared" ca="1" si="234"/>
        <v>135.5</v>
      </c>
      <c r="BT201">
        <f t="shared" ca="1" si="235"/>
        <v>63.2</v>
      </c>
      <c r="BU201">
        <f t="shared" ca="1" si="236"/>
        <v>12</v>
      </c>
      <c r="BV201">
        <f t="shared" ca="1" si="237"/>
        <v>4.3</v>
      </c>
      <c r="BW201" s="1018">
        <v>0</v>
      </c>
      <c r="BX201">
        <f t="shared" ca="1" si="194"/>
        <v>210.41580015216843</v>
      </c>
      <c r="BY201">
        <f t="shared" ca="1" si="195"/>
        <v>208.61436950146629</v>
      </c>
      <c r="BZ201">
        <f t="shared" ca="1" si="167"/>
        <v>16.081067344345623</v>
      </c>
      <c r="CA201">
        <f t="shared" ca="1" si="168"/>
        <v>32.999999981849996</v>
      </c>
      <c r="CB201">
        <f t="shared" ca="1" si="196"/>
        <v>9.0267175572519083</v>
      </c>
      <c r="CC201" s="1018">
        <f t="shared" si="169"/>
        <v>0</v>
      </c>
      <c r="CD201" s="1018">
        <f t="shared" ca="1" si="238"/>
        <v>477.13795453708229</v>
      </c>
      <c r="CE201" s="1018">
        <f t="shared" ca="1" si="242"/>
        <v>183.89923712295646</v>
      </c>
      <c r="CF201">
        <f t="shared" ca="1" si="170"/>
        <v>19.831115749801164</v>
      </c>
      <c r="CG201">
        <f t="shared" ca="1" si="171"/>
        <v>33018.014478788937</v>
      </c>
    </row>
    <row r="202" spans="3:85" x14ac:dyDescent="0.25">
      <c r="C202" s="522" t="s">
        <v>2</v>
      </c>
      <c r="D202" s="525">
        <v>0.2999</v>
      </c>
      <c r="E202" s="522"/>
      <c r="F202" s="523"/>
      <c r="G202" s="522"/>
      <c r="H202" s="523"/>
      <c r="I202" s="522"/>
      <c r="J202" s="523"/>
      <c r="K202" s="522"/>
      <c r="L202" s="524"/>
      <c r="M202" s="523"/>
      <c r="N202" s="523"/>
      <c r="O202" s="523" t="s">
        <v>18</v>
      </c>
      <c r="P202" s="525">
        <v>0.15910607099999999</v>
      </c>
      <c r="Q202" s="523" t="s">
        <v>17</v>
      </c>
      <c r="R202" s="525">
        <v>1</v>
      </c>
      <c r="S202" s="523"/>
      <c r="T202" s="533">
        <v>0</v>
      </c>
      <c r="U202" s="522"/>
      <c r="V202" s="176">
        <f t="shared" si="172"/>
        <v>0</v>
      </c>
      <c r="W202" s="176">
        <f t="shared" si="239"/>
        <v>0</v>
      </c>
      <c r="X202" s="176">
        <f>W202-W202*Calculation_sheet!O$77</f>
        <v>0</v>
      </c>
      <c r="Y202" s="34">
        <f>X202/Calculation_sheet!M$67</f>
        <v>0</v>
      </c>
      <c r="Z202" s="176">
        <f ca="1">IF(AN202&gt;0,Y202*Calculation_sheet!C$87,0)</f>
        <v>0</v>
      </c>
      <c r="AA202" s="176">
        <f t="shared" ca="1" si="240"/>
        <v>0</v>
      </c>
      <c r="AB202" s="176">
        <f ca="1">IF(AP202&gt;0,AA202*Calculation_sheet!C$94,0)</f>
        <v>0</v>
      </c>
      <c r="AC202" s="176">
        <f t="shared" ca="1" si="230"/>
        <v>0</v>
      </c>
      <c r="AD202" s="958">
        <f ca="1">AC202*Calculation_sheet!C$99</f>
        <v>0</v>
      </c>
      <c r="AE202" s="176">
        <f t="shared" ca="1" si="230"/>
        <v>0</v>
      </c>
      <c r="AF202" s="176">
        <f t="shared" ca="1" si="241"/>
        <v>0</v>
      </c>
      <c r="AG202" s="958">
        <f ca="1">AF202*User_sheet!B$77/100</f>
        <v>0</v>
      </c>
      <c r="AH202" s="313"/>
      <c r="AI202" s="908">
        <v>202</v>
      </c>
      <c r="AJ202" s="313"/>
      <c r="AK202" s="1020">
        <f t="shared" ca="1" si="166"/>
        <v>477.13795453708229</v>
      </c>
      <c r="AL202" s="954">
        <f ca="1">AK202/'202'!I$24</f>
        <v>1.5371217246128741</v>
      </c>
      <c r="AM202" s="954">
        <f ca="1">0.8*(AK202*30+'202'!D$17*0.34*30*1)</f>
        <v>15063.253308889975</v>
      </c>
      <c r="AN202" s="954">
        <f ca="1">IF(AM202&lt;User_sheet!B$50,Y202,0)</f>
        <v>0</v>
      </c>
      <c r="AO202" s="954">
        <f ca="1">20-(User_sheet!B$57/(AK202+'202'!D$17*1*0.34))</f>
        <v>10.918296519699108</v>
      </c>
      <c r="AP202" s="954">
        <f ca="1">IF(AO202&lt;User_sheet!B$59,0,BC202*AA202)</f>
        <v>0</v>
      </c>
      <c r="AQ202" s="313"/>
      <c r="AR202" s="909">
        <v>3.33</v>
      </c>
      <c r="AS202" s="909">
        <v>2.1</v>
      </c>
      <c r="AT202" s="909">
        <v>0.89</v>
      </c>
      <c r="AU202" s="909">
        <v>2.75</v>
      </c>
      <c r="AV202" s="909">
        <v>3.3</v>
      </c>
      <c r="AW202" s="909">
        <v>11357.186356387729</v>
      </c>
      <c r="AX202" s="909">
        <v>74715.401027665983</v>
      </c>
      <c r="AY202" s="909">
        <v>79015.992973719694</v>
      </c>
      <c r="AZ202" s="909">
        <v>0</v>
      </c>
      <c r="BA202" s="909">
        <v>0</v>
      </c>
      <c r="BB202" s="909">
        <v>0.6</v>
      </c>
      <c r="BC202" s="919">
        <v>0</v>
      </c>
      <c r="BD202" s="920">
        <v>0</v>
      </c>
      <c r="BE202" s="920">
        <v>0</v>
      </c>
      <c r="BF202" s="921">
        <v>1</v>
      </c>
      <c r="BG202" s="909">
        <v>1</v>
      </c>
      <c r="BH202" s="909">
        <v>0</v>
      </c>
      <c r="BI202" s="921">
        <v>0</v>
      </c>
      <c r="BJ202" s="909">
        <v>0</v>
      </c>
      <c r="BK202" s="909">
        <v>0</v>
      </c>
      <c r="BL202" s="909">
        <v>0</v>
      </c>
      <c r="BM202" s="921">
        <v>1</v>
      </c>
      <c r="BN202" s="958">
        <v>0</v>
      </c>
      <c r="BO202" s="959">
        <v>18</v>
      </c>
      <c r="BP202">
        <f t="shared" ca="1" si="231"/>
        <v>173.25</v>
      </c>
      <c r="BQ202">
        <f t="shared" ca="1" si="232"/>
        <v>294.14</v>
      </c>
      <c r="BR202">
        <f t="shared" ca="1" si="233"/>
        <v>99.660000000000011</v>
      </c>
      <c r="BS202">
        <f t="shared" ca="1" si="234"/>
        <v>135.5</v>
      </c>
      <c r="BT202">
        <f t="shared" ca="1" si="235"/>
        <v>63.2</v>
      </c>
      <c r="BU202">
        <f t="shared" ca="1" si="236"/>
        <v>12</v>
      </c>
      <c r="BV202">
        <f t="shared" ca="1" si="237"/>
        <v>4.3</v>
      </c>
      <c r="BW202" s="1018">
        <v>0</v>
      </c>
      <c r="BX202">
        <f t="shared" ca="1" si="194"/>
        <v>210.41580015216843</v>
      </c>
      <c r="BY202">
        <f t="shared" ca="1" si="195"/>
        <v>208.61436950146629</v>
      </c>
      <c r="BZ202">
        <f t="shared" ca="1" si="167"/>
        <v>16.081067344345623</v>
      </c>
      <c r="CA202">
        <f t="shared" ca="1" si="168"/>
        <v>32.999999981849996</v>
      </c>
      <c r="CB202">
        <f t="shared" ca="1" si="196"/>
        <v>9.0267175572519083</v>
      </c>
      <c r="CC202" s="1018">
        <f t="shared" si="169"/>
        <v>0</v>
      </c>
      <c r="CD202" s="1018">
        <f t="shared" ca="1" si="238"/>
        <v>477.13795453708229</v>
      </c>
      <c r="CE202" s="1018">
        <f t="shared" ca="1" si="242"/>
        <v>183.89923712295646</v>
      </c>
      <c r="CF202">
        <f t="shared" ca="1" si="170"/>
        <v>19.831115749801164</v>
      </c>
      <c r="CG202">
        <f t="shared" ca="1" si="171"/>
        <v>33018.014478788937</v>
      </c>
    </row>
    <row r="203" spans="3:85" x14ac:dyDescent="0.25">
      <c r="C203" s="522"/>
      <c r="D203" s="523"/>
      <c r="E203" s="522"/>
      <c r="F203" s="523"/>
      <c r="G203" s="522" t="s">
        <v>9</v>
      </c>
      <c r="H203" s="527">
        <v>0.71429999999999993</v>
      </c>
      <c r="I203" s="522"/>
      <c r="J203" s="523"/>
      <c r="K203" s="526" t="s">
        <v>12</v>
      </c>
      <c r="L203" s="527">
        <v>0</v>
      </c>
      <c r="M203" s="523" t="s">
        <v>17</v>
      </c>
      <c r="N203" s="525">
        <v>8.5106382999999994E-2</v>
      </c>
      <c r="O203" s="523" t="s">
        <v>19</v>
      </c>
      <c r="P203" s="525">
        <v>0.84089392900000004</v>
      </c>
      <c r="Q203" s="523" t="s">
        <v>17</v>
      </c>
      <c r="R203" s="525">
        <v>1</v>
      </c>
      <c r="S203" s="523"/>
      <c r="T203" s="533">
        <v>0</v>
      </c>
      <c r="U203" s="522"/>
      <c r="V203" s="176">
        <f t="shared" si="172"/>
        <v>0</v>
      </c>
      <c r="W203" s="176">
        <f t="shared" si="239"/>
        <v>0</v>
      </c>
      <c r="X203" s="176">
        <f>W203-W203*Calculation_sheet!O$77</f>
        <v>0</v>
      </c>
      <c r="Y203" s="34">
        <f>X203/Calculation_sheet!M$67</f>
        <v>0</v>
      </c>
      <c r="Z203" s="176">
        <f ca="1">IF(AN203&gt;0,Y203*Calculation_sheet!C$87,0)</f>
        <v>0</v>
      </c>
      <c r="AA203" s="176">
        <f t="shared" ca="1" si="240"/>
        <v>0</v>
      </c>
      <c r="AB203" s="176">
        <f ca="1">IF(AP203&gt;0,AA203*Calculation_sheet!C$94,0)</f>
        <v>0</v>
      </c>
      <c r="AC203" s="176">
        <f t="shared" ca="1" si="230"/>
        <v>0</v>
      </c>
      <c r="AD203" s="958">
        <f ca="1">AC203*Calculation_sheet!C$99</f>
        <v>0</v>
      </c>
      <c r="AE203" s="176">
        <f t="shared" ca="1" si="230"/>
        <v>0</v>
      </c>
      <c r="AF203" s="176">
        <f t="shared" ca="1" si="241"/>
        <v>0</v>
      </c>
      <c r="AG203" s="958">
        <f ca="1">AF203*User_sheet!B$77/100</f>
        <v>0</v>
      </c>
      <c r="AH203" s="313"/>
      <c r="AI203" s="908">
        <v>202</v>
      </c>
      <c r="AJ203" s="313"/>
      <c r="AK203" s="1020">
        <f t="shared" ca="1" si="166"/>
        <v>477.13795453708229</v>
      </c>
      <c r="AL203" s="954">
        <f ca="1">AK203/'202'!I$24</f>
        <v>1.5371217246128741</v>
      </c>
      <c r="AM203" s="954">
        <f ca="1">0.8*(AK203*30+'202'!D$17*0.34*30*1)</f>
        <v>15063.253308889975</v>
      </c>
      <c r="AN203" s="954">
        <f ca="1">IF(AM203&lt;User_sheet!B$50,Y203,0)</f>
        <v>0</v>
      </c>
      <c r="AO203" s="954">
        <f ca="1">20-(User_sheet!B$57/(AK203+'202'!D$17*1*0.34))</f>
        <v>10.918296519699108</v>
      </c>
      <c r="AP203" s="954">
        <f ca="1">IF(AO203&lt;User_sheet!B$59,0,BC203*AA203)</f>
        <v>0</v>
      </c>
      <c r="AQ203" s="313"/>
      <c r="AR203" s="909">
        <v>3.33</v>
      </c>
      <c r="AS203" s="909">
        <v>2.1</v>
      </c>
      <c r="AT203" s="909">
        <v>0.89</v>
      </c>
      <c r="AU203" s="909">
        <v>2.75</v>
      </c>
      <c r="AV203" s="909">
        <v>3.3</v>
      </c>
      <c r="AW203" s="909">
        <v>11357.186356387729</v>
      </c>
      <c r="AX203" s="909">
        <v>74715.401027665983</v>
      </c>
      <c r="AY203" s="909">
        <v>79015.992973719694</v>
      </c>
      <c r="AZ203" s="909">
        <v>0</v>
      </c>
      <c r="BA203" s="909">
        <v>0</v>
      </c>
      <c r="BB203" s="909">
        <v>0.6</v>
      </c>
      <c r="BC203" s="919">
        <v>0</v>
      </c>
      <c r="BD203" s="920">
        <v>0</v>
      </c>
      <c r="BE203" s="920">
        <v>0</v>
      </c>
      <c r="BF203" s="921">
        <v>1</v>
      </c>
      <c r="BG203" s="909">
        <v>0</v>
      </c>
      <c r="BH203" s="909">
        <v>1</v>
      </c>
      <c r="BI203" s="921">
        <v>0</v>
      </c>
      <c r="BJ203" s="909">
        <v>0</v>
      </c>
      <c r="BK203" s="909">
        <v>0</v>
      </c>
      <c r="BL203" s="909">
        <v>0</v>
      </c>
      <c r="BM203" s="921">
        <v>1</v>
      </c>
      <c r="BN203" s="958">
        <v>0</v>
      </c>
      <c r="BO203" s="959">
        <v>18</v>
      </c>
      <c r="BP203">
        <f t="shared" ca="1" si="231"/>
        <v>173.25</v>
      </c>
      <c r="BQ203">
        <f t="shared" ca="1" si="232"/>
        <v>294.14</v>
      </c>
      <c r="BR203">
        <f t="shared" ca="1" si="233"/>
        <v>99.660000000000011</v>
      </c>
      <c r="BS203">
        <f t="shared" ca="1" si="234"/>
        <v>135.5</v>
      </c>
      <c r="BT203">
        <f t="shared" ca="1" si="235"/>
        <v>63.2</v>
      </c>
      <c r="BU203">
        <f t="shared" ca="1" si="236"/>
        <v>12</v>
      </c>
      <c r="BV203">
        <f t="shared" ca="1" si="237"/>
        <v>4.3</v>
      </c>
      <c r="BW203" s="1018">
        <v>0</v>
      </c>
      <c r="BX203">
        <f t="shared" ca="1" si="194"/>
        <v>210.41580015216843</v>
      </c>
      <c r="BY203">
        <f t="shared" ca="1" si="195"/>
        <v>208.61436950146629</v>
      </c>
      <c r="BZ203">
        <f t="shared" ca="1" si="167"/>
        <v>16.081067344345623</v>
      </c>
      <c r="CA203">
        <f t="shared" ca="1" si="168"/>
        <v>32.999999981849996</v>
      </c>
      <c r="CB203">
        <f t="shared" ca="1" si="196"/>
        <v>9.0267175572519083</v>
      </c>
      <c r="CC203" s="1018">
        <f t="shared" si="169"/>
        <v>0</v>
      </c>
      <c r="CD203" s="1018">
        <f t="shared" ca="1" si="238"/>
        <v>477.13795453708229</v>
      </c>
      <c r="CE203" s="1018">
        <f t="shared" ca="1" si="242"/>
        <v>183.89923712295646</v>
      </c>
      <c r="CF203">
        <f t="shared" ca="1" si="170"/>
        <v>19.831115749801164</v>
      </c>
      <c r="CG203">
        <f t="shared" ca="1" si="171"/>
        <v>33018.014478788937</v>
      </c>
    </row>
    <row r="204" spans="3:85" s="14" customFormat="1" x14ac:dyDescent="0.25">
      <c r="C204" s="530"/>
      <c r="D204" s="531"/>
      <c r="E204" s="530"/>
      <c r="F204" s="531"/>
      <c r="G204" s="530"/>
      <c r="H204" s="531"/>
      <c r="I204" s="530"/>
      <c r="J204" s="531"/>
      <c r="K204" s="532"/>
      <c r="L204" s="531"/>
      <c r="M204" s="531"/>
      <c r="N204" s="531"/>
      <c r="O204" s="531"/>
      <c r="P204" s="531"/>
      <c r="Q204" s="531"/>
      <c r="R204" s="531"/>
      <c r="S204" s="531"/>
      <c r="T204" s="534"/>
      <c r="U204" s="530"/>
      <c r="V204" s="292"/>
      <c r="W204" s="292"/>
      <c r="X204" s="292"/>
      <c r="Y204" s="277"/>
      <c r="Z204" s="292"/>
      <c r="AA204" s="292"/>
      <c r="AB204" s="292"/>
      <c r="AC204" s="292"/>
      <c r="AD204" s="277"/>
      <c r="AE204" s="292"/>
      <c r="AF204" s="292"/>
      <c r="AG204" s="277"/>
      <c r="AH204" s="313"/>
      <c r="AI204" s="913"/>
      <c r="AJ204" s="313"/>
      <c r="AK204" s="1020">
        <f t="shared" si="166"/>
        <v>0</v>
      </c>
      <c r="AL204" s="955"/>
      <c r="AM204" s="955"/>
      <c r="AN204" s="941"/>
      <c r="AO204" s="941"/>
      <c r="AP204" s="941"/>
      <c r="AQ204" s="313"/>
      <c r="AR204" s="918"/>
      <c r="AS204" s="918"/>
      <c r="AT204" s="918"/>
      <c r="AU204" s="918"/>
      <c r="AV204" s="918"/>
      <c r="AW204" s="918"/>
      <c r="AX204" s="918"/>
      <c r="AY204" s="918"/>
      <c r="AZ204" s="918"/>
      <c r="BA204" s="918"/>
      <c r="BB204" s="918"/>
      <c r="BC204" s="45"/>
      <c r="BD204" s="277"/>
      <c r="BE204" s="277"/>
      <c r="BF204" s="49"/>
      <c r="BG204" s="918"/>
      <c r="BH204" s="918"/>
      <c r="BI204" s="49"/>
      <c r="BJ204" s="918"/>
      <c r="BK204" s="918"/>
      <c r="BL204" s="918"/>
      <c r="BM204" s="49"/>
      <c r="BN204" s="277"/>
      <c r="BO204" s="49"/>
      <c r="BW204" s="928"/>
      <c r="CC204" s="928"/>
      <c r="CD204" s="928"/>
      <c r="CE204" s="928"/>
    </row>
    <row r="205" spans="3:85" x14ac:dyDescent="0.25">
      <c r="D205" s="1"/>
      <c r="F205" s="1"/>
      <c r="G205" s="3"/>
      <c r="H205" s="6"/>
      <c r="I205" s="3"/>
      <c r="J205" s="6"/>
      <c r="K205" s="8"/>
      <c r="L205" s="6"/>
      <c r="M205" s="1"/>
      <c r="N205" s="1"/>
      <c r="O205" s="1"/>
      <c r="P205" s="1"/>
      <c r="Q205" s="1" t="s">
        <v>16</v>
      </c>
      <c r="R205" s="4"/>
      <c r="S205" s="1"/>
      <c r="T205" s="77"/>
      <c r="U205" s="294"/>
      <c r="X205" s="176">
        <f>W193-X193</f>
        <v>0</v>
      </c>
      <c r="Y205" s="34">
        <f>X205/Calculation_sheet!M$67</f>
        <v>0</v>
      </c>
      <c r="Z205" s="176">
        <f ca="1">IF(AN205&gt;0,Y205*Calculation_sheet!C$87,0)</f>
        <v>0</v>
      </c>
      <c r="AA205" s="176">
        <f ca="1">Y205-Z205</f>
        <v>0</v>
      </c>
      <c r="AB205" s="176">
        <f ca="1">IF(AP205&gt;0,AA205*Calculation_sheet!C$94,0)</f>
        <v>0</v>
      </c>
      <c r="AC205" s="176">
        <f t="shared" ref="AC205:AE215" ca="1" si="243">AA205-AB205</f>
        <v>0</v>
      </c>
      <c r="AD205" s="958">
        <f ca="1">AC205*Calculation_sheet!C$99</f>
        <v>0</v>
      </c>
      <c r="AE205" s="176">
        <f t="shared" ca="1" si="243"/>
        <v>0</v>
      </c>
      <c r="AF205" s="176">
        <f ca="1">Y205-AB205</f>
        <v>0</v>
      </c>
      <c r="AG205" s="958">
        <f ca="1">AF205*User_sheet!B$77/100</f>
        <v>0</v>
      </c>
      <c r="AH205" s="313"/>
      <c r="AI205" s="908">
        <v>202</v>
      </c>
      <c r="AJ205" s="313"/>
      <c r="AK205" s="1020">
        <f t="shared" ca="1" si="166"/>
        <v>287.93741462590447</v>
      </c>
      <c r="AL205" s="954">
        <f ca="1">AK205/'202'!I$24</f>
        <v>0.92760353927355577</v>
      </c>
      <c r="AM205" s="954">
        <f ca="1">0.8*(AK205*30+'202'!D$17*0.34*30*1)</f>
        <v>10522.440351021709</v>
      </c>
      <c r="AN205" s="954">
        <f ca="1">IF(AM205&lt;User_sheet!B$50,Y205,0)</f>
        <v>0</v>
      </c>
      <c r="AO205" s="954">
        <f ca="1">20-(User_sheet!B$57/(AK205+'202'!D$17*1*0.34))</f>
        <v>6.9992135439649239</v>
      </c>
      <c r="AP205" s="954">
        <f ca="1">IF(AO205&lt;User_sheet!B$59,0,BC205*AA205)</f>
        <v>0</v>
      </c>
      <c r="AQ205" s="313"/>
      <c r="AR205" s="909">
        <v>0.32</v>
      </c>
      <c r="AS205" s="909">
        <v>2.1</v>
      </c>
      <c r="AT205" s="909">
        <v>0.89</v>
      </c>
      <c r="AU205" s="909">
        <v>2</v>
      </c>
      <c r="AV205" s="909">
        <v>3.3</v>
      </c>
      <c r="AW205" s="909">
        <v>14356</v>
      </c>
      <c r="AX205" s="909">
        <v>74715.401027665983</v>
      </c>
      <c r="AY205" s="909">
        <v>79015.992973719694</v>
      </c>
      <c r="AZ205" s="917">
        <v>0</v>
      </c>
      <c r="BA205" s="917">
        <v>0</v>
      </c>
      <c r="BB205" s="909">
        <v>0.6</v>
      </c>
      <c r="BC205" s="919">
        <v>1</v>
      </c>
      <c r="BD205" s="920">
        <v>0</v>
      </c>
      <c r="BE205" s="920">
        <v>0</v>
      </c>
      <c r="BF205" s="921">
        <v>0</v>
      </c>
      <c r="BG205" s="920">
        <v>1</v>
      </c>
      <c r="BH205" s="920">
        <v>0</v>
      </c>
      <c r="BI205" s="921">
        <v>0</v>
      </c>
      <c r="BJ205" s="920">
        <v>1</v>
      </c>
      <c r="BK205" s="920">
        <v>0</v>
      </c>
      <c r="BL205" s="920">
        <v>0</v>
      </c>
      <c r="BM205" s="921">
        <v>0</v>
      </c>
      <c r="BN205" s="958">
        <v>0</v>
      </c>
      <c r="BO205" s="959">
        <v>18</v>
      </c>
      <c r="BP205">
        <f t="shared" ref="BP205:BP215" ca="1" si="244">INDIRECT("'"&amp;AI205&amp;"'!"&amp;"B2")</f>
        <v>173.25</v>
      </c>
      <c r="BQ205">
        <f t="shared" ref="BQ205:BQ215" ca="1" si="245">INDIRECT("'"&amp;AI205&amp;"'!"&amp;"C12")+INDIRECT("'"&amp;AI205&amp;"'!"&amp;"C13")+INDIRECT("'"&amp;AI205&amp;"'!"&amp;"C14")+INDIRECT("'"&amp;AI205&amp;"'!"&amp;"C15")+INDIRECT("'"&amp;AI205&amp;"'!"&amp;"C17")</f>
        <v>294.14</v>
      </c>
      <c r="BR205">
        <f t="shared" ref="BR205:BR215" ca="1" si="246">INDIRECT("'"&amp;AI205&amp;"'!"&amp;"G5")</f>
        <v>99.660000000000011</v>
      </c>
      <c r="BS205">
        <f t="shared" ref="BS205:BS215" ca="1" si="247">INDIRECT("'"&amp;AI205&amp;"'!"&amp;"G4")</f>
        <v>135.5</v>
      </c>
      <c r="BT205">
        <f t="shared" ref="BT205:BT215" ca="1" si="248">INDIRECT("'"&amp;AI205&amp;"'!"&amp;"G6")</f>
        <v>63.2</v>
      </c>
      <c r="BU205">
        <f t="shared" ref="BU205:BU215" ca="1" si="249">INDIRECT("'"&amp;AI205&amp;"'!"&amp;"G2")</f>
        <v>12</v>
      </c>
      <c r="BV205">
        <f t="shared" ref="BV205:BV215" ca="1" si="250">INDIRECT("'"&amp;AI205&amp;"'!"&amp;"G3")</f>
        <v>4.3</v>
      </c>
      <c r="BW205" s="1018">
        <v>0</v>
      </c>
      <c r="BX205">
        <f t="shared" ca="1" si="194"/>
        <v>30.215260232440635</v>
      </c>
      <c r="BY205">
        <f t="shared" ca="1" si="195"/>
        <v>208.61436950146629</v>
      </c>
      <c r="BZ205">
        <f t="shared" ca="1" si="167"/>
        <v>16.081067344345623</v>
      </c>
      <c r="CA205">
        <f t="shared" ca="1" si="168"/>
        <v>23.999999990399999</v>
      </c>
      <c r="CB205">
        <f t="shared" ca="1" si="196"/>
        <v>9.0267175572519083</v>
      </c>
      <c r="CC205" s="1018">
        <f t="shared" si="169"/>
        <v>0</v>
      </c>
      <c r="CD205" s="1018">
        <f t="shared" ref="CD205:CD215" ca="1" si="251">SUM(BX205:CC205)+(BR205+BS205+BT205+BU205+BV205)*BN205</f>
        <v>287.93741462590447</v>
      </c>
      <c r="CE205" s="1018">
        <f ca="1">0.34*BO205*(1/25)^0.66*(BR205+BS205+BU205+BV205)</f>
        <v>183.89923712295646</v>
      </c>
      <c r="CF205">
        <f t="shared" ca="1" si="170"/>
        <v>14.155099552465828</v>
      </c>
      <c r="CG205">
        <f t="shared" ca="1" si="171"/>
        <v>23567.674550873508</v>
      </c>
    </row>
    <row r="206" spans="3:85" x14ac:dyDescent="0.25">
      <c r="D206" s="1"/>
      <c r="F206" s="1"/>
      <c r="G206" s="3"/>
      <c r="H206" s="6"/>
      <c r="I206" s="3"/>
      <c r="J206" s="6"/>
      <c r="K206" s="8"/>
      <c r="L206" s="6"/>
      <c r="M206" s="1"/>
      <c r="N206" s="1"/>
      <c r="O206" s="1" t="s">
        <v>18</v>
      </c>
      <c r="P206" s="4"/>
      <c r="Q206" s="1" t="s">
        <v>7</v>
      </c>
      <c r="R206" s="4"/>
      <c r="S206" s="1"/>
      <c r="T206" s="77"/>
      <c r="U206" s="294"/>
      <c r="X206" s="176">
        <f t="shared" ref="X206:X215" si="252">W194-X194</f>
        <v>0</v>
      </c>
      <c r="Y206" s="34">
        <f>X206/Calculation_sheet!M$67</f>
        <v>0</v>
      </c>
      <c r="Z206" s="176">
        <f ca="1">IF(AN206&gt;0,Y206*Calculation_sheet!C$87,0)</f>
        <v>0</v>
      </c>
      <c r="AA206" s="176">
        <f t="shared" ref="AA206:AA215" ca="1" si="253">Y206-Z206</f>
        <v>0</v>
      </c>
      <c r="AB206" s="176">
        <f ca="1">IF(AP206&gt;0,AA206*Calculation_sheet!C$94,0)</f>
        <v>0</v>
      </c>
      <c r="AC206" s="176">
        <f t="shared" ca="1" si="243"/>
        <v>0</v>
      </c>
      <c r="AD206" s="958">
        <f ca="1">AC206*Calculation_sheet!C$99</f>
        <v>0</v>
      </c>
      <c r="AE206" s="176">
        <f t="shared" ca="1" si="243"/>
        <v>0</v>
      </c>
      <c r="AF206" s="176">
        <f t="shared" ref="AF206:AF215" ca="1" si="254">Y206-AB206</f>
        <v>0</v>
      </c>
      <c r="AG206" s="958">
        <f ca="1">AF206*User_sheet!B$77/100</f>
        <v>0</v>
      </c>
      <c r="AH206" s="313"/>
      <c r="AI206" s="908">
        <v>202</v>
      </c>
      <c r="AJ206" s="313"/>
      <c r="AK206" s="1020">
        <f t="shared" ref="AK206:AK269" ca="1" si="255">CD206</f>
        <v>287.93741462590447</v>
      </c>
      <c r="AL206" s="954">
        <f ca="1">AK206/'202'!I$24</f>
        <v>0.92760353927355577</v>
      </c>
      <c r="AM206" s="954">
        <f ca="1">0.8*(AK206*30+'202'!D$17*0.34*30*1)</f>
        <v>10522.440351021709</v>
      </c>
      <c r="AN206" s="954">
        <f ca="1">IF(AM206&lt;User_sheet!B$50,Y206,0)</f>
        <v>0</v>
      </c>
      <c r="AO206" s="954">
        <f ca="1">20-(User_sheet!B$57/(AK206+'202'!D$17*1*0.34))</f>
        <v>6.9992135439649239</v>
      </c>
      <c r="AP206" s="954">
        <f ca="1">IF(AO206&lt;User_sheet!B$59,0,BC206*AA206)</f>
        <v>0</v>
      </c>
      <c r="AQ206" s="313"/>
      <c r="AR206" s="909">
        <v>0.32</v>
      </c>
      <c r="AS206" s="909">
        <v>2.1</v>
      </c>
      <c r="AT206" s="909">
        <v>0.89</v>
      </c>
      <c r="AU206" s="909">
        <v>2</v>
      </c>
      <c r="AV206" s="909">
        <v>3.3</v>
      </c>
      <c r="AW206" s="909">
        <v>14356</v>
      </c>
      <c r="AX206" s="909">
        <v>74715.401027665983</v>
      </c>
      <c r="AY206" s="909">
        <v>79015.992973719694</v>
      </c>
      <c r="AZ206" s="917">
        <v>0</v>
      </c>
      <c r="BA206" s="917">
        <v>0</v>
      </c>
      <c r="BB206" s="909">
        <v>0.6</v>
      </c>
      <c r="BC206" s="919">
        <v>1</v>
      </c>
      <c r="BD206" s="920">
        <v>0</v>
      </c>
      <c r="BE206" s="920">
        <v>0</v>
      </c>
      <c r="BF206" s="921">
        <v>0</v>
      </c>
      <c r="BG206" s="920">
        <v>1</v>
      </c>
      <c r="BH206" s="920">
        <v>0</v>
      </c>
      <c r="BI206" s="921">
        <v>0</v>
      </c>
      <c r="BJ206" s="920">
        <v>0</v>
      </c>
      <c r="BK206" s="920">
        <v>0</v>
      </c>
      <c r="BL206" s="920">
        <v>1</v>
      </c>
      <c r="BM206" s="921">
        <v>0</v>
      </c>
      <c r="BN206" s="958">
        <v>0</v>
      </c>
      <c r="BO206" s="959">
        <v>18</v>
      </c>
      <c r="BP206">
        <f t="shared" ca="1" si="244"/>
        <v>173.25</v>
      </c>
      <c r="BQ206">
        <f t="shared" ca="1" si="245"/>
        <v>294.14</v>
      </c>
      <c r="BR206">
        <f t="shared" ca="1" si="246"/>
        <v>99.660000000000011</v>
      </c>
      <c r="BS206">
        <f t="shared" ca="1" si="247"/>
        <v>135.5</v>
      </c>
      <c r="BT206">
        <f t="shared" ca="1" si="248"/>
        <v>63.2</v>
      </c>
      <c r="BU206">
        <f t="shared" ca="1" si="249"/>
        <v>12</v>
      </c>
      <c r="BV206">
        <f t="shared" ca="1" si="250"/>
        <v>4.3</v>
      </c>
      <c r="BW206" s="1018">
        <v>0</v>
      </c>
      <c r="BX206">
        <f t="shared" ca="1" si="194"/>
        <v>30.215260232440635</v>
      </c>
      <c r="BY206">
        <f t="shared" ca="1" si="195"/>
        <v>208.61436950146629</v>
      </c>
      <c r="BZ206">
        <f t="shared" ref="BZ206:BZ269" ca="1" si="256">IF(BT206=0,0,1/(1/(BT206*$BY$3)+1/(BT206*AT206)+1/(BT206*$BY$4)))*0.33</f>
        <v>16.081067344345623</v>
      </c>
      <c r="CA206">
        <f t="shared" ref="CA206:CA269" ca="1" si="257">IF(BU206=0,0,1/(1/(BU206*$BY$5)+1/(BU206*AU206)+1/(BU206*$BY$6)))</f>
        <v>23.999999990399999</v>
      </c>
      <c r="CB206">
        <f t="shared" ca="1" si="196"/>
        <v>9.0267175572519083</v>
      </c>
      <c r="CC206" s="1018">
        <f t="shared" ref="CC206:CC269" si="258">0.67*IF(BW206=0,0,1/(1/(BW206*$BY$3)+1/(BW206*AS206)+1/(BW206*$BY$4)))</f>
        <v>0</v>
      </c>
      <c r="CD206" s="1018">
        <f t="shared" ca="1" si="251"/>
        <v>287.93741462590447</v>
      </c>
      <c r="CE206" s="1018">
        <f t="shared" ref="CE206:CE215" ca="1" si="259">0.34*BO206*(1/25)^0.66*(BR206+BS206+BU206+BV206)</f>
        <v>183.89923712295646</v>
      </c>
      <c r="CF206">
        <f t="shared" ref="CF206:CF269" ca="1" si="260">(CD206+CE206)*($BY$7-$BV$5)/1000</f>
        <v>14.155099552465828</v>
      </c>
      <c r="CG206">
        <f t="shared" ref="CG206:CG269" ca="1" si="261">$BV$8*(CD206+CE206)*($BY$10-$BV$7)*24/1000</f>
        <v>23567.674550873508</v>
      </c>
    </row>
    <row r="207" spans="3:85" x14ac:dyDescent="0.25">
      <c r="D207" s="1"/>
      <c r="F207" s="1"/>
      <c r="G207" s="3"/>
      <c r="H207" s="6"/>
      <c r="I207" s="3"/>
      <c r="J207" s="6"/>
      <c r="K207" s="8"/>
      <c r="L207" s="6"/>
      <c r="M207" s="1"/>
      <c r="N207" s="1"/>
      <c r="O207" s="1"/>
      <c r="P207" s="1"/>
      <c r="Q207" s="1" t="s">
        <v>16</v>
      </c>
      <c r="R207" s="4"/>
      <c r="S207" s="1"/>
      <c r="T207" s="77"/>
      <c r="U207" s="294"/>
      <c r="X207" s="176">
        <f t="shared" si="252"/>
        <v>0</v>
      </c>
      <c r="Y207" s="34">
        <f>X207/Calculation_sheet!M$67</f>
        <v>0</v>
      </c>
      <c r="Z207" s="176">
        <f ca="1">IF(AN207&gt;0,Y207*Calculation_sheet!C$87,0)</f>
        <v>0</v>
      </c>
      <c r="AA207" s="176">
        <f t="shared" ca="1" si="253"/>
        <v>0</v>
      </c>
      <c r="AB207" s="176">
        <f ca="1">IF(AP207&gt;0,AA207*Calculation_sheet!C$94,0)</f>
        <v>0</v>
      </c>
      <c r="AC207" s="176">
        <f t="shared" ca="1" si="243"/>
        <v>0</v>
      </c>
      <c r="AD207" s="958">
        <f ca="1">AC207*Calculation_sheet!C$99</f>
        <v>0</v>
      </c>
      <c r="AE207" s="176">
        <f t="shared" ca="1" si="243"/>
        <v>0</v>
      </c>
      <c r="AF207" s="176">
        <f t="shared" ca="1" si="254"/>
        <v>0</v>
      </c>
      <c r="AG207" s="958">
        <f ca="1">AF207*User_sheet!B$77/100</f>
        <v>0</v>
      </c>
      <c r="AH207" s="313"/>
      <c r="AI207" s="908">
        <v>202</v>
      </c>
      <c r="AJ207" s="313"/>
      <c r="AK207" s="1020">
        <f t="shared" ca="1" si="255"/>
        <v>287.93741462590447</v>
      </c>
      <c r="AL207" s="954">
        <f ca="1">AK207/'202'!I$24</f>
        <v>0.92760353927355577</v>
      </c>
      <c r="AM207" s="954">
        <f ca="1">0.8*(AK207*30+'202'!D$17*0.34*30*1)</f>
        <v>10522.440351021709</v>
      </c>
      <c r="AN207" s="954">
        <f ca="1">IF(AM207&lt;User_sheet!B$50,Y207,0)</f>
        <v>0</v>
      </c>
      <c r="AO207" s="954">
        <f ca="1">20-(User_sheet!B$57/(AK207+'202'!D$17*1*0.34))</f>
        <v>6.9992135439649239</v>
      </c>
      <c r="AP207" s="954">
        <f ca="1">IF(AO207&lt;User_sheet!B$59,0,BC207*AA207)</f>
        <v>0</v>
      </c>
      <c r="AQ207" s="313"/>
      <c r="AR207" s="909">
        <v>0.32</v>
      </c>
      <c r="AS207" s="909">
        <v>2.1</v>
      </c>
      <c r="AT207" s="909">
        <v>0.89</v>
      </c>
      <c r="AU207" s="909">
        <v>2</v>
      </c>
      <c r="AV207" s="909">
        <v>3.3</v>
      </c>
      <c r="AW207" s="909">
        <v>14356</v>
      </c>
      <c r="AX207" s="909">
        <v>74715.401027665983</v>
      </c>
      <c r="AY207" s="909">
        <v>79015.992973719694</v>
      </c>
      <c r="AZ207" s="917">
        <v>0</v>
      </c>
      <c r="BA207" s="917">
        <v>0</v>
      </c>
      <c r="BB207" s="909">
        <v>0.6</v>
      </c>
      <c r="BC207" s="919">
        <v>1</v>
      </c>
      <c r="BD207" s="920">
        <v>0</v>
      </c>
      <c r="BE207" s="920">
        <v>0</v>
      </c>
      <c r="BF207" s="921">
        <v>0</v>
      </c>
      <c r="BG207" s="920">
        <v>0</v>
      </c>
      <c r="BH207" s="920">
        <v>1</v>
      </c>
      <c r="BI207" s="921">
        <v>0</v>
      </c>
      <c r="BJ207" s="920">
        <v>1</v>
      </c>
      <c r="BK207" s="920">
        <v>0</v>
      </c>
      <c r="BL207" s="920">
        <v>0</v>
      </c>
      <c r="BM207" s="921">
        <v>0</v>
      </c>
      <c r="BN207" s="958">
        <v>0</v>
      </c>
      <c r="BO207" s="959">
        <v>18</v>
      </c>
      <c r="BP207">
        <f t="shared" ca="1" si="244"/>
        <v>173.25</v>
      </c>
      <c r="BQ207">
        <f t="shared" ca="1" si="245"/>
        <v>294.14</v>
      </c>
      <c r="BR207">
        <f t="shared" ca="1" si="246"/>
        <v>99.660000000000011</v>
      </c>
      <c r="BS207">
        <f t="shared" ca="1" si="247"/>
        <v>135.5</v>
      </c>
      <c r="BT207">
        <f t="shared" ca="1" si="248"/>
        <v>63.2</v>
      </c>
      <c r="BU207">
        <f t="shared" ca="1" si="249"/>
        <v>12</v>
      </c>
      <c r="BV207">
        <f t="shared" ca="1" si="250"/>
        <v>4.3</v>
      </c>
      <c r="BW207" s="1018">
        <v>0</v>
      </c>
      <c r="BX207">
        <f t="shared" ca="1" si="194"/>
        <v>30.215260232440635</v>
      </c>
      <c r="BY207">
        <f t="shared" ca="1" si="195"/>
        <v>208.61436950146629</v>
      </c>
      <c r="BZ207">
        <f t="shared" ca="1" si="256"/>
        <v>16.081067344345623</v>
      </c>
      <c r="CA207">
        <f t="shared" ca="1" si="257"/>
        <v>23.999999990399999</v>
      </c>
      <c r="CB207">
        <f t="shared" ca="1" si="196"/>
        <v>9.0267175572519083</v>
      </c>
      <c r="CC207" s="1018">
        <f t="shared" si="258"/>
        <v>0</v>
      </c>
      <c r="CD207" s="1018">
        <f t="shared" ca="1" si="251"/>
        <v>287.93741462590447</v>
      </c>
      <c r="CE207" s="1018">
        <f t="shared" ca="1" si="259"/>
        <v>183.89923712295646</v>
      </c>
      <c r="CF207">
        <f t="shared" ca="1" si="260"/>
        <v>14.155099552465828</v>
      </c>
      <c r="CG207">
        <f t="shared" ca="1" si="261"/>
        <v>23567.674550873508</v>
      </c>
    </row>
    <row r="208" spans="3:85" x14ac:dyDescent="0.25">
      <c r="D208" s="1"/>
      <c r="F208" s="1"/>
      <c r="G208" s="3"/>
      <c r="H208" s="6"/>
      <c r="I208" s="3"/>
      <c r="J208" s="6"/>
      <c r="K208" s="8"/>
      <c r="L208" s="6"/>
      <c r="M208" s="1" t="s">
        <v>16</v>
      </c>
      <c r="N208" s="4"/>
      <c r="O208" s="1" t="s">
        <v>19</v>
      </c>
      <c r="P208" s="4"/>
      <c r="Q208" s="1" t="s">
        <v>7</v>
      </c>
      <c r="R208" s="4"/>
      <c r="S208" s="1"/>
      <c r="T208" s="77"/>
      <c r="U208" s="294"/>
      <c r="X208" s="176">
        <f t="shared" si="252"/>
        <v>0</v>
      </c>
      <c r="Y208" s="34">
        <f>X208/Calculation_sheet!M$67</f>
        <v>0</v>
      </c>
      <c r="Z208" s="176">
        <f ca="1">IF(AN208&gt;0,Y208*Calculation_sheet!C$87,0)</f>
        <v>0</v>
      </c>
      <c r="AA208" s="176">
        <f t="shared" ca="1" si="253"/>
        <v>0</v>
      </c>
      <c r="AB208" s="176">
        <f ca="1">IF(AP208&gt;0,AA208*Calculation_sheet!C$94,0)</f>
        <v>0</v>
      </c>
      <c r="AC208" s="176">
        <f t="shared" ca="1" si="243"/>
        <v>0</v>
      </c>
      <c r="AD208" s="958">
        <f ca="1">AC208*Calculation_sheet!C$99</f>
        <v>0</v>
      </c>
      <c r="AE208" s="176">
        <f t="shared" ca="1" si="243"/>
        <v>0</v>
      </c>
      <c r="AF208" s="176">
        <f t="shared" ca="1" si="254"/>
        <v>0</v>
      </c>
      <c r="AG208" s="958">
        <f ca="1">AF208*User_sheet!B$77/100</f>
        <v>0</v>
      </c>
      <c r="AH208" s="313"/>
      <c r="AI208" s="908">
        <v>202</v>
      </c>
      <c r="AJ208" s="313"/>
      <c r="AK208" s="1020">
        <f t="shared" ca="1" si="255"/>
        <v>287.93741462590447</v>
      </c>
      <c r="AL208" s="954">
        <f ca="1">AK208/'202'!I$24</f>
        <v>0.92760353927355577</v>
      </c>
      <c r="AM208" s="954">
        <f ca="1">0.8*(AK208*30+'202'!D$17*0.34*30*1)</f>
        <v>10522.440351021709</v>
      </c>
      <c r="AN208" s="954">
        <f ca="1">IF(AM208&lt;User_sheet!B$50,Y208,0)</f>
        <v>0</v>
      </c>
      <c r="AO208" s="954">
        <f ca="1">20-(User_sheet!B$57/(AK208+'202'!D$17*1*0.34))</f>
        <v>6.9992135439649239</v>
      </c>
      <c r="AP208" s="954">
        <f ca="1">IF(AO208&lt;User_sheet!B$59,0,BC208*AA208)</f>
        <v>0</v>
      </c>
      <c r="AQ208" s="313"/>
      <c r="AR208" s="909">
        <v>0.32</v>
      </c>
      <c r="AS208" s="909">
        <v>2.1</v>
      </c>
      <c r="AT208" s="909">
        <v>0.89</v>
      </c>
      <c r="AU208" s="909">
        <v>2</v>
      </c>
      <c r="AV208" s="909">
        <v>3.3</v>
      </c>
      <c r="AW208" s="909">
        <v>14356</v>
      </c>
      <c r="AX208" s="909">
        <v>74715.401027665983</v>
      </c>
      <c r="AY208" s="909">
        <v>79015.992973719694</v>
      </c>
      <c r="AZ208" s="917">
        <v>0</v>
      </c>
      <c r="BA208" s="917">
        <v>0</v>
      </c>
      <c r="BB208" s="909">
        <v>0.6</v>
      </c>
      <c r="BC208" s="919">
        <v>1</v>
      </c>
      <c r="BD208" s="920">
        <v>0</v>
      </c>
      <c r="BE208" s="920">
        <v>0</v>
      </c>
      <c r="BF208" s="921">
        <v>0</v>
      </c>
      <c r="BG208" s="920">
        <v>0</v>
      </c>
      <c r="BH208" s="920">
        <v>1</v>
      </c>
      <c r="BI208" s="921">
        <v>0</v>
      </c>
      <c r="BJ208" s="920">
        <v>0</v>
      </c>
      <c r="BK208" s="920">
        <v>0</v>
      </c>
      <c r="BL208" s="920">
        <v>1</v>
      </c>
      <c r="BM208" s="921">
        <v>0</v>
      </c>
      <c r="BN208" s="958">
        <v>0</v>
      </c>
      <c r="BO208" s="959">
        <v>18</v>
      </c>
      <c r="BP208">
        <f t="shared" ca="1" si="244"/>
        <v>173.25</v>
      </c>
      <c r="BQ208">
        <f t="shared" ca="1" si="245"/>
        <v>294.14</v>
      </c>
      <c r="BR208">
        <f t="shared" ca="1" si="246"/>
        <v>99.660000000000011</v>
      </c>
      <c r="BS208">
        <f t="shared" ca="1" si="247"/>
        <v>135.5</v>
      </c>
      <c r="BT208">
        <f t="shared" ca="1" si="248"/>
        <v>63.2</v>
      </c>
      <c r="BU208">
        <f t="shared" ca="1" si="249"/>
        <v>12</v>
      </c>
      <c r="BV208">
        <f t="shared" ca="1" si="250"/>
        <v>4.3</v>
      </c>
      <c r="BW208" s="1018">
        <v>0</v>
      </c>
      <c r="BX208">
        <f t="shared" ca="1" si="194"/>
        <v>30.215260232440635</v>
      </c>
      <c r="BY208">
        <f t="shared" ca="1" si="195"/>
        <v>208.61436950146629</v>
      </c>
      <c r="BZ208">
        <f t="shared" ca="1" si="256"/>
        <v>16.081067344345623</v>
      </c>
      <c r="CA208">
        <f t="shared" ca="1" si="257"/>
        <v>23.999999990399999</v>
      </c>
      <c r="CB208">
        <f t="shared" ca="1" si="196"/>
        <v>9.0267175572519083</v>
      </c>
      <c r="CC208" s="1018">
        <f t="shared" si="258"/>
        <v>0</v>
      </c>
      <c r="CD208" s="1018">
        <f t="shared" ca="1" si="251"/>
        <v>287.93741462590447</v>
      </c>
      <c r="CE208" s="1018">
        <f t="shared" ca="1" si="259"/>
        <v>183.89923712295646</v>
      </c>
      <c r="CF208">
        <f t="shared" ca="1" si="260"/>
        <v>14.155099552465828</v>
      </c>
      <c r="CG208">
        <f t="shared" ca="1" si="261"/>
        <v>23567.674550873508</v>
      </c>
    </row>
    <row r="209" spans="3:85" x14ac:dyDescent="0.25">
      <c r="D209" s="1"/>
      <c r="F209" s="1"/>
      <c r="G209" s="3"/>
      <c r="H209" s="6"/>
      <c r="I209" s="3"/>
      <c r="J209" s="6"/>
      <c r="K209" s="8"/>
      <c r="L209" s="6"/>
      <c r="M209" s="1"/>
      <c r="N209" s="1"/>
      <c r="O209" s="1"/>
      <c r="P209" s="1"/>
      <c r="Q209" s="1" t="s">
        <v>22</v>
      </c>
      <c r="R209" s="4"/>
      <c r="S209" s="1"/>
      <c r="T209" s="77"/>
      <c r="U209" s="294"/>
      <c r="X209" s="176">
        <f t="shared" si="252"/>
        <v>0</v>
      </c>
      <c r="Y209" s="34">
        <f>X209/Calculation_sheet!M$67</f>
        <v>0</v>
      </c>
      <c r="Z209" s="176">
        <f ca="1">IF(AN209&gt;0,Y209*Calculation_sheet!C$87,0)</f>
        <v>0</v>
      </c>
      <c r="AA209" s="176">
        <f t="shared" ca="1" si="253"/>
        <v>0</v>
      </c>
      <c r="AB209" s="176">
        <f ca="1">IF(AP209&gt;0,AA209*Calculation_sheet!C$94,0)</f>
        <v>0</v>
      </c>
      <c r="AC209" s="176">
        <f t="shared" ca="1" si="243"/>
        <v>0</v>
      </c>
      <c r="AD209" s="958">
        <f ca="1">AC209*Calculation_sheet!C$99</f>
        <v>0</v>
      </c>
      <c r="AE209" s="176">
        <f t="shared" ca="1" si="243"/>
        <v>0</v>
      </c>
      <c r="AF209" s="176">
        <f t="shared" ca="1" si="254"/>
        <v>0</v>
      </c>
      <c r="AG209" s="958">
        <f ca="1">AF209*User_sheet!B$77/100</f>
        <v>0</v>
      </c>
      <c r="AH209" s="313"/>
      <c r="AI209" s="908">
        <v>202</v>
      </c>
      <c r="AJ209" s="313"/>
      <c r="AK209" s="1020">
        <f t="shared" ca="1" si="255"/>
        <v>287.93741462590447</v>
      </c>
      <c r="AL209" s="954">
        <f ca="1">AK209/'202'!I$24</f>
        <v>0.92760353927355577</v>
      </c>
      <c r="AM209" s="954">
        <f ca="1">0.8*(AK209*30+'202'!D$17*0.34*30*1)</f>
        <v>10522.440351021709</v>
      </c>
      <c r="AN209" s="954">
        <f ca="1">IF(AM209&lt;User_sheet!B$50,Y209,0)</f>
        <v>0</v>
      </c>
      <c r="AO209" s="954">
        <f ca="1">20-(User_sheet!B$57/(AK209+'202'!D$17*1*0.34))</f>
        <v>6.9992135439649239</v>
      </c>
      <c r="AP209" s="954">
        <f ca="1">IF(AO209&lt;User_sheet!B$59,0,BC209*AA209)</f>
        <v>0</v>
      </c>
      <c r="AQ209" s="313"/>
      <c r="AR209" s="909">
        <v>0.32</v>
      </c>
      <c r="AS209" s="909">
        <v>2.1</v>
      </c>
      <c r="AT209" s="909">
        <v>0.89</v>
      </c>
      <c r="AU209" s="909">
        <v>2</v>
      </c>
      <c r="AV209" s="909">
        <v>3.3</v>
      </c>
      <c r="AW209" s="909">
        <v>14356</v>
      </c>
      <c r="AX209" s="909">
        <v>74715.401027665983</v>
      </c>
      <c r="AY209" s="909">
        <v>79015.992973719694</v>
      </c>
      <c r="AZ209" s="917">
        <v>0</v>
      </c>
      <c r="BA209" s="917">
        <v>0</v>
      </c>
      <c r="BB209" s="909">
        <v>0.6</v>
      </c>
      <c r="BC209" s="919">
        <v>0</v>
      </c>
      <c r="BD209" s="920">
        <v>1</v>
      </c>
      <c r="BE209" s="920">
        <v>0</v>
      </c>
      <c r="BF209" s="921">
        <v>0</v>
      </c>
      <c r="BG209" s="920">
        <v>1</v>
      </c>
      <c r="BH209" s="920">
        <v>0</v>
      </c>
      <c r="BI209" s="921">
        <v>0</v>
      </c>
      <c r="BJ209" s="920">
        <v>0</v>
      </c>
      <c r="BK209" s="920">
        <v>1</v>
      </c>
      <c r="BL209" s="920">
        <v>0</v>
      </c>
      <c r="BM209" s="921">
        <v>0</v>
      </c>
      <c r="BN209" s="958">
        <v>0</v>
      </c>
      <c r="BO209" s="959">
        <v>18</v>
      </c>
      <c r="BP209">
        <f t="shared" ca="1" si="244"/>
        <v>173.25</v>
      </c>
      <c r="BQ209">
        <f t="shared" ca="1" si="245"/>
        <v>294.14</v>
      </c>
      <c r="BR209">
        <f t="shared" ca="1" si="246"/>
        <v>99.660000000000011</v>
      </c>
      <c r="BS209">
        <f t="shared" ca="1" si="247"/>
        <v>135.5</v>
      </c>
      <c r="BT209">
        <f t="shared" ca="1" si="248"/>
        <v>63.2</v>
      </c>
      <c r="BU209">
        <f t="shared" ca="1" si="249"/>
        <v>12</v>
      </c>
      <c r="BV209">
        <f t="shared" ca="1" si="250"/>
        <v>4.3</v>
      </c>
      <c r="BW209" s="1018">
        <v>0</v>
      </c>
      <c r="BX209">
        <f t="shared" ca="1" si="194"/>
        <v>30.215260232440635</v>
      </c>
      <c r="BY209">
        <f t="shared" ca="1" si="195"/>
        <v>208.61436950146629</v>
      </c>
      <c r="BZ209">
        <f t="shared" ca="1" si="256"/>
        <v>16.081067344345623</v>
      </c>
      <c r="CA209">
        <f t="shared" ca="1" si="257"/>
        <v>23.999999990399999</v>
      </c>
      <c r="CB209">
        <f t="shared" ca="1" si="196"/>
        <v>9.0267175572519083</v>
      </c>
      <c r="CC209" s="1018">
        <f t="shared" si="258"/>
        <v>0</v>
      </c>
      <c r="CD209" s="1018">
        <f t="shared" ca="1" si="251"/>
        <v>287.93741462590447</v>
      </c>
      <c r="CE209" s="1018">
        <f t="shared" ca="1" si="259"/>
        <v>183.89923712295646</v>
      </c>
      <c r="CF209">
        <f t="shared" ca="1" si="260"/>
        <v>14.155099552465828</v>
      </c>
      <c r="CG209">
        <f t="shared" ca="1" si="261"/>
        <v>23567.674550873508</v>
      </c>
    </row>
    <row r="210" spans="3:85" x14ac:dyDescent="0.25">
      <c r="D210" s="1"/>
      <c r="F210" s="1"/>
      <c r="G210" s="3"/>
      <c r="H210" s="6"/>
      <c r="I210" s="3"/>
      <c r="J210" s="3" t="s">
        <v>144</v>
      </c>
      <c r="K210" s="8"/>
      <c r="L210" s="6"/>
      <c r="M210" s="1"/>
      <c r="N210" s="1"/>
      <c r="O210" s="1" t="s">
        <v>18</v>
      </c>
      <c r="P210" s="4"/>
      <c r="Q210" s="1" t="s">
        <v>7</v>
      </c>
      <c r="R210" s="4"/>
      <c r="S210" s="1"/>
      <c r="T210" s="77"/>
      <c r="U210" s="294"/>
      <c r="X210" s="176">
        <f t="shared" si="252"/>
        <v>0</v>
      </c>
      <c r="Y210" s="34">
        <f>X210/Calculation_sheet!M$67</f>
        <v>0</v>
      </c>
      <c r="Z210" s="176">
        <f ca="1">IF(AN210&gt;0,Y210*Calculation_sheet!C$87,0)</f>
        <v>0</v>
      </c>
      <c r="AA210" s="176">
        <f t="shared" ca="1" si="253"/>
        <v>0</v>
      </c>
      <c r="AB210" s="176">
        <f ca="1">IF(AP210&gt;0,AA210*Calculation_sheet!C$94,0)</f>
        <v>0</v>
      </c>
      <c r="AC210" s="176">
        <f t="shared" ca="1" si="243"/>
        <v>0</v>
      </c>
      <c r="AD210" s="958">
        <f ca="1">AC210*Calculation_sheet!C$99</f>
        <v>0</v>
      </c>
      <c r="AE210" s="176">
        <f t="shared" ca="1" si="243"/>
        <v>0</v>
      </c>
      <c r="AF210" s="176">
        <f t="shared" ca="1" si="254"/>
        <v>0</v>
      </c>
      <c r="AG210" s="958">
        <f ca="1">AF210*User_sheet!B$77/100</f>
        <v>0</v>
      </c>
      <c r="AH210" s="313"/>
      <c r="AI210" s="908">
        <v>202</v>
      </c>
      <c r="AJ210" s="313"/>
      <c r="AK210" s="1020">
        <f t="shared" ca="1" si="255"/>
        <v>287.93741462590447</v>
      </c>
      <c r="AL210" s="954">
        <f ca="1">AK210/'202'!I$24</f>
        <v>0.92760353927355577</v>
      </c>
      <c r="AM210" s="954">
        <f ca="1">0.8*(AK210*30+'202'!D$17*0.34*30*1)</f>
        <v>10522.440351021709</v>
      </c>
      <c r="AN210" s="954">
        <f ca="1">IF(AM210&lt;User_sheet!B$50,Y210,0)</f>
        <v>0</v>
      </c>
      <c r="AO210" s="954">
        <f ca="1">20-(User_sheet!B$57/(AK210+'202'!D$17*1*0.34))</f>
        <v>6.9992135439649239</v>
      </c>
      <c r="AP210" s="954">
        <f ca="1">IF(AO210&lt;User_sheet!B$59,0,BC210*AA210)</f>
        <v>0</v>
      </c>
      <c r="AQ210" s="313"/>
      <c r="AR210" s="909">
        <v>0.32</v>
      </c>
      <c r="AS210" s="909">
        <v>2.1</v>
      </c>
      <c r="AT210" s="909">
        <v>0.89</v>
      </c>
      <c r="AU210" s="909">
        <v>2</v>
      </c>
      <c r="AV210" s="909">
        <v>3.3</v>
      </c>
      <c r="AW210" s="909">
        <v>14356</v>
      </c>
      <c r="AX210" s="909">
        <v>74715.401027665983</v>
      </c>
      <c r="AY210" s="909">
        <v>79015.992973719694</v>
      </c>
      <c r="AZ210" s="917">
        <v>0</v>
      </c>
      <c r="BA210" s="917">
        <v>0</v>
      </c>
      <c r="BB210" s="909">
        <v>0.6</v>
      </c>
      <c r="BC210" s="919">
        <v>0</v>
      </c>
      <c r="BD210" s="920">
        <v>1</v>
      </c>
      <c r="BE210" s="920">
        <v>0</v>
      </c>
      <c r="BF210" s="921">
        <v>0</v>
      </c>
      <c r="BG210" s="920">
        <v>1</v>
      </c>
      <c r="BH210" s="920">
        <v>0</v>
      </c>
      <c r="BI210" s="921">
        <v>0</v>
      </c>
      <c r="BJ210" s="920">
        <v>0</v>
      </c>
      <c r="BK210" s="920">
        <v>0</v>
      </c>
      <c r="BL210" s="920">
        <v>1</v>
      </c>
      <c r="BM210" s="921">
        <v>0</v>
      </c>
      <c r="BN210" s="958">
        <v>0</v>
      </c>
      <c r="BO210" s="959">
        <v>18</v>
      </c>
      <c r="BP210">
        <f t="shared" ca="1" si="244"/>
        <v>173.25</v>
      </c>
      <c r="BQ210">
        <f t="shared" ca="1" si="245"/>
        <v>294.14</v>
      </c>
      <c r="BR210">
        <f t="shared" ca="1" si="246"/>
        <v>99.660000000000011</v>
      </c>
      <c r="BS210">
        <f t="shared" ca="1" si="247"/>
        <v>135.5</v>
      </c>
      <c r="BT210">
        <f t="shared" ca="1" si="248"/>
        <v>63.2</v>
      </c>
      <c r="BU210">
        <f t="shared" ca="1" si="249"/>
        <v>12</v>
      </c>
      <c r="BV210">
        <f t="shared" ca="1" si="250"/>
        <v>4.3</v>
      </c>
      <c r="BW210" s="1018">
        <v>0</v>
      </c>
      <c r="BX210">
        <f t="shared" ca="1" si="194"/>
        <v>30.215260232440635</v>
      </c>
      <c r="BY210">
        <f t="shared" ca="1" si="195"/>
        <v>208.61436950146629</v>
      </c>
      <c r="BZ210">
        <f t="shared" ca="1" si="256"/>
        <v>16.081067344345623</v>
      </c>
      <c r="CA210">
        <f t="shared" ca="1" si="257"/>
        <v>23.999999990399999</v>
      </c>
      <c r="CB210">
        <f t="shared" ca="1" si="196"/>
        <v>9.0267175572519083</v>
      </c>
      <c r="CC210" s="1018">
        <f t="shared" si="258"/>
        <v>0</v>
      </c>
      <c r="CD210" s="1018">
        <f t="shared" ca="1" si="251"/>
        <v>287.93741462590447</v>
      </c>
      <c r="CE210" s="1018">
        <f t="shared" ca="1" si="259"/>
        <v>183.89923712295646</v>
      </c>
      <c r="CF210">
        <f t="shared" ca="1" si="260"/>
        <v>14.155099552465828</v>
      </c>
      <c r="CG210">
        <f t="shared" ca="1" si="261"/>
        <v>23567.674550873508</v>
      </c>
    </row>
    <row r="211" spans="3:85" x14ac:dyDescent="0.25">
      <c r="D211" s="1"/>
      <c r="F211" s="1"/>
      <c r="G211" s="3"/>
      <c r="H211" s="6"/>
      <c r="I211" s="3"/>
      <c r="J211" s="6" t="s">
        <v>190</v>
      </c>
      <c r="K211" s="8"/>
      <c r="L211" s="6"/>
      <c r="M211" s="1"/>
      <c r="N211" s="1"/>
      <c r="O211" s="1"/>
      <c r="P211" s="1"/>
      <c r="Q211" s="1" t="s">
        <v>22</v>
      </c>
      <c r="R211" s="4"/>
      <c r="S211" s="1"/>
      <c r="T211" s="77"/>
      <c r="U211" s="294"/>
      <c r="X211" s="176">
        <f t="shared" si="252"/>
        <v>0</v>
      </c>
      <c r="Y211" s="34">
        <f>X211/Calculation_sheet!M$67</f>
        <v>0</v>
      </c>
      <c r="Z211" s="176">
        <f ca="1">IF(AN211&gt;0,Y211*Calculation_sheet!C$87,0)</f>
        <v>0</v>
      </c>
      <c r="AA211" s="176">
        <f t="shared" ca="1" si="253"/>
        <v>0</v>
      </c>
      <c r="AB211" s="176">
        <f ca="1">IF(AP211&gt;0,AA211*Calculation_sheet!C$94,0)</f>
        <v>0</v>
      </c>
      <c r="AC211" s="176">
        <f t="shared" ca="1" si="243"/>
        <v>0</v>
      </c>
      <c r="AD211" s="958">
        <f ca="1">AC211*Calculation_sheet!C$99</f>
        <v>0</v>
      </c>
      <c r="AE211" s="176">
        <f t="shared" ca="1" si="243"/>
        <v>0</v>
      </c>
      <c r="AF211" s="176">
        <f t="shared" ca="1" si="254"/>
        <v>0</v>
      </c>
      <c r="AG211" s="958">
        <f ca="1">AF211*User_sheet!B$77/100</f>
        <v>0</v>
      </c>
      <c r="AH211" s="313"/>
      <c r="AI211" s="908">
        <v>202</v>
      </c>
      <c r="AJ211" s="313"/>
      <c r="AK211" s="1020">
        <f t="shared" ca="1" si="255"/>
        <v>287.93741462590447</v>
      </c>
      <c r="AL211" s="954">
        <f ca="1">AK211/'202'!I$24</f>
        <v>0.92760353927355577</v>
      </c>
      <c r="AM211" s="954">
        <f ca="1">0.8*(AK211*30+'202'!D$17*0.34*30*1)</f>
        <v>10522.440351021709</v>
      </c>
      <c r="AN211" s="954">
        <f ca="1">IF(AM211&lt;User_sheet!B$50,Y211,0)</f>
        <v>0</v>
      </c>
      <c r="AO211" s="954">
        <f ca="1">20-(User_sheet!B$57/(AK211+'202'!D$17*1*0.34))</f>
        <v>6.9992135439649239</v>
      </c>
      <c r="AP211" s="954">
        <f ca="1">IF(AO211&lt;User_sheet!B$59,0,BC211*AA211)</f>
        <v>0</v>
      </c>
      <c r="AQ211" s="313"/>
      <c r="AR211" s="909">
        <v>0.32</v>
      </c>
      <c r="AS211" s="909">
        <v>2.1</v>
      </c>
      <c r="AT211" s="909">
        <v>0.89</v>
      </c>
      <c r="AU211" s="909">
        <v>2</v>
      </c>
      <c r="AV211" s="909">
        <v>3.3</v>
      </c>
      <c r="AW211" s="909">
        <v>14356</v>
      </c>
      <c r="AX211" s="909">
        <v>74715.401027665983</v>
      </c>
      <c r="AY211" s="909">
        <v>79015.992973719694</v>
      </c>
      <c r="AZ211" s="917">
        <v>0</v>
      </c>
      <c r="BA211" s="917">
        <v>0</v>
      </c>
      <c r="BB211" s="909">
        <v>0.6</v>
      </c>
      <c r="BC211" s="919">
        <v>0</v>
      </c>
      <c r="BD211" s="920">
        <v>1</v>
      </c>
      <c r="BE211" s="920">
        <v>0</v>
      </c>
      <c r="BF211" s="921">
        <v>0</v>
      </c>
      <c r="BG211" s="920">
        <v>0</v>
      </c>
      <c r="BH211" s="920">
        <v>1</v>
      </c>
      <c r="BI211" s="921">
        <v>0</v>
      </c>
      <c r="BJ211" s="920">
        <v>0</v>
      </c>
      <c r="BK211" s="920">
        <v>1</v>
      </c>
      <c r="BL211" s="920">
        <v>0</v>
      </c>
      <c r="BM211" s="921">
        <v>0</v>
      </c>
      <c r="BN211" s="958">
        <v>0</v>
      </c>
      <c r="BO211" s="959">
        <v>18</v>
      </c>
      <c r="BP211">
        <f t="shared" ca="1" si="244"/>
        <v>173.25</v>
      </c>
      <c r="BQ211">
        <f t="shared" ca="1" si="245"/>
        <v>294.14</v>
      </c>
      <c r="BR211">
        <f t="shared" ca="1" si="246"/>
        <v>99.660000000000011</v>
      </c>
      <c r="BS211">
        <f t="shared" ca="1" si="247"/>
        <v>135.5</v>
      </c>
      <c r="BT211">
        <f t="shared" ca="1" si="248"/>
        <v>63.2</v>
      </c>
      <c r="BU211">
        <f t="shared" ca="1" si="249"/>
        <v>12</v>
      </c>
      <c r="BV211">
        <f t="shared" ca="1" si="250"/>
        <v>4.3</v>
      </c>
      <c r="BW211" s="1018">
        <v>0</v>
      </c>
      <c r="BX211">
        <f t="shared" ca="1" si="194"/>
        <v>30.215260232440635</v>
      </c>
      <c r="BY211">
        <f t="shared" ca="1" si="195"/>
        <v>208.61436950146629</v>
      </c>
      <c r="BZ211">
        <f t="shared" ca="1" si="256"/>
        <v>16.081067344345623</v>
      </c>
      <c r="CA211">
        <f t="shared" ca="1" si="257"/>
        <v>23.999999990399999</v>
      </c>
      <c r="CB211">
        <f t="shared" ca="1" si="196"/>
        <v>9.0267175572519083</v>
      </c>
      <c r="CC211" s="1018">
        <f t="shared" si="258"/>
        <v>0</v>
      </c>
      <c r="CD211" s="1018">
        <f t="shared" ca="1" si="251"/>
        <v>287.93741462590447</v>
      </c>
      <c r="CE211" s="1018">
        <f t="shared" ca="1" si="259"/>
        <v>183.89923712295646</v>
      </c>
      <c r="CF211">
        <f t="shared" ca="1" si="260"/>
        <v>14.155099552465828</v>
      </c>
      <c r="CG211">
        <f t="shared" ca="1" si="261"/>
        <v>23567.674550873508</v>
      </c>
    </row>
    <row r="212" spans="3:85" x14ac:dyDescent="0.25">
      <c r="D212" s="1"/>
      <c r="F212" s="1"/>
      <c r="G212" s="3"/>
      <c r="H212" s="6"/>
      <c r="I212" s="3"/>
      <c r="J212" s="6"/>
      <c r="K212" s="8"/>
      <c r="L212" s="6"/>
      <c r="M212" s="1" t="s">
        <v>22</v>
      </c>
      <c r="N212" s="4"/>
      <c r="O212" s="1" t="s">
        <v>20</v>
      </c>
      <c r="P212" s="4"/>
      <c r="Q212" s="1" t="s">
        <v>7</v>
      </c>
      <c r="R212" s="4"/>
      <c r="S212" s="1"/>
      <c r="T212" s="77"/>
      <c r="U212" s="294"/>
      <c r="X212" s="176">
        <f t="shared" si="252"/>
        <v>0</v>
      </c>
      <c r="Y212" s="34">
        <f>X212/Calculation_sheet!M$67</f>
        <v>0</v>
      </c>
      <c r="Z212" s="176">
        <f ca="1">IF(AN212&gt;0,Y212*Calculation_sheet!C$87,0)</f>
        <v>0</v>
      </c>
      <c r="AA212" s="176">
        <f t="shared" ca="1" si="253"/>
        <v>0</v>
      </c>
      <c r="AB212" s="176">
        <f ca="1">IF(AP212&gt;0,AA212*Calculation_sheet!C$94,0)</f>
        <v>0</v>
      </c>
      <c r="AC212" s="176">
        <f t="shared" ca="1" si="243"/>
        <v>0</v>
      </c>
      <c r="AD212" s="958">
        <f ca="1">AC212*Calculation_sheet!C$99</f>
        <v>0</v>
      </c>
      <c r="AE212" s="176">
        <f t="shared" ca="1" si="243"/>
        <v>0</v>
      </c>
      <c r="AF212" s="176">
        <f t="shared" ca="1" si="254"/>
        <v>0</v>
      </c>
      <c r="AG212" s="958">
        <f ca="1">AF212*User_sheet!B$77/100</f>
        <v>0</v>
      </c>
      <c r="AH212" s="313"/>
      <c r="AI212" s="908">
        <v>202</v>
      </c>
      <c r="AJ212" s="313"/>
      <c r="AK212" s="1020">
        <f t="shared" ca="1" si="255"/>
        <v>287.93741462590447</v>
      </c>
      <c r="AL212" s="954">
        <f ca="1">AK212/'202'!I$24</f>
        <v>0.92760353927355577</v>
      </c>
      <c r="AM212" s="954">
        <f ca="1">0.8*(AK212*30+'202'!D$17*0.34*30*1)</f>
        <v>10522.440351021709</v>
      </c>
      <c r="AN212" s="954">
        <f ca="1">IF(AM212&lt;User_sheet!B$50,Y212,0)</f>
        <v>0</v>
      </c>
      <c r="AO212" s="954">
        <f ca="1">20-(User_sheet!B$57/(AK212+'202'!D$17*1*0.34))</f>
        <v>6.9992135439649239</v>
      </c>
      <c r="AP212" s="954">
        <f ca="1">IF(AO212&lt;User_sheet!B$59,0,BC212*AA212)</f>
        <v>0</v>
      </c>
      <c r="AQ212" s="313"/>
      <c r="AR212" s="909">
        <v>0.32</v>
      </c>
      <c r="AS212" s="909">
        <v>2.1</v>
      </c>
      <c r="AT212" s="909">
        <v>0.89</v>
      </c>
      <c r="AU212" s="909">
        <v>2</v>
      </c>
      <c r="AV212" s="909">
        <v>3.3</v>
      </c>
      <c r="AW212" s="909">
        <v>14356</v>
      </c>
      <c r="AX212" s="909">
        <v>74715.401027665983</v>
      </c>
      <c r="AY212" s="909">
        <v>79015.992973719694</v>
      </c>
      <c r="AZ212" s="917">
        <v>0</v>
      </c>
      <c r="BA212" s="917">
        <v>0</v>
      </c>
      <c r="BB212" s="909">
        <v>0.6</v>
      </c>
      <c r="BC212" s="919">
        <v>0</v>
      </c>
      <c r="BD212" s="920">
        <v>1</v>
      </c>
      <c r="BE212" s="920">
        <v>0</v>
      </c>
      <c r="BF212" s="921">
        <v>0</v>
      </c>
      <c r="BG212" s="920">
        <v>0</v>
      </c>
      <c r="BH212" s="920">
        <v>1</v>
      </c>
      <c r="BI212" s="921">
        <v>0</v>
      </c>
      <c r="BJ212" s="920">
        <v>0</v>
      </c>
      <c r="BK212" s="920">
        <v>0</v>
      </c>
      <c r="BL212" s="920">
        <v>1</v>
      </c>
      <c r="BM212" s="921">
        <v>0</v>
      </c>
      <c r="BN212" s="958">
        <v>0</v>
      </c>
      <c r="BO212" s="959">
        <v>18</v>
      </c>
      <c r="BP212">
        <f t="shared" ca="1" si="244"/>
        <v>173.25</v>
      </c>
      <c r="BQ212">
        <f t="shared" ca="1" si="245"/>
        <v>294.14</v>
      </c>
      <c r="BR212">
        <f t="shared" ca="1" si="246"/>
        <v>99.660000000000011</v>
      </c>
      <c r="BS212">
        <f t="shared" ca="1" si="247"/>
        <v>135.5</v>
      </c>
      <c r="BT212">
        <f t="shared" ca="1" si="248"/>
        <v>63.2</v>
      </c>
      <c r="BU212">
        <f t="shared" ca="1" si="249"/>
        <v>12</v>
      </c>
      <c r="BV212">
        <f t="shared" ca="1" si="250"/>
        <v>4.3</v>
      </c>
      <c r="BW212" s="1018">
        <v>0</v>
      </c>
      <c r="BX212">
        <f t="shared" ca="1" si="194"/>
        <v>30.215260232440635</v>
      </c>
      <c r="BY212">
        <f t="shared" ca="1" si="195"/>
        <v>208.61436950146629</v>
      </c>
      <c r="BZ212">
        <f t="shared" ca="1" si="256"/>
        <v>16.081067344345623</v>
      </c>
      <c r="CA212">
        <f t="shared" ca="1" si="257"/>
        <v>23.999999990399999</v>
      </c>
      <c r="CB212">
        <f t="shared" ca="1" si="196"/>
        <v>9.0267175572519083</v>
      </c>
      <c r="CC212" s="1018">
        <f t="shared" si="258"/>
        <v>0</v>
      </c>
      <c r="CD212" s="1018">
        <f t="shared" ca="1" si="251"/>
        <v>287.93741462590447</v>
      </c>
      <c r="CE212" s="1018">
        <f t="shared" ca="1" si="259"/>
        <v>183.89923712295646</v>
      </c>
      <c r="CF212">
        <f t="shared" ca="1" si="260"/>
        <v>14.155099552465828</v>
      </c>
      <c r="CG212">
        <f t="shared" ca="1" si="261"/>
        <v>23567.674550873508</v>
      </c>
    </row>
    <row r="213" spans="3:85" x14ac:dyDescent="0.25">
      <c r="D213" s="1"/>
      <c r="F213" s="1"/>
      <c r="G213" s="3"/>
      <c r="H213" s="6"/>
      <c r="I213" s="3"/>
      <c r="J213" s="6"/>
      <c r="K213" s="8"/>
      <c r="L213" s="6"/>
      <c r="M213" s="1" t="s">
        <v>7</v>
      </c>
      <c r="N213" s="4"/>
      <c r="O213" s="1" t="s">
        <v>23</v>
      </c>
      <c r="P213" s="4"/>
      <c r="Q213" s="1" t="s">
        <v>7</v>
      </c>
      <c r="R213" s="4"/>
      <c r="S213" s="1"/>
      <c r="T213" s="77"/>
      <c r="U213" s="294"/>
      <c r="X213" s="176">
        <f t="shared" si="252"/>
        <v>0</v>
      </c>
      <c r="Y213" s="34">
        <f>X213/Calculation_sheet!M$67</f>
        <v>0</v>
      </c>
      <c r="Z213" s="176">
        <f ca="1">IF(AN213&gt;0,Y213*Calculation_sheet!C$87,0)</f>
        <v>0</v>
      </c>
      <c r="AA213" s="176">
        <f t="shared" ca="1" si="253"/>
        <v>0</v>
      </c>
      <c r="AB213" s="176">
        <f ca="1">IF(AP213&gt;0,AA213*Calculation_sheet!C$94,0)</f>
        <v>0</v>
      </c>
      <c r="AC213" s="176">
        <f t="shared" ca="1" si="243"/>
        <v>0</v>
      </c>
      <c r="AD213" s="958">
        <f ca="1">AC213*Calculation_sheet!C$99</f>
        <v>0</v>
      </c>
      <c r="AE213" s="176">
        <f t="shared" ca="1" si="243"/>
        <v>0</v>
      </c>
      <c r="AF213" s="176">
        <f t="shared" ca="1" si="254"/>
        <v>0</v>
      </c>
      <c r="AG213" s="958">
        <f ca="1">AF213*User_sheet!B$77/100</f>
        <v>0</v>
      </c>
      <c r="AH213" s="313"/>
      <c r="AI213" s="908">
        <v>202</v>
      </c>
      <c r="AJ213" s="313"/>
      <c r="AK213" s="1020">
        <f t="shared" ca="1" si="255"/>
        <v>287.93741462590447</v>
      </c>
      <c r="AL213" s="954">
        <f ca="1">AK213/'202'!I$24</f>
        <v>0.92760353927355577</v>
      </c>
      <c r="AM213" s="954">
        <f ca="1">0.8*(AK213*30+'202'!D$17*0.34*30*1)</f>
        <v>10522.440351021709</v>
      </c>
      <c r="AN213" s="954">
        <f ca="1">IF(AM213&lt;User_sheet!B$50,Y213,0)</f>
        <v>0</v>
      </c>
      <c r="AO213" s="954">
        <f ca="1">20-(User_sheet!B$57/(AK213+'202'!D$17*1*0.34))</f>
        <v>6.9992135439649239</v>
      </c>
      <c r="AP213" s="954">
        <f ca="1">IF(AO213&lt;User_sheet!B$59,0,BC213*AA213)</f>
        <v>0</v>
      </c>
      <c r="AQ213" s="313"/>
      <c r="AR213" s="909">
        <v>0.32</v>
      </c>
      <c r="AS213" s="909">
        <v>2.1</v>
      </c>
      <c r="AT213" s="909">
        <v>0.89</v>
      </c>
      <c r="AU213" s="909">
        <v>2</v>
      </c>
      <c r="AV213" s="909">
        <v>3.3</v>
      </c>
      <c r="AW213" s="909">
        <v>14356</v>
      </c>
      <c r="AX213" s="909">
        <v>74715.401027665983</v>
      </c>
      <c r="AY213" s="909">
        <v>79015.992973719694</v>
      </c>
      <c r="AZ213" s="917">
        <v>0</v>
      </c>
      <c r="BA213" s="917">
        <v>0</v>
      </c>
      <c r="BB213" s="909">
        <v>0.6</v>
      </c>
      <c r="BC213" s="919">
        <v>0</v>
      </c>
      <c r="BD213" s="920">
        <v>0</v>
      </c>
      <c r="BE213" s="920">
        <v>1</v>
      </c>
      <c r="BF213" s="921">
        <v>0</v>
      </c>
      <c r="BG213" s="920">
        <v>0</v>
      </c>
      <c r="BH213" s="920">
        <v>0</v>
      </c>
      <c r="BI213" s="921">
        <v>1</v>
      </c>
      <c r="BJ213" s="920">
        <v>0</v>
      </c>
      <c r="BK213" s="920">
        <v>0</v>
      </c>
      <c r="BL213" s="920">
        <v>1</v>
      </c>
      <c r="BM213" s="921">
        <v>0</v>
      </c>
      <c r="BN213" s="958">
        <v>0</v>
      </c>
      <c r="BO213" s="959">
        <v>18</v>
      </c>
      <c r="BP213">
        <f t="shared" ca="1" si="244"/>
        <v>173.25</v>
      </c>
      <c r="BQ213">
        <f t="shared" ca="1" si="245"/>
        <v>294.14</v>
      </c>
      <c r="BR213">
        <f t="shared" ca="1" si="246"/>
        <v>99.660000000000011</v>
      </c>
      <c r="BS213">
        <f t="shared" ca="1" si="247"/>
        <v>135.5</v>
      </c>
      <c r="BT213">
        <f t="shared" ca="1" si="248"/>
        <v>63.2</v>
      </c>
      <c r="BU213">
        <f t="shared" ca="1" si="249"/>
        <v>12</v>
      </c>
      <c r="BV213">
        <f t="shared" ca="1" si="250"/>
        <v>4.3</v>
      </c>
      <c r="BW213" s="1018">
        <v>0</v>
      </c>
      <c r="BX213">
        <f t="shared" ca="1" si="194"/>
        <v>30.215260232440635</v>
      </c>
      <c r="BY213">
        <f t="shared" ca="1" si="195"/>
        <v>208.61436950146629</v>
      </c>
      <c r="BZ213">
        <f t="shared" ca="1" si="256"/>
        <v>16.081067344345623</v>
      </c>
      <c r="CA213">
        <f t="shared" ca="1" si="257"/>
        <v>23.999999990399999</v>
      </c>
      <c r="CB213">
        <f t="shared" ca="1" si="196"/>
        <v>9.0267175572519083</v>
      </c>
      <c r="CC213" s="1018">
        <f t="shared" si="258"/>
        <v>0</v>
      </c>
      <c r="CD213" s="1018">
        <f t="shared" ca="1" si="251"/>
        <v>287.93741462590447</v>
      </c>
      <c r="CE213" s="1018">
        <f t="shared" ca="1" si="259"/>
        <v>183.89923712295646</v>
      </c>
      <c r="CF213">
        <f t="shared" ca="1" si="260"/>
        <v>14.155099552465828</v>
      </c>
      <c r="CG213">
        <f t="shared" ca="1" si="261"/>
        <v>23567.674550873508</v>
      </c>
    </row>
    <row r="214" spans="3:85" x14ac:dyDescent="0.25">
      <c r="D214" s="1"/>
      <c r="F214" s="1"/>
      <c r="G214" s="3"/>
      <c r="H214" s="6"/>
      <c r="I214" s="3"/>
      <c r="J214" s="6"/>
      <c r="K214" s="8"/>
      <c r="L214" s="6"/>
      <c r="M214" s="1"/>
      <c r="N214" s="1"/>
      <c r="O214" s="1" t="s">
        <v>18</v>
      </c>
      <c r="P214" s="4"/>
      <c r="Q214" s="1" t="s">
        <v>17</v>
      </c>
      <c r="R214" s="4"/>
      <c r="S214" s="1"/>
      <c r="T214" s="77"/>
      <c r="U214" s="294"/>
      <c r="X214" s="176">
        <f t="shared" si="252"/>
        <v>0</v>
      </c>
      <c r="Y214" s="34">
        <f>X214/Calculation_sheet!M$67</f>
        <v>0</v>
      </c>
      <c r="Z214" s="176">
        <f ca="1">IF(AN214&gt;0,Y214*Calculation_sheet!C$87,0)</f>
        <v>0</v>
      </c>
      <c r="AA214" s="176">
        <f t="shared" ca="1" si="253"/>
        <v>0</v>
      </c>
      <c r="AB214" s="176">
        <f ca="1">IF(AP214&gt;0,AA214*Calculation_sheet!C$94,0)</f>
        <v>0</v>
      </c>
      <c r="AC214" s="176">
        <f t="shared" ca="1" si="243"/>
        <v>0</v>
      </c>
      <c r="AD214" s="958">
        <f ca="1">AC214*Calculation_sheet!C$99</f>
        <v>0</v>
      </c>
      <c r="AE214" s="176">
        <f t="shared" ca="1" si="243"/>
        <v>0</v>
      </c>
      <c r="AF214" s="176">
        <f t="shared" ca="1" si="254"/>
        <v>0</v>
      </c>
      <c r="AG214" s="958">
        <f ca="1">AF214*User_sheet!B$77/100</f>
        <v>0</v>
      </c>
      <c r="AH214" s="313"/>
      <c r="AI214" s="908">
        <v>202</v>
      </c>
      <c r="AJ214" s="313"/>
      <c r="AK214" s="1020">
        <f t="shared" ca="1" si="255"/>
        <v>287.93741462590447</v>
      </c>
      <c r="AL214" s="954">
        <f ca="1">AK214/'202'!I$24</f>
        <v>0.92760353927355577</v>
      </c>
      <c r="AM214" s="954">
        <f ca="1">0.8*(AK214*30+'202'!D$17*0.34*30*1)</f>
        <v>10522.440351021709</v>
      </c>
      <c r="AN214" s="954">
        <f ca="1">IF(AM214&lt;User_sheet!B$50,Y214,0)</f>
        <v>0</v>
      </c>
      <c r="AO214" s="954">
        <f ca="1">20-(User_sheet!B$57/(AK214+'202'!D$17*1*0.34))</f>
        <v>6.9992135439649239</v>
      </c>
      <c r="AP214" s="954">
        <f ca="1">IF(AO214&lt;User_sheet!B$59,0,BC214*AA214)</f>
        <v>0</v>
      </c>
      <c r="AQ214" s="313"/>
      <c r="AR214" s="909">
        <v>0.32</v>
      </c>
      <c r="AS214" s="909">
        <v>2.1</v>
      </c>
      <c r="AT214" s="909">
        <v>0.89</v>
      </c>
      <c r="AU214" s="909">
        <v>2</v>
      </c>
      <c r="AV214" s="909">
        <v>3.3</v>
      </c>
      <c r="AW214" s="909">
        <v>14356</v>
      </c>
      <c r="AX214" s="909">
        <v>74715.401027665983</v>
      </c>
      <c r="AY214" s="909">
        <v>79015.992973719694</v>
      </c>
      <c r="AZ214" s="917">
        <v>0</v>
      </c>
      <c r="BA214" s="917">
        <v>0</v>
      </c>
      <c r="BB214" s="909">
        <v>0.6</v>
      </c>
      <c r="BC214" s="919">
        <v>0</v>
      </c>
      <c r="BD214" s="920">
        <v>0</v>
      </c>
      <c r="BE214" s="920">
        <v>0</v>
      </c>
      <c r="BF214" s="921">
        <v>1</v>
      </c>
      <c r="BG214" s="920">
        <v>1</v>
      </c>
      <c r="BH214" s="920">
        <v>0</v>
      </c>
      <c r="BI214" s="921">
        <v>0</v>
      </c>
      <c r="BJ214" s="920">
        <v>0</v>
      </c>
      <c r="BK214" s="920">
        <v>0</v>
      </c>
      <c r="BL214" s="920">
        <v>0</v>
      </c>
      <c r="BM214" s="921">
        <v>1</v>
      </c>
      <c r="BN214" s="958">
        <v>0</v>
      </c>
      <c r="BO214" s="959">
        <v>18</v>
      </c>
      <c r="BP214">
        <f t="shared" ca="1" si="244"/>
        <v>173.25</v>
      </c>
      <c r="BQ214">
        <f t="shared" ca="1" si="245"/>
        <v>294.14</v>
      </c>
      <c r="BR214">
        <f t="shared" ca="1" si="246"/>
        <v>99.660000000000011</v>
      </c>
      <c r="BS214">
        <f t="shared" ca="1" si="247"/>
        <v>135.5</v>
      </c>
      <c r="BT214">
        <f t="shared" ca="1" si="248"/>
        <v>63.2</v>
      </c>
      <c r="BU214">
        <f t="shared" ca="1" si="249"/>
        <v>12</v>
      </c>
      <c r="BV214">
        <f t="shared" ca="1" si="250"/>
        <v>4.3</v>
      </c>
      <c r="BW214" s="1018">
        <v>0</v>
      </c>
      <c r="BX214">
        <f t="shared" ca="1" si="194"/>
        <v>30.215260232440635</v>
      </c>
      <c r="BY214">
        <f t="shared" ca="1" si="195"/>
        <v>208.61436950146629</v>
      </c>
      <c r="BZ214">
        <f t="shared" ca="1" si="256"/>
        <v>16.081067344345623</v>
      </c>
      <c r="CA214">
        <f t="shared" ca="1" si="257"/>
        <v>23.999999990399999</v>
      </c>
      <c r="CB214">
        <f t="shared" ca="1" si="196"/>
        <v>9.0267175572519083</v>
      </c>
      <c r="CC214" s="1018">
        <f t="shared" si="258"/>
        <v>0</v>
      </c>
      <c r="CD214" s="1018">
        <f t="shared" ca="1" si="251"/>
        <v>287.93741462590447</v>
      </c>
      <c r="CE214" s="1018">
        <f t="shared" ca="1" si="259"/>
        <v>183.89923712295646</v>
      </c>
      <c r="CF214">
        <f t="shared" ca="1" si="260"/>
        <v>14.155099552465828</v>
      </c>
      <c r="CG214">
        <f t="shared" ca="1" si="261"/>
        <v>23567.674550873508</v>
      </c>
    </row>
    <row r="215" spans="3:85" x14ac:dyDescent="0.25">
      <c r="D215" s="1"/>
      <c r="F215" s="1"/>
      <c r="G215" s="3"/>
      <c r="H215" s="6"/>
      <c r="I215" s="3"/>
      <c r="J215" s="6"/>
      <c r="K215" s="8"/>
      <c r="L215" s="6"/>
      <c r="M215" s="1" t="s">
        <v>17</v>
      </c>
      <c r="N215" s="4"/>
      <c r="O215" s="1" t="s">
        <v>19</v>
      </c>
      <c r="P215" s="4"/>
      <c r="Q215" s="1" t="s">
        <v>17</v>
      </c>
      <c r="R215" s="4"/>
      <c r="S215" s="1"/>
      <c r="T215" s="77"/>
      <c r="U215" s="294"/>
      <c r="X215" s="176">
        <f t="shared" si="252"/>
        <v>0</v>
      </c>
      <c r="Y215" s="34">
        <f>X215/Calculation_sheet!M$67</f>
        <v>0</v>
      </c>
      <c r="Z215" s="176">
        <f ca="1">IF(AN215&gt;0,Y215*Calculation_sheet!C$87,0)</f>
        <v>0</v>
      </c>
      <c r="AA215" s="176">
        <f t="shared" ca="1" si="253"/>
        <v>0</v>
      </c>
      <c r="AB215" s="176">
        <f ca="1">IF(AP215&gt;0,AA215*Calculation_sheet!C$94,0)</f>
        <v>0</v>
      </c>
      <c r="AC215" s="176">
        <f t="shared" ca="1" si="243"/>
        <v>0</v>
      </c>
      <c r="AD215" s="958">
        <f ca="1">AC215*Calculation_sheet!C$99</f>
        <v>0</v>
      </c>
      <c r="AE215" s="176">
        <f t="shared" ca="1" si="243"/>
        <v>0</v>
      </c>
      <c r="AF215" s="176">
        <f t="shared" ca="1" si="254"/>
        <v>0</v>
      </c>
      <c r="AG215" s="958">
        <f ca="1">AF215*User_sheet!B$77/100</f>
        <v>0</v>
      </c>
      <c r="AH215" s="313"/>
      <c r="AI215" s="908">
        <v>202</v>
      </c>
      <c r="AJ215" s="313"/>
      <c r="AK215" s="1020">
        <f t="shared" ca="1" si="255"/>
        <v>287.93741462590447</v>
      </c>
      <c r="AL215" s="954">
        <f ca="1">AK215/'202'!I$24</f>
        <v>0.92760353927355577</v>
      </c>
      <c r="AM215" s="954">
        <f ca="1">0.8*(AK215*30+'202'!D$17*0.34*30*1)</f>
        <v>10522.440351021709</v>
      </c>
      <c r="AN215" s="954">
        <f ca="1">IF(AM215&lt;User_sheet!B$50,Y215,0)</f>
        <v>0</v>
      </c>
      <c r="AO215" s="954">
        <f ca="1">20-(User_sheet!B$57/(AK215+'202'!D$17*1*0.34))</f>
        <v>6.9992135439649239</v>
      </c>
      <c r="AP215" s="954">
        <f ca="1">IF(AO215&lt;User_sheet!B$59,0,BC215*AA215)</f>
        <v>0</v>
      </c>
      <c r="AQ215" s="313"/>
      <c r="AR215" s="909">
        <v>0.32</v>
      </c>
      <c r="AS215" s="909">
        <v>2.1</v>
      </c>
      <c r="AT215" s="909">
        <v>0.89</v>
      </c>
      <c r="AU215" s="909">
        <v>2</v>
      </c>
      <c r="AV215" s="909">
        <v>3.3</v>
      </c>
      <c r="AW215" s="909">
        <v>14356</v>
      </c>
      <c r="AX215" s="909">
        <v>74715.401027665983</v>
      </c>
      <c r="AY215" s="909">
        <v>79015.992973719694</v>
      </c>
      <c r="AZ215" s="917">
        <v>0</v>
      </c>
      <c r="BA215" s="917">
        <v>0</v>
      </c>
      <c r="BB215" s="909">
        <v>0.6</v>
      </c>
      <c r="BC215" s="919">
        <v>0</v>
      </c>
      <c r="BD215" s="920">
        <v>0</v>
      </c>
      <c r="BE215" s="920">
        <v>0</v>
      </c>
      <c r="BF215" s="921">
        <v>1</v>
      </c>
      <c r="BG215" s="920">
        <v>0</v>
      </c>
      <c r="BH215" s="920">
        <v>1</v>
      </c>
      <c r="BI215" s="921">
        <v>0</v>
      </c>
      <c r="BJ215" s="920">
        <v>0</v>
      </c>
      <c r="BK215" s="920">
        <v>0</v>
      </c>
      <c r="BL215" s="920">
        <v>0</v>
      </c>
      <c r="BM215" s="921">
        <v>1</v>
      </c>
      <c r="BN215" s="958">
        <v>0</v>
      </c>
      <c r="BO215" s="959">
        <v>18</v>
      </c>
      <c r="BP215">
        <f t="shared" ca="1" si="244"/>
        <v>173.25</v>
      </c>
      <c r="BQ215">
        <f t="shared" ca="1" si="245"/>
        <v>294.14</v>
      </c>
      <c r="BR215">
        <f t="shared" ca="1" si="246"/>
        <v>99.660000000000011</v>
      </c>
      <c r="BS215">
        <f t="shared" ca="1" si="247"/>
        <v>135.5</v>
      </c>
      <c r="BT215">
        <f t="shared" ca="1" si="248"/>
        <v>63.2</v>
      </c>
      <c r="BU215">
        <f t="shared" ca="1" si="249"/>
        <v>12</v>
      </c>
      <c r="BV215">
        <f t="shared" ca="1" si="250"/>
        <v>4.3</v>
      </c>
      <c r="BW215" s="1018">
        <v>0</v>
      </c>
      <c r="BX215">
        <f t="shared" ca="1" si="194"/>
        <v>30.215260232440635</v>
      </c>
      <c r="BY215">
        <f t="shared" ca="1" si="195"/>
        <v>208.61436950146629</v>
      </c>
      <c r="BZ215">
        <f t="shared" ca="1" si="256"/>
        <v>16.081067344345623</v>
      </c>
      <c r="CA215">
        <f t="shared" ca="1" si="257"/>
        <v>23.999999990399999</v>
      </c>
      <c r="CB215">
        <f t="shared" ca="1" si="196"/>
        <v>9.0267175572519083</v>
      </c>
      <c r="CC215" s="1018">
        <f t="shared" si="258"/>
        <v>0</v>
      </c>
      <c r="CD215" s="1018">
        <f t="shared" ca="1" si="251"/>
        <v>287.93741462590447</v>
      </c>
      <c r="CE215" s="1018">
        <f t="shared" ca="1" si="259"/>
        <v>183.89923712295646</v>
      </c>
      <c r="CF215">
        <f t="shared" ca="1" si="260"/>
        <v>14.155099552465828</v>
      </c>
      <c r="CG215">
        <f t="shared" ca="1" si="261"/>
        <v>23567.674550873508</v>
      </c>
    </row>
    <row r="216" spans="3:85" s="14" customFormat="1" x14ac:dyDescent="0.25">
      <c r="D216" s="15"/>
      <c r="F216" s="15"/>
      <c r="H216" s="15"/>
      <c r="J216" s="15"/>
      <c r="K216" s="16"/>
      <c r="L216" s="15"/>
      <c r="M216" s="15"/>
      <c r="N216" s="15"/>
      <c r="O216" s="15"/>
      <c r="P216" s="15"/>
      <c r="Q216" s="15"/>
      <c r="R216" s="15"/>
      <c r="S216" s="15"/>
      <c r="T216" s="80"/>
      <c r="V216" s="292"/>
      <c r="W216" s="292"/>
      <c r="X216" s="292"/>
      <c r="Y216" s="277"/>
      <c r="Z216" s="292"/>
      <c r="AA216" s="292"/>
      <c r="AB216" s="292"/>
      <c r="AC216" s="292"/>
      <c r="AD216" s="277"/>
      <c r="AE216" s="292"/>
      <c r="AF216" s="292"/>
      <c r="AG216" s="277"/>
      <c r="AH216" s="313"/>
      <c r="AI216" s="913"/>
      <c r="AJ216" s="313"/>
      <c r="AK216" s="1020">
        <f t="shared" si="255"/>
        <v>0</v>
      </c>
      <c r="AL216" s="955"/>
      <c r="AM216" s="955"/>
      <c r="AN216" s="941"/>
      <c r="AO216" s="941"/>
      <c r="AP216" s="941"/>
      <c r="AQ216" s="313"/>
      <c r="AR216" s="918"/>
      <c r="AS216" s="918"/>
      <c r="AT216" s="918"/>
      <c r="AU216" s="918"/>
      <c r="AV216" s="918"/>
      <c r="AW216" s="918"/>
      <c r="AX216" s="918"/>
      <c r="AY216" s="918"/>
      <c r="AZ216" s="918"/>
      <c r="BA216" s="918"/>
      <c r="BB216" s="918"/>
      <c r="BC216" s="45"/>
      <c r="BD216" s="277"/>
      <c r="BE216" s="277"/>
      <c r="BF216" s="49"/>
      <c r="BG216" s="918"/>
      <c r="BH216" s="918"/>
      <c r="BI216" s="49"/>
      <c r="BJ216" s="918"/>
      <c r="BK216" s="918"/>
      <c r="BL216" s="918"/>
      <c r="BM216" s="49"/>
      <c r="BN216" s="277"/>
      <c r="BO216" s="49"/>
      <c r="BW216" s="928"/>
      <c r="CC216" s="928"/>
      <c r="CD216" s="928"/>
      <c r="CE216" s="928"/>
    </row>
    <row r="217" spans="3:85" x14ac:dyDescent="0.25">
      <c r="C217" s="535"/>
      <c r="D217" s="536"/>
      <c r="E217" s="535"/>
      <c r="F217" s="536"/>
      <c r="G217" s="535"/>
      <c r="H217" s="541"/>
      <c r="I217" s="537"/>
      <c r="J217" s="541"/>
      <c r="K217" s="542"/>
      <c r="L217" s="541"/>
      <c r="M217" s="536"/>
      <c r="N217" s="536"/>
      <c r="O217" s="536"/>
      <c r="P217" s="536"/>
      <c r="Q217" s="536" t="s">
        <v>16</v>
      </c>
      <c r="R217" s="538">
        <v>0.73860000000000003</v>
      </c>
      <c r="S217" s="536"/>
      <c r="T217" s="543">
        <v>3.2178180151741791E-3</v>
      </c>
      <c r="U217" s="535"/>
      <c r="V217" s="176">
        <f t="shared" si="172"/>
        <v>3.2178180151741791E-3</v>
      </c>
      <c r="W217" s="176">
        <f>V217-V217*Calculation_sheet!J$67</f>
        <v>3.2178180151741791E-3</v>
      </c>
      <c r="X217" s="176">
        <f>W217-W217*Calculation_sheet!J$77</f>
        <v>3.2178180151741791E-3</v>
      </c>
      <c r="Y217" s="34">
        <f>X217/Calculation_sheet!M$67</f>
        <v>3.2178838080606626E-3</v>
      </c>
      <c r="Z217" s="176">
        <f ca="1">IF(AN217&gt;0,Y217*Calculation_sheet!C$87,0)</f>
        <v>0</v>
      </c>
      <c r="AA217" s="176">
        <f ca="1">Y217-Z217</f>
        <v>3.2178838080606626E-3</v>
      </c>
      <c r="AB217" s="176">
        <f ca="1">IF(AP217&gt;0,AA217*Calculation_sheet!C$94,0)</f>
        <v>0</v>
      </c>
      <c r="AC217" s="176">
        <f t="shared" ref="AC217:AE227" ca="1" si="262">AA217-AB217</f>
        <v>3.2178838080606626E-3</v>
      </c>
      <c r="AD217" s="958">
        <f ca="1">AC217*Calculation_sheet!C$99</f>
        <v>1.9307302848363974E-3</v>
      </c>
      <c r="AE217" s="176">
        <f t="shared" ca="1" si="262"/>
        <v>1.2871535232242652E-3</v>
      </c>
      <c r="AF217" s="176">
        <f ca="1">Y217-AB217</f>
        <v>3.2178838080606626E-3</v>
      </c>
      <c r="AG217" s="958">
        <f ca="1">AF217*User_sheet!B$77/100</f>
        <v>0</v>
      </c>
      <c r="AH217" s="313"/>
      <c r="AI217" s="908">
        <v>202</v>
      </c>
      <c r="AJ217" s="313"/>
      <c r="AK217" s="1020">
        <f t="shared" ca="1" si="255"/>
        <v>648.87082514022143</v>
      </c>
      <c r="AL217" s="954">
        <f ca="1">AK217/'202'!I$24</f>
        <v>2.0903670150453317</v>
      </c>
      <c r="AM217" s="954">
        <f ca="1">0.8*(AK217*30+'202'!D$17*0.34*30*1)</f>
        <v>19184.842203365315</v>
      </c>
      <c r="AN217" s="954">
        <f ca="1">IF(AM217&lt;User_sheet!B$50,Y217,0)</f>
        <v>0</v>
      </c>
      <c r="AO217" s="954">
        <f ca="1">20-(User_sheet!B$57/(AK217+'202'!D$17*1*0.34))</f>
        <v>12.869370592164518</v>
      </c>
      <c r="AP217" s="954">
        <f ca="1">IF(AO217&lt;User_sheet!B$59,0,BC217*AA217)</f>
        <v>3.2178838080606626E-3</v>
      </c>
      <c r="AQ217" s="313"/>
      <c r="AR217" s="909">
        <v>7.7</v>
      </c>
      <c r="AS217" s="909">
        <v>2.1</v>
      </c>
      <c r="AT217" s="909">
        <v>7.9</v>
      </c>
      <c r="AU217" s="909">
        <v>2.75</v>
      </c>
      <c r="AV217" s="909">
        <v>3.3</v>
      </c>
      <c r="AW217" s="909">
        <v>11357.186356387729</v>
      </c>
      <c r="AX217" s="909">
        <v>74715.401027665983</v>
      </c>
      <c r="AY217" s="909">
        <v>67352.647733737584</v>
      </c>
      <c r="AZ217" s="909">
        <v>0</v>
      </c>
      <c r="BA217" s="909">
        <v>0</v>
      </c>
      <c r="BB217" s="909">
        <v>0.6</v>
      </c>
      <c r="BC217" s="919">
        <v>1</v>
      </c>
      <c r="BD217" s="920">
        <v>0</v>
      </c>
      <c r="BE217" s="920">
        <v>0</v>
      </c>
      <c r="BF217" s="921">
        <v>0</v>
      </c>
      <c r="BG217" s="909">
        <v>1</v>
      </c>
      <c r="BH217" s="909">
        <v>0</v>
      </c>
      <c r="BI217" s="921">
        <v>0</v>
      </c>
      <c r="BJ217" s="909">
        <v>1</v>
      </c>
      <c r="BK217" s="909">
        <v>0</v>
      </c>
      <c r="BL217" s="909">
        <v>0</v>
      </c>
      <c r="BM217" s="921">
        <v>0</v>
      </c>
      <c r="BN217" s="958">
        <v>0</v>
      </c>
      <c r="BO217" s="959">
        <v>18</v>
      </c>
      <c r="BP217">
        <f t="shared" ref="BP217:BP227" ca="1" si="263">INDIRECT("'"&amp;AI217&amp;"'!"&amp;"B2")</f>
        <v>173.25</v>
      </c>
      <c r="BQ217">
        <f t="shared" ref="BQ217:BQ227" ca="1" si="264">INDIRECT("'"&amp;AI217&amp;"'!"&amp;"C12")+INDIRECT("'"&amp;AI217&amp;"'!"&amp;"C13")+INDIRECT("'"&amp;AI217&amp;"'!"&amp;"C14")+INDIRECT("'"&amp;AI217&amp;"'!"&amp;"C15")+INDIRECT("'"&amp;AI217&amp;"'!"&amp;"C17")</f>
        <v>294.14</v>
      </c>
      <c r="BR217">
        <f t="shared" ref="BR217:BR227" ca="1" si="265">INDIRECT("'"&amp;AI217&amp;"'!"&amp;"G5")</f>
        <v>99.660000000000011</v>
      </c>
      <c r="BS217">
        <f t="shared" ref="BS217:BS227" ca="1" si="266">INDIRECT("'"&amp;AI217&amp;"'!"&amp;"G4")</f>
        <v>135.5</v>
      </c>
      <c r="BT217">
        <f t="shared" ref="BT217:BT227" ca="1" si="267">INDIRECT("'"&amp;AI217&amp;"'!"&amp;"G6")</f>
        <v>63.2</v>
      </c>
      <c r="BU217">
        <f t="shared" ref="BU217:BU227" ca="1" si="268">INDIRECT("'"&amp;AI217&amp;"'!"&amp;"G2")</f>
        <v>12</v>
      </c>
      <c r="BV217">
        <f t="shared" ref="BV217:BV227" ca="1" si="269">INDIRECT("'"&amp;AI217&amp;"'!"&amp;"G3")</f>
        <v>4.3</v>
      </c>
      <c r="BW217" s="1018">
        <v>0</v>
      </c>
      <c r="BX217">
        <f t="shared" ca="1" si="194"/>
        <v>328.69017704169045</v>
      </c>
      <c r="BY217">
        <f t="shared" ca="1" si="195"/>
        <v>208.61436950146629</v>
      </c>
      <c r="BZ217">
        <f t="shared" ca="1" si="256"/>
        <v>69.539561057962871</v>
      </c>
      <c r="CA217">
        <f t="shared" ca="1" si="257"/>
        <v>32.999999981849996</v>
      </c>
      <c r="CB217">
        <f t="shared" ca="1" si="196"/>
        <v>9.0267175572519083</v>
      </c>
      <c r="CC217" s="1018">
        <f t="shared" si="258"/>
        <v>0</v>
      </c>
      <c r="CD217" s="1018">
        <f t="shared" ref="CD217:CD227" ca="1" si="270">SUM(BX217:CC217)+(BR217+BS217+BT217+BU217+BV217)*BN217</f>
        <v>648.87082514022143</v>
      </c>
      <c r="CE217" s="1018">
        <f ca="1">0.34*BO217*(1/25)^0.66*(BR217+BS217+BU217+BV217)</f>
        <v>183.89923712295646</v>
      </c>
      <c r="CF217">
        <f t="shared" ca="1" si="260"/>
        <v>24.983101867895336</v>
      </c>
      <c r="CG217">
        <f t="shared" ca="1" si="261"/>
        <v>41595.865285971013</v>
      </c>
    </row>
    <row r="218" spans="3:85" x14ac:dyDescent="0.25">
      <c r="C218" s="535"/>
      <c r="D218" s="536"/>
      <c r="E218" s="535"/>
      <c r="F218" s="536"/>
      <c r="G218" s="535"/>
      <c r="H218" s="541"/>
      <c r="I218" s="537"/>
      <c r="J218" s="541"/>
      <c r="K218" s="542"/>
      <c r="L218" s="541"/>
      <c r="M218" s="536"/>
      <c r="N218" s="536"/>
      <c r="O218" s="536" t="s">
        <v>18</v>
      </c>
      <c r="P218" s="538">
        <v>0.62953995200000001</v>
      </c>
      <c r="Q218" s="536" t="s">
        <v>7</v>
      </c>
      <c r="R218" s="538">
        <v>0.26140000000000002</v>
      </c>
      <c r="S218" s="536"/>
      <c r="T218" s="543">
        <v>1.1388270094320749E-3</v>
      </c>
      <c r="U218" s="535"/>
      <c r="V218" s="176">
        <f t="shared" si="172"/>
        <v>1.1388270094320749E-3</v>
      </c>
      <c r="W218" s="176">
        <f>V218-V218*Calculation_sheet!J$67</f>
        <v>1.1388270094320749E-3</v>
      </c>
      <c r="X218" s="176">
        <f>W218-W218*Calculation_sheet!J$77</f>
        <v>1.1388270094320749E-3</v>
      </c>
      <c r="Y218" s="34">
        <f>X218/Calculation_sheet!M$67</f>
        <v>1.1388502943772778E-3</v>
      </c>
      <c r="Z218" s="176">
        <f ca="1">IF(AN218&gt;0,Y218*Calculation_sheet!C$87,0)</f>
        <v>0</v>
      </c>
      <c r="AA218" s="176">
        <f t="shared" ref="AA218:AA227" ca="1" si="271">Y218-Z218</f>
        <v>1.1388502943772778E-3</v>
      </c>
      <c r="AB218" s="176">
        <f ca="1">IF(AP218&gt;0,AA218*Calculation_sheet!C$94,0)</f>
        <v>0</v>
      </c>
      <c r="AC218" s="176">
        <f t="shared" ca="1" si="262"/>
        <v>1.1388502943772778E-3</v>
      </c>
      <c r="AD218" s="958">
        <f ca="1">AC218*Calculation_sheet!C$99</f>
        <v>6.8331017662636665E-4</v>
      </c>
      <c r="AE218" s="176">
        <f t="shared" ca="1" si="262"/>
        <v>4.5554011775091117E-4</v>
      </c>
      <c r="AF218" s="176">
        <f t="shared" ref="AF218:AF227" ca="1" si="272">Y218-AB218</f>
        <v>1.1388502943772778E-3</v>
      </c>
      <c r="AG218" s="958">
        <f ca="1">AF218*User_sheet!B$77/100</f>
        <v>0</v>
      </c>
      <c r="AH218" s="313"/>
      <c r="AI218" s="908">
        <v>202</v>
      </c>
      <c r="AJ218" s="313"/>
      <c r="AK218" s="1020">
        <f t="shared" ca="1" si="255"/>
        <v>648.87082514022143</v>
      </c>
      <c r="AL218" s="954">
        <f ca="1">AK218/'202'!I$24</f>
        <v>2.0903670150453317</v>
      </c>
      <c r="AM218" s="954">
        <f ca="1">0.8*(AK218*30+'202'!D$17*0.34*30*1)</f>
        <v>19184.842203365315</v>
      </c>
      <c r="AN218" s="954">
        <f ca="1">IF(AM218&lt;User_sheet!B$50,Y218,0)</f>
        <v>0</v>
      </c>
      <c r="AO218" s="954">
        <f ca="1">20-(User_sheet!B$57/(AK218+'202'!D$17*1*0.34))</f>
        <v>12.869370592164518</v>
      </c>
      <c r="AP218" s="954">
        <f ca="1">IF(AO218&lt;User_sheet!B$59,0,BC218*AA218)</f>
        <v>1.1388502943772778E-3</v>
      </c>
      <c r="AQ218" s="313"/>
      <c r="AR218" s="909">
        <v>7.7</v>
      </c>
      <c r="AS218" s="909">
        <v>2.1</v>
      </c>
      <c r="AT218" s="909">
        <v>7.9</v>
      </c>
      <c r="AU218" s="909">
        <v>2.75</v>
      </c>
      <c r="AV218" s="909">
        <v>3.3</v>
      </c>
      <c r="AW218" s="909">
        <v>11357.186356387729</v>
      </c>
      <c r="AX218" s="909">
        <v>74715.401027665983</v>
      </c>
      <c r="AY218" s="909">
        <v>67352.647733737584</v>
      </c>
      <c r="AZ218" s="909">
        <v>0</v>
      </c>
      <c r="BA218" s="909">
        <v>0</v>
      </c>
      <c r="BB218" s="909">
        <v>0.6</v>
      </c>
      <c r="BC218" s="919">
        <v>1</v>
      </c>
      <c r="BD218" s="920">
        <v>0</v>
      </c>
      <c r="BE218" s="920">
        <v>0</v>
      </c>
      <c r="BF218" s="921">
        <v>0</v>
      </c>
      <c r="BG218" s="909">
        <v>1</v>
      </c>
      <c r="BH218" s="909">
        <v>0</v>
      </c>
      <c r="BI218" s="921">
        <v>0</v>
      </c>
      <c r="BJ218" s="909">
        <v>0</v>
      </c>
      <c r="BK218" s="909">
        <v>0</v>
      </c>
      <c r="BL218" s="909">
        <v>1</v>
      </c>
      <c r="BM218" s="921">
        <v>0</v>
      </c>
      <c r="BN218" s="958">
        <v>0</v>
      </c>
      <c r="BO218" s="959">
        <v>18</v>
      </c>
      <c r="BP218">
        <f t="shared" ca="1" si="263"/>
        <v>173.25</v>
      </c>
      <c r="BQ218">
        <f t="shared" ca="1" si="264"/>
        <v>294.14</v>
      </c>
      <c r="BR218">
        <f t="shared" ca="1" si="265"/>
        <v>99.660000000000011</v>
      </c>
      <c r="BS218">
        <f t="shared" ca="1" si="266"/>
        <v>135.5</v>
      </c>
      <c r="BT218">
        <f t="shared" ca="1" si="267"/>
        <v>63.2</v>
      </c>
      <c r="BU218">
        <f t="shared" ca="1" si="268"/>
        <v>12</v>
      </c>
      <c r="BV218">
        <f t="shared" ca="1" si="269"/>
        <v>4.3</v>
      </c>
      <c r="BW218" s="1018">
        <v>0</v>
      </c>
      <c r="BX218">
        <f t="shared" ca="1" si="194"/>
        <v>328.69017704169045</v>
      </c>
      <c r="BY218">
        <f t="shared" ca="1" si="195"/>
        <v>208.61436950146629</v>
      </c>
      <c r="BZ218">
        <f t="shared" ca="1" si="256"/>
        <v>69.539561057962871</v>
      </c>
      <c r="CA218">
        <f t="shared" ca="1" si="257"/>
        <v>32.999999981849996</v>
      </c>
      <c r="CB218">
        <f t="shared" ca="1" si="196"/>
        <v>9.0267175572519083</v>
      </c>
      <c r="CC218" s="1018">
        <f t="shared" si="258"/>
        <v>0</v>
      </c>
      <c r="CD218" s="1018">
        <f t="shared" ca="1" si="270"/>
        <v>648.87082514022143</v>
      </c>
      <c r="CE218" s="1018">
        <f t="shared" ref="CE218:CE227" ca="1" si="273">0.34*BO218*(1/25)^0.66*(BR218+BS218+BU218+BV218)</f>
        <v>183.89923712295646</v>
      </c>
      <c r="CF218">
        <f t="shared" ca="1" si="260"/>
        <v>24.983101867895336</v>
      </c>
      <c r="CG218">
        <f t="shared" ca="1" si="261"/>
        <v>41595.865285971013</v>
      </c>
    </row>
    <row r="219" spans="3:85" x14ac:dyDescent="0.25">
      <c r="C219" s="535"/>
      <c r="D219" s="536"/>
      <c r="E219" s="535"/>
      <c r="F219" s="536"/>
      <c r="G219" s="535"/>
      <c r="H219" s="541"/>
      <c r="I219" s="537"/>
      <c r="J219" s="541"/>
      <c r="K219" s="542"/>
      <c r="L219" s="541"/>
      <c r="M219" s="536"/>
      <c r="N219" s="536"/>
      <c r="O219" s="536"/>
      <c r="P219" s="536"/>
      <c r="Q219" s="536" t="s">
        <v>16</v>
      </c>
      <c r="R219" s="538">
        <v>0.73860000000000003</v>
      </c>
      <c r="S219" s="536"/>
      <c r="T219" s="543">
        <v>1.8935621362386403E-3</v>
      </c>
      <c r="U219" s="535"/>
      <c r="V219" s="176">
        <f t="shared" si="172"/>
        <v>1.8935621362386403E-3</v>
      </c>
      <c r="W219" s="176">
        <f>V219-V219*Calculation_sheet!J$67</f>
        <v>1.8935621362386403E-3</v>
      </c>
      <c r="X219" s="176">
        <f>W219-W219*Calculation_sheet!J$77</f>
        <v>1.8935621362386403E-3</v>
      </c>
      <c r="Y219" s="34">
        <f>X219/Calculation_sheet!M$67</f>
        <v>1.8936008528217694E-3</v>
      </c>
      <c r="Z219" s="176">
        <f ca="1">IF(AN219&gt;0,Y219*Calculation_sheet!C$87,0)</f>
        <v>0</v>
      </c>
      <c r="AA219" s="176">
        <f t="shared" ca="1" si="271"/>
        <v>1.8936008528217694E-3</v>
      </c>
      <c r="AB219" s="176">
        <f ca="1">IF(AP219&gt;0,AA219*Calculation_sheet!C$94,0)</f>
        <v>0</v>
      </c>
      <c r="AC219" s="176">
        <f t="shared" ca="1" si="262"/>
        <v>1.8936008528217694E-3</v>
      </c>
      <c r="AD219" s="958">
        <f ca="1">AC219*Calculation_sheet!C$99</f>
        <v>1.1361605116930616E-3</v>
      </c>
      <c r="AE219" s="176">
        <f t="shared" ca="1" si="262"/>
        <v>7.5744034112870781E-4</v>
      </c>
      <c r="AF219" s="176">
        <f t="shared" ca="1" si="272"/>
        <v>1.8936008528217694E-3</v>
      </c>
      <c r="AG219" s="958">
        <f ca="1">AF219*User_sheet!B$77/100</f>
        <v>0</v>
      </c>
      <c r="AH219" s="313"/>
      <c r="AI219" s="908">
        <v>202</v>
      </c>
      <c r="AJ219" s="313"/>
      <c r="AK219" s="1020">
        <f t="shared" ca="1" si="255"/>
        <v>648.87082514022143</v>
      </c>
      <c r="AL219" s="954">
        <f ca="1">AK219/'202'!I$24</f>
        <v>2.0903670150453317</v>
      </c>
      <c r="AM219" s="954">
        <f ca="1">0.8*(AK219*30+'202'!D$17*0.34*30*1)</f>
        <v>19184.842203365315</v>
      </c>
      <c r="AN219" s="954">
        <f ca="1">IF(AM219&lt;User_sheet!B$50,Y219,0)</f>
        <v>0</v>
      </c>
      <c r="AO219" s="954">
        <f ca="1">20-(User_sheet!B$57/(AK219+'202'!D$17*1*0.34))</f>
        <v>12.869370592164518</v>
      </c>
      <c r="AP219" s="954">
        <f ca="1">IF(AO219&lt;User_sheet!B$59,0,BC219*AA219)</f>
        <v>1.8936008528217694E-3</v>
      </c>
      <c r="AQ219" s="313"/>
      <c r="AR219" s="909">
        <v>7.7</v>
      </c>
      <c r="AS219" s="909">
        <v>2.1</v>
      </c>
      <c r="AT219" s="909">
        <v>7.9</v>
      </c>
      <c r="AU219" s="909">
        <v>2.75</v>
      </c>
      <c r="AV219" s="909">
        <v>3.3</v>
      </c>
      <c r="AW219" s="909">
        <v>11357.186356387729</v>
      </c>
      <c r="AX219" s="909">
        <v>74715.401027665983</v>
      </c>
      <c r="AY219" s="909">
        <v>67352.647733737584</v>
      </c>
      <c r="AZ219" s="909">
        <v>0</v>
      </c>
      <c r="BA219" s="909">
        <v>0</v>
      </c>
      <c r="BB219" s="909">
        <v>0.6</v>
      </c>
      <c r="BC219" s="919">
        <v>1</v>
      </c>
      <c r="BD219" s="920">
        <v>0</v>
      </c>
      <c r="BE219" s="920">
        <v>0</v>
      </c>
      <c r="BF219" s="921">
        <v>0</v>
      </c>
      <c r="BG219" s="909">
        <v>0</v>
      </c>
      <c r="BH219" s="909">
        <v>1</v>
      </c>
      <c r="BI219" s="921">
        <v>0</v>
      </c>
      <c r="BJ219" s="909">
        <v>1</v>
      </c>
      <c r="BK219" s="909">
        <v>0</v>
      </c>
      <c r="BL219" s="909">
        <v>0</v>
      </c>
      <c r="BM219" s="921">
        <v>0</v>
      </c>
      <c r="BN219" s="958">
        <v>0</v>
      </c>
      <c r="BO219" s="959">
        <v>18</v>
      </c>
      <c r="BP219">
        <f t="shared" ca="1" si="263"/>
        <v>173.25</v>
      </c>
      <c r="BQ219">
        <f t="shared" ca="1" si="264"/>
        <v>294.14</v>
      </c>
      <c r="BR219">
        <f t="shared" ca="1" si="265"/>
        <v>99.660000000000011</v>
      </c>
      <c r="BS219">
        <f t="shared" ca="1" si="266"/>
        <v>135.5</v>
      </c>
      <c r="BT219">
        <f t="shared" ca="1" si="267"/>
        <v>63.2</v>
      </c>
      <c r="BU219">
        <f t="shared" ca="1" si="268"/>
        <v>12</v>
      </c>
      <c r="BV219">
        <f t="shared" ca="1" si="269"/>
        <v>4.3</v>
      </c>
      <c r="BW219" s="1018">
        <v>0</v>
      </c>
      <c r="BX219">
        <f t="shared" ca="1" si="194"/>
        <v>328.69017704169045</v>
      </c>
      <c r="BY219">
        <f t="shared" ca="1" si="195"/>
        <v>208.61436950146629</v>
      </c>
      <c r="BZ219">
        <f t="shared" ca="1" si="256"/>
        <v>69.539561057962871</v>
      </c>
      <c r="CA219">
        <f t="shared" ca="1" si="257"/>
        <v>32.999999981849996</v>
      </c>
      <c r="CB219">
        <f t="shared" ca="1" si="196"/>
        <v>9.0267175572519083</v>
      </c>
      <c r="CC219" s="1018">
        <f t="shared" si="258"/>
        <v>0</v>
      </c>
      <c r="CD219" s="1018">
        <f t="shared" ca="1" si="270"/>
        <v>648.87082514022143</v>
      </c>
      <c r="CE219" s="1018">
        <f t="shared" ca="1" si="273"/>
        <v>183.89923712295646</v>
      </c>
      <c r="CF219">
        <f t="shared" ca="1" si="260"/>
        <v>24.983101867895336</v>
      </c>
      <c r="CG219">
        <f t="shared" ca="1" si="261"/>
        <v>41595.865285971013</v>
      </c>
    </row>
    <row r="220" spans="3:85" x14ac:dyDescent="0.25">
      <c r="C220" s="535"/>
      <c r="D220" s="536"/>
      <c r="E220" s="535"/>
      <c r="F220" s="536"/>
      <c r="G220" s="535"/>
      <c r="H220" s="541"/>
      <c r="I220" s="537"/>
      <c r="J220" s="541"/>
      <c r="K220" s="542"/>
      <c r="L220" s="541"/>
      <c r="M220" s="536" t="s">
        <v>16</v>
      </c>
      <c r="N220" s="538">
        <v>0.44680851100000002</v>
      </c>
      <c r="O220" s="536" t="s">
        <v>19</v>
      </c>
      <c r="P220" s="538">
        <v>0.37046004799999999</v>
      </c>
      <c r="Q220" s="536" t="s">
        <v>7</v>
      </c>
      <c r="R220" s="538">
        <v>0.26140000000000002</v>
      </c>
      <c r="S220" s="536"/>
      <c r="T220" s="543">
        <v>6.7015589278740951E-4</v>
      </c>
      <c r="U220" s="535"/>
      <c r="V220" s="176">
        <f t="shared" si="172"/>
        <v>6.7015589278740951E-4</v>
      </c>
      <c r="W220" s="176">
        <f>V220-V220*Calculation_sheet!J$67</f>
        <v>6.7015589278740951E-4</v>
      </c>
      <c r="X220" s="176">
        <f>W220-W220*Calculation_sheet!J$77</f>
        <v>6.7015589278740951E-4</v>
      </c>
      <c r="Y220" s="34">
        <f>X220/Calculation_sheet!M$67</f>
        <v>6.7016959508206151E-4</v>
      </c>
      <c r="Z220" s="176">
        <f ca="1">IF(AN220&gt;0,Y220*Calculation_sheet!C$87,0)</f>
        <v>0</v>
      </c>
      <c r="AA220" s="176">
        <f t="shared" ca="1" si="271"/>
        <v>6.7016959508206151E-4</v>
      </c>
      <c r="AB220" s="176">
        <f ca="1">IF(AP220&gt;0,AA220*Calculation_sheet!C$94,0)</f>
        <v>0</v>
      </c>
      <c r="AC220" s="176">
        <f t="shared" ca="1" si="262"/>
        <v>6.7016959508206151E-4</v>
      </c>
      <c r="AD220" s="958">
        <f ca="1">AC220*Calculation_sheet!C$99</f>
        <v>4.0210175704923692E-4</v>
      </c>
      <c r="AE220" s="176">
        <f t="shared" ca="1" si="262"/>
        <v>2.6806783803282459E-4</v>
      </c>
      <c r="AF220" s="176">
        <f t="shared" ca="1" si="272"/>
        <v>6.7016959508206151E-4</v>
      </c>
      <c r="AG220" s="958">
        <f ca="1">AF220*User_sheet!B$77/100</f>
        <v>0</v>
      </c>
      <c r="AH220" s="313"/>
      <c r="AI220" s="908">
        <v>202</v>
      </c>
      <c r="AJ220" s="313"/>
      <c r="AK220" s="1020">
        <f t="shared" ca="1" si="255"/>
        <v>648.87082514022143</v>
      </c>
      <c r="AL220" s="954">
        <f ca="1">AK220/'202'!I$24</f>
        <v>2.0903670150453317</v>
      </c>
      <c r="AM220" s="954">
        <f ca="1">0.8*(AK220*30+'202'!D$17*0.34*30*1)</f>
        <v>19184.842203365315</v>
      </c>
      <c r="AN220" s="954">
        <f ca="1">IF(AM220&lt;User_sheet!B$50,Y220,0)</f>
        <v>0</v>
      </c>
      <c r="AO220" s="954">
        <f ca="1">20-(User_sheet!B$57/(AK220+'202'!D$17*1*0.34))</f>
        <v>12.869370592164518</v>
      </c>
      <c r="AP220" s="954">
        <f ca="1">IF(AO220&lt;User_sheet!B$59,0,BC220*AA220)</f>
        <v>6.7016959508206151E-4</v>
      </c>
      <c r="AQ220" s="313"/>
      <c r="AR220" s="909">
        <v>7.7</v>
      </c>
      <c r="AS220" s="909">
        <v>2.1</v>
      </c>
      <c r="AT220" s="909">
        <v>7.9</v>
      </c>
      <c r="AU220" s="909">
        <v>2.75</v>
      </c>
      <c r="AV220" s="909">
        <v>3.3</v>
      </c>
      <c r="AW220" s="909">
        <v>11357.186356387729</v>
      </c>
      <c r="AX220" s="909">
        <v>74715.401027665983</v>
      </c>
      <c r="AY220" s="909">
        <v>67352.647733737584</v>
      </c>
      <c r="AZ220" s="909">
        <v>0</v>
      </c>
      <c r="BA220" s="909">
        <v>0</v>
      </c>
      <c r="BB220" s="909">
        <v>0.6</v>
      </c>
      <c r="BC220" s="919">
        <v>1</v>
      </c>
      <c r="BD220" s="920">
        <v>0</v>
      </c>
      <c r="BE220" s="920">
        <v>0</v>
      </c>
      <c r="BF220" s="921">
        <v>0</v>
      </c>
      <c r="BG220" s="909">
        <v>0</v>
      </c>
      <c r="BH220" s="909">
        <v>1</v>
      </c>
      <c r="BI220" s="921">
        <v>0</v>
      </c>
      <c r="BJ220" s="909">
        <v>0</v>
      </c>
      <c r="BK220" s="909">
        <v>0</v>
      </c>
      <c r="BL220" s="909">
        <v>1</v>
      </c>
      <c r="BM220" s="921">
        <v>0</v>
      </c>
      <c r="BN220" s="958">
        <v>0</v>
      </c>
      <c r="BO220" s="959">
        <v>18</v>
      </c>
      <c r="BP220">
        <f t="shared" ca="1" si="263"/>
        <v>173.25</v>
      </c>
      <c r="BQ220">
        <f t="shared" ca="1" si="264"/>
        <v>294.14</v>
      </c>
      <c r="BR220">
        <f t="shared" ca="1" si="265"/>
        <v>99.660000000000011</v>
      </c>
      <c r="BS220">
        <f t="shared" ca="1" si="266"/>
        <v>135.5</v>
      </c>
      <c r="BT220">
        <f t="shared" ca="1" si="267"/>
        <v>63.2</v>
      </c>
      <c r="BU220">
        <f t="shared" ca="1" si="268"/>
        <v>12</v>
      </c>
      <c r="BV220">
        <f t="shared" ca="1" si="269"/>
        <v>4.3</v>
      </c>
      <c r="BW220" s="1018">
        <v>0</v>
      </c>
      <c r="BX220">
        <f t="shared" ref="BX220:BX283" ca="1" si="274">IF(BR220=0,0,1/(1/(BR220*$BY$3)+1/(BR220*AR220)+1/(BR220*$BY$4)))</f>
        <v>328.69017704169045</v>
      </c>
      <c r="BY220">
        <f t="shared" ref="BY220:BY283" ca="1" si="275">IF(BS220=0,0,1/(1/(BS220*$BY$3)+1/(BS220*AS220)+1/(BS220*$BY$4)))</f>
        <v>208.61436950146629</v>
      </c>
      <c r="BZ220">
        <f t="shared" ca="1" si="256"/>
        <v>69.539561057962871</v>
      </c>
      <c r="CA220">
        <f t="shared" ca="1" si="257"/>
        <v>32.999999981849996</v>
      </c>
      <c r="CB220">
        <f t="shared" ref="CB220:CB283" ca="1" si="276">IF(BV220=0,0,1/(1/(BV220*$BY$3)+1/(BV220*AV220)+1/(BV220*$BY$4)))</f>
        <v>9.0267175572519083</v>
      </c>
      <c r="CC220" s="1018">
        <f t="shared" si="258"/>
        <v>0</v>
      </c>
      <c r="CD220" s="1018">
        <f t="shared" ca="1" si="270"/>
        <v>648.87082514022143</v>
      </c>
      <c r="CE220" s="1018">
        <f t="shared" ca="1" si="273"/>
        <v>183.89923712295646</v>
      </c>
      <c r="CF220">
        <f t="shared" ca="1" si="260"/>
        <v>24.983101867895336</v>
      </c>
      <c r="CG220">
        <f t="shared" ca="1" si="261"/>
        <v>41595.865285971013</v>
      </c>
    </row>
    <row r="221" spans="3:85" x14ac:dyDescent="0.25">
      <c r="D221" s="536"/>
      <c r="E221" s="535"/>
      <c r="F221" s="536"/>
      <c r="G221" s="535"/>
      <c r="H221" s="541"/>
      <c r="I221" s="537"/>
      <c r="J221" s="541"/>
      <c r="K221" s="542"/>
      <c r="L221" s="541"/>
      <c r="M221" s="536"/>
      <c r="N221" s="536"/>
      <c r="O221" s="536"/>
      <c r="P221" s="536"/>
      <c r="Q221" s="536" t="s">
        <v>22</v>
      </c>
      <c r="R221" s="538">
        <v>0.53710000000000002</v>
      </c>
      <c r="S221" s="536"/>
      <c r="T221" s="543">
        <v>3.0042830995021001E-3</v>
      </c>
      <c r="U221" s="535"/>
      <c r="V221" s="176">
        <f t="shared" si="172"/>
        <v>3.0042830995021001E-3</v>
      </c>
      <c r="W221" s="176">
        <f>V221-V221*Calculation_sheet!J$67</f>
        <v>3.0042830995021001E-3</v>
      </c>
      <c r="X221" s="176">
        <f>W221-W221*Calculation_sheet!J$77</f>
        <v>3.0042830995021001E-3</v>
      </c>
      <c r="Y221" s="34">
        <f>X221/Calculation_sheet!M$67</f>
        <v>3.0043445263621643E-3</v>
      </c>
      <c r="Z221" s="176">
        <f ca="1">IF(AN221&gt;0,Y221*Calculation_sheet!C$87,0)</f>
        <v>0</v>
      </c>
      <c r="AA221" s="176">
        <f t="shared" ca="1" si="271"/>
        <v>3.0043445263621643E-3</v>
      </c>
      <c r="AB221" s="176">
        <f ca="1">IF(AP221&gt;0,AA221*Calculation_sheet!C$94,0)</f>
        <v>0</v>
      </c>
      <c r="AC221" s="176">
        <f t="shared" ca="1" si="262"/>
        <v>3.0043445263621643E-3</v>
      </c>
      <c r="AD221" s="958">
        <f ca="1">AC221*Calculation_sheet!C$99</f>
        <v>1.8026067158172984E-3</v>
      </c>
      <c r="AE221" s="176">
        <f t="shared" ca="1" si="262"/>
        <v>1.2017378105448658E-3</v>
      </c>
      <c r="AF221" s="176">
        <f t="shared" ca="1" si="272"/>
        <v>3.0043445263621643E-3</v>
      </c>
      <c r="AG221" s="958">
        <f ca="1">AF221*User_sheet!B$77/100</f>
        <v>0</v>
      </c>
      <c r="AH221" s="313"/>
      <c r="AI221" s="908">
        <v>202</v>
      </c>
      <c r="AJ221" s="313"/>
      <c r="AK221" s="1020">
        <f t="shared" ca="1" si="255"/>
        <v>648.87082514022143</v>
      </c>
      <c r="AL221" s="954">
        <f ca="1">AK221/'202'!I$24</f>
        <v>2.0903670150453317</v>
      </c>
      <c r="AM221" s="954">
        <f ca="1">0.8*(AK221*30+'202'!D$17*0.34*30*1)</f>
        <v>19184.842203365315</v>
      </c>
      <c r="AN221" s="954">
        <f ca="1">IF(AM221&lt;User_sheet!B$50,Y221,0)</f>
        <v>0</v>
      </c>
      <c r="AO221" s="954">
        <f ca="1">20-(User_sheet!B$57/(AK221+'202'!D$17*1*0.34))</f>
        <v>12.869370592164518</v>
      </c>
      <c r="AP221" s="954">
        <f ca="1">IF(AO221&lt;User_sheet!B$59,0,BC221*AA221)</f>
        <v>0</v>
      </c>
      <c r="AQ221" s="313"/>
      <c r="AR221" s="909">
        <v>7.7</v>
      </c>
      <c r="AS221" s="909">
        <v>2.1</v>
      </c>
      <c r="AT221" s="909">
        <v>7.9</v>
      </c>
      <c r="AU221" s="909">
        <v>2.75</v>
      </c>
      <c r="AV221" s="909">
        <v>3.3</v>
      </c>
      <c r="AW221" s="909">
        <v>11357.186356387729</v>
      </c>
      <c r="AX221" s="909">
        <v>74715.401027665983</v>
      </c>
      <c r="AY221" s="909">
        <v>67352.647733737584</v>
      </c>
      <c r="AZ221" s="909">
        <v>0</v>
      </c>
      <c r="BA221" s="909">
        <v>0</v>
      </c>
      <c r="BB221" s="909">
        <v>0.6</v>
      </c>
      <c r="BC221" s="919">
        <v>0</v>
      </c>
      <c r="BD221" s="920">
        <v>1</v>
      </c>
      <c r="BE221" s="920">
        <v>0</v>
      </c>
      <c r="BF221" s="921">
        <v>0</v>
      </c>
      <c r="BG221" s="909">
        <v>1</v>
      </c>
      <c r="BH221" s="909">
        <v>0</v>
      </c>
      <c r="BI221" s="921">
        <v>0</v>
      </c>
      <c r="BJ221" s="909">
        <v>0</v>
      </c>
      <c r="BK221" s="909">
        <v>1</v>
      </c>
      <c r="BL221" s="909">
        <v>0</v>
      </c>
      <c r="BM221" s="921">
        <v>0</v>
      </c>
      <c r="BN221" s="958">
        <v>0</v>
      </c>
      <c r="BO221" s="959">
        <v>18</v>
      </c>
      <c r="BP221">
        <f t="shared" ca="1" si="263"/>
        <v>173.25</v>
      </c>
      <c r="BQ221">
        <f t="shared" ca="1" si="264"/>
        <v>294.14</v>
      </c>
      <c r="BR221">
        <f t="shared" ca="1" si="265"/>
        <v>99.660000000000011</v>
      </c>
      <c r="BS221">
        <f t="shared" ca="1" si="266"/>
        <v>135.5</v>
      </c>
      <c r="BT221">
        <f t="shared" ca="1" si="267"/>
        <v>63.2</v>
      </c>
      <c r="BU221">
        <f t="shared" ca="1" si="268"/>
        <v>12</v>
      </c>
      <c r="BV221">
        <f t="shared" ca="1" si="269"/>
        <v>4.3</v>
      </c>
      <c r="BW221" s="1018">
        <v>0</v>
      </c>
      <c r="BX221">
        <f t="shared" ca="1" si="274"/>
        <v>328.69017704169045</v>
      </c>
      <c r="BY221">
        <f t="shared" ca="1" si="275"/>
        <v>208.61436950146629</v>
      </c>
      <c r="BZ221">
        <f t="shared" ca="1" si="256"/>
        <v>69.539561057962871</v>
      </c>
      <c r="CA221">
        <f t="shared" ca="1" si="257"/>
        <v>32.999999981849996</v>
      </c>
      <c r="CB221">
        <f t="shared" ca="1" si="276"/>
        <v>9.0267175572519083</v>
      </c>
      <c r="CC221" s="1018">
        <f t="shared" si="258"/>
        <v>0</v>
      </c>
      <c r="CD221" s="1018">
        <f t="shared" ca="1" si="270"/>
        <v>648.87082514022143</v>
      </c>
      <c r="CE221" s="1018">
        <f t="shared" ca="1" si="273"/>
        <v>183.89923712295646</v>
      </c>
      <c r="CF221">
        <f t="shared" ca="1" si="260"/>
        <v>24.983101867895336</v>
      </c>
      <c r="CG221">
        <f t="shared" ca="1" si="261"/>
        <v>41595.865285971013</v>
      </c>
    </row>
    <row r="222" spans="3:85" x14ac:dyDescent="0.25">
      <c r="D222" s="536"/>
      <c r="E222" s="535"/>
      <c r="F222" s="536"/>
      <c r="G222" s="535"/>
      <c r="H222" s="541"/>
      <c r="I222" s="537"/>
      <c r="J222" s="541"/>
      <c r="K222" s="542"/>
      <c r="L222" s="541"/>
      <c r="M222" s="536"/>
      <c r="N222" s="536"/>
      <c r="O222" s="536" t="s">
        <v>18</v>
      </c>
      <c r="P222" s="538">
        <v>0.80827067699999999</v>
      </c>
      <c r="Q222" s="536" t="s">
        <v>7</v>
      </c>
      <c r="R222" s="538">
        <v>0.46289999999999998</v>
      </c>
      <c r="S222" s="536"/>
      <c r="T222" s="543">
        <v>2.5892434309430692E-3</v>
      </c>
      <c r="U222" s="535"/>
      <c r="V222" s="176">
        <f t="shared" si="172"/>
        <v>2.5892434309430692E-3</v>
      </c>
      <c r="W222" s="176">
        <f>V222-V222*Calculation_sheet!J$67</f>
        <v>2.5892434309430692E-3</v>
      </c>
      <c r="X222" s="176">
        <f>W222-W222*Calculation_sheet!J$77</f>
        <v>2.5892434309430692E-3</v>
      </c>
      <c r="Y222" s="34">
        <f>X222/Calculation_sheet!M$67</f>
        <v>2.5892963717241597E-3</v>
      </c>
      <c r="Z222" s="176">
        <f ca="1">IF(AN222&gt;0,Y222*Calculation_sheet!C$87,0)</f>
        <v>0</v>
      </c>
      <c r="AA222" s="176">
        <f t="shared" ca="1" si="271"/>
        <v>2.5892963717241597E-3</v>
      </c>
      <c r="AB222" s="176">
        <f ca="1">IF(AP222&gt;0,AA222*Calculation_sheet!C$94,0)</f>
        <v>0</v>
      </c>
      <c r="AC222" s="176">
        <f t="shared" ca="1" si="262"/>
        <v>2.5892963717241597E-3</v>
      </c>
      <c r="AD222" s="958">
        <f ca="1">AC222*Calculation_sheet!C$99</f>
        <v>1.5535778230344958E-3</v>
      </c>
      <c r="AE222" s="176">
        <f t="shared" ca="1" si="262"/>
        <v>1.0357185486896639E-3</v>
      </c>
      <c r="AF222" s="176">
        <f t="shared" ca="1" si="272"/>
        <v>2.5892963717241597E-3</v>
      </c>
      <c r="AG222" s="958">
        <f ca="1">AF222*User_sheet!B$77/100</f>
        <v>0</v>
      </c>
      <c r="AH222" s="313"/>
      <c r="AI222" s="908">
        <v>202</v>
      </c>
      <c r="AJ222" s="313"/>
      <c r="AK222" s="1020">
        <f t="shared" ca="1" si="255"/>
        <v>648.87082514022143</v>
      </c>
      <c r="AL222" s="954">
        <f ca="1">AK222/'202'!I$24</f>
        <v>2.0903670150453317</v>
      </c>
      <c r="AM222" s="954">
        <f ca="1">0.8*(AK222*30+'202'!D$17*0.34*30*1)</f>
        <v>19184.842203365315</v>
      </c>
      <c r="AN222" s="954">
        <f ca="1">IF(AM222&lt;User_sheet!B$50,Y222,0)</f>
        <v>0</v>
      </c>
      <c r="AO222" s="954">
        <f ca="1">20-(User_sheet!B$57/(AK222+'202'!D$17*1*0.34))</f>
        <v>12.869370592164518</v>
      </c>
      <c r="AP222" s="954">
        <f ca="1">IF(AO222&lt;User_sheet!B$59,0,BC222*AA222)</f>
        <v>0</v>
      </c>
      <c r="AQ222" s="313"/>
      <c r="AR222" s="909">
        <v>7.7</v>
      </c>
      <c r="AS222" s="909">
        <v>2.1</v>
      </c>
      <c r="AT222" s="909">
        <v>7.9</v>
      </c>
      <c r="AU222" s="909">
        <v>2.75</v>
      </c>
      <c r="AV222" s="909">
        <v>3.3</v>
      </c>
      <c r="AW222" s="909">
        <v>11357.186356387729</v>
      </c>
      <c r="AX222" s="909">
        <v>74715.401027665983</v>
      </c>
      <c r="AY222" s="909">
        <v>67352.647733737584</v>
      </c>
      <c r="AZ222" s="909">
        <v>0</v>
      </c>
      <c r="BA222" s="909">
        <v>0</v>
      </c>
      <c r="BB222" s="909">
        <v>0.6</v>
      </c>
      <c r="BC222" s="919">
        <v>0</v>
      </c>
      <c r="BD222" s="920">
        <v>1</v>
      </c>
      <c r="BE222" s="920">
        <v>0</v>
      </c>
      <c r="BF222" s="921">
        <v>0</v>
      </c>
      <c r="BG222" s="909">
        <v>1</v>
      </c>
      <c r="BH222" s="909">
        <v>0</v>
      </c>
      <c r="BI222" s="921">
        <v>0</v>
      </c>
      <c r="BJ222" s="909">
        <v>0</v>
      </c>
      <c r="BK222" s="909">
        <v>0</v>
      </c>
      <c r="BL222" s="909">
        <v>1</v>
      </c>
      <c r="BM222" s="921">
        <v>0</v>
      </c>
      <c r="BN222" s="958">
        <v>0</v>
      </c>
      <c r="BO222" s="959">
        <v>18</v>
      </c>
      <c r="BP222">
        <f t="shared" ca="1" si="263"/>
        <v>173.25</v>
      </c>
      <c r="BQ222">
        <f t="shared" ca="1" si="264"/>
        <v>294.14</v>
      </c>
      <c r="BR222">
        <f t="shared" ca="1" si="265"/>
        <v>99.660000000000011</v>
      </c>
      <c r="BS222">
        <f t="shared" ca="1" si="266"/>
        <v>135.5</v>
      </c>
      <c r="BT222">
        <f t="shared" ca="1" si="267"/>
        <v>63.2</v>
      </c>
      <c r="BU222">
        <f t="shared" ca="1" si="268"/>
        <v>12</v>
      </c>
      <c r="BV222">
        <f t="shared" ca="1" si="269"/>
        <v>4.3</v>
      </c>
      <c r="BW222" s="1018">
        <v>0</v>
      </c>
      <c r="BX222">
        <f t="shared" ca="1" si="274"/>
        <v>328.69017704169045</v>
      </c>
      <c r="BY222">
        <f t="shared" ca="1" si="275"/>
        <v>208.61436950146629</v>
      </c>
      <c r="BZ222">
        <f t="shared" ca="1" si="256"/>
        <v>69.539561057962871</v>
      </c>
      <c r="CA222">
        <f t="shared" ca="1" si="257"/>
        <v>32.999999981849996</v>
      </c>
      <c r="CB222">
        <f t="shared" ca="1" si="276"/>
        <v>9.0267175572519083</v>
      </c>
      <c r="CC222" s="1018">
        <f t="shared" si="258"/>
        <v>0</v>
      </c>
      <c r="CD222" s="1018">
        <f t="shared" ca="1" si="270"/>
        <v>648.87082514022143</v>
      </c>
      <c r="CE222" s="1018">
        <f t="shared" ca="1" si="273"/>
        <v>183.89923712295646</v>
      </c>
      <c r="CF222">
        <f t="shared" ca="1" si="260"/>
        <v>24.983101867895336</v>
      </c>
      <c r="CG222">
        <f t="shared" ca="1" si="261"/>
        <v>41595.865285971013</v>
      </c>
    </row>
    <row r="223" spans="3:85" x14ac:dyDescent="0.25">
      <c r="D223" s="536"/>
      <c r="E223" s="535"/>
      <c r="F223" s="536"/>
      <c r="G223" s="535"/>
      <c r="H223" s="541"/>
      <c r="I223" s="537"/>
      <c r="J223" s="541"/>
      <c r="K223" s="542"/>
      <c r="L223" s="541"/>
      <c r="M223" s="536"/>
      <c r="N223" s="536"/>
      <c r="O223" s="536"/>
      <c r="P223" s="536"/>
      <c r="Q223" s="536" t="s">
        <v>22</v>
      </c>
      <c r="R223" s="538">
        <v>0.53710000000000002</v>
      </c>
      <c r="S223" s="536"/>
      <c r="T223" s="543">
        <v>7.1264389660380975E-4</v>
      </c>
      <c r="U223" s="535"/>
      <c r="V223" s="176">
        <f t="shared" si="172"/>
        <v>7.1264389660380975E-4</v>
      </c>
      <c r="W223" s="176">
        <f>V223-V223*Calculation_sheet!J$67</f>
        <v>7.1264389660380975E-4</v>
      </c>
      <c r="X223" s="176">
        <f>W223-W223*Calculation_sheet!J$77</f>
        <v>7.1264389660380975E-4</v>
      </c>
      <c r="Y223" s="34">
        <f>X223/Calculation_sheet!M$67</f>
        <v>7.1265846762640062E-4</v>
      </c>
      <c r="Z223" s="176">
        <f ca="1">IF(AN223&gt;0,Y223*Calculation_sheet!C$87,0)</f>
        <v>0</v>
      </c>
      <c r="AA223" s="176">
        <f t="shared" ca="1" si="271"/>
        <v>7.1265846762640062E-4</v>
      </c>
      <c r="AB223" s="176">
        <f ca="1">IF(AP223&gt;0,AA223*Calculation_sheet!C$94,0)</f>
        <v>0</v>
      </c>
      <c r="AC223" s="176">
        <f t="shared" ca="1" si="262"/>
        <v>7.1265846762640062E-4</v>
      </c>
      <c r="AD223" s="958">
        <f ca="1">AC223*Calculation_sheet!C$99</f>
        <v>4.2759508057584034E-4</v>
      </c>
      <c r="AE223" s="176">
        <f t="shared" ca="1" si="262"/>
        <v>2.8506338705056028E-4</v>
      </c>
      <c r="AF223" s="176">
        <f t="shared" ca="1" si="272"/>
        <v>7.1265846762640062E-4</v>
      </c>
      <c r="AG223" s="958">
        <f ca="1">AF223*User_sheet!B$77/100</f>
        <v>0</v>
      </c>
      <c r="AH223" s="313"/>
      <c r="AI223" s="908">
        <v>202</v>
      </c>
      <c r="AJ223" s="313"/>
      <c r="AK223" s="1020">
        <f t="shared" ca="1" si="255"/>
        <v>648.87082514022143</v>
      </c>
      <c r="AL223" s="954">
        <f ca="1">AK223/'202'!I$24</f>
        <v>2.0903670150453317</v>
      </c>
      <c r="AM223" s="954">
        <f ca="1">0.8*(AK223*30+'202'!D$17*0.34*30*1)</f>
        <v>19184.842203365315</v>
      </c>
      <c r="AN223" s="954">
        <f ca="1">IF(AM223&lt;User_sheet!B$50,Y223,0)</f>
        <v>0</v>
      </c>
      <c r="AO223" s="954">
        <f ca="1">20-(User_sheet!B$57/(AK223+'202'!D$17*1*0.34))</f>
        <v>12.869370592164518</v>
      </c>
      <c r="AP223" s="954">
        <f ca="1">IF(AO223&lt;User_sheet!B$59,0,BC223*AA223)</f>
        <v>0</v>
      </c>
      <c r="AQ223" s="313"/>
      <c r="AR223" s="909">
        <v>7.7</v>
      </c>
      <c r="AS223" s="909">
        <v>2.1</v>
      </c>
      <c r="AT223" s="909">
        <v>7.9</v>
      </c>
      <c r="AU223" s="909">
        <v>2.75</v>
      </c>
      <c r="AV223" s="909">
        <v>3.3</v>
      </c>
      <c r="AW223" s="909">
        <v>11357.186356387729</v>
      </c>
      <c r="AX223" s="909">
        <v>74715.401027665983</v>
      </c>
      <c r="AY223" s="909">
        <v>67352.647733737584</v>
      </c>
      <c r="AZ223" s="909">
        <v>0</v>
      </c>
      <c r="BA223" s="909">
        <v>0</v>
      </c>
      <c r="BB223" s="909">
        <v>0.6</v>
      </c>
      <c r="BC223" s="919">
        <v>0</v>
      </c>
      <c r="BD223" s="920">
        <v>1</v>
      </c>
      <c r="BE223" s="920">
        <v>0</v>
      </c>
      <c r="BF223" s="921">
        <v>0</v>
      </c>
      <c r="BG223" s="909">
        <v>0</v>
      </c>
      <c r="BH223" s="909">
        <v>1</v>
      </c>
      <c r="BI223" s="921">
        <v>0</v>
      </c>
      <c r="BJ223" s="909">
        <v>0</v>
      </c>
      <c r="BK223" s="909">
        <v>1</v>
      </c>
      <c r="BL223" s="909">
        <v>0</v>
      </c>
      <c r="BM223" s="921">
        <v>0</v>
      </c>
      <c r="BN223" s="958">
        <v>0</v>
      </c>
      <c r="BO223" s="959">
        <v>18</v>
      </c>
      <c r="BP223">
        <f t="shared" ca="1" si="263"/>
        <v>173.25</v>
      </c>
      <c r="BQ223">
        <f t="shared" ca="1" si="264"/>
        <v>294.14</v>
      </c>
      <c r="BR223">
        <f t="shared" ca="1" si="265"/>
        <v>99.660000000000011</v>
      </c>
      <c r="BS223">
        <f t="shared" ca="1" si="266"/>
        <v>135.5</v>
      </c>
      <c r="BT223">
        <f t="shared" ca="1" si="267"/>
        <v>63.2</v>
      </c>
      <c r="BU223">
        <f t="shared" ca="1" si="268"/>
        <v>12</v>
      </c>
      <c r="BV223">
        <f t="shared" ca="1" si="269"/>
        <v>4.3</v>
      </c>
      <c r="BW223" s="1018">
        <v>0</v>
      </c>
      <c r="BX223">
        <f t="shared" ca="1" si="274"/>
        <v>328.69017704169045</v>
      </c>
      <c r="BY223">
        <f t="shared" ca="1" si="275"/>
        <v>208.61436950146629</v>
      </c>
      <c r="BZ223">
        <f t="shared" ca="1" si="256"/>
        <v>69.539561057962871</v>
      </c>
      <c r="CA223">
        <f t="shared" ca="1" si="257"/>
        <v>32.999999981849996</v>
      </c>
      <c r="CB223">
        <f t="shared" ca="1" si="276"/>
        <v>9.0267175572519083</v>
      </c>
      <c r="CC223" s="1018">
        <f t="shared" si="258"/>
        <v>0</v>
      </c>
      <c r="CD223" s="1018">
        <f t="shared" ca="1" si="270"/>
        <v>648.87082514022143</v>
      </c>
      <c r="CE223" s="1018">
        <f t="shared" ca="1" si="273"/>
        <v>183.89923712295646</v>
      </c>
      <c r="CF223">
        <f t="shared" ca="1" si="260"/>
        <v>24.983101867895336</v>
      </c>
      <c r="CG223">
        <f t="shared" ca="1" si="261"/>
        <v>41595.865285971013</v>
      </c>
    </row>
    <row r="224" spans="3:85" x14ac:dyDescent="0.25">
      <c r="D224" s="536"/>
      <c r="E224" s="535"/>
      <c r="F224" s="536"/>
      <c r="G224" s="535"/>
      <c r="H224" s="536"/>
      <c r="I224" s="535"/>
      <c r="J224" s="536"/>
      <c r="K224" s="536"/>
      <c r="L224" s="536"/>
      <c r="M224" s="536" t="s">
        <v>22</v>
      </c>
      <c r="N224" s="538">
        <v>0.44680851100000002</v>
      </c>
      <c r="O224" s="536" t="s">
        <v>20</v>
      </c>
      <c r="P224" s="538">
        <v>0.19172932300000001</v>
      </c>
      <c r="Q224" s="536" t="s">
        <v>7</v>
      </c>
      <c r="R224" s="538">
        <v>0.46289999999999998</v>
      </c>
      <c r="S224" s="536"/>
      <c r="T224" s="543">
        <v>6.1419262658332435E-4</v>
      </c>
      <c r="U224" s="535"/>
      <c r="V224" s="176">
        <f t="shared" si="172"/>
        <v>6.1419262658332435E-4</v>
      </c>
      <c r="W224" s="176">
        <f>V224-V224*Calculation_sheet!J$67</f>
        <v>6.1419262658332435E-4</v>
      </c>
      <c r="X224" s="176">
        <f>W224-W224*Calculation_sheet!J$77</f>
        <v>6.1419262658332435E-4</v>
      </c>
      <c r="Y224" s="34">
        <f>X224/Calculation_sheet!M$67</f>
        <v>6.1420518462904636E-4</v>
      </c>
      <c r="Z224" s="176">
        <f ca="1">IF(AN224&gt;0,Y224*Calculation_sheet!C$87,0)</f>
        <v>0</v>
      </c>
      <c r="AA224" s="176">
        <f t="shared" ca="1" si="271"/>
        <v>6.1420518462904636E-4</v>
      </c>
      <c r="AB224" s="176">
        <f ca="1">IF(AP224&gt;0,AA224*Calculation_sheet!C$94,0)</f>
        <v>0</v>
      </c>
      <c r="AC224" s="176">
        <f t="shared" ca="1" si="262"/>
        <v>6.1420518462904636E-4</v>
      </c>
      <c r="AD224" s="958">
        <f ca="1">AC224*Calculation_sheet!C$99</f>
        <v>3.6852311077742781E-4</v>
      </c>
      <c r="AE224" s="176">
        <f t="shared" ca="1" si="262"/>
        <v>2.4568207385161856E-4</v>
      </c>
      <c r="AF224" s="176">
        <f t="shared" ca="1" si="272"/>
        <v>6.1420518462904636E-4</v>
      </c>
      <c r="AG224" s="958">
        <f ca="1">AF224*User_sheet!B$77/100</f>
        <v>0</v>
      </c>
      <c r="AH224" s="313"/>
      <c r="AI224" s="908">
        <v>202</v>
      </c>
      <c r="AJ224" s="313"/>
      <c r="AK224" s="1020">
        <f t="shared" ca="1" si="255"/>
        <v>648.87082514022143</v>
      </c>
      <c r="AL224" s="954">
        <f ca="1">AK224/'202'!I$24</f>
        <v>2.0903670150453317</v>
      </c>
      <c r="AM224" s="954">
        <f ca="1">0.8*(AK224*30+'202'!D$17*0.34*30*1)</f>
        <v>19184.842203365315</v>
      </c>
      <c r="AN224" s="954">
        <f ca="1">IF(AM224&lt;User_sheet!B$50,Y224,0)</f>
        <v>0</v>
      </c>
      <c r="AO224" s="954">
        <f ca="1">20-(User_sheet!B$57/(AK224+'202'!D$17*1*0.34))</f>
        <v>12.869370592164518</v>
      </c>
      <c r="AP224" s="954">
        <f ca="1">IF(AO224&lt;User_sheet!B$59,0,BC224*AA224)</f>
        <v>0</v>
      </c>
      <c r="AQ224" s="313"/>
      <c r="AR224" s="909">
        <v>7.7</v>
      </c>
      <c r="AS224" s="909">
        <v>2.1</v>
      </c>
      <c r="AT224" s="909">
        <v>7.9</v>
      </c>
      <c r="AU224" s="909">
        <v>2.75</v>
      </c>
      <c r="AV224" s="909">
        <v>3.3</v>
      </c>
      <c r="AW224" s="909">
        <v>11357.186356387729</v>
      </c>
      <c r="AX224" s="909">
        <v>74715.401027665983</v>
      </c>
      <c r="AY224" s="909">
        <v>67352.647733737584</v>
      </c>
      <c r="AZ224" s="909">
        <v>0</v>
      </c>
      <c r="BA224" s="909">
        <v>0</v>
      </c>
      <c r="BB224" s="909">
        <v>0.6</v>
      </c>
      <c r="BC224" s="919">
        <v>0</v>
      </c>
      <c r="BD224" s="920">
        <v>1</v>
      </c>
      <c r="BE224" s="920">
        <v>0</v>
      </c>
      <c r="BF224" s="921">
        <v>0</v>
      </c>
      <c r="BG224" s="909">
        <v>0</v>
      </c>
      <c r="BH224" s="909">
        <v>1</v>
      </c>
      <c r="BI224" s="921">
        <v>0</v>
      </c>
      <c r="BJ224" s="909">
        <v>0</v>
      </c>
      <c r="BK224" s="909">
        <v>0</v>
      </c>
      <c r="BL224" s="909">
        <v>1</v>
      </c>
      <c r="BM224" s="921">
        <v>0</v>
      </c>
      <c r="BN224" s="958">
        <v>0</v>
      </c>
      <c r="BO224" s="959">
        <v>18</v>
      </c>
      <c r="BP224">
        <f t="shared" ca="1" si="263"/>
        <v>173.25</v>
      </c>
      <c r="BQ224">
        <f t="shared" ca="1" si="264"/>
        <v>294.14</v>
      </c>
      <c r="BR224">
        <f t="shared" ca="1" si="265"/>
        <v>99.660000000000011</v>
      </c>
      <c r="BS224">
        <f t="shared" ca="1" si="266"/>
        <v>135.5</v>
      </c>
      <c r="BT224">
        <f t="shared" ca="1" si="267"/>
        <v>63.2</v>
      </c>
      <c r="BU224">
        <f t="shared" ca="1" si="268"/>
        <v>12</v>
      </c>
      <c r="BV224">
        <f t="shared" ca="1" si="269"/>
        <v>4.3</v>
      </c>
      <c r="BW224" s="1018">
        <v>0</v>
      </c>
      <c r="BX224">
        <f t="shared" ca="1" si="274"/>
        <v>328.69017704169045</v>
      </c>
      <c r="BY224">
        <f t="shared" ca="1" si="275"/>
        <v>208.61436950146629</v>
      </c>
      <c r="BZ224">
        <f t="shared" ca="1" si="256"/>
        <v>69.539561057962871</v>
      </c>
      <c r="CA224">
        <f t="shared" ca="1" si="257"/>
        <v>32.999999981849996</v>
      </c>
      <c r="CB224">
        <f t="shared" ca="1" si="276"/>
        <v>9.0267175572519083</v>
      </c>
      <c r="CC224" s="1018">
        <f t="shared" si="258"/>
        <v>0</v>
      </c>
      <c r="CD224" s="1018">
        <f t="shared" ca="1" si="270"/>
        <v>648.87082514022143</v>
      </c>
      <c r="CE224" s="1018">
        <f t="shared" ca="1" si="273"/>
        <v>183.89923712295646</v>
      </c>
      <c r="CF224">
        <f t="shared" ca="1" si="260"/>
        <v>24.983101867895336</v>
      </c>
      <c r="CG224">
        <f t="shared" ca="1" si="261"/>
        <v>41595.865285971013</v>
      </c>
    </row>
    <row r="225" spans="4:85" x14ac:dyDescent="0.25">
      <c r="D225" s="536"/>
      <c r="E225" s="535" t="s">
        <v>8</v>
      </c>
      <c r="F225" s="540">
        <v>0.75</v>
      </c>
      <c r="G225" s="535"/>
      <c r="H225" s="536"/>
      <c r="I225" s="535" t="s">
        <v>10</v>
      </c>
      <c r="J225" s="540">
        <v>0.49009999999999998</v>
      </c>
      <c r="K225" s="536"/>
      <c r="L225" s="536"/>
      <c r="M225" s="536" t="s">
        <v>7</v>
      </c>
      <c r="N225" s="538">
        <v>2.1276595999999998E-2</v>
      </c>
      <c r="O225" s="536" t="s">
        <v>23</v>
      </c>
      <c r="P225" s="538">
        <v>1</v>
      </c>
      <c r="Q225" s="536" t="s">
        <v>7</v>
      </c>
      <c r="R225" s="538">
        <v>1</v>
      </c>
      <c r="S225" s="536"/>
      <c r="T225" s="543">
        <v>3.2954110147973616E-4</v>
      </c>
      <c r="U225" s="535"/>
      <c r="V225" s="176">
        <f t="shared" si="172"/>
        <v>3.2954110147973616E-4</v>
      </c>
      <c r="W225" s="176">
        <f>V225-V225*Calculation_sheet!J$67</f>
        <v>3.2954110147973616E-4</v>
      </c>
      <c r="X225" s="176">
        <f>W225-W225*Calculation_sheet!J$77</f>
        <v>3.2954110147973616E-4</v>
      </c>
      <c r="Y225" s="34">
        <f>X225/Calculation_sheet!M$67</f>
        <v>3.2954783941835765E-4</v>
      </c>
      <c r="Z225" s="176">
        <f ca="1">IF(AN225&gt;0,Y225*Calculation_sheet!C$87,0)</f>
        <v>0</v>
      </c>
      <c r="AA225" s="176">
        <f t="shared" ca="1" si="271"/>
        <v>3.2954783941835765E-4</v>
      </c>
      <c r="AB225" s="176">
        <f ca="1">IF(AP225&gt;0,AA225*Calculation_sheet!C$94,0)</f>
        <v>0</v>
      </c>
      <c r="AC225" s="176">
        <f t="shared" ca="1" si="262"/>
        <v>3.2954783941835765E-4</v>
      </c>
      <c r="AD225" s="958">
        <f ca="1">AC225*Calculation_sheet!C$99</f>
        <v>1.9772870365101459E-4</v>
      </c>
      <c r="AE225" s="176">
        <f t="shared" ca="1" si="262"/>
        <v>1.3181913576734307E-4</v>
      </c>
      <c r="AF225" s="176">
        <f t="shared" ca="1" si="272"/>
        <v>3.2954783941835765E-4</v>
      </c>
      <c r="AG225" s="958">
        <f ca="1">AF225*User_sheet!B$77/100</f>
        <v>0</v>
      </c>
      <c r="AH225" s="313"/>
      <c r="AI225" s="908">
        <v>202</v>
      </c>
      <c r="AJ225" s="313"/>
      <c r="AK225" s="1020">
        <f t="shared" ca="1" si="255"/>
        <v>648.87082514022143</v>
      </c>
      <c r="AL225" s="954">
        <f ca="1">AK225/'202'!I$24</f>
        <v>2.0903670150453317</v>
      </c>
      <c r="AM225" s="954">
        <f ca="1">0.8*(AK225*30+'202'!D$17*0.34*30*1)</f>
        <v>19184.842203365315</v>
      </c>
      <c r="AN225" s="954">
        <f ca="1">IF(AM225&lt;User_sheet!B$50,Y225,0)</f>
        <v>0</v>
      </c>
      <c r="AO225" s="954">
        <f ca="1">20-(User_sheet!B$57/(AK225+'202'!D$17*1*0.34))</f>
        <v>12.869370592164518</v>
      </c>
      <c r="AP225" s="954">
        <f ca="1">IF(AO225&lt;User_sheet!B$59,0,BC225*AA225)</f>
        <v>0</v>
      </c>
      <c r="AQ225" s="313"/>
      <c r="AR225" s="909">
        <v>7.7</v>
      </c>
      <c r="AS225" s="909">
        <v>2.1</v>
      </c>
      <c r="AT225" s="909">
        <v>7.9</v>
      </c>
      <c r="AU225" s="909">
        <v>2.75</v>
      </c>
      <c r="AV225" s="909">
        <v>3.3</v>
      </c>
      <c r="AW225" s="909">
        <v>11357.186356387729</v>
      </c>
      <c r="AX225" s="909">
        <v>74715.401027665983</v>
      </c>
      <c r="AY225" s="909">
        <v>67352.647733737584</v>
      </c>
      <c r="AZ225" s="909">
        <v>0</v>
      </c>
      <c r="BA225" s="909">
        <v>0</v>
      </c>
      <c r="BB225" s="909">
        <v>0.6</v>
      </c>
      <c r="BC225" s="919">
        <v>0</v>
      </c>
      <c r="BD225" s="920">
        <v>0</v>
      </c>
      <c r="BE225" s="920">
        <v>1</v>
      </c>
      <c r="BF225" s="921">
        <v>0</v>
      </c>
      <c r="BG225" s="909">
        <v>0</v>
      </c>
      <c r="BH225" s="909">
        <v>0</v>
      </c>
      <c r="BI225" s="921">
        <v>1</v>
      </c>
      <c r="BJ225" s="909">
        <v>0</v>
      </c>
      <c r="BK225" s="909">
        <v>0</v>
      </c>
      <c r="BL225" s="909">
        <v>1</v>
      </c>
      <c r="BM225" s="921">
        <v>0</v>
      </c>
      <c r="BN225" s="958">
        <v>0</v>
      </c>
      <c r="BO225" s="959">
        <v>18</v>
      </c>
      <c r="BP225">
        <f t="shared" ca="1" si="263"/>
        <v>173.25</v>
      </c>
      <c r="BQ225">
        <f t="shared" ca="1" si="264"/>
        <v>294.14</v>
      </c>
      <c r="BR225">
        <f t="shared" ca="1" si="265"/>
        <v>99.660000000000011</v>
      </c>
      <c r="BS225">
        <f t="shared" ca="1" si="266"/>
        <v>135.5</v>
      </c>
      <c r="BT225">
        <f t="shared" ca="1" si="267"/>
        <v>63.2</v>
      </c>
      <c r="BU225">
        <f t="shared" ca="1" si="268"/>
        <v>12</v>
      </c>
      <c r="BV225">
        <f t="shared" ca="1" si="269"/>
        <v>4.3</v>
      </c>
      <c r="BW225" s="1018">
        <v>0</v>
      </c>
      <c r="BX225">
        <f t="shared" ca="1" si="274"/>
        <v>328.69017704169045</v>
      </c>
      <c r="BY225">
        <f t="shared" ca="1" si="275"/>
        <v>208.61436950146629</v>
      </c>
      <c r="BZ225">
        <f t="shared" ca="1" si="256"/>
        <v>69.539561057962871</v>
      </c>
      <c r="CA225">
        <f t="shared" ca="1" si="257"/>
        <v>32.999999981849996</v>
      </c>
      <c r="CB225">
        <f t="shared" ca="1" si="276"/>
        <v>9.0267175572519083</v>
      </c>
      <c r="CC225" s="1018">
        <f t="shared" si="258"/>
        <v>0</v>
      </c>
      <c r="CD225" s="1018">
        <f t="shared" ca="1" si="270"/>
        <v>648.87082514022143</v>
      </c>
      <c r="CE225" s="1018">
        <f t="shared" ca="1" si="273"/>
        <v>183.89923712295646</v>
      </c>
      <c r="CF225">
        <f t="shared" ca="1" si="260"/>
        <v>24.983101867895336</v>
      </c>
      <c r="CG225">
        <f t="shared" ca="1" si="261"/>
        <v>41595.865285971013</v>
      </c>
    </row>
    <row r="226" spans="4:85" x14ac:dyDescent="0.25">
      <c r="D226" s="536"/>
      <c r="E226" s="535"/>
      <c r="F226" s="536"/>
      <c r="G226" s="535"/>
      <c r="H226" s="536"/>
      <c r="I226" s="535"/>
      <c r="J226" s="536"/>
      <c r="K226" s="536"/>
      <c r="L226" s="536"/>
      <c r="M226" s="536"/>
      <c r="N226" s="536"/>
      <c r="O226" s="536" t="s">
        <v>18</v>
      </c>
      <c r="P226" s="538">
        <v>0.15910607099999999</v>
      </c>
      <c r="Q226" s="536" t="s">
        <v>17</v>
      </c>
      <c r="R226" s="538">
        <v>1</v>
      </c>
      <c r="S226" s="536"/>
      <c r="T226" s="543">
        <v>2.0972795709350899E-4</v>
      </c>
      <c r="U226" s="535"/>
      <c r="V226" s="176">
        <f t="shared" si="172"/>
        <v>2.0972795709350899E-4</v>
      </c>
      <c r="W226" s="176">
        <f>V226-V226*Calculation_sheet!J$67</f>
        <v>2.0972795709350899E-4</v>
      </c>
      <c r="X226" s="176">
        <f>W226-W226*Calculation_sheet!J$77</f>
        <v>2.0972795709350899E-4</v>
      </c>
      <c r="Y226" s="34">
        <f>X226/Calculation_sheet!M$67</f>
        <v>2.097322452812214E-4</v>
      </c>
      <c r="Z226" s="176">
        <f ca="1">IF(AN226&gt;0,Y226*Calculation_sheet!C$87,0)</f>
        <v>0</v>
      </c>
      <c r="AA226" s="176">
        <f t="shared" ca="1" si="271"/>
        <v>2.097322452812214E-4</v>
      </c>
      <c r="AB226" s="176">
        <f ca="1">IF(AP226&gt;0,AA226*Calculation_sheet!C$94,0)</f>
        <v>0</v>
      </c>
      <c r="AC226" s="176">
        <f t="shared" ca="1" si="262"/>
        <v>2.097322452812214E-4</v>
      </c>
      <c r="AD226" s="958">
        <f ca="1">AC226*Calculation_sheet!C$99</f>
        <v>1.2583934716873285E-4</v>
      </c>
      <c r="AE226" s="176">
        <f t="shared" ca="1" si="262"/>
        <v>8.3892898112488556E-5</v>
      </c>
      <c r="AF226" s="176">
        <f t="shared" ca="1" si="272"/>
        <v>2.097322452812214E-4</v>
      </c>
      <c r="AG226" s="958">
        <f ca="1">AF226*User_sheet!B$77/100</f>
        <v>0</v>
      </c>
      <c r="AH226" s="313"/>
      <c r="AI226" s="908">
        <v>202</v>
      </c>
      <c r="AJ226" s="313"/>
      <c r="AK226" s="1020">
        <f t="shared" ca="1" si="255"/>
        <v>648.87082514022143</v>
      </c>
      <c r="AL226" s="954">
        <f ca="1">AK226/'202'!I$24</f>
        <v>2.0903670150453317</v>
      </c>
      <c r="AM226" s="954">
        <f ca="1">0.8*(AK226*30+'202'!D$17*0.34*30*1)</f>
        <v>19184.842203365315</v>
      </c>
      <c r="AN226" s="954">
        <f ca="1">IF(AM226&lt;User_sheet!B$50,Y226,0)</f>
        <v>0</v>
      </c>
      <c r="AO226" s="954">
        <f ca="1">20-(User_sheet!B$57/(AK226+'202'!D$17*1*0.34))</f>
        <v>12.869370592164518</v>
      </c>
      <c r="AP226" s="954">
        <f ca="1">IF(AO226&lt;User_sheet!B$59,0,BC226*AA226)</f>
        <v>0</v>
      </c>
      <c r="AQ226" s="313"/>
      <c r="AR226" s="909">
        <v>7.7</v>
      </c>
      <c r="AS226" s="909">
        <v>2.1</v>
      </c>
      <c r="AT226" s="909">
        <v>7.9</v>
      </c>
      <c r="AU226" s="909">
        <v>2.75</v>
      </c>
      <c r="AV226" s="909">
        <v>3.3</v>
      </c>
      <c r="AW226" s="909">
        <v>11357.186356387729</v>
      </c>
      <c r="AX226" s="909">
        <v>74715.401027665983</v>
      </c>
      <c r="AY226" s="909">
        <v>67352.647733737584</v>
      </c>
      <c r="AZ226" s="909">
        <v>0</v>
      </c>
      <c r="BA226" s="909">
        <v>0</v>
      </c>
      <c r="BB226" s="909">
        <v>0.6</v>
      </c>
      <c r="BC226" s="919">
        <v>0</v>
      </c>
      <c r="BD226" s="920">
        <v>0</v>
      </c>
      <c r="BE226" s="920">
        <v>0</v>
      </c>
      <c r="BF226" s="921">
        <v>1</v>
      </c>
      <c r="BG226" s="909">
        <v>1</v>
      </c>
      <c r="BH226" s="909">
        <v>0</v>
      </c>
      <c r="BI226" s="921">
        <v>0</v>
      </c>
      <c r="BJ226" s="909">
        <v>0</v>
      </c>
      <c r="BK226" s="909">
        <v>0</v>
      </c>
      <c r="BL226" s="909">
        <v>0</v>
      </c>
      <c r="BM226" s="921">
        <v>1</v>
      </c>
      <c r="BN226" s="958">
        <v>0</v>
      </c>
      <c r="BO226" s="959">
        <v>18</v>
      </c>
      <c r="BP226">
        <f t="shared" ca="1" si="263"/>
        <v>173.25</v>
      </c>
      <c r="BQ226">
        <f t="shared" ca="1" si="264"/>
        <v>294.14</v>
      </c>
      <c r="BR226">
        <f t="shared" ca="1" si="265"/>
        <v>99.660000000000011</v>
      </c>
      <c r="BS226">
        <f t="shared" ca="1" si="266"/>
        <v>135.5</v>
      </c>
      <c r="BT226">
        <f t="shared" ca="1" si="267"/>
        <v>63.2</v>
      </c>
      <c r="BU226">
        <f t="shared" ca="1" si="268"/>
        <v>12</v>
      </c>
      <c r="BV226">
        <f t="shared" ca="1" si="269"/>
        <v>4.3</v>
      </c>
      <c r="BW226" s="1018">
        <v>0</v>
      </c>
      <c r="BX226">
        <f t="shared" ca="1" si="274"/>
        <v>328.69017704169045</v>
      </c>
      <c r="BY226">
        <f t="shared" ca="1" si="275"/>
        <v>208.61436950146629</v>
      </c>
      <c r="BZ226">
        <f t="shared" ca="1" si="256"/>
        <v>69.539561057962871</v>
      </c>
      <c r="CA226">
        <f t="shared" ca="1" si="257"/>
        <v>32.999999981849996</v>
      </c>
      <c r="CB226">
        <f t="shared" ca="1" si="276"/>
        <v>9.0267175572519083</v>
      </c>
      <c r="CC226" s="1018">
        <f t="shared" si="258"/>
        <v>0</v>
      </c>
      <c r="CD226" s="1018">
        <f t="shared" ca="1" si="270"/>
        <v>648.87082514022143</v>
      </c>
      <c r="CE226" s="1018">
        <f t="shared" ca="1" si="273"/>
        <v>183.89923712295646</v>
      </c>
      <c r="CF226">
        <f t="shared" ca="1" si="260"/>
        <v>24.983101867895336</v>
      </c>
      <c r="CG226">
        <f t="shared" ca="1" si="261"/>
        <v>41595.865285971013</v>
      </c>
    </row>
    <row r="227" spans="4:85" x14ac:dyDescent="0.25">
      <c r="D227" s="536"/>
      <c r="E227" s="535"/>
      <c r="F227" s="536"/>
      <c r="G227" s="535"/>
      <c r="H227" s="536"/>
      <c r="I227" s="535"/>
      <c r="J227" s="536"/>
      <c r="K227" s="539" t="s">
        <v>13</v>
      </c>
      <c r="L227" s="540">
        <v>1</v>
      </c>
      <c r="M227" s="536" t="s">
        <v>17</v>
      </c>
      <c r="N227" s="538">
        <v>8.5106382999999994E-2</v>
      </c>
      <c r="O227" s="536" t="s">
        <v>19</v>
      </c>
      <c r="P227" s="538">
        <v>0.84089392900000004</v>
      </c>
      <c r="Q227" s="536" t="s">
        <v>17</v>
      </c>
      <c r="R227" s="538">
        <v>1</v>
      </c>
      <c r="S227" s="536"/>
      <c r="T227" s="543">
        <v>1.1084364333370043E-3</v>
      </c>
      <c r="U227" s="535"/>
      <c r="V227" s="176">
        <f t="shared" si="172"/>
        <v>1.1084364333370043E-3</v>
      </c>
      <c r="W227" s="176">
        <f>V227-V227*Calculation_sheet!J$67</f>
        <v>1.1084364333370043E-3</v>
      </c>
      <c r="X227" s="176">
        <f>W227-W227*Calculation_sheet!J$77</f>
        <v>1.1084364333370043E-3</v>
      </c>
      <c r="Y227" s="34">
        <f>X227/Calculation_sheet!M$67</f>
        <v>1.1084590969034612E-3</v>
      </c>
      <c r="Z227" s="176">
        <f ca="1">IF(AN227&gt;0,Y227*Calculation_sheet!C$87,0)</f>
        <v>0</v>
      </c>
      <c r="AA227" s="176">
        <f t="shared" ca="1" si="271"/>
        <v>1.1084590969034612E-3</v>
      </c>
      <c r="AB227" s="176">
        <f ca="1">IF(AP227&gt;0,AA227*Calculation_sheet!C$94,0)</f>
        <v>0</v>
      </c>
      <c r="AC227" s="176">
        <f t="shared" ca="1" si="262"/>
        <v>1.1084590969034612E-3</v>
      </c>
      <c r="AD227" s="958">
        <f ca="1">AC227*Calculation_sheet!C$99</f>
        <v>6.6507545814207668E-4</v>
      </c>
      <c r="AE227" s="176">
        <f t="shared" ca="1" si="262"/>
        <v>4.4338363876138449E-4</v>
      </c>
      <c r="AF227" s="176">
        <f t="shared" ca="1" si="272"/>
        <v>1.1084590969034612E-3</v>
      </c>
      <c r="AG227" s="958">
        <f ca="1">AF227*User_sheet!B$77/100</f>
        <v>0</v>
      </c>
      <c r="AH227" s="313"/>
      <c r="AI227" s="908">
        <v>202</v>
      </c>
      <c r="AJ227" s="313"/>
      <c r="AK227" s="1020">
        <f t="shared" ca="1" si="255"/>
        <v>648.87082514022143</v>
      </c>
      <c r="AL227" s="954">
        <f ca="1">AK227/'202'!I$24</f>
        <v>2.0903670150453317</v>
      </c>
      <c r="AM227" s="954">
        <f ca="1">0.8*(AK227*30+'202'!D$17*0.34*30*1)</f>
        <v>19184.842203365315</v>
      </c>
      <c r="AN227" s="954">
        <f ca="1">IF(AM227&lt;User_sheet!B$50,Y227,0)</f>
        <v>0</v>
      </c>
      <c r="AO227" s="954">
        <f ca="1">20-(User_sheet!B$57/(AK227+'202'!D$17*1*0.34))</f>
        <v>12.869370592164518</v>
      </c>
      <c r="AP227" s="954">
        <f ca="1">IF(AO227&lt;User_sheet!B$59,0,BC227*AA227)</f>
        <v>0</v>
      </c>
      <c r="AQ227" s="313"/>
      <c r="AR227" s="909">
        <v>7.7</v>
      </c>
      <c r="AS227" s="909">
        <v>2.1</v>
      </c>
      <c r="AT227" s="909">
        <v>7.9</v>
      </c>
      <c r="AU227" s="909">
        <v>2.75</v>
      </c>
      <c r="AV227" s="909">
        <v>3.3</v>
      </c>
      <c r="AW227" s="909">
        <v>11357.186356387729</v>
      </c>
      <c r="AX227" s="909">
        <v>74715.401027665983</v>
      </c>
      <c r="AY227" s="909">
        <v>67352.647733737584</v>
      </c>
      <c r="AZ227" s="909">
        <v>0</v>
      </c>
      <c r="BA227" s="909">
        <v>0</v>
      </c>
      <c r="BB227" s="909">
        <v>0.6</v>
      </c>
      <c r="BC227" s="919">
        <v>0</v>
      </c>
      <c r="BD227" s="920">
        <v>0</v>
      </c>
      <c r="BE227" s="920">
        <v>0</v>
      </c>
      <c r="BF227" s="921">
        <v>1</v>
      </c>
      <c r="BG227" s="909">
        <v>0</v>
      </c>
      <c r="BH227" s="909">
        <v>1</v>
      </c>
      <c r="BI227" s="921">
        <v>0</v>
      </c>
      <c r="BJ227" s="909">
        <v>0</v>
      </c>
      <c r="BK227" s="909">
        <v>0</v>
      </c>
      <c r="BL227" s="909">
        <v>0</v>
      </c>
      <c r="BM227" s="921">
        <v>1</v>
      </c>
      <c r="BN227" s="958">
        <v>0</v>
      </c>
      <c r="BO227" s="959">
        <v>18</v>
      </c>
      <c r="BP227">
        <f t="shared" ca="1" si="263"/>
        <v>173.25</v>
      </c>
      <c r="BQ227">
        <f t="shared" ca="1" si="264"/>
        <v>294.14</v>
      </c>
      <c r="BR227">
        <f t="shared" ca="1" si="265"/>
        <v>99.660000000000011</v>
      </c>
      <c r="BS227">
        <f t="shared" ca="1" si="266"/>
        <v>135.5</v>
      </c>
      <c r="BT227">
        <f t="shared" ca="1" si="267"/>
        <v>63.2</v>
      </c>
      <c r="BU227">
        <f t="shared" ca="1" si="268"/>
        <v>12</v>
      </c>
      <c r="BV227">
        <f t="shared" ca="1" si="269"/>
        <v>4.3</v>
      </c>
      <c r="BW227" s="1018">
        <v>0</v>
      </c>
      <c r="BX227">
        <f t="shared" ca="1" si="274"/>
        <v>328.69017704169045</v>
      </c>
      <c r="BY227">
        <f t="shared" ca="1" si="275"/>
        <v>208.61436950146629</v>
      </c>
      <c r="BZ227">
        <f t="shared" ca="1" si="256"/>
        <v>69.539561057962871</v>
      </c>
      <c r="CA227">
        <f t="shared" ca="1" si="257"/>
        <v>32.999999981849996</v>
      </c>
      <c r="CB227">
        <f t="shared" ca="1" si="276"/>
        <v>9.0267175572519083</v>
      </c>
      <c r="CC227" s="1018">
        <f t="shared" si="258"/>
        <v>0</v>
      </c>
      <c r="CD227" s="1018">
        <f t="shared" ca="1" si="270"/>
        <v>648.87082514022143</v>
      </c>
      <c r="CE227" s="1018">
        <f t="shared" ca="1" si="273"/>
        <v>183.89923712295646</v>
      </c>
      <c r="CF227">
        <f t="shared" ca="1" si="260"/>
        <v>24.983101867895336</v>
      </c>
      <c r="CG227">
        <f t="shared" ca="1" si="261"/>
        <v>41595.865285971013</v>
      </c>
    </row>
    <row r="228" spans="4:85" s="14" customFormat="1" x14ac:dyDescent="0.25">
      <c r="D228" s="15"/>
      <c r="F228" s="15"/>
      <c r="H228" s="15"/>
      <c r="J228" s="15"/>
      <c r="K228" s="16"/>
      <c r="L228" s="15"/>
      <c r="M228" s="15"/>
      <c r="N228" s="15"/>
      <c r="O228" s="15"/>
      <c r="P228" s="15"/>
      <c r="Q228" s="15"/>
      <c r="R228" s="15"/>
      <c r="S228" s="15"/>
      <c r="T228" s="80"/>
      <c r="U228" s="295"/>
      <c r="V228" s="292"/>
      <c r="W228" s="292"/>
      <c r="X228" s="292"/>
      <c r="Y228" s="277"/>
      <c r="Z228" s="292"/>
      <c r="AA228" s="292"/>
      <c r="AB228" s="292"/>
      <c r="AC228" s="292"/>
      <c r="AD228" s="277"/>
      <c r="AE228" s="292"/>
      <c r="AF228" s="292"/>
      <c r="AG228" s="277"/>
      <c r="AH228" s="313"/>
      <c r="AI228" s="913"/>
      <c r="AJ228" s="313"/>
      <c r="AK228" s="1020">
        <f t="shared" si="255"/>
        <v>0</v>
      </c>
      <c r="AL228" s="955"/>
      <c r="AM228" s="955"/>
      <c r="AN228" s="941"/>
      <c r="AO228" s="941"/>
      <c r="AP228" s="941"/>
      <c r="AQ228" s="313"/>
      <c r="AR228" s="918"/>
      <c r="AS228" s="918"/>
      <c r="AT228" s="918"/>
      <c r="AU228" s="918"/>
      <c r="AV228" s="918"/>
      <c r="AW228" s="918"/>
      <c r="AX228" s="918"/>
      <c r="AY228" s="918"/>
      <c r="AZ228" s="918"/>
      <c r="BA228" s="918"/>
      <c r="BB228" s="918"/>
      <c r="BC228" s="45"/>
      <c r="BD228" s="277"/>
      <c r="BE228" s="277"/>
      <c r="BF228" s="49"/>
      <c r="BG228" s="918"/>
      <c r="BH228" s="918"/>
      <c r="BI228" s="49"/>
      <c r="BJ228" s="918"/>
      <c r="BK228" s="918"/>
      <c r="BL228" s="918"/>
      <c r="BM228" s="49"/>
      <c r="BN228" s="277"/>
      <c r="BO228" s="49"/>
      <c r="BW228" s="928"/>
      <c r="CC228" s="928"/>
      <c r="CD228" s="928"/>
      <c r="CE228" s="928"/>
    </row>
    <row r="229" spans="4:85" x14ac:dyDescent="0.25">
      <c r="D229" s="1"/>
      <c r="F229" s="1"/>
      <c r="G229" s="3"/>
      <c r="H229" s="6"/>
      <c r="I229" s="3"/>
      <c r="J229" s="6"/>
      <c r="K229" s="8"/>
      <c r="L229" s="6"/>
      <c r="M229" s="1"/>
      <c r="N229" s="1"/>
      <c r="O229" s="1"/>
      <c r="P229" s="1"/>
      <c r="Q229" s="1" t="s">
        <v>16</v>
      </c>
      <c r="R229" s="4"/>
      <c r="S229" s="1"/>
      <c r="T229" s="77"/>
      <c r="U229" s="294"/>
      <c r="X229" s="176">
        <f>W217-X217</f>
        <v>0</v>
      </c>
      <c r="Y229" s="34">
        <f>X229/Calculation_sheet!M$67</f>
        <v>0</v>
      </c>
      <c r="Z229" s="176">
        <f ca="1">IF(AN229&gt;0,Y229*Calculation_sheet!C$87,0)</f>
        <v>0</v>
      </c>
      <c r="AA229" s="176">
        <f ca="1">Y229-Z229</f>
        <v>0</v>
      </c>
      <c r="AB229" s="176">
        <f ca="1">IF(AP229&gt;0,AA229*Calculation_sheet!C$94,0)</f>
        <v>0</v>
      </c>
      <c r="AC229" s="176">
        <f t="shared" ref="AC229:AE239" ca="1" si="277">AA229-AB229</f>
        <v>0</v>
      </c>
      <c r="AD229" s="958">
        <f ca="1">AC229*Calculation_sheet!C$99</f>
        <v>0</v>
      </c>
      <c r="AE229" s="176">
        <f t="shared" ca="1" si="277"/>
        <v>0</v>
      </c>
      <c r="AF229" s="176">
        <f ca="1">Y229-AB229</f>
        <v>0</v>
      </c>
      <c r="AG229" s="958">
        <f ca="1">AF229*User_sheet!B$77/100</f>
        <v>0</v>
      </c>
      <c r="AH229" s="313"/>
      <c r="AI229" s="908">
        <v>202</v>
      </c>
      <c r="AJ229" s="313"/>
      <c r="AK229" s="1020">
        <f t="shared" ca="1" si="255"/>
        <v>341.39590833952172</v>
      </c>
      <c r="AL229" s="954">
        <f ca="1">AK229/'202'!I$24</f>
        <v>1.099822519698211</v>
      </c>
      <c r="AM229" s="954">
        <f ca="1">0.8*(AK229*30+'202'!D$17*0.34*30*1)</f>
        <v>11805.444200148522</v>
      </c>
      <c r="AN229" s="954">
        <f ca="1">IF(AM229&lt;User_sheet!B$50,Y229,0)</f>
        <v>0</v>
      </c>
      <c r="AO229" s="954">
        <f ca="1">20-(User_sheet!B$57/(AK229+'202'!D$17*1*0.34))</f>
        <v>8.4121259919826699</v>
      </c>
      <c r="AP229" s="954">
        <f ca="1">IF(AO229&lt;User_sheet!B$59,0,BC229*AA229)</f>
        <v>0</v>
      </c>
      <c r="AQ229" s="313"/>
      <c r="AR229" s="909">
        <v>0.32</v>
      </c>
      <c r="AS229" s="909">
        <v>2.1</v>
      </c>
      <c r="AT229" s="909">
        <v>7.9</v>
      </c>
      <c r="AU229" s="909">
        <v>2</v>
      </c>
      <c r="AV229" s="909">
        <v>3.3</v>
      </c>
      <c r="AW229" s="909">
        <v>14356</v>
      </c>
      <c r="AX229" s="909">
        <v>74715.401027665983</v>
      </c>
      <c r="AY229" s="909">
        <v>67352.647733737584</v>
      </c>
      <c r="AZ229" s="917">
        <v>0</v>
      </c>
      <c r="BA229" s="917">
        <v>0</v>
      </c>
      <c r="BB229" s="909">
        <v>0.6</v>
      </c>
      <c r="BC229" s="919">
        <v>1</v>
      </c>
      <c r="BD229" s="920">
        <v>0</v>
      </c>
      <c r="BE229" s="920">
        <v>0</v>
      </c>
      <c r="BF229" s="921">
        <v>0</v>
      </c>
      <c r="BG229" s="920">
        <v>1</v>
      </c>
      <c r="BH229" s="920">
        <v>0</v>
      </c>
      <c r="BI229" s="921">
        <v>0</v>
      </c>
      <c r="BJ229" s="920">
        <v>1</v>
      </c>
      <c r="BK229" s="920">
        <v>0</v>
      </c>
      <c r="BL229" s="920">
        <v>0</v>
      </c>
      <c r="BM229" s="921">
        <v>0</v>
      </c>
      <c r="BN229" s="958">
        <v>0</v>
      </c>
      <c r="BO229" s="959">
        <v>18</v>
      </c>
      <c r="BP229">
        <f t="shared" ref="BP229:BP239" ca="1" si="278">INDIRECT("'"&amp;AI229&amp;"'!"&amp;"B2")</f>
        <v>173.25</v>
      </c>
      <c r="BQ229">
        <f t="shared" ref="BQ229:BQ239" ca="1" si="279">INDIRECT("'"&amp;AI229&amp;"'!"&amp;"C12")+INDIRECT("'"&amp;AI229&amp;"'!"&amp;"C13")+INDIRECT("'"&amp;AI229&amp;"'!"&amp;"C14")+INDIRECT("'"&amp;AI229&amp;"'!"&amp;"C15")+INDIRECT("'"&amp;AI229&amp;"'!"&amp;"C17")</f>
        <v>294.14</v>
      </c>
      <c r="BR229">
        <f t="shared" ref="BR229:BR239" ca="1" si="280">INDIRECT("'"&amp;AI229&amp;"'!"&amp;"G5")</f>
        <v>99.660000000000011</v>
      </c>
      <c r="BS229">
        <f t="shared" ref="BS229:BS239" ca="1" si="281">INDIRECT("'"&amp;AI229&amp;"'!"&amp;"G4")</f>
        <v>135.5</v>
      </c>
      <c r="BT229">
        <f t="shared" ref="BT229:BT239" ca="1" si="282">INDIRECT("'"&amp;AI229&amp;"'!"&amp;"G6")</f>
        <v>63.2</v>
      </c>
      <c r="BU229">
        <f t="shared" ref="BU229:BU239" ca="1" si="283">INDIRECT("'"&amp;AI229&amp;"'!"&amp;"G2")</f>
        <v>12</v>
      </c>
      <c r="BV229">
        <f t="shared" ref="BV229:BV239" ca="1" si="284">INDIRECT("'"&amp;AI229&amp;"'!"&amp;"G3")</f>
        <v>4.3</v>
      </c>
      <c r="BW229" s="1018">
        <v>0</v>
      </c>
      <c r="BX229">
        <f t="shared" ca="1" si="274"/>
        <v>30.215260232440635</v>
      </c>
      <c r="BY229">
        <f t="shared" ca="1" si="275"/>
        <v>208.61436950146629</v>
      </c>
      <c r="BZ229">
        <f t="shared" ca="1" si="256"/>
        <v>69.539561057962871</v>
      </c>
      <c r="CA229">
        <f t="shared" ca="1" si="257"/>
        <v>23.999999990399999</v>
      </c>
      <c r="CB229">
        <f t="shared" ca="1" si="276"/>
        <v>9.0267175572519083</v>
      </c>
      <c r="CC229" s="1018">
        <f t="shared" si="258"/>
        <v>0</v>
      </c>
      <c r="CD229" s="1018">
        <f t="shared" ref="CD229:CD239" ca="1" si="285">SUM(BX229:CC229)+(BR229+BS229+BT229+BU229+BV229)*BN229</f>
        <v>341.39590833952172</v>
      </c>
      <c r="CE229" s="1018">
        <f ca="1">0.34*BO229*(1/25)^0.66*(BR229+BS229+BU229+BV229)</f>
        <v>183.89923712295646</v>
      </c>
      <c r="CF229">
        <f t="shared" ca="1" si="260"/>
        <v>15.758854363874347</v>
      </c>
      <c r="CG229">
        <f t="shared" ca="1" si="261"/>
        <v>26237.862161676236</v>
      </c>
    </row>
    <row r="230" spans="4:85" x14ac:dyDescent="0.25">
      <c r="D230" s="1"/>
      <c r="F230" s="1"/>
      <c r="G230" s="3"/>
      <c r="H230" s="6"/>
      <c r="I230" s="3"/>
      <c r="J230" s="6"/>
      <c r="K230" s="8"/>
      <c r="L230" s="6"/>
      <c r="M230" s="1"/>
      <c r="N230" s="1"/>
      <c r="O230" s="1" t="s">
        <v>18</v>
      </c>
      <c r="P230" s="4"/>
      <c r="Q230" s="1" t="s">
        <v>7</v>
      </c>
      <c r="R230" s="4"/>
      <c r="S230" s="1"/>
      <c r="T230" s="77"/>
      <c r="U230" s="294"/>
      <c r="X230" s="176">
        <f t="shared" ref="X230:X239" si="286">W218-X218</f>
        <v>0</v>
      </c>
      <c r="Y230" s="34">
        <f>X230/Calculation_sheet!M$67</f>
        <v>0</v>
      </c>
      <c r="Z230" s="176">
        <f ca="1">IF(AN230&gt;0,Y230*Calculation_sheet!C$87,0)</f>
        <v>0</v>
      </c>
      <c r="AA230" s="176">
        <f t="shared" ref="AA230:AA239" ca="1" si="287">Y230-Z230</f>
        <v>0</v>
      </c>
      <c r="AB230" s="176">
        <f ca="1">IF(AP230&gt;0,AA230*Calculation_sheet!C$94,0)</f>
        <v>0</v>
      </c>
      <c r="AC230" s="176">
        <f t="shared" ca="1" si="277"/>
        <v>0</v>
      </c>
      <c r="AD230" s="958">
        <f ca="1">AC230*Calculation_sheet!C$99</f>
        <v>0</v>
      </c>
      <c r="AE230" s="176">
        <f t="shared" ca="1" si="277"/>
        <v>0</v>
      </c>
      <c r="AF230" s="176">
        <f t="shared" ref="AF230:AF239" ca="1" si="288">Y230-AB230</f>
        <v>0</v>
      </c>
      <c r="AG230" s="958">
        <f ca="1">AF230*User_sheet!B$77/100</f>
        <v>0</v>
      </c>
      <c r="AH230" s="313"/>
      <c r="AI230" s="908">
        <v>202</v>
      </c>
      <c r="AJ230" s="313"/>
      <c r="AK230" s="1020">
        <f t="shared" ca="1" si="255"/>
        <v>341.39590833952172</v>
      </c>
      <c r="AL230" s="954">
        <f ca="1">AK230/'202'!I$24</f>
        <v>1.099822519698211</v>
      </c>
      <c r="AM230" s="954">
        <f ca="1">0.8*(AK230*30+'202'!D$17*0.34*30*1)</f>
        <v>11805.444200148522</v>
      </c>
      <c r="AN230" s="954">
        <f ca="1">IF(AM230&lt;User_sheet!B$50,Y230,0)</f>
        <v>0</v>
      </c>
      <c r="AO230" s="954">
        <f ca="1">20-(User_sheet!B$57/(AK230+'202'!D$17*1*0.34))</f>
        <v>8.4121259919826699</v>
      </c>
      <c r="AP230" s="954">
        <f ca="1">IF(AO230&lt;User_sheet!B$59,0,BC230*AA230)</f>
        <v>0</v>
      </c>
      <c r="AQ230" s="313"/>
      <c r="AR230" s="909">
        <v>0.32</v>
      </c>
      <c r="AS230" s="909">
        <v>2.1</v>
      </c>
      <c r="AT230" s="909">
        <v>7.9</v>
      </c>
      <c r="AU230" s="909">
        <v>2</v>
      </c>
      <c r="AV230" s="909">
        <v>3.3</v>
      </c>
      <c r="AW230" s="909">
        <v>14356</v>
      </c>
      <c r="AX230" s="909">
        <v>74715.401027665983</v>
      </c>
      <c r="AY230" s="909">
        <v>67352.647733737584</v>
      </c>
      <c r="AZ230" s="917">
        <v>0</v>
      </c>
      <c r="BA230" s="917">
        <v>0</v>
      </c>
      <c r="BB230" s="909">
        <v>0.6</v>
      </c>
      <c r="BC230" s="919">
        <v>1</v>
      </c>
      <c r="BD230" s="920">
        <v>0</v>
      </c>
      <c r="BE230" s="920">
        <v>0</v>
      </c>
      <c r="BF230" s="921">
        <v>0</v>
      </c>
      <c r="BG230" s="920">
        <v>1</v>
      </c>
      <c r="BH230" s="920">
        <v>0</v>
      </c>
      <c r="BI230" s="921">
        <v>0</v>
      </c>
      <c r="BJ230" s="920">
        <v>0</v>
      </c>
      <c r="BK230" s="920">
        <v>0</v>
      </c>
      <c r="BL230" s="920">
        <v>1</v>
      </c>
      <c r="BM230" s="921">
        <v>0</v>
      </c>
      <c r="BN230" s="958">
        <v>0</v>
      </c>
      <c r="BO230" s="959">
        <v>18</v>
      </c>
      <c r="BP230">
        <f t="shared" ca="1" si="278"/>
        <v>173.25</v>
      </c>
      <c r="BQ230">
        <f t="shared" ca="1" si="279"/>
        <v>294.14</v>
      </c>
      <c r="BR230">
        <f t="shared" ca="1" si="280"/>
        <v>99.660000000000011</v>
      </c>
      <c r="BS230">
        <f t="shared" ca="1" si="281"/>
        <v>135.5</v>
      </c>
      <c r="BT230">
        <f t="shared" ca="1" si="282"/>
        <v>63.2</v>
      </c>
      <c r="BU230">
        <f t="shared" ca="1" si="283"/>
        <v>12</v>
      </c>
      <c r="BV230">
        <f t="shared" ca="1" si="284"/>
        <v>4.3</v>
      </c>
      <c r="BW230" s="1018">
        <v>0</v>
      </c>
      <c r="BX230">
        <f t="shared" ca="1" si="274"/>
        <v>30.215260232440635</v>
      </c>
      <c r="BY230">
        <f t="shared" ca="1" si="275"/>
        <v>208.61436950146629</v>
      </c>
      <c r="BZ230">
        <f t="shared" ca="1" si="256"/>
        <v>69.539561057962871</v>
      </c>
      <c r="CA230">
        <f t="shared" ca="1" si="257"/>
        <v>23.999999990399999</v>
      </c>
      <c r="CB230">
        <f t="shared" ca="1" si="276"/>
        <v>9.0267175572519083</v>
      </c>
      <c r="CC230" s="1018">
        <f t="shared" si="258"/>
        <v>0</v>
      </c>
      <c r="CD230" s="1018">
        <f t="shared" ca="1" si="285"/>
        <v>341.39590833952172</v>
      </c>
      <c r="CE230" s="1018">
        <f t="shared" ref="CE230:CE239" ca="1" si="289">0.34*BO230*(1/25)^0.66*(BR230+BS230+BU230+BV230)</f>
        <v>183.89923712295646</v>
      </c>
      <c r="CF230">
        <f t="shared" ca="1" si="260"/>
        <v>15.758854363874347</v>
      </c>
      <c r="CG230">
        <f t="shared" ca="1" si="261"/>
        <v>26237.862161676236</v>
      </c>
    </row>
    <row r="231" spans="4:85" x14ac:dyDescent="0.25">
      <c r="D231" s="1"/>
      <c r="F231" s="1"/>
      <c r="G231" s="3"/>
      <c r="H231" s="6"/>
      <c r="I231" s="3"/>
      <c r="J231" s="6"/>
      <c r="K231" s="8"/>
      <c r="L231" s="6"/>
      <c r="M231" s="1"/>
      <c r="N231" s="1"/>
      <c r="O231" s="1"/>
      <c r="P231" s="1"/>
      <c r="Q231" s="1" t="s">
        <v>16</v>
      </c>
      <c r="R231" s="4"/>
      <c r="S231" s="1"/>
      <c r="T231" s="77"/>
      <c r="U231" s="294"/>
      <c r="X231" s="176">
        <f t="shared" si="286"/>
        <v>0</v>
      </c>
      <c r="Y231" s="34">
        <f>X231/Calculation_sheet!M$67</f>
        <v>0</v>
      </c>
      <c r="Z231" s="176">
        <f ca="1">IF(AN231&gt;0,Y231*Calculation_sheet!C$87,0)</f>
        <v>0</v>
      </c>
      <c r="AA231" s="176">
        <f t="shared" ca="1" si="287"/>
        <v>0</v>
      </c>
      <c r="AB231" s="176">
        <f ca="1">IF(AP231&gt;0,AA231*Calculation_sheet!C$94,0)</f>
        <v>0</v>
      </c>
      <c r="AC231" s="176">
        <f t="shared" ca="1" si="277"/>
        <v>0</v>
      </c>
      <c r="AD231" s="958">
        <f ca="1">AC231*Calculation_sheet!C$99</f>
        <v>0</v>
      </c>
      <c r="AE231" s="176">
        <f t="shared" ca="1" si="277"/>
        <v>0</v>
      </c>
      <c r="AF231" s="176">
        <f t="shared" ca="1" si="288"/>
        <v>0</v>
      </c>
      <c r="AG231" s="958">
        <f ca="1">AF231*User_sheet!B$77/100</f>
        <v>0</v>
      </c>
      <c r="AH231" s="313"/>
      <c r="AI231" s="908">
        <v>202</v>
      </c>
      <c r="AJ231" s="313"/>
      <c r="AK231" s="1020">
        <f t="shared" ca="1" si="255"/>
        <v>341.39590833952172</v>
      </c>
      <c r="AL231" s="954">
        <f ca="1">AK231/'202'!I$24</f>
        <v>1.099822519698211</v>
      </c>
      <c r="AM231" s="954">
        <f ca="1">0.8*(AK231*30+'202'!D$17*0.34*30*1)</f>
        <v>11805.444200148522</v>
      </c>
      <c r="AN231" s="954">
        <f ca="1">IF(AM231&lt;User_sheet!B$50,Y231,0)</f>
        <v>0</v>
      </c>
      <c r="AO231" s="954">
        <f ca="1">20-(User_sheet!B$57/(AK231+'202'!D$17*1*0.34))</f>
        <v>8.4121259919826699</v>
      </c>
      <c r="AP231" s="954">
        <f ca="1">IF(AO231&lt;User_sheet!B$59,0,BC231*AA231)</f>
        <v>0</v>
      </c>
      <c r="AQ231" s="313"/>
      <c r="AR231" s="909">
        <v>0.32</v>
      </c>
      <c r="AS231" s="909">
        <v>2.1</v>
      </c>
      <c r="AT231" s="909">
        <v>7.9</v>
      </c>
      <c r="AU231" s="909">
        <v>2</v>
      </c>
      <c r="AV231" s="909">
        <v>3.3</v>
      </c>
      <c r="AW231" s="909">
        <v>14356</v>
      </c>
      <c r="AX231" s="909">
        <v>74715.401027665983</v>
      </c>
      <c r="AY231" s="909">
        <v>67352.647733737584</v>
      </c>
      <c r="AZ231" s="917">
        <v>0</v>
      </c>
      <c r="BA231" s="917">
        <v>0</v>
      </c>
      <c r="BB231" s="909">
        <v>0.6</v>
      </c>
      <c r="BC231" s="919">
        <v>1</v>
      </c>
      <c r="BD231" s="920">
        <v>0</v>
      </c>
      <c r="BE231" s="920">
        <v>0</v>
      </c>
      <c r="BF231" s="921">
        <v>0</v>
      </c>
      <c r="BG231" s="920">
        <v>0</v>
      </c>
      <c r="BH231" s="920">
        <v>1</v>
      </c>
      <c r="BI231" s="921">
        <v>0</v>
      </c>
      <c r="BJ231" s="920">
        <v>1</v>
      </c>
      <c r="BK231" s="920">
        <v>0</v>
      </c>
      <c r="BL231" s="920">
        <v>0</v>
      </c>
      <c r="BM231" s="921">
        <v>0</v>
      </c>
      <c r="BN231" s="958">
        <v>0</v>
      </c>
      <c r="BO231" s="959">
        <v>18</v>
      </c>
      <c r="BP231">
        <f t="shared" ca="1" si="278"/>
        <v>173.25</v>
      </c>
      <c r="BQ231">
        <f t="shared" ca="1" si="279"/>
        <v>294.14</v>
      </c>
      <c r="BR231">
        <f t="shared" ca="1" si="280"/>
        <v>99.660000000000011</v>
      </c>
      <c r="BS231">
        <f t="shared" ca="1" si="281"/>
        <v>135.5</v>
      </c>
      <c r="BT231">
        <f t="shared" ca="1" si="282"/>
        <v>63.2</v>
      </c>
      <c r="BU231">
        <f t="shared" ca="1" si="283"/>
        <v>12</v>
      </c>
      <c r="BV231">
        <f t="shared" ca="1" si="284"/>
        <v>4.3</v>
      </c>
      <c r="BW231" s="1018">
        <v>0</v>
      </c>
      <c r="BX231">
        <f t="shared" ca="1" si="274"/>
        <v>30.215260232440635</v>
      </c>
      <c r="BY231">
        <f t="shared" ca="1" si="275"/>
        <v>208.61436950146629</v>
      </c>
      <c r="BZ231">
        <f t="shared" ca="1" si="256"/>
        <v>69.539561057962871</v>
      </c>
      <c r="CA231">
        <f t="shared" ca="1" si="257"/>
        <v>23.999999990399999</v>
      </c>
      <c r="CB231">
        <f t="shared" ca="1" si="276"/>
        <v>9.0267175572519083</v>
      </c>
      <c r="CC231" s="1018">
        <f t="shared" si="258"/>
        <v>0</v>
      </c>
      <c r="CD231" s="1018">
        <f t="shared" ca="1" si="285"/>
        <v>341.39590833952172</v>
      </c>
      <c r="CE231" s="1018">
        <f t="shared" ca="1" si="289"/>
        <v>183.89923712295646</v>
      </c>
      <c r="CF231">
        <f t="shared" ca="1" si="260"/>
        <v>15.758854363874347</v>
      </c>
      <c r="CG231">
        <f t="shared" ca="1" si="261"/>
        <v>26237.862161676236</v>
      </c>
    </row>
    <row r="232" spans="4:85" x14ac:dyDescent="0.25">
      <c r="D232" s="1"/>
      <c r="F232" s="1"/>
      <c r="G232" s="3"/>
      <c r="H232" s="6"/>
      <c r="I232" s="3"/>
      <c r="J232" s="6"/>
      <c r="K232" s="8"/>
      <c r="L232" s="6"/>
      <c r="M232" s="1" t="s">
        <v>16</v>
      </c>
      <c r="N232" s="4"/>
      <c r="O232" s="1" t="s">
        <v>19</v>
      </c>
      <c r="P232" s="4"/>
      <c r="Q232" s="1" t="s">
        <v>7</v>
      </c>
      <c r="R232" s="4"/>
      <c r="S232" s="1"/>
      <c r="T232" s="77"/>
      <c r="U232" s="294"/>
      <c r="X232" s="176">
        <f t="shared" si="286"/>
        <v>0</v>
      </c>
      <c r="Y232" s="34">
        <f>X232/Calculation_sheet!M$67</f>
        <v>0</v>
      </c>
      <c r="Z232" s="176">
        <f ca="1">IF(AN232&gt;0,Y232*Calculation_sheet!C$87,0)</f>
        <v>0</v>
      </c>
      <c r="AA232" s="176">
        <f t="shared" ca="1" si="287"/>
        <v>0</v>
      </c>
      <c r="AB232" s="176">
        <f ca="1">IF(AP232&gt;0,AA232*Calculation_sheet!C$94,0)</f>
        <v>0</v>
      </c>
      <c r="AC232" s="176">
        <f t="shared" ca="1" si="277"/>
        <v>0</v>
      </c>
      <c r="AD232" s="958">
        <f ca="1">AC232*Calculation_sheet!C$99</f>
        <v>0</v>
      </c>
      <c r="AE232" s="176">
        <f t="shared" ca="1" si="277"/>
        <v>0</v>
      </c>
      <c r="AF232" s="176">
        <f t="shared" ca="1" si="288"/>
        <v>0</v>
      </c>
      <c r="AG232" s="958">
        <f ca="1">AF232*User_sheet!B$77/100</f>
        <v>0</v>
      </c>
      <c r="AH232" s="313"/>
      <c r="AI232" s="908">
        <v>202</v>
      </c>
      <c r="AJ232" s="313"/>
      <c r="AK232" s="1020">
        <f t="shared" ca="1" si="255"/>
        <v>341.39590833952172</v>
      </c>
      <c r="AL232" s="954">
        <f ca="1">AK232/'202'!I$24</f>
        <v>1.099822519698211</v>
      </c>
      <c r="AM232" s="954">
        <f ca="1">0.8*(AK232*30+'202'!D$17*0.34*30*1)</f>
        <v>11805.444200148522</v>
      </c>
      <c r="AN232" s="954">
        <f ca="1">IF(AM232&lt;User_sheet!B$50,Y232,0)</f>
        <v>0</v>
      </c>
      <c r="AO232" s="954">
        <f ca="1">20-(User_sheet!B$57/(AK232+'202'!D$17*1*0.34))</f>
        <v>8.4121259919826699</v>
      </c>
      <c r="AP232" s="954">
        <f ca="1">IF(AO232&lt;User_sheet!B$59,0,BC232*AA232)</f>
        <v>0</v>
      </c>
      <c r="AQ232" s="313"/>
      <c r="AR232" s="909">
        <v>0.32</v>
      </c>
      <c r="AS232" s="909">
        <v>2.1</v>
      </c>
      <c r="AT232" s="909">
        <v>7.9</v>
      </c>
      <c r="AU232" s="909">
        <v>2</v>
      </c>
      <c r="AV232" s="909">
        <v>3.3</v>
      </c>
      <c r="AW232" s="909">
        <v>14356</v>
      </c>
      <c r="AX232" s="909">
        <v>74715.401027665983</v>
      </c>
      <c r="AY232" s="909">
        <v>67352.647733737584</v>
      </c>
      <c r="AZ232" s="917">
        <v>0</v>
      </c>
      <c r="BA232" s="917">
        <v>0</v>
      </c>
      <c r="BB232" s="909">
        <v>0.6</v>
      </c>
      <c r="BC232" s="919">
        <v>1</v>
      </c>
      <c r="BD232" s="920">
        <v>0</v>
      </c>
      <c r="BE232" s="920">
        <v>0</v>
      </c>
      <c r="BF232" s="921">
        <v>0</v>
      </c>
      <c r="BG232" s="920">
        <v>0</v>
      </c>
      <c r="BH232" s="920">
        <v>1</v>
      </c>
      <c r="BI232" s="921">
        <v>0</v>
      </c>
      <c r="BJ232" s="920">
        <v>0</v>
      </c>
      <c r="BK232" s="920">
        <v>0</v>
      </c>
      <c r="BL232" s="920">
        <v>1</v>
      </c>
      <c r="BM232" s="921">
        <v>0</v>
      </c>
      <c r="BN232" s="958">
        <v>0</v>
      </c>
      <c r="BO232" s="959">
        <v>18</v>
      </c>
      <c r="BP232">
        <f t="shared" ca="1" si="278"/>
        <v>173.25</v>
      </c>
      <c r="BQ232">
        <f t="shared" ca="1" si="279"/>
        <v>294.14</v>
      </c>
      <c r="BR232">
        <f t="shared" ca="1" si="280"/>
        <v>99.660000000000011</v>
      </c>
      <c r="BS232">
        <f t="shared" ca="1" si="281"/>
        <v>135.5</v>
      </c>
      <c r="BT232">
        <f t="shared" ca="1" si="282"/>
        <v>63.2</v>
      </c>
      <c r="BU232">
        <f t="shared" ca="1" si="283"/>
        <v>12</v>
      </c>
      <c r="BV232">
        <f t="shared" ca="1" si="284"/>
        <v>4.3</v>
      </c>
      <c r="BW232" s="1018">
        <v>0</v>
      </c>
      <c r="BX232">
        <f t="shared" ca="1" si="274"/>
        <v>30.215260232440635</v>
      </c>
      <c r="BY232">
        <f t="shared" ca="1" si="275"/>
        <v>208.61436950146629</v>
      </c>
      <c r="BZ232">
        <f t="shared" ca="1" si="256"/>
        <v>69.539561057962871</v>
      </c>
      <c r="CA232">
        <f t="shared" ca="1" si="257"/>
        <v>23.999999990399999</v>
      </c>
      <c r="CB232">
        <f t="shared" ca="1" si="276"/>
        <v>9.0267175572519083</v>
      </c>
      <c r="CC232" s="1018">
        <f t="shared" si="258"/>
        <v>0</v>
      </c>
      <c r="CD232" s="1018">
        <f t="shared" ca="1" si="285"/>
        <v>341.39590833952172</v>
      </c>
      <c r="CE232" s="1018">
        <f t="shared" ca="1" si="289"/>
        <v>183.89923712295646</v>
      </c>
      <c r="CF232">
        <f t="shared" ca="1" si="260"/>
        <v>15.758854363874347</v>
      </c>
      <c r="CG232">
        <f t="shared" ca="1" si="261"/>
        <v>26237.862161676236</v>
      </c>
    </row>
    <row r="233" spans="4:85" x14ac:dyDescent="0.25">
      <c r="D233" s="1"/>
      <c r="F233" s="1"/>
      <c r="G233" s="3"/>
      <c r="H233" s="6"/>
      <c r="I233" s="3"/>
      <c r="J233" s="6"/>
      <c r="K233" s="8"/>
      <c r="L233" s="6"/>
      <c r="M233" s="1"/>
      <c r="N233" s="1"/>
      <c r="O233" s="1"/>
      <c r="P233" s="1"/>
      <c r="Q233" s="1" t="s">
        <v>22</v>
      </c>
      <c r="R233" s="4"/>
      <c r="S233" s="1"/>
      <c r="T233" s="77"/>
      <c r="U233" s="294"/>
      <c r="X233" s="176">
        <f t="shared" si="286"/>
        <v>0</v>
      </c>
      <c r="Y233" s="34">
        <f>X233/Calculation_sheet!M$67</f>
        <v>0</v>
      </c>
      <c r="Z233" s="176">
        <f ca="1">IF(AN233&gt;0,Y233*Calculation_sheet!C$87,0)</f>
        <v>0</v>
      </c>
      <c r="AA233" s="176">
        <f t="shared" ca="1" si="287"/>
        <v>0</v>
      </c>
      <c r="AB233" s="176">
        <f ca="1">IF(AP233&gt;0,AA233*Calculation_sheet!C$94,0)</f>
        <v>0</v>
      </c>
      <c r="AC233" s="176">
        <f t="shared" ca="1" si="277"/>
        <v>0</v>
      </c>
      <c r="AD233" s="958">
        <f ca="1">AC233*Calculation_sheet!C$99</f>
        <v>0</v>
      </c>
      <c r="AE233" s="176">
        <f t="shared" ca="1" si="277"/>
        <v>0</v>
      </c>
      <c r="AF233" s="176">
        <f t="shared" ca="1" si="288"/>
        <v>0</v>
      </c>
      <c r="AG233" s="958">
        <f ca="1">AF233*User_sheet!B$77/100</f>
        <v>0</v>
      </c>
      <c r="AH233" s="313"/>
      <c r="AI233" s="908">
        <v>202</v>
      </c>
      <c r="AJ233" s="313"/>
      <c r="AK233" s="1020">
        <f t="shared" ca="1" si="255"/>
        <v>341.39590833952172</v>
      </c>
      <c r="AL233" s="954">
        <f ca="1">AK233/'202'!I$24</f>
        <v>1.099822519698211</v>
      </c>
      <c r="AM233" s="954">
        <f ca="1">0.8*(AK233*30+'202'!D$17*0.34*30*1)</f>
        <v>11805.444200148522</v>
      </c>
      <c r="AN233" s="954">
        <f ca="1">IF(AM233&lt;User_sheet!B$50,Y233,0)</f>
        <v>0</v>
      </c>
      <c r="AO233" s="954">
        <f ca="1">20-(User_sheet!B$57/(AK233+'202'!D$17*1*0.34))</f>
        <v>8.4121259919826699</v>
      </c>
      <c r="AP233" s="954">
        <f ca="1">IF(AO233&lt;User_sheet!B$59,0,BC233*AA233)</f>
        <v>0</v>
      </c>
      <c r="AQ233" s="313"/>
      <c r="AR233" s="909">
        <v>0.32</v>
      </c>
      <c r="AS233" s="909">
        <v>2.1</v>
      </c>
      <c r="AT233" s="909">
        <v>7.9</v>
      </c>
      <c r="AU233" s="909">
        <v>2</v>
      </c>
      <c r="AV233" s="909">
        <v>3.3</v>
      </c>
      <c r="AW233" s="909">
        <v>14356</v>
      </c>
      <c r="AX233" s="909">
        <v>74715.401027665983</v>
      </c>
      <c r="AY233" s="909">
        <v>67352.647733737584</v>
      </c>
      <c r="AZ233" s="917">
        <v>0</v>
      </c>
      <c r="BA233" s="917">
        <v>0</v>
      </c>
      <c r="BB233" s="909">
        <v>0.6</v>
      </c>
      <c r="BC233" s="919">
        <v>0</v>
      </c>
      <c r="BD233" s="920">
        <v>1</v>
      </c>
      <c r="BE233" s="920">
        <v>0</v>
      </c>
      <c r="BF233" s="921">
        <v>0</v>
      </c>
      <c r="BG233" s="920">
        <v>1</v>
      </c>
      <c r="BH233" s="920">
        <v>0</v>
      </c>
      <c r="BI233" s="921">
        <v>0</v>
      </c>
      <c r="BJ233" s="920">
        <v>0</v>
      </c>
      <c r="BK233" s="920">
        <v>1</v>
      </c>
      <c r="BL233" s="920">
        <v>0</v>
      </c>
      <c r="BM233" s="921">
        <v>0</v>
      </c>
      <c r="BN233" s="958">
        <v>0</v>
      </c>
      <c r="BO233" s="959">
        <v>18</v>
      </c>
      <c r="BP233">
        <f t="shared" ca="1" si="278"/>
        <v>173.25</v>
      </c>
      <c r="BQ233">
        <f t="shared" ca="1" si="279"/>
        <v>294.14</v>
      </c>
      <c r="BR233">
        <f t="shared" ca="1" si="280"/>
        <v>99.660000000000011</v>
      </c>
      <c r="BS233">
        <f t="shared" ca="1" si="281"/>
        <v>135.5</v>
      </c>
      <c r="BT233">
        <f t="shared" ca="1" si="282"/>
        <v>63.2</v>
      </c>
      <c r="BU233">
        <f t="shared" ca="1" si="283"/>
        <v>12</v>
      </c>
      <c r="BV233">
        <f t="shared" ca="1" si="284"/>
        <v>4.3</v>
      </c>
      <c r="BW233" s="1018">
        <v>0</v>
      </c>
      <c r="BX233">
        <f t="shared" ca="1" si="274"/>
        <v>30.215260232440635</v>
      </c>
      <c r="BY233">
        <f t="shared" ca="1" si="275"/>
        <v>208.61436950146629</v>
      </c>
      <c r="BZ233">
        <f t="shared" ca="1" si="256"/>
        <v>69.539561057962871</v>
      </c>
      <c r="CA233">
        <f t="shared" ca="1" si="257"/>
        <v>23.999999990399999</v>
      </c>
      <c r="CB233">
        <f t="shared" ca="1" si="276"/>
        <v>9.0267175572519083</v>
      </c>
      <c r="CC233" s="1018">
        <f t="shared" si="258"/>
        <v>0</v>
      </c>
      <c r="CD233" s="1018">
        <f t="shared" ca="1" si="285"/>
        <v>341.39590833952172</v>
      </c>
      <c r="CE233" s="1018">
        <f t="shared" ca="1" si="289"/>
        <v>183.89923712295646</v>
      </c>
      <c r="CF233">
        <f t="shared" ca="1" si="260"/>
        <v>15.758854363874347</v>
      </c>
      <c r="CG233">
        <f t="shared" ca="1" si="261"/>
        <v>26237.862161676236</v>
      </c>
    </row>
    <row r="234" spans="4:85" x14ac:dyDescent="0.25">
      <c r="D234" s="1"/>
      <c r="F234" s="1"/>
      <c r="G234" s="3"/>
      <c r="H234" s="6"/>
      <c r="I234" s="3"/>
      <c r="J234" s="3" t="s">
        <v>144</v>
      </c>
      <c r="K234" s="8"/>
      <c r="L234" s="6"/>
      <c r="M234" s="1"/>
      <c r="N234" s="1"/>
      <c r="O234" s="1" t="s">
        <v>18</v>
      </c>
      <c r="P234" s="4"/>
      <c r="Q234" s="1" t="s">
        <v>7</v>
      </c>
      <c r="R234" s="4"/>
      <c r="S234" s="1"/>
      <c r="T234" s="77"/>
      <c r="U234" s="294"/>
      <c r="X234" s="176">
        <f t="shared" si="286"/>
        <v>0</v>
      </c>
      <c r="Y234" s="34">
        <f>X234/Calculation_sheet!M$67</f>
        <v>0</v>
      </c>
      <c r="Z234" s="176">
        <f ca="1">IF(AN234&gt;0,Y234*Calculation_sheet!C$87,0)</f>
        <v>0</v>
      </c>
      <c r="AA234" s="176">
        <f t="shared" ca="1" si="287"/>
        <v>0</v>
      </c>
      <c r="AB234" s="176">
        <f ca="1">IF(AP234&gt;0,AA234*Calculation_sheet!C$94,0)</f>
        <v>0</v>
      </c>
      <c r="AC234" s="176">
        <f t="shared" ca="1" si="277"/>
        <v>0</v>
      </c>
      <c r="AD234" s="958">
        <f ca="1">AC234*Calculation_sheet!C$99</f>
        <v>0</v>
      </c>
      <c r="AE234" s="176">
        <f t="shared" ca="1" si="277"/>
        <v>0</v>
      </c>
      <c r="AF234" s="176">
        <f t="shared" ca="1" si="288"/>
        <v>0</v>
      </c>
      <c r="AG234" s="958">
        <f ca="1">AF234*User_sheet!B$77/100</f>
        <v>0</v>
      </c>
      <c r="AH234" s="313"/>
      <c r="AI234" s="908">
        <v>202</v>
      </c>
      <c r="AJ234" s="313"/>
      <c r="AK234" s="1020">
        <f t="shared" ca="1" si="255"/>
        <v>341.39590833952172</v>
      </c>
      <c r="AL234" s="954">
        <f ca="1">AK234/'202'!I$24</f>
        <v>1.099822519698211</v>
      </c>
      <c r="AM234" s="954">
        <f ca="1">0.8*(AK234*30+'202'!D$17*0.34*30*1)</f>
        <v>11805.444200148522</v>
      </c>
      <c r="AN234" s="954">
        <f ca="1">IF(AM234&lt;User_sheet!B$50,Y234,0)</f>
        <v>0</v>
      </c>
      <c r="AO234" s="954">
        <f ca="1">20-(User_sheet!B$57/(AK234+'202'!D$17*1*0.34))</f>
        <v>8.4121259919826699</v>
      </c>
      <c r="AP234" s="954">
        <f ca="1">IF(AO234&lt;User_sheet!B$59,0,BC234*AA234)</f>
        <v>0</v>
      </c>
      <c r="AQ234" s="313"/>
      <c r="AR234" s="909">
        <v>0.32</v>
      </c>
      <c r="AS234" s="909">
        <v>2.1</v>
      </c>
      <c r="AT234" s="909">
        <v>7.9</v>
      </c>
      <c r="AU234" s="909">
        <v>2</v>
      </c>
      <c r="AV234" s="909">
        <v>3.3</v>
      </c>
      <c r="AW234" s="909">
        <v>14356</v>
      </c>
      <c r="AX234" s="909">
        <v>74715.401027665983</v>
      </c>
      <c r="AY234" s="909">
        <v>67352.647733737584</v>
      </c>
      <c r="AZ234" s="917">
        <v>0</v>
      </c>
      <c r="BA234" s="917">
        <v>0</v>
      </c>
      <c r="BB234" s="909">
        <v>0.6</v>
      </c>
      <c r="BC234" s="919">
        <v>0</v>
      </c>
      <c r="BD234" s="920">
        <v>1</v>
      </c>
      <c r="BE234" s="920">
        <v>0</v>
      </c>
      <c r="BF234" s="921">
        <v>0</v>
      </c>
      <c r="BG234" s="920">
        <v>1</v>
      </c>
      <c r="BH234" s="920">
        <v>0</v>
      </c>
      <c r="BI234" s="921">
        <v>0</v>
      </c>
      <c r="BJ234" s="920">
        <v>0</v>
      </c>
      <c r="BK234" s="920">
        <v>0</v>
      </c>
      <c r="BL234" s="920">
        <v>1</v>
      </c>
      <c r="BM234" s="921">
        <v>0</v>
      </c>
      <c r="BN234" s="958">
        <v>0</v>
      </c>
      <c r="BO234" s="959">
        <v>18</v>
      </c>
      <c r="BP234">
        <f t="shared" ca="1" si="278"/>
        <v>173.25</v>
      </c>
      <c r="BQ234">
        <f t="shared" ca="1" si="279"/>
        <v>294.14</v>
      </c>
      <c r="BR234">
        <f t="shared" ca="1" si="280"/>
        <v>99.660000000000011</v>
      </c>
      <c r="BS234">
        <f t="shared" ca="1" si="281"/>
        <v>135.5</v>
      </c>
      <c r="BT234">
        <f t="shared" ca="1" si="282"/>
        <v>63.2</v>
      </c>
      <c r="BU234">
        <f t="shared" ca="1" si="283"/>
        <v>12</v>
      </c>
      <c r="BV234">
        <f t="shared" ca="1" si="284"/>
        <v>4.3</v>
      </c>
      <c r="BW234" s="1018">
        <v>0</v>
      </c>
      <c r="BX234">
        <f t="shared" ca="1" si="274"/>
        <v>30.215260232440635</v>
      </c>
      <c r="BY234">
        <f t="shared" ca="1" si="275"/>
        <v>208.61436950146629</v>
      </c>
      <c r="BZ234">
        <f t="shared" ca="1" si="256"/>
        <v>69.539561057962871</v>
      </c>
      <c r="CA234">
        <f t="shared" ca="1" si="257"/>
        <v>23.999999990399999</v>
      </c>
      <c r="CB234">
        <f t="shared" ca="1" si="276"/>
        <v>9.0267175572519083</v>
      </c>
      <c r="CC234" s="1018">
        <f t="shared" si="258"/>
        <v>0</v>
      </c>
      <c r="CD234" s="1018">
        <f t="shared" ca="1" si="285"/>
        <v>341.39590833952172</v>
      </c>
      <c r="CE234" s="1018">
        <f t="shared" ca="1" si="289"/>
        <v>183.89923712295646</v>
      </c>
      <c r="CF234">
        <f t="shared" ca="1" si="260"/>
        <v>15.758854363874347</v>
      </c>
      <c r="CG234">
        <f t="shared" ca="1" si="261"/>
        <v>26237.862161676236</v>
      </c>
    </row>
    <row r="235" spans="4:85" x14ac:dyDescent="0.25">
      <c r="D235" s="1"/>
      <c r="F235" s="1"/>
      <c r="G235" s="3"/>
      <c r="H235" s="6"/>
      <c r="I235" s="3"/>
      <c r="J235" s="6" t="s">
        <v>190</v>
      </c>
      <c r="K235" s="8"/>
      <c r="L235" s="6"/>
      <c r="M235" s="1"/>
      <c r="N235" s="1"/>
      <c r="O235" s="1"/>
      <c r="P235" s="1"/>
      <c r="Q235" s="1" t="s">
        <v>22</v>
      </c>
      <c r="R235" s="4"/>
      <c r="S235" s="1"/>
      <c r="T235" s="77"/>
      <c r="U235" s="294"/>
      <c r="X235" s="176">
        <f t="shared" si="286"/>
        <v>0</v>
      </c>
      <c r="Y235" s="34">
        <f>X235/Calculation_sheet!M$67</f>
        <v>0</v>
      </c>
      <c r="Z235" s="176">
        <f ca="1">IF(AN235&gt;0,Y235*Calculation_sheet!C$87,0)</f>
        <v>0</v>
      </c>
      <c r="AA235" s="176">
        <f t="shared" ca="1" si="287"/>
        <v>0</v>
      </c>
      <c r="AB235" s="176">
        <f ca="1">IF(AP235&gt;0,AA235*Calculation_sheet!C$94,0)</f>
        <v>0</v>
      </c>
      <c r="AC235" s="176">
        <f t="shared" ca="1" si="277"/>
        <v>0</v>
      </c>
      <c r="AD235" s="958">
        <f ca="1">AC235*Calculation_sheet!C$99</f>
        <v>0</v>
      </c>
      <c r="AE235" s="176">
        <f t="shared" ca="1" si="277"/>
        <v>0</v>
      </c>
      <c r="AF235" s="176">
        <f t="shared" ca="1" si="288"/>
        <v>0</v>
      </c>
      <c r="AG235" s="958">
        <f ca="1">AF235*User_sheet!B$77/100</f>
        <v>0</v>
      </c>
      <c r="AH235" s="313"/>
      <c r="AI235" s="908">
        <v>202</v>
      </c>
      <c r="AJ235" s="313"/>
      <c r="AK235" s="1020">
        <f t="shared" ca="1" si="255"/>
        <v>341.39590833952172</v>
      </c>
      <c r="AL235" s="954">
        <f ca="1">AK235/'202'!I$24</f>
        <v>1.099822519698211</v>
      </c>
      <c r="AM235" s="954">
        <f ca="1">0.8*(AK235*30+'202'!D$17*0.34*30*1)</f>
        <v>11805.444200148522</v>
      </c>
      <c r="AN235" s="954">
        <f ca="1">IF(AM235&lt;User_sheet!B$50,Y235,0)</f>
        <v>0</v>
      </c>
      <c r="AO235" s="954">
        <f ca="1">20-(User_sheet!B$57/(AK235+'202'!D$17*1*0.34))</f>
        <v>8.4121259919826699</v>
      </c>
      <c r="AP235" s="954">
        <f ca="1">IF(AO235&lt;User_sheet!B$59,0,BC235*AA235)</f>
        <v>0</v>
      </c>
      <c r="AQ235" s="313"/>
      <c r="AR235" s="909">
        <v>0.32</v>
      </c>
      <c r="AS235" s="909">
        <v>2.1</v>
      </c>
      <c r="AT235" s="909">
        <v>7.9</v>
      </c>
      <c r="AU235" s="909">
        <v>2</v>
      </c>
      <c r="AV235" s="909">
        <v>3.3</v>
      </c>
      <c r="AW235" s="909">
        <v>14356</v>
      </c>
      <c r="AX235" s="909">
        <v>74715.401027665983</v>
      </c>
      <c r="AY235" s="909">
        <v>67352.647733737584</v>
      </c>
      <c r="AZ235" s="917">
        <v>0</v>
      </c>
      <c r="BA235" s="917">
        <v>0</v>
      </c>
      <c r="BB235" s="909">
        <v>0.6</v>
      </c>
      <c r="BC235" s="919">
        <v>0</v>
      </c>
      <c r="BD235" s="920">
        <v>1</v>
      </c>
      <c r="BE235" s="920">
        <v>0</v>
      </c>
      <c r="BF235" s="921">
        <v>0</v>
      </c>
      <c r="BG235" s="920">
        <v>0</v>
      </c>
      <c r="BH235" s="920">
        <v>1</v>
      </c>
      <c r="BI235" s="921">
        <v>0</v>
      </c>
      <c r="BJ235" s="920">
        <v>0</v>
      </c>
      <c r="BK235" s="920">
        <v>1</v>
      </c>
      <c r="BL235" s="920">
        <v>0</v>
      </c>
      <c r="BM235" s="921">
        <v>0</v>
      </c>
      <c r="BN235" s="958">
        <v>0</v>
      </c>
      <c r="BO235" s="959">
        <v>18</v>
      </c>
      <c r="BP235">
        <f t="shared" ca="1" si="278"/>
        <v>173.25</v>
      </c>
      <c r="BQ235">
        <f t="shared" ca="1" si="279"/>
        <v>294.14</v>
      </c>
      <c r="BR235">
        <f t="shared" ca="1" si="280"/>
        <v>99.660000000000011</v>
      </c>
      <c r="BS235">
        <f t="shared" ca="1" si="281"/>
        <v>135.5</v>
      </c>
      <c r="BT235">
        <f t="shared" ca="1" si="282"/>
        <v>63.2</v>
      </c>
      <c r="BU235">
        <f t="shared" ca="1" si="283"/>
        <v>12</v>
      </c>
      <c r="BV235">
        <f t="shared" ca="1" si="284"/>
        <v>4.3</v>
      </c>
      <c r="BW235" s="1018">
        <v>0</v>
      </c>
      <c r="BX235">
        <f t="shared" ca="1" si="274"/>
        <v>30.215260232440635</v>
      </c>
      <c r="BY235">
        <f t="shared" ca="1" si="275"/>
        <v>208.61436950146629</v>
      </c>
      <c r="BZ235">
        <f t="shared" ca="1" si="256"/>
        <v>69.539561057962871</v>
      </c>
      <c r="CA235">
        <f t="shared" ca="1" si="257"/>
        <v>23.999999990399999</v>
      </c>
      <c r="CB235">
        <f t="shared" ca="1" si="276"/>
        <v>9.0267175572519083</v>
      </c>
      <c r="CC235" s="1018">
        <f t="shared" si="258"/>
        <v>0</v>
      </c>
      <c r="CD235" s="1018">
        <f t="shared" ca="1" si="285"/>
        <v>341.39590833952172</v>
      </c>
      <c r="CE235" s="1018">
        <f t="shared" ca="1" si="289"/>
        <v>183.89923712295646</v>
      </c>
      <c r="CF235">
        <f t="shared" ca="1" si="260"/>
        <v>15.758854363874347</v>
      </c>
      <c r="CG235">
        <f t="shared" ca="1" si="261"/>
        <v>26237.862161676236</v>
      </c>
    </row>
    <row r="236" spans="4:85" x14ac:dyDescent="0.25">
      <c r="D236" s="1"/>
      <c r="F236" s="1"/>
      <c r="G236" s="3"/>
      <c r="H236" s="6"/>
      <c r="I236" s="3"/>
      <c r="J236" s="6"/>
      <c r="K236" s="8"/>
      <c r="L236" s="6"/>
      <c r="M236" s="1" t="s">
        <v>22</v>
      </c>
      <c r="N236" s="4"/>
      <c r="O236" s="1" t="s">
        <v>20</v>
      </c>
      <c r="P236" s="4"/>
      <c r="Q236" s="1" t="s">
        <v>7</v>
      </c>
      <c r="R236" s="4"/>
      <c r="S236" s="1"/>
      <c r="T236" s="77"/>
      <c r="U236" s="294"/>
      <c r="X236" s="176">
        <f t="shared" si="286"/>
        <v>0</v>
      </c>
      <c r="Y236" s="34">
        <f>X236/Calculation_sheet!M$67</f>
        <v>0</v>
      </c>
      <c r="Z236" s="176">
        <f ca="1">IF(AN236&gt;0,Y236*Calculation_sheet!C$87,0)</f>
        <v>0</v>
      </c>
      <c r="AA236" s="176">
        <f t="shared" ca="1" si="287"/>
        <v>0</v>
      </c>
      <c r="AB236" s="176">
        <f ca="1">IF(AP236&gt;0,AA236*Calculation_sheet!C$94,0)</f>
        <v>0</v>
      </c>
      <c r="AC236" s="176">
        <f t="shared" ca="1" si="277"/>
        <v>0</v>
      </c>
      <c r="AD236" s="958">
        <f ca="1">AC236*Calculation_sheet!C$99</f>
        <v>0</v>
      </c>
      <c r="AE236" s="176">
        <f t="shared" ca="1" si="277"/>
        <v>0</v>
      </c>
      <c r="AF236" s="176">
        <f t="shared" ca="1" si="288"/>
        <v>0</v>
      </c>
      <c r="AG236" s="958">
        <f ca="1">AF236*User_sheet!B$77/100</f>
        <v>0</v>
      </c>
      <c r="AH236" s="313"/>
      <c r="AI236" s="908">
        <v>202</v>
      </c>
      <c r="AJ236" s="313"/>
      <c r="AK236" s="1020">
        <f t="shared" ca="1" si="255"/>
        <v>341.39590833952172</v>
      </c>
      <c r="AL236" s="954">
        <f ca="1">AK236/'202'!I$24</f>
        <v>1.099822519698211</v>
      </c>
      <c r="AM236" s="954">
        <f ca="1">0.8*(AK236*30+'202'!D$17*0.34*30*1)</f>
        <v>11805.444200148522</v>
      </c>
      <c r="AN236" s="954">
        <f ca="1">IF(AM236&lt;User_sheet!B$50,Y236,0)</f>
        <v>0</v>
      </c>
      <c r="AO236" s="954">
        <f ca="1">20-(User_sheet!B$57/(AK236+'202'!D$17*1*0.34))</f>
        <v>8.4121259919826699</v>
      </c>
      <c r="AP236" s="954">
        <f ca="1">IF(AO236&lt;User_sheet!B$59,0,BC236*AA236)</f>
        <v>0</v>
      </c>
      <c r="AQ236" s="313"/>
      <c r="AR236" s="909">
        <v>0.32</v>
      </c>
      <c r="AS236" s="909">
        <v>2.1</v>
      </c>
      <c r="AT236" s="909">
        <v>7.9</v>
      </c>
      <c r="AU236" s="909">
        <v>2</v>
      </c>
      <c r="AV236" s="909">
        <v>3.3</v>
      </c>
      <c r="AW236" s="909">
        <v>14356</v>
      </c>
      <c r="AX236" s="909">
        <v>74715.401027665983</v>
      </c>
      <c r="AY236" s="909">
        <v>67352.647733737584</v>
      </c>
      <c r="AZ236" s="917">
        <v>0</v>
      </c>
      <c r="BA236" s="917">
        <v>0</v>
      </c>
      <c r="BB236" s="909">
        <v>0.6</v>
      </c>
      <c r="BC236" s="919">
        <v>0</v>
      </c>
      <c r="BD236" s="920">
        <v>1</v>
      </c>
      <c r="BE236" s="920">
        <v>0</v>
      </c>
      <c r="BF236" s="921">
        <v>0</v>
      </c>
      <c r="BG236" s="920">
        <v>0</v>
      </c>
      <c r="BH236" s="920">
        <v>1</v>
      </c>
      <c r="BI236" s="921">
        <v>0</v>
      </c>
      <c r="BJ236" s="920">
        <v>0</v>
      </c>
      <c r="BK236" s="920">
        <v>0</v>
      </c>
      <c r="BL236" s="920">
        <v>1</v>
      </c>
      <c r="BM236" s="921">
        <v>0</v>
      </c>
      <c r="BN236" s="958">
        <v>0</v>
      </c>
      <c r="BO236" s="959">
        <v>18</v>
      </c>
      <c r="BP236">
        <f t="shared" ca="1" si="278"/>
        <v>173.25</v>
      </c>
      <c r="BQ236">
        <f t="shared" ca="1" si="279"/>
        <v>294.14</v>
      </c>
      <c r="BR236">
        <f t="shared" ca="1" si="280"/>
        <v>99.660000000000011</v>
      </c>
      <c r="BS236">
        <f t="shared" ca="1" si="281"/>
        <v>135.5</v>
      </c>
      <c r="BT236">
        <f t="shared" ca="1" si="282"/>
        <v>63.2</v>
      </c>
      <c r="BU236">
        <f t="shared" ca="1" si="283"/>
        <v>12</v>
      </c>
      <c r="BV236">
        <f t="shared" ca="1" si="284"/>
        <v>4.3</v>
      </c>
      <c r="BW236" s="1018">
        <v>0</v>
      </c>
      <c r="BX236">
        <f t="shared" ca="1" si="274"/>
        <v>30.215260232440635</v>
      </c>
      <c r="BY236">
        <f t="shared" ca="1" si="275"/>
        <v>208.61436950146629</v>
      </c>
      <c r="BZ236">
        <f t="shared" ca="1" si="256"/>
        <v>69.539561057962871</v>
      </c>
      <c r="CA236">
        <f t="shared" ca="1" si="257"/>
        <v>23.999999990399999</v>
      </c>
      <c r="CB236">
        <f t="shared" ca="1" si="276"/>
        <v>9.0267175572519083</v>
      </c>
      <c r="CC236" s="1018">
        <f t="shared" si="258"/>
        <v>0</v>
      </c>
      <c r="CD236" s="1018">
        <f t="shared" ca="1" si="285"/>
        <v>341.39590833952172</v>
      </c>
      <c r="CE236" s="1018">
        <f t="shared" ca="1" si="289"/>
        <v>183.89923712295646</v>
      </c>
      <c r="CF236">
        <f t="shared" ca="1" si="260"/>
        <v>15.758854363874347</v>
      </c>
      <c r="CG236">
        <f t="shared" ca="1" si="261"/>
        <v>26237.862161676236</v>
      </c>
    </row>
    <row r="237" spans="4:85" x14ac:dyDescent="0.25">
      <c r="D237" s="1"/>
      <c r="F237" s="1"/>
      <c r="G237" s="3"/>
      <c r="H237" s="6"/>
      <c r="I237" s="3"/>
      <c r="J237" s="6"/>
      <c r="K237" s="8"/>
      <c r="L237" s="6"/>
      <c r="M237" s="1" t="s">
        <v>7</v>
      </c>
      <c r="N237" s="4"/>
      <c r="O237" s="1" t="s">
        <v>23</v>
      </c>
      <c r="P237" s="4"/>
      <c r="Q237" s="1" t="s">
        <v>7</v>
      </c>
      <c r="R237" s="4"/>
      <c r="S237" s="1"/>
      <c r="T237" s="77"/>
      <c r="U237" s="294"/>
      <c r="X237" s="176">
        <f t="shared" si="286"/>
        <v>0</v>
      </c>
      <c r="Y237" s="34">
        <f>X237/Calculation_sheet!M$67</f>
        <v>0</v>
      </c>
      <c r="Z237" s="176">
        <f ca="1">IF(AN237&gt;0,Y237*Calculation_sheet!C$87,0)</f>
        <v>0</v>
      </c>
      <c r="AA237" s="176">
        <f t="shared" ca="1" si="287"/>
        <v>0</v>
      </c>
      <c r="AB237" s="176">
        <f ca="1">IF(AP237&gt;0,AA237*Calculation_sheet!C$94,0)</f>
        <v>0</v>
      </c>
      <c r="AC237" s="176">
        <f t="shared" ca="1" si="277"/>
        <v>0</v>
      </c>
      <c r="AD237" s="958">
        <f ca="1">AC237*Calculation_sheet!C$99</f>
        <v>0</v>
      </c>
      <c r="AE237" s="176">
        <f t="shared" ca="1" si="277"/>
        <v>0</v>
      </c>
      <c r="AF237" s="176">
        <f t="shared" ca="1" si="288"/>
        <v>0</v>
      </c>
      <c r="AG237" s="958">
        <f ca="1">AF237*User_sheet!B$77/100</f>
        <v>0</v>
      </c>
      <c r="AH237" s="313"/>
      <c r="AI237" s="908">
        <v>202</v>
      </c>
      <c r="AJ237" s="313"/>
      <c r="AK237" s="1020">
        <f t="shared" ca="1" si="255"/>
        <v>341.39590833952172</v>
      </c>
      <c r="AL237" s="954">
        <f ca="1">AK237/'202'!I$24</f>
        <v>1.099822519698211</v>
      </c>
      <c r="AM237" s="954">
        <f ca="1">0.8*(AK237*30+'202'!D$17*0.34*30*1)</f>
        <v>11805.444200148522</v>
      </c>
      <c r="AN237" s="954">
        <f ca="1">IF(AM237&lt;User_sheet!B$50,Y237,0)</f>
        <v>0</v>
      </c>
      <c r="AO237" s="954">
        <f ca="1">20-(User_sheet!B$57/(AK237+'202'!D$17*1*0.34))</f>
        <v>8.4121259919826699</v>
      </c>
      <c r="AP237" s="954">
        <f ca="1">IF(AO237&lt;User_sheet!B$59,0,BC237*AA237)</f>
        <v>0</v>
      </c>
      <c r="AQ237" s="313"/>
      <c r="AR237" s="909">
        <v>0.32</v>
      </c>
      <c r="AS237" s="909">
        <v>2.1</v>
      </c>
      <c r="AT237" s="909">
        <v>7.9</v>
      </c>
      <c r="AU237" s="909">
        <v>2</v>
      </c>
      <c r="AV237" s="909">
        <v>3.3</v>
      </c>
      <c r="AW237" s="909">
        <v>14356</v>
      </c>
      <c r="AX237" s="909">
        <v>74715.401027665983</v>
      </c>
      <c r="AY237" s="909">
        <v>67352.647733737584</v>
      </c>
      <c r="AZ237" s="917">
        <v>0</v>
      </c>
      <c r="BA237" s="917">
        <v>0</v>
      </c>
      <c r="BB237" s="909">
        <v>0.6</v>
      </c>
      <c r="BC237" s="919">
        <v>0</v>
      </c>
      <c r="BD237" s="920">
        <v>0</v>
      </c>
      <c r="BE237" s="920">
        <v>1</v>
      </c>
      <c r="BF237" s="921">
        <v>0</v>
      </c>
      <c r="BG237" s="920">
        <v>0</v>
      </c>
      <c r="BH237" s="920">
        <v>0</v>
      </c>
      <c r="BI237" s="921">
        <v>1</v>
      </c>
      <c r="BJ237" s="920">
        <v>0</v>
      </c>
      <c r="BK237" s="920">
        <v>0</v>
      </c>
      <c r="BL237" s="920">
        <v>1</v>
      </c>
      <c r="BM237" s="921">
        <v>0</v>
      </c>
      <c r="BN237" s="958">
        <v>0</v>
      </c>
      <c r="BO237" s="959">
        <v>18</v>
      </c>
      <c r="BP237">
        <f t="shared" ca="1" si="278"/>
        <v>173.25</v>
      </c>
      <c r="BQ237">
        <f t="shared" ca="1" si="279"/>
        <v>294.14</v>
      </c>
      <c r="BR237">
        <f t="shared" ca="1" si="280"/>
        <v>99.660000000000011</v>
      </c>
      <c r="BS237">
        <f t="shared" ca="1" si="281"/>
        <v>135.5</v>
      </c>
      <c r="BT237">
        <f t="shared" ca="1" si="282"/>
        <v>63.2</v>
      </c>
      <c r="BU237">
        <f t="shared" ca="1" si="283"/>
        <v>12</v>
      </c>
      <c r="BV237">
        <f t="shared" ca="1" si="284"/>
        <v>4.3</v>
      </c>
      <c r="BW237" s="1018">
        <v>0</v>
      </c>
      <c r="BX237">
        <f t="shared" ca="1" si="274"/>
        <v>30.215260232440635</v>
      </c>
      <c r="BY237">
        <f t="shared" ca="1" si="275"/>
        <v>208.61436950146629</v>
      </c>
      <c r="BZ237">
        <f t="shared" ca="1" si="256"/>
        <v>69.539561057962871</v>
      </c>
      <c r="CA237">
        <f t="shared" ca="1" si="257"/>
        <v>23.999999990399999</v>
      </c>
      <c r="CB237">
        <f t="shared" ca="1" si="276"/>
        <v>9.0267175572519083</v>
      </c>
      <c r="CC237" s="1018">
        <f t="shared" si="258"/>
        <v>0</v>
      </c>
      <c r="CD237" s="1018">
        <f t="shared" ca="1" si="285"/>
        <v>341.39590833952172</v>
      </c>
      <c r="CE237" s="1018">
        <f t="shared" ca="1" si="289"/>
        <v>183.89923712295646</v>
      </c>
      <c r="CF237">
        <f t="shared" ca="1" si="260"/>
        <v>15.758854363874347</v>
      </c>
      <c r="CG237">
        <f t="shared" ca="1" si="261"/>
        <v>26237.862161676236</v>
      </c>
    </row>
    <row r="238" spans="4:85" x14ac:dyDescent="0.25">
      <c r="D238" s="1"/>
      <c r="F238" s="1"/>
      <c r="G238" s="3"/>
      <c r="H238" s="6"/>
      <c r="I238" s="3"/>
      <c r="J238" s="6"/>
      <c r="K238" s="8"/>
      <c r="L238" s="6"/>
      <c r="M238" s="1"/>
      <c r="N238" s="1"/>
      <c r="O238" s="1" t="s">
        <v>18</v>
      </c>
      <c r="P238" s="4"/>
      <c r="Q238" s="1" t="s">
        <v>17</v>
      </c>
      <c r="R238" s="4"/>
      <c r="S238" s="1"/>
      <c r="T238" s="77"/>
      <c r="U238" s="294"/>
      <c r="X238" s="176">
        <f t="shared" si="286"/>
        <v>0</v>
      </c>
      <c r="Y238" s="34">
        <f>X238/Calculation_sheet!M$67</f>
        <v>0</v>
      </c>
      <c r="Z238" s="176">
        <f ca="1">IF(AN238&gt;0,Y238*Calculation_sheet!C$87,0)</f>
        <v>0</v>
      </c>
      <c r="AA238" s="176">
        <f t="shared" ca="1" si="287"/>
        <v>0</v>
      </c>
      <c r="AB238" s="176">
        <f ca="1">IF(AP238&gt;0,AA238*Calculation_sheet!C$94,0)</f>
        <v>0</v>
      </c>
      <c r="AC238" s="176">
        <f t="shared" ca="1" si="277"/>
        <v>0</v>
      </c>
      <c r="AD238" s="958">
        <f ca="1">AC238*Calculation_sheet!C$99</f>
        <v>0</v>
      </c>
      <c r="AE238" s="176">
        <f t="shared" ca="1" si="277"/>
        <v>0</v>
      </c>
      <c r="AF238" s="176">
        <f t="shared" ca="1" si="288"/>
        <v>0</v>
      </c>
      <c r="AG238" s="958">
        <f ca="1">AF238*User_sheet!B$77/100</f>
        <v>0</v>
      </c>
      <c r="AH238" s="313"/>
      <c r="AI238" s="908">
        <v>202</v>
      </c>
      <c r="AJ238" s="313"/>
      <c r="AK238" s="1020">
        <f t="shared" ca="1" si="255"/>
        <v>341.39590833952172</v>
      </c>
      <c r="AL238" s="954">
        <f ca="1">AK238/'202'!I$24</f>
        <v>1.099822519698211</v>
      </c>
      <c r="AM238" s="954">
        <f ca="1">0.8*(AK238*30+'202'!D$17*0.34*30*1)</f>
        <v>11805.444200148522</v>
      </c>
      <c r="AN238" s="954">
        <f ca="1">IF(AM238&lt;User_sheet!B$50,Y238,0)</f>
        <v>0</v>
      </c>
      <c r="AO238" s="954">
        <f ca="1">20-(User_sheet!B$57/(AK238+'202'!D$17*1*0.34))</f>
        <v>8.4121259919826699</v>
      </c>
      <c r="AP238" s="954">
        <f ca="1">IF(AO238&lt;User_sheet!B$59,0,BC238*AA238)</f>
        <v>0</v>
      </c>
      <c r="AQ238" s="313"/>
      <c r="AR238" s="909">
        <v>0.32</v>
      </c>
      <c r="AS238" s="909">
        <v>2.1</v>
      </c>
      <c r="AT238" s="909">
        <v>7.9</v>
      </c>
      <c r="AU238" s="909">
        <v>2</v>
      </c>
      <c r="AV238" s="909">
        <v>3.3</v>
      </c>
      <c r="AW238" s="909">
        <v>14356</v>
      </c>
      <c r="AX238" s="909">
        <v>74715.401027665983</v>
      </c>
      <c r="AY238" s="909">
        <v>67352.647733737584</v>
      </c>
      <c r="AZ238" s="917">
        <v>0</v>
      </c>
      <c r="BA238" s="917">
        <v>0</v>
      </c>
      <c r="BB238" s="909">
        <v>0.6</v>
      </c>
      <c r="BC238" s="919">
        <v>0</v>
      </c>
      <c r="BD238" s="920">
        <v>0</v>
      </c>
      <c r="BE238" s="920">
        <v>0</v>
      </c>
      <c r="BF238" s="921">
        <v>1</v>
      </c>
      <c r="BG238" s="920">
        <v>1</v>
      </c>
      <c r="BH238" s="920">
        <v>0</v>
      </c>
      <c r="BI238" s="921">
        <v>0</v>
      </c>
      <c r="BJ238" s="920">
        <v>0</v>
      </c>
      <c r="BK238" s="920">
        <v>0</v>
      </c>
      <c r="BL238" s="920">
        <v>0</v>
      </c>
      <c r="BM238" s="921">
        <v>1</v>
      </c>
      <c r="BN238" s="958">
        <v>0</v>
      </c>
      <c r="BO238" s="959">
        <v>18</v>
      </c>
      <c r="BP238">
        <f t="shared" ca="1" si="278"/>
        <v>173.25</v>
      </c>
      <c r="BQ238">
        <f t="shared" ca="1" si="279"/>
        <v>294.14</v>
      </c>
      <c r="BR238">
        <f t="shared" ca="1" si="280"/>
        <v>99.660000000000011</v>
      </c>
      <c r="BS238">
        <f t="shared" ca="1" si="281"/>
        <v>135.5</v>
      </c>
      <c r="BT238">
        <f t="shared" ca="1" si="282"/>
        <v>63.2</v>
      </c>
      <c r="BU238">
        <f t="shared" ca="1" si="283"/>
        <v>12</v>
      </c>
      <c r="BV238">
        <f t="shared" ca="1" si="284"/>
        <v>4.3</v>
      </c>
      <c r="BW238" s="1018">
        <v>0</v>
      </c>
      <c r="BX238">
        <f t="shared" ca="1" si="274"/>
        <v>30.215260232440635</v>
      </c>
      <c r="BY238">
        <f t="shared" ca="1" si="275"/>
        <v>208.61436950146629</v>
      </c>
      <c r="BZ238">
        <f t="shared" ca="1" si="256"/>
        <v>69.539561057962871</v>
      </c>
      <c r="CA238">
        <f t="shared" ca="1" si="257"/>
        <v>23.999999990399999</v>
      </c>
      <c r="CB238">
        <f t="shared" ca="1" si="276"/>
        <v>9.0267175572519083</v>
      </c>
      <c r="CC238" s="1018">
        <f t="shared" si="258"/>
        <v>0</v>
      </c>
      <c r="CD238" s="1018">
        <f t="shared" ca="1" si="285"/>
        <v>341.39590833952172</v>
      </c>
      <c r="CE238" s="1018">
        <f t="shared" ca="1" si="289"/>
        <v>183.89923712295646</v>
      </c>
      <c r="CF238">
        <f t="shared" ca="1" si="260"/>
        <v>15.758854363874347</v>
      </c>
      <c r="CG238">
        <f t="shared" ca="1" si="261"/>
        <v>26237.862161676236</v>
      </c>
    </row>
    <row r="239" spans="4:85" x14ac:dyDescent="0.25">
      <c r="D239" s="1"/>
      <c r="F239" s="1"/>
      <c r="G239" s="3"/>
      <c r="H239" s="6"/>
      <c r="I239" s="3"/>
      <c r="J239" s="6"/>
      <c r="K239" s="8"/>
      <c r="L239" s="6"/>
      <c r="M239" s="1" t="s">
        <v>17</v>
      </c>
      <c r="N239" s="4"/>
      <c r="O239" s="1" t="s">
        <v>19</v>
      </c>
      <c r="P239" s="4"/>
      <c r="Q239" s="1" t="s">
        <v>17</v>
      </c>
      <c r="R239" s="4"/>
      <c r="S239" s="1"/>
      <c r="T239" s="77"/>
      <c r="U239" s="294"/>
      <c r="X239" s="176">
        <f t="shared" si="286"/>
        <v>0</v>
      </c>
      <c r="Y239" s="34">
        <f>X239/Calculation_sheet!M$67</f>
        <v>0</v>
      </c>
      <c r="Z239" s="176">
        <f ca="1">IF(AN239&gt;0,Y239*Calculation_sheet!C$87,0)</f>
        <v>0</v>
      </c>
      <c r="AA239" s="176">
        <f t="shared" ca="1" si="287"/>
        <v>0</v>
      </c>
      <c r="AB239" s="176">
        <f ca="1">IF(AP239&gt;0,AA239*Calculation_sheet!C$94,0)</f>
        <v>0</v>
      </c>
      <c r="AC239" s="176">
        <f t="shared" ca="1" si="277"/>
        <v>0</v>
      </c>
      <c r="AD239" s="958">
        <f ca="1">AC239*Calculation_sheet!C$99</f>
        <v>0</v>
      </c>
      <c r="AE239" s="176">
        <f t="shared" ca="1" si="277"/>
        <v>0</v>
      </c>
      <c r="AF239" s="176">
        <f t="shared" ca="1" si="288"/>
        <v>0</v>
      </c>
      <c r="AG239" s="958">
        <f ca="1">AF239*User_sheet!B$77/100</f>
        <v>0</v>
      </c>
      <c r="AH239" s="313"/>
      <c r="AI239" s="908">
        <v>202</v>
      </c>
      <c r="AJ239" s="313"/>
      <c r="AK239" s="1020">
        <f t="shared" ca="1" si="255"/>
        <v>341.39590833952172</v>
      </c>
      <c r="AL239" s="954">
        <f ca="1">AK239/'202'!I$24</f>
        <v>1.099822519698211</v>
      </c>
      <c r="AM239" s="954">
        <f ca="1">0.8*(AK239*30+'202'!D$17*0.34*30*1)</f>
        <v>11805.444200148522</v>
      </c>
      <c r="AN239" s="954">
        <f ca="1">IF(AM239&lt;User_sheet!B$50,Y239,0)</f>
        <v>0</v>
      </c>
      <c r="AO239" s="954">
        <f ca="1">20-(User_sheet!B$57/(AK239+'202'!D$17*1*0.34))</f>
        <v>8.4121259919826699</v>
      </c>
      <c r="AP239" s="954">
        <f ca="1">IF(AO239&lt;User_sheet!B$59,0,BC239*AA239)</f>
        <v>0</v>
      </c>
      <c r="AQ239" s="313"/>
      <c r="AR239" s="909">
        <v>0.32</v>
      </c>
      <c r="AS239" s="909">
        <v>2.1</v>
      </c>
      <c r="AT239" s="909">
        <v>7.9</v>
      </c>
      <c r="AU239" s="909">
        <v>2</v>
      </c>
      <c r="AV239" s="909">
        <v>3.3</v>
      </c>
      <c r="AW239" s="909">
        <v>14356</v>
      </c>
      <c r="AX239" s="909">
        <v>74715.401027665983</v>
      </c>
      <c r="AY239" s="909">
        <v>67352.647733737584</v>
      </c>
      <c r="AZ239" s="917">
        <v>0</v>
      </c>
      <c r="BA239" s="917">
        <v>0</v>
      </c>
      <c r="BB239" s="909">
        <v>0.6</v>
      </c>
      <c r="BC239" s="919">
        <v>0</v>
      </c>
      <c r="BD239" s="920">
        <v>0</v>
      </c>
      <c r="BE239" s="920">
        <v>0</v>
      </c>
      <c r="BF239" s="921">
        <v>1</v>
      </c>
      <c r="BG239" s="920">
        <v>0</v>
      </c>
      <c r="BH239" s="920">
        <v>1</v>
      </c>
      <c r="BI239" s="921">
        <v>0</v>
      </c>
      <c r="BJ239" s="920">
        <v>0</v>
      </c>
      <c r="BK239" s="920">
        <v>0</v>
      </c>
      <c r="BL239" s="920">
        <v>0</v>
      </c>
      <c r="BM239" s="921">
        <v>1</v>
      </c>
      <c r="BN239" s="958">
        <v>0</v>
      </c>
      <c r="BO239" s="959">
        <v>18</v>
      </c>
      <c r="BP239">
        <f t="shared" ca="1" si="278"/>
        <v>173.25</v>
      </c>
      <c r="BQ239">
        <f t="shared" ca="1" si="279"/>
        <v>294.14</v>
      </c>
      <c r="BR239">
        <f t="shared" ca="1" si="280"/>
        <v>99.660000000000011</v>
      </c>
      <c r="BS239">
        <f t="shared" ca="1" si="281"/>
        <v>135.5</v>
      </c>
      <c r="BT239">
        <f t="shared" ca="1" si="282"/>
        <v>63.2</v>
      </c>
      <c r="BU239">
        <f t="shared" ca="1" si="283"/>
        <v>12</v>
      </c>
      <c r="BV239">
        <f t="shared" ca="1" si="284"/>
        <v>4.3</v>
      </c>
      <c r="BW239" s="1018">
        <v>0</v>
      </c>
      <c r="BX239">
        <f t="shared" ca="1" si="274"/>
        <v>30.215260232440635</v>
      </c>
      <c r="BY239">
        <f t="shared" ca="1" si="275"/>
        <v>208.61436950146629</v>
      </c>
      <c r="BZ239">
        <f t="shared" ca="1" si="256"/>
        <v>69.539561057962871</v>
      </c>
      <c r="CA239">
        <f t="shared" ca="1" si="257"/>
        <v>23.999999990399999</v>
      </c>
      <c r="CB239">
        <f t="shared" ca="1" si="276"/>
        <v>9.0267175572519083</v>
      </c>
      <c r="CC239" s="1018">
        <f t="shared" si="258"/>
        <v>0</v>
      </c>
      <c r="CD239" s="1018">
        <f t="shared" ca="1" si="285"/>
        <v>341.39590833952172</v>
      </c>
      <c r="CE239" s="1018">
        <f t="shared" ca="1" si="289"/>
        <v>183.89923712295646</v>
      </c>
      <c r="CF239">
        <f t="shared" ca="1" si="260"/>
        <v>15.758854363874347</v>
      </c>
      <c r="CG239">
        <f t="shared" ca="1" si="261"/>
        <v>26237.862161676236</v>
      </c>
    </row>
    <row r="240" spans="4:85" s="14" customFormat="1" x14ac:dyDescent="0.25">
      <c r="D240" s="15"/>
      <c r="F240" s="15"/>
      <c r="H240" s="15"/>
      <c r="J240" s="15"/>
      <c r="K240" s="16"/>
      <c r="L240" s="15"/>
      <c r="M240" s="15"/>
      <c r="N240" s="15"/>
      <c r="O240" s="15"/>
      <c r="P240" s="15"/>
      <c r="Q240" s="15"/>
      <c r="R240" s="15"/>
      <c r="S240" s="15"/>
      <c r="T240" s="80"/>
      <c r="V240" s="292"/>
      <c r="W240" s="292"/>
      <c r="X240" s="292"/>
      <c r="Y240" s="277"/>
      <c r="Z240" s="292"/>
      <c r="AA240" s="292"/>
      <c r="AB240" s="292"/>
      <c r="AC240" s="292"/>
      <c r="AD240" s="277"/>
      <c r="AE240" s="292"/>
      <c r="AF240" s="292"/>
      <c r="AG240" s="277"/>
      <c r="AH240" s="313"/>
      <c r="AI240" s="913"/>
      <c r="AJ240" s="313"/>
      <c r="AK240" s="1020">
        <f t="shared" si="255"/>
        <v>0</v>
      </c>
      <c r="AL240" s="955"/>
      <c r="AM240" s="955"/>
      <c r="AN240" s="941"/>
      <c r="AO240" s="941"/>
      <c r="AP240" s="941"/>
      <c r="AQ240" s="313"/>
      <c r="AR240" s="918"/>
      <c r="AS240" s="918"/>
      <c r="AT240" s="918"/>
      <c r="AU240" s="918"/>
      <c r="AV240" s="918"/>
      <c r="AW240" s="918"/>
      <c r="AX240" s="918"/>
      <c r="AY240" s="918"/>
      <c r="AZ240" s="918"/>
      <c r="BA240" s="918"/>
      <c r="BB240" s="918"/>
      <c r="BC240" s="45"/>
      <c r="BD240" s="277"/>
      <c r="BE240" s="277"/>
      <c r="BF240" s="49"/>
      <c r="BG240" s="918"/>
      <c r="BH240" s="918"/>
      <c r="BI240" s="49"/>
      <c r="BJ240" s="918"/>
      <c r="BK240" s="918"/>
      <c r="BL240" s="918"/>
      <c r="BM240" s="49"/>
      <c r="BN240" s="277"/>
      <c r="BO240" s="49"/>
      <c r="BW240" s="928"/>
      <c r="CC240" s="928"/>
      <c r="CD240" s="928"/>
      <c r="CE240" s="928"/>
    </row>
    <row r="241" spans="1:85" x14ac:dyDescent="0.25">
      <c r="D241" s="545"/>
      <c r="E241" s="544"/>
      <c r="F241" s="545"/>
      <c r="G241" s="544"/>
      <c r="H241" s="545"/>
      <c r="I241" s="544"/>
      <c r="J241" s="545"/>
      <c r="K241" s="547"/>
      <c r="L241" s="549"/>
      <c r="M241" s="545"/>
      <c r="N241" s="545"/>
      <c r="O241" s="545"/>
      <c r="P241" s="545"/>
      <c r="Q241" s="545" t="s">
        <v>16</v>
      </c>
      <c r="R241" s="546">
        <v>0.73860000000000003</v>
      </c>
      <c r="S241" s="545"/>
      <c r="T241" s="551">
        <v>2.6260704120938364E-3</v>
      </c>
      <c r="U241" s="544"/>
      <c r="V241" s="176">
        <f>T241-T241*Calculation_sheet!F$59</f>
        <v>2.6260704120938364E-3</v>
      </c>
      <c r="W241" s="176">
        <f>V241-V241*Calculation_sheet!E$67</f>
        <v>2.6260704120938364E-3</v>
      </c>
      <c r="X241" s="176">
        <f>W241-W241*Calculation_sheet!E$77</f>
        <v>2.6260704120938364E-3</v>
      </c>
      <c r="Y241" s="34">
        <f>X241/Calculation_sheet!M$67</f>
        <v>2.6261241058551698E-3</v>
      </c>
      <c r="Z241" s="176">
        <f ca="1">IF(AN241&gt;0,Y241*Calculation_sheet!C$87,0)</f>
        <v>0</v>
      </c>
      <c r="AA241" s="176">
        <f ca="1">Y241-Z241</f>
        <v>2.6261241058551698E-3</v>
      </c>
      <c r="AB241" s="176">
        <f ca="1">IF(AP241&gt;0,AA241*Calculation_sheet!C$94,0)</f>
        <v>0</v>
      </c>
      <c r="AC241" s="176">
        <f t="shared" ref="AC241:AE251" ca="1" si="290">AA241-AB241</f>
        <v>2.6261241058551698E-3</v>
      </c>
      <c r="AD241" s="958">
        <f ca="1">AC241*Calculation_sheet!C$99</f>
        <v>1.5756744635131018E-3</v>
      </c>
      <c r="AE241" s="176">
        <f t="shared" ca="1" si="290"/>
        <v>1.0504496423420679E-3</v>
      </c>
      <c r="AF241" s="176">
        <f ca="1">Y241-AB241</f>
        <v>2.6261241058551698E-3</v>
      </c>
      <c r="AG241" s="958">
        <f ca="1">AF241*User_sheet!B$77/100</f>
        <v>0</v>
      </c>
      <c r="AH241" s="313"/>
      <c r="AI241" s="908">
        <v>202</v>
      </c>
      <c r="AJ241" s="313"/>
      <c r="AK241" s="1020">
        <f t="shared" ca="1" si="255"/>
        <v>675.87082509837137</v>
      </c>
      <c r="AL241" s="954">
        <f ca="1">AK241/'202'!I$24</f>
        <v>2.1773487487464043</v>
      </c>
      <c r="AM241" s="954">
        <f ca="1">0.8*(AK241*30+'202'!D$17*0.34*30*1)</f>
        <v>19832.842202360916</v>
      </c>
      <c r="AN241" s="954">
        <f ca="1">IF(AM241&lt;User_sheet!B$50,Y241,0)</f>
        <v>0</v>
      </c>
      <c r="AO241" s="954">
        <f ca="1">20-(User_sheet!B$57/(AK241+'202'!D$17*1*0.34))</f>
        <v>13.102350202548617</v>
      </c>
      <c r="AP241" s="954">
        <f ca="1">IF(AO241&lt;User_sheet!B$59,0,BC241*AA241)</f>
        <v>2.6261241058551698E-3</v>
      </c>
      <c r="AQ241" s="313"/>
      <c r="AR241" s="909">
        <v>7.7</v>
      </c>
      <c r="AS241" s="909">
        <v>2.1</v>
      </c>
      <c r="AT241" s="909">
        <v>7.9</v>
      </c>
      <c r="AU241" s="909">
        <v>5</v>
      </c>
      <c r="AV241" s="909">
        <v>3.3</v>
      </c>
      <c r="AW241" s="909">
        <v>11357.186356387729</v>
      </c>
      <c r="AX241" s="909">
        <v>74715.401027665983</v>
      </c>
      <c r="AY241" s="909">
        <v>67352.647733737584</v>
      </c>
      <c r="AZ241" s="909">
        <v>0</v>
      </c>
      <c r="BA241" s="909">
        <v>0</v>
      </c>
      <c r="BB241" s="917">
        <v>0.87</v>
      </c>
      <c r="BC241" s="919">
        <v>1</v>
      </c>
      <c r="BD241" s="920">
        <v>0</v>
      </c>
      <c r="BE241" s="920">
        <v>0</v>
      </c>
      <c r="BF241" s="921">
        <v>0</v>
      </c>
      <c r="BG241" s="909">
        <v>1</v>
      </c>
      <c r="BH241" s="909">
        <v>0</v>
      </c>
      <c r="BI241" s="921">
        <v>0</v>
      </c>
      <c r="BJ241" s="909">
        <v>1</v>
      </c>
      <c r="BK241" s="909">
        <v>0</v>
      </c>
      <c r="BL241" s="909">
        <v>0</v>
      </c>
      <c r="BM241" s="921">
        <v>0</v>
      </c>
      <c r="BN241" s="958">
        <v>0</v>
      </c>
      <c r="BO241" s="959">
        <v>18</v>
      </c>
      <c r="BP241">
        <f t="shared" ref="BP241:BP251" ca="1" si="291">INDIRECT("'"&amp;AI241&amp;"'!"&amp;"B2")</f>
        <v>173.25</v>
      </c>
      <c r="BQ241">
        <f t="shared" ref="BQ241:BQ251" ca="1" si="292">INDIRECT("'"&amp;AI241&amp;"'!"&amp;"C12")+INDIRECT("'"&amp;AI241&amp;"'!"&amp;"C13")+INDIRECT("'"&amp;AI241&amp;"'!"&amp;"C14")+INDIRECT("'"&amp;AI241&amp;"'!"&amp;"C15")+INDIRECT("'"&amp;AI241&amp;"'!"&amp;"C17")</f>
        <v>294.14</v>
      </c>
      <c r="BR241">
        <f t="shared" ref="BR241:BR251" ca="1" si="293">INDIRECT("'"&amp;AI241&amp;"'!"&amp;"G5")</f>
        <v>99.660000000000011</v>
      </c>
      <c r="BS241">
        <f t="shared" ref="BS241:BS251" ca="1" si="294">INDIRECT("'"&amp;AI241&amp;"'!"&amp;"G4")</f>
        <v>135.5</v>
      </c>
      <c r="BT241">
        <f t="shared" ref="BT241:BT251" ca="1" si="295">INDIRECT("'"&amp;AI241&amp;"'!"&amp;"G6")</f>
        <v>63.2</v>
      </c>
      <c r="BU241">
        <f t="shared" ref="BU241:BU251" ca="1" si="296">INDIRECT("'"&amp;AI241&amp;"'!"&amp;"G2")</f>
        <v>12</v>
      </c>
      <c r="BV241">
        <f t="shared" ref="BV241:BV251" ca="1" si="297">INDIRECT("'"&amp;AI241&amp;"'!"&amp;"G3")</f>
        <v>4.3</v>
      </c>
      <c r="BW241" s="1018">
        <v>0</v>
      </c>
      <c r="BX241">
        <f t="shared" ca="1" si="274"/>
        <v>328.69017704169045</v>
      </c>
      <c r="BY241">
        <f t="shared" ca="1" si="275"/>
        <v>208.61436950146629</v>
      </c>
      <c r="BZ241">
        <f t="shared" ca="1" si="256"/>
        <v>69.539561057962871</v>
      </c>
      <c r="CA241">
        <f t="shared" ca="1" si="257"/>
        <v>59.999999939999995</v>
      </c>
      <c r="CB241">
        <f t="shared" ca="1" si="276"/>
        <v>9.0267175572519083</v>
      </c>
      <c r="CC241" s="1018">
        <f t="shared" si="258"/>
        <v>0</v>
      </c>
      <c r="CD241" s="1018">
        <f t="shared" ref="CD241:CD251" ca="1" si="298">SUM(BX241:CC241)+(BR241+BS241+BT241+BU241+BV241)*BN241</f>
        <v>675.87082509837137</v>
      </c>
      <c r="CE241" s="1018">
        <f ca="1">0.34*BO241*(1/25)^0.66*(BR241+BS241+BU241+BV241)</f>
        <v>183.89923712295646</v>
      </c>
      <c r="CF241">
        <f t="shared" ca="1" si="260"/>
        <v>25.793101866639837</v>
      </c>
      <c r="CG241">
        <f t="shared" ca="1" si="261"/>
        <v>42944.482883880657</v>
      </c>
    </row>
    <row r="242" spans="1:85" x14ac:dyDescent="0.25">
      <c r="D242" s="545"/>
      <c r="E242" s="544"/>
      <c r="F242" s="545"/>
      <c r="G242" s="544"/>
      <c r="H242" s="545"/>
      <c r="I242" s="544"/>
      <c r="J242" s="545"/>
      <c r="K242" s="547"/>
      <c r="L242" s="549"/>
      <c r="M242" s="545"/>
      <c r="N242" s="545"/>
      <c r="O242" s="545" t="s">
        <v>18</v>
      </c>
      <c r="P242" s="546">
        <v>0.62953995200000001</v>
      </c>
      <c r="Q242" s="545" t="s">
        <v>7</v>
      </c>
      <c r="R242" s="546">
        <v>0.26140000000000002</v>
      </c>
      <c r="S242" s="545"/>
      <c r="T242" s="551">
        <v>9.2939995358966808E-4</v>
      </c>
      <c r="U242" s="544"/>
      <c r="V242" s="176">
        <f>T242-T242*Calculation_sheet!F$59</f>
        <v>9.2939995358966808E-4</v>
      </c>
      <c r="W242" s="176">
        <f>V242-V242*Calculation_sheet!E$67</f>
        <v>9.2939995358966808E-4</v>
      </c>
      <c r="X242" s="176">
        <f>W242-W242*Calculation_sheet!E$77</f>
        <v>9.2939995358966808E-4</v>
      </c>
      <c r="Y242" s="34">
        <f>X242/Calculation_sheet!M$67</f>
        <v>9.2941895649951446E-4</v>
      </c>
      <c r="Z242" s="176">
        <f ca="1">IF(AN242&gt;0,Y242*Calculation_sheet!C$87,0)</f>
        <v>0</v>
      </c>
      <c r="AA242" s="176">
        <f t="shared" ref="AA242:AA251" ca="1" si="299">Y242-Z242</f>
        <v>9.2941895649951446E-4</v>
      </c>
      <c r="AB242" s="176">
        <f ca="1">IF(AP242&gt;0,AA242*Calculation_sheet!C$94,0)</f>
        <v>0</v>
      </c>
      <c r="AC242" s="176">
        <f t="shared" ca="1" si="290"/>
        <v>9.2941895649951446E-4</v>
      </c>
      <c r="AD242" s="958">
        <f ca="1">AC242*Calculation_sheet!C$99</f>
        <v>5.5765137389970866E-4</v>
      </c>
      <c r="AE242" s="176">
        <f t="shared" ca="1" si="290"/>
        <v>3.7176758259980581E-4</v>
      </c>
      <c r="AF242" s="176">
        <f t="shared" ref="AF242:AF251" ca="1" si="300">Y242-AB242</f>
        <v>9.2941895649951446E-4</v>
      </c>
      <c r="AG242" s="958">
        <f ca="1">AF242*User_sheet!B$77/100</f>
        <v>0</v>
      </c>
      <c r="AH242" s="313"/>
      <c r="AI242" s="908">
        <v>202</v>
      </c>
      <c r="AJ242" s="313"/>
      <c r="AK242" s="1020">
        <f t="shared" ca="1" si="255"/>
        <v>675.87082509837137</v>
      </c>
      <c r="AL242" s="954">
        <f ca="1">AK242/'202'!I$24</f>
        <v>2.1773487487464043</v>
      </c>
      <c r="AM242" s="954">
        <f ca="1">0.8*(AK242*30+'202'!D$17*0.34*30*1)</f>
        <v>19832.842202360916</v>
      </c>
      <c r="AN242" s="954">
        <f ca="1">IF(AM242&lt;User_sheet!B$50,Y242,0)</f>
        <v>0</v>
      </c>
      <c r="AO242" s="954">
        <f ca="1">20-(User_sheet!B$57/(AK242+'202'!D$17*1*0.34))</f>
        <v>13.102350202548617</v>
      </c>
      <c r="AP242" s="954">
        <f ca="1">IF(AO242&lt;User_sheet!B$59,0,BC242*AA242)</f>
        <v>9.2941895649951446E-4</v>
      </c>
      <c r="AQ242" s="313"/>
      <c r="AR242" s="909">
        <v>7.7</v>
      </c>
      <c r="AS242" s="909">
        <v>2.1</v>
      </c>
      <c r="AT242" s="909">
        <v>7.9</v>
      </c>
      <c r="AU242" s="909">
        <v>5</v>
      </c>
      <c r="AV242" s="909">
        <v>3.3</v>
      </c>
      <c r="AW242" s="909">
        <v>11357.186356387729</v>
      </c>
      <c r="AX242" s="909">
        <v>74715.401027665983</v>
      </c>
      <c r="AY242" s="909">
        <v>67352.647733737584</v>
      </c>
      <c r="AZ242" s="909">
        <v>0</v>
      </c>
      <c r="BA242" s="909">
        <v>0</v>
      </c>
      <c r="BB242" s="917">
        <v>0.87</v>
      </c>
      <c r="BC242" s="919">
        <v>1</v>
      </c>
      <c r="BD242" s="920">
        <v>0</v>
      </c>
      <c r="BE242" s="920">
        <v>0</v>
      </c>
      <c r="BF242" s="921">
        <v>0</v>
      </c>
      <c r="BG242" s="909">
        <v>1</v>
      </c>
      <c r="BH242" s="909">
        <v>0</v>
      </c>
      <c r="BI242" s="921">
        <v>0</v>
      </c>
      <c r="BJ242" s="909">
        <v>0</v>
      </c>
      <c r="BK242" s="909">
        <v>0</v>
      </c>
      <c r="BL242" s="909">
        <v>1</v>
      </c>
      <c r="BM242" s="921">
        <v>0</v>
      </c>
      <c r="BN242" s="958">
        <v>0</v>
      </c>
      <c r="BO242" s="959">
        <v>18</v>
      </c>
      <c r="BP242">
        <f t="shared" ca="1" si="291"/>
        <v>173.25</v>
      </c>
      <c r="BQ242">
        <f t="shared" ca="1" si="292"/>
        <v>294.14</v>
      </c>
      <c r="BR242">
        <f t="shared" ca="1" si="293"/>
        <v>99.660000000000011</v>
      </c>
      <c r="BS242">
        <f t="shared" ca="1" si="294"/>
        <v>135.5</v>
      </c>
      <c r="BT242">
        <f t="shared" ca="1" si="295"/>
        <v>63.2</v>
      </c>
      <c r="BU242">
        <f t="shared" ca="1" si="296"/>
        <v>12</v>
      </c>
      <c r="BV242">
        <f t="shared" ca="1" si="297"/>
        <v>4.3</v>
      </c>
      <c r="BW242" s="1018">
        <v>0</v>
      </c>
      <c r="BX242">
        <f t="shared" ca="1" si="274"/>
        <v>328.69017704169045</v>
      </c>
      <c r="BY242">
        <f t="shared" ca="1" si="275"/>
        <v>208.61436950146629</v>
      </c>
      <c r="BZ242">
        <f t="shared" ca="1" si="256"/>
        <v>69.539561057962871</v>
      </c>
      <c r="CA242">
        <f t="shared" ca="1" si="257"/>
        <v>59.999999939999995</v>
      </c>
      <c r="CB242">
        <f t="shared" ca="1" si="276"/>
        <v>9.0267175572519083</v>
      </c>
      <c r="CC242" s="1018">
        <f t="shared" si="258"/>
        <v>0</v>
      </c>
      <c r="CD242" s="1018">
        <f t="shared" ca="1" si="298"/>
        <v>675.87082509837137</v>
      </c>
      <c r="CE242" s="1018">
        <f t="shared" ref="CE242:CE251" ca="1" si="301">0.34*BO242*(1/25)^0.66*(BR242+BS242+BU242+BV242)</f>
        <v>183.89923712295646</v>
      </c>
      <c r="CF242">
        <f t="shared" ca="1" si="260"/>
        <v>25.793101866639837</v>
      </c>
      <c r="CG242">
        <f t="shared" ca="1" si="261"/>
        <v>42944.482883880657</v>
      </c>
    </row>
    <row r="243" spans="1:85" x14ac:dyDescent="0.25">
      <c r="D243" s="545"/>
      <c r="E243" s="544"/>
      <c r="F243" s="545"/>
      <c r="G243" s="544"/>
      <c r="H243" s="545"/>
      <c r="I243" s="544"/>
      <c r="J243" s="545"/>
      <c r="K243" s="547"/>
      <c r="L243" s="549"/>
      <c r="M243" s="545"/>
      <c r="N243" s="545"/>
      <c r="O243" s="545"/>
      <c r="P243" s="545"/>
      <c r="Q243" s="545" t="s">
        <v>16</v>
      </c>
      <c r="R243" s="546">
        <v>0.73860000000000003</v>
      </c>
      <c r="S243" s="545"/>
      <c r="T243" s="551">
        <v>1.5453414319853398E-3</v>
      </c>
      <c r="U243" s="544"/>
      <c r="V243" s="176">
        <f>T243-T243*Calculation_sheet!F$59</f>
        <v>1.5453414319853398E-3</v>
      </c>
      <c r="W243" s="176">
        <f>V243-V243*Calculation_sheet!E$67</f>
        <v>1.5453414319853398E-3</v>
      </c>
      <c r="X243" s="176">
        <f>W243-W243*Calculation_sheet!E$77</f>
        <v>1.5453414319853398E-3</v>
      </c>
      <c r="Y243" s="34">
        <f>X243/Calculation_sheet!M$67</f>
        <v>1.5453730286986822E-3</v>
      </c>
      <c r="Z243" s="176">
        <f ca="1">IF(AN243&gt;0,Y243*Calculation_sheet!C$87,0)</f>
        <v>0</v>
      </c>
      <c r="AA243" s="176">
        <f t="shared" ca="1" si="299"/>
        <v>1.5453730286986822E-3</v>
      </c>
      <c r="AB243" s="176">
        <f ca="1">IF(AP243&gt;0,AA243*Calculation_sheet!C$94,0)</f>
        <v>0</v>
      </c>
      <c r="AC243" s="176">
        <f t="shared" ca="1" si="290"/>
        <v>1.5453730286986822E-3</v>
      </c>
      <c r="AD243" s="958">
        <f ca="1">AC243*Calculation_sheet!C$99</f>
        <v>9.2722381721920921E-4</v>
      </c>
      <c r="AE243" s="176">
        <f t="shared" ca="1" si="290"/>
        <v>6.1814921147947295E-4</v>
      </c>
      <c r="AF243" s="176">
        <f t="shared" ca="1" si="300"/>
        <v>1.5453730286986822E-3</v>
      </c>
      <c r="AG243" s="958">
        <f ca="1">AF243*User_sheet!B$77/100</f>
        <v>0</v>
      </c>
      <c r="AH243" s="313"/>
      <c r="AI243" s="908">
        <v>202</v>
      </c>
      <c r="AJ243" s="313"/>
      <c r="AK243" s="1020">
        <f t="shared" ca="1" si="255"/>
        <v>675.87082509837137</v>
      </c>
      <c r="AL243" s="954">
        <f ca="1">AK243/'202'!I$24</f>
        <v>2.1773487487464043</v>
      </c>
      <c r="AM243" s="954">
        <f ca="1">0.8*(AK243*30+'202'!D$17*0.34*30*1)</f>
        <v>19832.842202360916</v>
      </c>
      <c r="AN243" s="954">
        <f ca="1">IF(AM243&lt;User_sheet!B$50,Y243,0)</f>
        <v>0</v>
      </c>
      <c r="AO243" s="954">
        <f ca="1">20-(User_sheet!B$57/(AK243+'202'!D$17*1*0.34))</f>
        <v>13.102350202548617</v>
      </c>
      <c r="AP243" s="954">
        <f ca="1">IF(AO243&lt;User_sheet!B$59,0,BC243*AA243)</f>
        <v>1.5453730286986822E-3</v>
      </c>
      <c r="AQ243" s="313"/>
      <c r="AR243" s="909">
        <v>7.7</v>
      </c>
      <c r="AS243" s="909">
        <v>2.1</v>
      </c>
      <c r="AT243" s="909">
        <v>7.9</v>
      </c>
      <c r="AU243" s="909">
        <v>5</v>
      </c>
      <c r="AV243" s="909">
        <v>3.3</v>
      </c>
      <c r="AW243" s="909">
        <v>11357.186356387729</v>
      </c>
      <c r="AX243" s="909">
        <v>74715.401027665983</v>
      </c>
      <c r="AY243" s="909">
        <v>67352.647733737584</v>
      </c>
      <c r="AZ243" s="909">
        <v>0</v>
      </c>
      <c r="BA243" s="909">
        <v>0</v>
      </c>
      <c r="BB243" s="917">
        <v>0.87</v>
      </c>
      <c r="BC243" s="919">
        <v>1</v>
      </c>
      <c r="BD243" s="920">
        <v>0</v>
      </c>
      <c r="BE243" s="920">
        <v>0</v>
      </c>
      <c r="BF243" s="921">
        <v>0</v>
      </c>
      <c r="BG243" s="909">
        <v>0</v>
      </c>
      <c r="BH243" s="909">
        <v>1</v>
      </c>
      <c r="BI243" s="921">
        <v>0</v>
      </c>
      <c r="BJ243" s="909">
        <v>1</v>
      </c>
      <c r="BK243" s="909">
        <v>0</v>
      </c>
      <c r="BL243" s="909">
        <v>0</v>
      </c>
      <c r="BM243" s="921">
        <v>0</v>
      </c>
      <c r="BN243" s="958">
        <v>0</v>
      </c>
      <c r="BO243" s="959">
        <v>18</v>
      </c>
      <c r="BP243">
        <f t="shared" ca="1" si="291"/>
        <v>173.25</v>
      </c>
      <c r="BQ243">
        <f t="shared" ca="1" si="292"/>
        <v>294.14</v>
      </c>
      <c r="BR243">
        <f t="shared" ca="1" si="293"/>
        <v>99.660000000000011</v>
      </c>
      <c r="BS243">
        <f t="shared" ca="1" si="294"/>
        <v>135.5</v>
      </c>
      <c r="BT243">
        <f t="shared" ca="1" si="295"/>
        <v>63.2</v>
      </c>
      <c r="BU243">
        <f t="shared" ca="1" si="296"/>
        <v>12</v>
      </c>
      <c r="BV243">
        <f t="shared" ca="1" si="297"/>
        <v>4.3</v>
      </c>
      <c r="BW243" s="1018">
        <v>0</v>
      </c>
      <c r="BX243">
        <f t="shared" ca="1" si="274"/>
        <v>328.69017704169045</v>
      </c>
      <c r="BY243">
        <f t="shared" ca="1" si="275"/>
        <v>208.61436950146629</v>
      </c>
      <c r="BZ243">
        <f t="shared" ca="1" si="256"/>
        <v>69.539561057962871</v>
      </c>
      <c r="CA243">
        <f t="shared" ca="1" si="257"/>
        <v>59.999999939999995</v>
      </c>
      <c r="CB243">
        <f t="shared" ca="1" si="276"/>
        <v>9.0267175572519083</v>
      </c>
      <c r="CC243" s="1018">
        <f t="shared" si="258"/>
        <v>0</v>
      </c>
      <c r="CD243" s="1018">
        <f t="shared" ca="1" si="298"/>
        <v>675.87082509837137</v>
      </c>
      <c r="CE243" s="1018">
        <f t="shared" ca="1" si="301"/>
        <v>183.89923712295646</v>
      </c>
      <c r="CF243">
        <f t="shared" ca="1" si="260"/>
        <v>25.793101866639837</v>
      </c>
      <c r="CG243">
        <f t="shared" ca="1" si="261"/>
        <v>42944.482883880657</v>
      </c>
    </row>
    <row r="244" spans="1:85" x14ac:dyDescent="0.25">
      <c r="D244" s="545"/>
      <c r="E244" s="544"/>
      <c r="F244" s="545"/>
      <c r="G244" s="544"/>
      <c r="H244" s="545"/>
      <c r="I244" s="544"/>
      <c r="J244" s="545"/>
      <c r="K244" s="547"/>
      <c r="L244" s="549"/>
      <c r="M244" s="545" t="s">
        <v>16</v>
      </c>
      <c r="N244" s="546">
        <v>0.44680851100000002</v>
      </c>
      <c r="O244" s="545" t="s">
        <v>19</v>
      </c>
      <c r="P244" s="546">
        <v>0.37046004799999999</v>
      </c>
      <c r="Q244" s="545" t="s">
        <v>7</v>
      </c>
      <c r="R244" s="546">
        <v>0.26140000000000002</v>
      </c>
      <c r="S244" s="545"/>
      <c r="T244" s="551">
        <v>5.4691612553610597E-4</v>
      </c>
      <c r="U244" s="544"/>
      <c r="V244" s="176">
        <f>T244-T244*Calculation_sheet!F$59</f>
        <v>5.4691612553610597E-4</v>
      </c>
      <c r="W244" s="176">
        <f>V244-V244*Calculation_sheet!E$67</f>
        <v>5.4691612553610597E-4</v>
      </c>
      <c r="X244" s="176">
        <f>W244-W244*Calculation_sheet!E$77</f>
        <v>5.4691612553610597E-4</v>
      </c>
      <c r="Y244" s="34">
        <f>X244/Calculation_sheet!M$67</f>
        <v>5.4692730801764893E-4</v>
      </c>
      <c r="Z244" s="176">
        <f ca="1">IF(AN244&gt;0,Y244*Calculation_sheet!C$87,0)</f>
        <v>0</v>
      </c>
      <c r="AA244" s="176">
        <f t="shared" ca="1" si="299"/>
        <v>5.4692730801764893E-4</v>
      </c>
      <c r="AB244" s="176">
        <f ca="1">IF(AP244&gt;0,AA244*Calculation_sheet!C$94,0)</f>
        <v>0</v>
      </c>
      <c r="AC244" s="176">
        <f t="shared" ca="1" si="290"/>
        <v>5.4692730801764893E-4</v>
      </c>
      <c r="AD244" s="958">
        <f ca="1">AC244*Calculation_sheet!C$99</f>
        <v>3.2815638481058934E-4</v>
      </c>
      <c r="AE244" s="176">
        <f t="shared" ca="1" si="290"/>
        <v>2.187709232070596E-4</v>
      </c>
      <c r="AF244" s="176">
        <f t="shared" ca="1" si="300"/>
        <v>5.4692730801764893E-4</v>
      </c>
      <c r="AG244" s="958">
        <f ca="1">AF244*User_sheet!B$77/100</f>
        <v>0</v>
      </c>
      <c r="AH244" s="313"/>
      <c r="AI244" s="908">
        <v>202</v>
      </c>
      <c r="AJ244" s="313"/>
      <c r="AK244" s="1020">
        <f t="shared" ca="1" si="255"/>
        <v>675.87082509837137</v>
      </c>
      <c r="AL244" s="954">
        <f ca="1">AK244/'202'!I$24</f>
        <v>2.1773487487464043</v>
      </c>
      <c r="AM244" s="954">
        <f ca="1">0.8*(AK244*30+'202'!D$17*0.34*30*1)</f>
        <v>19832.842202360916</v>
      </c>
      <c r="AN244" s="954">
        <f ca="1">IF(AM244&lt;User_sheet!B$50,Y244,0)</f>
        <v>0</v>
      </c>
      <c r="AO244" s="954">
        <f ca="1">20-(User_sheet!B$57/(AK244+'202'!D$17*1*0.34))</f>
        <v>13.102350202548617</v>
      </c>
      <c r="AP244" s="954">
        <f ca="1">IF(AO244&lt;User_sheet!B$59,0,BC244*AA244)</f>
        <v>5.4692730801764893E-4</v>
      </c>
      <c r="AQ244" s="313"/>
      <c r="AR244" s="909">
        <v>7.7</v>
      </c>
      <c r="AS244" s="909">
        <v>2.1</v>
      </c>
      <c r="AT244" s="909">
        <v>7.9</v>
      </c>
      <c r="AU244" s="909">
        <v>5</v>
      </c>
      <c r="AV244" s="909">
        <v>3.3</v>
      </c>
      <c r="AW244" s="909">
        <v>11357.186356387729</v>
      </c>
      <c r="AX244" s="909">
        <v>74715.401027665983</v>
      </c>
      <c r="AY244" s="909">
        <v>67352.647733737584</v>
      </c>
      <c r="AZ244" s="909">
        <v>0</v>
      </c>
      <c r="BA244" s="909">
        <v>0</v>
      </c>
      <c r="BB244" s="917">
        <v>0.87</v>
      </c>
      <c r="BC244" s="919">
        <v>1</v>
      </c>
      <c r="BD244" s="920">
        <v>0</v>
      </c>
      <c r="BE244" s="920">
        <v>0</v>
      </c>
      <c r="BF244" s="921">
        <v>0</v>
      </c>
      <c r="BG244" s="909">
        <v>0</v>
      </c>
      <c r="BH244" s="909">
        <v>1</v>
      </c>
      <c r="BI244" s="921">
        <v>0</v>
      </c>
      <c r="BJ244" s="909">
        <v>0</v>
      </c>
      <c r="BK244" s="909">
        <v>0</v>
      </c>
      <c r="BL244" s="909">
        <v>1</v>
      </c>
      <c r="BM244" s="921">
        <v>0</v>
      </c>
      <c r="BN244" s="958">
        <v>0</v>
      </c>
      <c r="BO244" s="959">
        <v>18</v>
      </c>
      <c r="BP244">
        <f t="shared" ca="1" si="291"/>
        <v>173.25</v>
      </c>
      <c r="BQ244">
        <f t="shared" ca="1" si="292"/>
        <v>294.14</v>
      </c>
      <c r="BR244">
        <f t="shared" ca="1" si="293"/>
        <v>99.660000000000011</v>
      </c>
      <c r="BS244">
        <f t="shared" ca="1" si="294"/>
        <v>135.5</v>
      </c>
      <c r="BT244">
        <f t="shared" ca="1" si="295"/>
        <v>63.2</v>
      </c>
      <c r="BU244">
        <f t="shared" ca="1" si="296"/>
        <v>12</v>
      </c>
      <c r="BV244">
        <f t="shared" ca="1" si="297"/>
        <v>4.3</v>
      </c>
      <c r="BW244" s="1018">
        <v>0</v>
      </c>
      <c r="BX244">
        <f t="shared" ca="1" si="274"/>
        <v>328.69017704169045</v>
      </c>
      <c r="BY244">
        <f t="shared" ca="1" si="275"/>
        <v>208.61436950146629</v>
      </c>
      <c r="BZ244">
        <f t="shared" ca="1" si="256"/>
        <v>69.539561057962871</v>
      </c>
      <c r="CA244">
        <f t="shared" ca="1" si="257"/>
        <v>59.999999939999995</v>
      </c>
      <c r="CB244">
        <f t="shared" ca="1" si="276"/>
        <v>9.0267175572519083</v>
      </c>
      <c r="CC244" s="1018">
        <f t="shared" si="258"/>
        <v>0</v>
      </c>
      <c r="CD244" s="1018">
        <f t="shared" ca="1" si="298"/>
        <v>675.87082509837137</v>
      </c>
      <c r="CE244" s="1018">
        <f t="shared" ca="1" si="301"/>
        <v>183.89923712295646</v>
      </c>
      <c r="CF244">
        <f t="shared" ca="1" si="260"/>
        <v>25.793101866639837</v>
      </c>
      <c r="CG244">
        <f t="shared" ca="1" si="261"/>
        <v>42944.482883880657</v>
      </c>
    </row>
    <row r="245" spans="1:85" x14ac:dyDescent="0.25">
      <c r="D245" s="545"/>
      <c r="E245" s="544"/>
      <c r="F245" s="545"/>
      <c r="G245" s="544"/>
      <c r="H245" s="545"/>
      <c r="I245" s="544"/>
      <c r="J245" s="545"/>
      <c r="K245" s="547"/>
      <c r="L245" s="549"/>
      <c r="M245" s="545"/>
      <c r="N245" s="545"/>
      <c r="O245" s="545"/>
      <c r="P245" s="545"/>
      <c r="Q245" s="545" t="s">
        <v>22</v>
      </c>
      <c r="R245" s="546">
        <v>0.53710000000000002</v>
      </c>
      <c r="S245" s="545"/>
      <c r="T245" s="551">
        <v>2.4518039615515595E-3</v>
      </c>
      <c r="U245" s="544"/>
      <c r="V245" s="176">
        <f>T245-T245*Calculation_sheet!F$59</f>
        <v>2.4518039615515595E-3</v>
      </c>
      <c r="W245" s="176">
        <f>V245-V245*Calculation_sheet!E$67</f>
        <v>2.4518039615515595E-3</v>
      </c>
      <c r="X245" s="176">
        <f>W245-W245*Calculation_sheet!E$77</f>
        <v>2.4518039615515595E-3</v>
      </c>
      <c r="Y245" s="34">
        <f>X245/Calculation_sheet!M$67</f>
        <v>2.4518540921863443E-3</v>
      </c>
      <c r="Z245" s="176">
        <f ca="1">IF(AN245&gt;0,Y245*Calculation_sheet!C$87,0)</f>
        <v>0</v>
      </c>
      <c r="AA245" s="176">
        <f t="shared" ca="1" si="299"/>
        <v>2.4518540921863443E-3</v>
      </c>
      <c r="AB245" s="176">
        <f ca="1">IF(AP245&gt;0,AA245*Calculation_sheet!C$94,0)</f>
        <v>0</v>
      </c>
      <c r="AC245" s="176">
        <f t="shared" ca="1" si="290"/>
        <v>2.4518540921863443E-3</v>
      </c>
      <c r="AD245" s="958">
        <f ca="1">AC245*Calculation_sheet!C$99</f>
        <v>1.4711124553118066E-3</v>
      </c>
      <c r="AE245" s="176">
        <f t="shared" ca="1" si="290"/>
        <v>9.8074163687453773E-4</v>
      </c>
      <c r="AF245" s="176">
        <f t="shared" ca="1" si="300"/>
        <v>2.4518540921863443E-3</v>
      </c>
      <c r="AG245" s="958">
        <f ca="1">AF245*User_sheet!B$77/100</f>
        <v>0</v>
      </c>
      <c r="AH245" s="313"/>
      <c r="AI245" s="908">
        <v>202</v>
      </c>
      <c r="AJ245" s="313"/>
      <c r="AK245" s="1020">
        <f t="shared" ca="1" si="255"/>
        <v>675.87082509837137</v>
      </c>
      <c r="AL245" s="954">
        <f ca="1">AK245/'202'!I$24</f>
        <v>2.1773487487464043</v>
      </c>
      <c r="AM245" s="954">
        <f ca="1">0.8*(AK245*30+'202'!D$17*0.34*30*1)</f>
        <v>19832.842202360916</v>
      </c>
      <c r="AN245" s="954">
        <f ca="1">IF(AM245&lt;User_sheet!B$50,Y245,0)</f>
        <v>0</v>
      </c>
      <c r="AO245" s="954">
        <f ca="1">20-(User_sheet!B$57/(AK245+'202'!D$17*1*0.34))</f>
        <v>13.102350202548617</v>
      </c>
      <c r="AP245" s="954">
        <f ca="1">IF(AO245&lt;User_sheet!B$59,0,BC245*AA245)</f>
        <v>0</v>
      </c>
      <c r="AQ245" s="313"/>
      <c r="AR245" s="909">
        <v>7.7</v>
      </c>
      <c r="AS245" s="909">
        <v>2.1</v>
      </c>
      <c r="AT245" s="909">
        <v>7.9</v>
      </c>
      <c r="AU245" s="909">
        <v>5</v>
      </c>
      <c r="AV245" s="909">
        <v>3.3</v>
      </c>
      <c r="AW245" s="909">
        <v>11357.186356387729</v>
      </c>
      <c r="AX245" s="909">
        <v>74715.401027665983</v>
      </c>
      <c r="AY245" s="909">
        <v>67352.647733737584</v>
      </c>
      <c r="AZ245" s="909">
        <v>0</v>
      </c>
      <c r="BA245" s="909">
        <v>0</v>
      </c>
      <c r="BB245" s="917">
        <v>0.87</v>
      </c>
      <c r="BC245" s="919">
        <v>0</v>
      </c>
      <c r="BD245" s="920">
        <v>1</v>
      </c>
      <c r="BE245" s="920">
        <v>0</v>
      </c>
      <c r="BF245" s="921">
        <v>0</v>
      </c>
      <c r="BG245" s="909">
        <v>1</v>
      </c>
      <c r="BH245" s="909">
        <v>0</v>
      </c>
      <c r="BI245" s="921">
        <v>0</v>
      </c>
      <c r="BJ245" s="909">
        <v>0</v>
      </c>
      <c r="BK245" s="909">
        <v>1</v>
      </c>
      <c r="BL245" s="909">
        <v>0</v>
      </c>
      <c r="BM245" s="921">
        <v>0</v>
      </c>
      <c r="BN245" s="958">
        <v>0</v>
      </c>
      <c r="BO245" s="959">
        <v>18</v>
      </c>
      <c r="BP245">
        <f t="shared" ca="1" si="291"/>
        <v>173.25</v>
      </c>
      <c r="BQ245">
        <f t="shared" ca="1" si="292"/>
        <v>294.14</v>
      </c>
      <c r="BR245">
        <f t="shared" ca="1" si="293"/>
        <v>99.660000000000011</v>
      </c>
      <c r="BS245">
        <f t="shared" ca="1" si="294"/>
        <v>135.5</v>
      </c>
      <c r="BT245">
        <f t="shared" ca="1" si="295"/>
        <v>63.2</v>
      </c>
      <c r="BU245">
        <f t="shared" ca="1" si="296"/>
        <v>12</v>
      </c>
      <c r="BV245">
        <f t="shared" ca="1" si="297"/>
        <v>4.3</v>
      </c>
      <c r="BW245" s="1018">
        <v>0</v>
      </c>
      <c r="BX245">
        <f t="shared" ca="1" si="274"/>
        <v>328.69017704169045</v>
      </c>
      <c r="BY245">
        <f t="shared" ca="1" si="275"/>
        <v>208.61436950146629</v>
      </c>
      <c r="BZ245">
        <f t="shared" ca="1" si="256"/>
        <v>69.539561057962871</v>
      </c>
      <c r="CA245">
        <f t="shared" ca="1" si="257"/>
        <v>59.999999939999995</v>
      </c>
      <c r="CB245">
        <f t="shared" ca="1" si="276"/>
        <v>9.0267175572519083</v>
      </c>
      <c r="CC245" s="1018">
        <f t="shared" si="258"/>
        <v>0</v>
      </c>
      <c r="CD245" s="1018">
        <f t="shared" ca="1" si="298"/>
        <v>675.87082509837137</v>
      </c>
      <c r="CE245" s="1018">
        <f t="shared" ca="1" si="301"/>
        <v>183.89923712295646</v>
      </c>
      <c r="CF245">
        <f t="shared" ca="1" si="260"/>
        <v>25.793101866639837</v>
      </c>
      <c r="CG245">
        <f t="shared" ca="1" si="261"/>
        <v>42944.482883880657</v>
      </c>
    </row>
    <row r="246" spans="1:85" x14ac:dyDescent="0.25">
      <c r="D246" s="545"/>
      <c r="E246" s="544"/>
      <c r="F246" s="545"/>
      <c r="G246" s="544"/>
      <c r="H246" s="545"/>
      <c r="I246" s="544"/>
      <c r="J246" s="545"/>
      <c r="K246" s="547"/>
      <c r="L246" s="549"/>
      <c r="M246" s="545"/>
      <c r="N246" s="545"/>
      <c r="O246" s="545" t="s">
        <v>18</v>
      </c>
      <c r="P246" s="546">
        <v>0.80827067699999999</v>
      </c>
      <c r="Q246" s="545" t="s">
        <v>7</v>
      </c>
      <c r="R246" s="546">
        <v>0.46289999999999998</v>
      </c>
      <c r="S246" s="545"/>
      <c r="T246" s="551">
        <v>2.1130889104491097E-3</v>
      </c>
      <c r="U246" s="544"/>
      <c r="V246" s="176">
        <f>T246-T246*Calculation_sheet!F$59</f>
        <v>2.1130889104491097E-3</v>
      </c>
      <c r="W246" s="176">
        <f>V246-V246*Calculation_sheet!E$67</f>
        <v>2.1130889104491097E-3</v>
      </c>
      <c r="X246" s="176">
        <f>W246-W246*Calculation_sheet!E$77</f>
        <v>2.1130889104491097E-3</v>
      </c>
      <c r="Y246" s="34">
        <f>X246/Calculation_sheet!M$67</f>
        <v>2.1131321155707663E-3</v>
      </c>
      <c r="Z246" s="176">
        <f ca="1">IF(AN246&gt;0,Y246*Calculation_sheet!C$87,0)</f>
        <v>0</v>
      </c>
      <c r="AA246" s="176">
        <f t="shared" ca="1" si="299"/>
        <v>2.1131321155707663E-3</v>
      </c>
      <c r="AB246" s="176">
        <f ca="1">IF(AP246&gt;0,AA246*Calculation_sheet!C$94,0)</f>
        <v>0</v>
      </c>
      <c r="AC246" s="176">
        <f t="shared" ca="1" si="290"/>
        <v>2.1131321155707663E-3</v>
      </c>
      <c r="AD246" s="958">
        <f ca="1">AC246*Calculation_sheet!C$99</f>
        <v>1.2678792693424598E-3</v>
      </c>
      <c r="AE246" s="176">
        <f t="shared" ca="1" si="290"/>
        <v>8.4525284622830651E-4</v>
      </c>
      <c r="AF246" s="176">
        <f t="shared" ca="1" si="300"/>
        <v>2.1131321155707663E-3</v>
      </c>
      <c r="AG246" s="958">
        <f ca="1">AF246*User_sheet!B$77/100</f>
        <v>0</v>
      </c>
      <c r="AH246" s="313"/>
      <c r="AI246" s="908">
        <v>202</v>
      </c>
      <c r="AJ246" s="313"/>
      <c r="AK246" s="1020">
        <f t="shared" ca="1" si="255"/>
        <v>675.87082509837137</v>
      </c>
      <c r="AL246" s="954">
        <f ca="1">AK246/'202'!I$24</f>
        <v>2.1773487487464043</v>
      </c>
      <c r="AM246" s="954">
        <f ca="1">0.8*(AK246*30+'202'!D$17*0.34*30*1)</f>
        <v>19832.842202360916</v>
      </c>
      <c r="AN246" s="954">
        <f ca="1">IF(AM246&lt;User_sheet!B$50,Y246,0)</f>
        <v>0</v>
      </c>
      <c r="AO246" s="954">
        <f ca="1">20-(User_sheet!B$57/(AK246+'202'!D$17*1*0.34))</f>
        <v>13.102350202548617</v>
      </c>
      <c r="AP246" s="954">
        <f ca="1">IF(AO246&lt;User_sheet!B$59,0,BC246*AA246)</f>
        <v>0</v>
      </c>
      <c r="AQ246" s="313"/>
      <c r="AR246" s="909">
        <v>7.7</v>
      </c>
      <c r="AS246" s="909">
        <v>2.1</v>
      </c>
      <c r="AT246" s="909">
        <v>7.9</v>
      </c>
      <c r="AU246" s="909">
        <v>5</v>
      </c>
      <c r="AV246" s="909">
        <v>3.3</v>
      </c>
      <c r="AW246" s="909">
        <v>11357.186356387729</v>
      </c>
      <c r="AX246" s="909">
        <v>74715.401027665983</v>
      </c>
      <c r="AY246" s="909">
        <v>67352.647733737584</v>
      </c>
      <c r="AZ246" s="909">
        <v>0</v>
      </c>
      <c r="BA246" s="909">
        <v>0</v>
      </c>
      <c r="BB246" s="917">
        <v>0.87</v>
      </c>
      <c r="BC246" s="919">
        <v>0</v>
      </c>
      <c r="BD246" s="920">
        <v>1</v>
      </c>
      <c r="BE246" s="920">
        <v>0</v>
      </c>
      <c r="BF246" s="921">
        <v>0</v>
      </c>
      <c r="BG246" s="909">
        <v>1</v>
      </c>
      <c r="BH246" s="909">
        <v>0</v>
      </c>
      <c r="BI246" s="921">
        <v>0</v>
      </c>
      <c r="BJ246" s="909">
        <v>0</v>
      </c>
      <c r="BK246" s="909">
        <v>0</v>
      </c>
      <c r="BL246" s="909">
        <v>1</v>
      </c>
      <c r="BM246" s="921">
        <v>0</v>
      </c>
      <c r="BN246" s="958">
        <v>0</v>
      </c>
      <c r="BO246" s="959">
        <v>18</v>
      </c>
      <c r="BP246">
        <f t="shared" ca="1" si="291"/>
        <v>173.25</v>
      </c>
      <c r="BQ246">
        <f t="shared" ca="1" si="292"/>
        <v>294.14</v>
      </c>
      <c r="BR246">
        <f t="shared" ca="1" si="293"/>
        <v>99.660000000000011</v>
      </c>
      <c r="BS246">
        <f t="shared" ca="1" si="294"/>
        <v>135.5</v>
      </c>
      <c r="BT246">
        <f t="shared" ca="1" si="295"/>
        <v>63.2</v>
      </c>
      <c r="BU246">
        <f t="shared" ca="1" si="296"/>
        <v>12</v>
      </c>
      <c r="BV246">
        <f t="shared" ca="1" si="297"/>
        <v>4.3</v>
      </c>
      <c r="BW246" s="1018">
        <v>0</v>
      </c>
      <c r="BX246">
        <f t="shared" ca="1" si="274"/>
        <v>328.69017704169045</v>
      </c>
      <c r="BY246">
        <f t="shared" ca="1" si="275"/>
        <v>208.61436950146629</v>
      </c>
      <c r="BZ246">
        <f t="shared" ca="1" si="256"/>
        <v>69.539561057962871</v>
      </c>
      <c r="CA246">
        <f t="shared" ca="1" si="257"/>
        <v>59.999999939999995</v>
      </c>
      <c r="CB246">
        <f t="shared" ca="1" si="276"/>
        <v>9.0267175572519083</v>
      </c>
      <c r="CC246" s="1018">
        <f t="shared" si="258"/>
        <v>0</v>
      </c>
      <c r="CD246" s="1018">
        <f t="shared" ca="1" si="298"/>
        <v>675.87082509837137</v>
      </c>
      <c r="CE246" s="1018">
        <f t="shared" ca="1" si="301"/>
        <v>183.89923712295646</v>
      </c>
      <c r="CF246">
        <f t="shared" ca="1" si="260"/>
        <v>25.793101866639837</v>
      </c>
      <c r="CG246">
        <f t="shared" ca="1" si="261"/>
        <v>42944.482883880657</v>
      </c>
    </row>
    <row r="247" spans="1:85" x14ac:dyDescent="0.25">
      <c r="D247" s="545"/>
      <c r="E247" s="544"/>
      <c r="F247" s="545"/>
      <c r="G247" s="544"/>
      <c r="H247" s="545"/>
      <c r="I247" s="544"/>
      <c r="J247" s="545"/>
      <c r="K247" s="547"/>
      <c r="L247" s="549"/>
      <c r="M247" s="545"/>
      <c r="N247" s="545"/>
      <c r="O247" s="545"/>
      <c r="P247" s="545"/>
      <c r="Q247" s="545" t="s">
        <v>22</v>
      </c>
      <c r="R247" s="546">
        <v>0.53710000000000002</v>
      </c>
      <c r="S247" s="545"/>
      <c r="T247" s="551">
        <v>5.8159070600181928E-4</v>
      </c>
      <c r="U247" s="544"/>
      <c r="V247" s="176">
        <f>T247-T247*Calculation_sheet!F$59</f>
        <v>5.8159070600181928E-4</v>
      </c>
      <c r="W247" s="176">
        <f>V247-V247*Calculation_sheet!E$67</f>
        <v>5.8159070600181928E-4</v>
      </c>
      <c r="X247" s="176">
        <f>W247-W247*Calculation_sheet!E$77</f>
        <v>5.8159070600181928E-4</v>
      </c>
      <c r="Y247" s="34">
        <f>X247/Calculation_sheet!M$67</f>
        <v>5.8160259745469809E-4</v>
      </c>
      <c r="Z247" s="176">
        <f ca="1">IF(AN247&gt;0,Y247*Calculation_sheet!C$87,0)</f>
        <v>0</v>
      </c>
      <c r="AA247" s="176">
        <f t="shared" ca="1" si="299"/>
        <v>5.8160259745469809E-4</v>
      </c>
      <c r="AB247" s="176">
        <f ca="1">IF(AP247&gt;0,AA247*Calculation_sheet!C$94,0)</f>
        <v>0</v>
      </c>
      <c r="AC247" s="176">
        <f t="shared" ca="1" si="290"/>
        <v>5.8160259745469809E-4</v>
      </c>
      <c r="AD247" s="958">
        <f ca="1">AC247*Calculation_sheet!C$99</f>
        <v>3.4896155847281883E-4</v>
      </c>
      <c r="AE247" s="176">
        <f t="shared" ca="1" si="290"/>
        <v>2.3264103898187926E-4</v>
      </c>
      <c r="AF247" s="176">
        <f t="shared" ca="1" si="300"/>
        <v>5.8160259745469809E-4</v>
      </c>
      <c r="AG247" s="958">
        <f ca="1">AF247*User_sheet!B$77/100</f>
        <v>0</v>
      </c>
      <c r="AH247" s="313"/>
      <c r="AI247" s="908">
        <v>202</v>
      </c>
      <c r="AJ247" s="313"/>
      <c r="AK247" s="1020">
        <f t="shared" ca="1" si="255"/>
        <v>675.87082509837137</v>
      </c>
      <c r="AL247" s="954">
        <f ca="1">AK247/'202'!I$24</f>
        <v>2.1773487487464043</v>
      </c>
      <c r="AM247" s="954">
        <f ca="1">0.8*(AK247*30+'202'!D$17*0.34*30*1)</f>
        <v>19832.842202360916</v>
      </c>
      <c r="AN247" s="954">
        <f ca="1">IF(AM247&lt;User_sheet!B$50,Y247,0)</f>
        <v>0</v>
      </c>
      <c r="AO247" s="954">
        <f ca="1">20-(User_sheet!B$57/(AK247+'202'!D$17*1*0.34))</f>
        <v>13.102350202548617</v>
      </c>
      <c r="AP247" s="954">
        <f ca="1">IF(AO247&lt;User_sheet!B$59,0,BC247*AA247)</f>
        <v>0</v>
      </c>
      <c r="AQ247" s="313"/>
      <c r="AR247" s="909">
        <v>7.7</v>
      </c>
      <c r="AS247" s="909">
        <v>2.1</v>
      </c>
      <c r="AT247" s="909">
        <v>7.9</v>
      </c>
      <c r="AU247" s="909">
        <v>5</v>
      </c>
      <c r="AV247" s="909">
        <v>3.3</v>
      </c>
      <c r="AW247" s="909">
        <v>11357.186356387729</v>
      </c>
      <c r="AX247" s="909">
        <v>74715.401027665983</v>
      </c>
      <c r="AY247" s="909">
        <v>67352.647733737584</v>
      </c>
      <c r="AZ247" s="909">
        <v>0</v>
      </c>
      <c r="BA247" s="909">
        <v>0</v>
      </c>
      <c r="BB247" s="917">
        <v>0.87</v>
      </c>
      <c r="BC247" s="919">
        <v>0</v>
      </c>
      <c r="BD247" s="920">
        <v>1</v>
      </c>
      <c r="BE247" s="920">
        <v>0</v>
      </c>
      <c r="BF247" s="921">
        <v>0</v>
      </c>
      <c r="BG247" s="909">
        <v>0</v>
      </c>
      <c r="BH247" s="909">
        <v>1</v>
      </c>
      <c r="BI247" s="921">
        <v>0</v>
      </c>
      <c r="BJ247" s="909">
        <v>0</v>
      </c>
      <c r="BK247" s="909">
        <v>1</v>
      </c>
      <c r="BL247" s="909">
        <v>0</v>
      </c>
      <c r="BM247" s="921">
        <v>0</v>
      </c>
      <c r="BN247" s="958">
        <v>0</v>
      </c>
      <c r="BO247" s="959">
        <v>18</v>
      </c>
      <c r="BP247">
        <f t="shared" ca="1" si="291"/>
        <v>173.25</v>
      </c>
      <c r="BQ247">
        <f t="shared" ca="1" si="292"/>
        <v>294.14</v>
      </c>
      <c r="BR247">
        <f t="shared" ca="1" si="293"/>
        <v>99.660000000000011</v>
      </c>
      <c r="BS247">
        <f t="shared" ca="1" si="294"/>
        <v>135.5</v>
      </c>
      <c r="BT247">
        <f t="shared" ca="1" si="295"/>
        <v>63.2</v>
      </c>
      <c r="BU247">
        <f t="shared" ca="1" si="296"/>
        <v>12</v>
      </c>
      <c r="BV247">
        <f t="shared" ca="1" si="297"/>
        <v>4.3</v>
      </c>
      <c r="BW247" s="1018">
        <v>0</v>
      </c>
      <c r="BX247">
        <f t="shared" ca="1" si="274"/>
        <v>328.69017704169045</v>
      </c>
      <c r="BY247">
        <f t="shared" ca="1" si="275"/>
        <v>208.61436950146629</v>
      </c>
      <c r="BZ247">
        <f t="shared" ca="1" si="256"/>
        <v>69.539561057962871</v>
      </c>
      <c r="CA247">
        <f t="shared" ca="1" si="257"/>
        <v>59.999999939999995</v>
      </c>
      <c r="CB247">
        <f t="shared" ca="1" si="276"/>
        <v>9.0267175572519083</v>
      </c>
      <c r="CC247" s="1018">
        <f t="shared" si="258"/>
        <v>0</v>
      </c>
      <c r="CD247" s="1018">
        <f t="shared" ca="1" si="298"/>
        <v>675.87082509837137</v>
      </c>
      <c r="CE247" s="1018">
        <f t="shared" ca="1" si="301"/>
        <v>183.89923712295646</v>
      </c>
      <c r="CF247">
        <f t="shared" ca="1" si="260"/>
        <v>25.793101866639837</v>
      </c>
      <c r="CG247">
        <f t="shared" ca="1" si="261"/>
        <v>42944.482883880657</v>
      </c>
    </row>
    <row r="248" spans="1:85" x14ac:dyDescent="0.25">
      <c r="D248" s="545"/>
      <c r="E248" s="544"/>
      <c r="F248" s="545"/>
      <c r="G248" s="544"/>
      <c r="H248" s="545"/>
      <c r="I248" s="544"/>
      <c r="J248" s="545"/>
      <c r="K248" s="547"/>
      <c r="L248" s="549"/>
      <c r="M248" s="545" t="s">
        <v>22</v>
      </c>
      <c r="N248" s="546">
        <v>0.44680851100000002</v>
      </c>
      <c r="O248" s="545" t="s">
        <v>20</v>
      </c>
      <c r="P248" s="546">
        <v>0.19172932300000001</v>
      </c>
      <c r="Q248" s="545" t="s">
        <v>7</v>
      </c>
      <c r="R248" s="546">
        <v>0.46289999999999998</v>
      </c>
      <c r="S248" s="545"/>
      <c r="T248" s="551">
        <v>5.0124434520246164E-4</v>
      </c>
      <c r="U248" s="544"/>
      <c r="V248" s="176">
        <f>T248-T248*Calculation_sheet!F$59</f>
        <v>5.0124434520246164E-4</v>
      </c>
      <c r="W248" s="176">
        <f>V248-V248*Calculation_sheet!E$67</f>
        <v>5.0124434520246164E-4</v>
      </c>
      <c r="X248" s="176">
        <f>W248-W248*Calculation_sheet!E$77</f>
        <v>5.0124434520246164E-4</v>
      </c>
      <c r="Y248" s="34">
        <f>X248/Calculation_sheet!M$67</f>
        <v>5.012545938592063E-4</v>
      </c>
      <c r="Z248" s="176">
        <f ca="1">IF(AN248&gt;0,Y248*Calculation_sheet!C$87,0)</f>
        <v>0</v>
      </c>
      <c r="AA248" s="176">
        <f t="shared" ca="1" si="299"/>
        <v>5.012545938592063E-4</v>
      </c>
      <c r="AB248" s="176">
        <f ca="1">IF(AP248&gt;0,AA248*Calculation_sheet!C$94,0)</f>
        <v>0</v>
      </c>
      <c r="AC248" s="176">
        <f t="shared" ca="1" si="290"/>
        <v>5.012545938592063E-4</v>
      </c>
      <c r="AD248" s="958">
        <f ca="1">AC248*Calculation_sheet!C$99</f>
        <v>3.0075275631552377E-4</v>
      </c>
      <c r="AE248" s="176">
        <f t="shared" ca="1" si="290"/>
        <v>2.0050183754368253E-4</v>
      </c>
      <c r="AF248" s="176">
        <f t="shared" ca="1" si="300"/>
        <v>5.012545938592063E-4</v>
      </c>
      <c r="AG248" s="958">
        <f ca="1">AF248*User_sheet!B$77/100</f>
        <v>0</v>
      </c>
      <c r="AH248" s="313"/>
      <c r="AI248" s="908">
        <v>202</v>
      </c>
      <c r="AJ248" s="313"/>
      <c r="AK248" s="1020">
        <f t="shared" ca="1" si="255"/>
        <v>675.87082509837137</v>
      </c>
      <c r="AL248" s="954">
        <f ca="1">AK248/'202'!I$24</f>
        <v>2.1773487487464043</v>
      </c>
      <c r="AM248" s="954">
        <f ca="1">0.8*(AK248*30+'202'!D$17*0.34*30*1)</f>
        <v>19832.842202360916</v>
      </c>
      <c r="AN248" s="954">
        <f ca="1">IF(AM248&lt;User_sheet!B$50,Y248,0)</f>
        <v>0</v>
      </c>
      <c r="AO248" s="954">
        <f ca="1">20-(User_sheet!B$57/(AK248+'202'!D$17*1*0.34))</f>
        <v>13.102350202548617</v>
      </c>
      <c r="AP248" s="954">
        <f ca="1">IF(AO248&lt;User_sheet!B$59,0,BC248*AA248)</f>
        <v>0</v>
      </c>
      <c r="AQ248" s="313"/>
      <c r="AR248" s="909">
        <v>7.7</v>
      </c>
      <c r="AS248" s="909">
        <v>2.1</v>
      </c>
      <c r="AT248" s="909">
        <v>7.9</v>
      </c>
      <c r="AU248" s="909">
        <v>5</v>
      </c>
      <c r="AV248" s="909">
        <v>3.3</v>
      </c>
      <c r="AW248" s="909">
        <v>11357.186356387729</v>
      </c>
      <c r="AX248" s="909">
        <v>74715.401027665983</v>
      </c>
      <c r="AY248" s="909">
        <v>67352.647733737584</v>
      </c>
      <c r="AZ248" s="909">
        <v>0</v>
      </c>
      <c r="BA248" s="909">
        <v>0</v>
      </c>
      <c r="BB248" s="917">
        <v>0.87</v>
      </c>
      <c r="BC248" s="919">
        <v>0</v>
      </c>
      <c r="BD248" s="920">
        <v>1</v>
      </c>
      <c r="BE248" s="920">
        <v>0</v>
      </c>
      <c r="BF248" s="921">
        <v>0</v>
      </c>
      <c r="BG248" s="909">
        <v>0</v>
      </c>
      <c r="BH248" s="909">
        <v>1</v>
      </c>
      <c r="BI248" s="921">
        <v>0</v>
      </c>
      <c r="BJ248" s="909">
        <v>0</v>
      </c>
      <c r="BK248" s="909">
        <v>0</v>
      </c>
      <c r="BL248" s="909">
        <v>1</v>
      </c>
      <c r="BM248" s="921">
        <v>0</v>
      </c>
      <c r="BN248" s="958">
        <v>0</v>
      </c>
      <c r="BO248" s="959">
        <v>18</v>
      </c>
      <c r="BP248">
        <f t="shared" ca="1" si="291"/>
        <v>173.25</v>
      </c>
      <c r="BQ248">
        <f t="shared" ca="1" si="292"/>
        <v>294.14</v>
      </c>
      <c r="BR248">
        <f t="shared" ca="1" si="293"/>
        <v>99.660000000000011</v>
      </c>
      <c r="BS248">
        <f t="shared" ca="1" si="294"/>
        <v>135.5</v>
      </c>
      <c r="BT248">
        <f t="shared" ca="1" si="295"/>
        <v>63.2</v>
      </c>
      <c r="BU248">
        <f t="shared" ca="1" si="296"/>
        <v>12</v>
      </c>
      <c r="BV248">
        <f t="shared" ca="1" si="297"/>
        <v>4.3</v>
      </c>
      <c r="BW248" s="1018">
        <v>0</v>
      </c>
      <c r="BX248">
        <f t="shared" ca="1" si="274"/>
        <v>328.69017704169045</v>
      </c>
      <c r="BY248">
        <f t="shared" ca="1" si="275"/>
        <v>208.61436950146629</v>
      </c>
      <c r="BZ248">
        <f t="shared" ca="1" si="256"/>
        <v>69.539561057962871</v>
      </c>
      <c r="CA248">
        <f t="shared" ca="1" si="257"/>
        <v>59.999999939999995</v>
      </c>
      <c r="CB248">
        <f t="shared" ca="1" si="276"/>
        <v>9.0267175572519083</v>
      </c>
      <c r="CC248" s="1018">
        <f t="shared" si="258"/>
        <v>0</v>
      </c>
      <c r="CD248" s="1018">
        <f t="shared" ca="1" si="298"/>
        <v>675.87082509837137</v>
      </c>
      <c r="CE248" s="1018">
        <f t="shared" ca="1" si="301"/>
        <v>183.89923712295646</v>
      </c>
      <c r="CF248">
        <f t="shared" ca="1" si="260"/>
        <v>25.793101866639837</v>
      </c>
      <c r="CG248">
        <f t="shared" ca="1" si="261"/>
        <v>42944.482883880657</v>
      </c>
    </row>
    <row r="249" spans="1:85" x14ac:dyDescent="0.25">
      <c r="A249" s="544"/>
      <c r="B249" s="544"/>
      <c r="C249" s="544"/>
      <c r="D249" s="545"/>
      <c r="E249" s="544"/>
      <c r="F249" s="545"/>
      <c r="G249" s="544"/>
      <c r="H249" s="545"/>
      <c r="I249" s="544"/>
      <c r="J249" s="545"/>
      <c r="K249" s="545"/>
      <c r="L249" s="545"/>
      <c r="M249" s="545" t="s">
        <v>7</v>
      </c>
      <c r="N249" s="546">
        <v>2.1276595999999998E-2</v>
      </c>
      <c r="O249" s="545" t="s">
        <v>23</v>
      </c>
      <c r="P249" s="546">
        <v>1</v>
      </c>
      <c r="Q249" s="545" t="s">
        <v>7</v>
      </c>
      <c r="R249" s="546">
        <v>1</v>
      </c>
      <c r="S249" s="545"/>
      <c r="T249" s="551">
        <v>2.6893942792408158E-4</v>
      </c>
      <c r="U249" s="544"/>
      <c r="V249" s="176">
        <f>T249-T249*Calculation_sheet!F$59</f>
        <v>2.6893942792408158E-4</v>
      </c>
      <c r="W249" s="176">
        <f>V249-V249*Calculation_sheet!E$67</f>
        <v>2.6893942792408158E-4</v>
      </c>
      <c r="X249" s="176">
        <f>W249-W249*Calculation_sheet!E$77</f>
        <v>2.6893942792408158E-4</v>
      </c>
      <c r="Y249" s="34">
        <f>X249/Calculation_sheet!M$67</f>
        <v>2.6894492677490814E-4</v>
      </c>
      <c r="Z249" s="176">
        <f ca="1">IF(AN249&gt;0,Y249*Calculation_sheet!C$87,0)</f>
        <v>0</v>
      </c>
      <c r="AA249" s="176">
        <f t="shared" ca="1" si="299"/>
        <v>2.6894492677490814E-4</v>
      </c>
      <c r="AB249" s="176">
        <f ca="1">IF(AP249&gt;0,AA249*Calculation_sheet!C$94,0)</f>
        <v>0</v>
      </c>
      <c r="AC249" s="176">
        <f t="shared" ca="1" si="290"/>
        <v>2.6894492677490814E-4</v>
      </c>
      <c r="AD249" s="958">
        <f ca="1">AC249*Calculation_sheet!C$99</f>
        <v>1.6136695606494488E-4</v>
      </c>
      <c r="AE249" s="176">
        <f t="shared" ca="1" si="290"/>
        <v>1.0757797070996326E-4</v>
      </c>
      <c r="AF249" s="176">
        <f t="shared" ca="1" si="300"/>
        <v>2.6894492677490814E-4</v>
      </c>
      <c r="AG249" s="958">
        <f ca="1">AF249*User_sheet!B$77/100</f>
        <v>0</v>
      </c>
      <c r="AH249" s="313"/>
      <c r="AI249" s="908">
        <v>202</v>
      </c>
      <c r="AJ249" s="313"/>
      <c r="AK249" s="1020">
        <f t="shared" ca="1" si="255"/>
        <v>675.87082509837137</v>
      </c>
      <c r="AL249" s="954">
        <f ca="1">AK249/'202'!I$24</f>
        <v>2.1773487487464043</v>
      </c>
      <c r="AM249" s="954">
        <f ca="1">0.8*(AK249*30+'202'!D$17*0.34*30*1)</f>
        <v>19832.842202360916</v>
      </c>
      <c r="AN249" s="954">
        <f ca="1">IF(AM249&lt;User_sheet!B$50,Y249,0)</f>
        <v>0</v>
      </c>
      <c r="AO249" s="954">
        <f ca="1">20-(User_sheet!B$57/(AK249+'202'!D$17*1*0.34))</f>
        <v>13.102350202548617</v>
      </c>
      <c r="AP249" s="954">
        <f ca="1">IF(AO249&lt;User_sheet!B$59,0,BC249*AA249)</f>
        <v>0</v>
      </c>
      <c r="AQ249" s="313"/>
      <c r="AR249" s="909">
        <v>7.7</v>
      </c>
      <c r="AS249" s="909">
        <v>2.1</v>
      </c>
      <c r="AT249" s="909">
        <v>7.9</v>
      </c>
      <c r="AU249" s="909">
        <v>5</v>
      </c>
      <c r="AV249" s="909">
        <v>3.3</v>
      </c>
      <c r="AW249" s="909">
        <v>11357.186356387729</v>
      </c>
      <c r="AX249" s="909">
        <v>74715.401027665983</v>
      </c>
      <c r="AY249" s="909">
        <v>67352.647733737584</v>
      </c>
      <c r="AZ249" s="909">
        <v>0</v>
      </c>
      <c r="BA249" s="909">
        <v>0</v>
      </c>
      <c r="BB249" s="917">
        <v>0.87</v>
      </c>
      <c r="BC249" s="919">
        <v>0</v>
      </c>
      <c r="BD249" s="920">
        <v>0</v>
      </c>
      <c r="BE249" s="920">
        <v>1</v>
      </c>
      <c r="BF249" s="921">
        <v>0</v>
      </c>
      <c r="BG249" s="909">
        <v>0</v>
      </c>
      <c r="BH249" s="909">
        <v>0</v>
      </c>
      <c r="BI249" s="921">
        <v>1</v>
      </c>
      <c r="BJ249" s="909">
        <v>0</v>
      </c>
      <c r="BK249" s="909">
        <v>0</v>
      </c>
      <c r="BL249" s="909">
        <v>1</v>
      </c>
      <c r="BM249" s="921">
        <v>0</v>
      </c>
      <c r="BN249" s="958">
        <v>0</v>
      </c>
      <c r="BO249" s="959">
        <v>18</v>
      </c>
      <c r="BP249">
        <f t="shared" ca="1" si="291"/>
        <v>173.25</v>
      </c>
      <c r="BQ249">
        <f t="shared" ca="1" si="292"/>
        <v>294.14</v>
      </c>
      <c r="BR249">
        <f t="shared" ca="1" si="293"/>
        <v>99.660000000000011</v>
      </c>
      <c r="BS249">
        <f t="shared" ca="1" si="294"/>
        <v>135.5</v>
      </c>
      <c r="BT249">
        <f t="shared" ca="1" si="295"/>
        <v>63.2</v>
      </c>
      <c r="BU249">
        <f t="shared" ca="1" si="296"/>
        <v>12</v>
      </c>
      <c r="BV249">
        <f t="shared" ca="1" si="297"/>
        <v>4.3</v>
      </c>
      <c r="BW249" s="1018">
        <v>0</v>
      </c>
      <c r="BX249">
        <f t="shared" ca="1" si="274"/>
        <v>328.69017704169045</v>
      </c>
      <c r="BY249">
        <f t="shared" ca="1" si="275"/>
        <v>208.61436950146629</v>
      </c>
      <c r="BZ249">
        <f t="shared" ca="1" si="256"/>
        <v>69.539561057962871</v>
      </c>
      <c r="CA249">
        <f t="shared" ca="1" si="257"/>
        <v>59.999999939999995</v>
      </c>
      <c r="CB249">
        <f t="shared" ca="1" si="276"/>
        <v>9.0267175572519083</v>
      </c>
      <c r="CC249" s="1018">
        <f t="shared" si="258"/>
        <v>0</v>
      </c>
      <c r="CD249" s="1018">
        <f t="shared" ca="1" si="298"/>
        <v>675.87082509837137</v>
      </c>
      <c r="CE249" s="1018">
        <f t="shared" ca="1" si="301"/>
        <v>183.89923712295646</v>
      </c>
      <c r="CF249">
        <f t="shared" ca="1" si="260"/>
        <v>25.793101866639837</v>
      </c>
      <c r="CG249">
        <f t="shared" ca="1" si="261"/>
        <v>42944.482883880657</v>
      </c>
    </row>
    <row r="250" spans="1:85" x14ac:dyDescent="0.25">
      <c r="A250" s="544"/>
      <c r="B250" s="544"/>
      <c r="C250" s="544"/>
      <c r="D250" s="545"/>
      <c r="E250" s="544"/>
      <c r="F250" s="545"/>
      <c r="G250" s="544"/>
      <c r="H250" s="545"/>
      <c r="I250" s="544"/>
      <c r="J250" s="545"/>
      <c r="K250" s="545"/>
      <c r="L250" s="545"/>
      <c r="M250" s="545"/>
      <c r="N250" s="545"/>
      <c r="O250" s="545" t="s">
        <v>18</v>
      </c>
      <c r="P250" s="546">
        <v>0.15910607099999999</v>
      </c>
      <c r="Q250" s="545" t="s">
        <v>17</v>
      </c>
      <c r="R250" s="546">
        <v>1</v>
      </c>
      <c r="S250" s="545"/>
      <c r="T250" s="551">
        <v>1.7115958084482817E-4</v>
      </c>
      <c r="U250" s="544"/>
      <c r="V250" s="176">
        <f>T250-T250*Calculation_sheet!F$59</f>
        <v>1.7115958084482817E-4</v>
      </c>
      <c r="W250" s="176">
        <f>V250-V250*Calculation_sheet!E$67</f>
        <v>1.7115958084482817E-4</v>
      </c>
      <c r="X250" s="176">
        <f>W250-W250*Calculation_sheet!E$77</f>
        <v>1.7115958084482817E-4</v>
      </c>
      <c r="Y250" s="34">
        <f>X250/Calculation_sheet!M$67</f>
        <v>1.7116308044698715E-4</v>
      </c>
      <c r="Z250" s="176">
        <f ca="1">IF(AN250&gt;0,Y250*Calculation_sheet!C$87,0)</f>
        <v>0</v>
      </c>
      <c r="AA250" s="176">
        <f t="shared" ca="1" si="299"/>
        <v>1.7116308044698715E-4</v>
      </c>
      <c r="AB250" s="176">
        <f ca="1">IF(AP250&gt;0,AA250*Calculation_sheet!C$94,0)</f>
        <v>0</v>
      </c>
      <c r="AC250" s="176">
        <f t="shared" ca="1" si="290"/>
        <v>1.7116308044698715E-4</v>
      </c>
      <c r="AD250" s="958">
        <f ca="1">AC250*Calculation_sheet!C$99</f>
        <v>1.0269784826819228E-4</v>
      </c>
      <c r="AE250" s="176">
        <f t="shared" ca="1" si="290"/>
        <v>6.8465232178794869E-5</v>
      </c>
      <c r="AF250" s="176">
        <f t="shared" ca="1" si="300"/>
        <v>1.7116308044698715E-4</v>
      </c>
      <c r="AG250" s="958">
        <f ca="1">AF250*User_sheet!B$77/100</f>
        <v>0</v>
      </c>
      <c r="AH250" s="313"/>
      <c r="AI250" s="908">
        <v>202</v>
      </c>
      <c r="AJ250" s="313"/>
      <c r="AK250" s="1020">
        <f t="shared" ca="1" si="255"/>
        <v>675.87082509837137</v>
      </c>
      <c r="AL250" s="954">
        <f ca="1">AK250/'202'!I$24</f>
        <v>2.1773487487464043</v>
      </c>
      <c r="AM250" s="954">
        <f ca="1">0.8*(AK250*30+'202'!D$17*0.34*30*1)</f>
        <v>19832.842202360916</v>
      </c>
      <c r="AN250" s="954">
        <f ca="1">IF(AM250&lt;User_sheet!B$50,Y250,0)</f>
        <v>0</v>
      </c>
      <c r="AO250" s="954">
        <f ca="1">20-(User_sheet!B$57/(AK250+'202'!D$17*1*0.34))</f>
        <v>13.102350202548617</v>
      </c>
      <c r="AP250" s="954">
        <f ca="1">IF(AO250&lt;User_sheet!B$59,0,BC250*AA250)</f>
        <v>0</v>
      </c>
      <c r="AQ250" s="313"/>
      <c r="AR250" s="909">
        <v>7.7</v>
      </c>
      <c r="AS250" s="909">
        <v>2.1</v>
      </c>
      <c r="AT250" s="909">
        <v>7.9</v>
      </c>
      <c r="AU250" s="909">
        <v>5</v>
      </c>
      <c r="AV250" s="909">
        <v>3.3</v>
      </c>
      <c r="AW250" s="909">
        <v>11357.186356387729</v>
      </c>
      <c r="AX250" s="909">
        <v>74715.401027665983</v>
      </c>
      <c r="AY250" s="909">
        <v>67352.647733737584</v>
      </c>
      <c r="AZ250" s="909">
        <v>0</v>
      </c>
      <c r="BA250" s="909">
        <v>0</v>
      </c>
      <c r="BB250" s="917">
        <v>0.87</v>
      </c>
      <c r="BC250" s="919">
        <v>0</v>
      </c>
      <c r="BD250" s="920">
        <v>0</v>
      </c>
      <c r="BE250" s="920">
        <v>0</v>
      </c>
      <c r="BF250" s="921">
        <v>1</v>
      </c>
      <c r="BG250" s="909">
        <v>1</v>
      </c>
      <c r="BH250" s="909">
        <v>0</v>
      </c>
      <c r="BI250" s="921">
        <v>0</v>
      </c>
      <c r="BJ250" s="909">
        <v>0</v>
      </c>
      <c r="BK250" s="909">
        <v>0</v>
      </c>
      <c r="BL250" s="909">
        <v>0</v>
      </c>
      <c r="BM250" s="921">
        <v>1</v>
      </c>
      <c r="BN250" s="958">
        <v>0</v>
      </c>
      <c r="BO250" s="959">
        <v>18</v>
      </c>
      <c r="BP250">
        <f t="shared" ca="1" si="291"/>
        <v>173.25</v>
      </c>
      <c r="BQ250">
        <f t="shared" ca="1" si="292"/>
        <v>294.14</v>
      </c>
      <c r="BR250">
        <f t="shared" ca="1" si="293"/>
        <v>99.660000000000011</v>
      </c>
      <c r="BS250">
        <f t="shared" ca="1" si="294"/>
        <v>135.5</v>
      </c>
      <c r="BT250">
        <f t="shared" ca="1" si="295"/>
        <v>63.2</v>
      </c>
      <c r="BU250">
        <f t="shared" ca="1" si="296"/>
        <v>12</v>
      </c>
      <c r="BV250">
        <f t="shared" ca="1" si="297"/>
        <v>4.3</v>
      </c>
      <c r="BW250" s="1018">
        <v>0</v>
      </c>
      <c r="BX250">
        <f t="shared" ca="1" si="274"/>
        <v>328.69017704169045</v>
      </c>
      <c r="BY250">
        <f t="shared" ca="1" si="275"/>
        <v>208.61436950146629</v>
      </c>
      <c r="BZ250">
        <f t="shared" ca="1" si="256"/>
        <v>69.539561057962871</v>
      </c>
      <c r="CA250">
        <f t="shared" ca="1" si="257"/>
        <v>59.999999939999995</v>
      </c>
      <c r="CB250">
        <f t="shared" ca="1" si="276"/>
        <v>9.0267175572519083</v>
      </c>
      <c r="CC250" s="1018">
        <f t="shared" si="258"/>
        <v>0</v>
      </c>
      <c r="CD250" s="1018">
        <f t="shared" ca="1" si="298"/>
        <v>675.87082509837137</v>
      </c>
      <c r="CE250" s="1018">
        <f t="shared" ca="1" si="301"/>
        <v>183.89923712295646</v>
      </c>
      <c r="CF250">
        <f t="shared" ca="1" si="260"/>
        <v>25.793101866639837</v>
      </c>
      <c r="CG250">
        <f t="shared" ca="1" si="261"/>
        <v>42944.482883880657</v>
      </c>
    </row>
    <row r="251" spans="1:85" x14ac:dyDescent="0.25">
      <c r="A251" s="544"/>
      <c r="B251" s="544"/>
      <c r="C251" s="544"/>
      <c r="D251" s="545"/>
      <c r="E251" s="544"/>
      <c r="F251" s="545"/>
      <c r="G251" s="544" t="s">
        <v>11</v>
      </c>
      <c r="H251" s="548">
        <v>0.28570000000000001</v>
      </c>
      <c r="I251" s="544" t="s">
        <v>10</v>
      </c>
      <c r="J251" s="548">
        <v>1</v>
      </c>
      <c r="K251" s="547" t="s">
        <v>13</v>
      </c>
      <c r="L251" s="548">
        <v>1</v>
      </c>
      <c r="M251" s="545" t="s">
        <v>17</v>
      </c>
      <c r="N251" s="546">
        <v>8.5106382999999994E-2</v>
      </c>
      <c r="O251" s="545" t="s">
        <v>19</v>
      </c>
      <c r="P251" s="546">
        <v>0.84089392900000004</v>
      </c>
      <c r="Q251" s="545" t="s">
        <v>17</v>
      </c>
      <c r="R251" s="546">
        <v>1</v>
      </c>
      <c r="S251" s="545"/>
      <c r="T251" s="551">
        <v>9.0459811821134517E-4</v>
      </c>
      <c r="U251" s="550" t="s">
        <v>49</v>
      </c>
      <c r="V251" s="176">
        <f>T251-T251*Calculation_sheet!F$59</f>
        <v>9.0459811821134517E-4</v>
      </c>
      <c r="W251" s="176">
        <f>V251-V251*Calculation_sheet!E$67</f>
        <v>9.0459811821134517E-4</v>
      </c>
      <c r="X251" s="176">
        <f>W251-W251*Calculation_sheet!E$77</f>
        <v>9.0459811821134517E-4</v>
      </c>
      <c r="Y251" s="34">
        <f>X251/Calculation_sheet!M$67</f>
        <v>9.0461661401223387E-4</v>
      </c>
      <c r="Z251" s="176">
        <f ca="1">IF(AN251&gt;0,Y251*Calculation_sheet!C$87,0)</f>
        <v>0</v>
      </c>
      <c r="AA251" s="176">
        <f t="shared" ca="1" si="299"/>
        <v>9.0461661401223387E-4</v>
      </c>
      <c r="AB251" s="176">
        <f ca="1">IF(AP251&gt;0,AA251*Calculation_sheet!C$94,0)</f>
        <v>0</v>
      </c>
      <c r="AC251" s="176">
        <f t="shared" ca="1" si="290"/>
        <v>9.0461661401223387E-4</v>
      </c>
      <c r="AD251" s="958">
        <f ca="1">AC251*Calculation_sheet!C$99</f>
        <v>5.4276996840734034E-4</v>
      </c>
      <c r="AE251" s="176">
        <f t="shared" ca="1" si="290"/>
        <v>3.6184664560489352E-4</v>
      </c>
      <c r="AF251" s="176">
        <f t="shared" ca="1" si="300"/>
        <v>9.0461661401223387E-4</v>
      </c>
      <c r="AG251" s="958">
        <f ca="1">AF251*User_sheet!B$77/100</f>
        <v>0</v>
      </c>
      <c r="AH251" s="313"/>
      <c r="AI251" s="908">
        <v>202</v>
      </c>
      <c r="AJ251" s="313"/>
      <c r="AK251" s="1020">
        <f t="shared" ca="1" si="255"/>
        <v>675.87082509837137</v>
      </c>
      <c r="AL251" s="954">
        <f ca="1">AK251/'202'!I$24</f>
        <v>2.1773487487464043</v>
      </c>
      <c r="AM251" s="954">
        <f ca="1">0.8*(AK251*30+'202'!D$17*0.34*30*1)</f>
        <v>19832.842202360916</v>
      </c>
      <c r="AN251" s="954">
        <f ca="1">IF(AM251&lt;User_sheet!B$50,Y251,0)</f>
        <v>0</v>
      </c>
      <c r="AO251" s="954">
        <f ca="1">20-(User_sheet!B$57/(AK251+'202'!D$17*1*0.34))</f>
        <v>13.102350202548617</v>
      </c>
      <c r="AP251" s="954">
        <f ca="1">IF(AO251&lt;User_sheet!B$59,0,BC251*AA251)</f>
        <v>0</v>
      </c>
      <c r="AQ251" s="313"/>
      <c r="AR251" s="909">
        <v>7.7</v>
      </c>
      <c r="AS251" s="909">
        <v>2.1</v>
      </c>
      <c r="AT251" s="909">
        <v>7.9</v>
      </c>
      <c r="AU251" s="909">
        <v>5</v>
      </c>
      <c r="AV251" s="909">
        <v>3.3</v>
      </c>
      <c r="AW251" s="909">
        <v>11357.186356387729</v>
      </c>
      <c r="AX251" s="909">
        <v>74715.401027665983</v>
      </c>
      <c r="AY251" s="909">
        <v>67352.647733737584</v>
      </c>
      <c r="AZ251" s="909">
        <v>0</v>
      </c>
      <c r="BA251" s="909">
        <v>0</v>
      </c>
      <c r="BB251" s="917">
        <v>0.87</v>
      </c>
      <c r="BC251" s="919">
        <v>0</v>
      </c>
      <c r="BD251" s="920">
        <v>0</v>
      </c>
      <c r="BE251" s="920">
        <v>0</v>
      </c>
      <c r="BF251" s="921">
        <v>1</v>
      </c>
      <c r="BG251" s="909">
        <v>0</v>
      </c>
      <c r="BH251" s="909">
        <v>1</v>
      </c>
      <c r="BI251" s="921">
        <v>0</v>
      </c>
      <c r="BJ251" s="909">
        <v>0</v>
      </c>
      <c r="BK251" s="909">
        <v>0</v>
      </c>
      <c r="BL251" s="909">
        <v>0</v>
      </c>
      <c r="BM251" s="921">
        <v>1</v>
      </c>
      <c r="BN251" s="958">
        <v>0</v>
      </c>
      <c r="BO251" s="959">
        <v>18</v>
      </c>
      <c r="BP251">
        <f t="shared" ca="1" si="291"/>
        <v>173.25</v>
      </c>
      <c r="BQ251">
        <f t="shared" ca="1" si="292"/>
        <v>294.14</v>
      </c>
      <c r="BR251">
        <f t="shared" ca="1" si="293"/>
        <v>99.660000000000011</v>
      </c>
      <c r="BS251">
        <f t="shared" ca="1" si="294"/>
        <v>135.5</v>
      </c>
      <c r="BT251">
        <f t="shared" ca="1" si="295"/>
        <v>63.2</v>
      </c>
      <c r="BU251">
        <f t="shared" ca="1" si="296"/>
        <v>12</v>
      </c>
      <c r="BV251">
        <f t="shared" ca="1" si="297"/>
        <v>4.3</v>
      </c>
      <c r="BW251" s="1018">
        <v>0</v>
      </c>
      <c r="BX251">
        <f t="shared" ca="1" si="274"/>
        <v>328.69017704169045</v>
      </c>
      <c r="BY251">
        <f t="shared" ca="1" si="275"/>
        <v>208.61436950146629</v>
      </c>
      <c r="BZ251">
        <f t="shared" ca="1" si="256"/>
        <v>69.539561057962871</v>
      </c>
      <c r="CA251">
        <f t="shared" ca="1" si="257"/>
        <v>59.999999939999995</v>
      </c>
      <c r="CB251">
        <f t="shared" ca="1" si="276"/>
        <v>9.0267175572519083</v>
      </c>
      <c r="CC251" s="1018">
        <f t="shared" si="258"/>
        <v>0</v>
      </c>
      <c r="CD251" s="1018">
        <f t="shared" ca="1" si="298"/>
        <v>675.87082509837137</v>
      </c>
      <c r="CE251" s="1018">
        <f t="shared" ca="1" si="301"/>
        <v>183.89923712295646</v>
      </c>
      <c r="CF251">
        <f t="shared" ca="1" si="260"/>
        <v>25.793101866639837</v>
      </c>
      <c r="CG251">
        <f t="shared" ca="1" si="261"/>
        <v>42944.482883880657</v>
      </c>
    </row>
    <row r="252" spans="1:85" s="552" customFormat="1" x14ac:dyDescent="0.25">
      <c r="D252" s="553"/>
      <c r="F252" s="553"/>
      <c r="H252" s="553"/>
      <c r="J252" s="553"/>
      <c r="K252" s="554"/>
      <c r="L252" s="553"/>
      <c r="M252" s="553"/>
      <c r="N252" s="553"/>
      <c r="O252" s="553"/>
      <c r="P252" s="553"/>
      <c r="Q252" s="553"/>
      <c r="R252" s="553"/>
      <c r="S252" s="553"/>
      <c r="T252" s="555"/>
      <c r="U252" s="553"/>
      <c r="V252" s="292"/>
      <c r="W252" s="292"/>
      <c r="X252" s="292"/>
      <c r="Y252" s="277"/>
      <c r="Z252" s="292"/>
      <c r="AA252" s="292"/>
      <c r="AB252" s="292"/>
      <c r="AC252" s="292"/>
      <c r="AD252" s="277"/>
      <c r="AE252" s="292"/>
      <c r="AF252" s="292"/>
      <c r="AG252" s="277"/>
      <c r="AH252" s="313"/>
      <c r="AI252" s="913"/>
      <c r="AJ252" s="313"/>
      <c r="AK252" s="1020">
        <f t="shared" si="255"/>
        <v>0</v>
      </c>
      <c r="AL252" s="955"/>
      <c r="AM252" s="955"/>
      <c r="AN252" s="941"/>
      <c r="AO252" s="941"/>
      <c r="AP252" s="941"/>
      <c r="AQ252" s="313"/>
      <c r="AR252" s="918"/>
      <c r="AS252" s="918"/>
      <c r="AT252" s="918"/>
      <c r="AU252" s="918"/>
      <c r="AV252" s="918"/>
      <c r="AW252" s="918"/>
      <c r="AX252" s="918"/>
      <c r="AY252" s="918"/>
      <c r="AZ252" s="918"/>
      <c r="BA252" s="918"/>
      <c r="BB252" s="918"/>
      <c r="BC252" s="45"/>
      <c r="BD252" s="277"/>
      <c r="BE252" s="277"/>
      <c r="BF252" s="49"/>
      <c r="BG252" s="918"/>
      <c r="BH252" s="918"/>
      <c r="BI252" s="49"/>
      <c r="BJ252" s="918"/>
      <c r="BK252" s="918"/>
      <c r="BL252" s="918"/>
      <c r="BM252" s="49"/>
      <c r="BN252" s="277"/>
      <c r="BO252" s="49"/>
      <c r="BW252" s="928"/>
      <c r="CC252" s="928"/>
      <c r="CD252" s="928"/>
      <c r="CE252" s="928"/>
    </row>
    <row r="253" spans="1:85" x14ac:dyDescent="0.25">
      <c r="D253" s="1"/>
      <c r="F253" s="1"/>
      <c r="G253" s="3"/>
      <c r="H253" s="6"/>
      <c r="I253" s="3"/>
      <c r="J253" s="6"/>
      <c r="K253" s="8"/>
      <c r="L253" s="6"/>
      <c r="M253" s="1"/>
      <c r="N253" s="1"/>
      <c r="O253" s="1"/>
      <c r="P253" s="1"/>
      <c r="Q253" s="1" t="s">
        <v>16</v>
      </c>
      <c r="R253" s="4"/>
      <c r="S253" s="1"/>
      <c r="T253" s="77"/>
      <c r="U253" s="294"/>
      <c r="X253" s="176">
        <f>W241-X241</f>
        <v>0</v>
      </c>
      <c r="Y253" s="34">
        <f>X253/Calculation_sheet!M$67</f>
        <v>0</v>
      </c>
      <c r="Z253" s="176">
        <f ca="1">IF(AN253&gt;0,Y253*Calculation_sheet!C$87,0)</f>
        <v>0</v>
      </c>
      <c r="AA253" s="176">
        <f ca="1">Y253-Z253</f>
        <v>0</v>
      </c>
      <c r="AB253" s="176">
        <f ca="1">IF(AP253&gt;0,AA253*Calculation_sheet!C$94,0)</f>
        <v>0</v>
      </c>
      <c r="AC253" s="176">
        <f t="shared" ref="AC253:AE263" ca="1" si="302">AA253-AB253</f>
        <v>0</v>
      </c>
      <c r="AD253" s="958">
        <f ca="1">AC253*Calculation_sheet!C$99</f>
        <v>0</v>
      </c>
      <c r="AE253" s="176">
        <f t="shared" ca="1" si="302"/>
        <v>0</v>
      </c>
      <c r="AF253" s="176">
        <f ca="1">Y253-AB253</f>
        <v>0</v>
      </c>
      <c r="AG253" s="958">
        <f ca="1">AF253*User_sheet!B$77/100</f>
        <v>0</v>
      </c>
      <c r="AH253" s="313"/>
      <c r="AI253" s="908">
        <v>202</v>
      </c>
      <c r="AJ253" s="313"/>
      <c r="AK253" s="1020">
        <f t="shared" ca="1" si="255"/>
        <v>341.39590833952172</v>
      </c>
      <c r="AL253" s="954">
        <f ca="1">AK253/'202'!I$24</f>
        <v>1.099822519698211</v>
      </c>
      <c r="AM253" s="954">
        <f ca="1">0.8*(AK253*30+'202'!D$17*0.34*30*1)</f>
        <v>11805.444200148522</v>
      </c>
      <c r="AN253" s="954">
        <f ca="1">IF(AM253&lt;User_sheet!B$50,Y253,0)</f>
        <v>0</v>
      </c>
      <c r="AO253" s="954">
        <f ca="1">20-(User_sheet!B$57/(AK253+'202'!D$17*1*0.34))</f>
        <v>8.4121259919826699</v>
      </c>
      <c r="AP253" s="954">
        <f ca="1">IF(AO253&lt;User_sheet!B$59,0,BC253*AA253)</f>
        <v>0</v>
      </c>
      <c r="AQ253" s="313"/>
      <c r="AR253" s="909">
        <v>0.32</v>
      </c>
      <c r="AS253" s="909">
        <v>2.1</v>
      </c>
      <c r="AT253" s="909">
        <v>7.9</v>
      </c>
      <c r="AU253" s="909">
        <v>2</v>
      </c>
      <c r="AV253" s="909">
        <v>3.3</v>
      </c>
      <c r="AW253" s="909">
        <v>14356</v>
      </c>
      <c r="AX253" s="909">
        <v>74715.401027665983</v>
      </c>
      <c r="AY253" s="909">
        <v>67352.647733737584</v>
      </c>
      <c r="AZ253" s="917">
        <v>0</v>
      </c>
      <c r="BA253" s="917">
        <v>0</v>
      </c>
      <c r="BB253" s="909">
        <v>0.6</v>
      </c>
      <c r="BC253" s="919">
        <v>1</v>
      </c>
      <c r="BD253" s="920">
        <v>0</v>
      </c>
      <c r="BE253" s="920">
        <v>0</v>
      </c>
      <c r="BF253" s="921">
        <v>0</v>
      </c>
      <c r="BG253" s="920">
        <v>1</v>
      </c>
      <c r="BH253" s="920">
        <v>0</v>
      </c>
      <c r="BI253" s="921">
        <v>0</v>
      </c>
      <c r="BJ253" s="920">
        <v>1</v>
      </c>
      <c r="BK253" s="920">
        <v>0</v>
      </c>
      <c r="BL253" s="920">
        <v>0</v>
      </c>
      <c r="BM253" s="921">
        <v>0</v>
      </c>
      <c r="BN253" s="958">
        <v>0</v>
      </c>
      <c r="BO253" s="959">
        <v>18</v>
      </c>
      <c r="BP253">
        <f t="shared" ref="BP253:BP263" ca="1" si="303">INDIRECT("'"&amp;AI253&amp;"'!"&amp;"B2")</f>
        <v>173.25</v>
      </c>
      <c r="BQ253">
        <f t="shared" ref="BQ253:BQ263" ca="1" si="304">INDIRECT("'"&amp;AI253&amp;"'!"&amp;"C12")+INDIRECT("'"&amp;AI253&amp;"'!"&amp;"C13")+INDIRECT("'"&amp;AI253&amp;"'!"&amp;"C14")+INDIRECT("'"&amp;AI253&amp;"'!"&amp;"C15")+INDIRECT("'"&amp;AI253&amp;"'!"&amp;"C17")</f>
        <v>294.14</v>
      </c>
      <c r="BR253">
        <f t="shared" ref="BR253:BR263" ca="1" si="305">INDIRECT("'"&amp;AI253&amp;"'!"&amp;"G5")</f>
        <v>99.660000000000011</v>
      </c>
      <c r="BS253">
        <f t="shared" ref="BS253:BS263" ca="1" si="306">INDIRECT("'"&amp;AI253&amp;"'!"&amp;"G4")</f>
        <v>135.5</v>
      </c>
      <c r="BT253">
        <f t="shared" ref="BT253:BT263" ca="1" si="307">INDIRECT("'"&amp;AI253&amp;"'!"&amp;"G6")</f>
        <v>63.2</v>
      </c>
      <c r="BU253">
        <f t="shared" ref="BU253:BU263" ca="1" si="308">INDIRECT("'"&amp;AI253&amp;"'!"&amp;"G2")</f>
        <v>12</v>
      </c>
      <c r="BV253">
        <f t="shared" ref="BV253:BV263" ca="1" si="309">INDIRECT("'"&amp;AI253&amp;"'!"&amp;"G3")</f>
        <v>4.3</v>
      </c>
      <c r="BW253" s="1018">
        <v>0</v>
      </c>
      <c r="BX253">
        <f t="shared" ca="1" si="274"/>
        <v>30.215260232440635</v>
      </c>
      <c r="BY253">
        <f t="shared" ca="1" si="275"/>
        <v>208.61436950146629</v>
      </c>
      <c r="BZ253">
        <f t="shared" ca="1" si="256"/>
        <v>69.539561057962871</v>
      </c>
      <c r="CA253">
        <f t="shared" ca="1" si="257"/>
        <v>23.999999990399999</v>
      </c>
      <c r="CB253">
        <f t="shared" ca="1" si="276"/>
        <v>9.0267175572519083</v>
      </c>
      <c r="CC253" s="1018">
        <f t="shared" si="258"/>
        <v>0</v>
      </c>
      <c r="CD253" s="1018">
        <f t="shared" ref="CD253:CD263" ca="1" si="310">SUM(BX253:CC253)+(BR253+BS253+BT253+BU253+BV253)*BN253</f>
        <v>341.39590833952172</v>
      </c>
      <c r="CE253" s="1018">
        <f ca="1">0.34*BO253*(1/25)^0.66*(BR253+BS253+BU253+BV253)</f>
        <v>183.89923712295646</v>
      </c>
      <c r="CF253">
        <f t="shared" ca="1" si="260"/>
        <v>15.758854363874347</v>
      </c>
      <c r="CG253">
        <f t="shared" ca="1" si="261"/>
        <v>26237.862161676236</v>
      </c>
    </row>
    <row r="254" spans="1:85" x14ac:dyDescent="0.25">
      <c r="D254" s="1"/>
      <c r="F254" s="1"/>
      <c r="G254" s="3"/>
      <c r="H254" s="6"/>
      <c r="I254" s="3"/>
      <c r="J254" s="6"/>
      <c r="K254" s="8"/>
      <c r="L254" s="6"/>
      <c r="M254" s="1"/>
      <c r="N254" s="1"/>
      <c r="O254" s="1" t="s">
        <v>18</v>
      </c>
      <c r="P254" s="4"/>
      <c r="Q254" s="1" t="s">
        <v>7</v>
      </c>
      <c r="R254" s="4"/>
      <c r="S254" s="1"/>
      <c r="T254" s="77"/>
      <c r="U254" s="294"/>
      <c r="X254" s="176">
        <f t="shared" ref="X254:X263" si="311">W242-X242</f>
        <v>0</v>
      </c>
      <c r="Y254" s="34">
        <f>X254/Calculation_sheet!M$67</f>
        <v>0</v>
      </c>
      <c r="Z254" s="176">
        <f ca="1">IF(AN254&gt;0,Y254*Calculation_sheet!C$87,0)</f>
        <v>0</v>
      </c>
      <c r="AA254" s="176">
        <f t="shared" ref="AA254:AA263" ca="1" si="312">Y254-Z254</f>
        <v>0</v>
      </c>
      <c r="AB254" s="176">
        <f ca="1">IF(AP254&gt;0,AA254*Calculation_sheet!C$94,0)</f>
        <v>0</v>
      </c>
      <c r="AC254" s="176">
        <f t="shared" ca="1" si="302"/>
        <v>0</v>
      </c>
      <c r="AD254" s="958">
        <f ca="1">AC254*Calculation_sheet!C$99</f>
        <v>0</v>
      </c>
      <c r="AE254" s="176">
        <f t="shared" ca="1" si="302"/>
        <v>0</v>
      </c>
      <c r="AF254" s="176">
        <f t="shared" ref="AF254:AF263" ca="1" si="313">Y254-AB254</f>
        <v>0</v>
      </c>
      <c r="AG254" s="958">
        <f ca="1">AF254*User_sheet!B$77/100</f>
        <v>0</v>
      </c>
      <c r="AH254" s="313"/>
      <c r="AI254" s="908">
        <v>202</v>
      </c>
      <c r="AJ254" s="313"/>
      <c r="AK254" s="1020">
        <f t="shared" ca="1" si="255"/>
        <v>341.39590833952172</v>
      </c>
      <c r="AL254" s="954">
        <f ca="1">AK254/'202'!I$24</f>
        <v>1.099822519698211</v>
      </c>
      <c r="AM254" s="954">
        <f ca="1">0.8*(AK254*30+'202'!D$17*0.34*30*1)</f>
        <v>11805.444200148522</v>
      </c>
      <c r="AN254" s="954">
        <f ca="1">IF(AM254&lt;User_sheet!B$50,Y254,0)</f>
        <v>0</v>
      </c>
      <c r="AO254" s="954">
        <f ca="1">20-(User_sheet!B$57/(AK254+'202'!D$17*1*0.34))</f>
        <v>8.4121259919826699</v>
      </c>
      <c r="AP254" s="954">
        <f ca="1">IF(AO254&lt;User_sheet!B$59,0,BC254*AA254)</f>
        <v>0</v>
      </c>
      <c r="AQ254" s="313"/>
      <c r="AR254" s="909">
        <v>0.32</v>
      </c>
      <c r="AS254" s="909">
        <v>2.1</v>
      </c>
      <c r="AT254" s="909">
        <v>7.9</v>
      </c>
      <c r="AU254" s="909">
        <v>2</v>
      </c>
      <c r="AV254" s="909">
        <v>3.3</v>
      </c>
      <c r="AW254" s="909">
        <v>14356</v>
      </c>
      <c r="AX254" s="909">
        <v>74715.401027665983</v>
      </c>
      <c r="AY254" s="909">
        <v>67352.647733737584</v>
      </c>
      <c r="AZ254" s="917">
        <v>0</v>
      </c>
      <c r="BA254" s="917">
        <v>0</v>
      </c>
      <c r="BB254" s="909">
        <v>0.6</v>
      </c>
      <c r="BC254" s="919">
        <v>1</v>
      </c>
      <c r="BD254" s="920">
        <v>0</v>
      </c>
      <c r="BE254" s="920">
        <v>0</v>
      </c>
      <c r="BF254" s="921">
        <v>0</v>
      </c>
      <c r="BG254" s="920">
        <v>1</v>
      </c>
      <c r="BH254" s="920">
        <v>0</v>
      </c>
      <c r="BI254" s="921">
        <v>0</v>
      </c>
      <c r="BJ254" s="920">
        <v>0</v>
      </c>
      <c r="BK254" s="920">
        <v>0</v>
      </c>
      <c r="BL254" s="920">
        <v>1</v>
      </c>
      <c r="BM254" s="921">
        <v>0</v>
      </c>
      <c r="BN254" s="958">
        <v>0</v>
      </c>
      <c r="BO254" s="959">
        <v>18</v>
      </c>
      <c r="BP254">
        <f t="shared" ca="1" si="303"/>
        <v>173.25</v>
      </c>
      <c r="BQ254">
        <f t="shared" ca="1" si="304"/>
        <v>294.14</v>
      </c>
      <c r="BR254">
        <f t="shared" ca="1" si="305"/>
        <v>99.660000000000011</v>
      </c>
      <c r="BS254">
        <f t="shared" ca="1" si="306"/>
        <v>135.5</v>
      </c>
      <c r="BT254">
        <f t="shared" ca="1" si="307"/>
        <v>63.2</v>
      </c>
      <c r="BU254">
        <f t="shared" ca="1" si="308"/>
        <v>12</v>
      </c>
      <c r="BV254">
        <f t="shared" ca="1" si="309"/>
        <v>4.3</v>
      </c>
      <c r="BW254" s="1018">
        <v>0</v>
      </c>
      <c r="BX254">
        <f t="shared" ca="1" si="274"/>
        <v>30.215260232440635</v>
      </c>
      <c r="BY254">
        <f t="shared" ca="1" si="275"/>
        <v>208.61436950146629</v>
      </c>
      <c r="BZ254">
        <f t="shared" ca="1" si="256"/>
        <v>69.539561057962871</v>
      </c>
      <c r="CA254">
        <f t="shared" ca="1" si="257"/>
        <v>23.999999990399999</v>
      </c>
      <c r="CB254">
        <f t="shared" ca="1" si="276"/>
        <v>9.0267175572519083</v>
      </c>
      <c r="CC254" s="1018">
        <f t="shared" si="258"/>
        <v>0</v>
      </c>
      <c r="CD254" s="1018">
        <f t="shared" ca="1" si="310"/>
        <v>341.39590833952172</v>
      </c>
      <c r="CE254" s="1018">
        <f t="shared" ref="CE254:CE263" ca="1" si="314">0.34*BO254*(1/25)^0.66*(BR254+BS254+BU254+BV254)</f>
        <v>183.89923712295646</v>
      </c>
      <c r="CF254">
        <f t="shared" ca="1" si="260"/>
        <v>15.758854363874347</v>
      </c>
      <c r="CG254">
        <f t="shared" ca="1" si="261"/>
        <v>26237.862161676236</v>
      </c>
    </row>
    <row r="255" spans="1:85" x14ac:dyDescent="0.25">
      <c r="D255" s="1"/>
      <c r="F255" s="1"/>
      <c r="G255" s="3"/>
      <c r="H255" s="6"/>
      <c r="I255" s="3"/>
      <c r="J255" s="6"/>
      <c r="K255" s="8"/>
      <c r="L255" s="6"/>
      <c r="M255" s="1"/>
      <c r="N255" s="1"/>
      <c r="O255" s="1"/>
      <c r="P255" s="1"/>
      <c r="Q255" s="1" t="s">
        <v>16</v>
      </c>
      <c r="R255" s="4"/>
      <c r="S255" s="1"/>
      <c r="T255" s="77"/>
      <c r="U255" s="294"/>
      <c r="X255" s="176">
        <f t="shared" si="311"/>
        <v>0</v>
      </c>
      <c r="Y255" s="34">
        <f>X255/Calculation_sheet!M$67</f>
        <v>0</v>
      </c>
      <c r="Z255" s="176">
        <f ca="1">IF(AN255&gt;0,Y255*Calculation_sheet!C$87,0)</f>
        <v>0</v>
      </c>
      <c r="AA255" s="176">
        <f t="shared" ca="1" si="312"/>
        <v>0</v>
      </c>
      <c r="AB255" s="176">
        <f ca="1">IF(AP255&gt;0,AA255*Calculation_sheet!C$94,0)</f>
        <v>0</v>
      </c>
      <c r="AC255" s="176">
        <f t="shared" ca="1" si="302"/>
        <v>0</v>
      </c>
      <c r="AD255" s="958">
        <f ca="1">AC255*Calculation_sheet!C$99</f>
        <v>0</v>
      </c>
      <c r="AE255" s="176">
        <f t="shared" ca="1" si="302"/>
        <v>0</v>
      </c>
      <c r="AF255" s="176">
        <f t="shared" ca="1" si="313"/>
        <v>0</v>
      </c>
      <c r="AG255" s="958">
        <f ca="1">AF255*User_sheet!B$77/100</f>
        <v>0</v>
      </c>
      <c r="AH255" s="313"/>
      <c r="AI255" s="908">
        <v>202</v>
      </c>
      <c r="AJ255" s="313"/>
      <c r="AK255" s="1020">
        <f t="shared" ca="1" si="255"/>
        <v>341.39590833952172</v>
      </c>
      <c r="AL255" s="954">
        <f ca="1">AK255/'202'!I$24</f>
        <v>1.099822519698211</v>
      </c>
      <c r="AM255" s="954">
        <f ca="1">0.8*(AK255*30+'202'!D$17*0.34*30*1)</f>
        <v>11805.444200148522</v>
      </c>
      <c r="AN255" s="954">
        <f ca="1">IF(AM255&lt;User_sheet!B$50,Y255,0)</f>
        <v>0</v>
      </c>
      <c r="AO255" s="954">
        <f ca="1">20-(User_sheet!B$57/(AK255+'202'!D$17*1*0.34))</f>
        <v>8.4121259919826699</v>
      </c>
      <c r="AP255" s="954">
        <f ca="1">IF(AO255&lt;User_sheet!B$59,0,BC255*AA255)</f>
        <v>0</v>
      </c>
      <c r="AQ255" s="313"/>
      <c r="AR255" s="909">
        <v>0.32</v>
      </c>
      <c r="AS255" s="909">
        <v>2.1</v>
      </c>
      <c r="AT255" s="909">
        <v>7.9</v>
      </c>
      <c r="AU255" s="909">
        <v>2</v>
      </c>
      <c r="AV255" s="909">
        <v>3.3</v>
      </c>
      <c r="AW255" s="909">
        <v>14356</v>
      </c>
      <c r="AX255" s="909">
        <v>74715.401027665983</v>
      </c>
      <c r="AY255" s="909">
        <v>67352.647733737584</v>
      </c>
      <c r="AZ255" s="917">
        <v>0</v>
      </c>
      <c r="BA255" s="917">
        <v>0</v>
      </c>
      <c r="BB255" s="909">
        <v>0.6</v>
      </c>
      <c r="BC255" s="919">
        <v>1</v>
      </c>
      <c r="BD255" s="920">
        <v>0</v>
      </c>
      <c r="BE255" s="920">
        <v>0</v>
      </c>
      <c r="BF255" s="921">
        <v>0</v>
      </c>
      <c r="BG255" s="920">
        <v>0</v>
      </c>
      <c r="BH255" s="920">
        <v>1</v>
      </c>
      <c r="BI255" s="921">
        <v>0</v>
      </c>
      <c r="BJ255" s="920">
        <v>1</v>
      </c>
      <c r="BK255" s="920">
        <v>0</v>
      </c>
      <c r="BL255" s="920">
        <v>0</v>
      </c>
      <c r="BM255" s="921">
        <v>0</v>
      </c>
      <c r="BN255" s="958">
        <v>0</v>
      </c>
      <c r="BO255" s="959">
        <v>18</v>
      </c>
      <c r="BP255">
        <f t="shared" ca="1" si="303"/>
        <v>173.25</v>
      </c>
      <c r="BQ255">
        <f t="shared" ca="1" si="304"/>
        <v>294.14</v>
      </c>
      <c r="BR255">
        <f t="shared" ca="1" si="305"/>
        <v>99.660000000000011</v>
      </c>
      <c r="BS255">
        <f t="shared" ca="1" si="306"/>
        <v>135.5</v>
      </c>
      <c r="BT255">
        <f t="shared" ca="1" si="307"/>
        <v>63.2</v>
      </c>
      <c r="BU255">
        <f t="shared" ca="1" si="308"/>
        <v>12</v>
      </c>
      <c r="BV255">
        <f t="shared" ca="1" si="309"/>
        <v>4.3</v>
      </c>
      <c r="BW255" s="1018">
        <v>0</v>
      </c>
      <c r="BX255">
        <f t="shared" ca="1" si="274"/>
        <v>30.215260232440635</v>
      </c>
      <c r="BY255">
        <f t="shared" ca="1" si="275"/>
        <v>208.61436950146629</v>
      </c>
      <c r="BZ255">
        <f t="shared" ca="1" si="256"/>
        <v>69.539561057962871</v>
      </c>
      <c r="CA255">
        <f t="shared" ca="1" si="257"/>
        <v>23.999999990399999</v>
      </c>
      <c r="CB255">
        <f t="shared" ca="1" si="276"/>
        <v>9.0267175572519083</v>
      </c>
      <c r="CC255" s="1018">
        <f t="shared" si="258"/>
        <v>0</v>
      </c>
      <c r="CD255" s="1018">
        <f t="shared" ca="1" si="310"/>
        <v>341.39590833952172</v>
      </c>
      <c r="CE255" s="1018">
        <f t="shared" ca="1" si="314"/>
        <v>183.89923712295646</v>
      </c>
      <c r="CF255">
        <f t="shared" ca="1" si="260"/>
        <v>15.758854363874347</v>
      </c>
      <c r="CG255">
        <f t="shared" ca="1" si="261"/>
        <v>26237.862161676236</v>
      </c>
    </row>
    <row r="256" spans="1:85" x14ac:dyDescent="0.25">
      <c r="D256" s="1"/>
      <c r="F256" s="1"/>
      <c r="G256" s="3"/>
      <c r="H256" s="6"/>
      <c r="I256" s="3"/>
      <c r="J256" s="6"/>
      <c r="K256" s="8"/>
      <c r="L256" s="6"/>
      <c r="M256" s="1" t="s">
        <v>16</v>
      </c>
      <c r="N256" s="4"/>
      <c r="O256" s="1" t="s">
        <v>19</v>
      </c>
      <c r="P256" s="4"/>
      <c r="Q256" s="1" t="s">
        <v>7</v>
      </c>
      <c r="R256" s="4"/>
      <c r="S256" s="1"/>
      <c r="T256" s="77"/>
      <c r="U256" s="294"/>
      <c r="X256" s="176">
        <f t="shared" si="311"/>
        <v>0</v>
      </c>
      <c r="Y256" s="34">
        <f>X256/Calculation_sheet!M$67</f>
        <v>0</v>
      </c>
      <c r="Z256" s="176">
        <f ca="1">IF(AN256&gt;0,Y256*Calculation_sheet!C$87,0)</f>
        <v>0</v>
      </c>
      <c r="AA256" s="176">
        <f t="shared" ca="1" si="312"/>
        <v>0</v>
      </c>
      <c r="AB256" s="176">
        <f ca="1">IF(AP256&gt;0,AA256*Calculation_sheet!C$94,0)</f>
        <v>0</v>
      </c>
      <c r="AC256" s="176">
        <f t="shared" ca="1" si="302"/>
        <v>0</v>
      </c>
      <c r="AD256" s="958">
        <f ca="1">AC256*Calculation_sheet!C$99</f>
        <v>0</v>
      </c>
      <c r="AE256" s="176">
        <f t="shared" ca="1" si="302"/>
        <v>0</v>
      </c>
      <c r="AF256" s="176">
        <f t="shared" ca="1" si="313"/>
        <v>0</v>
      </c>
      <c r="AG256" s="958">
        <f ca="1">AF256*User_sheet!B$77/100</f>
        <v>0</v>
      </c>
      <c r="AH256" s="313"/>
      <c r="AI256" s="908">
        <v>202</v>
      </c>
      <c r="AJ256" s="313"/>
      <c r="AK256" s="1020">
        <f t="shared" ca="1" si="255"/>
        <v>341.39590833952172</v>
      </c>
      <c r="AL256" s="954">
        <f ca="1">AK256/'202'!I$24</f>
        <v>1.099822519698211</v>
      </c>
      <c r="AM256" s="954">
        <f ca="1">0.8*(AK256*30+'202'!D$17*0.34*30*1)</f>
        <v>11805.444200148522</v>
      </c>
      <c r="AN256" s="954">
        <f ca="1">IF(AM256&lt;User_sheet!B$50,Y256,0)</f>
        <v>0</v>
      </c>
      <c r="AO256" s="954">
        <f ca="1">20-(User_sheet!B$57/(AK256+'202'!D$17*1*0.34))</f>
        <v>8.4121259919826699</v>
      </c>
      <c r="AP256" s="954">
        <f ca="1">IF(AO256&lt;User_sheet!B$59,0,BC256*AA256)</f>
        <v>0</v>
      </c>
      <c r="AQ256" s="313"/>
      <c r="AR256" s="909">
        <v>0.32</v>
      </c>
      <c r="AS256" s="909">
        <v>2.1</v>
      </c>
      <c r="AT256" s="909">
        <v>7.9</v>
      </c>
      <c r="AU256" s="909">
        <v>2</v>
      </c>
      <c r="AV256" s="909">
        <v>3.3</v>
      </c>
      <c r="AW256" s="909">
        <v>14356</v>
      </c>
      <c r="AX256" s="909">
        <v>74715.401027665983</v>
      </c>
      <c r="AY256" s="909">
        <v>67352.647733737584</v>
      </c>
      <c r="AZ256" s="917">
        <v>0</v>
      </c>
      <c r="BA256" s="917">
        <v>0</v>
      </c>
      <c r="BB256" s="909">
        <v>0.6</v>
      </c>
      <c r="BC256" s="919">
        <v>1</v>
      </c>
      <c r="BD256" s="920">
        <v>0</v>
      </c>
      <c r="BE256" s="920">
        <v>0</v>
      </c>
      <c r="BF256" s="921">
        <v>0</v>
      </c>
      <c r="BG256" s="920">
        <v>0</v>
      </c>
      <c r="BH256" s="920">
        <v>1</v>
      </c>
      <c r="BI256" s="921">
        <v>0</v>
      </c>
      <c r="BJ256" s="920">
        <v>0</v>
      </c>
      <c r="BK256" s="920">
        <v>0</v>
      </c>
      <c r="BL256" s="920">
        <v>1</v>
      </c>
      <c r="BM256" s="921">
        <v>0</v>
      </c>
      <c r="BN256" s="958">
        <v>0</v>
      </c>
      <c r="BO256" s="959">
        <v>18</v>
      </c>
      <c r="BP256">
        <f t="shared" ca="1" si="303"/>
        <v>173.25</v>
      </c>
      <c r="BQ256">
        <f t="shared" ca="1" si="304"/>
        <v>294.14</v>
      </c>
      <c r="BR256">
        <f t="shared" ca="1" si="305"/>
        <v>99.660000000000011</v>
      </c>
      <c r="BS256">
        <f t="shared" ca="1" si="306"/>
        <v>135.5</v>
      </c>
      <c r="BT256">
        <f t="shared" ca="1" si="307"/>
        <v>63.2</v>
      </c>
      <c r="BU256">
        <f t="shared" ca="1" si="308"/>
        <v>12</v>
      </c>
      <c r="BV256">
        <f t="shared" ca="1" si="309"/>
        <v>4.3</v>
      </c>
      <c r="BW256" s="1018">
        <v>0</v>
      </c>
      <c r="BX256">
        <f t="shared" ca="1" si="274"/>
        <v>30.215260232440635</v>
      </c>
      <c r="BY256">
        <f t="shared" ca="1" si="275"/>
        <v>208.61436950146629</v>
      </c>
      <c r="BZ256">
        <f t="shared" ca="1" si="256"/>
        <v>69.539561057962871</v>
      </c>
      <c r="CA256">
        <f t="shared" ca="1" si="257"/>
        <v>23.999999990399999</v>
      </c>
      <c r="CB256">
        <f t="shared" ca="1" si="276"/>
        <v>9.0267175572519083</v>
      </c>
      <c r="CC256" s="1018">
        <f t="shared" si="258"/>
        <v>0</v>
      </c>
      <c r="CD256" s="1018">
        <f t="shared" ca="1" si="310"/>
        <v>341.39590833952172</v>
      </c>
      <c r="CE256" s="1018">
        <f t="shared" ca="1" si="314"/>
        <v>183.89923712295646</v>
      </c>
      <c r="CF256">
        <f t="shared" ca="1" si="260"/>
        <v>15.758854363874347</v>
      </c>
      <c r="CG256">
        <f t="shared" ca="1" si="261"/>
        <v>26237.862161676236</v>
      </c>
    </row>
    <row r="257" spans="4:85" x14ac:dyDescent="0.25">
      <c r="D257" s="1"/>
      <c r="F257" s="1"/>
      <c r="G257" s="3"/>
      <c r="H257" s="6"/>
      <c r="I257" s="3"/>
      <c r="J257" s="6"/>
      <c r="K257" s="8"/>
      <c r="L257" s="6"/>
      <c r="M257" s="1"/>
      <c r="N257" s="1"/>
      <c r="O257" s="1"/>
      <c r="P257" s="1"/>
      <c r="Q257" s="1" t="s">
        <v>22</v>
      </c>
      <c r="R257" s="4"/>
      <c r="S257" s="1"/>
      <c r="T257" s="77"/>
      <c r="U257" s="294"/>
      <c r="X257" s="176">
        <f t="shared" si="311"/>
        <v>0</v>
      </c>
      <c r="Y257" s="34">
        <f>X257/Calculation_sheet!M$67</f>
        <v>0</v>
      </c>
      <c r="Z257" s="176">
        <f ca="1">IF(AN257&gt;0,Y257*Calculation_sheet!C$87,0)</f>
        <v>0</v>
      </c>
      <c r="AA257" s="176">
        <f t="shared" ca="1" si="312"/>
        <v>0</v>
      </c>
      <c r="AB257" s="176">
        <f ca="1">IF(AP257&gt;0,AA257*Calculation_sheet!C$94,0)</f>
        <v>0</v>
      </c>
      <c r="AC257" s="176">
        <f t="shared" ca="1" si="302"/>
        <v>0</v>
      </c>
      <c r="AD257" s="958">
        <f ca="1">AC257*Calculation_sheet!C$99</f>
        <v>0</v>
      </c>
      <c r="AE257" s="176">
        <f t="shared" ca="1" si="302"/>
        <v>0</v>
      </c>
      <c r="AF257" s="176">
        <f t="shared" ca="1" si="313"/>
        <v>0</v>
      </c>
      <c r="AG257" s="958">
        <f ca="1">AF257*User_sheet!B$77/100</f>
        <v>0</v>
      </c>
      <c r="AH257" s="313"/>
      <c r="AI257" s="908">
        <v>202</v>
      </c>
      <c r="AJ257" s="313"/>
      <c r="AK257" s="1020">
        <f t="shared" ca="1" si="255"/>
        <v>341.39590833952172</v>
      </c>
      <c r="AL257" s="954">
        <f ca="1">AK257/'202'!I$24</f>
        <v>1.099822519698211</v>
      </c>
      <c r="AM257" s="954">
        <f ca="1">0.8*(AK257*30+'202'!D$17*0.34*30*1)</f>
        <v>11805.444200148522</v>
      </c>
      <c r="AN257" s="954">
        <f ca="1">IF(AM257&lt;User_sheet!B$50,Y257,0)</f>
        <v>0</v>
      </c>
      <c r="AO257" s="954">
        <f ca="1">20-(User_sheet!B$57/(AK257+'202'!D$17*1*0.34))</f>
        <v>8.4121259919826699</v>
      </c>
      <c r="AP257" s="954">
        <f ca="1">IF(AO257&lt;User_sheet!B$59,0,BC257*AA257)</f>
        <v>0</v>
      </c>
      <c r="AQ257" s="313"/>
      <c r="AR257" s="909">
        <v>0.32</v>
      </c>
      <c r="AS257" s="909">
        <v>2.1</v>
      </c>
      <c r="AT257" s="909">
        <v>7.9</v>
      </c>
      <c r="AU257" s="909">
        <v>2</v>
      </c>
      <c r="AV257" s="909">
        <v>3.3</v>
      </c>
      <c r="AW257" s="909">
        <v>14356</v>
      </c>
      <c r="AX257" s="909">
        <v>74715.401027665983</v>
      </c>
      <c r="AY257" s="909">
        <v>67352.647733737584</v>
      </c>
      <c r="AZ257" s="917">
        <v>0</v>
      </c>
      <c r="BA257" s="917">
        <v>0</v>
      </c>
      <c r="BB257" s="909">
        <v>0.6</v>
      </c>
      <c r="BC257" s="919">
        <v>0</v>
      </c>
      <c r="BD257" s="920">
        <v>1</v>
      </c>
      <c r="BE257" s="920">
        <v>0</v>
      </c>
      <c r="BF257" s="921">
        <v>0</v>
      </c>
      <c r="BG257" s="920">
        <v>1</v>
      </c>
      <c r="BH257" s="920">
        <v>0</v>
      </c>
      <c r="BI257" s="921">
        <v>0</v>
      </c>
      <c r="BJ257" s="920">
        <v>0</v>
      </c>
      <c r="BK257" s="920">
        <v>1</v>
      </c>
      <c r="BL257" s="920">
        <v>0</v>
      </c>
      <c r="BM257" s="921">
        <v>0</v>
      </c>
      <c r="BN257" s="958">
        <v>0</v>
      </c>
      <c r="BO257" s="959">
        <v>18</v>
      </c>
      <c r="BP257">
        <f t="shared" ca="1" si="303"/>
        <v>173.25</v>
      </c>
      <c r="BQ257">
        <f t="shared" ca="1" si="304"/>
        <v>294.14</v>
      </c>
      <c r="BR257">
        <f t="shared" ca="1" si="305"/>
        <v>99.660000000000011</v>
      </c>
      <c r="BS257">
        <f t="shared" ca="1" si="306"/>
        <v>135.5</v>
      </c>
      <c r="BT257">
        <f t="shared" ca="1" si="307"/>
        <v>63.2</v>
      </c>
      <c r="BU257">
        <f t="shared" ca="1" si="308"/>
        <v>12</v>
      </c>
      <c r="BV257">
        <f t="shared" ca="1" si="309"/>
        <v>4.3</v>
      </c>
      <c r="BW257" s="1018">
        <v>0</v>
      </c>
      <c r="BX257">
        <f t="shared" ca="1" si="274"/>
        <v>30.215260232440635</v>
      </c>
      <c r="BY257">
        <f t="shared" ca="1" si="275"/>
        <v>208.61436950146629</v>
      </c>
      <c r="BZ257">
        <f t="shared" ca="1" si="256"/>
        <v>69.539561057962871</v>
      </c>
      <c r="CA257">
        <f t="shared" ca="1" si="257"/>
        <v>23.999999990399999</v>
      </c>
      <c r="CB257">
        <f t="shared" ca="1" si="276"/>
        <v>9.0267175572519083</v>
      </c>
      <c r="CC257" s="1018">
        <f t="shared" si="258"/>
        <v>0</v>
      </c>
      <c r="CD257" s="1018">
        <f t="shared" ca="1" si="310"/>
        <v>341.39590833952172</v>
      </c>
      <c r="CE257" s="1018">
        <f t="shared" ca="1" si="314"/>
        <v>183.89923712295646</v>
      </c>
      <c r="CF257">
        <f t="shared" ca="1" si="260"/>
        <v>15.758854363874347</v>
      </c>
      <c r="CG257">
        <f t="shared" ca="1" si="261"/>
        <v>26237.862161676236</v>
      </c>
    </row>
    <row r="258" spans="4:85" x14ac:dyDescent="0.25">
      <c r="D258" s="1"/>
      <c r="F258" s="1"/>
      <c r="G258" s="3"/>
      <c r="H258" s="6"/>
      <c r="I258" s="3"/>
      <c r="J258" s="3" t="s">
        <v>144</v>
      </c>
      <c r="K258" s="8"/>
      <c r="L258" s="6"/>
      <c r="M258" s="1"/>
      <c r="N258" s="1"/>
      <c r="O258" s="1" t="s">
        <v>18</v>
      </c>
      <c r="P258" s="4"/>
      <c r="Q258" s="1" t="s">
        <v>7</v>
      </c>
      <c r="R258" s="4"/>
      <c r="S258" s="1"/>
      <c r="T258" s="77"/>
      <c r="U258" s="294"/>
      <c r="X258" s="176">
        <f t="shared" si="311"/>
        <v>0</v>
      </c>
      <c r="Y258" s="34">
        <f>X258/Calculation_sheet!M$67</f>
        <v>0</v>
      </c>
      <c r="Z258" s="176">
        <f ca="1">IF(AN258&gt;0,Y258*Calculation_sheet!C$87,0)</f>
        <v>0</v>
      </c>
      <c r="AA258" s="176">
        <f t="shared" ca="1" si="312"/>
        <v>0</v>
      </c>
      <c r="AB258" s="176">
        <f ca="1">IF(AP258&gt;0,AA258*Calculation_sheet!C$94,0)</f>
        <v>0</v>
      </c>
      <c r="AC258" s="176">
        <f t="shared" ca="1" si="302"/>
        <v>0</v>
      </c>
      <c r="AD258" s="958">
        <f ca="1">AC258*Calculation_sheet!C$99</f>
        <v>0</v>
      </c>
      <c r="AE258" s="176">
        <f t="shared" ca="1" si="302"/>
        <v>0</v>
      </c>
      <c r="AF258" s="176">
        <f t="shared" ca="1" si="313"/>
        <v>0</v>
      </c>
      <c r="AG258" s="958">
        <f ca="1">AF258*User_sheet!B$77/100</f>
        <v>0</v>
      </c>
      <c r="AH258" s="313"/>
      <c r="AI258" s="908">
        <v>202</v>
      </c>
      <c r="AJ258" s="313"/>
      <c r="AK258" s="1020">
        <f t="shared" ca="1" si="255"/>
        <v>341.39590833952172</v>
      </c>
      <c r="AL258" s="954">
        <f ca="1">AK258/'202'!I$24</f>
        <v>1.099822519698211</v>
      </c>
      <c r="AM258" s="954">
        <f ca="1">0.8*(AK258*30+'202'!D$17*0.34*30*1)</f>
        <v>11805.444200148522</v>
      </c>
      <c r="AN258" s="954">
        <f ca="1">IF(AM258&lt;User_sheet!B$50,Y258,0)</f>
        <v>0</v>
      </c>
      <c r="AO258" s="954">
        <f ca="1">20-(User_sheet!B$57/(AK258+'202'!D$17*1*0.34))</f>
        <v>8.4121259919826699</v>
      </c>
      <c r="AP258" s="954">
        <f ca="1">IF(AO258&lt;User_sheet!B$59,0,BC258*AA258)</f>
        <v>0</v>
      </c>
      <c r="AQ258" s="313"/>
      <c r="AR258" s="909">
        <v>0.32</v>
      </c>
      <c r="AS258" s="909">
        <v>2.1</v>
      </c>
      <c r="AT258" s="909">
        <v>7.9</v>
      </c>
      <c r="AU258" s="909">
        <v>2</v>
      </c>
      <c r="AV258" s="909">
        <v>3.3</v>
      </c>
      <c r="AW258" s="909">
        <v>14356</v>
      </c>
      <c r="AX258" s="909">
        <v>74715.401027665983</v>
      </c>
      <c r="AY258" s="909">
        <v>67352.647733737584</v>
      </c>
      <c r="AZ258" s="917">
        <v>0</v>
      </c>
      <c r="BA258" s="917">
        <v>0</v>
      </c>
      <c r="BB258" s="909">
        <v>0.6</v>
      </c>
      <c r="BC258" s="919">
        <v>0</v>
      </c>
      <c r="BD258" s="920">
        <v>1</v>
      </c>
      <c r="BE258" s="920">
        <v>0</v>
      </c>
      <c r="BF258" s="921">
        <v>0</v>
      </c>
      <c r="BG258" s="920">
        <v>1</v>
      </c>
      <c r="BH258" s="920">
        <v>0</v>
      </c>
      <c r="BI258" s="921">
        <v>0</v>
      </c>
      <c r="BJ258" s="920">
        <v>0</v>
      </c>
      <c r="BK258" s="920">
        <v>0</v>
      </c>
      <c r="BL258" s="920">
        <v>1</v>
      </c>
      <c r="BM258" s="921">
        <v>0</v>
      </c>
      <c r="BN258" s="958">
        <v>0</v>
      </c>
      <c r="BO258" s="959">
        <v>18</v>
      </c>
      <c r="BP258">
        <f t="shared" ca="1" si="303"/>
        <v>173.25</v>
      </c>
      <c r="BQ258">
        <f t="shared" ca="1" si="304"/>
        <v>294.14</v>
      </c>
      <c r="BR258">
        <f t="shared" ca="1" si="305"/>
        <v>99.660000000000011</v>
      </c>
      <c r="BS258">
        <f t="shared" ca="1" si="306"/>
        <v>135.5</v>
      </c>
      <c r="BT258">
        <f t="shared" ca="1" si="307"/>
        <v>63.2</v>
      </c>
      <c r="BU258">
        <f t="shared" ca="1" si="308"/>
        <v>12</v>
      </c>
      <c r="BV258">
        <f t="shared" ca="1" si="309"/>
        <v>4.3</v>
      </c>
      <c r="BW258" s="1018">
        <v>0</v>
      </c>
      <c r="BX258">
        <f t="shared" ca="1" si="274"/>
        <v>30.215260232440635</v>
      </c>
      <c r="BY258">
        <f t="shared" ca="1" si="275"/>
        <v>208.61436950146629</v>
      </c>
      <c r="BZ258">
        <f t="shared" ca="1" si="256"/>
        <v>69.539561057962871</v>
      </c>
      <c r="CA258">
        <f t="shared" ca="1" si="257"/>
        <v>23.999999990399999</v>
      </c>
      <c r="CB258">
        <f t="shared" ca="1" si="276"/>
        <v>9.0267175572519083</v>
      </c>
      <c r="CC258" s="1018">
        <f t="shared" si="258"/>
        <v>0</v>
      </c>
      <c r="CD258" s="1018">
        <f t="shared" ca="1" si="310"/>
        <v>341.39590833952172</v>
      </c>
      <c r="CE258" s="1018">
        <f t="shared" ca="1" si="314"/>
        <v>183.89923712295646</v>
      </c>
      <c r="CF258">
        <f t="shared" ca="1" si="260"/>
        <v>15.758854363874347</v>
      </c>
      <c r="CG258">
        <f t="shared" ca="1" si="261"/>
        <v>26237.862161676236</v>
      </c>
    </row>
    <row r="259" spans="4:85" x14ac:dyDescent="0.25">
      <c r="D259" s="1"/>
      <c r="F259" s="1"/>
      <c r="G259" s="3"/>
      <c r="H259" s="6"/>
      <c r="I259" s="3"/>
      <c r="J259" s="6" t="s">
        <v>190</v>
      </c>
      <c r="K259" s="8"/>
      <c r="L259" s="6"/>
      <c r="M259" s="1"/>
      <c r="N259" s="1"/>
      <c r="O259" s="1"/>
      <c r="P259" s="1"/>
      <c r="Q259" s="1" t="s">
        <v>22</v>
      </c>
      <c r="R259" s="4"/>
      <c r="S259" s="1"/>
      <c r="T259" s="77"/>
      <c r="U259" s="294"/>
      <c r="X259" s="176">
        <f t="shared" si="311"/>
        <v>0</v>
      </c>
      <c r="Y259" s="34">
        <f>X259/Calculation_sheet!M$67</f>
        <v>0</v>
      </c>
      <c r="Z259" s="176">
        <f ca="1">IF(AN259&gt;0,Y259*Calculation_sheet!C$87,0)</f>
        <v>0</v>
      </c>
      <c r="AA259" s="176">
        <f t="shared" ca="1" si="312"/>
        <v>0</v>
      </c>
      <c r="AB259" s="176">
        <f ca="1">IF(AP259&gt;0,AA259*Calculation_sheet!C$94,0)</f>
        <v>0</v>
      </c>
      <c r="AC259" s="176">
        <f t="shared" ca="1" si="302"/>
        <v>0</v>
      </c>
      <c r="AD259" s="958">
        <f ca="1">AC259*Calculation_sheet!C$99</f>
        <v>0</v>
      </c>
      <c r="AE259" s="176">
        <f t="shared" ca="1" si="302"/>
        <v>0</v>
      </c>
      <c r="AF259" s="176">
        <f t="shared" ca="1" si="313"/>
        <v>0</v>
      </c>
      <c r="AG259" s="958">
        <f ca="1">AF259*User_sheet!B$77/100</f>
        <v>0</v>
      </c>
      <c r="AH259" s="313"/>
      <c r="AI259" s="908">
        <v>202</v>
      </c>
      <c r="AJ259" s="313"/>
      <c r="AK259" s="1020">
        <f t="shared" ca="1" si="255"/>
        <v>341.39590833952172</v>
      </c>
      <c r="AL259" s="954">
        <f ca="1">AK259/'202'!I$24</f>
        <v>1.099822519698211</v>
      </c>
      <c r="AM259" s="954">
        <f ca="1">0.8*(AK259*30+'202'!D$17*0.34*30*1)</f>
        <v>11805.444200148522</v>
      </c>
      <c r="AN259" s="954">
        <f ca="1">IF(AM259&lt;User_sheet!B$50,Y259,0)</f>
        <v>0</v>
      </c>
      <c r="AO259" s="954">
        <f ca="1">20-(User_sheet!B$57/(AK259+'202'!D$17*1*0.34))</f>
        <v>8.4121259919826699</v>
      </c>
      <c r="AP259" s="954">
        <f ca="1">IF(AO259&lt;User_sheet!B$59,0,BC259*AA259)</f>
        <v>0</v>
      </c>
      <c r="AQ259" s="313"/>
      <c r="AR259" s="909">
        <v>0.32</v>
      </c>
      <c r="AS259" s="909">
        <v>2.1</v>
      </c>
      <c r="AT259" s="909">
        <v>7.9</v>
      </c>
      <c r="AU259" s="909">
        <v>2</v>
      </c>
      <c r="AV259" s="909">
        <v>3.3</v>
      </c>
      <c r="AW259" s="909">
        <v>14356</v>
      </c>
      <c r="AX259" s="909">
        <v>74715.401027665983</v>
      </c>
      <c r="AY259" s="909">
        <v>67352.647733737584</v>
      </c>
      <c r="AZ259" s="917">
        <v>0</v>
      </c>
      <c r="BA259" s="917">
        <v>0</v>
      </c>
      <c r="BB259" s="909">
        <v>0.6</v>
      </c>
      <c r="BC259" s="919">
        <v>0</v>
      </c>
      <c r="BD259" s="920">
        <v>1</v>
      </c>
      <c r="BE259" s="920">
        <v>0</v>
      </c>
      <c r="BF259" s="921">
        <v>0</v>
      </c>
      <c r="BG259" s="920">
        <v>0</v>
      </c>
      <c r="BH259" s="920">
        <v>1</v>
      </c>
      <c r="BI259" s="921">
        <v>0</v>
      </c>
      <c r="BJ259" s="920">
        <v>0</v>
      </c>
      <c r="BK259" s="920">
        <v>1</v>
      </c>
      <c r="BL259" s="920">
        <v>0</v>
      </c>
      <c r="BM259" s="921">
        <v>0</v>
      </c>
      <c r="BN259" s="958">
        <v>0</v>
      </c>
      <c r="BO259" s="959">
        <v>18</v>
      </c>
      <c r="BP259">
        <f t="shared" ca="1" si="303"/>
        <v>173.25</v>
      </c>
      <c r="BQ259">
        <f t="shared" ca="1" si="304"/>
        <v>294.14</v>
      </c>
      <c r="BR259">
        <f t="shared" ca="1" si="305"/>
        <v>99.660000000000011</v>
      </c>
      <c r="BS259">
        <f t="shared" ca="1" si="306"/>
        <v>135.5</v>
      </c>
      <c r="BT259">
        <f t="shared" ca="1" si="307"/>
        <v>63.2</v>
      </c>
      <c r="BU259">
        <f t="shared" ca="1" si="308"/>
        <v>12</v>
      </c>
      <c r="BV259">
        <f t="shared" ca="1" si="309"/>
        <v>4.3</v>
      </c>
      <c r="BW259" s="1018">
        <v>0</v>
      </c>
      <c r="BX259">
        <f t="shared" ca="1" si="274"/>
        <v>30.215260232440635</v>
      </c>
      <c r="BY259">
        <f t="shared" ca="1" si="275"/>
        <v>208.61436950146629</v>
      </c>
      <c r="BZ259">
        <f t="shared" ca="1" si="256"/>
        <v>69.539561057962871</v>
      </c>
      <c r="CA259">
        <f t="shared" ca="1" si="257"/>
        <v>23.999999990399999</v>
      </c>
      <c r="CB259">
        <f t="shared" ca="1" si="276"/>
        <v>9.0267175572519083</v>
      </c>
      <c r="CC259" s="1018">
        <f t="shared" si="258"/>
        <v>0</v>
      </c>
      <c r="CD259" s="1018">
        <f t="shared" ca="1" si="310"/>
        <v>341.39590833952172</v>
      </c>
      <c r="CE259" s="1018">
        <f t="shared" ca="1" si="314"/>
        <v>183.89923712295646</v>
      </c>
      <c r="CF259">
        <f t="shared" ca="1" si="260"/>
        <v>15.758854363874347</v>
      </c>
      <c r="CG259">
        <f t="shared" ca="1" si="261"/>
        <v>26237.862161676236</v>
      </c>
    </row>
    <row r="260" spans="4:85" x14ac:dyDescent="0.25">
      <c r="D260" s="1"/>
      <c r="F260" s="1"/>
      <c r="G260" s="3"/>
      <c r="H260" s="6"/>
      <c r="I260" s="3"/>
      <c r="J260" s="6"/>
      <c r="K260" s="8"/>
      <c r="L260" s="6"/>
      <c r="M260" s="1" t="s">
        <v>22</v>
      </c>
      <c r="N260" s="4"/>
      <c r="O260" s="1" t="s">
        <v>20</v>
      </c>
      <c r="P260" s="4"/>
      <c r="Q260" s="1" t="s">
        <v>7</v>
      </c>
      <c r="R260" s="4"/>
      <c r="S260" s="1"/>
      <c r="T260" s="77"/>
      <c r="U260" s="294"/>
      <c r="X260" s="176">
        <f t="shared" si="311"/>
        <v>0</v>
      </c>
      <c r="Y260" s="34">
        <f>X260/Calculation_sheet!M$67</f>
        <v>0</v>
      </c>
      <c r="Z260" s="176">
        <f ca="1">IF(AN260&gt;0,Y260*Calculation_sheet!C$87,0)</f>
        <v>0</v>
      </c>
      <c r="AA260" s="176">
        <f t="shared" ca="1" si="312"/>
        <v>0</v>
      </c>
      <c r="AB260" s="176">
        <f ca="1">IF(AP260&gt;0,AA260*Calculation_sheet!C$94,0)</f>
        <v>0</v>
      </c>
      <c r="AC260" s="176">
        <f t="shared" ca="1" si="302"/>
        <v>0</v>
      </c>
      <c r="AD260" s="958">
        <f ca="1">AC260*Calculation_sheet!C$99</f>
        <v>0</v>
      </c>
      <c r="AE260" s="176">
        <f t="shared" ca="1" si="302"/>
        <v>0</v>
      </c>
      <c r="AF260" s="176">
        <f t="shared" ca="1" si="313"/>
        <v>0</v>
      </c>
      <c r="AG260" s="958">
        <f ca="1">AF260*User_sheet!B$77/100</f>
        <v>0</v>
      </c>
      <c r="AH260" s="313"/>
      <c r="AI260" s="908">
        <v>202</v>
      </c>
      <c r="AJ260" s="313"/>
      <c r="AK260" s="1020">
        <f t="shared" ca="1" si="255"/>
        <v>341.39590833952172</v>
      </c>
      <c r="AL260" s="954">
        <f ca="1">AK260/'202'!I$24</f>
        <v>1.099822519698211</v>
      </c>
      <c r="AM260" s="954">
        <f ca="1">0.8*(AK260*30+'202'!D$17*0.34*30*1)</f>
        <v>11805.444200148522</v>
      </c>
      <c r="AN260" s="954">
        <f ca="1">IF(AM260&lt;User_sheet!B$50,Y260,0)</f>
        <v>0</v>
      </c>
      <c r="AO260" s="954">
        <f ca="1">20-(User_sheet!B$57/(AK260+'202'!D$17*1*0.34))</f>
        <v>8.4121259919826699</v>
      </c>
      <c r="AP260" s="954">
        <f ca="1">IF(AO260&lt;User_sheet!B$59,0,BC260*AA260)</f>
        <v>0</v>
      </c>
      <c r="AQ260" s="313"/>
      <c r="AR260" s="909">
        <v>0.32</v>
      </c>
      <c r="AS260" s="909">
        <v>2.1</v>
      </c>
      <c r="AT260" s="909">
        <v>7.9</v>
      </c>
      <c r="AU260" s="909">
        <v>2</v>
      </c>
      <c r="AV260" s="909">
        <v>3.3</v>
      </c>
      <c r="AW260" s="909">
        <v>14356</v>
      </c>
      <c r="AX260" s="909">
        <v>74715.401027665983</v>
      </c>
      <c r="AY260" s="909">
        <v>67352.647733737584</v>
      </c>
      <c r="AZ260" s="917">
        <v>0</v>
      </c>
      <c r="BA260" s="917">
        <v>0</v>
      </c>
      <c r="BB260" s="909">
        <v>0.6</v>
      </c>
      <c r="BC260" s="919">
        <v>0</v>
      </c>
      <c r="BD260" s="920">
        <v>1</v>
      </c>
      <c r="BE260" s="920">
        <v>0</v>
      </c>
      <c r="BF260" s="921">
        <v>0</v>
      </c>
      <c r="BG260" s="920">
        <v>0</v>
      </c>
      <c r="BH260" s="920">
        <v>1</v>
      </c>
      <c r="BI260" s="921">
        <v>0</v>
      </c>
      <c r="BJ260" s="920">
        <v>0</v>
      </c>
      <c r="BK260" s="920">
        <v>0</v>
      </c>
      <c r="BL260" s="920">
        <v>1</v>
      </c>
      <c r="BM260" s="921">
        <v>0</v>
      </c>
      <c r="BN260" s="958">
        <v>0</v>
      </c>
      <c r="BO260" s="959">
        <v>18</v>
      </c>
      <c r="BP260">
        <f t="shared" ca="1" si="303"/>
        <v>173.25</v>
      </c>
      <c r="BQ260">
        <f t="shared" ca="1" si="304"/>
        <v>294.14</v>
      </c>
      <c r="BR260">
        <f t="shared" ca="1" si="305"/>
        <v>99.660000000000011</v>
      </c>
      <c r="BS260">
        <f t="shared" ca="1" si="306"/>
        <v>135.5</v>
      </c>
      <c r="BT260">
        <f t="shared" ca="1" si="307"/>
        <v>63.2</v>
      </c>
      <c r="BU260">
        <f t="shared" ca="1" si="308"/>
        <v>12</v>
      </c>
      <c r="BV260">
        <f t="shared" ca="1" si="309"/>
        <v>4.3</v>
      </c>
      <c r="BW260" s="1018">
        <v>0</v>
      </c>
      <c r="BX260">
        <f t="shared" ca="1" si="274"/>
        <v>30.215260232440635</v>
      </c>
      <c r="BY260">
        <f t="shared" ca="1" si="275"/>
        <v>208.61436950146629</v>
      </c>
      <c r="BZ260">
        <f t="shared" ca="1" si="256"/>
        <v>69.539561057962871</v>
      </c>
      <c r="CA260">
        <f t="shared" ca="1" si="257"/>
        <v>23.999999990399999</v>
      </c>
      <c r="CB260">
        <f t="shared" ca="1" si="276"/>
        <v>9.0267175572519083</v>
      </c>
      <c r="CC260" s="1018">
        <f t="shared" si="258"/>
        <v>0</v>
      </c>
      <c r="CD260" s="1018">
        <f t="shared" ca="1" si="310"/>
        <v>341.39590833952172</v>
      </c>
      <c r="CE260" s="1018">
        <f t="shared" ca="1" si="314"/>
        <v>183.89923712295646</v>
      </c>
      <c r="CF260">
        <f t="shared" ca="1" si="260"/>
        <v>15.758854363874347</v>
      </c>
      <c r="CG260">
        <f t="shared" ca="1" si="261"/>
        <v>26237.862161676236</v>
      </c>
    </row>
    <row r="261" spans="4:85" x14ac:dyDescent="0.25">
      <c r="D261" s="1"/>
      <c r="F261" s="1"/>
      <c r="G261" s="3"/>
      <c r="H261" s="6"/>
      <c r="I261" s="3"/>
      <c r="J261" s="6"/>
      <c r="K261" s="8"/>
      <c r="L261" s="6"/>
      <c r="M261" s="1" t="s">
        <v>7</v>
      </c>
      <c r="N261" s="4"/>
      <c r="O261" s="1" t="s">
        <v>23</v>
      </c>
      <c r="P261" s="4"/>
      <c r="Q261" s="1" t="s">
        <v>7</v>
      </c>
      <c r="R261" s="4"/>
      <c r="S261" s="1"/>
      <c r="T261" s="77"/>
      <c r="U261" s="294"/>
      <c r="X261" s="176">
        <f t="shared" si="311"/>
        <v>0</v>
      </c>
      <c r="Y261" s="34">
        <f>X261/Calculation_sheet!M$67</f>
        <v>0</v>
      </c>
      <c r="Z261" s="176">
        <f ca="1">IF(AN261&gt;0,Y261*Calculation_sheet!C$87,0)</f>
        <v>0</v>
      </c>
      <c r="AA261" s="176">
        <f t="shared" ca="1" si="312"/>
        <v>0</v>
      </c>
      <c r="AB261" s="176">
        <f ca="1">IF(AP261&gt;0,AA261*Calculation_sheet!C$94,0)</f>
        <v>0</v>
      </c>
      <c r="AC261" s="176">
        <f t="shared" ca="1" si="302"/>
        <v>0</v>
      </c>
      <c r="AD261" s="958">
        <f ca="1">AC261*Calculation_sheet!C$99</f>
        <v>0</v>
      </c>
      <c r="AE261" s="176">
        <f t="shared" ca="1" si="302"/>
        <v>0</v>
      </c>
      <c r="AF261" s="176">
        <f t="shared" ca="1" si="313"/>
        <v>0</v>
      </c>
      <c r="AG261" s="958">
        <f ca="1">AF261*User_sheet!B$77/100</f>
        <v>0</v>
      </c>
      <c r="AH261" s="313"/>
      <c r="AI261" s="908">
        <v>202</v>
      </c>
      <c r="AJ261" s="313"/>
      <c r="AK261" s="1020">
        <f t="shared" ca="1" si="255"/>
        <v>341.39590833952172</v>
      </c>
      <c r="AL261" s="954">
        <f ca="1">AK261/'202'!I$24</f>
        <v>1.099822519698211</v>
      </c>
      <c r="AM261" s="954">
        <f ca="1">0.8*(AK261*30+'202'!D$17*0.34*30*1)</f>
        <v>11805.444200148522</v>
      </c>
      <c r="AN261" s="954">
        <f ca="1">IF(AM261&lt;User_sheet!B$50,Y261,0)</f>
        <v>0</v>
      </c>
      <c r="AO261" s="954">
        <f ca="1">20-(User_sheet!B$57/(AK261+'202'!D$17*1*0.34))</f>
        <v>8.4121259919826699</v>
      </c>
      <c r="AP261" s="954">
        <f ca="1">IF(AO261&lt;User_sheet!B$59,0,BC261*AA261)</f>
        <v>0</v>
      </c>
      <c r="AQ261" s="313"/>
      <c r="AR261" s="909">
        <v>0.32</v>
      </c>
      <c r="AS261" s="909">
        <v>2.1</v>
      </c>
      <c r="AT261" s="909">
        <v>7.9</v>
      </c>
      <c r="AU261" s="909">
        <v>2</v>
      </c>
      <c r="AV261" s="909">
        <v>3.3</v>
      </c>
      <c r="AW261" s="909">
        <v>14356</v>
      </c>
      <c r="AX261" s="909">
        <v>74715.401027665983</v>
      </c>
      <c r="AY261" s="909">
        <v>67352.647733737584</v>
      </c>
      <c r="AZ261" s="917">
        <v>0</v>
      </c>
      <c r="BA261" s="917">
        <v>0</v>
      </c>
      <c r="BB261" s="909">
        <v>0.6</v>
      </c>
      <c r="BC261" s="919">
        <v>0</v>
      </c>
      <c r="BD261" s="920">
        <v>0</v>
      </c>
      <c r="BE261" s="920">
        <v>1</v>
      </c>
      <c r="BF261" s="921">
        <v>0</v>
      </c>
      <c r="BG261" s="920">
        <v>0</v>
      </c>
      <c r="BH261" s="920">
        <v>0</v>
      </c>
      <c r="BI261" s="921">
        <v>1</v>
      </c>
      <c r="BJ261" s="920">
        <v>0</v>
      </c>
      <c r="BK261" s="920">
        <v>0</v>
      </c>
      <c r="BL261" s="920">
        <v>1</v>
      </c>
      <c r="BM261" s="921">
        <v>0</v>
      </c>
      <c r="BN261" s="958">
        <v>0</v>
      </c>
      <c r="BO261" s="959">
        <v>18</v>
      </c>
      <c r="BP261">
        <f t="shared" ca="1" si="303"/>
        <v>173.25</v>
      </c>
      <c r="BQ261">
        <f t="shared" ca="1" si="304"/>
        <v>294.14</v>
      </c>
      <c r="BR261">
        <f t="shared" ca="1" si="305"/>
        <v>99.660000000000011</v>
      </c>
      <c r="BS261">
        <f t="shared" ca="1" si="306"/>
        <v>135.5</v>
      </c>
      <c r="BT261">
        <f t="shared" ca="1" si="307"/>
        <v>63.2</v>
      </c>
      <c r="BU261">
        <f t="shared" ca="1" si="308"/>
        <v>12</v>
      </c>
      <c r="BV261">
        <f t="shared" ca="1" si="309"/>
        <v>4.3</v>
      </c>
      <c r="BW261" s="1018">
        <v>0</v>
      </c>
      <c r="BX261">
        <f t="shared" ca="1" si="274"/>
        <v>30.215260232440635</v>
      </c>
      <c r="BY261">
        <f t="shared" ca="1" si="275"/>
        <v>208.61436950146629</v>
      </c>
      <c r="BZ261">
        <f t="shared" ca="1" si="256"/>
        <v>69.539561057962871</v>
      </c>
      <c r="CA261">
        <f t="shared" ca="1" si="257"/>
        <v>23.999999990399999</v>
      </c>
      <c r="CB261">
        <f t="shared" ca="1" si="276"/>
        <v>9.0267175572519083</v>
      </c>
      <c r="CC261" s="1018">
        <f t="shared" si="258"/>
        <v>0</v>
      </c>
      <c r="CD261" s="1018">
        <f t="shared" ca="1" si="310"/>
        <v>341.39590833952172</v>
      </c>
      <c r="CE261" s="1018">
        <f t="shared" ca="1" si="314"/>
        <v>183.89923712295646</v>
      </c>
      <c r="CF261">
        <f t="shared" ca="1" si="260"/>
        <v>15.758854363874347</v>
      </c>
      <c r="CG261">
        <f t="shared" ca="1" si="261"/>
        <v>26237.862161676236</v>
      </c>
    </row>
    <row r="262" spans="4:85" x14ac:dyDescent="0.25">
      <c r="D262" s="1"/>
      <c r="F262" s="1"/>
      <c r="G262" s="3"/>
      <c r="H262" s="6"/>
      <c r="I262" s="3"/>
      <c r="J262" s="6"/>
      <c r="K262" s="8"/>
      <c r="L262" s="6"/>
      <c r="M262" s="1"/>
      <c r="N262" s="1"/>
      <c r="O262" s="1" t="s">
        <v>18</v>
      </c>
      <c r="P262" s="4"/>
      <c r="Q262" s="1" t="s">
        <v>17</v>
      </c>
      <c r="R262" s="4"/>
      <c r="S262" s="1"/>
      <c r="T262" s="77"/>
      <c r="U262" s="294"/>
      <c r="X262" s="176">
        <f t="shared" si="311"/>
        <v>0</v>
      </c>
      <c r="Y262" s="34">
        <f>X262/Calculation_sheet!M$67</f>
        <v>0</v>
      </c>
      <c r="Z262" s="176">
        <f ca="1">IF(AN262&gt;0,Y262*Calculation_sheet!C$87,0)</f>
        <v>0</v>
      </c>
      <c r="AA262" s="176">
        <f t="shared" ca="1" si="312"/>
        <v>0</v>
      </c>
      <c r="AB262" s="176">
        <f ca="1">IF(AP262&gt;0,AA262*Calculation_sheet!C$94,0)</f>
        <v>0</v>
      </c>
      <c r="AC262" s="176">
        <f t="shared" ca="1" si="302"/>
        <v>0</v>
      </c>
      <c r="AD262" s="958">
        <f ca="1">AC262*Calculation_sheet!C$99</f>
        <v>0</v>
      </c>
      <c r="AE262" s="176">
        <f t="shared" ca="1" si="302"/>
        <v>0</v>
      </c>
      <c r="AF262" s="176">
        <f t="shared" ca="1" si="313"/>
        <v>0</v>
      </c>
      <c r="AG262" s="958">
        <f ca="1">AF262*User_sheet!B$77/100</f>
        <v>0</v>
      </c>
      <c r="AH262" s="313"/>
      <c r="AI262" s="908">
        <v>202</v>
      </c>
      <c r="AJ262" s="313"/>
      <c r="AK262" s="1020">
        <f t="shared" ca="1" si="255"/>
        <v>341.39590833952172</v>
      </c>
      <c r="AL262" s="954">
        <f ca="1">AK262/'202'!I$24</f>
        <v>1.099822519698211</v>
      </c>
      <c r="AM262" s="954">
        <f ca="1">0.8*(AK262*30+'202'!D$17*0.34*30*1)</f>
        <v>11805.444200148522</v>
      </c>
      <c r="AN262" s="954">
        <f ca="1">IF(AM262&lt;User_sheet!B$50,Y262,0)</f>
        <v>0</v>
      </c>
      <c r="AO262" s="954">
        <f ca="1">20-(User_sheet!B$57/(AK262+'202'!D$17*1*0.34))</f>
        <v>8.4121259919826699</v>
      </c>
      <c r="AP262" s="954">
        <f ca="1">IF(AO262&lt;User_sheet!B$59,0,BC262*AA262)</f>
        <v>0</v>
      </c>
      <c r="AQ262" s="313"/>
      <c r="AR262" s="909">
        <v>0.32</v>
      </c>
      <c r="AS262" s="909">
        <v>2.1</v>
      </c>
      <c r="AT262" s="909">
        <v>7.9</v>
      </c>
      <c r="AU262" s="909">
        <v>2</v>
      </c>
      <c r="AV262" s="909">
        <v>3.3</v>
      </c>
      <c r="AW262" s="909">
        <v>14356</v>
      </c>
      <c r="AX262" s="909">
        <v>74715.401027665983</v>
      </c>
      <c r="AY262" s="909">
        <v>67352.647733737584</v>
      </c>
      <c r="AZ262" s="917">
        <v>0</v>
      </c>
      <c r="BA262" s="917">
        <v>0</v>
      </c>
      <c r="BB262" s="909">
        <v>0.6</v>
      </c>
      <c r="BC262" s="919">
        <v>0</v>
      </c>
      <c r="BD262" s="920">
        <v>0</v>
      </c>
      <c r="BE262" s="920">
        <v>0</v>
      </c>
      <c r="BF262" s="921">
        <v>1</v>
      </c>
      <c r="BG262" s="920">
        <v>1</v>
      </c>
      <c r="BH262" s="920">
        <v>0</v>
      </c>
      <c r="BI262" s="921">
        <v>0</v>
      </c>
      <c r="BJ262" s="920">
        <v>0</v>
      </c>
      <c r="BK262" s="920">
        <v>0</v>
      </c>
      <c r="BL262" s="920">
        <v>0</v>
      </c>
      <c r="BM262" s="921">
        <v>1</v>
      </c>
      <c r="BN262" s="958">
        <v>0</v>
      </c>
      <c r="BO262" s="959">
        <v>18</v>
      </c>
      <c r="BP262">
        <f t="shared" ca="1" si="303"/>
        <v>173.25</v>
      </c>
      <c r="BQ262">
        <f t="shared" ca="1" si="304"/>
        <v>294.14</v>
      </c>
      <c r="BR262">
        <f t="shared" ca="1" si="305"/>
        <v>99.660000000000011</v>
      </c>
      <c r="BS262">
        <f t="shared" ca="1" si="306"/>
        <v>135.5</v>
      </c>
      <c r="BT262">
        <f t="shared" ca="1" si="307"/>
        <v>63.2</v>
      </c>
      <c r="BU262">
        <f t="shared" ca="1" si="308"/>
        <v>12</v>
      </c>
      <c r="BV262">
        <f t="shared" ca="1" si="309"/>
        <v>4.3</v>
      </c>
      <c r="BW262" s="1018">
        <v>0</v>
      </c>
      <c r="BX262">
        <f t="shared" ca="1" si="274"/>
        <v>30.215260232440635</v>
      </c>
      <c r="BY262">
        <f t="shared" ca="1" si="275"/>
        <v>208.61436950146629</v>
      </c>
      <c r="BZ262">
        <f t="shared" ca="1" si="256"/>
        <v>69.539561057962871</v>
      </c>
      <c r="CA262">
        <f t="shared" ca="1" si="257"/>
        <v>23.999999990399999</v>
      </c>
      <c r="CB262">
        <f t="shared" ca="1" si="276"/>
        <v>9.0267175572519083</v>
      </c>
      <c r="CC262" s="1018">
        <f t="shared" si="258"/>
        <v>0</v>
      </c>
      <c r="CD262" s="1018">
        <f t="shared" ca="1" si="310"/>
        <v>341.39590833952172</v>
      </c>
      <c r="CE262" s="1018">
        <f t="shared" ca="1" si="314"/>
        <v>183.89923712295646</v>
      </c>
      <c r="CF262">
        <f t="shared" ca="1" si="260"/>
        <v>15.758854363874347</v>
      </c>
      <c r="CG262">
        <f t="shared" ca="1" si="261"/>
        <v>26237.862161676236</v>
      </c>
    </row>
    <row r="263" spans="4:85" x14ac:dyDescent="0.25">
      <c r="D263" s="1"/>
      <c r="F263" s="1"/>
      <c r="G263" s="3"/>
      <c r="H263" s="6"/>
      <c r="I263" s="3"/>
      <c r="J263" s="6"/>
      <c r="K263" s="8"/>
      <c r="L263" s="6"/>
      <c r="M263" s="1" t="s">
        <v>17</v>
      </c>
      <c r="N263" s="4"/>
      <c r="O263" s="1" t="s">
        <v>19</v>
      </c>
      <c r="P263" s="4"/>
      <c r="Q263" s="1" t="s">
        <v>17</v>
      </c>
      <c r="R263" s="4"/>
      <c r="S263" s="1"/>
      <c r="T263" s="77"/>
      <c r="U263" s="294"/>
      <c r="X263" s="176">
        <f t="shared" si="311"/>
        <v>0</v>
      </c>
      <c r="Y263" s="34">
        <f>X263/Calculation_sheet!M$67</f>
        <v>0</v>
      </c>
      <c r="Z263" s="176">
        <f ca="1">IF(AN263&gt;0,Y263*Calculation_sheet!C$87,0)</f>
        <v>0</v>
      </c>
      <c r="AA263" s="176">
        <f t="shared" ca="1" si="312"/>
        <v>0</v>
      </c>
      <c r="AB263" s="176">
        <f ca="1">IF(AP263&gt;0,AA263*Calculation_sheet!C$94,0)</f>
        <v>0</v>
      </c>
      <c r="AC263" s="176">
        <f t="shared" ca="1" si="302"/>
        <v>0</v>
      </c>
      <c r="AD263" s="958">
        <f ca="1">AC263*Calculation_sheet!C$99</f>
        <v>0</v>
      </c>
      <c r="AE263" s="176">
        <f t="shared" ca="1" si="302"/>
        <v>0</v>
      </c>
      <c r="AF263" s="176">
        <f t="shared" ca="1" si="313"/>
        <v>0</v>
      </c>
      <c r="AG263" s="958">
        <f ca="1">AF263*User_sheet!B$77/100</f>
        <v>0</v>
      </c>
      <c r="AH263" s="313"/>
      <c r="AI263" s="908">
        <v>202</v>
      </c>
      <c r="AJ263" s="313"/>
      <c r="AK263" s="1020">
        <f t="shared" ca="1" si="255"/>
        <v>341.39590833952172</v>
      </c>
      <c r="AL263" s="954">
        <f ca="1">AK263/'202'!I$24</f>
        <v>1.099822519698211</v>
      </c>
      <c r="AM263" s="954">
        <f ca="1">0.8*(AK263*30+'202'!D$17*0.34*30*1)</f>
        <v>11805.444200148522</v>
      </c>
      <c r="AN263" s="954">
        <f ca="1">IF(AM263&lt;User_sheet!B$50,Y263,0)</f>
        <v>0</v>
      </c>
      <c r="AO263" s="954">
        <f ca="1">20-(User_sheet!B$57/(AK263+'202'!D$17*1*0.34))</f>
        <v>8.4121259919826699</v>
      </c>
      <c r="AP263" s="954">
        <f ca="1">IF(AO263&lt;User_sheet!B$59,0,BC263*AA263)</f>
        <v>0</v>
      </c>
      <c r="AQ263" s="313"/>
      <c r="AR263" s="909">
        <v>0.32</v>
      </c>
      <c r="AS263" s="909">
        <v>2.1</v>
      </c>
      <c r="AT263" s="909">
        <v>7.9</v>
      </c>
      <c r="AU263" s="909">
        <v>2</v>
      </c>
      <c r="AV263" s="909">
        <v>3.3</v>
      </c>
      <c r="AW263" s="909">
        <v>14356</v>
      </c>
      <c r="AX263" s="909">
        <v>74715.401027665983</v>
      </c>
      <c r="AY263" s="909">
        <v>67352.647733737584</v>
      </c>
      <c r="AZ263" s="917">
        <v>0</v>
      </c>
      <c r="BA263" s="917">
        <v>0</v>
      </c>
      <c r="BB263" s="909">
        <v>0.6</v>
      </c>
      <c r="BC263" s="919">
        <v>0</v>
      </c>
      <c r="BD263" s="920">
        <v>0</v>
      </c>
      <c r="BE263" s="920">
        <v>0</v>
      </c>
      <c r="BF263" s="921">
        <v>1</v>
      </c>
      <c r="BG263" s="920">
        <v>0</v>
      </c>
      <c r="BH263" s="920">
        <v>1</v>
      </c>
      <c r="BI263" s="921">
        <v>0</v>
      </c>
      <c r="BJ263" s="920">
        <v>0</v>
      </c>
      <c r="BK263" s="920">
        <v>0</v>
      </c>
      <c r="BL263" s="920">
        <v>0</v>
      </c>
      <c r="BM263" s="921">
        <v>1</v>
      </c>
      <c r="BN263" s="958">
        <v>0</v>
      </c>
      <c r="BO263" s="959">
        <v>18</v>
      </c>
      <c r="BP263">
        <f t="shared" ca="1" si="303"/>
        <v>173.25</v>
      </c>
      <c r="BQ263">
        <f t="shared" ca="1" si="304"/>
        <v>294.14</v>
      </c>
      <c r="BR263">
        <f t="shared" ca="1" si="305"/>
        <v>99.660000000000011</v>
      </c>
      <c r="BS263">
        <f t="shared" ca="1" si="306"/>
        <v>135.5</v>
      </c>
      <c r="BT263">
        <f t="shared" ca="1" si="307"/>
        <v>63.2</v>
      </c>
      <c r="BU263">
        <f t="shared" ca="1" si="308"/>
        <v>12</v>
      </c>
      <c r="BV263">
        <f t="shared" ca="1" si="309"/>
        <v>4.3</v>
      </c>
      <c r="BW263" s="1018">
        <v>0</v>
      </c>
      <c r="BX263">
        <f t="shared" ca="1" si="274"/>
        <v>30.215260232440635</v>
      </c>
      <c r="BY263">
        <f t="shared" ca="1" si="275"/>
        <v>208.61436950146629</v>
      </c>
      <c r="BZ263">
        <f t="shared" ca="1" si="256"/>
        <v>69.539561057962871</v>
      </c>
      <c r="CA263">
        <f t="shared" ca="1" si="257"/>
        <v>23.999999990399999</v>
      </c>
      <c r="CB263">
        <f t="shared" ca="1" si="276"/>
        <v>9.0267175572519083</v>
      </c>
      <c r="CC263" s="1018">
        <f t="shared" si="258"/>
        <v>0</v>
      </c>
      <c r="CD263" s="1018">
        <f t="shared" ca="1" si="310"/>
        <v>341.39590833952172</v>
      </c>
      <c r="CE263" s="1018">
        <f t="shared" ca="1" si="314"/>
        <v>183.89923712295646</v>
      </c>
      <c r="CF263">
        <f t="shared" ca="1" si="260"/>
        <v>15.758854363874347</v>
      </c>
      <c r="CG263">
        <f t="shared" ca="1" si="261"/>
        <v>26237.862161676236</v>
      </c>
    </row>
    <row r="264" spans="4:85" s="14" customFormat="1" x14ac:dyDescent="0.25">
      <c r="D264" s="15"/>
      <c r="F264" s="15"/>
      <c r="H264" s="15"/>
      <c r="J264" s="15"/>
      <c r="K264" s="16"/>
      <c r="L264" s="15"/>
      <c r="M264" s="15"/>
      <c r="N264" s="15"/>
      <c r="O264" s="15"/>
      <c r="P264" s="15"/>
      <c r="Q264" s="15"/>
      <c r="R264" s="15"/>
      <c r="S264" s="15"/>
      <c r="T264" s="80"/>
      <c r="U264" s="269"/>
      <c r="V264" s="292"/>
      <c r="W264" s="292"/>
      <c r="X264" s="292"/>
      <c r="Y264" s="277"/>
      <c r="Z264" s="292"/>
      <c r="AA264" s="292"/>
      <c r="AB264" s="292"/>
      <c r="AC264" s="292"/>
      <c r="AD264" s="277"/>
      <c r="AE264" s="292"/>
      <c r="AF264" s="292"/>
      <c r="AG264" s="277"/>
      <c r="AH264" s="313"/>
      <c r="AI264" s="913"/>
      <c r="AJ264" s="313"/>
      <c r="AK264" s="1020">
        <f t="shared" si="255"/>
        <v>0</v>
      </c>
      <c r="AL264" s="955"/>
      <c r="AM264" s="955"/>
      <c r="AN264" s="941"/>
      <c r="AO264" s="941"/>
      <c r="AP264" s="941"/>
      <c r="AQ264" s="313"/>
      <c r="AR264" s="918"/>
      <c r="AS264" s="918"/>
      <c r="AT264" s="918"/>
      <c r="AU264" s="918"/>
      <c r="AV264" s="918"/>
      <c r="AW264" s="918"/>
      <c r="AX264" s="918"/>
      <c r="AY264" s="918"/>
      <c r="AZ264" s="918"/>
      <c r="BA264" s="918"/>
      <c r="BB264" s="918"/>
      <c r="BC264" s="45"/>
      <c r="BD264" s="277"/>
      <c r="BE264" s="277"/>
      <c r="BF264" s="49"/>
      <c r="BG264" s="918"/>
      <c r="BH264" s="918"/>
      <c r="BI264" s="49"/>
      <c r="BJ264" s="918"/>
      <c r="BK264" s="918"/>
      <c r="BL264" s="918"/>
      <c r="BM264" s="49"/>
      <c r="BN264" s="277"/>
      <c r="BO264" s="49"/>
      <c r="BW264" s="928"/>
      <c r="CC264" s="928"/>
      <c r="CD264" s="928"/>
      <c r="CE264" s="928"/>
    </row>
    <row r="265" spans="4:85" x14ac:dyDescent="0.25">
      <c r="D265" s="1"/>
      <c r="F265" s="1"/>
      <c r="G265" s="3"/>
      <c r="H265" s="6"/>
      <c r="I265" s="3"/>
      <c r="J265" s="6"/>
      <c r="K265" s="8"/>
      <c r="L265" s="6"/>
      <c r="M265" s="1"/>
      <c r="N265" s="1"/>
      <c r="O265" s="1"/>
      <c r="P265" s="1"/>
      <c r="Q265" s="1" t="s">
        <v>16</v>
      </c>
      <c r="R265" s="4"/>
      <c r="S265" s="1"/>
      <c r="T265" s="77"/>
      <c r="U265" s="22"/>
      <c r="W265" s="176">
        <f t="shared" ref="W265:W275" si="315">(V241-W241)+(V217-W217)</f>
        <v>0</v>
      </c>
      <c r="X265" s="176">
        <f>W265</f>
        <v>0</v>
      </c>
      <c r="Y265" s="34">
        <f>X265/Calculation_sheet!M$67</f>
        <v>0</v>
      </c>
      <c r="Z265" s="176">
        <f ca="1">IF(AN265&gt;0,Y265*Calculation_sheet!C$87,0)</f>
        <v>0</v>
      </c>
      <c r="AA265" s="176">
        <f ca="1">Y265-Z265</f>
        <v>0</v>
      </c>
      <c r="AB265" s="176">
        <f ca="1">IF(AP265&gt;0,AA265*Calculation_sheet!C$94,0)</f>
        <v>0</v>
      </c>
      <c r="AC265" s="176">
        <f t="shared" ref="AC265:AE275" ca="1" si="316">AA265-AB265</f>
        <v>0</v>
      </c>
      <c r="AD265" s="958">
        <f ca="1">AC265*Calculation_sheet!C$99</f>
        <v>0</v>
      </c>
      <c r="AE265" s="176">
        <f t="shared" ca="1" si="316"/>
        <v>0</v>
      </c>
      <c r="AF265" s="176">
        <f ca="1">Y265-AB265</f>
        <v>0</v>
      </c>
      <c r="AG265" s="958">
        <f ca="1">AF265*User_sheet!B$77/100</f>
        <v>0</v>
      </c>
      <c r="AH265" s="313"/>
      <c r="AI265" s="908">
        <v>202</v>
      </c>
      <c r="AJ265" s="313"/>
      <c r="AK265" s="1020">
        <f t="shared" ca="1" si="255"/>
        <v>128.95813976048714</v>
      </c>
      <c r="AL265" s="954">
        <f ca="1">AK265/'202'!I$24</f>
        <v>0.41544454031921374</v>
      </c>
      <c r="AM265" s="954">
        <f ca="1">0.8*(AK265*30+'202'!D$17*0.34*30*1)</f>
        <v>6706.9377542516922</v>
      </c>
      <c r="AN265" s="954">
        <f ca="1">IF(AM265&lt;User_sheet!B$50,Y265,0)</f>
        <v>0</v>
      </c>
      <c r="AO265" s="954">
        <f ca="1">20-(User_sheet!B$57/(AK265+'202'!D$17*1*0.34))</f>
        <v>-0.39678986334398658</v>
      </c>
      <c r="AP265" s="954">
        <f ca="1">IF(AO265&lt;User_sheet!B$59,0,BC265*AA265)</f>
        <v>0</v>
      </c>
      <c r="AQ265" s="313"/>
      <c r="AR265" s="909">
        <v>0.32</v>
      </c>
      <c r="AS265" s="909">
        <v>0.43</v>
      </c>
      <c r="AT265" s="909">
        <v>0.43</v>
      </c>
      <c r="AU265" s="909">
        <v>2</v>
      </c>
      <c r="AV265" s="909">
        <v>3.3</v>
      </c>
      <c r="AW265" s="909">
        <v>14356</v>
      </c>
      <c r="AX265" s="909">
        <v>74834</v>
      </c>
      <c r="AY265" s="909">
        <v>69246</v>
      </c>
      <c r="AZ265" s="917">
        <v>0</v>
      </c>
      <c r="BA265" s="917">
        <v>0</v>
      </c>
      <c r="BB265" s="909">
        <v>0.6</v>
      </c>
      <c r="BC265" s="919">
        <v>1</v>
      </c>
      <c r="BD265" s="920">
        <v>0</v>
      </c>
      <c r="BE265" s="920">
        <v>0</v>
      </c>
      <c r="BF265" s="921">
        <v>0</v>
      </c>
      <c r="BG265" s="920">
        <v>1</v>
      </c>
      <c r="BH265" s="920">
        <v>0</v>
      </c>
      <c r="BI265" s="921">
        <v>0</v>
      </c>
      <c r="BJ265" s="920">
        <v>1</v>
      </c>
      <c r="BK265" s="920">
        <v>0</v>
      </c>
      <c r="BL265" s="920">
        <v>0</v>
      </c>
      <c r="BM265" s="921">
        <v>0</v>
      </c>
      <c r="BN265" s="958">
        <v>0.01</v>
      </c>
      <c r="BO265" s="959">
        <v>2.5</v>
      </c>
      <c r="BP265">
        <f t="shared" ref="BP265:BP275" ca="1" si="317">INDIRECT("'"&amp;AI265&amp;"'!"&amp;"B2")</f>
        <v>173.25</v>
      </c>
      <c r="BQ265">
        <f t="shared" ref="BQ265:BQ275" ca="1" si="318">INDIRECT("'"&amp;AI265&amp;"'!"&amp;"C12")+INDIRECT("'"&amp;AI265&amp;"'!"&amp;"C13")+INDIRECT("'"&amp;AI265&amp;"'!"&amp;"C14")+INDIRECT("'"&amp;AI265&amp;"'!"&amp;"C15")+INDIRECT("'"&amp;AI265&amp;"'!"&amp;"C17")</f>
        <v>294.14</v>
      </c>
      <c r="BR265">
        <f t="shared" ref="BR265:BR275" ca="1" si="319">INDIRECT("'"&amp;AI265&amp;"'!"&amp;"G5")</f>
        <v>99.660000000000011</v>
      </c>
      <c r="BS265">
        <f t="shared" ref="BS265:BS275" ca="1" si="320">INDIRECT("'"&amp;AI265&amp;"'!"&amp;"G4")</f>
        <v>135.5</v>
      </c>
      <c r="BT265">
        <f t="shared" ref="BT265:BT275" ca="1" si="321">INDIRECT("'"&amp;AI265&amp;"'!"&amp;"G6")</f>
        <v>63.2</v>
      </c>
      <c r="BU265">
        <f t="shared" ref="BU265:BU275" ca="1" si="322">INDIRECT("'"&amp;AI265&amp;"'!"&amp;"G2")</f>
        <v>12</v>
      </c>
      <c r="BV265">
        <f t="shared" ref="BV265:BV275" ca="1" si="323">INDIRECT("'"&amp;AI265&amp;"'!"&amp;"G3")</f>
        <v>4.3</v>
      </c>
      <c r="BW265" s="1018">
        <v>0</v>
      </c>
      <c r="BX265">
        <f t="shared" ca="1" si="274"/>
        <v>30.215260232440635</v>
      </c>
      <c r="BY265">
        <f t="shared" ca="1" si="275"/>
        <v>54.223538900608013</v>
      </c>
      <c r="BZ265">
        <f t="shared" ca="1" si="256"/>
        <v>8.3460230797865727</v>
      </c>
      <c r="CA265">
        <f t="shared" ca="1" si="257"/>
        <v>23.999999990399999</v>
      </c>
      <c r="CB265">
        <f t="shared" ca="1" si="276"/>
        <v>9.0267175572519083</v>
      </c>
      <c r="CC265" s="1018">
        <f t="shared" si="258"/>
        <v>0</v>
      </c>
      <c r="CD265" s="1018">
        <f t="shared" ref="CD265:CD275" ca="1" si="324">SUM(BX265:CC265)+(BR265+BS265+BT265+BU265+BV265)*BN265</f>
        <v>128.95813976048714</v>
      </c>
      <c r="CE265" s="1018">
        <f ca="1">0.34*BO265*(1/25)^0.66*(BR265+BS265+BU265+BV265)+0.6*BQ265*0.34</f>
        <v>85.546120711521723</v>
      </c>
      <c r="CF265">
        <f t="shared" ca="1" si="260"/>
        <v>6.4351278141602659</v>
      </c>
      <c r="CG265">
        <f t="shared" ca="1" si="261"/>
        <v>10714.230405464277</v>
      </c>
    </row>
    <row r="266" spans="4:85" x14ac:dyDescent="0.25">
      <c r="D266" s="1"/>
      <c r="F266" s="1"/>
      <c r="G266" s="3"/>
      <c r="H266" s="6"/>
      <c r="I266" s="3"/>
      <c r="J266" s="6"/>
      <c r="K266" s="8"/>
      <c r="L266" s="6"/>
      <c r="M266" s="1"/>
      <c r="N266" s="1"/>
      <c r="O266" s="1" t="s">
        <v>18</v>
      </c>
      <c r="P266" s="4"/>
      <c r="Q266" s="1" t="s">
        <v>7</v>
      </c>
      <c r="R266" s="4"/>
      <c r="S266" s="1"/>
      <c r="T266" s="77"/>
      <c r="U266" s="22"/>
      <c r="W266" s="176">
        <f t="shared" si="315"/>
        <v>0</v>
      </c>
      <c r="X266" s="176">
        <f t="shared" ref="X266:X275" si="325">W266</f>
        <v>0</v>
      </c>
      <c r="Y266" s="34">
        <f>X266/Calculation_sheet!M$67</f>
        <v>0</v>
      </c>
      <c r="Z266" s="176">
        <f ca="1">IF(AN266&gt;0,Y266*Calculation_sheet!C$87,0)</f>
        <v>0</v>
      </c>
      <c r="AA266" s="176">
        <f t="shared" ref="AA266:AA329" ca="1" si="326">Y266-Z266</f>
        <v>0</v>
      </c>
      <c r="AB266" s="176">
        <f ca="1">IF(AP266&gt;0,AA266*Calculation_sheet!C$94,0)</f>
        <v>0</v>
      </c>
      <c r="AC266" s="176">
        <f t="shared" ca="1" si="316"/>
        <v>0</v>
      </c>
      <c r="AD266" s="958">
        <f ca="1">AC266*Calculation_sheet!C$99</f>
        <v>0</v>
      </c>
      <c r="AE266" s="176">
        <f t="shared" ca="1" si="316"/>
        <v>0</v>
      </c>
      <c r="AF266" s="176">
        <f t="shared" ref="AF266:AF275" ca="1" si="327">Y266-AB266</f>
        <v>0</v>
      </c>
      <c r="AG266" s="958">
        <f ca="1">AF266*User_sheet!B$77/100</f>
        <v>0</v>
      </c>
      <c r="AH266" s="313"/>
      <c r="AI266" s="908">
        <v>202</v>
      </c>
      <c r="AJ266" s="313"/>
      <c r="AK266" s="1020">
        <f t="shared" ca="1" si="255"/>
        <v>128.95813976048714</v>
      </c>
      <c r="AL266" s="954">
        <f ca="1">AK266/'202'!I$24</f>
        <v>0.41544454031921374</v>
      </c>
      <c r="AM266" s="954">
        <f ca="1">0.8*(AK266*30+'202'!D$17*0.34*30*1)</f>
        <v>6706.9377542516922</v>
      </c>
      <c r="AN266" s="954">
        <f ca="1">IF(AM266&lt;User_sheet!B$50,Y266,0)</f>
        <v>0</v>
      </c>
      <c r="AO266" s="954">
        <f ca="1">20-(User_sheet!B$57/(AK266+'202'!D$17*1*0.34))</f>
        <v>-0.39678986334398658</v>
      </c>
      <c r="AP266" s="954">
        <f ca="1">IF(AO266&lt;User_sheet!B$59,0,BC266*AA266)</f>
        <v>0</v>
      </c>
      <c r="AQ266" s="313"/>
      <c r="AR266" s="909">
        <v>0.32</v>
      </c>
      <c r="AS266" s="909">
        <v>0.43</v>
      </c>
      <c r="AT266" s="909">
        <v>0.43</v>
      </c>
      <c r="AU266" s="909">
        <v>2</v>
      </c>
      <c r="AV266" s="909">
        <v>3.3</v>
      </c>
      <c r="AW266" s="909">
        <v>14356</v>
      </c>
      <c r="AX266" s="909">
        <v>74834</v>
      </c>
      <c r="AY266" s="909">
        <v>69246</v>
      </c>
      <c r="AZ266" s="917">
        <v>0</v>
      </c>
      <c r="BA266" s="917">
        <v>0</v>
      </c>
      <c r="BB266" s="909">
        <v>0.6</v>
      </c>
      <c r="BC266" s="919">
        <v>1</v>
      </c>
      <c r="BD266" s="920">
        <v>0</v>
      </c>
      <c r="BE266" s="920">
        <v>0</v>
      </c>
      <c r="BF266" s="921">
        <v>0</v>
      </c>
      <c r="BG266" s="920">
        <v>1</v>
      </c>
      <c r="BH266" s="920">
        <v>0</v>
      </c>
      <c r="BI266" s="921">
        <v>0</v>
      </c>
      <c r="BJ266" s="920">
        <v>0</v>
      </c>
      <c r="BK266" s="920">
        <v>0</v>
      </c>
      <c r="BL266" s="920">
        <v>1</v>
      </c>
      <c r="BM266" s="921">
        <v>0</v>
      </c>
      <c r="BN266" s="958">
        <v>0.01</v>
      </c>
      <c r="BO266" s="959">
        <v>2.5</v>
      </c>
      <c r="BP266">
        <f t="shared" ca="1" si="317"/>
        <v>173.25</v>
      </c>
      <c r="BQ266">
        <f t="shared" ca="1" si="318"/>
        <v>294.14</v>
      </c>
      <c r="BR266">
        <f t="shared" ca="1" si="319"/>
        <v>99.660000000000011</v>
      </c>
      <c r="BS266">
        <f t="shared" ca="1" si="320"/>
        <v>135.5</v>
      </c>
      <c r="BT266">
        <f t="shared" ca="1" si="321"/>
        <v>63.2</v>
      </c>
      <c r="BU266">
        <f t="shared" ca="1" si="322"/>
        <v>12</v>
      </c>
      <c r="BV266">
        <f t="shared" ca="1" si="323"/>
        <v>4.3</v>
      </c>
      <c r="BW266" s="1018">
        <v>0</v>
      </c>
      <c r="BX266">
        <f t="shared" ca="1" si="274"/>
        <v>30.215260232440635</v>
      </c>
      <c r="BY266">
        <f t="shared" ca="1" si="275"/>
        <v>54.223538900608013</v>
      </c>
      <c r="BZ266">
        <f t="shared" ca="1" si="256"/>
        <v>8.3460230797865727</v>
      </c>
      <c r="CA266">
        <f t="shared" ca="1" si="257"/>
        <v>23.999999990399999</v>
      </c>
      <c r="CB266">
        <f t="shared" ca="1" si="276"/>
        <v>9.0267175572519083</v>
      </c>
      <c r="CC266" s="1018">
        <f t="shared" si="258"/>
        <v>0</v>
      </c>
      <c r="CD266" s="1018">
        <f t="shared" ca="1" si="324"/>
        <v>128.95813976048714</v>
      </c>
      <c r="CE266" s="1018">
        <f t="shared" ref="CE266:CE275" ca="1" si="328">0.34*BO266*(1/25)^0.66*(BR266+BS266+BU266+BV266)+0.6*BQ266*0.34</f>
        <v>85.546120711521723</v>
      </c>
      <c r="CF266">
        <f t="shared" ca="1" si="260"/>
        <v>6.4351278141602659</v>
      </c>
      <c r="CG266">
        <f t="shared" ca="1" si="261"/>
        <v>10714.230405464277</v>
      </c>
    </row>
    <row r="267" spans="4:85" x14ac:dyDescent="0.25">
      <c r="D267" s="1"/>
      <c r="F267" s="1"/>
      <c r="G267" s="3"/>
      <c r="H267" s="6"/>
      <c r="I267" s="3"/>
      <c r="J267" s="6"/>
      <c r="K267" s="8"/>
      <c r="L267" s="6"/>
      <c r="M267" s="1"/>
      <c r="N267" s="1"/>
      <c r="O267" s="1"/>
      <c r="P267" s="1"/>
      <c r="Q267" s="1" t="s">
        <v>16</v>
      </c>
      <c r="R267" s="4"/>
      <c r="S267" s="1"/>
      <c r="T267" s="77"/>
      <c r="U267" s="22"/>
      <c r="W267" s="176">
        <f t="shared" si="315"/>
        <v>0</v>
      </c>
      <c r="X267" s="176">
        <f t="shared" si="325"/>
        <v>0</v>
      </c>
      <c r="Y267" s="34">
        <f>X267/Calculation_sheet!M$67</f>
        <v>0</v>
      </c>
      <c r="Z267" s="176">
        <f ca="1">IF(AN267&gt;0,Y267*Calculation_sheet!C$87,0)</f>
        <v>0</v>
      </c>
      <c r="AA267" s="176">
        <f t="shared" ca="1" si="326"/>
        <v>0</v>
      </c>
      <c r="AB267" s="176">
        <f ca="1">IF(AP267&gt;0,AA267*Calculation_sheet!C$94,0)</f>
        <v>0</v>
      </c>
      <c r="AC267" s="176">
        <f t="shared" ca="1" si="316"/>
        <v>0</v>
      </c>
      <c r="AD267" s="958">
        <f ca="1">AC267*Calculation_sheet!C$99</f>
        <v>0</v>
      </c>
      <c r="AE267" s="176">
        <f t="shared" ca="1" si="316"/>
        <v>0</v>
      </c>
      <c r="AF267" s="176">
        <f t="shared" ca="1" si="327"/>
        <v>0</v>
      </c>
      <c r="AG267" s="958">
        <f ca="1">AF267*User_sheet!B$77/100</f>
        <v>0</v>
      </c>
      <c r="AH267" s="313"/>
      <c r="AI267" s="908">
        <v>202</v>
      </c>
      <c r="AJ267" s="313"/>
      <c r="AK267" s="1020">
        <f t="shared" ca="1" si="255"/>
        <v>128.95813976048714</v>
      </c>
      <c r="AL267" s="954">
        <f ca="1">AK267/'202'!I$24</f>
        <v>0.41544454031921374</v>
      </c>
      <c r="AM267" s="954">
        <f ca="1">0.8*(AK267*30+'202'!D$17*0.34*30*1)</f>
        <v>6706.9377542516922</v>
      </c>
      <c r="AN267" s="954">
        <f ca="1">IF(AM267&lt;User_sheet!B$50,Y267,0)</f>
        <v>0</v>
      </c>
      <c r="AO267" s="954">
        <f ca="1">20-(User_sheet!B$57/(AK267+'202'!D$17*1*0.34))</f>
        <v>-0.39678986334398658</v>
      </c>
      <c r="AP267" s="954">
        <f ca="1">IF(AO267&lt;User_sheet!B$59,0,BC267*AA267)</f>
        <v>0</v>
      </c>
      <c r="AQ267" s="313"/>
      <c r="AR267" s="909">
        <v>0.32</v>
      </c>
      <c r="AS267" s="909">
        <v>0.43</v>
      </c>
      <c r="AT267" s="909">
        <v>0.43</v>
      </c>
      <c r="AU267" s="909">
        <v>2</v>
      </c>
      <c r="AV267" s="909">
        <v>3.3</v>
      </c>
      <c r="AW267" s="909">
        <v>14356</v>
      </c>
      <c r="AX267" s="909">
        <v>74834</v>
      </c>
      <c r="AY267" s="909">
        <v>69246</v>
      </c>
      <c r="AZ267" s="917">
        <v>0</v>
      </c>
      <c r="BA267" s="917">
        <v>0</v>
      </c>
      <c r="BB267" s="909">
        <v>0.6</v>
      </c>
      <c r="BC267" s="919">
        <v>1</v>
      </c>
      <c r="BD267" s="920">
        <v>0</v>
      </c>
      <c r="BE267" s="920">
        <v>0</v>
      </c>
      <c r="BF267" s="921">
        <v>0</v>
      </c>
      <c r="BG267" s="920">
        <v>0</v>
      </c>
      <c r="BH267" s="920">
        <v>1</v>
      </c>
      <c r="BI267" s="921">
        <v>0</v>
      </c>
      <c r="BJ267" s="920">
        <v>1</v>
      </c>
      <c r="BK267" s="920">
        <v>0</v>
      </c>
      <c r="BL267" s="920">
        <v>0</v>
      </c>
      <c r="BM267" s="921">
        <v>0</v>
      </c>
      <c r="BN267" s="958">
        <v>0.01</v>
      </c>
      <c r="BO267" s="959">
        <v>2.5</v>
      </c>
      <c r="BP267">
        <f t="shared" ca="1" si="317"/>
        <v>173.25</v>
      </c>
      <c r="BQ267">
        <f t="shared" ca="1" si="318"/>
        <v>294.14</v>
      </c>
      <c r="BR267">
        <f t="shared" ca="1" si="319"/>
        <v>99.660000000000011</v>
      </c>
      <c r="BS267">
        <f t="shared" ca="1" si="320"/>
        <v>135.5</v>
      </c>
      <c r="BT267">
        <f t="shared" ca="1" si="321"/>
        <v>63.2</v>
      </c>
      <c r="BU267">
        <f t="shared" ca="1" si="322"/>
        <v>12</v>
      </c>
      <c r="BV267">
        <f t="shared" ca="1" si="323"/>
        <v>4.3</v>
      </c>
      <c r="BW267" s="1018">
        <v>0</v>
      </c>
      <c r="BX267">
        <f t="shared" ca="1" si="274"/>
        <v>30.215260232440635</v>
      </c>
      <c r="BY267">
        <f t="shared" ca="1" si="275"/>
        <v>54.223538900608013</v>
      </c>
      <c r="BZ267">
        <f t="shared" ca="1" si="256"/>
        <v>8.3460230797865727</v>
      </c>
      <c r="CA267">
        <f t="shared" ca="1" si="257"/>
        <v>23.999999990399999</v>
      </c>
      <c r="CB267">
        <f t="shared" ca="1" si="276"/>
        <v>9.0267175572519083</v>
      </c>
      <c r="CC267" s="1018">
        <f t="shared" si="258"/>
        <v>0</v>
      </c>
      <c r="CD267" s="1018">
        <f t="shared" ca="1" si="324"/>
        <v>128.95813976048714</v>
      </c>
      <c r="CE267" s="1018">
        <f t="shared" ca="1" si="328"/>
        <v>85.546120711521723</v>
      </c>
      <c r="CF267">
        <f t="shared" ca="1" si="260"/>
        <v>6.4351278141602659</v>
      </c>
      <c r="CG267">
        <f t="shared" ca="1" si="261"/>
        <v>10714.230405464277</v>
      </c>
    </row>
    <row r="268" spans="4:85" x14ac:dyDescent="0.25">
      <c r="D268" s="1"/>
      <c r="F268" s="1"/>
      <c r="G268" s="3"/>
      <c r="H268" s="6"/>
      <c r="I268" s="3"/>
      <c r="J268" s="6"/>
      <c r="K268" s="8"/>
      <c r="L268" s="6"/>
      <c r="M268" s="1" t="s">
        <v>16</v>
      </c>
      <c r="N268" s="4"/>
      <c r="O268" s="1" t="s">
        <v>19</v>
      </c>
      <c r="P268" s="4"/>
      <c r="Q268" s="1" t="s">
        <v>7</v>
      </c>
      <c r="R268" s="4"/>
      <c r="S268" s="1"/>
      <c r="T268" s="77"/>
      <c r="U268" s="22"/>
      <c r="W268" s="176">
        <f t="shared" si="315"/>
        <v>0</v>
      </c>
      <c r="X268" s="176">
        <f t="shared" si="325"/>
        <v>0</v>
      </c>
      <c r="Y268" s="34">
        <f>X268/Calculation_sheet!M$67</f>
        <v>0</v>
      </c>
      <c r="Z268" s="176">
        <f ca="1">IF(AN268&gt;0,Y268*Calculation_sheet!C$87,0)</f>
        <v>0</v>
      </c>
      <c r="AA268" s="176">
        <f t="shared" ca="1" si="326"/>
        <v>0</v>
      </c>
      <c r="AB268" s="176">
        <f ca="1">IF(AP268&gt;0,AA268*Calculation_sheet!C$94,0)</f>
        <v>0</v>
      </c>
      <c r="AC268" s="176">
        <f t="shared" ca="1" si="316"/>
        <v>0</v>
      </c>
      <c r="AD268" s="958">
        <f ca="1">AC268*Calculation_sheet!C$99</f>
        <v>0</v>
      </c>
      <c r="AE268" s="176">
        <f t="shared" ca="1" si="316"/>
        <v>0</v>
      </c>
      <c r="AF268" s="176">
        <f t="shared" ca="1" si="327"/>
        <v>0</v>
      </c>
      <c r="AG268" s="958">
        <f ca="1">AF268*User_sheet!B$77/100</f>
        <v>0</v>
      </c>
      <c r="AH268" s="313"/>
      <c r="AI268" s="908">
        <v>202</v>
      </c>
      <c r="AJ268" s="313"/>
      <c r="AK268" s="1020">
        <f t="shared" ca="1" si="255"/>
        <v>128.95813976048714</v>
      </c>
      <c r="AL268" s="954">
        <f ca="1">AK268/'202'!I$24</f>
        <v>0.41544454031921374</v>
      </c>
      <c r="AM268" s="954">
        <f ca="1">0.8*(AK268*30+'202'!D$17*0.34*30*1)</f>
        <v>6706.9377542516922</v>
      </c>
      <c r="AN268" s="954">
        <f ca="1">IF(AM268&lt;User_sheet!B$50,Y268,0)</f>
        <v>0</v>
      </c>
      <c r="AO268" s="954">
        <f ca="1">20-(User_sheet!B$57/(AK268+'202'!D$17*1*0.34))</f>
        <v>-0.39678986334398658</v>
      </c>
      <c r="AP268" s="954">
        <f ca="1">IF(AO268&lt;User_sheet!B$59,0,BC268*AA268)</f>
        <v>0</v>
      </c>
      <c r="AQ268" s="313"/>
      <c r="AR268" s="909">
        <v>0.32</v>
      </c>
      <c r="AS268" s="909">
        <v>0.43</v>
      </c>
      <c r="AT268" s="909">
        <v>0.43</v>
      </c>
      <c r="AU268" s="909">
        <v>2</v>
      </c>
      <c r="AV268" s="909">
        <v>3.3</v>
      </c>
      <c r="AW268" s="909">
        <v>14356</v>
      </c>
      <c r="AX268" s="909">
        <v>74834</v>
      </c>
      <c r="AY268" s="909">
        <v>69246</v>
      </c>
      <c r="AZ268" s="917">
        <v>0</v>
      </c>
      <c r="BA268" s="917">
        <v>0</v>
      </c>
      <c r="BB268" s="909">
        <v>0.6</v>
      </c>
      <c r="BC268" s="919">
        <v>1</v>
      </c>
      <c r="BD268" s="920">
        <v>0</v>
      </c>
      <c r="BE268" s="920">
        <v>0</v>
      </c>
      <c r="BF268" s="921">
        <v>0</v>
      </c>
      <c r="BG268" s="920">
        <v>0</v>
      </c>
      <c r="BH268" s="920">
        <v>1</v>
      </c>
      <c r="BI268" s="921">
        <v>0</v>
      </c>
      <c r="BJ268" s="920">
        <v>0</v>
      </c>
      <c r="BK268" s="920">
        <v>0</v>
      </c>
      <c r="BL268" s="920">
        <v>1</v>
      </c>
      <c r="BM268" s="921">
        <v>0</v>
      </c>
      <c r="BN268" s="958">
        <v>0.01</v>
      </c>
      <c r="BO268" s="959">
        <v>2.5</v>
      </c>
      <c r="BP268">
        <f t="shared" ca="1" si="317"/>
        <v>173.25</v>
      </c>
      <c r="BQ268">
        <f t="shared" ca="1" si="318"/>
        <v>294.14</v>
      </c>
      <c r="BR268">
        <f t="shared" ca="1" si="319"/>
        <v>99.660000000000011</v>
      </c>
      <c r="BS268">
        <f t="shared" ca="1" si="320"/>
        <v>135.5</v>
      </c>
      <c r="BT268">
        <f t="shared" ca="1" si="321"/>
        <v>63.2</v>
      </c>
      <c r="BU268">
        <f t="shared" ca="1" si="322"/>
        <v>12</v>
      </c>
      <c r="BV268">
        <f t="shared" ca="1" si="323"/>
        <v>4.3</v>
      </c>
      <c r="BW268" s="1018">
        <v>0</v>
      </c>
      <c r="BX268">
        <f t="shared" ca="1" si="274"/>
        <v>30.215260232440635</v>
      </c>
      <c r="BY268">
        <f t="shared" ca="1" si="275"/>
        <v>54.223538900608013</v>
      </c>
      <c r="BZ268">
        <f t="shared" ca="1" si="256"/>
        <v>8.3460230797865727</v>
      </c>
      <c r="CA268">
        <f t="shared" ca="1" si="257"/>
        <v>23.999999990399999</v>
      </c>
      <c r="CB268">
        <f t="shared" ca="1" si="276"/>
        <v>9.0267175572519083</v>
      </c>
      <c r="CC268" s="1018">
        <f t="shared" si="258"/>
        <v>0</v>
      </c>
      <c r="CD268" s="1018">
        <f t="shared" ca="1" si="324"/>
        <v>128.95813976048714</v>
      </c>
      <c r="CE268" s="1018">
        <f t="shared" ca="1" si="328"/>
        <v>85.546120711521723</v>
      </c>
      <c r="CF268">
        <f t="shared" ca="1" si="260"/>
        <v>6.4351278141602659</v>
      </c>
      <c r="CG268">
        <f t="shared" ca="1" si="261"/>
        <v>10714.230405464277</v>
      </c>
    </row>
    <row r="269" spans="4:85" x14ac:dyDescent="0.25">
      <c r="D269" s="1"/>
      <c r="F269" s="1"/>
      <c r="G269" s="3"/>
      <c r="H269" s="6"/>
      <c r="I269" s="3"/>
      <c r="J269" s="6"/>
      <c r="K269" s="8"/>
      <c r="L269" s="6"/>
      <c r="M269" s="1"/>
      <c r="N269" s="1"/>
      <c r="O269" s="1"/>
      <c r="P269" s="1"/>
      <c r="Q269" s="1" t="s">
        <v>22</v>
      </c>
      <c r="R269" s="4"/>
      <c r="S269" s="1"/>
      <c r="T269" s="77"/>
      <c r="U269" s="22"/>
      <c r="W269" s="176">
        <f t="shared" si="315"/>
        <v>0</v>
      </c>
      <c r="X269" s="176">
        <f t="shared" si="325"/>
        <v>0</v>
      </c>
      <c r="Y269" s="34">
        <f>X269/Calculation_sheet!M$67</f>
        <v>0</v>
      </c>
      <c r="Z269" s="176">
        <f ca="1">IF(AN269&gt;0,Y269*Calculation_sheet!C$87,0)</f>
        <v>0</v>
      </c>
      <c r="AA269" s="176">
        <f t="shared" ca="1" si="326"/>
        <v>0</v>
      </c>
      <c r="AB269" s="176">
        <f ca="1">IF(AP269&gt;0,AA269*Calculation_sheet!C$94,0)</f>
        <v>0</v>
      </c>
      <c r="AC269" s="176">
        <f t="shared" ca="1" si="316"/>
        <v>0</v>
      </c>
      <c r="AD269" s="958">
        <f ca="1">AC269*Calculation_sheet!C$99</f>
        <v>0</v>
      </c>
      <c r="AE269" s="176">
        <f t="shared" ca="1" si="316"/>
        <v>0</v>
      </c>
      <c r="AF269" s="176">
        <f t="shared" ca="1" si="327"/>
        <v>0</v>
      </c>
      <c r="AG269" s="958">
        <f ca="1">AF269*User_sheet!B$77/100</f>
        <v>0</v>
      </c>
      <c r="AH269" s="313"/>
      <c r="AI269" s="908">
        <v>202</v>
      </c>
      <c r="AJ269" s="313"/>
      <c r="AK269" s="1020">
        <f t="shared" ca="1" si="255"/>
        <v>128.95813976048714</v>
      </c>
      <c r="AL269" s="954">
        <f ca="1">AK269/'202'!I$24</f>
        <v>0.41544454031921374</v>
      </c>
      <c r="AM269" s="954">
        <f ca="1">0.8*(AK269*30+'202'!D$17*0.34*30*1)</f>
        <v>6706.9377542516922</v>
      </c>
      <c r="AN269" s="954">
        <f ca="1">IF(AM269&lt;User_sheet!B$50,Y269,0)</f>
        <v>0</v>
      </c>
      <c r="AO269" s="954">
        <f ca="1">20-(User_sheet!B$57/(AK269+'202'!D$17*1*0.34))</f>
        <v>-0.39678986334398658</v>
      </c>
      <c r="AP269" s="954">
        <f ca="1">IF(AO269&lt;User_sheet!B$59,0,BC269*AA269)</f>
        <v>0</v>
      </c>
      <c r="AQ269" s="313"/>
      <c r="AR269" s="909">
        <v>0.32</v>
      </c>
      <c r="AS269" s="909">
        <v>0.43</v>
      </c>
      <c r="AT269" s="909">
        <v>0.43</v>
      </c>
      <c r="AU269" s="909">
        <v>2</v>
      </c>
      <c r="AV269" s="909">
        <v>3.3</v>
      </c>
      <c r="AW269" s="909">
        <v>14356</v>
      </c>
      <c r="AX269" s="909">
        <v>74834</v>
      </c>
      <c r="AY269" s="909">
        <v>69246</v>
      </c>
      <c r="AZ269" s="917">
        <v>0</v>
      </c>
      <c r="BA269" s="917">
        <v>0</v>
      </c>
      <c r="BB269" s="909">
        <v>0.6</v>
      </c>
      <c r="BC269" s="919">
        <v>0</v>
      </c>
      <c r="BD269" s="920">
        <v>1</v>
      </c>
      <c r="BE269" s="920">
        <v>0</v>
      </c>
      <c r="BF269" s="921">
        <v>0</v>
      </c>
      <c r="BG269" s="920">
        <v>1</v>
      </c>
      <c r="BH269" s="920">
        <v>0</v>
      </c>
      <c r="BI269" s="921">
        <v>0</v>
      </c>
      <c r="BJ269" s="920">
        <v>0</v>
      </c>
      <c r="BK269" s="920">
        <v>1</v>
      </c>
      <c r="BL269" s="920">
        <v>0</v>
      </c>
      <c r="BM269" s="921">
        <v>0</v>
      </c>
      <c r="BN269" s="958">
        <v>0.01</v>
      </c>
      <c r="BO269" s="959">
        <v>2.5</v>
      </c>
      <c r="BP269">
        <f t="shared" ca="1" si="317"/>
        <v>173.25</v>
      </c>
      <c r="BQ269">
        <f t="shared" ca="1" si="318"/>
        <v>294.14</v>
      </c>
      <c r="BR269">
        <f t="shared" ca="1" si="319"/>
        <v>99.660000000000011</v>
      </c>
      <c r="BS269">
        <f t="shared" ca="1" si="320"/>
        <v>135.5</v>
      </c>
      <c r="BT269">
        <f t="shared" ca="1" si="321"/>
        <v>63.2</v>
      </c>
      <c r="BU269">
        <f t="shared" ca="1" si="322"/>
        <v>12</v>
      </c>
      <c r="BV269">
        <f t="shared" ca="1" si="323"/>
        <v>4.3</v>
      </c>
      <c r="BW269" s="1018">
        <v>0</v>
      </c>
      <c r="BX269">
        <f t="shared" ca="1" si="274"/>
        <v>30.215260232440635</v>
      </c>
      <c r="BY269">
        <f t="shared" ca="1" si="275"/>
        <v>54.223538900608013</v>
      </c>
      <c r="BZ269">
        <f t="shared" ca="1" si="256"/>
        <v>8.3460230797865727</v>
      </c>
      <c r="CA269">
        <f t="shared" ca="1" si="257"/>
        <v>23.999999990399999</v>
      </c>
      <c r="CB269">
        <f t="shared" ca="1" si="276"/>
        <v>9.0267175572519083</v>
      </c>
      <c r="CC269" s="1018">
        <f t="shared" si="258"/>
        <v>0</v>
      </c>
      <c r="CD269" s="1018">
        <f t="shared" ca="1" si="324"/>
        <v>128.95813976048714</v>
      </c>
      <c r="CE269" s="1018">
        <f t="shared" ca="1" si="328"/>
        <v>85.546120711521723</v>
      </c>
      <c r="CF269">
        <f t="shared" ca="1" si="260"/>
        <v>6.4351278141602659</v>
      </c>
      <c r="CG269">
        <f t="shared" ca="1" si="261"/>
        <v>10714.230405464277</v>
      </c>
    </row>
    <row r="270" spans="4:85" x14ac:dyDescent="0.25">
      <c r="D270" s="1"/>
      <c r="F270" s="1"/>
      <c r="G270" s="3"/>
      <c r="H270" s="6"/>
      <c r="I270" s="3"/>
      <c r="J270" s="3" t="s">
        <v>143</v>
      </c>
      <c r="K270" s="8"/>
      <c r="L270" s="6"/>
      <c r="M270" s="1"/>
      <c r="N270" s="1"/>
      <c r="O270" s="1" t="s">
        <v>18</v>
      </c>
      <c r="P270" s="4"/>
      <c r="Q270" s="1" t="s">
        <v>7</v>
      </c>
      <c r="R270" s="4"/>
      <c r="S270" s="1"/>
      <c r="T270" s="77"/>
      <c r="U270" s="22"/>
      <c r="W270" s="176">
        <f t="shared" si="315"/>
        <v>0</v>
      </c>
      <c r="X270" s="176">
        <f t="shared" si="325"/>
        <v>0</v>
      </c>
      <c r="Y270" s="34">
        <f>X270/Calculation_sheet!M$67</f>
        <v>0</v>
      </c>
      <c r="Z270" s="176">
        <f ca="1">IF(AN270&gt;0,Y270*Calculation_sheet!C$87,0)</f>
        <v>0</v>
      </c>
      <c r="AA270" s="176">
        <f t="shared" ca="1" si="326"/>
        <v>0</v>
      </c>
      <c r="AB270" s="176">
        <f ca="1">IF(AP270&gt;0,AA270*Calculation_sheet!C$94,0)</f>
        <v>0</v>
      </c>
      <c r="AC270" s="176">
        <f t="shared" ca="1" si="316"/>
        <v>0</v>
      </c>
      <c r="AD270" s="958">
        <f ca="1">AC270*Calculation_sheet!C$99</f>
        <v>0</v>
      </c>
      <c r="AE270" s="176">
        <f t="shared" ca="1" si="316"/>
        <v>0</v>
      </c>
      <c r="AF270" s="176">
        <f t="shared" ca="1" si="327"/>
        <v>0</v>
      </c>
      <c r="AG270" s="958">
        <f ca="1">AF270*User_sheet!B$77/100</f>
        <v>0</v>
      </c>
      <c r="AH270" s="313"/>
      <c r="AI270" s="908">
        <v>202</v>
      </c>
      <c r="AJ270" s="313"/>
      <c r="AK270" s="1020">
        <f t="shared" ref="AK270:AK333" ca="1" si="329">CD270</f>
        <v>128.95813976048714</v>
      </c>
      <c r="AL270" s="954">
        <f ca="1">AK270/'202'!I$24</f>
        <v>0.41544454031921374</v>
      </c>
      <c r="AM270" s="954">
        <f ca="1">0.8*(AK270*30+'202'!D$17*0.34*30*1)</f>
        <v>6706.9377542516922</v>
      </c>
      <c r="AN270" s="954">
        <f ca="1">IF(AM270&lt;User_sheet!B$50,Y270,0)</f>
        <v>0</v>
      </c>
      <c r="AO270" s="954">
        <f ca="1">20-(User_sheet!B$57/(AK270+'202'!D$17*1*0.34))</f>
        <v>-0.39678986334398658</v>
      </c>
      <c r="AP270" s="954">
        <f ca="1">IF(AO270&lt;User_sheet!B$59,0,BC270*AA270)</f>
        <v>0</v>
      </c>
      <c r="AQ270" s="313"/>
      <c r="AR270" s="909">
        <v>0.32</v>
      </c>
      <c r="AS270" s="909">
        <v>0.43</v>
      </c>
      <c r="AT270" s="909">
        <v>0.43</v>
      </c>
      <c r="AU270" s="909">
        <v>2</v>
      </c>
      <c r="AV270" s="909">
        <v>3.3</v>
      </c>
      <c r="AW270" s="909">
        <v>14356</v>
      </c>
      <c r="AX270" s="909">
        <v>74834</v>
      </c>
      <c r="AY270" s="909">
        <v>69246</v>
      </c>
      <c r="AZ270" s="917">
        <v>0</v>
      </c>
      <c r="BA270" s="917">
        <v>0</v>
      </c>
      <c r="BB270" s="909">
        <v>0.6</v>
      </c>
      <c r="BC270" s="919">
        <v>0</v>
      </c>
      <c r="BD270" s="920">
        <v>1</v>
      </c>
      <c r="BE270" s="920">
        <v>0</v>
      </c>
      <c r="BF270" s="921">
        <v>0</v>
      </c>
      <c r="BG270" s="920">
        <v>1</v>
      </c>
      <c r="BH270" s="920">
        <v>0</v>
      </c>
      <c r="BI270" s="921">
        <v>0</v>
      </c>
      <c r="BJ270" s="920">
        <v>0</v>
      </c>
      <c r="BK270" s="920">
        <v>0</v>
      </c>
      <c r="BL270" s="920">
        <v>1</v>
      </c>
      <c r="BM270" s="921">
        <v>0</v>
      </c>
      <c r="BN270" s="958">
        <v>0.01</v>
      </c>
      <c r="BO270" s="959">
        <v>2.5</v>
      </c>
      <c r="BP270">
        <f t="shared" ca="1" si="317"/>
        <v>173.25</v>
      </c>
      <c r="BQ270">
        <f t="shared" ca="1" si="318"/>
        <v>294.14</v>
      </c>
      <c r="BR270">
        <f t="shared" ca="1" si="319"/>
        <v>99.660000000000011</v>
      </c>
      <c r="BS270">
        <f t="shared" ca="1" si="320"/>
        <v>135.5</v>
      </c>
      <c r="BT270">
        <f t="shared" ca="1" si="321"/>
        <v>63.2</v>
      </c>
      <c r="BU270">
        <f t="shared" ca="1" si="322"/>
        <v>12</v>
      </c>
      <c r="BV270">
        <f t="shared" ca="1" si="323"/>
        <v>4.3</v>
      </c>
      <c r="BW270" s="1018">
        <v>0</v>
      </c>
      <c r="BX270">
        <f t="shared" ca="1" si="274"/>
        <v>30.215260232440635</v>
      </c>
      <c r="BY270">
        <f t="shared" ca="1" si="275"/>
        <v>54.223538900608013</v>
      </c>
      <c r="BZ270">
        <f t="shared" ref="BZ270:BZ333" ca="1" si="330">IF(BT270=0,0,1/(1/(BT270*$BY$3)+1/(BT270*AT270)+1/(BT270*$BY$4)))*0.33</f>
        <v>8.3460230797865727</v>
      </c>
      <c r="CA270">
        <f t="shared" ref="CA270:CA333" ca="1" si="331">IF(BU270=0,0,1/(1/(BU270*$BY$5)+1/(BU270*AU270)+1/(BU270*$BY$6)))</f>
        <v>23.999999990399999</v>
      </c>
      <c r="CB270">
        <f t="shared" ca="1" si="276"/>
        <v>9.0267175572519083</v>
      </c>
      <c r="CC270" s="1018">
        <f t="shared" ref="CC270:CC333" si="332">0.67*IF(BW270=0,0,1/(1/(BW270*$BY$3)+1/(BW270*AS270)+1/(BW270*$BY$4)))</f>
        <v>0</v>
      </c>
      <c r="CD270" s="1018">
        <f t="shared" ca="1" si="324"/>
        <v>128.95813976048714</v>
      </c>
      <c r="CE270" s="1018">
        <f t="shared" ca="1" si="328"/>
        <v>85.546120711521723</v>
      </c>
      <c r="CF270">
        <f t="shared" ref="CF270:CF333" ca="1" si="333">(CD270+CE270)*($BY$7-$BV$5)/1000</f>
        <v>6.4351278141602659</v>
      </c>
      <c r="CG270">
        <f t="shared" ref="CG270:CG333" ca="1" si="334">$BV$8*(CD270+CE270)*($BY$10-$BV$7)*24/1000</f>
        <v>10714.230405464277</v>
      </c>
    </row>
    <row r="271" spans="4:85" x14ac:dyDescent="0.25">
      <c r="D271" s="1"/>
      <c r="F271" s="1"/>
      <c r="G271" s="3"/>
      <c r="H271" s="6"/>
      <c r="I271" s="3"/>
      <c r="J271" s="6" t="s">
        <v>190</v>
      </c>
      <c r="K271" s="8"/>
      <c r="L271" s="6"/>
      <c r="M271" s="1"/>
      <c r="N271" s="1"/>
      <c r="O271" s="1"/>
      <c r="P271" s="1"/>
      <c r="Q271" s="1" t="s">
        <v>22</v>
      </c>
      <c r="R271" s="4"/>
      <c r="S271" s="1"/>
      <c r="T271" s="77"/>
      <c r="U271" s="22"/>
      <c r="W271" s="176">
        <f t="shared" si="315"/>
        <v>0</v>
      </c>
      <c r="X271" s="176">
        <f t="shared" si="325"/>
        <v>0</v>
      </c>
      <c r="Y271" s="34">
        <f>X271/Calculation_sheet!M$67</f>
        <v>0</v>
      </c>
      <c r="Z271" s="176">
        <f ca="1">IF(AN271&gt;0,Y271*Calculation_sheet!C$87,0)</f>
        <v>0</v>
      </c>
      <c r="AA271" s="176">
        <f t="shared" ca="1" si="326"/>
        <v>0</v>
      </c>
      <c r="AB271" s="176">
        <f ca="1">IF(AP271&gt;0,AA271*Calculation_sheet!C$94,0)</f>
        <v>0</v>
      </c>
      <c r="AC271" s="176">
        <f t="shared" ca="1" si="316"/>
        <v>0</v>
      </c>
      <c r="AD271" s="958">
        <f ca="1">AC271*Calculation_sheet!C$99</f>
        <v>0</v>
      </c>
      <c r="AE271" s="176">
        <f t="shared" ca="1" si="316"/>
        <v>0</v>
      </c>
      <c r="AF271" s="176">
        <f t="shared" ca="1" si="327"/>
        <v>0</v>
      </c>
      <c r="AG271" s="958">
        <f ca="1">AF271*User_sheet!B$77/100</f>
        <v>0</v>
      </c>
      <c r="AH271" s="313"/>
      <c r="AI271" s="908">
        <v>202</v>
      </c>
      <c r="AJ271" s="313"/>
      <c r="AK271" s="1020">
        <f t="shared" ca="1" si="329"/>
        <v>128.95813976048714</v>
      </c>
      <c r="AL271" s="954">
        <f ca="1">AK271/'202'!I$24</f>
        <v>0.41544454031921374</v>
      </c>
      <c r="AM271" s="954">
        <f ca="1">0.8*(AK271*30+'202'!D$17*0.34*30*1)</f>
        <v>6706.9377542516922</v>
      </c>
      <c r="AN271" s="954">
        <f ca="1">IF(AM271&lt;User_sheet!B$50,Y271,0)</f>
        <v>0</v>
      </c>
      <c r="AO271" s="954">
        <f ca="1">20-(User_sheet!B$57/(AK271+'202'!D$17*1*0.34))</f>
        <v>-0.39678986334398658</v>
      </c>
      <c r="AP271" s="954">
        <f ca="1">IF(AO271&lt;User_sheet!B$59,0,BC271*AA271)</f>
        <v>0</v>
      </c>
      <c r="AQ271" s="313"/>
      <c r="AR271" s="909">
        <v>0.32</v>
      </c>
      <c r="AS271" s="909">
        <v>0.43</v>
      </c>
      <c r="AT271" s="909">
        <v>0.43</v>
      </c>
      <c r="AU271" s="909">
        <v>2</v>
      </c>
      <c r="AV271" s="909">
        <v>3.3</v>
      </c>
      <c r="AW271" s="909">
        <v>14356</v>
      </c>
      <c r="AX271" s="909">
        <v>74834</v>
      </c>
      <c r="AY271" s="909">
        <v>69246</v>
      </c>
      <c r="AZ271" s="917">
        <v>0</v>
      </c>
      <c r="BA271" s="917">
        <v>0</v>
      </c>
      <c r="BB271" s="909">
        <v>0.6</v>
      </c>
      <c r="BC271" s="919">
        <v>0</v>
      </c>
      <c r="BD271" s="920">
        <v>1</v>
      </c>
      <c r="BE271" s="920">
        <v>0</v>
      </c>
      <c r="BF271" s="921">
        <v>0</v>
      </c>
      <c r="BG271" s="920">
        <v>0</v>
      </c>
      <c r="BH271" s="920">
        <v>1</v>
      </c>
      <c r="BI271" s="921">
        <v>0</v>
      </c>
      <c r="BJ271" s="920">
        <v>0</v>
      </c>
      <c r="BK271" s="920">
        <v>1</v>
      </c>
      <c r="BL271" s="920">
        <v>0</v>
      </c>
      <c r="BM271" s="921">
        <v>0</v>
      </c>
      <c r="BN271" s="958">
        <v>0.01</v>
      </c>
      <c r="BO271" s="959">
        <v>2.5</v>
      </c>
      <c r="BP271">
        <f t="shared" ca="1" si="317"/>
        <v>173.25</v>
      </c>
      <c r="BQ271">
        <f t="shared" ca="1" si="318"/>
        <v>294.14</v>
      </c>
      <c r="BR271">
        <f t="shared" ca="1" si="319"/>
        <v>99.660000000000011</v>
      </c>
      <c r="BS271">
        <f t="shared" ca="1" si="320"/>
        <v>135.5</v>
      </c>
      <c r="BT271">
        <f t="shared" ca="1" si="321"/>
        <v>63.2</v>
      </c>
      <c r="BU271">
        <f t="shared" ca="1" si="322"/>
        <v>12</v>
      </c>
      <c r="BV271">
        <f t="shared" ca="1" si="323"/>
        <v>4.3</v>
      </c>
      <c r="BW271" s="1018">
        <v>0</v>
      </c>
      <c r="BX271">
        <f t="shared" ca="1" si="274"/>
        <v>30.215260232440635</v>
      </c>
      <c r="BY271">
        <f t="shared" ca="1" si="275"/>
        <v>54.223538900608013</v>
      </c>
      <c r="BZ271">
        <f t="shared" ca="1" si="330"/>
        <v>8.3460230797865727</v>
      </c>
      <c r="CA271">
        <f t="shared" ca="1" si="331"/>
        <v>23.999999990399999</v>
      </c>
      <c r="CB271">
        <f t="shared" ca="1" si="276"/>
        <v>9.0267175572519083</v>
      </c>
      <c r="CC271" s="1018">
        <f t="shared" si="332"/>
        <v>0</v>
      </c>
      <c r="CD271" s="1018">
        <f t="shared" ca="1" si="324"/>
        <v>128.95813976048714</v>
      </c>
      <c r="CE271" s="1018">
        <f t="shared" ca="1" si="328"/>
        <v>85.546120711521723</v>
      </c>
      <c r="CF271">
        <f t="shared" ca="1" si="333"/>
        <v>6.4351278141602659</v>
      </c>
      <c r="CG271">
        <f t="shared" ca="1" si="334"/>
        <v>10714.230405464277</v>
      </c>
    </row>
    <row r="272" spans="4:85" x14ac:dyDescent="0.25">
      <c r="D272" s="1"/>
      <c r="F272" s="1"/>
      <c r="G272" s="3"/>
      <c r="H272" s="6"/>
      <c r="I272" s="3"/>
      <c r="J272" s="6"/>
      <c r="K272" s="8"/>
      <c r="L272" s="6"/>
      <c r="M272" s="1" t="s">
        <v>22</v>
      </c>
      <c r="N272" s="4"/>
      <c r="O272" s="1" t="s">
        <v>20</v>
      </c>
      <c r="P272" s="4"/>
      <c r="Q272" s="1" t="s">
        <v>7</v>
      </c>
      <c r="R272" s="4"/>
      <c r="S272" s="1"/>
      <c r="T272" s="77"/>
      <c r="U272" s="22"/>
      <c r="W272" s="176">
        <f t="shared" si="315"/>
        <v>0</v>
      </c>
      <c r="X272" s="176">
        <f t="shared" si="325"/>
        <v>0</v>
      </c>
      <c r="Y272" s="34">
        <f>X272/Calculation_sheet!M$67</f>
        <v>0</v>
      </c>
      <c r="Z272" s="176">
        <f ca="1">IF(AN272&gt;0,Y272*Calculation_sheet!C$87,0)</f>
        <v>0</v>
      </c>
      <c r="AA272" s="176">
        <f t="shared" ca="1" si="326"/>
        <v>0</v>
      </c>
      <c r="AB272" s="176">
        <f ca="1">IF(AP272&gt;0,AA272*Calculation_sheet!C$94,0)</f>
        <v>0</v>
      </c>
      <c r="AC272" s="176">
        <f t="shared" ca="1" si="316"/>
        <v>0</v>
      </c>
      <c r="AD272" s="958">
        <f ca="1">AC272*Calculation_sheet!C$99</f>
        <v>0</v>
      </c>
      <c r="AE272" s="176">
        <f t="shared" ca="1" si="316"/>
        <v>0</v>
      </c>
      <c r="AF272" s="176">
        <f t="shared" ca="1" si="327"/>
        <v>0</v>
      </c>
      <c r="AG272" s="958">
        <f ca="1">AF272*User_sheet!B$77/100</f>
        <v>0</v>
      </c>
      <c r="AH272" s="313"/>
      <c r="AI272" s="908">
        <v>202</v>
      </c>
      <c r="AJ272" s="313"/>
      <c r="AK272" s="1020">
        <f t="shared" ca="1" si="329"/>
        <v>128.95813976048714</v>
      </c>
      <c r="AL272" s="954">
        <f ca="1">AK272/'202'!I$24</f>
        <v>0.41544454031921374</v>
      </c>
      <c r="AM272" s="954">
        <f ca="1">0.8*(AK272*30+'202'!D$17*0.34*30*1)</f>
        <v>6706.9377542516922</v>
      </c>
      <c r="AN272" s="954">
        <f ca="1">IF(AM272&lt;User_sheet!B$50,Y272,0)</f>
        <v>0</v>
      </c>
      <c r="AO272" s="954">
        <f ca="1">20-(User_sheet!B$57/(AK272+'202'!D$17*1*0.34))</f>
        <v>-0.39678986334398658</v>
      </c>
      <c r="AP272" s="954">
        <f ca="1">IF(AO272&lt;User_sheet!B$59,0,BC272*AA272)</f>
        <v>0</v>
      </c>
      <c r="AQ272" s="313"/>
      <c r="AR272" s="909">
        <v>0.32</v>
      </c>
      <c r="AS272" s="909">
        <v>0.43</v>
      </c>
      <c r="AT272" s="909">
        <v>0.43</v>
      </c>
      <c r="AU272" s="909">
        <v>2</v>
      </c>
      <c r="AV272" s="909">
        <v>3.3</v>
      </c>
      <c r="AW272" s="909">
        <v>14356</v>
      </c>
      <c r="AX272" s="909">
        <v>74834</v>
      </c>
      <c r="AY272" s="909">
        <v>69246</v>
      </c>
      <c r="AZ272" s="917">
        <v>0</v>
      </c>
      <c r="BA272" s="917">
        <v>0</v>
      </c>
      <c r="BB272" s="909">
        <v>0.6</v>
      </c>
      <c r="BC272" s="919">
        <v>0</v>
      </c>
      <c r="BD272" s="920">
        <v>1</v>
      </c>
      <c r="BE272" s="920">
        <v>0</v>
      </c>
      <c r="BF272" s="921">
        <v>0</v>
      </c>
      <c r="BG272" s="920">
        <v>0</v>
      </c>
      <c r="BH272" s="920">
        <v>1</v>
      </c>
      <c r="BI272" s="921">
        <v>0</v>
      </c>
      <c r="BJ272" s="920">
        <v>0</v>
      </c>
      <c r="BK272" s="920">
        <v>0</v>
      </c>
      <c r="BL272" s="920">
        <v>1</v>
      </c>
      <c r="BM272" s="921">
        <v>0</v>
      </c>
      <c r="BN272" s="958">
        <v>0.01</v>
      </c>
      <c r="BO272" s="959">
        <v>2.5</v>
      </c>
      <c r="BP272">
        <f t="shared" ca="1" si="317"/>
        <v>173.25</v>
      </c>
      <c r="BQ272">
        <f t="shared" ca="1" si="318"/>
        <v>294.14</v>
      </c>
      <c r="BR272">
        <f t="shared" ca="1" si="319"/>
        <v>99.660000000000011</v>
      </c>
      <c r="BS272">
        <f t="shared" ca="1" si="320"/>
        <v>135.5</v>
      </c>
      <c r="BT272">
        <f t="shared" ca="1" si="321"/>
        <v>63.2</v>
      </c>
      <c r="BU272">
        <f t="shared" ca="1" si="322"/>
        <v>12</v>
      </c>
      <c r="BV272">
        <f t="shared" ca="1" si="323"/>
        <v>4.3</v>
      </c>
      <c r="BW272" s="1018">
        <v>0</v>
      </c>
      <c r="BX272">
        <f t="shared" ca="1" si="274"/>
        <v>30.215260232440635</v>
      </c>
      <c r="BY272">
        <f t="shared" ca="1" si="275"/>
        <v>54.223538900608013</v>
      </c>
      <c r="BZ272">
        <f t="shared" ca="1" si="330"/>
        <v>8.3460230797865727</v>
      </c>
      <c r="CA272">
        <f t="shared" ca="1" si="331"/>
        <v>23.999999990399999</v>
      </c>
      <c r="CB272">
        <f t="shared" ca="1" si="276"/>
        <v>9.0267175572519083</v>
      </c>
      <c r="CC272" s="1018">
        <f t="shared" si="332"/>
        <v>0</v>
      </c>
      <c r="CD272" s="1018">
        <f t="shared" ca="1" si="324"/>
        <v>128.95813976048714</v>
      </c>
      <c r="CE272" s="1018">
        <f t="shared" ca="1" si="328"/>
        <v>85.546120711521723</v>
      </c>
      <c r="CF272">
        <f t="shared" ca="1" si="333"/>
        <v>6.4351278141602659</v>
      </c>
      <c r="CG272">
        <f t="shared" ca="1" si="334"/>
        <v>10714.230405464277</v>
      </c>
    </row>
    <row r="273" spans="1:85" x14ac:dyDescent="0.25">
      <c r="D273" s="1"/>
      <c r="F273" s="1"/>
      <c r="G273" s="3"/>
      <c r="H273" s="6"/>
      <c r="I273" s="3"/>
      <c r="J273" s="6"/>
      <c r="K273" s="8"/>
      <c r="L273" s="6"/>
      <c r="M273" s="1" t="s">
        <v>7</v>
      </c>
      <c r="N273" s="4"/>
      <c r="O273" s="1" t="s">
        <v>23</v>
      </c>
      <c r="P273" s="4"/>
      <c r="Q273" s="1" t="s">
        <v>7</v>
      </c>
      <c r="R273" s="4"/>
      <c r="S273" s="1"/>
      <c r="T273" s="77"/>
      <c r="U273" s="22"/>
      <c r="W273" s="176">
        <f t="shared" si="315"/>
        <v>0</v>
      </c>
      <c r="X273" s="176">
        <f t="shared" si="325"/>
        <v>0</v>
      </c>
      <c r="Y273" s="34">
        <f>X273/Calculation_sheet!M$67</f>
        <v>0</v>
      </c>
      <c r="Z273" s="176">
        <f ca="1">IF(AN273&gt;0,Y273*Calculation_sheet!C$87,0)</f>
        <v>0</v>
      </c>
      <c r="AA273" s="176">
        <f t="shared" ca="1" si="326"/>
        <v>0</v>
      </c>
      <c r="AB273" s="176">
        <f ca="1">IF(AP273&gt;0,AA273*Calculation_sheet!C$94,0)</f>
        <v>0</v>
      </c>
      <c r="AC273" s="176">
        <f t="shared" ca="1" si="316"/>
        <v>0</v>
      </c>
      <c r="AD273" s="958">
        <f ca="1">AC273*Calculation_sheet!C$99</f>
        <v>0</v>
      </c>
      <c r="AE273" s="176">
        <f t="shared" ca="1" si="316"/>
        <v>0</v>
      </c>
      <c r="AF273" s="176">
        <f t="shared" ca="1" si="327"/>
        <v>0</v>
      </c>
      <c r="AG273" s="958">
        <f ca="1">AF273*User_sheet!B$77/100</f>
        <v>0</v>
      </c>
      <c r="AH273" s="313"/>
      <c r="AI273" s="908">
        <v>202</v>
      </c>
      <c r="AJ273" s="313"/>
      <c r="AK273" s="1020">
        <f t="shared" ca="1" si="329"/>
        <v>128.95813976048714</v>
      </c>
      <c r="AL273" s="954">
        <f ca="1">AK273/'202'!I$24</f>
        <v>0.41544454031921374</v>
      </c>
      <c r="AM273" s="954">
        <f ca="1">0.8*(AK273*30+'202'!D$17*0.34*30*1)</f>
        <v>6706.9377542516922</v>
      </c>
      <c r="AN273" s="954">
        <f ca="1">IF(AM273&lt;User_sheet!B$50,Y273,0)</f>
        <v>0</v>
      </c>
      <c r="AO273" s="954">
        <f ca="1">20-(User_sheet!B$57/(AK273+'202'!D$17*1*0.34))</f>
        <v>-0.39678986334398658</v>
      </c>
      <c r="AP273" s="954">
        <f ca="1">IF(AO273&lt;User_sheet!B$59,0,BC273*AA273)</f>
        <v>0</v>
      </c>
      <c r="AQ273" s="313"/>
      <c r="AR273" s="909">
        <v>0.32</v>
      </c>
      <c r="AS273" s="909">
        <v>0.43</v>
      </c>
      <c r="AT273" s="909">
        <v>0.43</v>
      </c>
      <c r="AU273" s="909">
        <v>2</v>
      </c>
      <c r="AV273" s="909">
        <v>3.3</v>
      </c>
      <c r="AW273" s="909">
        <v>14356</v>
      </c>
      <c r="AX273" s="909">
        <v>74834</v>
      </c>
      <c r="AY273" s="909">
        <v>69246</v>
      </c>
      <c r="AZ273" s="917">
        <v>0</v>
      </c>
      <c r="BA273" s="917">
        <v>0</v>
      </c>
      <c r="BB273" s="909">
        <v>0.6</v>
      </c>
      <c r="BC273" s="919">
        <v>0</v>
      </c>
      <c r="BD273" s="920">
        <v>0</v>
      </c>
      <c r="BE273" s="920">
        <v>1</v>
      </c>
      <c r="BF273" s="921">
        <v>0</v>
      </c>
      <c r="BG273" s="920">
        <v>0</v>
      </c>
      <c r="BH273" s="920">
        <v>0</v>
      </c>
      <c r="BI273" s="921">
        <v>1</v>
      </c>
      <c r="BJ273" s="920">
        <v>0</v>
      </c>
      <c r="BK273" s="920">
        <v>0</v>
      </c>
      <c r="BL273" s="920">
        <v>1</v>
      </c>
      <c r="BM273" s="921">
        <v>0</v>
      </c>
      <c r="BN273" s="958">
        <v>0.01</v>
      </c>
      <c r="BO273" s="959">
        <v>2.5</v>
      </c>
      <c r="BP273">
        <f t="shared" ca="1" si="317"/>
        <v>173.25</v>
      </c>
      <c r="BQ273">
        <f t="shared" ca="1" si="318"/>
        <v>294.14</v>
      </c>
      <c r="BR273">
        <f t="shared" ca="1" si="319"/>
        <v>99.660000000000011</v>
      </c>
      <c r="BS273">
        <f t="shared" ca="1" si="320"/>
        <v>135.5</v>
      </c>
      <c r="BT273">
        <f t="shared" ca="1" si="321"/>
        <v>63.2</v>
      </c>
      <c r="BU273">
        <f t="shared" ca="1" si="322"/>
        <v>12</v>
      </c>
      <c r="BV273">
        <f t="shared" ca="1" si="323"/>
        <v>4.3</v>
      </c>
      <c r="BW273" s="1018">
        <v>0</v>
      </c>
      <c r="BX273">
        <f t="shared" ca="1" si="274"/>
        <v>30.215260232440635</v>
      </c>
      <c r="BY273">
        <f t="shared" ca="1" si="275"/>
        <v>54.223538900608013</v>
      </c>
      <c r="BZ273">
        <f t="shared" ca="1" si="330"/>
        <v>8.3460230797865727</v>
      </c>
      <c r="CA273">
        <f t="shared" ca="1" si="331"/>
        <v>23.999999990399999</v>
      </c>
      <c r="CB273">
        <f t="shared" ca="1" si="276"/>
        <v>9.0267175572519083</v>
      </c>
      <c r="CC273" s="1018">
        <f t="shared" si="332"/>
        <v>0</v>
      </c>
      <c r="CD273" s="1018">
        <f t="shared" ca="1" si="324"/>
        <v>128.95813976048714</v>
      </c>
      <c r="CE273" s="1018">
        <f t="shared" ca="1" si="328"/>
        <v>85.546120711521723</v>
      </c>
      <c r="CF273">
        <f t="shared" ca="1" si="333"/>
        <v>6.4351278141602659</v>
      </c>
      <c r="CG273">
        <f t="shared" ca="1" si="334"/>
        <v>10714.230405464277</v>
      </c>
    </row>
    <row r="274" spans="1:85" x14ac:dyDescent="0.25">
      <c r="D274" s="1"/>
      <c r="F274" s="1"/>
      <c r="G274" s="3"/>
      <c r="H274" s="6"/>
      <c r="I274" s="3"/>
      <c r="J274" s="6"/>
      <c r="K274" s="8"/>
      <c r="L274" s="6"/>
      <c r="M274" s="1"/>
      <c r="N274" s="1"/>
      <c r="O274" s="1" t="s">
        <v>18</v>
      </c>
      <c r="P274" s="4"/>
      <c r="Q274" s="1" t="s">
        <v>17</v>
      </c>
      <c r="R274" s="4"/>
      <c r="S274" s="1"/>
      <c r="T274" s="77"/>
      <c r="U274" s="22"/>
      <c r="W274" s="176">
        <f t="shared" si="315"/>
        <v>0</v>
      </c>
      <c r="X274" s="176">
        <f t="shared" si="325"/>
        <v>0</v>
      </c>
      <c r="Y274" s="34">
        <f>X274/Calculation_sheet!M$67</f>
        <v>0</v>
      </c>
      <c r="Z274" s="176">
        <f ca="1">IF(AN274&gt;0,Y274*Calculation_sheet!C$87,0)</f>
        <v>0</v>
      </c>
      <c r="AA274" s="176">
        <f t="shared" ca="1" si="326"/>
        <v>0</v>
      </c>
      <c r="AB274" s="176">
        <f ca="1">IF(AP274&gt;0,AA274*Calculation_sheet!C$94,0)</f>
        <v>0</v>
      </c>
      <c r="AC274" s="176">
        <f t="shared" ca="1" si="316"/>
        <v>0</v>
      </c>
      <c r="AD274" s="958">
        <f ca="1">AC274*Calculation_sheet!C$99</f>
        <v>0</v>
      </c>
      <c r="AE274" s="176">
        <f t="shared" ca="1" si="316"/>
        <v>0</v>
      </c>
      <c r="AF274" s="176">
        <f t="shared" ca="1" si="327"/>
        <v>0</v>
      </c>
      <c r="AG274" s="958">
        <f ca="1">AF274*User_sheet!B$77/100</f>
        <v>0</v>
      </c>
      <c r="AH274" s="313"/>
      <c r="AI274" s="908">
        <v>202</v>
      </c>
      <c r="AJ274" s="313"/>
      <c r="AK274" s="1020">
        <f t="shared" ca="1" si="329"/>
        <v>128.95813976048714</v>
      </c>
      <c r="AL274" s="954">
        <f ca="1">AK274/'202'!I$24</f>
        <v>0.41544454031921374</v>
      </c>
      <c r="AM274" s="954">
        <f ca="1">0.8*(AK274*30+'202'!D$17*0.34*30*1)</f>
        <v>6706.9377542516922</v>
      </c>
      <c r="AN274" s="954">
        <f ca="1">IF(AM274&lt;User_sheet!B$50,Y274,0)</f>
        <v>0</v>
      </c>
      <c r="AO274" s="954">
        <f ca="1">20-(User_sheet!B$57/(AK274+'202'!D$17*1*0.34))</f>
        <v>-0.39678986334398658</v>
      </c>
      <c r="AP274" s="954">
        <f ca="1">IF(AO274&lt;User_sheet!B$59,0,BC274*AA274)</f>
        <v>0</v>
      </c>
      <c r="AQ274" s="313"/>
      <c r="AR274" s="909">
        <v>0.32</v>
      </c>
      <c r="AS274" s="909">
        <v>0.43</v>
      </c>
      <c r="AT274" s="909">
        <v>0.43</v>
      </c>
      <c r="AU274" s="909">
        <v>2</v>
      </c>
      <c r="AV274" s="909">
        <v>3.3</v>
      </c>
      <c r="AW274" s="909">
        <v>14356</v>
      </c>
      <c r="AX274" s="909">
        <v>74834</v>
      </c>
      <c r="AY274" s="909">
        <v>69246</v>
      </c>
      <c r="AZ274" s="917">
        <v>0</v>
      </c>
      <c r="BA274" s="917">
        <v>0</v>
      </c>
      <c r="BB274" s="909">
        <v>0.6</v>
      </c>
      <c r="BC274" s="919">
        <v>0</v>
      </c>
      <c r="BD274" s="920">
        <v>0</v>
      </c>
      <c r="BE274" s="920">
        <v>0</v>
      </c>
      <c r="BF274" s="921">
        <v>1</v>
      </c>
      <c r="BG274" s="920">
        <v>1</v>
      </c>
      <c r="BH274" s="920">
        <v>0</v>
      </c>
      <c r="BI274" s="921">
        <v>0</v>
      </c>
      <c r="BJ274" s="920">
        <v>0</v>
      </c>
      <c r="BK274" s="920">
        <v>0</v>
      </c>
      <c r="BL274" s="920">
        <v>0</v>
      </c>
      <c r="BM274" s="921">
        <v>1</v>
      </c>
      <c r="BN274" s="958">
        <v>0.01</v>
      </c>
      <c r="BO274" s="959">
        <v>2.5</v>
      </c>
      <c r="BP274">
        <f t="shared" ca="1" si="317"/>
        <v>173.25</v>
      </c>
      <c r="BQ274">
        <f t="shared" ca="1" si="318"/>
        <v>294.14</v>
      </c>
      <c r="BR274">
        <f t="shared" ca="1" si="319"/>
        <v>99.660000000000011</v>
      </c>
      <c r="BS274">
        <f t="shared" ca="1" si="320"/>
        <v>135.5</v>
      </c>
      <c r="BT274">
        <f t="shared" ca="1" si="321"/>
        <v>63.2</v>
      </c>
      <c r="BU274">
        <f t="shared" ca="1" si="322"/>
        <v>12</v>
      </c>
      <c r="BV274">
        <f t="shared" ca="1" si="323"/>
        <v>4.3</v>
      </c>
      <c r="BW274" s="1018">
        <v>0</v>
      </c>
      <c r="BX274">
        <f t="shared" ca="1" si="274"/>
        <v>30.215260232440635</v>
      </c>
      <c r="BY274">
        <f t="shared" ca="1" si="275"/>
        <v>54.223538900608013</v>
      </c>
      <c r="BZ274">
        <f t="shared" ca="1" si="330"/>
        <v>8.3460230797865727</v>
      </c>
      <c r="CA274">
        <f t="shared" ca="1" si="331"/>
        <v>23.999999990399999</v>
      </c>
      <c r="CB274">
        <f t="shared" ca="1" si="276"/>
        <v>9.0267175572519083</v>
      </c>
      <c r="CC274" s="1018">
        <f t="shared" si="332"/>
        <v>0</v>
      </c>
      <c r="CD274" s="1018">
        <f t="shared" ca="1" si="324"/>
        <v>128.95813976048714</v>
      </c>
      <c r="CE274" s="1018">
        <f t="shared" ca="1" si="328"/>
        <v>85.546120711521723</v>
      </c>
      <c r="CF274">
        <f t="shared" ca="1" si="333"/>
        <v>6.4351278141602659</v>
      </c>
      <c r="CG274">
        <f t="shared" ca="1" si="334"/>
        <v>10714.230405464277</v>
      </c>
    </row>
    <row r="275" spans="1:85" x14ac:dyDescent="0.25">
      <c r="D275" s="1"/>
      <c r="F275" s="1"/>
      <c r="G275" s="3"/>
      <c r="H275" s="6"/>
      <c r="I275" s="3"/>
      <c r="J275" s="6"/>
      <c r="K275" s="8"/>
      <c r="L275" s="6"/>
      <c r="M275" s="1" t="s">
        <v>17</v>
      </c>
      <c r="N275" s="4"/>
      <c r="O275" s="1" t="s">
        <v>19</v>
      </c>
      <c r="P275" s="4"/>
      <c r="Q275" s="1" t="s">
        <v>17</v>
      </c>
      <c r="R275" s="4"/>
      <c r="S275" s="1"/>
      <c r="T275" s="77"/>
      <c r="U275" s="22" t="s">
        <v>49</v>
      </c>
      <c r="W275" s="176">
        <f t="shared" si="315"/>
        <v>0</v>
      </c>
      <c r="X275" s="176">
        <f t="shared" si="325"/>
        <v>0</v>
      </c>
      <c r="Y275" s="34">
        <f>X275/Calculation_sheet!M$67</f>
        <v>0</v>
      </c>
      <c r="Z275" s="176">
        <f ca="1">IF(AN275&gt;0,Y275*Calculation_sheet!C$87,0)</f>
        <v>0</v>
      </c>
      <c r="AA275" s="176">
        <f t="shared" ca="1" si="326"/>
        <v>0</v>
      </c>
      <c r="AB275" s="176">
        <f ca="1">IF(AP275&gt;0,AA275*Calculation_sheet!C$94,0)</f>
        <v>0</v>
      </c>
      <c r="AC275" s="176">
        <f t="shared" ca="1" si="316"/>
        <v>0</v>
      </c>
      <c r="AD275" s="958">
        <f ca="1">AC275*Calculation_sheet!C$99</f>
        <v>0</v>
      </c>
      <c r="AE275" s="176">
        <f t="shared" ca="1" si="316"/>
        <v>0</v>
      </c>
      <c r="AF275" s="176">
        <f t="shared" ca="1" si="327"/>
        <v>0</v>
      </c>
      <c r="AG275" s="958">
        <f ca="1">AF275*User_sheet!B$77/100</f>
        <v>0</v>
      </c>
      <c r="AH275" s="313"/>
      <c r="AI275" s="908">
        <v>202</v>
      </c>
      <c r="AJ275" s="313"/>
      <c r="AK275" s="1020">
        <f t="shared" ca="1" si="329"/>
        <v>128.95813976048714</v>
      </c>
      <c r="AL275" s="954">
        <f ca="1">AK275/'202'!I$24</f>
        <v>0.41544454031921374</v>
      </c>
      <c r="AM275" s="954">
        <f ca="1">0.8*(AK275*30+'202'!D$17*0.34*30*1)</f>
        <v>6706.9377542516922</v>
      </c>
      <c r="AN275" s="954">
        <f ca="1">IF(AM275&lt;User_sheet!B$50,Y275,0)</f>
        <v>0</v>
      </c>
      <c r="AO275" s="954">
        <f ca="1">20-(User_sheet!B$57/(AK275+'202'!D$17*1*0.34))</f>
        <v>-0.39678986334398658</v>
      </c>
      <c r="AP275" s="954">
        <f ca="1">IF(AO275&lt;User_sheet!B$59,0,BC275*AA275)</f>
        <v>0</v>
      </c>
      <c r="AQ275" s="313"/>
      <c r="AR275" s="909">
        <v>0.32</v>
      </c>
      <c r="AS275" s="909">
        <v>0.43</v>
      </c>
      <c r="AT275" s="909">
        <v>0.43</v>
      </c>
      <c r="AU275" s="909">
        <v>2</v>
      </c>
      <c r="AV275" s="909">
        <v>3.3</v>
      </c>
      <c r="AW275" s="909">
        <v>14356</v>
      </c>
      <c r="AX275" s="909">
        <v>74834</v>
      </c>
      <c r="AY275" s="909">
        <v>69246</v>
      </c>
      <c r="AZ275" s="917">
        <v>0</v>
      </c>
      <c r="BA275" s="917">
        <v>0</v>
      </c>
      <c r="BB275" s="909">
        <v>0.6</v>
      </c>
      <c r="BC275" s="919">
        <v>0</v>
      </c>
      <c r="BD275" s="920">
        <v>0</v>
      </c>
      <c r="BE275" s="920">
        <v>0</v>
      </c>
      <c r="BF275" s="921">
        <v>1</v>
      </c>
      <c r="BG275" s="920">
        <v>0</v>
      </c>
      <c r="BH275" s="920">
        <v>1</v>
      </c>
      <c r="BI275" s="921">
        <v>0</v>
      </c>
      <c r="BJ275" s="920">
        <v>0</v>
      </c>
      <c r="BK275" s="920">
        <v>0</v>
      </c>
      <c r="BL275" s="920">
        <v>0</v>
      </c>
      <c r="BM275" s="921">
        <v>1</v>
      </c>
      <c r="BN275" s="958">
        <v>0.01</v>
      </c>
      <c r="BO275" s="959">
        <v>2.5</v>
      </c>
      <c r="BP275">
        <f t="shared" ca="1" si="317"/>
        <v>173.25</v>
      </c>
      <c r="BQ275">
        <f t="shared" ca="1" si="318"/>
        <v>294.14</v>
      </c>
      <c r="BR275">
        <f t="shared" ca="1" si="319"/>
        <v>99.660000000000011</v>
      </c>
      <c r="BS275">
        <f t="shared" ca="1" si="320"/>
        <v>135.5</v>
      </c>
      <c r="BT275">
        <f t="shared" ca="1" si="321"/>
        <v>63.2</v>
      </c>
      <c r="BU275">
        <f t="shared" ca="1" si="322"/>
        <v>12</v>
      </c>
      <c r="BV275">
        <f t="shared" ca="1" si="323"/>
        <v>4.3</v>
      </c>
      <c r="BW275" s="1018">
        <v>0</v>
      </c>
      <c r="BX275">
        <f t="shared" ca="1" si="274"/>
        <v>30.215260232440635</v>
      </c>
      <c r="BY275">
        <f t="shared" ca="1" si="275"/>
        <v>54.223538900608013</v>
      </c>
      <c r="BZ275">
        <f t="shared" ca="1" si="330"/>
        <v>8.3460230797865727</v>
      </c>
      <c r="CA275">
        <f t="shared" ca="1" si="331"/>
        <v>23.999999990399999</v>
      </c>
      <c r="CB275">
        <f t="shared" ca="1" si="276"/>
        <v>9.0267175572519083</v>
      </c>
      <c r="CC275" s="1018">
        <f t="shared" si="332"/>
        <v>0</v>
      </c>
      <c r="CD275" s="1018">
        <f t="shared" ca="1" si="324"/>
        <v>128.95813976048714</v>
      </c>
      <c r="CE275" s="1018">
        <f t="shared" ca="1" si="328"/>
        <v>85.546120711521723</v>
      </c>
      <c r="CF275">
        <f t="shared" ca="1" si="333"/>
        <v>6.4351278141602659</v>
      </c>
      <c r="CG275">
        <f t="shared" ca="1" si="334"/>
        <v>10714.230405464277</v>
      </c>
    </row>
    <row r="276" spans="1:85" s="9" customFormat="1" x14ac:dyDescent="0.25">
      <c r="A276" s="3" t="s">
        <v>0</v>
      </c>
      <c r="B276" s="4">
        <v>0.19670000000000001</v>
      </c>
      <c r="D276" s="10"/>
      <c r="F276" s="10"/>
      <c r="H276" s="10"/>
      <c r="J276" s="10"/>
      <c r="K276" s="10"/>
      <c r="L276" s="10"/>
      <c r="M276" s="10"/>
      <c r="N276" s="10"/>
      <c r="O276" s="10"/>
      <c r="P276" s="10"/>
      <c r="Q276" s="10"/>
      <c r="R276" s="10"/>
      <c r="S276" s="10"/>
      <c r="T276" s="81"/>
      <c r="U276" s="18"/>
      <c r="V276" s="283"/>
      <c r="W276" s="283"/>
      <c r="X276" s="283"/>
      <c r="Y276" s="279"/>
      <c r="Z276" s="279"/>
      <c r="AA276" s="283"/>
      <c r="AB276" s="283"/>
      <c r="AC276" s="283"/>
      <c r="AD276" s="283"/>
      <c r="AE276" s="283"/>
      <c r="AF276" s="283"/>
      <c r="AG276" s="279"/>
      <c r="AH276" s="313"/>
      <c r="AI276" s="911"/>
      <c r="AJ276" s="313"/>
      <c r="AK276" s="1020">
        <f t="shared" si="329"/>
        <v>0</v>
      </c>
      <c r="AL276" s="916"/>
      <c r="AM276" s="916"/>
      <c r="AN276" s="916"/>
      <c r="AO276" s="916"/>
      <c r="AP276" s="916"/>
      <c r="AQ276" s="313"/>
      <c r="AR276" s="916"/>
      <c r="AS276" s="916"/>
      <c r="AT276" s="916"/>
      <c r="AU276" s="916"/>
      <c r="AV276" s="916"/>
      <c r="AW276" s="916"/>
      <c r="AX276" s="916"/>
      <c r="AY276" s="916"/>
      <c r="AZ276" s="916"/>
      <c r="BA276" s="916"/>
      <c r="BB276" s="916"/>
      <c r="BC276" s="47"/>
      <c r="BD276" s="279"/>
      <c r="BE276" s="279"/>
      <c r="BF276" s="51"/>
      <c r="BG276" s="916"/>
      <c r="BH276" s="916"/>
      <c r="BI276" s="51"/>
      <c r="BJ276" s="916"/>
      <c r="BK276" s="916"/>
      <c r="BL276" s="916"/>
      <c r="BM276" s="51"/>
      <c r="BN276" s="279"/>
      <c r="BO276" s="51"/>
    </row>
    <row r="277" spans="1:85" x14ac:dyDescent="0.25">
      <c r="A277" s="556"/>
      <c r="B277" s="562"/>
      <c r="C277" s="556"/>
      <c r="D277" s="557"/>
      <c r="E277" s="556"/>
      <c r="F277" s="557"/>
      <c r="G277" s="556"/>
      <c r="H277" s="557"/>
      <c r="I277" s="556"/>
      <c r="J277" s="557"/>
      <c r="K277" s="557"/>
      <c r="L277" s="557"/>
      <c r="M277" s="557"/>
      <c r="N277" s="557"/>
      <c r="O277" s="557"/>
      <c r="P277" s="557"/>
      <c r="Q277" s="557" t="s">
        <v>16</v>
      </c>
      <c r="R277" s="559">
        <v>0.92569999999999997</v>
      </c>
      <c r="S277" s="557"/>
      <c r="T277" s="567">
        <v>5.1703533318262817E-3</v>
      </c>
      <c r="U277" s="556"/>
      <c r="V277" s="176">
        <f t="shared" ref="V277:V345" si="335">T277</f>
        <v>5.1703533318262817E-3</v>
      </c>
      <c r="W277" s="176">
        <f>V277</f>
        <v>5.1703533318262817E-3</v>
      </c>
      <c r="X277" s="176">
        <f>W277</f>
        <v>5.1703533318262817E-3</v>
      </c>
      <c r="Y277" s="34">
        <f>X277/Calculation_sheet!M$67</f>
        <v>5.1704590470868202E-3</v>
      </c>
      <c r="Z277" s="176">
        <f ca="1">IF(AN277&gt;0,Y277*Calculation_sheet!C$87,0)</f>
        <v>0</v>
      </c>
      <c r="AA277" s="176">
        <f t="shared" ca="1" si="326"/>
        <v>5.1704590470868202E-3</v>
      </c>
      <c r="AB277" s="176">
        <f ca="1">IF(AP277&gt;0,AA277*Calculation_sheet!C$94,0)</f>
        <v>0</v>
      </c>
      <c r="AC277" s="176">
        <f t="shared" ref="AC277:AE285" ca="1" si="336">AA277-AB277</f>
        <v>5.1704590470868202E-3</v>
      </c>
      <c r="AD277" s="958">
        <f ca="1">AC277*Calculation_sheet!C$99</f>
        <v>3.102275428252092E-3</v>
      </c>
      <c r="AE277" s="176">
        <f t="shared" ca="1" si="336"/>
        <v>2.0681836188347282E-3</v>
      </c>
      <c r="AF277" s="176">
        <f ca="1">Y277-AB277</f>
        <v>5.1704590470868202E-3</v>
      </c>
      <c r="AG277" s="958">
        <f ca="1">AF277*User_sheet!B$77/100</f>
        <v>0</v>
      </c>
      <c r="AH277" s="313"/>
      <c r="AI277" s="908">
        <v>203</v>
      </c>
      <c r="AJ277" s="313"/>
      <c r="AK277" s="1020">
        <f t="shared" ca="1" si="329"/>
        <v>190.51803397348269</v>
      </c>
      <c r="AL277" s="954">
        <f ca="1">AK277/'203'!I$24</f>
        <v>0.66665855938329033</v>
      </c>
      <c r="AM277" s="954">
        <f ca="1">0.8*(AK277*30+'203'!D$17*0.34*30*1)</f>
        <v>7915.9971101004267</v>
      </c>
      <c r="AN277" s="954">
        <f ca="1">IF(AM277&lt;User_sheet!B$50,Y277,0)</f>
        <v>5.1704590470868202E-3</v>
      </c>
      <c r="AO277" s="954">
        <f ca="1">20-(User_sheet!B$57/(AK277+'203'!D$17*1*0.34))</f>
        <v>2.7185384106002424</v>
      </c>
      <c r="AP277" s="954">
        <f ca="1">IF(AO277&lt;User_sheet!B$59,0,BC277*AA277)</f>
        <v>0</v>
      </c>
      <c r="AQ277" s="313"/>
      <c r="AR277" s="909">
        <v>0.32</v>
      </c>
      <c r="AS277" s="1020">
        <v>0.59799999999999998</v>
      </c>
      <c r="AT277" s="909">
        <v>0.59</v>
      </c>
      <c r="AU277" s="909">
        <v>2.75</v>
      </c>
      <c r="AV277" s="909">
        <v>3.3</v>
      </c>
      <c r="AW277" s="909">
        <v>12257.141193582425</v>
      </c>
      <c r="AX277" s="909">
        <v>72298.2589500467</v>
      </c>
      <c r="AY277" s="909">
        <v>64021.679041832605</v>
      </c>
      <c r="AZ277" s="909">
        <v>0</v>
      </c>
      <c r="BA277" s="909">
        <v>0</v>
      </c>
      <c r="BB277" s="909">
        <v>0.6</v>
      </c>
      <c r="BC277" s="919">
        <v>1</v>
      </c>
      <c r="BD277" s="920">
        <v>0</v>
      </c>
      <c r="BE277" s="920">
        <v>0</v>
      </c>
      <c r="BF277" s="921">
        <v>0</v>
      </c>
      <c r="BG277" s="909">
        <v>1</v>
      </c>
      <c r="BH277" s="909">
        <v>0</v>
      </c>
      <c r="BI277" s="921">
        <v>0</v>
      </c>
      <c r="BJ277" s="909">
        <v>1</v>
      </c>
      <c r="BK277" s="909">
        <v>0</v>
      </c>
      <c r="BL277" s="909">
        <v>0</v>
      </c>
      <c r="BM277" s="921">
        <v>0</v>
      </c>
      <c r="BN277" s="958">
        <v>0.08</v>
      </c>
      <c r="BO277" s="959">
        <v>6</v>
      </c>
      <c r="BP277">
        <f t="shared" ref="BP277:BP285" ca="1" si="337">INDIRECT("'"&amp;AI277&amp;"'!"&amp;"B2")</f>
        <v>185.6</v>
      </c>
      <c r="BQ277">
        <f t="shared" ref="BQ277:BQ285" ca="1" si="338">INDIRECT("'"&amp;AI277&amp;"'!"&amp;"C12")+INDIRECT("'"&amp;AI277&amp;"'!"&amp;"C13")+INDIRECT("'"&amp;AI277&amp;"'!"&amp;"C14")+INDIRECT("'"&amp;AI277&amp;"'!"&amp;"C15")+INDIRECT("'"&amp;AI277&amp;"'!"&amp;"C17")</f>
        <v>361.17052631578946</v>
      </c>
      <c r="BR277">
        <f t="shared" ref="BR277:BR285" ca="1" si="339">INDIRECT("'"&amp;AI277&amp;"'!"&amp;"G5")</f>
        <v>84.1</v>
      </c>
      <c r="BS277">
        <f t="shared" ref="BS277:BS285" ca="1" si="340">INDIRECT("'"&amp;AI277&amp;"'!"&amp;"G4")</f>
        <v>115.78052631578947</v>
      </c>
      <c r="BT277">
        <f t="shared" ref="BT277:BT285" ca="1" si="341">INDIRECT("'"&amp;AI277&amp;"'!"&amp;"G6")</f>
        <v>75.400000000000006</v>
      </c>
      <c r="BU277">
        <f t="shared" ref="BU277:BU285" ca="1" si="342">INDIRECT("'"&amp;AI277&amp;"'!"&amp;"G2")</f>
        <v>22</v>
      </c>
      <c r="BV277">
        <f t="shared" ref="BV277:BV285" ca="1" si="343">INDIRECT("'"&amp;AI277&amp;"'!"&amp;"G3")</f>
        <v>2.15</v>
      </c>
      <c r="BW277" s="1018">
        <v>0</v>
      </c>
      <c r="BX277">
        <f t="shared" ca="1" si="274"/>
        <v>25.497726124305199</v>
      </c>
      <c r="BY277">
        <f t="shared" ca="1" si="275"/>
        <v>62.734150883890571</v>
      </c>
      <c r="BZ277">
        <f t="shared" ca="1" si="330"/>
        <v>13.318356114672797</v>
      </c>
      <c r="CA277">
        <f t="shared" ca="1" si="331"/>
        <v>60.499999966724999</v>
      </c>
      <c r="CB277">
        <f t="shared" ca="1" si="276"/>
        <v>4.5133587786259541</v>
      </c>
      <c r="CC277" s="1018">
        <f t="shared" si="332"/>
        <v>0</v>
      </c>
      <c r="CD277" s="1018">
        <f ca="1">SUM(BX277:CC277)+(BR277+BS277+BT277+BU277+BV277)*BN277</f>
        <v>190.51803397348269</v>
      </c>
      <c r="CE277" s="1018">
        <f t="shared" ref="CE277:CE335" ca="1" si="344">0.34*BO277*(1/25)^0.66*(BR277+BS277+BU277+BV277)</f>
        <v>54.61311657484039</v>
      </c>
      <c r="CF277">
        <f t="shared" ca="1" si="333"/>
        <v>7.3539345164496925</v>
      </c>
      <c r="CG277">
        <f t="shared" ca="1" si="334"/>
        <v>12244.00681250808</v>
      </c>
    </row>
    <row r="278" spans="1:85" x14ac:dyDescent="0.25">
      <c r="A278" s="556"/>
      <c r="B278" s="562"/>
      <c r="C278" s="556"/>
      <c r="D278" s="557"/>
      <c r="E278" s="556"/>
      <c r="F278" s="557"/>
      <c r="G278" s="556"/>
      <c r="H278" s="557"/>
      <c r="I278" s="556"/>
      <c r="J278" s="557"/>
      <c r="K278" s="557"/>
      <c r="L278" s="557"/>
      <c r="M278" s="557"/>
      <c r="N278" s="557"/>
      <c r="O278" s="557" t="s">
        <v>18</v>
      </c>
      <c r="P278" s="559">
        <v>0.89156626500000002</v>
      </c>
      <c r="Q278" s="557" t="s">
        <v>7</v>
      </c>
      <c r="R278" s="559">
        <v>7.4300000000000005E-2</v>
      </c>
      <c r="S278" s="557"/>
      <c r="T278" s="567">
        <v>4.1499109058517101E-4</v>
      </c>
      <c r="U278" s="556"/>
      <c r="V278" s="176">
        <f t="shared" si="335"/>
        <v>4.1499109058517101E-4</v>
      </c>
      <c r="W278" s="176">
        <f t="shared" ref="W278:X285" si="345">V278</f>
        <v>4.1499109058517101E-4</v>
      </c>
      <c r="X278" s="176">
        <f t="shared" si="345"/>
        <v>4.1499109058517101E-4</v>
      </c>
      <c r="Y278" s="34">
        <f>X278/Calculation_sheet!M$67</f>
        <v>4.1499957567089858E-4</v>
      </c>
      <c r="Z278" s="176">
        <f ca="1">IF(AN278&gt;0,Y278*Calculation_sheet!C$87,0)</f>
        <v>0</v>
      </c>
      <c r="AA278" s="176">
        <f t="shared" ca="1" si="326"/>
        <v>4.1499957567089858E-4</v>
      </c>
      <c r="AB278" s="176">
        <f ca="1">IF(AP278&gt;0,AA278*Calculation_sheet!C$94,0)</f>
        <v>0</v>
      </c>
      <c r="AC278" s="176">
        <f t="shared" ca="1" si="336"/>
        <v>4.1499957567089858E-4</v>
      </c>
      <c r="AD278" s="958">
        <f ca="1">AC278*Calculation_sheet!C$99</f>
        <v>2.4899974540253914E-4</v>
      </c>
      <c r="AE278" s="176">
        <f t="shared" ca="1" si="336"/>
        <v>1.6599983026835944E-4</v>
      </c>
      <c r="AF278" s="176">
        <f t="shared" ref="AF278:AF341" ca="1" si="346">Y278-AB278</f>
        <v>4.1499957567089858E-4</v>
      </c>
      <c r="AG278" s="958">
        <f ca="1">AF278*User_sheet!B$77/100</f>
        <v>0</v>
      </c>
      <c r="AH278" s="313"/>
      <c r="AI278" s="908">
        <v>203</v>
      </c>
      <c r="AJ278" s="313"/>
      <c r="AK278" s="1020">
        <f t="shared" ca="1" si="329"/>
        <v>190.51803397348269</v>
      </c>
      <c r="AL278" s="954">
        <f ca="1">AK278/'203'!I$24</f>
        <v>0.66665855938329033</v>
      </c>
      <c r="AM278" s="954">
        <f ca="1">0.8*(AK278*30+'203'!D$17*0.34*30*1)</f>
        <v>7915.9971101004267</v>
      </c>
      <c r="AN278" s="954">
        <f ca="1">IF(AM278&lt;User_sheet!B$50,Y278,0)</f>
        <v>4.1499957567089858E-4</v>
      </c>
      <c r="AO278" s="954">
        <f ca="1">20-(User_sheet!B$57/(AK278+'203'!D$17*1*0.34))</f>
        <v>2.7185384106002424</v>
      </c>
      <c r="AP278" s="954">
        <f ca="1">IF(AO278&lt;User_sheet!B$59,0,BC278*AA278)</f>
        <v>0</v>
      </c>
      <c r="AQ278" s="313"/>
      <c r="AR278" s="909">
        <v>0.32</v>
      </c>
      <c r="AS278" s="1020">
        <v>0.59799999999999998</v>
      </c>
      <c r="AT278" s="909">
        <v>0.59</v>
      </c>
      <c r="AU278" s="909">
        <v>2.75</v>
      </c>
      <c r="AV278" s="909">
        <v>3.3</v>
      </c>
      <c r="AW278" s="909">
        <v>12257.141193582425</v>
      </c>
      <c r="AX278" s="909">
        <v>72298.2589500467</v>
      </c>
      <c r="AY278" s="909">
        <v>64021.679041832605</v>
      </c>
      <c r="AZ278" s="909">
        <v>0</v>
      </c>
      <c r="BA278" s="909">
        <v>0</v>
      </c>
      <c r="BB278" s="909">
        <v>0.6</v>
      </c>
      <c r="BC278" s="919">
        <v>1</v>
      </c>
      <c r="BD278" s="920">
        <v>0</v>
      </c>
      <c r="BE278" s="920">
        <v>0</v>
      </c>
      <c r="BF278" s="921">
        <v>0</v>
      </c>
      <c r="BG278" s="909">
        <v>1</v>
      </c>
      <c r="BH278" s="909">
        <v>0</v>
      </c>
      <c r="BI278" s="921">
        <v>0</v>
      </c>
      <c r="BJ278" s="909">
        <v>0</v>
      </c>
      <c r="BK278" s="909">
        <v>0</v>
      </c>
      <c r="BL278" s="909">
        <v>1</v>
      </c>
      <c r="BM278" s="921">
        <v>0</v>
      </c>
      <c r="BN278" s="958">
        <v>0.08</v>
      </c>
      <c r="BO278" s="959">
        <v>6</v>
      </c>
      <c r="BP278">
        <f t="shared" ca="1" si="337"/>
        <v>185.6</v>
      </c>
      <c r="BQ278">
        <f t="shared" ca="1" si="338"/>
        <v>361.17052631578946</v>
      </c>
      <c r="BR278">
        <f t="shared" ca="1" si="339"/>
        <v>84.1</v>
      </c>
      <c r="BS278">
        <f t="shared" ca="1" si="340"/>
        <v>115.78052631578947</v>
      </c>
      <c r="BT278">
        <f t="shared" ca="1" si="341"/>
        <v>75.400000000000006</v>
      </c>
      <c r="BU278">
        <f t="shared" ca="1" si="342"/>
        <v>22</v>
      </c>
      <c r="BV278">
        <f t="shared" ca="1" si="343"/>
        <v>2.15</v>
      </c>
      <c r="BW278" s="1018">
        <v>0</v>
      </c>
      <c r="BX278">
        <f t="shared" ca="1" si="274"/>
        <v>25.497726124305199</v>
      </c>
      <c r="BY278">
        <f t="shared" ca="1" si="275"/>
        <v>62.734150883890571</v>
      </c>
      <c r="BZ278">
        <f t="shared" ca="1" si="330"/>
        <v>13.318356114672797</v>
      </c>
      <c r="CA278">
        <f t="shared" ca="1" si="331"/>
        <v>60.499999966724999</v>
      </c>
      <c r="CB278">
        <f t="shared" ca="1" si="276"/>
        <v>4.5133587786259541</v>
      </c>
      <c r="CC278" s="1018">
        <f t="shared" si="332"/>
        <v>0</v>
      </c>
      <c r="CD278" s="1018">
        <f t="shared" ref="CD278:CD285" ca="1" si="347">SUM(BX278:CC278)+(BR278+BS278+BT278+BU278+BV278)*BN278</f>
        <v>190.51803397348269</v>
      </c>
      <c r="CE278" s="1018">
        <f t="shared" ca="1" si="344"/>
        <v>54.61311657484039</v>
      </c>
      <c r="CF278">
        <f t="shared" ca="1" si="333"/>
        <v>7.3539345164496925</v>
      </c>
      <c r="CG278">
        <f t="shared" ca="1" si="334"/>
        <v>12244.00681250808</v>
      </c>
    </row>
    <row r="279" spans="1:85" x14ac:dyDescent="0.25">
      <c r="A279" s="556"/>
      <c r="B279" s="562"/>
      <c r="C279" s="556"/>
      <c r="D279" s="557"/>
      <c r="E279" s="556"/>
      <c r="F279" s="557"/>
      <c r="G279" s="556"/>
      <c r="H279" s="557"/>
      <c r="I279" s="556"/>
      <c r="J279" s="557"/>
      <c r="K279" s="557"/>
      <c r="L279" s="557"/>
      <c r="M279" s="557"/>
      <c r="N279" s="557"/>
      <c r="O279" s="557"/>
      <c r="P279" s="557"/>
      <c r="Q279" s="557" t="s">
        <v>16</v>
      </c>
      <c r="R279" s="559">
        <v>0.92569999999999997</v>
      </c>
      <c r="S279" s="557"/>
      <c r="T279" s="567">
        <v>6.2882675696530313E-4</v>
      </c>
      <c r="U279" s="556"/>
      <c r="V279" s="176">
        <f t="shared" si="335"/>
        <v>6.2882675696530313E-4</v>
      </c>
      <c r="W279" s="176">
        <f t="shared" si="345"/>
        <v>6.2882675696530313E-4</v>
      </c>
      <c r="X279" s="176">
        <f t="shared" si="345"/>
        <v>6.2882675696530313E-4</v>
      </c>
      <c r="Y279" s="34">
        <f>X279/Calculation_sheet!M$67</f>
        <v>6.2883961422672803E-4</v>
      </c>
      <c r="Z279" s="176">
        <f ca="1">IF(AN279&gt;0,Y279*Calculation_sheet!C$87,0)</f>
        <v>0</v>
      </c>
      <c r="AA279" s="176">
        <f t="shared" ca="1" si="326"/>
        <v>6.2883961422672803E-4</v>
      </c>
      <c r="AB279" s="176">
        <f ca="1">IF(AP279&gt;0,AA279*Calculation_sheet!C$94,0)</f>
        <v>0</v>
      </c>
      <c r="AC279" s="176">
        <f t="shared" ca="1" si="336"/>
        <v>6.2883961422672803E-4</v>
      </c>
      <c r="AD279" s="958">
        <f ca="1">AC279*Calculation_sheet!C$99</f>
        <v>3.7730376853603679E-4</v>
      </c>
      <c r="AE279" s="176">
        <f t="shared" ca="1" si="336"/>
        <v>2.5153584569069125E-4</v>
      </c>
      <c r="AF279" s="176">
        <f t="shared" ca="1" si="346"/>
        <v>6.2883961422672803E-4</v>
      </c>
      <c r="AG279" s="958">
        <f ca="1">AF279*User_sheet!B$77/100</f>
        <v>0</v>
      </c>
      <c r="AH279" s="313"/>
      <c r="AI279" s="908">
        <v>203</v>
      </c>
      <c r="AJ279" s="313"/>
      <c r="AK279" s="1020">
        <f t="shared" ca="1" si="329"/>
        <v>190.51803397348269</v>
      </c>
      <c r="AL279" s="954">
        <f ca="1">AK279/'203'!I$24</f>
        <v>0.66665855938329033</v>
      </c>
      <c r="AM279" s="954">
        <f ca="1">0.8*(AK279*30+'203'!D$17*0.34*30*1)</f>
        <v>7915.9971101004267</v>
      </c>
      <c r="AN279" s="954">
        <f ca="1">IF(AM279&lt;User_sheet!B$50,Y279,0)</f>
        <v>6.2883961422672803E-4</v>
      </c>
      <c r="AO279" s="954">
        <f ca="1">20-(User_sheet!B$57/(AK279+'203'!D$17*1*0.34))</f>
        <v>2.7185384106002424</v>
      </c>
      <c r="AP279" s="954">
        <f ca="1">IF(AO279&lt;User_sheet!B$59,0,BC279*AA279)</f>
        <v>0</v>
      </c>
      <c r="AQ279" s="313"/>
      <c r="AR279" s="909">
        <v>0.32</v>
      </c>
      <c r="AS279" s="1020">
        <v>0.59799999999999998</v>
      </c>
      <c r="AT279" s="909">
        <v>0.59</v>
      </c>
      <c r="AU279" s="909">
        <v>2.75</v>
      </c>
      <c r="AV279" s="909">
        <v>3.3</v>
      </c>
      <c r="AW279" s="909">
        <v>12257.141193582425</v>
      </c>
      <c r="AX279" s="909">
        <v>72298.2589500467</v>
      </c>
      <c r="AY279" s="909">
        <v>64021.679041832605</v>
      </c>
      <c r="AZ279" s="909">
        <v>0</v>
      </c>
      <c r="BA279" s="909">
        <v>0</v>
      </c>
      <c r="BB279" s="909">
        <v>0.6</v>
      </c>
      <c r="BC279" s="919">
        <v>1</v>
      </c>
      <c r="BD279" s="920">
        <v>0</v>
      </c>
      <c r="BE279" s="920">
        <v>0</v>
      </c>
      <c r="BF279" s="921">
        <v>0</v>
      </c>
      <c r="BG279" s="909">
        <v>0</v>
      </c>
      <c r="BH279" s="909">
        <v>1</v>
      </c>
      <c r="BI279" s="921">
        <v>0</v>
      </c>
      <c r="BJ279" s="909">
        <v>1</v>
      </c>
      <c r="BK279" s="909">
        <v>0</v>
      </c>
      <c r="BL279" s="909">
        <v>0</v>
      </c>
      <c r="BM279" s="921">
        <v>0</v>
      </c>
      <c r="BN279" s="958">
        <v>0.08</v>
      </c>
      <c r="BO279" s="959">
        <v>6</v>
      </c>
      <c r="BP279">
        <f t="shared" ca="1" si="337"/>
        <v>185.6</v>
      </c>
      <c r="BQ279">
        <f t="shared" ca="1" si="338"/>
        <v>361.17052631578946</v>
      </c>
      <c r="BR279">
        <f t="shared" ca="1" si="339"/>
        <v>84.1</v>
      </c>
      <c r="BS279">
        <f t="shared" ca="1" si="340"/>
        <v>115.78052631578947</v>
      </c>
      <c r="BT279">
        <f t="shared" ca="1" si="341"/>
        <v>75.400000000000006</v>
      </c>
      <c r="BU279">
        <f t="shared" ca="1" si="342"/>
        <v>22</v>
      </c>
      <c r="BV279">
        <f t="shared" ca="1" si="343"/>
        <v>2.15</v>
      </c>
      <c r="BW279" s="1018">
        <v>0</v>
      </c>
      <c r="BX279">
        <f t="shared" ca="1" si="274"/>
        <v>25.497726124305199</v>
      </c>
      <c r="BY279">
        <f t="shared" ca="1" si="275"/>
        <v>62.734150883890571</v>
      </c>
      <c r="BZ279">
        <f t="shared" ca="1" si="330"/>
        <v>13.318356114672797</v>
      </c>
      <c r="CA279">
        <f t="shared" ca="1" si="331"/>
        <v>60.499999966724999</v>
      </c>
      <c r="CB279">
        <f t="shared" ca="1" si="276"/>
        <v>4.5133587786259541</v>
      </c>
      <c r="CC279" s="1018">
        <f t="shared" si="332"/>
        <v>0</v>
      </c>
      <c r="CD279" s="1018">
        <f t="shared" ca="1" si="347"/>
        <v>190.51803397348269</v>
      </c>
      <c r="CE279" s="1018">
        <f t="shared" ca="1" si="344"/>
        <v>54.61311657484039</v>
      </c>
      <c r="CF279">
        <f t="shared" ca="1" si="333"/>
        <v>7.3539345164496925</v>
      </c>
      <c r="CG279">
        <f t="shared" ca="1" si="334"/>
        <v>12244.00681250808</v>
      </c>
    </row>
    <row r="280" spans="1:85" x14ac:dyDescent="0.25">
      <c r="A280" s="556"/>
      <c r="B280" s="562"/>
      <c r="C280" s="556"/>
      <c r="D280" s="557"/>
      <c r="E280" s="556"/>
      <c r="F280" s="557"/>
      <c r="G280" s="556"/>
      <c r="H280" s="557"/>
      <c r="I280" s="556"/>
      <c r="J280" s="557"/>
      <c r="K280" s="557"/>
      <c r="L280" s="557"/>
      <c r="M280" s="557" t="s">
        <v>16</v>
      </c>
      <c r="N280" s="559">
        <v>0.41099999999999998</v>
      </c>
      <c r="O280" s="557" t="s">
        <v>19</v>
      </c>
      <c r="P280" s="559">
        <v>0.108433735</v>
      </c>
      <c r="Q280" s="557" t="s">
        <v>7</v>
      </c>
      <c r="R280" s="559">
        <v>7.4300000000000005E-2</v>
      </c>
      <c r="S280" s="557"/>
      <c r="T280" s="567">
        <v>5.0471889426943972E-5</v>
      </c>
      <c r="U280" s="556"/>
      <c r="V280" s="176">
        <f t="shared" si="335"/>
        <v>5.0471889426943972E-5</v>
      </c>
      <c r="W280" s="176">
        <f t="shared" si="345"/>
        <v>5.0471889426943972E-5</v>
      </c>
      <c r="X280" s="176">
        <f t="shared" si="345"/>
        <v>5.0471889426943972E-5</v>
      </c>
      <c r="Y280" s="34">
        <f>X280/Calculation_sheet!M$67</f>
        <v>5.0472921396830402E-5</v>
      </c>
      <c r="Z280" s="176">
        <f ca="1">IF(AN280&gt;0,Y280*Calculation_sheet!C$87,0)</f>
        <v>0</v>
      </c>
      <c r="AA280" s="176">
        <f t="shared" ca="1" si="326"/>
        <v>5.0472921396830402E-5</v>
      </c>
      <c r="AB280" s="176">
        <f ca="1">IF(AP280&gt;0,AA280*Calculation_sheet!C$94,0)</f>
        <v>0</v>
      </c>
      <c r="AC280" s="176">
        <f t="shared" ca="1" si="336"/>
        <v>5.0472921396830402E-5</v>
      </c>
      <c r="AD280" s="958">
        <f ca="1">AC280*Calculation_sheet!C$99</f>
        <v>3.0283752838098239E-5</v>
      </c>
      <c r="AE280" s="176">
        <f t="shared" ca="1" si="336"/>
        <v>2.0189168558732164E-5</v>
      </c>
      <c r="AF280" s="176">
        <f t="shared" ca="1" si="346"/>
        <v>5.0472921396830402E-5</v>
      </c>
      <c r="AG280" s="958">
        <f ca="1">AF280*User_sheet!B$77/100</f>
        <v>0</v>
      </c>
      <c r="AH280" s="313"/>
      <c r="AI280" s="908">
        <v>203</v>
      </c>
      <c r="AJ280" s="313"/>
      <c r="AK280" s="1020">
        <f t="shared" ca="1" si="329"/>
        <v>190.51803397348269</v>
      </c>
      <c r="AL280" s="954">
        <f ca="1">AK280/'203'!I$24</f>
        <v>0.66665855938329033</v>
      </c>
      <c r="AM280" s="954">
        <f ca="1">0.8*(AK280*30+'203'!D$17*0.34*30*1)</f>
        <v>7915.9971101004267</v>
      </c>
      <c r="AN280" s="954">
        <f ca="1">IF(AM280&lt;User_sheet!B$50,Y280,0)</f>
        <v>5.0472921396830402E-5</v>
      </c>
      <c r="AO280" s="954">
        <f ca="1">20-(User_sheet!B$57/(AK280+'203'!D$17*1*0.34))</f>
        <v>2.7185384106002424</v>
      </c>
      <c r="AP280" s="954">
        <f ca="1">IF(AO280&lt;User_sheet!B$59,0,BC280*AA280)</f>
        <v>0</v>
      </c>
      <c r="AQ280" s="313"/>
      <c r="AR280" s="909">
        <v>0.32</v>
      </c>
      <c r="AS280" s="1020">
        <v>0.59799999999999998</v>
      </c>
      <c r="AT280" s="909">
        <v>0.59</v>
      </c>
      <c r="AU280" s="909">
        <v>2.75</v>
      </c>
      <c r="AV280" s="909">
        <v>3.3</v>
      </c>
      <c r="AW280" s="909">
        <v>12257.141193582425</v>
      </c>
      <c r="AX280" s="909">
        <v>72298.2589500467</v>
      </c>
      <c r="AY280" s="909">
        <v>64021.679041832605</v>
      </c>
      <c r="AZ280" s="909">
        <v>0</v>
      </c>
      <c r="BA280" s="909">
        <v>0</v>
      </c>
      <c r="BB280" s="909">
        <v>0.6</v>
      </c>
      <c r="BC280" s="919">
        <v>1</v>
      </c>
      <c r="BD280" s="920">
        <v>0</v>
      </c>
      <c r="BE280" s="920">
        <v>0</v>
      </c>
      <c r="BF280" s="921">
        <v>0</v>
      </c>
      <c r="BG280" s="909">
        <v>0</v>
      </c>
      <c r="BH280" s="909">
        <v>1</v>
      </c>
      <c r="BI280" s="921">
        <v>0</v>
      </c>
      <c r="BJ280" s="909">
        <v>0</v>
      </c>
      <c r="BK280" s="909">
        <v>0</v>
      </c>
      <c r="BL280" s="909">
        <v>1</v>
      </c>
      <c r="BM280" s="921">
        <v>0</v>
      </c>
      <c r="BN280" s="958">
        <v>0.08</v>
      </c>
      <c r="BO280" s="959">
        <v>6</v>
      </c>
      <c r="BP280">
        <f t="shared" ca="1" si="337"/>
        <v>185.6</v>
      </c>
      <c r="BQ280">
        <f t="shared" ca="1" si="338"/>
        <v>361.17052631578946</v>
      </c>
      <c r="BR280">
        <f t="shared" ca="1" si="339"/>
        <v>84.1</v>
      </c>
      <c r="BS280">
        <f t="shared" ca="1" si="340"/>
        <v>115.78052631578947</v>
      </c>
      <c r="BT280">
        <f t="shared" ca="1" si="341"/>
        <v>75.400000000000006</v>
      </c>
      <c r="BU280">
        <f t="shared" ca="1" si="342"/>
        <v>22</v>
      </c>
      <c r="BV280">
        <f t="shared" ca="1" si="343"/>
        <v>2.15</v>
      </c>
      <c r="BW280" s="1018">
        <v>0</v>
      </c>
      <c r="BX280">
        <f t="shared" ca="1" si="274"/>
        <v>25.497726124305199</v>
      </c>
      <c r="BY280">
        <f t="shared" ca="1" si="275"/>
        <v>62.734150883890571</v>
      </c>
      <c r="BZ280">
        <f t="shared" ca="1" si="330"/>
        <v>13.318356114672797</v>
      </c>
      <c r="CA280">
        <f t="shared" ca="1" si="331"/>
        <v>60.499999966724999</v>
      </c>
      <c r="CB280">
        <f t="shared" ca="1" si="276"/>
        <v>4.5133587786259541</v>
      </c>
      <c r="CC280" s="1018">
        <f t="shared" si="332"/>
        <v>0</v>
      </c>
      <c r="CD280" s="1018">
        <f t="shared" ca="1" si="347"/>
        <v>190.51803397348269</v>
      </c>
      <c r="CE280" s="1018">
        <f t="shared" ca="1" si="344"/>
        <v>54.61311657484039</v>
      </c>
      <c r="CF280">
        <f t="shared" ca="1" si="333"/>
        <v>7.3539345164496925</v>
      </c>
      <c r="CG280">
        <f t="shared" ca="1" si="334"/>
        <v>12244.00681250808</v>
      </c>
    </row>
    <row r="281" spans="1:85" x14ac:dyDescent="0.25">
      <c r="A281" s="556"/>
      <c r="B281" s="562"/>
      <c r="C281" s="556"/>
      <c r="D281" s="557"/>
      <c r="E281" s="556"/>
      <c r="F281" s="557"/>
      <c r="G281" s="556"/>
      <c r="H281" s="557"/>
      <c r="I281" s="556"/>
      <c r="J281" s="557"/>
      <c r="K281" s="557"/>
      <c r="L281" s="557"/>
      <c r="M281" s="557"/>
      <c r="N281" s="557"/>
      <c r="O281" s="557"/>
      <c r="P281" s="557"/>
      <c r="Q281" s="557" t="s">
        <v>22</v>
      </c>
      <c r="R281" s="559">
        <v>0.60750000000000004</v>
      </c>
      <c r="S281" s="557"/>
      <c r="T281" s="567">
        <v>4.1083803609144685E-3</v>
      </c>
      <c r="U281" s="556"/>
      <c r="V281" s="176">
        <f t="shared" si="335"/>
        <v>4.1083803609144685E-3</v>
      </c>
      <c r="W281" s="176">
        <f t="shared" si="345"/>
        <v>4.1083803609144685E-3</v>
      </c>
      <c r="X281" s="176">
        <f t="shared" si="345"/>
        <v>4.1083803609144685E-3</v>
      </c>
      <c r="Y281" s="34">
        <f>X281/Calculation_sheet!M$67</f>
        <v>4.1084643626204198E-3</v>
      </c>
      <c r="Z281" s="176">
        <f ca="1">IF(AN281&gt;0,Y281*Calculation_sheet!C$87,0)</f>
        <v>0</v>
      </c>
      <c r="AA281" s="176">
        <f t="shared" ca="1" si="326"/>
        <v>4.1084643626204198E-3</v>
      </c>
      <c r="AB281" s="176">
        <f ca="1">IF(AP281&gt;0,AA281*Calculation_sheet!C$94,0)</f>
        <v>0</v>
      </c>
      <c r="AC281" s="176">
        <f t="shared" ca="1" si="336"/>
        <v>4.1084643626204198E-3</v>
      </c>
      <c r="AD281" s="958">
        <f ca="1">AC281*Calculation_sheet!C$99</f>
        <v>2.4650786175722519E-3</v>
      </c>
      <c r="AE281" s="176">
        <f t="shared" ca="1" si="336"/>
        <v>1.6433857450481679E-3</v>
      </c>
      <c r="AF281" s="176">
        <f t="shared" ca="1" si="346"/>
        <v>4.1084643626204198E-3</v>
      </c>
      <c r="AG281" s="958">
        <f ca="1">AF281*User_sheet!B$77/100</f>
        <v>0</v>
      </c>
      <c r="AH281" s="313"/>
      <c r="AI281" s="908">
        <v>203</v>
      </c>
      <c r="AJ281" s="313"/>
      <c r="AK281" s="1020">
        <f t="shared" ca="1" si="329"/>
        <v>190.51803397348269</v>
      </c>
      <c r="AL281" s="954">
        <f ca="1">AK281/'203'!I$24</f>
        <v>0.66665855938329033</v>
      </c>
      <c r="AM281" s="954">
        <f ca="1">0.8*(AK281*30+'203'!D$17*0.34*30*1)</f>
        <v>7915.9971101004267</v>
      </c>
      <c r="AN281" s="954">
        <f ca="1">IF(AM281&lt;User_sheet!B$50,Y281,0)</f>
        <v>4.1084643626204198E-3</v>
      </c>
      <c r="AO281" s="954">
        <f ca="1">20-(User_sheet!B$57/(AK281+'203'!D$17*1*0.34))</f>
        <v>2.7185384106002424</v>
      </c>
      <c r="AP281" s="954">
        <f ca="1">IF(AO281&lt;User_sheet!B$59,0,BC281*AA281)</f>
        <v>0</v>
      </c>
      <c r="AQ281" s="313"/>
      <c r="AR281" s="909">
        <v>0.32</v>
      </c>
      <c r="AS281" s="1020">
        <v>0.59799999999999998</v>
      </c>
      <c r="AT281" s="909">
        <v>0.59</v>
      </c>
      <c r="AU281" s="909">
        <v>2.75</v>
      </c>
      <c r="AV281" s="909">
        <v>3.3</v>
      </c>
      <c r="AW281" s="909">
        <v>12257.141193582425</v>
      </c>
      <c r="AX281" s="909">
        <v>72298.2589500467</v>
      </c>
      <c r="AY281" s="909">
        <v>64021.679041832605</v>
      </c>
      <c r="AZ281" s="909">
        <v>0</v>
      </c>
      <c r="BA281" s="909">
        <v>0</v>
      </c>
      <c r="BB281" s="909">
        <v>0.6</v>
      </c>
      <c r="BC281" s="919">
        <v>0</v>
      </c>
      <c r="BD281" s="920">
        <v>1</v>
      </c>
      <c r="BE281" s="920">
        <v>0</v>
      </c>
      <c r="BF281" s="921">
        <v>0</v>
      </c>
      <c r="BG281" s="909">
        <v>1</v>
      </c>
      <c r="BH281" s="909">
        <v>0</v>
      </c>
      <c r="BI281" s="921">
        <v>0</v>
      </c>
      <c r="BJ281" s="909">
        <v>0</v>
      </c>
      <c r="BK281" s="909">
        <v>1</v>
      </c>
      <c r="BL281" s="909">
        <v>0</v>
      </c>
      <c r="BM281" s="921">
        <v>0</v>
      </c>
      <c r="BN281" s="958">
        <v>0.08</v>
      </c>
      <c r="BO281" s="959">
        <v>6</v>
      </c>
      <c r="BP281">
        <f t="shared" ca="1" si="337"/>
        <v>185.6</v>
      </c>
      <c r="BQ281">
        <f t="shared" ca="1" si="338"/>
        <v>361.17052631578946</v>
      </c>
      <c r="BR281">
        <f t="shared" ca="1" si="339"/>
        <v>84.1</v>
      </c>
      <c r="BS281">
        <f t="shared" ca="1" si="340"/>
        <v>115.78052631578947</v>
      </c>
      <c r="BT281">
        <f t="shared" ca="1" si="341"/>
        <v>75.400000000000006</v>
      </c>
      <c r="BU281">
        <f t="shared" ca="1" si="342"/>
        <v>22</v>
      </c>
      <c r="BV281">
        <f t="shared" ca="1" si="343"/>
        <v>2.15</v>
      </c>
      <c r="BW281" s="1018">
        <v>0</v>
      </c>
      <c r="BX281">
        <f t="shared" ca="1" si="274"/>
        <v>25.497726124305199</v>
      </c>
      <c r="BY281">
        <f t="shared" ca="1" si="275"/>
        <v>62.734150883890571</v>
      </c>
      <c r="BZ281">
        <f t="shared" ca="1" si="330"/>
        <v>13.318356114672797</v>
      </c>
      <c r="CA281">
        <f t="shared" ca="1" si="331"/>
        <v>60.499999966724999</v>
      </c>
      <c r="CB281">
        <f t="shared" ca="1" si="276"/>
        <v>4.5133587786259541</v>
      </c>
      <c r="CC281" s="1018">
        <f t="shared" si="332"/>
        <v>0</v>
      </c>
      <c r="CD281" s="1018">
        <f t="shared" ca="1" si="347"/>
        <v>190.51803397348269</v>
      </c>
      <c r="CE281" s="1018">
        <f t="shared" ca="1" si="344"/>
        <v>54.61311657484039</v>
      </c>
      <c r="CF281">
        <f t="shared" ca="1" si="333"/>
        <v>7.3539345164496925</v>
      </c>
      <c r="CG281">
        <f t="shared" ca="1" si="334"/>
        <v>12244.00681250808</v>
      </c>
    </row>
    <row r="282" spans="1:85" x14ac:dyDescent="0.25">
      <c r="A282" s="556"/>
      <c r="B282" s="562"/>
      <c r="C282" s="556"/>
      <c r="D282" s="557"/>
      <c r="E282" s="556"/>
      <c r="F282" s="557"/>
      <c r="G282" s="556"/>
      <c r="H282" s="557"/>
      <c r="I282" s="556"/>
      <c r="J282" s="557"/>
      <c r="K282" s="557"/>
      <c r="L282" s="557"/>
      <c r="M282" s="557"/>
      <c r="N282" s="557"/>
      <c r="O282" s="557" t="s">
        <v>18</v>
      </c>
      <c r="P282" s="559">
        <v>0.94399999999999995</v>
      </c>
      <c r="Q282" s="557" t="s">
        <v>7</v>
      </c>
      <c r="R282" s="559">
        <v>0.39250000000000002</v>
      </c>
      <c r="S282" s="557"/>
      <c r="T282" s="567">
        <v>2.6543856652821878E-3</v>
      </c>
      <c r="U282" s="556"/>
      <c r="V282" s="176">
        <f t="shared" si="335"/>
        <v>2.6543856652821878E-3</v>
      </c>
      <c r="W282" s="176">
        <f t="shared" si="345"/>
        <v>2.6543856652821878E-3</v>
      </c>
      <c r="X282" s="176">
        <f t="shared" si="345"/>
        <v>2.6543856652821878E-3</v>
      </c>
      <c r="Y282" s="34">
        <f>X282/Calculation_sheet!M$67</f>
        <v>2.6544399379893253E-3</v>
      </c>
      <c r="Z282" s="176">
        <f ca="1">IF(AN282&gt;0,Y282*Calculation_sheet!C$87,0)</f>
        <v>0</v>
      </c>
      <c r="AA282" s="176">
        <f t="shared" ca="1" si="326"/>
        <v>2.6544399379893253E-3</v>
      </c>
      <c r="AB282" s="176">
        <f ca="1">IF(AP282&gt;0,AA282*Calculation_sheet!C$94,0)</f>
        <v>0</v>
      </c>
      <c r="AC282" s="176">
        <f t="shared" ca="1" si="336"/>
        <v>2.6544399379893253E-3</v>
      </c>
      <c r="AD282" s="958">
        <f ca="1">AC282*Calculation_sheet!C$99</f>
        <v>1.5926639627935951E-3</v>
      </c>
      <c r="AE282" s="176">
        <f t="shared" ca="1" si="336"/>
        <v>1.0617759751957302E-3</v>
      </c>
      <c r="AF282" s="176">
        <f t="shared" ca="1" si="346"/>
        <v>2.6544399379893253E-3</v>
      </c>
      <c r="AG282" s="958">
        <f ca="1">AF282*User_sheet!B$77/100</f>
        <v>0</v>
      </c>
      <c r="AH282" s="313"/>
      <c r="AI282" s="908">
        <v>203</v>
      </c>
      <c r="AJ282" s="313"/>
      <c r="AK282" s="1020">
        <f t="shared" ca="1" si="329"/>
        <v>190.51803397348269</v>
      </c>
      <c r="AL282" s="954">
        <f ca="1">AK282/'203'!I$24</f>
        <v>0.66665855938329033</v>
      </c>
      <c r="AM282" s="954">
        <f ca="1">0.8*(AK282*30+'203'!D$17*0.34*30*1)</f>
        <v>7915.9971101004267</v>
      </c>
      <c r="AN282" s="954">
        <f ca="1">IF(AM282&lt;User_sheet!B$50,Y282,0)</f>
        <v>2.6544399379893253E-3</v>
      </c>
      <c r="AO282" s="954">
        <f ca="1">20-(User_sheet!B$57/(AK282+'203'!D$17*1*0.34))</f>
        <v>2.7185384106002424</v>
      </c>
      <c r="AP282" s="954">
        <f ca="1">IF(AO282&lt;User_sheet!B$59,0,BC282*AA282)</f>
        <v>0</v>
      </c>
      <c r="AQ282" s="313"/>
      <c r="AR282" s="909">
        <v>0.32</v>
      </c>
      <c r="AS282" s="1020">
        <v>0.59799999999999998</v>
      </c>
      <c r="AT282" s="909">
        <v>0.59</v>
      </c>
      <c r="AU282" s="909">
        <v>2.75</v>
      </c>
      <c r="AV282" s="909">
        <v>3.3</v>
      </c>
      <c r="AW282" s="909">
        <v>12257.141193582425</v>
      </c>
      <c r="AX282" s="909">
        <v>72298.2589500467</v>
      </c>
      <c r="AY282" s="909">
        <v>64021.679041832605</v>
      </c>
      <c r="AZ282" s="909">
        <v>0</v>
      </c>
      <c r="BA282" s="909">
        <v>0</v>
      </c>
      <c r="BB282" s="909">
        <v>0.6</v>
      </c>
      <c r="BC282" s="919">
        <v>0</v>
      </c>
      <c r="BD282" s="920">
        <v>1</v>
      </c>
      <c r="BE282" s="920">
        <v>0</v>
      </c>
      <c r="BF282" s="921">
        <v>0</v>
      </c>
      <c r="BG282" s="909">
        <v>1</v>
      </c>
      <c r="BH282" s="909">
        <v>0</v>
      </c>
      <c r="BI282" s="921">
        <v>0</v>
      </c>
      <c r="BJ282" s="909">
        <v>0</v>
      </c>
      <c r="BK282" s="909">
        <v>0</v>
      </c>
      <c r="BL282" s="909">
        <v>1</v>
      </c>
      <c r="BM282" s="921">
        <v>0</v>
      </c>
      <c r="BN282" s="958">
        <v>0.08</v>
      </c>
      <c r="BO282" s="959">
        <v>6</v>
      </c>
      <c r="BP282">
        <f t="shared" ca="1" si="337"/>
        <v>185.6</v>
      </c>
      <c r="BQ282">
        <f t="shared" ca="1" si="338"/>
        <v>361.17052631578946</v>
      </c>
      <c r="BR282">
        <f t="shared" ca="1" si="339"/>
        <v>84.1</v>
      </c>
      <c r="BS282">
        <f t="shared" ca="1" si="340"/>
        <v>115.78052631578947</v>
      </c>
      <c r="BT282">
        <f t="shared" ca="1" si="341"/>
        <v>75.400000000000006</v>
      </c>
      <c r="BU282">
        <f t="shared" ca="1" si="342"/>
        <v>22</v>
      </c>
      <c r="BV282">
        <f t="shared" ca="1" si="343"/>
        <v>2.15</v>
      </c>
      <c r="BW282" s="1018">
        <v>0</v>
      </c>
      <c r="BX282">
        <f t="shared" ca="1" si="274"/>
        <v>25.497726124305199</v>
      </c>
      <c r="BY282">
        <f t="shared" ca="1" si="275"/>
        <v>62.734150883890571</v>
      </c>
      <c r="BZ282">
        <f t="shared" ca="1" si="330"/>
        <v>13.318356114672797</v>
      </c>
      <c r="CA282">
        <f t="shared" ca="1" si="331"/>
        <v>60.499999966724999</v>
      </c>
      <c r="CB282">
        <f t="shared" ca="1" si="276"/>
        <v>4.5133587786259541</v>
      </c>
      <c r="CC282" s="1018">
        <f t="shared" si="332"/>
        <v>0</v>
      </c>
      <c r="CD282" s="1018">
        <f t="shared" ca="1" si="347"/>
        <v>190.51803397348269</v>
      </c>
      <c r="CE282" s="1018">
        <f t="shared" ca="1" si="344"/>
        <v>54.61311657484039</v>
      </c>
      <c r="CF282">
        <f t="shared" ca="1" si="333"/>
        <v>7.3539345164496925</v>
      </c>
      <c r="CG282">
        <f t="shared" ca="1" si="334"/>
        <v>12244.00681250808</v>
      </c>
    </row>
    <row r="283" spans="1:85" x14ac:dyDescent="0.25">
      <c r="A283" s="556"/>
      <c r="B283" s="556"/>
      <c r="C283" s="556"/>
      <c r="D283" s="557"/>
      <c r="E283" s="556"/>
      <c r="F283" s="557"/>
      <c r="G283" s="556"/>
      <c r="H283" s="557"/>
      <c r="I283" s="556"/>
      <c r="J283" s="557"/>
      <c r="K283" s="557"/>
      <c r="L283" s="557"/>
      <c r="M283" s="557"/>
      <c r="N283" s="557"/>
      <c r="O283" s="557"/>
      <c r="P283" s="557"/>
      <c r="Q283" s="557" t="s">
        <v>22</v>
      </c>
      <c r="R283" s="559">
        <v>0.39250000000000002</v>
      </c>
      <c r="S283" s="557"/>
      <c r="T283" s="567">
        <v>1.57463556415045E-4</v>
      </c>
      <c r="U283" s="556"/>
      <c r="V283" s="176">
        <f t="shared" si="335"/>
        <v>1.57463556415045E-4</v>
      </c>
      <c r="W283" s="176">
        <f t="shared" si="345"/>
        <v>1.57463556415045E-4</v>
      </c>
      <c r="X283" s="176">
        <f t="shared" si="345"/>
        <v>1.57463556415045E-4</v>
      </c>
      <c r="Y283" s="34">
        <f>X283/Calculation_sheet!M$67</f>
        <v>1.5746677598241758E-4</v>
      </c>
      <c r="Z283" s="176">
        <f ca="1">IF(AN283&gt;0,Y283*Calculation_sheet!C$87,0)</f>
        <v>0</v>
      </c>
      <c r="AA283" s="176">
        <f t="shared" ca="1" si="326"/>
        <v>1.5746677598241758E-4</v>
      </c>
      <c r="AB283" s="176">
        <f ca="1">IF(AP283&gt;0,AA283*Calculation_sheet!C$94,0)</f>
        <v>0</v>
      </c>
      <c r="AC283" s="176">
        <f t="shared" ca="1" si="336"/>
        <v>1.5746677598241758E-4</v>
      </c>
      <c r="AD283" s="958">
        <f ca="1">AC283*Calculation_sheet!C$99</f>
        <v>9.4480065589450541E-5</v>
      </c>
      <c r="AE283" s="176">
        <f t="shared" ca="1" si="336"/>
        <v>6.2986710392967036E-5</v>
      </c>
      <c r="AF283" s="176">
        <f t="shared" ca="1" si="346"/>
        <v>1.5746677598241758E-4</v>
      </c>
      <c r="AG283" s="958">
        <f ca="1">AF283*User_sheet!B$77/100</f>
        <v>0</v>
      </c>
      <c r="AH283" s="313"/>
      <c r="AI283" s="908">
        <v>203</v>
      </c>
      <c r="AJ283" s="313"/>
      <c r="AK283" s="1020">
        <f t="shared" ca="1" si="329"/>
        <v>190.51803397348269</v>
      </c>
      <c r="AL283" s="954">
        <f ca="1">AK283/'203'!I$24</f>
        <v>0.66665855938329033</v>
      </c>
      <c r="AM283" s="954">
        <f ca="1">0.8*(AK283*30+'203'!D$17*0.34*30*1)</f>
        <v>7915.9971101004267</v>
      </c>
      <c r="AN283" s="954">
        <f ca="1">IF(AM283&lt;User_sheet!B$50,Y283,0)</f>
        <v>1.5746677598241758E-4</v>
      </c>
      <c r="AO283" s="954">
        <f ca="1">20-(User_sheet!B$57/(AK283+'203'!D$17*1*0.34))</f>
        <v>2.7185384106002424</v>
      </c>
      <c r="AP283" s="954">
        <f ca="1">IF(AO283&lt;User_sheet!B$59,0,BC283*AA283)</f>
        <v>0</v>
      </c>
      <c r="AQ283" s="313"/>
      <c r="AR283" s="909">
        <v>0.32</v>
      </c>
      <c r="AS283" s="1020">
        <v>0.59799999999999998</v>
      </c>
      <c r="AT283" s="909">
        <v>0.59</v>
      </c>
      <c r="AU283" s="909">
        <v>2.75</v>
      </c>
      <c r="AV283" s="909">
        <v>3.3</v>
      </c>
      <c r="AW283" s="909">
        <v>12257.141193582425</v>
      </c>
      <c r="AX283" s="909">
        <v>72298.2589500467</v>
      </c>
      <c r="AY283" s="909">
        <v>64021.679041832605</v>
      </c>
      <c r="AZ283" s="909">
        <v>0</v>
      </c>
      <c r="BA283" s="909">
        <v>0</v>
      </c>
      <c r="BB283" s="909">
        <v>0.6</v>
      </c>
      <c r="BC283" s="919">
        <v>0</v>
      </c>
      <c r="BD283" s="920">
        <v>1</v>
      </c>
      <c r="BE283" s="920">
        <v>0</v>
      </c>
      <c r="BF283" s="921">
        <v>0</v>
      </c>
      <c r="BG283" s="909">
        <v>0</v>
      </c>
      <c r="BH283" s="909">
        <v>1</v>
      </c>
      <c r="BI283" s="921">
        <v>0</v>
      </c>
      <c r="BJ283" s="909">
        <v>0</v>
      </c>
      <c r="BK283" s="909">
        <v>1</v>
      </c>
      <c r="BL283" s="909">
        <v>0</v>
      </c>
      <c r="BM283" s="921">
        <v>0</v>
      </c>
      <c r="BN283" s="958">
        <v>0.08</v>
      </c>
      <c r="BO283" s="959">
        <v>6</v>
      </c>
      <c r="BP283">
        <f t="shared" ca="1" si="337"/>
        <v>185.6</v>
      </c>
      <c r="BQ283">
        <f t="shared" ca="1" si="338"/>
        <v>361.17052631578946</v>
      </c>
      <c r="BR283">
        <f t="shared" ca="1" si="339"/>
        <v>84.1</v>
      </c>
      <c r="BS283">
        <f t="shared" ca="1" si="340"/>
        <v>115.78052631578947</v>
      </c>
      <c r="BT283">
        <f t="shared" ca="1" si="341"/>
        <v>75.400000000000006</v>
      </c>
      <c r="BU283">
        <f t="shared" ca="1" si="342"/>
        <v>22</v>
      </c>
      <c r="BV283">
        <f t="shared" ca="1" si="343"/>
        <v>2.15</v>
      </c>
      <c r="BW283" s="1018">
        <v>0</v>
      </c>
      <c r="BX283">
        <f t="shared" ca="1" si="274"/>
        <v>25.497726124305199</v>
      </c>
      <c r="BY283">
        <f t="shared" ca="1" si="275"/>
        <v>62.734150883890571</v>
      </c>
      <c r="BZ283">
        <f t="shared" ca="1" si="330"/>
        <v>13.318356114672797</v>
      </c>
      <c r="CA283">
        <f t="shared" ca="1" si="331"/>
        <v>60.499999966724999</v>
      </c>
      <c r="CB283">
        <f t="shared" ca="1" si="276"/>
        <v>4.5133587786259541</v>
      </c>
      <c r="CC283" s="1018">
        <f t="shared" si="332"/>
        <v>0</v>
      </c>
      <c r="CD283" s="1018">
        <f t="shared" ca="1" si="347"/>
        <v>190.51803397348269</v>
      </c>
      <c r="CE283" s="1018">
        <f t="shared" ca="1" si="344"/>
        <v>54.61311657484039</v>
      </c>
      <c r="CF283">
        <f t="shared" ca="1" si="333"/>
        <v>7.3539345164496925</v>
      </c>
      <c r="CG283">
        <f t="shared" ca="1" si="334"/>
        <v>12244.00681250808</v>
      </c>
    </row>
    <row r="284" spans="1:85" x14ac:dyDescent="0.25">
      <c r="A284" s="556"/>
      <c r="B284" s="556"/>
      <c r="C284" s="556"/>
      <c r="D284" s="557"/>
      <c r="E284" s="556"/>
      <c r="F284" s="557"/>
      <c r="G284" s="556"/>
      <c r="H284" s="557"/>
      <c r="I284" s="556"/>
      <c r="J284" s="557"/>
      <c r="K284" s="557"/>
      <c r="L284" s="557"/>
      <c r="M284" s="557" t="s">
        <v>22</v>
      </c>
      <c r="N284" s="559">
        <v>0.47</v>
      </c>
      <c r="O284" s="557" t="s">
        <v>20</v>
      </c>
      <c r="P284" s="559">
        <v>5.6000000000000001E-2</v>
      </c>
      <c r="Q284" s="557" t="s">
        <v>7</v>
      </c>
      <c r="R284" s="559">
        <v>0.60750000000000004</v>
      </c>
      <c r="S284" s="557"/>
      <c r="T284" s="567">
        <v>2.4371747903729902E-4</v>
      </c>
      <c r="U284" s="556"/>
      <c r="V284" s="176">
        <f t="shared" si="335"/>
        <v>2.4371747903729902E-4</v>
      </c>
      <c r="W284" s="176">
        <f t="shared" si="345"/>
        <v>2.4371747903729902E-4</v>
      </c>
      <c r="X284" s="176">
        <f t="shared" si="345"/>
        <v>2.4371747903729902E-4</v>
      </c>
      <c r="Y284" s="34">
        <f>X284/Calculation_sheet!M$67</f>
        <v>2.43722462189347E-4</v>
      </c>
      <c r="Z284" s="176">
        <f ca="1">IF(AN284&gt;0,Y284*Calculation_sheet!C$87,0)</f>
        <v>0</v>
      </c>
      <c r="AA284" s="176">
        <f t="shared" ca="1" si="326"/>
        <v>2.43722462189347E-4</v>
      </c>
      <c r="AB284" s="176">
        <f ca="1">IF(AP284&gt;0,AA284*Calculation_sheet!C$94,0)</f>
        <v>0</v>
      </c>
      <c r="AC284" s="176">
        <f t="shared" ca="1" si="336"/>
        <v>2.43722462189347E-4</v>
      </c>
      <c r="AD284" s="958">
        <f ca="1">AC284*Calculation_sheet!C$99</f>
        <v>1.4623347731360819E-4</v>
      </c>
      <c r="AE284" s="176">
        <f t="shared" ca="1" si="336"/>
        <v>9.748898487573881E-5</v>
      </c>
      <c r="AF284" s="176">
        <f t="shared" ca="1" si="346"/>
        <v>2.43722462189347E-4</v>
      </c>
      <c r="AG284" s="958">
        <f ca="1">AF284*User_sheet!B$77/100</f>
        <v>0</v>
      </c>
      <c r="AH284" s="313"/>
      <c r="AI284" s="908">
        <v>203</v>
      </c>
      <c r="AJ284" s="313"/>
      <c r="AK284" s="1020">
        <f t="shared" ca="1" si="329"/>
        <v>190.51803397348269</v>
      </c>
      <c r="AL284" s="954">
        <f ca="1">AK284/'203'!I$24</f>
        <v>0.66665855938329033</v>
      </c>
      <c r="AM284" s="954">
        <f ca="1">0.8*(AK284*30+'203'!D$17*0.34*30*1)</f>
        <v>7915.9971101004267</v>
      </c>
      <c r="AN284" s="954">
        <f ca="1">IF(AM284&lt;User_sheet!B$50,Y284,0)</f>
        <v>2.43722462189347E-4</v>
      </c>
      <c r="AO284" s="954">
        <f ca="1">20-(User_sheet!B$57/(AK284+'203'!D$17*1*0.34))</f>
        <v>2.7185384106002424</v>
      </c>
      <c r="AP284" s="954">
        <f ca="1">IF(AO284&lt;User_sheet!B$59,0,BC284*AA284)</f>
        <v>0</v>
      </c>
      <c r="AQ284" s="313"/>
      <c r="AR284" s="909">
        <v>0.32</v>
      </c>
      <c r="AS284" s="1020">
        <v>0.59799999999999998</v>
      </c>
      <c r="AT284" s="909">
        <v>0.59</v>
      </c>
      <c r="AU284" s="909">
        <v>2.75</v>
      </c>
      <c r="AV284" s="909">
        <v>3.3</v>
      </c>
      <c r="AW284" s="909">
        <v>12257.141193582425</v>
      </c>
      <c r="AX284" s="909">
        <v>72298.2589500467</v>
      </c>
      <c r="AY284" s="909">
        <v>64021.679041832605</v>
      </c>
      <c r="AZ284" s="909">
        <v>0</v>
      </c>
      <c r="BA284" s="909">
        <v>0</v>
      </c>
      <c r="BB284" s="909">
        <v>0.6</v>
      </c>
      <c r="BC284" s="919">
        <v>0</v>
      </c>
      <c r="BD284" s="920">
        <v>1</v>
      </c>
      <c r="BE284" s="920">
        <v>0</v>
      </c>
      <c r="BF284" s="921">
        <v>0</v>
      </c>
      <c r="BG284" s="909">
        <v>0</v>
      </c>
      <c r="BH284" s="909">
        <v>1</v>
      </c>
      <c r="BI284" s="921">
        <v>0</v>
      </c>
      <c r="BJ284" s="909">
        <v>0</v>
      </c>
      <c r="BK284" s="909">
        <v>0</v>
      </c>
      <c r="BL284" s="909">
        <v>1</v>
      </c>
      <c r="BM284" s="921">
        <v>0</v>
      </c>
      <c r="BN284" s="958">
        <v>0.08</v>
      </c>
      <c r="BO284" s="959">
        <v>6</v>
      </c>
      <c r="BP284">
        <f t="shared" ca="1" si="337"/>
        <v>185.6</v>
      </c>
      <c r="BQ284">
        <f t="shared" ca="1" si="338"/>
        <v>361.17052631578946</v>
      </c>
      <c r="BR284">
        <f t="shared" ca="1" si="339"/>
        <v>84.1</v>
      </c>
      <c r="BS284">
        <f t="shared" ca="1" si="340"/>
        <v>115.78052631578947</v>
      </c>
      <c r="BT284">
        <f t="shared" ca="1" si="341"/>
        <v>75.400000000000006</v>
      </c>
      <c r="BU284">
        <f t="shared" ca="1" si="342"/>
        <v>22</v>
      </c>
      <c r="BV284">
        <f t="shared" ca="1" si="343"/>
        <v>2.15</v>
      </c>
      <c r="BW284" s="1018">
        <v>0</v>
      </c>
      <c r="BX284">
        <f t="shared" ref="BX284:BX347" ca="1" si="348">IF(BR284=0,0,1/(1/(BR284*$BY$3)+1/(BR284*AR284)+1/(BR284*$BY$4)))</f>
        <v>25.497726124305199</v>
      </c>
      <c r="BY284">
        <f t="shared" ref="BY284:BY347" ca="1" si="349">IF(BS284=0,0,1/(1/(BS284*$BY$3)+1/(BS284*AS284)+1/(BS284*$BY$4)))</f>
        <v>62.734150883890571</v>
      </c>
      <c r="BZ284">
        <f t="shared" ca="1" si="330"/>
        <v>13.318356114672797</v>
      </c>
      <c r="CA284">
        <f t="shared" ca="1" si="331"/>
        <v>60.499999966724999</v>
      </c>
      <c r="CB284">
        <f t="shared" ref="CB284:CB347" ca="1" si="350">IF(BV284=0,0,1/(1/(BV284*$BY$3)+1/(BV284*AV284)+1/(BV284*$BY$4)))</f>
        <v>4.5133587786259541</v>
      </c>
      <c r="CC284" s="1018">
        <f t="shared" si="332"/>
        <v>0</v>
      </c>
      <c r="CD284" s="1018">
        <f t="shared" ca="1" si="347"/>
        <v>190.51803397348269</v>
      </c>
      <c r="CE284" s="1018">
        <f t="shared" ca="1" si="344"/>
        <v>54.61311657484039</v>
      </c>
      <c r="CF284">
        <f t="shared" ca="1" si="333"/>
        <v>7.3539345164496925</v>
      </c>
      <c r="CG284">
        <f t="shared" ca="1" si="334"/>
        <v>12244.00681250808</v>
      </c>
    </row>
    <row r="285" spans="1:85" x14ac:dyDescent="0.25">
      <c r="A285" s="556"/>
      <c r="B285" s="556"/>
      <c r="C285" s="556"/>
      <c r="D285" s="557"/>
      <c r="E285" s="556" t="s">
        <v>4</v>
      </c>
      <c r="F285" s="561">
        <v>0.61</v>
      </c>
      <c r="G285" s="556" t="s">
        <v>5</v>
      </c>
      <c r="H285" s="561">
        <v>1</v>
      </c>
      <c r="I285" s="556" t="s">
        <v>6</v>
      </c>
      <c r="J285" s="561">
        <v>1</v>
      </c>
      <c r="K285" s="560" t="s">
        <v>12</v>
      </c>
      <c r="L285" s="561">
        <v>0.73899999999999999</v>
      </c>
      <c r="M285" s="557" t="s">
        <v>7</v>
      </c>
      <c r="N285" s="559">
        <v>0.11900000000000005</v>
      </c>
      <c r="O285" s="557" t="s">
        <v>23</v>
      </c>
      <c r="P285" s="559">
        <v>1</v>
      </c>
      <c r="Q285" s="557" t="s">
        <v>7</v>
      </c>
      <c r="R285" s="559">
        <v>1</v>
      </c>
      <c r="S285" s="557"/>
      <c r="T285" s="567">
        <v>1.8138504262473008E-3</v>
      </c>
      <c r="U285" s="556"/>
      <c r="V285" s="176">
        <f t="shared" si="335"/>
        <v>1.8138504262473008E-3</v>
      </c>
      <c r="W285" s="176">
        <f t="shared" si="345"/>
        <v>1.8138504262473008E-3</v>
      </c>
      <c r="X285" s="176">
        <f t="shared" si="345"/>
        <v>1.8138504262473008E-3</v>
      </c>
      <c r="Y285" s="34">
        <f>X285/Calculation_sheet!M$67</f>
        <v>1.8138875130106384E-3</v>
      </c>
      <c r="Z285" s="176">
        <f ca="1">IF(AN285&gt;0,Y285*Calculation_sheet!C$87,0)</f>
        <v>0</v>
      </c>
      <c r="AA285" s="176">
        <f t="shared" ca="1" si="326"/>
        <v>1.8138875130106384E-3</v>
      </c>
      <c r="AB285" s="176">
        <f ca="1">IF(AP285&gt;0,AA285*Calculation_sheet!C$94,0)</f>
        <v>0</v>
      </c>
      <c r="AC285" s="176">
        <f t="shared" ca="1" si="336"/>
        <v>1.8138875130106384E-3</v>
      </c>
      <c r="AD285" s="958">
        <f ca="1">AC285*Calculation_sheet!C$99</f>
        <v>1.0883325078063831E-3</v>
      </c>
      <c r="AE285" s="176">
        <f t="shared" ca="1" si="336"/>
        <v>7.2555500520425534E-4</v>
      </c>
      <c r="AF285" s="176">
        <f t="shared" ca="1" si="346"/>
        <v>1.8138875130106384E-3</v>
      </c>
      <c r="AG285" s="958">
        <f ca="1">AF285*User_sheet!B$77/100</f>
        <v>0</v>
      </c>
      <c r="AH285" s="313"/>
      <c r="AI285" s="908">
        <v>203</v>
      </c>
      <c r="AJ285" s="313"/>
      <c r="AK285" s="1020">
        <f t="shared" ca="1" si="329"/>
        <v>190.51803397348269</v>
      </c>
      <c r="AL285" s="954">
        <f ca="1">AK285/'203'!I$24</f>
        <v>0.66665855938329033</v>
      </c>
      <c r="AM285" s="954">
        <f ca="1">0.8*(AK285*30+'203'!D$17*0.34*30*1)</f>
        <v>7915.9971101004267</v>
      </c>
      <c r="AN285" s="954">
        <f ca="1">IF(AM285&lt;User_sheet!B$50,Y285,0)</f>
        <v>1.8138875130106384E-3</v>
      </c>
      <c r="AO285" s="954">
        <f ca="1">20-(User_sheet!B$57/(AK285+'203'!D$17*1*0.34))</f>
        <v>2.7185384106002424</v>
      </c>
      <c r="AP285" s="954">
        <f ca="1">IF(AO285&lt;User_sheet!B$59,0,BC285*AA285)</f>
        <v>0</v>
      </c>
      <c r="AQ285" s="313"/>
      <c r="AR285" s="909">
        <v>0.32</v>
      </c>
      <c r="AS285" s="1020">
        <v>0.59799999999999998</v>
      </c>
      <c r="AT285" s="909">
        <v>0.59</v>
      </c>
      <c r="AU285" s="909">
        <v>2.75</v>
      </c>
      <c r="AV285" s="909">
        <v>3.3</v>
      </c>
      <c r="AW285" s="909">
        <v>12257.141193582425</v>
      </c>
      <c r="AX285" s="909">
        <v>72298.2589500467</v>
      </c>
      <c r="AY285" s="909">
        <v>64021.679041832605</v>
      </c>
      <c r="AZ285" s="909">
        <v>0</v>
      </c>
      <c r="BA285" s="909">
        <v>0</v>
      </c>
      <c r="BB285" s="909">
        <v>0.6</v>
      </c>
      <c r="BC285" s="919">
        <v>0</v>
      </c>
      <c r="BD285" s="920">
        <v>0</v>
      </c>
      <c r="BE285" s="920">
        <v>1</v>
      </c>
      <c r="BF285" s="921">
        <v>0</v>
      </c>
      <c r="BG285" s="909">
        <v>0</v>
      </c>
      <c r="BH285" s="909">
        <v>0</v>
      </c>
      <c r="BI285" s="921">
        <v>1</v>
      </c>
      <c r="BJ285" s="909">
        <v>0</v>
      </c>
      <c r="BK285" s="909">
        <v>0</v>
      </c>
      <c r="BL285" s="909">
        <v>1</v>
      </c>
      <c r="BM285" s="921">
        <v>0</v>
      </c>
      <c r="BN285" s="958">
        <v>0.08</v>
      </c>
      <c r="BO285" s="959">
        <v>6</v>
      </c>
      <c r="BP285">
        <f t="shared" ca="1" si="337"/>
        <v>185.6</v>
      </c>
      <c r="BQ285">
        <f t="shared" ca="1" si="338"/>
        <v>361.17052631578946</v>
      </c>
      <c r="BR285">
        <f t="shared" ca="1" si="339"/>
        <v>84.1</v>
      </c>
      <c r="BS285">
        <f t="shared" ca="1" si="340"/>
        <v>115.78052631578947</v>
      </c>
      <c r="BT285">
        <f t="shared" ca="1" si="341"/>
        <v>75.400000000000006</v>
      </c>
      <c r="BU285">
        <f t="shared" ca="1" si="342"/>
        <v>22</v>
      </c>
      <c r="BV285">
        <f t="shared" ca="1" si="343"/>
        <v>2.15</v>
      </c>
      <c r="BW285" s="1018">
        <v>0</v>
      </c>
      <c r="BX285">
        <f t="shared" ca="1" si="348"/>
        <v>25.497726124305199</v>
      </c>
      <c r="BY285">
        <f t="shared" ca="1" si="349"/>
        <v>62.734150883890571</v>
      </c>
      <c r="BZ285">
        <f t="shared" ca="1" si="330"/>
        <v>13.318356114672797</v>
      </c>
      <c r="CA285">
        <f t="shared" ca="1" si="331"/>
        <v>60.499999966724999</v>
      </c>
      <c r="CB285">
        <f t="shared" ca="1" si="350"/>
        <v>4.5133587786259541</v>
      </c>
      <c r="CC285" s="1018">
        <f t="shared" si="332"/>
        <v>0</v>
      </c>
      <c r="CD285" s="1018">
        <f t="shared" ca="1" si="347"/>
        <v>190.51803397348269</v>
      </c>
      <c r="CE285" s="1018">
        <f t="shared" ca="1" si="344"/>
        <v>54.61311657484039</v>
      </c>
      <c r="CF285">
        <f t="shared" ca="1" si="333"/>
        <v>7.3539345164496925</v>
      </c>
      <c r="CG285">
        <f t="shared" ca="1" si="334"/>
        <v>12244.00681250808</v>
      </c>
    </row>
    <row r="286" spans="1:85" s="11" customFormat="1" x14ac:dyDescent="0.25">
      <c r="A286" s="564"/>
      <c r="B286" s="564"/>
      <c r="C286" s="564"/>
      <c r="D286" s="565"/>
      <c r="E286" s="564"/>
      <c r="F286" s="565"/>
      <c r="G286" s="564"/>
      <c r="H286" s="565"/>
      <c r="I286" s="564"/>
      <c r="J286" s="565"/>
      <c r="K286" s="566"/>
      <c r="L286" s="565"/>
      <c r="M286" s="565"/>
      <c r="N286" s="565"/>
      <c r="O286" s="565"/>
      <c r="P286" s="565"/>
      <c r="Q286" s="565"/>
      <c r="R286" s="565"/>
      <c r="S286" s="565"/>
      <c r="T286" s="568"/>
      <c r="U286" s="564"/>
      <c r="V286" s="293"/>
      <c r="W286" s="293"/>
      <c r="X286" s="293"/>
      <c r="Y286" s="278"/>
      <c r="Z286" s="292"/>
      <c r="AA286" s="292"/>
      <c r="AB286" s="292"/>
      <c r="AC286" s="292"/>
      <c r="AD286" s="277"/>
      <c r="AE286" s="292"/>
      <c r="AF286" s="292"/>
      <c r="AG286" s="277"/>
      <c r="AH286" s="313"/>
      <c r="AI286" s="912"/>
      <c r="AJ286" s="313"/>
      <c r="AK286" s="1020">
        <f t="shared" si="329"/>
        <v>0</v>
      </c>
      <c r="AL286" s="941"/>
      <c r="AM286" s="941"/>
      <c r="AN286" s="941"/>
      <c r="AO286" s="941"/>
      <c r="AP286" s="941"/>
      <c r="AQ286" s="313"/>
      <c r="AR286" s="912"/>
      <c r="AS286" s="955"/>
      <c r="AT286" s="912"/>
      <c r="AU286" s="912"/>
      <c r="AV286" s="912"/>
      <c r="AW286" s="912"/>
      <c r="AX286" s="912"/>
      <c r="AY286" s="912"/>
      <c r="AZ286" s="912"/>
      <c r="BA286" s="912"/>
      <c r="BB286" s="912"/>
      <c r="BC286" s="904"/>
      <c r="BD286" s="905"/>
      <c r="BE286" s="905"/>
      <c r="BF286" s="906"/>
      <c r="BG286" s="912"/>
      <c r="BH286" s="912"/>
      <c r="BI286" s="906"/>
      <c r="BJ286" s="912"/>
      <c r="BK286" s="912"/>
      <c r="BL286" s="912"/>
      <c r="BM286" s="906"/>
      <c r="BN286" s="278"/>
      <c r="BO286" s="52"/>
      <c r="BW286" s="946"/>
      <c r="CC286" s="946"/>
      <c r="CD286" s="946"/>
      <c r="CE286" s="946"/>
    </row>
    <row r="287" spans="1:85" s="3" customFormat="1" x14ac:dyDescent="0.25">
      <c r="A287" s="558"/>
      <c r="B287" s="558"/>
      <c r="C287" s="558"/>
      <c r="D287" s="562"/>
      <c r="E287" s="558"/>
      <c r="F287" s="562"/>
      <c r="G287" s="558"/>
      <c r="H287" s="562"/>
      <c r="I287" s="558"/>
      <c r="J287" s="562"/>
      <c r="K287" s="563"/>
      <c r="L287" s="562"/>
      <c r="M287" s="557"/>
      <c r="N287" s="557"/>
      <c r="O287" s="557"/>
      <c r="P287" s="557"/>
      <c r="Q287" s="557" t="s">
        <v>16</v>
      </c>
      <c r="R287" s="559">
        <v>0.92569999999999997</v>
      </c>
      <c r="S287" s="557"/>
      <c r="T287" s="567">
        <v>1.8260652498060343E-3</v>
      </c>
      <c r="U287" s="556"/>
      <c r="V287" s="176">
        <f t="shared" ref="V287:V295" si="351">T287</f>
        <v>1.8260652498060343E-3</v>
      </c>
      <c r="W287" s="176">
        <f>V287</f>
        <v>1.8260652498060343E-3</v>
      </c>
      <c r="X287" s="176">
        <f>W287</f>
        <v>1.8260652498060343E-3</v>
      </c>
      <c r="Y287" s="958">
        <f>X287/Calculation_sheet!M$67</f>
        <v>1.8261025863188904E-3</v>
      </c>
      <c r="Z287" s="176">
        <f ca="1">IF(AN287&gt;0,Y287*Calculation_sheet!C$87,0)</f>
        <v>0</v>
      </c>
      <c r="AA287" s="176">
        <f t="shared" ca="1" si="326"/>
        <v>1.8261025863188904E-3</v>
      </c>
      <c r="AB287" s="176">
        <f ca="1">IF(AP287&gt;0,AA287*Calculation_sheet!C$94,0)</f>
        <v>0</v>
      </c>
      <c r="AC287" s="176">
        <f t="shared" ref="AC287:AE295" ca="1" si="352">AA287-AB287</f>
        <v>1.8261025863188904E-3</v>
      </c>
      <c r="AD287" s="958">
        <f ca="1">AC287*Calculation_sheet!C$99</f>
        <v>1.0956615517913341E-3</v>
      </c>
      <c r="AE287" s="176">
        <f t="shared" ca="1" si="352"/>
        <v>7.3044103452755624E-4</v>
      </c>
      <c r="AF287" s="176">
        <f t="shared" ca="1" si="346"/>
        <v>1.8261025863188904E-3</v>
      </c>
      <c r="AG287" s="958">
        <f ca="1">AF287*User_sheet!B$77/100</f>
        <v>0</v>
      </c>
      <c r="AH287" s="313"/>
      <c r="AI287" s="908">
        <v>203</v>
      </c>
      <c r="AJ287" s="313"/>
      <c r="AK287" s="1020">
        <f t="shared" ca="1" si="329"/>
        <v>205.55333717830484</v>
      </c>
      <c r="AL287" s="954">
        <f ca="1">AK287/'203'!I$24</f>
        <v>0.71926992307084969</v>
      </c>
      <c r="AM287" s="954">
        <f ca="1">0.8*(AK287*30+'203'!D$17*0.34*30*1)</f>
        <v>8276.8443870161573</v>
      </c>
      <c r="AN287" s="954">
        <f ca="1">IF(AM287&lt;User_sheet!B$50,Y287,0)</f>
        <v>1.8261025863188904E-3</v>
      </c>
      <c r="AO287" s="954">
        <f ca="1">20-(User_sheet!B$57/(AK287+'203'!D$17*1*0.34))</f>
        <v>3.4719618246541621</v>
      </c>
      <c r="AP287" s="954">
        <f ca="1">IF(AO287&lt;User_sheet!B$59,0,BC287*AA287)</f>
        <v>0</v>
      </c>
      <c r="AQ287" s="313"/>
      <c r="AR287" s="908">
        <v>0.32</v>
      </c>
      <c r="AS287" s="1020">
        <v>0.59799999999999998</v>
      </c>
      <c r="AT287" s="908">
        <v>1.42</v>
      </c>
      <c r="AU287" s="908">
        <v>2.75</v>
      </c>
      <c r="AV287" s="908">
        <v>3.3</v>
      </c>
      <c r="AW287" s="908">
        <v>12257.141193582425</v>
      </c>
      <c r="AX287" s="908">
        <v>75945.51234133933</v>
      </c>
      <c r="AY287" s="908">
        <v>62673.095488422703</v>
      </c>
      <c r="AZ287" s="908">
        <v>0</v>
      </c>
      <c r="BA287" s="908">
        <v>0</v>
      </c>
      <c r="BB287" s="908">
        <v>0.6</v>
      </c>
      <c r="BC287" s="902">
        <v>1</v>
      </c>
      <c r="BD287" s="922">
        <v>0</v>
      </c>
      <c r="BE287" s="922">
        <v>0</v>
      </c>
      <c r="BF287" s="903">
        <v>0</v>
      </c>
      <c r="BG287" s="908">
        <v>1</v>
      </c>
      <c r="BH287" s="908">
        <v>0</v>
      </c>
      <c r="BI287" s="903">
        <v>0</v>
      </c>
      <c r="BJ287" s="908">
        <v>1</v>
      </c>
      <c r="BK287" s="908">
        <v>0</v>
      </c>
      <c r="BL287" s="908">
        <v>0</v>
      </c>
      <c r="BM287" s="903">
        <v>0</v>
      </c>
      <c r="BN287" s="958">
        <v>0.08</v>
      </c>
      <c r="BO287" s="959">
        <v>6</v>
      </c>
      <c r="BP287" s="3">
        <f t="shared" ref="BP287:BP295" ca="1" si="353">INDIRECT("'"&amp;AI287&amp;"'!"&amp;"B2")</f>
        <v>185.6</v>
      </c>
      <c r="BQ287" s="3">
        <f t="shared" ref="BQ287:BQ295" ca="1" si="354">INDIRECT("'"&amp;AI287&amp;"'!"&amp;"C12")+INDIRECT("'"&amp;AI287&amp;"'!"&amp;"C13")+INDIRECT("'"&amp;AI287&amp;"'!"&amp;"C14")+INDIRECT("'"&amp;AI287&amp;"'!"&amp;"C15")+INDIRECT("'"&amp;AI287&amp;"'!"&amp;"C17")</f>
        <v>361.17052631578946</v>
      </c>
      <c r="BR287" s="3">
        <f t="shared" ref="BR287:BR295" ca="1" si="355">INDIRECT("'"&amp;AI287&amp;"'!"&amp;"G5")</f>
        <v>84.1</v>
      </c>
      <c r="BS287" s="3">
        <f t="shared" ref="BS287:BS295" ca="1" si="356">INDIRECT("'"&amp;AI287&amp;"'!"&amp;"G4")</f>
        <v>115.78052631578947</v>
      </c>
      <c r="BT287" s="3">
        <f t="shared" ref="BT287:BT295" ca="1" si="357">INDIRECT("'"&amp;AI287&amp;"'!"&amp;"G6")</f>
        <v>75.400000000000006</v>
      </c>
      <c r="BU287" s="3">
        <f t="shared" ref="BU287:BU295" ca="1" si="358">INDIRECT("'"&amp;AI287&amp;"'!"&amp;"G2")</f>
        <v>22</v>
      </c>
      <c r="BV287" s="3">
        <f t="shared" ref="BV287:BV295" ca="1" si="359">INDIRECT("'"&amp;AI287&amp;"'!"&amp;"G3")</f>
        <v>2.15</v>
      </c>
      <c r="BW287" s="926">
        <v>0</v>
      </c>
      <c r="BX287" s="3">
        <f t="shared" ca="1" si="348"/>
        <v>25.497726124305199</v>
      </c>
      <c r="BY287" s="3">
        <f t="shared" ca="1" si="349"/>
        <v>62.734150883890571</v>
      </c>
      <c r="BZ287" s="3">
        <f t="shared" ca="1" si="330"/>
        <v>28.353659319494973</v>
      </c>
      <c r="CA287" s="3">
        <f t="shared" ca="1" si="331"/>
        <v>60.499999966724999</v>
      </c>
      <c r="CB287" s="3">
        <f t="shared" ca="1" si="350"/>
        <v>4.5133587786259541</v>
      </c>
      <c r="CC287" s="926">
        <f t="shared" si="332"/>
        <v>0</v>
      </c>
      <c r="CD287" s="1018">
        <f ca="1">SUM(BX287:CC287)+(BR287+BS287+BT287+BU287+BV287)*BN287</f>
        <v>205.55333717830484</v>
      </c>
      <c r="CE287" s="1018">
        <f t="shared" ca="1" si="344"/>
        <v>54.61311657484039</v>
      </c>
      <c r="CF287" s="3">
        <f t="shared" ca="1" si="333"/>
        <v>7.8049936125943571</v>
      </c>
      <c r="CG287" s="3">
        <f t="shared" ca="1" si="334"/>
        <v>12995.0021652251</v>
      </c>
    </row>
    <row r="288" spans="1:85" s="3" customFormat="1" x14ac:dyDescent="0.25">
      <c r="A288" s="558"/>
      <c r="B288" s="558"/>
      <c r="C288" s="558"/>
      <c r="D288" s="562"/>
      <c r="E288" s="558"/>
      <c r="F288" s="562"/>
      <c r="G288" s="558"/>
      <c r="H288" s="562"/>
      <c r="I288" s="558"/>
      <c r="J288" s="562"/>
      <c r="K288" s="563"/>
      <c r="L288" s="562"/>
      <c r="M288" s="557"/>
      <c r="N288" s="557"/>
      <c r="O288" s="557" t="s">
        <v>18</v>
      </c>
      <c r="P288" s="559">
        <v>0.89156626500000002</v>
      </c>
      <c r="Q288" s="557" t="s">
        <v>7</v>
      </c>
      <c r="R288" s="559">
        <v>7.4300000000000005E-2</v>
      </c>
      <c r="S288" s="557"/>
      <c r="T288" s="567">
        <v>1.4656654214171801E-4</v>
      </c>
      <c r="U288" s="556"/>
      <c r="V288" s="176">
        <f t="shared" si="351"/>
        <v>1.4656654214171801E-4</v>
      </c>
      <c r="W288" s="176">
        <f t="shared" ref="W288:W295" si="360">V288</f>
        <v>1.4656654214171801E-4</v>
      </c>
      <c r="X288" s="176">
        <f t="shared" ref="X288:X295" si="361">W288</f>
        <v>1.4656654214171801E-4</v>
      </c>
      <c r="Y288" s="958">
        <f>X288/Calculation_sheet!M$67</f>
        <v>1.4656953890406564E-4</v>
      </c>
      <c r="Z288" s="176">
        <f ca="1">IF(AN288&gt;0,Y288*Calculation_sheet!C$87,0)</f>
        <v>0</v>
      </c>
      <c r="AA288" s="176">
        <f t="shared" ca="1" si="326"/>
        <v>1.4656953890406564E-4</v>
      </c>
      <c r="AB288" s="176">
        <f ca="1">IF(AP288&gt;0,AA288*Calculation_sheet!C$94,0)</f>
        <v>0</v>
      </c>
      <c r="AC288" s="176">
        <f t="shared" ca="1" si="352"/>
        <v>1.4656953890406564E-4</v>
      </c>
      <c r="AD288" s="958">
        <f ca="1">AC288*Calculation_sheet!C$99</f>
        <v>8.794172334243939E-5</v>
      </c>
      <c r="AE288" s="176">
        <f t="shared" ca="1" si="352"/>
        <v>5.8627815561626255E-5</v>
      </c>
      <c r="AF288" s="176">
        <f t="shared" ca="1" si="346"/>
        <v>1.4656953890406564E-4</v>
      </c>
      <c r="AG288" s="958">
        <f ca="1">AF288*User_sheet!B$77/100</f>
        <v>0</v>
      </c>
      <c r="AH288" s="313"/>
      <c r="AI288" s="908">
        <v>203</v>
      </c>
      <c r="AJ288" s="313"/>
      <c r="AK288" s="1020">
        <f t="shared" ca="1" si="329"/>
        <v>205.55333717830484</v>
      </c>
      <c r="AL288" s="954">
        <f ca="1">AK288/'203'!I$24</f>
        <v>0.71926992307084969</v>
      </c>
      <c r="AM288" s="954">
        <f ca="1">0.8*(AK288*30+'203'!D$17*0.34*30*1)</f>
        <v>8276.8443870161573</v>
      </c>
      <c r="AN288" s="954">
        <f ca="1">IF(AM288&lt;User_sheet!B$50,Y288,0)</f>
        <v>1.4656953890406564E-4</v>
      </c>
      <c r="AO288" s="954">
        <f ca="1">20-(User_sheet!B$57/(AK288+'203'!D$17*1*0.34))</f>
        <v>3.4719618246541621</v>
      </c>
      <c r="AP288" s="954">
        <f ca="1">IF(AO288&lt;User_sheet!B$59,0,BC288*AA288)</f>
        <v>0</v>
      </c>
      <c r="AQ288" s="313"/>
      <c r="AR288" s="908">
        <v>0.32</v>
      </c>
      <c r="AS288" s="1020">
        <v>0.59799999999999998</v>
      </c>
      <c r="AT288" s="908">
        <v>1.42</v>
      </c>
      <c r="AU288" s="908">
        <v>2.75</v>
      </c>
      <c r="AV288" s="908">
        <v>3.3</v>
      </c>
      <c r="AW288" s="908">
        <v>12257.141193582425</v>
      </c>
      <c r="AX288" s="908">
        <v>75945.51234133933</v>
      </c>
      <c r="AY288" s="908">
        <v>62673.095488422703</v>
      </c>
      <c r="AZ288" s="908">
        <v>0</v>
      </c>
      <c r="BA288" s="908">
        <v>0</v>
      </c>
      <c r="BB288" s="908">
        <v>0.6</v>
      </c>
      <c r="BC288" s="902">
        <v>1</v>
      </c>
      <c r="BD288" s="922">
        <v>0</v>
      </c>
      <c r="BE288" s="922">
        <v>0</v>
      </c>
      <c r="BF288" s="903">
        <v>0</v>
      </c>
      <c r="BG288" s="908">
        <v>1</v>
      </c>
      <c r="BH288" s="908">
        <v>0</v>
      </c>
      <c r="BI288" s="903">
        <v>0</v>
      </c>
      <c r="BJ288" s="908">
        <v>0</v>
      </c>
      <c r="BK288" s="908">
        <v>0</v>
      </c>
      <c r="BL288" s="908">
        <v>1</v>
      </c>
      <c r="BM288" s="903">
        <v>0</v>
      </c>
      <c r="BN288" s="958">
        <v>0.08</v>
      </c>
      <c r="BO288" s="959">
        <v>6</v>
      </c>
      <c r="BP288" s="3">
        <f t="shared" ca="1" si="353"/>
        <v>185.6</v>
      </c>
      <c r="BQ288" s="3">
        <f t="shared" ca="1" si="354"/>
        <v>361.17052631578946</v>
      </c>
      <c r="BR288" s="3">
        <f t="shared" ca="1" si="355"/>
        <v>84.1</v>
      </c>
      <c r="BS288" s="3">
        <f t="shared" ca="1" si="356"/>
        <v>115.78052631578947</v>
      </c>
      <c r="BT288" s="3">
        <f t="shared" ca="1" si="357"/>
        <v>75.400000000000006</v>
      </c>
      <c r="BU288" s="3">
        <f t="shared" ca="1" si="358"/>
        <v>22</v>
      </c>
      <c r="BV288" s="3">
        <f t="shared" ca="1" si="359"/>
        <v>2.15</v>
      </c>
      <c r="BW288" s="926">
        <v>0</v>
      </c>
      <c r="BX288" s="3">
        <f t="shared" ca="1" si="348"/>
        <v>25.497726124305199</v>
      </c>
      <c r="BY288" s="3">
        <f t="shared" ca="1" si="349"/>
        <v>62.734150883890571</v>
      </c>
      <c r="BZ288" s="3">
        <f t="shared" ca="1" si="330"/>
        <v>28.353659319494973</v>
      </c>
      <c r="CA288" s="3">
        <f t="shared" ca="1" si="331"/>
        <v>60.499999966724999</v>
      </c>
      <c r="CB288" s="3">
        <f t="shared" ca="1" si="350"/>
        <v>4.5133587786259541</v>
      </c>
      <c r="CC288" s="926">
        <f t="shared" si="332"/>
        <v>0</v>
      </c>
      <c r="CD288" s="1018">
        <f t="shared" ref="CD288:CD295" ca="1" si="362">SUM(BX288:CC288)+(BR288+BS288+BT288+BU288+BV288)*BN288</f>
        <v>205.55333717830484</v>
      </c>
      <c r="CE288" s="1018">
        <f t="shared" ca="1" si="344"/>
        <v>54.61311657484039</v>
      </c>
      <c r="CF288" s="3">
        <f t="shared" ca="1" si="333"/>
        <v>7.8049936125943571</v>
      </c>
      <c r="CG288" s="3">
        <f t="shared" ca="1" si="334"/>
        <v>12995.0021652251</v>
      </c>
    </row>
    <row r="289" spans="4:85" s="3" customFormat="1" x14ac:dyDescent="0.25">
      <c r="D289" s="562"/>
      <c r="E289" s="558"/>
      <c r="F289" s="562"/>
      <c r="G289" s="558"/>
      <c r="H289" s="562"/>
      <c r="I289" s="558"/>
      <c r="J289" s="562"/>
      <c r="K289" s="563"/>
      <c r="L289" s="562"/>
      <c r="M289" s="557"/>
      <c r="N289" s="557"/>
      <c r="O289" s="557"/>
      <c r="P289" s="557"/>
      <c r="Q289" s="557" t="s">
        <v>16</v>
      </c>
      <c r="R289" s="559">
        <v>0.92569999999999997</v>
      </c>
      <c r="S289" s="557"/>
      <c r="T289" s="567">
        <v>2.2208901700669032E-4</v>
      </c>
      <c r="U289" s="556"/>
      <c r="V289" s="176">
        <f t="shared" si="351"/>
        <v>2.2208901700669032E-4</v>
      </c>
      <c r="W289" s="176">
        <f t="shared" si="360"/>
        <v>2.2208901700669032E-4</v>
      </c>
      <c r="X289" s="176">
        <f t="shared" si="361"/>
        <v>2.2208901700669032E-4</v>
      </c>
      <c r="Y289" s="958">
        <f>X289/Calculation_sheet!M$67</f>
        <v>2.220935579339324E-4</v>
      </c>
      <c r="Z289" s="176">
        <f ca="1">IF(AN289&gt;0,Y289*Calculation_sheet!C$87,0)</f>
        <v>0</v>
      </c>
      <c r="AA289" s="176">
        <f t="shared" ca="1" si="326"/>
        <v>2.220935579339324E-4</v>
      </c>
      <c r="AB289" s="176">
        <f ca="1">IF(AP289&gt;0,AA289*Calculation_sheet!C$94,0)</f>
        <v>0</v>
      </c>
      <c r="AC289" s="176">
        <f t="shared" ca="1" si="352"/>
        <v>2.220935579339324E-4</v>
      </c>
      <c r="AD289" s="958">
        <f ca="1">AC289*Calculation_sheet!C$99</f>
        <v>1.3325613476035945E-4</v>
      </c>
      <c r="AE289" s="176">
        <f t="shared" ca="1" si="352"/>
        <v>8.8837423173572955E-5</v>
      </c>
      <c r="AF289" s="176">
        <f t="shared" ca="1" si="346"/>
        <v>2.220935579339324E-4</v>
      </c>
      <c r="AG289" s="958">
        <f ca="1">AF289*User_sheet!B$77/100</f>
        <v>0</v>
      </c>
      <c r="AH289" s="313"/>
      <c r="AI289" s="908">
        <v>203</v>
      </c>
      <c r="AJ289" s="313"/>
      <c r="AK289" s="1020">
        <f t="shared" ca="1" si="329"/>
        <v>205.55333717830484</v>
      </c>
      <c r="AL289" s="954">
        <f ca="1">AK289/'203'!I$24</f>
        <v>0.71926992307084969</v>
      </c>
      <c r="AM289" s="954">
        <f ca="1">0.8*(AK289*30+'203'!D$17*0.34*30*1)</f>
        <v>8276.8443870161573</v>
      </c>
      <c r="AN289" s="954">
        <f ca="1">IF(AM289&lt;User_sheet!B$50,Y289,0)</f>
        <v>2.220935579339324E-4</v>
      </c>
      <c r="AO289" s="954">
        <f ca="1">20-(User_sheet!B$57/(AK289+'203'!D$17*1*0.34))</f>
        <v>3.4719618246541621</v>
      </c>
      <c r="AP289" s="954">
        <f ca="1">IF(AO289&lt;User_sheet!B$59,0,BC289*AA289)</f>
        <v>0</v>
      </c>
      <c r="AQ289" s="313"/>
      <c r="AR289" s="908">
        <v>0.32</v>
      </c>
      <c r="AS289" s="1020">
        <v>0.59799999999999998</v>
      </c>
      <c r="AT289" s="908">
        <v>1.42</v>
      </c>
      <c r="AU289" s="908">
        <v>2.75</v>
      </c>
      <c r="AV289" s="908">
        <v>3.3</v>
      </c>
      <c r="AW289" s="908">
        <v>12257.141193582425</v>
      </c>
      <c r="AX289" s="908">
        <v>75945.51234133933</v>
      </c>
      <c r="AY289" s="908">
        <v>62673.095488422703</v>
      </c>
      <c r="AZ289" s="908">
        <v>0</v>
      </c>
      <c r="BA289" s="908">
        <v>0</v>
      </c>
      <c r="BB289" s="908">
        <v>0.6</v>
      </c>
      <c r="BC289" s="902">
        <v>1</v>
      </c>
      <c r="BD289" s="922">
        <v>0</v>
      </c>
      <c r="BE289" s="922">
        <v>0</v>
      </c>
      <c r="BF289" s="903">
        <v>0</v>
      </c>
      <c r="BG289" s="908">
        <v>0</v>
      </c>
      <c r="BH289" s="908">
        <v>1</v>
      </c>
      <c r="BI289" s="903">
        <v>0</v>
      </c>
      <c r="BJ289" s="908">
        <v>1</v>
      </c>
      <c r="BK289" s="908">
        <v>0</v>
      </c>
      <c r="BL289" s="908">
        <v>0</v>
      </c>
      <c r="BM289" s="903">
        <v>0</v>
      </c>
      <c r="BN289" s="958">
        <v>0.08</v>
      </c>
      <c r="BO289" s="959">
        <v>6</v>
      </c>
      <c r="BP289" s="3">
        <f t="shared" ca="1" si="353"/>
        <v>185.6</v>
      </c>
      <c r="BQ289" s="3">
        <f t="shared" ca="1" si="354"/>
        <v>361.17052631578946</v>
      </c>
      <c r="BR289" s="3">
        <f t="shared" ca="1" si="355"/>
        <v>84.1</v>
      </c>
      <c r="BS289" s="3">
        <f t="shared" ca="1" si="356"/>
        <v>115.78052631578947</v>
      </c>
      <c r="BT289" s="3">
        <f t="shared" ca="1" si="357"/>
        <v>75.400000000000006</v>
      </c>
      <c r="BU289" s="3">
        <f t="shared" ca="1" si="358"/>
        <v>22</v>
      </c>
      <c r="BV289" s="3">
        <f t="shared" ca="1" si="359"/>
        <v>2.15</v>
      </c>
      <c r="BW289" s="926">
        <v>0</v>
      </c>
      <c r="BX289" s="3">
        <f t="shared" ca="1" si="348"/>
        <v>25.497726124305199</v>
      </c>
      <c r="BY289" s="3">
        <f t="shared" ca="1" si="349"/>
        <v>62.734150883890571</v>
      </c>
      <c r="BZ289" s="3">
        <f t="shared" ca="1" si="330"/>
        <v>28.353659319494973</v>
      </c>
      <c r="CA289" s="3">
        <f t="shared" ca="1" si="331"/>
        <v>60.499999966724999</v>
      </c>
      <c r="CB289" s="3">
        <f t="shared" ca="1" si="350"/>
        <v>4.5133587786259541</v>
      </c>
      <c r="CC289" s="926">
        <f t="shared" si="332"/>
        <v>0</v>
      </c>
      <c r="CD289" s="1018">
        <f t="shared" ca="1" si="362"/>
        <v>205.55333717830484</v>
      </c>
      <c r="CE289" s="1018">
        <f t="shared" ca="1" si="344"/>
        <v>54.61311657484039</v>
      </c>
      <c r="CF289" s="3">
        <f t="shared" ca="1" si="333"/>
        <v>7.8049936125943571</v>
      </c>
      <c r="CG289" s="3">
        <f t="shared" ca="1" si="334"/>
        <v>12995.0021652251</v>
      </c>
    </row>
    <row r="290" spans="4:85" s="3" customFormat="1" x14ac:dyDescent="0.25">
      <c r="D290" s="562"/>
      <c r="E290" s="558"/>
      <c r="F290" s="562"/>
      <c r="G290" s="558"/>
      <c r="H290" s="562"/>
      <c r="I290" s="558"/>
      <c r="J290" s="562"/>
      <c r="K290" s="563"/>
      <c r="L290" s="562"/>
      <c r="M290" s="557" t="s">
        <v>16</v>
      </c>
      <c r="N290" s="559">
        <v>0.41099999999999998</v>
      </c>
      <c r="O290" s="557" t="s">
        <v>19</v>
      </c>
      <c r="P290" s="559">
        <v>0.108433735</v>
      </c>
      <c r="Q290" s="557" t="s">
        <v>7</v>
      </c>
      <c r="R290" s="559">
        <v>7.4300000000000005E-2</v>
      </c>
      <c r="S290" s="557"/>
      <c r="T290" s="567">
        <v>1.7825660541857075E-5</v>
      </c>
      <c r="U290" s="556"/>
      <c r="V290" s="176">
        <f t="shared" si="351"/>
        <v>1.7825660541857075E-5</v>
      </c>
      <c r="W290" s="176">
        <f t="shared" si="360"/>
        <v>1.7825660541857075E-5</v>
      </c>
      <c r="X290" s="176">
        <f t="shared" si="361"/>
        <v>1.7825660541857075E-5</v>
      </c>
      <c r="Y290" s="958">
        <f>X290/Calculation_sheet!M$67</f>
        <v>1.7826025012953634E-5</v>
      </c>
      <c r="Z290" s="176">
        <f ca="1">IF(AN290&gt;0,Y290*Calculation_sheet!C$87,0)</f>
        <v>0</v>
      </c>
      <c r="AA290" s="176">
        <f t="shared" ca="1" si="326"/>
        <v>1.7826025012953634E-5</v>
      </c>
      <c r="AB290" s="176">
        <f ca="1">IF(AP290&gt;0,AA290*Calculation_sheet!C$94,0)</f>
        <v>0</v>
      </c>
      <c r="AC290" s="176">
        <f t="shared" ca="1" si="352"/>
        <v>1.7826025012953634E-5</v>
      </c>
      <c r="AD290" s="958">
        <f ca="1">AC290*Calculation_sheet!C$99</f>
        <v>1.069561500777218E-5</v>
      </c>
      <c r="AE290" s="176">
        <f t="shared" ca="1" si="352"/>
        <v>7.1304100051814541E-6</v>
      </c>
      <c r="AF290" s="176">
        <f t="shared" ca="1" si="346"/>
        <v>1.7826025012953634E-5</v>
      </c>
      <c r="AG290" s="958">
        <f ca="1">AF290*User_sheet!B$77/100</f>
        <v>0</v>
      </c>
      <c r="AH290" s="313"/>
      <c r="AI290" s="908">
        <v>203</v>
      </c>
      <c r="AJ290" s="313"/>
      <c r="AK290" s="1020">
        <f t="shared" ca="1" si="329"/>
        <v>205.55333717830484</v>
      </c>
      <c r="AL290" s="954">
        <f ca="1">AK290/'203'!I$24</f>
        <v>0.71926992307084969</v>
      </c>
      <c r="AM290" s="954">
        <f ca="1">0.8*(AK290*30+'203'!D$17*0.34*30*1)</f>
        <v>8276.8443870161573</v>
      </c>
      <c r="AN290" s="954">
        <f ca="1">IF(AM290&lt;User_sheet!B$50,Y290,0)</f>
        <v>1.7826025012953634E-5</v>
      </c>
      <c r="AO290" s="954">
        <f ca="1">20-(User_sheet!B$57/(AK290+'203'!D$17*1*0.34))</f>
        <v>3.4719618246541621</v>
      </c>
      <c r="AP290" s="954">
        <f ca="1">IF(AO290&lt;User_sheet!B$59,0,BC290*AA290)</f>
        <v>0</v>
      </c>
      <c r="AQ290" s="313"/>
      <c r="AR290" s="908">
        <v>0.32</v>
      </c>
      <c r="AS290" s="1020">
        <v>0.59799999999999998</v>
      </c>
      <c r="AT290" s="908">
        <v>1.42</v>
      </c>
      <c r="AU290" s="908">
        <v>2.75</v>
      </c>
      <c r="AV290" s="908">
        <v>3.3</v>
      </c>
      <c r="AW290" s="908">
        <v>12257.141193582425</v>
      </c>
      <c r="AX290" s="908">
        <v>75945.51234133933</v>
      </c>
      <c r="AY290" s="908">
        <v>62673.095488422703</v>
      </c>
      <c r="AZ290" s="908">
        <v>0</v>
      </c>
      <c r="BA290" s="908">
        <v>0</v>
      </c>
      <c r="BB290" s="908">
        <v>0.6</v>
      </c>
      <c r="BC290" s="902">
        <v>1</v>
      </c>
      <c r="BD290" s="922">
        <v>0</v>
      </c>
      <c r="BE290" s="922">
        <v>0</v>
      </c>
      <c r="BF290" s="903">
        <v>0</v>
      </c>
      <c r="BG290" s="908">
        <v>0</v>
      </c>
      <c r="BH290" s="908">
        <v>1</v>
      </c>
      <c r="BI290" s="903">
        <v>0</v>
      </c>
      <c r="BJ290" s="908">
        <v>0</v>
      </c>
      <c r="BK290" s="908">
        <v>0</v>
      </c>
      <c r="BL290" s="908">
        <v>1</v>
      </c>
      <c r="BM290" s="903">
        <v>0</v>
      </c>
      <c r="BN290" s="958">
        <v>0.08</v>
      </c>
      <c r="BO290" s="959">
        <v>6</v>
      </c>
      <c r="BP290" s="3">
        <f t="shared" ca="1" si="353"/>
        <v>185.6</v>
      </c>
      <c r="BQ290" s="3">
        <f t="shared" ca="1" si="354"/>
        <v>361.17052631578946</v>
      </c>
      <c r="BR290" s="3">
        <f t="shared" ca="1" si="355"/>
        <v>84.1</v>
      </c>
      <c r="BS290" s="3">
        <f t="shared" ca="1" si="356"/>
        <v>115.78052631578947</v>
      </c>
      <c r="BT290" s="3">
        <f t="shared" ca="1" si="357"/>
        <v>75.400000000000006</v>
      </c>
      <c r="BU290" s="3">
        <f t="shared" ca="1" si="358"/>
        <v>22</v>
      </c>
      <c r="BV290" s="3">
        <f t="shared" ca="1" si="359"/>
        <v>2.15</v>
      </c>
      <c r="BW290" s="926">
        <v>0</v>
      </c>
      <c r="BX290" s="3">
        <f t="shared" ca="1" si="348"/>
        <v>25.497726124305199</v>
      </c>
      <c r="BY290" s="3">
        <f t="shared" ca="1" si="349"/>
        <v>62.734150883890571</v>
      </c>
      <c r="BZ290" s="3">
        <f t="shared" ca="1" si="330"/>
        <v>28.353659319494973</v>
      </c>
      <c r="CA290" s="3">
        <f t="shared" ca="1" si="331"/>
        <v>60.499999966724999</v>
      </c>
      <c r="CB290" s="3">
        <f t="shared" ca="1" si="350"/>
        <v>4.5133587786259541</v>
      </c>
      <c r="CC290" s="926">
        <f t="shared" si="332"/>
        <v>0</v>
      </c>
      <c r="CD290" s="1018">
        <f t="shared" ca="1" si="362"/>
        <v>205.55333717830484</v>
      </c>
      <c r="CE290" s="1018">
        <f t="shared" ca="1" si="344"/>
        <v>54.61311657484039</v>
      </c>
      <c r="CF290" s="3">
        <f t="shared" ca="1" si="333"/>
        <v>7.8049936125943571</v>
      </c>
      <c r="CG290" s="3">
        <f t="shared" ca="1" si="334"/>
        <v>12995.0021652251</v>
      </c>
    </row>
    <row r="291" spans="4:85" s="3" customFormat="1" x14ac:dyDescent="0.25">
      <c r="D291" s="562"/>
      <c r="E291" s="558"/>
      <c r="F291" s="562"/>
      <c r="G291" s="558"/>
      <c r="H291" s="562"/>
      <c r="I291" s="558"/>
      <c r="J291" s="562"/>
      <c r="K291" s="563"/>
      <c r="L291" s="562"/>
      <c r="M291" s="557"/>
      <c r="N291" s="557"/>
      <c r="O291" s="557"/>
      <c r="P291" s="557"/>
      <c r="Q291" s="557" t="s">
        <v>22</v>
      </c>
      <c r="R291" s="559">
        <v>0.60750000000000004</v>
      </c>
      <c r="S291" s="557"/>
      <c r="T291" s="567">
        <v>1.4509976646802116E-3</v>
      </c>
      <c r="U291" s="556"/>
      <c r="V291" s="176">
        <f t="shared" si="351"/>
        <v>1.4509976646802116E-3</v>
      </c>
      <c r="W291" s="176">
        <f t="shared" si="360"/>
        <v>1.4509976646802116E-3</v>
      </c>
      <c r="X291" s="176">
        <f t="shared" si="361"/>
        <v>1.4509976646802116E-3</v>
      </c>
      <c r="Y291" s="958">
        <f>X291/Calculation_sheet!M$67</f>
        <v>1.4510273324004463E-3</v>
      </c>
      <c r="Z291" s="176">
        <f ca="1">IF(AN291&gt;0,Y291*Calculation_sheet!C$87,0)</f>
        <v>0</v>
      </c>
      <c r="AA291" s="176">
        <f t="shared" ca="1" si="326"/>
        <v>1.4510273324004463E-3</v>
      </c>
      <c r="AB291" s="176">
        <f ca="1">IF(AP291&gt;0,AA291*Calculation_sheet!C$94,0)</f>
        <v>0</v>
      </c>
      <c r="AC291" s="176">
        <f t="shared" ca="1" si="352"/>
        <v>1.4510273324004463E-3</v>
      </c>
      <c r="AD291" s="958">
        <f ca="1">AC291*Calculation_sheet!C$99</f>
        <v>8.706163994402677E-4</v>
      </c>
      <c r="AE291" s="176">
        <f t="shared" ca="1" si="352"/>
        <v>5.8041093296017858E-4</v>
      </c>
      <c r="AF291" s="176">
        <f t="shared" ca="1" si="346"/>
        <v>1.4510273324004463E-3</v>
      </c>
      <c r="AG291" s="958">
        <f ca="1">AF291*User_sheet!B$77/100</f>
        <v>0</v>
      </c>
      <c r="AH291" s="313"/>
      <c r="AI291" s="908">
        <v>203</v>
      </c>
      <c r="AJ291" s="313"/>
      <c r="AK291" s="1020">
        <f t="shared" ca="1" si="329"/>
        <v>205.55333717830484</v>
      </c>
      <c r="AL291" s="954">
        <f ca="1">AK291/'203'!I$24</f>
        <v>0.71926992307084969</v>
      </c>
      <c r="AM291" s="954">
        <f ca="1">0.8*(AK291*30+'203'!D$17*0.34*30*1)</f>
        <v>8276.8443870161573</v>
      </c>
      <c r="AN291" s="954">
        <f ca="1">IF(AM291&lt;User_sheet!B$50,Y291,0)</f>
        <v>1.4510273324004463E-3</v>
      </c>
      <c r="AO291" s="954">
        <f ca="1">20-(User_sheet!B$57/(AK291+'203'!D$17*1*0.34))</f>
        <v>3.4719618246541621</v>
      </c>
      <c r="AP291" s="954">
        <f ca="1">IF(AO291&lt;User_sheet!B$59,0,BC291*AA291)</f>
        <v>0</v>
      </c>
      <c r="AQ291" s="313"/>
      <c r="AR291" s="908">
        <v>0.32</v>
      </c>
      <c r="AS291" s="1020">
        <v>0.59799999999999998</v>
      </c>
      <c r="AT291" s="908">
        <v>1.42</v>
      </c>
      <c r="AU291" s="908">
        <v>2.75</v>
      </c>
      <c r="AV291" s="908">
        <v>3.3</v>
      </c>
      <c r="AW291" s="908">
        <v>12257.141193582425</v>
      </c>
      <c r="AX291" s="908">
        <v>75945.51234133933</v>
      </c>
      <c r="AY291" s="908">
        <v>62673.095488422703</v>
      </c>
      <c r="AZ291" s="908">
        <v>0</v>
      </c>
      <c r="BA291" s="908">
        <v>0</v>
      </c>
      <c r="BB291" s="908">
        <v>0.6</v>
      </c>
      <c r="BC291" s="902">
        <v>0</v>
      </c>
      <c r="BD291" s="922">
        <v>1</v>
      </c>
      <c r="BE291" s="922">
        <v>0</v>
      </c>
      <c r="BF291" s="903">
        <v>0</v>
      </c>
      <c r="BG291" s="908">
        <v>1</v>
      </c>
      <c r="BH291" s="908">
        <v>0</v>
      </c>
      <c r="BI291" s="903">
        <v>0</v>
      </c>
      <c r="BJ291" s="908">
        <v>0</v>
      </c>
      <c r="BK291" s="908">
        <v>1</v>
      </c>
      <c r="BL291" s="908">
        <v>0</v>
      </c>
      <c r="BM291" s="903">
        <v>0</v>
      </c>
      <c r="BN291" s="958">
        <v>0.08</v>
      </c>
      <c r="BO291" s="959">
        <v>6</v>
      </c>
      <c r="BP291" s="3">
        <f t="shared" ca="1" si="353"/>
        <v>185.6</v>
      </c>
      <c r="BQ291" s="3">
        <f t="shared" ca="1" si="354"/>
        <v>361.17052631578946</v>
      </c>
      <c r="BR291" s="3">
        <f t="shared" ca="1" si="355"/>
        <v>84.1</v>
      </c>
      <c r="BS291" s="3">
        <f t="shared" ca="1" si="356"/>
        <v>115.78052631578947</v>
      </c>
      <c r="BT291" s="3">
        <f t="shared" ca="1" si="357"/>
        <v>75.400000000000006</v>
      </c>
      <c r="BU291" s="3">
        <f t="shared" ca="1" si="358"/>
        <v>22</v>
      </c>
      <c r="BV291" s="3">
        <f t="shared" ca="1" si="359"/>
        <v>2.15</v>
      </c>
      <c r="BW291" s="926">
        <v>0</v>
      </c>
      <c r="BX291" s="3">
        <f t="shared" ca="1" si="348"/>
        <v>25.497726124305199</v>
      </c>
      <c r="BY291" s="3">
        <f t="shared" ca="1" si="349"/>
        <v>62.734150883890571</v>
      </c>
      <c r="BZ291" s="3">
        <f t="shared" ca="1" si="330"/>
        <v>28.353659319494973</v>
      </c>
      <c r="CA291" s="3">
        <f t="shared" ca="1" si="331"/>
        <v>60.499999966724999</v>
      </c>
      <c r="CB291" s="3">
        <f t="shared" ca="1" si="350"/>
        <v>4.5133587786259541</v>
      </c>
      <c r="CC291" s="926">
        <f t="shared" si="332"/>
        <v>0</v>
      </c>
      <c r="CD291" s="1018">
        <f t="shared" ca="1" si="362"/>
        <v>205.55333717830484</v>
      </c>
      <c r="CE291" s="1018">
        <f t="shared" ca="1" si="344"/>
        <v>54.61311657484039</v>
      </c>
      <c r="CF291" s="3">
        <f t="shared" ca="1" si="333"/>
        <v>7.8049936125943571</v>
      </c>
      <c r="CG291" s="3">
        <f t="shared" ca="1" si="334"/>
        <v>12995.0021652251</v>
      </c>
    </row>
    <row r="292" spans="4:85" s="3" customFormat="1" x14ac:dyDescent="0.25">
      <c r="D292" s="562"/>
      <c r="E292" s="558"/>
      <c r="F292" s="562"/>
      <c r="G292" s="558"/>
      <c r="H292" s="562"/>
      <c r="I292" s="558"/>
      <c r="J292" s="562"/>
      <c r="K292" s="563"/>
      <c r="L292" s="562"/>
      <c r="M292" s="557"/>
      <c r="N292" s="557"/>
      <c r="O292" s="557" t="s">
        <v>18</v>
      </c>
      <c r="P292" s="559">
        <v>0.94399999999999995</v>
      </c>
      <c r="Q292" s="557" t="s">
        <v>7</v>
      </c>
      <c r="R292" s="559">
        <v>0.39250000000000002</v>
      </c>
      <c r="S292" s="557"/>
      <c r="T292" s="567">
        <v>9.3747585742713256E-4</v>
      </c>
      <c r="U292" s="556"/>
      <c r="V292" s="176">
        <f t="shared" si="351"/>
        <v>9.3747585742713256E-4</v>
      </c>
      <c r="W292" s="176">
        <f t="shared" si="360"/>
        <v>9.3747585742713256E-4</v>
      </c>
      <c r="X292" s="176">
        <f t="shared" si="361"/>
        <v>9.3747585742713256E-4</v>
      </c>
      <c r="Y292" s="958">
        <f>X292/Calculation_sheet!M$67</f>
        <v>9.3749502546037057E-4</v>
      </c>
      <c r="Z292" s="176">
        <f ca="1">IF(AN292&gt;0,Y292*Calculation_sheet!C$87,0)</f>
        <v>0</v>
      </c>
      <c r="AA292" s="176">
        <f t="shared" ca="1" si="326"/>
        <v>9.3749502546037057E-4</v>
      </c>
      <c r="AB292" s="176">
        <f ca="1">IF(AP292&gt;0,AA292*Calculation_sheet!C$94,0)</f>
        <v>0</v>
      </c>
      <c r="AC292" s="176">
        <f t="shared" ca="1" si="352"/>
        <v>9.3749502546037057E-4</v>
      </c>
      <c r="AD292" s="958">
        <f ca="1">AC292*Calculation_sheet!C$99</f>
        <v>5.6249701527622236E-4</v>
      </c>
      <c r="AE292" s="176">
        <f t="shared" ca="1" si="352"/>
        <v>3.7499801018414821E-4</v>
      </c>
      <c r="AF292" s="176">
        <f t="shared" ca="1" si="346"/>
        <v>9.3749502546037057E-4</v>
      </c>
      <c r="AG292" s="958">
        <f ca="1">AF292*User_sheet!B$77/100</f>
        <v>0</v>
      </c>
      <c r="AH292" s="313"/>
      <c r="AI292" s="908">
        <v>203</v>
      </c>
      <c r="AJ292" s="313"/>
      <c r="AK292" s="1020">
        <f t="shared" ca="1" si="329"/>
        <v>205.55333717830484</v>
      </c>
      <c r="AL292" s="954">
        <f ca="1">AK292/'203'!I$24</f>
        <v>0.71926992307084969</v>
      </c>
      <c r="AM292" s="954">
        <f ca="1">0.8*(AK292*30+'203'!D$17*0.34*30*1)</f>
        <v>8276.8443870161573</v>
      </c>
      <c r="AN292" s="954">
        <f ca="1">IF(AM292&lt;User_sheet!B$50,Y292,0)</f>
        <v>9.3749502546037057E-4</v>
      </c>
      <c r="AO292" s="954">
        <f ca="1">20-(User_sheet!B$57/(AK292+'203'!D$17*1*0.34))</f>
        <v>3.4719618246541621</v>
      </c>
      <c r="AP292" s="954">
        <f ca="1">IF(AO292&lt;User_sheet!B$59,0,BC292*AA292)</f>
        <v>0</v>
      </c>
      <c r="AQ292" s="313"/>
      <c r="AR292" s="908">
        <v>0.32</v>
      </c>
      <c r="AS292" s="1020">
        <v>0.59799999999999998</v>
      </c>
      <c r="AT292" s="908">
        <v>1.42</v>
      </c>
      <c r="AU292" s="908">
        <v>2.75</v>
      </c>
      <c r="AV292" s="908">
        <v>3.3</v>
      </c>
      <c r="AW292" s="908">
        <v>12257.141193582425</v>
      </c>
      <c r="AX292" s="908">
        <v>75945.51234133933</v>
      </c>
      <c r="AY292" s="908">
        <v>62673.095488422703</v>
      </c>
      <c r="AZ292" s="908">
        <v>0</v>
      </c>
      <c r="BA292" s="908">
        <v>0</v>
      </c>
      <c r="BB292" s="908">
        <v>0.6</v>
      </c>
      <c r="BC292" s="902">
        <v>0</v>
      </c>
      <c r="BD292" s="922">
        <v>1</v>
      </c>
      <c r="BE292" s="922">
        <v>0</v>
      </c>
      <c r="BF292" s="903">
        <v>0</v>
      </c>
      <c r="BG292" s="908">
        <v>1</v>
      </c>
      <c r="BH292" s="908">
        <v>0</v>
      </c>
      <c r="BI292" s="903">
        <v>0</v>
      </c>
      <c r="BJ292" s="908">
        <v>0</v>
      </c>
      <c r="BK292" s="908">
        <v>0</v>
      </c>
      <c r="BL292" s="908">
        <v>1</v>
      </c>
      <c r="BM292" s="903">
        <v>0</v>
      </c>
      <c r="BN292" s="958">
        <v>0.08</v>
      </c>
      <c r="BO292" s="959">
        <v>6</v>
      </c>
      <c r="BP292" s="3">
        <f t="shared" ca="1" si="353"/>
        <v>185.6</v>
      </c>
      <c r="BQ292" s="3">
        <f t="shared" ca="1" si="354"/>
        <v>361.17052631578946</v>
      </c>
      <c r="BR292" s="3">
        <f t="shared" ca="1" si="355"/>
        <v>84.1</v>
      </c>
      <c r="BS292" s="3">
        <f t="shared" ca="1" si="356"/>
        <v>115.78052631578947</v>
      </c>
      <c r="BT292" s="3">
        <f t="shared" ca="1" si="357"/>
        <v>75.400000000000006</v>
      </c>
      <c r="BU292" s="3">
        <f t="shared" ca="1" si="358"/>
        <v>22</v>
      </c>
      <c r="BV292" s="3">
        <f t="shared" ca="1" si="359"/>
        <v>2.15</v>
      </c>
      <c r="BW292" s="926">
        <v>0</v>
      </c>
      <c r="BX292" s="3">
        <f t="shared" ca="1" si="348"/>
        <v>25.497726124305199</v>
      </c>
      <c r="BY292" s="3">
        <f t="shared" ca="1" si="349"/>
        <v>62.734150883890571</v>
      </c>
      <c r="BZ292" s="3">
        <f t="shared" ca="1" si="330"/>
        <v>28.353659319494973</v>
      </c>
      <c r="CA292" s="3">
        <f t="shared" ca="1" si="331"/>
        <v>60.499999966724999</v>
      </c>
      <c r="CB292" s="3">
        <f t="shared" ca="1" si="350"/>
        <v>4.5133587786259541</v>
      </c>
      <c r="CC292" s="926">
        <f t="shared" si="332"/>
        <v>0</v>
      </c>
      <c r="CD292" s="1018">
        <f t="shared" ca="1" si="362"/>
        <v>205.55333717830484</v>
      </c>
      <c r="CE292" s="1018">
        <f t="shared" ca="1" si="344"/>
        <v>54.61311657484039</v>
      </c>
      <c r="CF292" s="3">
        <f t="shared" ca="1" si="333"/>
        <v>7.8049936125943571</v>
      </c>
      <c r="CG292" s="3">
        <f t="shared" ca="1" si="334"/>
        <v>12995.0021652251</v>
      </c>
    </row>
    <row r="293" spans="4:85" s="3" customFormat="1" x14ac:dyDescent="0.25">
      <c r="D293" s="562"/>
      <c r="E293" s="558"/>
      <c r="F293" s="562"/>
      <c r="G293" s="558"/>
      <c r="H293" s="562"/>
      <c r="I293" s="558"/>
      <c r="J293" s="562"/>
      <c r="K293" s="556"/>
      <c r="L293" s="556"/>
      <c r="M293" s="557"/>
      <c r="N293" s="557"/>
      <c r="O293" s="557"/>
      <c r="P293" s="557"/>
      <c r="Q293" s="557" t="s">
        <v>22</v>
      </c>
      <c r="R293" s="559">
        <v>0.39250000000000002</v>
      </c>
      <c r="S293" s="557"/>
      <c r="T293" s="567">
        <v>5.5612974593134984E-5</v>
      </c>
      <c r="U293" s="556"/>
      <c r="V293" s="176">
        <f t="shared" si="351"/>
        <v>5.5612974593134984E-5</v>
      </c>
      <c r="W293" s="176">
        <f t="shared" si="360"/>
        <v>5.5612974593134984E-5</v>
      </c>
      <c r="X293" s="176">
        <f t="shared" si="361"/>
        <v>5.5612974593134984E-5</v>
      </c>
      <c r="Y293" s="958">
        <f>X293/Calculation_sheet!M$67</f>
        <v>5.5614111679852493E-5</v>
      </c>
      <c r="Z293" s="176">
        <f ca="1">IF(AN293&gt;0,Y293*Calculation_sheet!C$87,0)</f>
        <v>0</v>
      </c>
      <c r="AA293" s="176">
        <f t="shared" ca="1" si="326"/>
        <v>5.5614111679852493E-5</v>
      </c>
      <c r="AB293" s="176">
        <f ca="1">IF(AP293&gt;0,AA293*Calculation_sheet!C$94,0)</f>
        <v>0</v>
      </c>
      <c r="AC293" s="176">
        <f t="shared" ca="1" si="352"/>
        <v>5.5614111679852493E-5</v>
      </c>
      <c r="AD293" s="958">
        <f ca="1">AC293*Calculation_sheet!C$99</f>
        <v>3.3368467007911492E-5</v>
      </c>
      <c r="AE293" s="176">
        <f t="shared" ca="1" si="352"/>
        <v>2.2245644671941001E-5</v>
      </c>
      <c r="AF293" s="176">
        <f t="shared" ca="1" si="346"/>
        <v>5.5614111679852493E-5</v>
      </c>
      <c r="AG293" s="958">
        <f ca="1">AF293*User_sheet!B$77/100</f>
        <v>0</v>
      </c>
      <c r="AH293" s="313"/>
      <c r="AI293" s="908">
        <v>203</v>
      </c>
      <c r="AJ293" s="313"/>
      <c r="AK293" s="1020">
        <f t="shared" ca="1" si="329"/>
        <v>205.55333717830484</v>
      </c>
      <c r="AL293" s="954">
        <f ca="1">AK293/'203'!I$24</f>
        <v>0.71926992307084969</v>
      </c>
      <c r="AM293" s="954">
        <f ca="1">0.8*(AK293*30+'203'!D$17*0.34*30*1)</f>
        <v>8276.8443870161573</v>
      </c>
      <c r="AN293" s="954">
        <f ca="1">IF(AM293&lt;User_sheet!B$50,Y293,0)</f>
        <v>5.5614111679852493E-5</v>
      </c>
      <c r="AO293" s="954">
        <f ca="1">20-(User_sheet!B$57/(AK293+'203'!D$17*1*0.34))</f>
        <v>3.4719618246541621</v>
      </c>
      <c r="AP293" s="954">
        <f ca="1">IF(AO293&lt;User_sheet!B$59,0,BC293*AA293)</f>
        <v>0</v>
      </c>
      <c r="AQ293" s="313"/>
      <c r="AR293" s="908">
        <v>0.32</v>
      </c>
      <c r="AS293" s="1020">
        <v>0.59799999999999998</v>
      </c>
      <c r="AT293" s="908">
        <v>1.42</v>
      </c>
      <c r="AU293" s="908">
        <v>2.75</v>
      </c>
      <c r="AV293" s="908">
        <v>3.3</v>
      </c>
      <c r="AW293" s="908">
        <v>12257.141193582425</v>
      </c>
      <c r="AX293" s="908">
        <v>75945.51234133933</v>
      </c>
      <c r="AY293" s="908">
        <v>62673.095488422703</v>
      </c>
      <c r="AZ293" s="908">
        <v>0</v>
      </c>
      <c r="BA293" s="908">
        <v>0</v>
      </c>
      <c r="BB293" s="908">
        <v>0.6</v>
      </c>
      <c r="BC293" s="902">
        <v>0</v>
      </c>
      <c r="BD293" s="922">
        <v>1</v>
      </c>
      <c r="BE293" s="922">
        <v>0</v>
      </c>
      <c r="BF293" s="903">
        <v>0</v>
      </c>
      <c r="BG293" s="908">
        <v>0</v>
      </c>
      <c r="BH293" s="908">
        <v>1</v>
      </c>
      <c r="BI293" s="903">
        <v>0</v>
      </c>
      <c r="BJ293" s="908">
        <v>0</v>
      </c>
      <c r="BK293" s="908">
        <v>1</v>
      </c>
      <c r="BL293" s="908">
        <v>0</v>
      </c>
      <c r="BM293" s="903">
        <v>0</v>
      </c>
      <c r="BN293" s="958">
        <v>0.08</v>
      </c>
      <c r="BO293" s="959">
        <v>6</v>
      </c>
      <c r="BP293" s="3">
        <f t="shared" ca="1" si="353"/>
        <v>185.6</v>
      </c>
      <c r="BQ293" s="3">
        <f t="shared" ca="1" si="354"/>
        <v>361.17052631578946</v>
      </c>
      <c r="BR293" s="3">
        <f t="shared" ca="1" si="355"/>
        <v>84.1</v>
      </c>
      <c r="BS293" s="3">
        <f t="shared" ca="1" si="356"/>
        <v>115.78052631578947</v>
      </c>
      <c r="BT293" s="3">
        <f t="shared" ca="1" si="357"/>
        <v>75.400000000000006</v>
      </c>
      <c r="BU293" s="3">
        <f t="shared" ca="1" si="358"/>
        <v>22</v>
      </c>
      <c r="BV293" s="3">
        <f t="shared" ca="1" si="359"/>
        <v>2.15</v>
      </c>
      <c r="BW293" s="926">
        <v>0</v>
      </c>
      <c r="BX293" s="3">
        <f t="shared" ca="1" si="348"/>
        <v>25.497726124305199</v>
      </c>
      <c r="BY293" s="3">
        <f t="shared" ca="1" si="349"/>
        <v>62.734150883890571</v>
      </c>
      <c r="BZ293" s="3">
        <f t="shared" ca="1" si="330"/>
        <v>28.353659319494973</v>
      </c>
      <c r="CA293" s="3">
        <f t="shared" ca="1" si="331"/>
        <v>60.499999966724999</v>
      </c>
      <c r="CB293" s="3">
        <f t="shared" ca="1" si="350"/>
        <v>4.5133587786259541</v>
      </c>
      <c r="CC293" s="926">
        <f t="shared" si="332"/>
        <v>0</v>
      </c>
      <c r="CD293" s="1018">
        <f t="shared" ca="1" si="362"/>
        <v>205.55333717830484</v>
      </c>
      <c r="CE293" s="1018">
        <f t="shared" ca="1" si="344"/>
        <v>54.61311657484039</v>
      </c>
      <c r="CF293" s="3">
        <f t="shared" ca="1" si="333"/>
        <v>7.8049936125943571</v>
      </c>
      <c r="CG293" s="3">
        <f t="shared" ca="1" si="334"/>
        <v>12995.0021652251</v>
      </c>
    </row>
    <row r="294" spans="4:85" s="3" customFormat="1" x14ac:dyDescent="0.25">
      <c r="D294" s="562"/>
      <c r="E294" s="558"/>
      <c r="F294" s="562"/>
      <c r="G294" s="558"/>
      <c r="H294" s="562"/>
      <c r="I294" s="558"/>
      <c r="J294" s="562"/>
      <c r="K294" s="557"/>
      <c r="L294" s="557"/>
      <c r="M294" s="557" t="s">
        <v>22</v>
      </c>
      <c r="N294" s="559">
        <v>0.47</v>
      </c>
      <c r="O294" s="557" t="s">
        <v>20</v>
      </c>
      <c r="P294" s="559">
        <v>5.6000000000000001E-2</v>
      </c>
      <c r="Q294" s="557" t="s">
        <v>7</v>
      </c>
      <c r="R294" s="559">
        <v>0.60750000000000004</v>
      </c>
      <c r="S294" s="557"/>
      <c r="T294" s="567">
        <v>8.6076132650521027E-5</v>
      </c>
      <c r="U294" s="556"/>
      <c r="V294" s="176">
        <f t="shared" si="351"/>
        <v>8.6076132650521027E-5</v>
      </c>
      <c r="W294" s="176">
        <f t="shared" si="360"/>
        <v>8.6076132650521027E-5</v>
      </c>
      <c r="X294" s="176">
        <f t="shared" si="361"/>
        <v>8.6076132650521027E-5</v>
      </c>
      <c r="Y294" s="958">
        <f>X294/Calculation_sheet!M$67</f>
        <v>8.6077892600026467E-5</v>
      </c>
      <c r="Z294" s="176">
        <f ca="1">IF(AN294&gt;0,Y294*Calculation_sheet!C$87,0)</f>
        <v>0</v>
      </c>
      <c r="AA294" s="176">
        <f t="shared" ca="1" si="326"/>
        <v>8.6077892600026467E-5</v>
      </c>
      <c r="AB294" s="176">
        <f ca="1">IF(AP294&gt;0,AA294*Calculation_sheet!C$94,0)</f>
        <v>0</v>
      </c>
      <c r="AC294" s="176">
        <f t="shared" ca="1" si="352"/>
        <v>8.6077892600026467E-5</v>
      </c>
      <c r="AD294" s="958">
        <f ca="1">AC294*Calculation_sheet!C$99</f>
        <v>5.1646735560015878E-5</v>
      </c>
      <c r="AE294" s="176">
        <f t="shared" ca="1" si="352"/>
        <v>3.443115704001059E-5</v>
      </c>
      <c r="AF294" s="176">
        <f t="shared" ca="1" si="346"/>
        <v>8.6077892600026467E-5</v>
      </c>
      <c r="AG294" s="958">
        <f ca="1">AF294*User_sheet!B$77/100</f>
        <v>0</v>
      </c>
      <c r="AH294" s="313"/>
      <c r="AI294" s="908">
        <v>203</v>
      </c>
      <c r="AJ294" s="313"/>
      <c r="AK294" s="1020">
        <f t="shared" ca="1" si="329"/>
        <v>205.55333717830484</v>
      </c>
      <c r="AL294" s="954">
        <f ca="1">AK294/'203'!I$24</f>
        <v>0.71926992307084969</v>
      </c>
      <c r="AM294" s="954">
        <f ca="1">0.8*(AK294*30+'203'!D$17*0.34*30*1)</f>
        <v>8276.8443870161573</v>
      </c>
      <c r="AN294" s="954">
        <f ca="1">IF(AM294&lt;User_sheet!B$50,Y294,0)</f>
        <v>8.6077892600026467E-5</v>
      </c>
      <c r="AO294" s="954">
        <f ca="1">20-(User_sheet!B$57/(AK294+'203'!D$17*1*0.34))</f>
        <v>3.4719618246541621</v>
      </c>
      <c r="AP294" s="954">
        <f ca="1">IF(AO294&lt;User_sheet!B$59,0,BC294*AA294)</f>
        <v>0</v>
      </c>
      <c r="AQ294" s="313"/>
      <c r="AR294" s="908">
        <v>0.32</v>
      </c>
      <c r="AS294" s="1020">
        <v>0.59799999999999998</v>
      </c>
      <c r="AT294" s="908">
        <v>1.42</v>
      </c>
      <c r="AU294" s="908">
        <v>2.75</v>
      </c>
      <c r="AV294" s="908">
        <v>3.3</v>
      </c>
      <c r="AW294" s="908">
        <v>12257.141193582425</v>
      </c>
      <c r="AX294" s="908">
        <v>75945.51234133933</v>
      </c>
      <c r="AY294" s="908">
        <v>62673.095488422703</v>
      </c>
      <c r="AZ294" s="908">
        <v>0</v>
      </c>
      <c r="BA294" s="908">
        <v>0</v>
      </c>
      <c r="BB294" s="908">
        <v>0.6</v>
      </c>
      <c r="BC294" s="902">
        <v>0</v>
      </c>
      <c r="BD294" s="922">
        <v>1</v>
      </c>
      <c r="BE294" s="922">
        <v>0</v>
      </c>
      <c r="BF294" s="903">
        <v>0</v>
      </c>
      <c r="BG294" s="908">
        <v>0</v>
      </c>
      <c r="BH294" s="908">
        <v>1</v>
      </c>
      <c r="BI294" s="903">
        <v>0</v>
      </c>
      <c r="BJ294" s="908">
        <v>0</v>
      </c>
      <c r="BK294" s="908">
        <v>0</v>
      </c>
      <c r="BL294" s="908">
        <v>1</v>
      </c>
      <c r="BM294" s="903">
        <v>0</v>
      </c>
      <c r="BN294" s="958">
        <v>0.08</v>
      </c>
      <c r="BO294" s="959">
        <v>6</v>
      </c>
      <c r="BP294" s="3">
        <f t="shared" ca="1" si="353"/>
        <v>185.6</v>
      </c>
      <c r="BQ294" s="3">
        <f t="shared" ca="1" si="354"/>
        <v>361.17052631578946</v>
      </c>
      <c r="BR294" s="3">
        <f t="shared" ca="1" si="355"/>
        <v>84.1</v>
      </c>
      <c r="BS294" s="3">
        <f t="shared" ca="1" si="356"/>
        <v>115.78052631578947</v>
      </c>
      <c r="BT294" s="3">
        <f t="shared" ca="1" si="357"/>
        <v>75.400000000000006</v>
      </c>
      <c r="BU294" s="3">
        <f t="shared" ca="1" si="358"/>
        <v>22</v>
      </c>
      <c r="BV294" s="3">
        <f t="shared" ca="1" si="359"/>
        <v>2.15</v>
      </c>
      <c r="BW294" s="926">
        <v>0</v>
      </c>
      <c r="BX294" s="3">
        <f t="shared" ca="1" si="348"/>
        <v>25.497726124305199</v>
      </c>
      <c r="BY294" s="3">
        <f t="shared" ca="1" si="349"/>
        <v>62.734150883890571</v>
      </c>
      <c r="BZ294" s="3">
        <f t="shared" ca="1" si="330"/>
        <v>28.353659319494973</v>
      </c>
      <c r="CA294" s="3">
        <f t="shared" ca="1" si="331"/>
        <v>60.499999966724999</v>
      </c>
      <c r="CB294" s="3">
        <f t="shared" ca="1" si="350"/>
        <v>4.5133587786259541</v>
      </c>
      <c r="CC294" s="926">
        <f t="shared" si="332"/>
        <v>0</v>
      </c>
      <c r="CD294" s="1018">
        <f t="shared" ca="1" si="362"/>
        <v>205.55333717830484</v>
      </c>
      <c r="CE294" s="1018">
        <f t="shared" ca="1" si="344"/>
        <v>54.61311657484039</v>
      </c>
      <c r="CF294" s="3">
        <f t="shared" ca="1" si="333"/>
        <v>7.8049936125943571</v>
      </c>
      <c r="CG294" s="3">
        <f t="shared" ca="1" si="334"/>
        <v>12995.0021652251</v>
      </c>
    </row>
    <row r="295" spans="4:85" s="3" customFormat="1" x14ac:dyDescent="0.25">
      <c r="D295" s="562"/>
      <c r="E295" s="558"/>
      <c r="F295" s="562"/>
      <c r="G295" s="558"/>
      <c r="H295" s="562"/>
      <c r="I295" s="558"/>
      <c r="J295" s="562"/>
      <c r="K295" s="560" t="s">
        <v>12</v>
      </c>
      <c r="L295" s="561">
        <v>0.26100000000000001</v>
      </c>
      <c r="M295" s="557" t="s">
        <v>7</v>
      </c>
      <c r="N295" s="559">
        <v>0.11900000000000005</v>
      </c>
      <c r="O295" s="557" t="s">
        <v>23</v>
      </c>
      <c r="P295" s="559">
        <v>1</v>
      </c>
      <c r="Q295" s="557" t="s">
        <v>7</v>
      </c>
      <c r="R295" s="559">
        <v>1</v>
      </c>
      <c r="S295" s="557"/>
      <c r="T295" s="567">
        <v>6.4061564445270017E-4</v>
      </c>
      <c r="U295" s="556"/>
      <c r="V295" s="176">
        <f t="shared" si="351"/>
        <v>6.4061564445270017E-4</v>
      </c>
      <c r="W295" s="176">
        <f t="shared" si="360"/>
        <v>6.4061564445270017E-4</v>
      </c>
      <c r="X295" s="176">
        <f t="shared" si="361"/>
        <v>6.4061564445270017E-4</v>
      </c>
      <c r="Y295" s="958">
        <f>X295/Calculation_sheet!M$67</f>
        <v>6.4062874275477204E-4</v>
      </c>
      <c r="Z295" s="176">
        <f ca="1">IF(AN295&gt;0,Y295*Calculation_sheet!C$87,0)</f>
        <v>0</v>
      </c>
      <c r="AA295" s="176">
        <f t="shared" ca="1" si="326"/>
        <v>6.4062874275477204E-4</v>
      </c>
      <c r="AB295" s="176">
        <f ca="1">IF(AP295&gt;0,AA295*Calculation_sheet!C$94,0)</f>
        <v>0</v>
      </c>
      <c r="AC295" s="176">
        <f t="shared" ca="1" si="352"/>
        <v>6.4062874275477204E-4</v>
      </c>
      <c r="AD295" s="958">
        <f ca="1">AC295*Calculation_sheet!C$99</f>
        <v>3.8437724565286321E-4</v>
      </c>
      <c r="AE295" s="176">
        <f t="shared" ca="1" si="352"/>
        <v>2.5625149710190883E-4</v>
      </c>
      <c r="AF295" s="176">
        <f t="shared" ca="1" si="346"/>
        <v>6.4062874275477204E-4</v>
      </c>
      <c r="AG295" s="958">
        <f ca="1">AF295*User_sheet!B$77/100</f>
        <v>0</v>
      </c>
      <c r="AH295" s="313"/>
      <c r="AI295" s="908">
        <v>203</v>
      </c>
      <c r="AJ295" s="313"/>
      <c r="AK295" s="1020">
        <f t="shared" ca="1" si="329"/>
        <v>205.55333717830484</v>
      </c>
      <c r="AL295" s="954">
        <f ca="1">AK295/'203'!I$24</f>
        <v>0.71926992307084969</v>
      </c>
      <c r="AM295" s="954">
        <f ca="1">0.8*(AK295*30+'203'!D$17*0.34*30*1)</f>
        <v>8276.8443870161573</v>
      </c>
      <c r="AN295" s="954">
        <f ca="1">IF(AM295&lt;User_sheet!B$50,Y295,0)</f>
        <v>6.4062874275477204E-4</v>
      </c>
      <c r="AO295" s="954">
        <f ca="1">20-(User_sheet!B$57/(AK295+'203'!D$17*1*0.34))</f>
        <v>3.4719618246541621</v>
      </c>
      <c r="AP295" s="954">
        <f ca="1">IF(AO295&lt;User_sheet!B$59,0,BC295*AA295)</f>
        <v>0</v>
      </c>
      <c r="AQ295" s="313"/>
      <c r="AR295" s="908">
        <v>0.32</v>
      </c>
      <c r="AS295" s="1020">
        <v>0.59799999999999998</v>
      </c>
      <c r="AT295" s="908">
        <v>1.42</v>
      </c>
      <c r="AU295" s="908">
        <v>2.75</v>
      </c>
      <c r="AV295" s="908">
        <v>3.3</v>
      </c>
      <c r="AW295" s="908">
        <v>12257.141193582425</v>
      </c>
      <c r="AX295" s="908">
        <v>75945.51234133933</v>
      </c>
      <c r="AY295" s="908">
        <v>62673.095488422703</v>
      </c>
      <c r="AZ295" s="908">
        <v>0</v>
      </c>
      <c r="BA295" s="908">
        <v>0</v>
      </c>
      <c r="BB295" s="908">
        <v>0.6</v>
      </c>
      <c r="BC295" s="902">
        <v>0</v>
      </c>
      <c r="BD295" s="922">
        <v>0</v>
      </c>
      <c r="BE295" s="922">
        <v>1</v>
      </c>
      <c r="BF295" s="903">
        <v>0</v>
      </c>
      <c r="BG295" s="908">
        <v>0</v>
      </c>
      <c r="BH295" s="908">
        <v>0</v>
      </c>
      <c r="BI295" s="903">
        <v>1</v>
      </c>
      <c r="BJ295" s="908">
        <v>0</v>
      </c>
      <c r="BK295" s="908">
        <v>0</v>
      </c>
      <c r="BL295" s="908">
        <v>1</v>
      </c>
      <c r="BM295" s="903">
        <v>0</v>
      </c>
      <c r="BN295" s="958">
        <v>0.08</v>
      </c>
      <c r="BO295" s="959">
        <v>6</v>
      </c>
      <c r="BP295" s="3">
        <f t="shared" ca="1" si="353"/>
        <v>185.6</v>
      </c>
      <c r="BQ295" s="3">
        <f t="shared" ca="1" si="354"/>
        <v>361.17052631578946</v>
      </c>
      <c r="BR295" s="3">
        <f t="shared" ca="1" si="355"/>
        <v>84.1</v>
      </c>
      <c r="BS295" s="3">
        <f t="shared" ca="1" si="356"/>
        <v>115.78052631578947</v>
      </c>
      <c r="BT295" s="3">
        <f t="shared" ca="1" si="357"/>
        <v>75.400000000000006</v>
      </c>
      <c r="BU295" s="3">
        <f t="shared" ca="1" si="358"/>
        <v>22</v>
      </c>
      <c r="BV295" s="3">
        <f t="shared" ca="1" si="359"/>
        <v>2.15</v>
      </c>
      <c r="BW295" s="926">
        <v>0</v>
      </c>
      <c r="BX295" s="3">
        <f t="shared" ca="1" si="348"/>
        <v>25.497726124305199</v>
      </c>
      <c r="BY295" s="3">
        <f t="shared" ca="1" si="349"/>
        <v>62.734150883890571</v>
      </c>
      <c r="BZ295" s="3">
        <f t="shared" ca="1" si="330"/>
        <v>28.353659319494973</v>
      </c>
      <c r="CA295" s="3">
        <f t="shared" ca="1" si="331"/>
        <v>60.499999966724999</v>
      </c>
      <c r="CB295" s="3">
        <f t="shared" ca="1" si="350"/>
        <v>4.5133587786259541</v>
      </c>
      <c r="CC295" s="926">
        <f t="shared" si="332"/>
        <v>0</v>
      </c>
      <c r="CD295" s="1018">
        <f t="shared" ca="1" si="362"/>
        <v>205.55333717830484</v>
      </c>
      <c r="CE295" s="1018">
        <f t="shared" ca="1" si="344"/>
        <v>54.61311657484039</v>
      </c>
      <c r="CF295" s="3">
        <f t="shared" ca="1" si="333"/>
        <v>7.8049936125943571</v>
      </c>
      <c r="CG295" s="3">
        <f t="shared" ca="1" si="334"/>
        <v>12995.0021652251</v>
      </c>
    </row>
    <row r="296" spans="4:85" s="11" customFormat="1" x14ac:dyDescent="0.25">
      <c r="D296" s="565"/>
      <c r="E296" s="564"/>
      <c r="F296" s="565"/>
      <c r="G296" s="564"/>
      <c r="H296" s="565"/>
      <c r="I296" s="564"/>
      <c r="J296" s="565"/>
      <c r="K296" s="566"/>
      <c r="L296" s="565"/>
      <c r="M296" s="565"/>
      <c r="N296" s="565"/>
      <c r="O296" s="565"/>
      <c r="P296" s="565"/>
      <c r="Q296" s="565"/>
      <c r="R296" s="565"/>
      <c r="S296" s="565"/>
      <c r="T296" s="568"/>
      <c r="U296" s="564"/>
      <c r="V296" s="292"/>
      <c r="W296" s="292"/>
      <c r="X296" s="292"/>
      <c r="Y296" s="277"/>
      <c r="Z296" s="292"/>
      <c r="AA296" s="292"/>
      <c r="AB296" s="292"/>
      <c r="AC296" s="292"/>
      <c r="AD296" s="277"/>
      <c r="AE296" s="292"/>
      <c r="AF296" s="292"/>
      <c r="AG296" s="277"/>
      <c r="AH296" s="313"/>
      <c r="AI296" s="912"/>
      <c r="AJ296" s="313"/>
      <c r="AK296" s="1020">
        <f t="shared" si="329"/>
        <v>0</v>
      </c>
      <c r="AL296" s="941"/>
      <c r="AM296" s="941"/>
      <c r="AN296" s="941"/>
      <c r="AO296" s="941"/>
      <c r="AP296" s="941"/>
      <c r="AQ296" s="313"/>
      <c r="AR296" s="912"/>
      <c r="AS296" s="955"/>
      <c r="AT296" s="912"/>
      <c r="AU296" s="912"/>
      <c r="AV296" s="912"/>
      <c r="AW296" s="912"/>
      <c r="AX296" s="912"/>
      <c r="AY296" s="912"/>
      <c r="AZ296" s="912"/>
      <c r="BA296" s="912"/>
      <c r="BB296" s="912"/>
      <c r="BC296" s="904"/>
      <c r="BD296" s="905"/>
      <c r="BE296" s="905"/>
      <c r="BF296" s="906"/>
      <c r="BG296" s="912"/>
      <c r="BH296" s="912"/>
      <c r="BI296" s="906"/>
      <c r="BJ296" s="912"/>
      <c r="BK296" s="912"/>
      <c r="BL296" s="912"/>
      <c r="BM296" s="906"/>
      <c r="BN296" s="278"/>
      <c r="BO296" s="52"/>
      <c r="BW296" s="946"/>
      <c r="CC296" s="946"/>
      <c r="CD296" s="946"/>
      <c r="CE296" s="946"/>
    </row>
    <row r="297" spans="4:85" x14ac:dyDescent="0.25">
      <c r="D297" s="557"/>
      <c r="E297" s="558"/>
      <c r="F297" s="562"/>
      <c r="G297" s="558"/>
      <c r="H297" s="562"/>
      <c r="I297" s="558"/>
      <c r="J297" s="562"/>
      <c r="K297" s="563"/>
      <c r="L297" s="562"/>
      <c r="M297" s="557"/>
      <c r="N297" s="557"/>
      <c r="O297" s="557"/>
      <c r="P297" s="557"/>
      <c r="Q297" s="557" t="s">
        <v>16</v>
      </c>
      <c r="R297" s="559">
        <v>0.92569999999999997</v>
      </c>
      <c r="S297" s="557"/>
      <c r="T297" s="567">
        <v>0</v>
      </c>
      <c r="U297" s="556"/>
      <c r="V297" s="176">
        <f t="shared" si="335"/>
        <v>0</v>
      </c>
      <c r="W297" s="176">
        <f>V297</f>
        <v>0</v>
      </c>
      <c r="X297" s="176">
        <f>W297</f>
        <v>0</v>
      </c>
      <c r="Y297" s="34">
        <f>X297/Calculation_sheet!M$67</f>
        <v>0</v>
      </c>
      <c r="Z297" s="176">
        <f ca="1">IF(AN297&gt;0,Y297*Calculation_sheet!C$87,0)</f>
        <v>0</v>
      </c>
      <c r="AA297" s="176">
        <f t="shared" ca="1" si="326"/>
        <v>0</v>
      </c>
      <c r="AB297" s="176">
        <f ca="1">IF(AP297&gt;0,AA297*Calculation_sheet!C$94,0)</f>
        <v>0</v>
      </c>
      <c r="AC297" s="176">
        <f t="shared" ref="AC297:AE305" ca="1" si="363">AA297-AB297</f>
        <v>0</v>
      </c>
      <c r="AD297" s="958">
        <f ca="1">AC297*Calculation_sheet!C$99</f>
        <v>0</v>
      </c>
      <c r="AE297" s="176">
        <f t="shared" ca="1" si="363"/>
        <v>0</v>
      </c>
      <c r="AF297" s="176">
        <f t="shared" ca="1" si="346"/>
        <v>0</v>
      </c>
      <c r="AG297" s="958">
        <f ca="1">AF297*User_sheet!B$77/100</f>
        <v>0</v>
      </c>
      <c r="AH297" s="313"/>
      <c r="AI297" s="908">
        <v>203</v>
      </c>
      <c r="AJ297" s="313"/>
      <c r="AK297" s="1020">
        <f t="shared" ca="1" si="329"/>
        <v>324.59880015513284</v>
      </c>
      <c r="AL297" s="954">
        <f ca="1">AK297/'203'!I$24</f>
        <v>1.1358324667526467</v>
      </c>
      <c r="AM297" s="954">
        <f ca="1">0.8*(AK297*30+'203'!D$17*0.34*30*1)</f>
        <v>11133.93549846003</v>
      </c>
      <c r="AN297" s="954">
        <f ca="1">IF(AM297&lt;User_sheet!B$50,Y297,0)</f>
        <v>0</v>
      </c>
      <c r="AO297" s="954">
        <f ca="1">20-(User_sheet!B$57/(AK297+'203'!D$17*1*0.34))</f>
        <v>7.7132394004868043</v>
      </c>
      <c r="AP297" s="954">
        <f ca="1">IF(AO297&lt;User_sheet!B$59,0,BC297*AA297)</f>
        <v>0</v>
      </c>
      <c r="AQ297" s="313"/>
      <c r="AR297" s="909">
        <v>0.32</v>
      </c>
      <c r="AS297" s="1020">
        <v>2.41</v>
      </c>
      <c r="AT297" s="909">
        <v>0.59</v>
      </c>
      <c r="AU297" s="909">
        <v>2.75</v>
      </c>
      <c r="AV297" s="909">
        <v>3.3</v>
      </c>
      <c r="AW297" s="909">
        <v>12257.141193582425</v>
      </c>
      <c r="AX297" s="909">
        <v>75945.51234133933</v>
      </c>
      <c r="AY297" s="909">
        <v>64021.679041832605</v>
      </c>
      <c r="AZ297" s="909">
        <v>0</v>
      </c>
      <c r="BA297" s="909">
        <v>0</v>
      </c>
      <c r="BB297" s="909">
        <v>0.6</v>
      </c>
      <c r="BC297" s="919">
        <v>1</v>
      </c>
      <c r="BD297" s="920">
        <v>0</v>
      </c>
      <c r="BE297" s="920">
        <v>0</v>
      </c>
      <c r="BF297" s="921">
        <v>0</v>
      </c>
      <c r="BG297" s="909">
        <v>1</v>
      </c>
      <c r="BH297" s="909">
        <v>0</v>
      </c>
      <c r="BI297" s="921">
        <v>0</v>
      </c>
      <c r="BJ297" s="909">
        <v>1</v>
      </c>
      <c r="BK297" s="909">
        <v>0</v>
      </c>
      <c r="BL297" s="909">
        <v>0</v>
      </c>
      <c r="BM297" s="921">
        <v>0</v>
      </c>
      <c r="BN297" s="958">
        <v>0.08</v>
      </c>
      <c r="BO297" s="959">
        <v>16.3</v>
      </c>
      <c r="BP297">
        <f t="shared" ref="BP297:BP305" ca="1" si="364">INDIRECT("'"&amp;AI297&amp;"'!"&amp;"B2")</f>
        <v>185.6</v>
      </c>
      <c r="BQ297">
        <f t="shared" ref="BQ297:BQ305" ca="1" si="365">INDIRECT("'"&amp;AI297&amp;"'!"&amp;"C12")+INDIRECT("'"&amp;AI297&amp;"'!"&amp;"C13")+INDIRECT("'"&amp;AI297&amp;"'!"&amp;"C14")+INDIRECT("'"&amp;AI297&amp;"'!"&amp;"C15")+INDIRECT("'"&amp;AI297&amp;"'!"&amp;"C17")</f>
        <v>361.17052631578946</v>
      </c>
      <c r="BR297">
        <f t="shared" ref="BR297:BR305" ca="1" si="366">INDIRECT("'"&amp;AI297&amp;"'!"&amp;"G5")</f>
        <v>84.1</v>
      </c>
      <c r="BS297">
        <f t="shared" ref="BS297:BS305" ca="1" si="367">INDIRECT("'"&amp;AI297&amp;"'!"&amp;"G4")</f>
        <v>115.78052631578947</v>
      </c>
      <c r="BT297">
        <f t="shared" ref="BT297:BT305" ca="1" si="368">INDIRECT("'"&amp;AI297&amp;"'!"&amp;"G6")</f>
        <v>75.400000000000006</v>
      </c>
      <c r="BU297">
        <f t="shared" ref="BU297:BU305" ca="1" si="369">INDIRECT("'"&amp;AI297&amp;"'!"&amp;"G2")</f>
        <v>22</v>
      </c>
      <c r="BV297">
        <f t="shared" ref="BV297:BV305" ca="1" si="370">INDIRECT("'"&amp;AI297&amp;"'!"&amp;"G3")</f>
        <v>2.15</v>
      </c>
      <c r="BW297" s="1018">
        <v>0</v>
      </c>
      <c r="BX297">
        <f t="shared" ca="1" si="348"/>
        <v>25.497726124305199</v>
      </c>
      <c r="BY297">
        <f t="shared" ca="1" si="349"/>
        <v>196.81491706554075</v>
      </c>
      <c r="BZ297">
        <f t="shared" ca="1" si="330"/>
        <v>13.318356114672797</v>
      </c>
      <c r="CA297">
        <f t="shared" ca="1" si="331"/>
        <v>60.499999966724999</v>
      </c>
      <c r="CB297">
        <f t="shared" ca="1" si="350"/>
        <v>4.5133587786259541</v>
      </c>
      <c r="CC297" s="1018">
        <f t="shared" si="332"/>
        <v>0</v>
      </c>
      <c r="CD297" s="1018">
        <f ca="1">SUM(BX297:CC297)+(BR297+BS297+BT297+BU297+BV297)*BN297</f>
        <v>324.59880015513284</v>
      </c>
      <c r="CE297" s="1018">
        <f t="shared" ca="1" si="344"/>
        <v>148.36563336164974</v>
      </c>
      <c r="CF297">
        <f t="shared" ca="1" si="333"/>
        <v>14.188933005503479</v>
      </c>
      <c r="CG297">
        <f t="shared" ca="1" si="334"/>
        <v>23624.005896843071</v>
      </c>
    </row>
    <row r="298" spans="4:85" x14ac:dyDescent="0.25">
      <c r="D298" s="557"/>
      <c r="E298" s="558"/>
      <c r="F298" s="562"/>
      <c r="G298" s="558"/>
      <c r="H298" s="562"/>
      <c r="I298" s="558"/>
      <c r="J298" s="562"/>
      <c r="K298" s="563"/>
      <c r="L298" s="562"/>
      <c r="M298" s="557"/>
      <c r="N298" s="557"/>
      <c r="O298" s="557" t="s">
        <v>18</v>
      </c>
      <c r="P298" s="559">
        <v>0.89156626500000002</v>
      </c>
      <c r="Q298" s="557" t="s">
        <v>7</v>
      </c>
      <c r="R298" s="559">
        <v>7.4300000000000005E-2</v>
      </c>
      <c r="S298" s="557"/>
      <c r="T298" s="567">
        <v>0</v>
      </c>
      <c r="U298" s="556"/>
      <c r="V298" s="176">
        <f t="shared" si="335"/>
        <v>0</v>
      </c>
      <c r="W298" s="176">
        <f t="shared" ref="W298:X305" si="371">V298</f>
        <v>0</v>
      </c>
      <c r="X298" s="176">
        <f t="shared" si="371"/>
        <v>0</v>
      </c>
      <c r="Y298" s="34">
        <f>X298/Calculation_sheet!M$67</f>
        <v>0</v>
      </c>
      <c r="Z298" s="176">
        <f ca="1">IF(AN298&gt;0,Y298*Calculation_sheet!C$87,0)</f>
        <v>0</v>
      </c>
      <c r="AA298" s="176">
        <f t="shared" ca="1" si="326"/>
        <v>0</v>
      </c>
      <c r="AB298" s="176">
        <f ca="1">IF(AP298&gt;0,AA298*Calculation_sheet!C$94,0)</f>
        <v>0</v>
      </c>
      <c r="AC298" s="176">
        <f t="shared" ca="1" si="363"/>
        <v>0</v>
      </c>
      <c r="AD298" s="958">
        <f ca="1">AC298*Calculation_sheet!C$99</f>
        <v>0</v>
      </c>
      <c r="AE298" s="176">
        <f t="shared" ca="1" si="363"/>
        <v>0</v>
      </c>
      <c r="AF298" s="176">
        <f t="shared" ca="1" si="346"/>
        <v>0</v>
      </c>
      <c r="AG298" s="958">
        <f ca="1">AF298*User_sheet!B$77/100</f>
        <v>0</v>
      </c>
      <c r="AH298" s="313"/>
      <c r="AI298" s="908">
        <v>203</v>
      </c>
      <c r="AJ298" s="313"/>
      <c r="AK298" s="1020">
        <f t="shared" ca="1" si="329"/>
        <v>324.59880015513284</v>
      </c>
      <c r="AL298" s="954">
        <f ca="1">AK298/'203'!I$24</f>
        <v>1.1358324667526467</v>
      </c>
      <c r="AM298" s="954">
        <f ca="1">0.8*(AK298*30+'203'!D$17*0.34*30*1)</f>
        <v>11133.93549846003</v>
      </c>
      <c r="AN298" s="954">
        <f ca="1">IF(AM298&lt;User_sheet!B$50,Y298,0)</f>
        <v>0</v>
      </c>
      <c r="AO298" s="954">
        <f ca="1">20-(User_sheet!B$57/(AK298+'203'!D$17*1*0.34))</f>
        <v>7.7132394004868043</v>
      </c>
      <c r="AP298" s="954">
        <f ca="1">IF(AO298&lt;User_sheet!B$59,0,BC298*AA298)</f>
        <v>0</v>
      </c>
      <c r="AQ298" s="313"/>
      <c r="AR298" s="909">
        <v>0.32</v>
      </c>
      <c r="AS298" s="1020">
        <v>2.41</v>
      </c>
      <c r="AT298" s="909">
        <v>0.59</v>
      </c>
      <c r="AU298" s="909">
        <v>2.75</v>
      </c>
      <c r="AV298" s="909">
        <v>3.3</v>
      </c>
      <c r="AW298" s="909">
        <v>12257.141193582425</v>
      </c>
      <c r="AX298" s="909">
        <v>75945.51234133933</v>
      </c>
      <c r="AY298" s="909">
        <v>64021.679041832605</v>
      </c>
      <c r="AZ298" s="909">
        <v>0</v>
      </c>
      <c r="BA298" s="909">
        <v>0</v>
      </c>
      <c r="BB298" s="909">
        <v>0.6</v>
      </c>
      <c r="BC298" s="919">
        <v>1</v>
      </c>
      <c r="BD298" s="920">
        <v>0</v>
      </c>
      <c r="BE298" s="920">
        <v>0</v>
      </c>
      <c r="BF298" s="921">
        <v>0</v>
      </c>
      <c r="BG298" s="909">
        <v>1</v>
      </c>
      <c r="BH298" s="909">
        <v>0</v>
      </c>
      <c r="BI298" s="921">
        <v>0</v>
      </c>
      <c r="BJ298" s="909">
        <v>0</v>
      </c>
      <c r="BK298" s="909">
        <v>0</v>
      </c>
      <c r="BL298" s="909">
        <v>1</v>
      </c>
      <c r="BM298" s="921">
        <v>0</v>
      </c>
      <c r="BN298" s="958">
        <v>0.08</v>
      </c>
      <c r="BO298" s="959">
        <v>16.3</v>
      </c>
      <c r="BP298">
        <f t="shared" ca="1" si="364"/>
        <v>185.6</v>
      </c>
      <c r="BQ298">
        <f t="shared" ca="1" si="365"/>
        <v>361.17052631578946</v>
      </c>
      <c r="BR298">
        <f t="shared" ca="1" si="366"/>
        <v>84.1</v>
      </c>
      <c r="BS298">
        <f t="shared" ca="1" si="367"/>
        <v>115.78052631578947</v>
      </c>
      <c r="BT298">
        <f t="shared" ca="1" si="368"/>
        <v>75.400000000000006</v>
      </c>
      <c r="BU298">
        <f t="shared" ca="1" si="369"/>
        <v>22</v>
      </c>
      <c r="BV298">
        <f t="shared" ca="1" si="370"/>
        <v>2.15</v>
      </c>
      <c r="BW298" s="1018">
        <v>0</v>
      </c>
      <c r="BX298">
        <f t="shared" ca="1" si="348"/>
        <v>25.497726124305199</v>
      </c>
      <c r="BY298">
        <f t="shared" ca="1" si="349"/>
        <v>196.81491706554075</v>
      </c>
      <c r="BZ298">
        <f t="shared" ca="1" si="330"/>
        <v>13.318356114672797</v>
      </c>
      <c r="CA298">
        <f t="shared" ca="1" si="331"/>
        <v>60.499999966724999</v>
      </c>
      <c r="CB298">
        <f t="shared" ca="1" si="350"/>
        <v>4.5133587786259541</v>
      </c>
      <c r="CC298" s="1018">
        <f t="shared" si="332"/>
        <v>0</v>
      </c>
      <c r="CD298" s="1018">
        <f t="shared" ref="CD298:CD305" ca="1" si="372">SUM(BX298:CC298)+(BR298+BS298+BT298+BU298+BV298)*BN298</f>
        <v>324.59880015513284</v>
      </c>
      <c r="CE298" s="1018">
        <f t="shared" ca="1" si="344"/>
        <v>148.36563336164974</v>
      </c>
      <c r="CF298">
        <f t="shared" ca="1" si="333"/>
        <v>14.188933005503479</v>
      </c>
      <c r="CG298">
        <f t="shared" ca="1" si="334"/>
        <v>23624.005896843071</v>
      </c>
    </row>
    <row r="299" spans="4:85" x14ac:dyDescent="0.25">
      <c r="D299" s="557"/>
      <c r="E299" s="558"/>
      <c r="F299" s="562"/>
      <c r="G299" s="558"/>
      <c r="H299" s="562"/>
      <c r="I299" s="558"/>
      <c r="J299" s="562"/>
      <c r="K299" s="563"/>
      <c r="L299" s="562"/>
      <c r="M299" s="557"/>
      <c r="N299" s="557"/>
      <c r="O299" s="557"/>
      <c r="P299" s="557"/>
      <c r="Q299" s="557" t="s">
        <v>16</v>
      </c>
      <c r="R299" s="559">
        <v>0.92569999999999997</v>
      </c>
      <c r="S299" s="557"/>
      <c r="T299" s="567">
        <v>0</v>
      </c>
      <c r="U299" s="556"/>
      <c r="V299" s="176">
        <f t="shared" si="335"/>
        <v>0</v>
      </c>
      <c r="W299" s="176">
        <f t="shared" si="371"/>
        <v>0</v>
      </c>
      <c r="X299" s="176">
        <f t="shared" si="371"/>
        <v>0</v>
      </c>
      <c r="Y299" s="34">
        <f>X299/Calculation_sheet!M$67</f>
        <v>0</v>
      </c>
      <c r="Z299" s="176">
        <f ca="1">IF(AN299&gt;0,Y299*Calculation_sheet!C$87,0)</f>
        <v>0</v>
      </c>
      <c r="AA299" s="176">
        <f t="shared" ca="1" si="326"/>
        <v>0</v>
      </c>
      <c r="AB299" s="176">
        <f ca="1">IF(AP299&gt;0,AA299*Calculation_sheet!C$94,0)</f>
        <v>0</v>
      </c>
      <c r="AC299" s="176">
        <f t="shared" ca="1" si="363"/>
        <v>0</v>
      </c>
      <c r="AD299" s="958">
        <f ca="1">AC299*Calculation_sheet!C$99</f>
        <v>0</v>
      </c>
      <c r="AE299" s="176">
        <f t="shared" ca="1" si="363"/>
        <v>0</v>
      </c>
      <c r="AF299" s="176">
        <f t="shared" ca="1" si="346"/>
        <v>0</v>
      </c>
      <c r="AG299" s="958">
        <f ca="1">AF299*User_sheet!B$77/100</f>
        <v>0</v>
      </c>
      <c r="AH299" s="313"/>
      <c r="AI299" s="908">
        <v>203</v>
      </c>
      <c r="AJ299" s="313"/>
      <c r="AK299" s="1020">
        <f t="shared" ca="1" si="329"/>
        <v>324.59880015513284</v>
      </c>
      <c r="AL299" s="954">
        <f ca="1">AK299/'203'!I$24</f>
        <v>1.1358324667526467</v>
      </c>
      <c r="AM299" s="954">
        <f ca="1">0.8*(AK299*30+'203'!D$17*0.34*30*1)</f>
        <v>11133.93549846003</v>
      </c>
      <c r="AN299" s="954">
        <f ca="1">IF(AM299&lt;User_sheet!B$50,Y299,0)</f>
        <v>0</v>
      </c>
      <c r="AO299" s="954">
        <f ca="1">20-(User_sheet!B$57/(AK299+'203'!D$17*1*0.34))</f>
        <v>7.7132394004868043</v>
      </c>
      <c r="AP299" s="954">
        <f ca="1">IF(AO299&lt;User_sheet!B$59,0,BC299*AA299)</f>
        <v>0</v>
      </c>
      <c r="AQ299" s="313"/>
      <c r="AR299" s="909">
        <v>0.32</v>
      </c>
      <c r="AS299" s="1020">
        <v>2.41</v>
      </c>
      <c r="AT299" s="909">
        <v>0.59</v>
      </c>
      <c r="AU299" s="909">
        <v>2.75</v>
      </c>
      <c r="AV299" s="909">
        <v>3.3</v>
      </c>
      <c r="AW299" s="909">
        <v>12257.141193582425</v>
      </c>
      <c r="AX299" s="909">
        <v>75945.51234133933</v>
      </c>
      <c r="AY299" s="909">
        <v>64021.679041832605</v>
      </c>
      <c r="AZ299" s="909">
        <v>0</v>
      </c>
      <c r="BA299" s="909">
        <v>0</v>
      </c>
      <c r="BB299" s="909">
        <v>0.6</v>
      </c>
      <c r="BC299" s="919">
        <v>1</v>
      </c>
      <c r="BD299" s="920">
        <v>0</v>
      </c>
      <c r="BE299" s="920">
        <v>0</v>
      </c>
      <c r="BF299" s="921">
        <v>0</v>
      </c>
      <c r="BG299" s="909">
        <v>0</v>
      </c>
      <c r="BH299" s="909">
        <v>1</v>
      </c>
      <c r="BI299" s="921">
        <v>0</v>
      </c>
      <c r="BJ299" s="909">
        <v>1</v>
      </c>
      <c r="BK299" s="909">
        <v>0</v>
      </c>
      <c r="BL299" s="909">
        <v>0</v>
      </c>
      <c r="BM299" s="921">
        <v>0</v>
      </c>
      <c r="BN299" s="958">
        <v>0.08</v>
      </c>
      <c r="BO299" s="959">
        <v>16.3</v>
      </c>
      <c r="BP299">
        <f t="shared" ca="1" si="364"/>
        <v>185.6</v>
      </c>
      <c r="BQ299">
        <f t="shared" ca="1" si="365"/>
        <v>361.17052631578946</v>
      </c>
      <c r="BR299">
        <f t="shared" ca="1" si="366"/>
        <v>84.1</v>
      </c>
      <c r="BS299">
        <f t="shared" ca="1" si="367"/>
        <v>115.78052631578947</v>
      </c>
      <c r="BT299">
        <f t="shared" ca="1" si="368"/>
        <v>75.400000000000006</v>
      </c>
      <c r="BU299">
        <f t="shared" ca="1" si="369"/>
        <v>22</v>
      </c>
      <c r="BV299">
        <f t="shared" ca="1" si="370"/>
        <v>2.15</v>
      </c>
      <c r="BW299" s="1018">
        <v>0</v>
      </c>
      <c r="BX299">
        <f t="shared" ca="1" si="348"/>
        <v>25.497726124305199</v>
      </c>
      <c r="BY299">
        <f t="shared" ca="1" si="349"/>
        <v>196.81491706554075</v>
      </c>
      <c r="BZ299">
        <f t="shared" ca="1" si="330"/>
        <v>13.318356114672797</v>
      </c>
      <c r="CA299">
        <f t="shared" ca="1" si="331"/>
        <v>60.499999966724999</v>
      </c>
      <c r="CB299">
        <f t="shared" ca="1" si="350"/>
        <v>4.5133587786259541</v>
      </c>
      <c r="CC299" s="1018">
        <f t="shared" si="332"/>
        <v>0</v>
      </c>
      <c r="CD299" s="1018">
        <f t="shared" ca="1" si="372"/>
        <v>324.59880015513284</v>
      </c>
      <c r="CE299" s="1018">
        <f t="shared" ca="1" si="344"/>
        <v>148.36563336164974</v>
      </c>
      <c r="CF299">
        <f t="shared" ca="1" si="333"/>
        <v>14.188933005503479</v>
      </c>
      <c r="CG299">
        <f t="shared" ca="1" si="334"/>
        <v>23624.005896843071</v>
      </c>
    </row>
    <row r="300" spans="4:85" x14ac:dyDescent="0.25">
      <c r="D300" s="557"/>
      <c r="E300" s="558"/>
      <c r="F300" s="562"/>
      <c r="G300" s="558"/>
      <c r="H300" s="562"/>
      <c r="I300" s="558"/>
      <c r="J300" s="562"/>
      <c r="K300" s="563"/>
      <c r="L300" s="562"/>
      <c r="M300" s="557" t="s">
        <v>16</v>
      </c>
      <c r="N300" s="559">
        <v>0.41099999999999998</v>
      </c>
      <c r="O300" s="557" t="s">
        <v>19</v>
      </c>
      <c r="P300" s="559">
        <v>0.108433735</v>
      </c>
      <c r="Q300" s="557" t="s">
        <v>7</v>
      </c>
      <c r="R300" s="559">
        <v>7.4300000000000005E-2</v>
      </c>
      <c r="S300" s="557"/>
      <c r="T300" s="567">
        <v>0</v>
      </c>
      <c r="U300" s="556"/>
      <c r="V300" s="176">
        <f t="shared" si="335"/>
        <v>0</v>
      </c>
      <c r="W300" s="176">
        <f t="shared" si="371"/>
        <v>0</v>
      </c>
      <c r="X300" s="176">
        <f t="shared" si="371"/>
        <v>0</v>
      </c>
      <c r="Y300" s="34">
        <f>X300/Calculation_sheet!M$67</f>
        <v>0</v>
      </c>
      <c r="Z300" s="176">
        <f ca="1">IF(AN300&gt;0,Y300*Calculation_sheet!C$87,0)</f>
        <v>0</v>
      </c>
      <c r="AA300" s="176">
        <f t="shared" ca="1" si="326"/>
        <v>0</v>
      </c>
      <c r="AB300" s="176">
        <f ca="1">IF(AP300&gt;0,AA300*Calculation_sheet!C$94,0)</f>
        <v>0</v>
      </c>
      <c r="AC300" s="176">
        <f t="shared" ca="1" si="363"/>
        <v>0</v>
      </c>
      <c r="AD300" s="958">
        <f ca="1">AC300*Calculation_sheet!C$99</f>
        <v>0</v>
      </c>
      <c r="AE300" s="176">
        <f t="shared" ca="1" si="363"/>
        <v>0</v>
      </c>
      <c r="AF300" s="176">
        <f t="shared" ca="1" si="346"/>
        <v>0</v>
      </c>
      <c r="AG300" s="958">
        <f ca="1">AF300*User_sheet!B$77/100</f>
        <v>0</v>
      </c>
      <c r="AH300" s="313"/>
      <c r="AI300" s="908">
        <v>203</v>
      </c>
      <c r="AJ300" s="313"/>
      <c r="AK300" s="1020">
        <f t="shared" ca="1" si="329"/>
        <v>324.59880015513284</v>
      </c>
      <c r="AL300" s="954">
        <f ca="1">AK300/'203'!I$24</f>
        <v>1.1358324667526467</v>
      </c>
      <c r="AM300" s="954">
        <f ca="1">0.8*(AK300*30+'203'!D$17*0.34*30*1)</f>
        <v>11133.93549846003</v>
      </c>
      <c r="AN300" s="954">
        <f ca="1">IF(AM300&lt;User_sheet!B$50,Y300,0)</f>
        <v>0</v>
      </c>
      <c r="AO300" s="954">
        <f ca="1">20-(User_sheet!B$57/(AK300+'203'!D$17*1*0.34))</f>
        <v>7.7132394004868043</v>
      </c>
      <c r="AP300" s="954">
        <f ca="1">IF(AO300&lt;User_sheet!B$59,0,BC300*AA300)</f>
        <v>0</v>
      </c>
      <c r="AQ300" s="313"/>
      <c r="AR300" s="909">
        <v>0.32</v>
      </c>
      <c r="AS300" s="1020">
        <v>2.41</v>
      </c>
      <c r="AT300" s="909">
        <v>0.59</v>
      </c>
      <c r="AU300" s="909">
        <v>2.75</v>
      </c>
      <c r="AV300" s="909">
        <v>3.3</v>
      </c>
      <c r="AW300" s="909">
        <v>12257.141193582425</v>
      </c>
      <c r="AX300" s="909">
        <v>75945.51234133933</v>
      </c>
      <c r="AY300" s="909">
        <v>64021.679041832605</v>
      </c>
      <c r="AZ300" s="909">
        <v>0</v>
      </c>
      <c r="BA300" s="909">
        <v>0</v>
      </c>
      <c r="BB300" s="909">
        <v>0.6</v>
      </c>
      <c r="BC300" s="919">
        <v>1</v>
      </c>
      <c r="BD300" s="920">
        <v>0</v>
      </c>
      <c r="BE300" s="920">
        <v>0</v>
      </c>
      <c r="BF300" s="921">
        <v>0</v>
      </c>
      <c r="BG300" s="909">
        <v>0</v>
      </c>
      <c r="BH300" s="909">
        <v>1</v>
      </c>
      <c r="BI300" s="921">
        <v>0</v>
      </c>
      <c r="BJ300" s="909">
        <v>0</v>
      </c>
      <c r="BK300" s="909">
        <v>0</v>
      </c>
      <c r="BL300" s="909">
        <v>1</v>
      </c>
      <c r="BM300" s="921">
        <v>0</v>
      </c>
      <c r="BN300" s="958">
        <v>0.08</v>
      </c>
      <c r="BO300" s="959">
        <v>16.3</v>
      </c>
      <c r="BP300">
        <f t="shared" ca="1" si="364"/>
        <v>185.6</v>
      </c>
      <c r="BQ300">
        <f t="shared" ca="1" si="365"/>
        <v>361.17052631578946</v>
      </c>
      <c r="BR300">
        <f t="shared" ca="1" si="366"/>
        <v>84.1</v>
      </c>
      <c r="BS300">
        <f t="shared" ca="1" si="367"/>
        <v>115.78052631578947</v>
      </c>
      <c r="BT300">
        <f t="shared" ca="1" si="368"/>
        <v>75.400000000000006</v>
      </c>
      <c r="BU300">
        <f t="shared" ca="1" si="369"/>
        <v>22</v>
      </c>
      <c r="BV300">
        <f t="shared" ca="1" si="370"/>
        <v>2.15</v>
      </c>
      <c r="BW300" s="1018">
        <v>0</v>
      </c>
      <c r="BX300">
        <f t="shared" ca="1" si="348"/>
        <v>25.497726124305199</v>
      </c>
      <c r="BY300">
        <f t="shared" ca="1" si="349"/>
        <v>196.81491706554075</v>
      </c>
      <c r="BZ300">
        <f t="shared" ca="1" si="330"/>
        <v>13.318356114672797</v>
      </c>
      <c r="CA300">
        <f t="shared" ca="1" si="331"/>
        <v>60.499999966724999</v>
      </c>
      <c r="CB300">
        <f t="shared" ca="1" si="350"/>
        <v>4.5133587786259541</v>
      </c>
      <c r="CC300" s="1018">
        <f t="shared" si="332"/>
        <v>0</v>
      </c>
      <c r="CD300" s="1018">
        <f t="shared" ca="1" si="372"/>
        <v>324.59880015513284</v>
      </c>
      <c r="CE300" s="1018">
        <f t="shared" ca="1" si="344"/>
        <v>148.36563336164974</v>
      </c>
      <c r="CF300">
        <f t="shared" ca="1" si="333"/>
        <v>14.188933005503479</v>
      </c>
      <c r="CG300">
        <f t="shared" ca="1" si="334"/>
        <v>23624.005896843071</v>
      </c>
    </row>
    <row r="301" spans="4:85" x14ac:dyDescent="0.25">
      <c r="D301" s="557"/>
      <c r="E301" s="558"/>
      <c r="F301" s="562"/>
      <c r="G301" s="558"/>
      <c r="H301" s="562"/>
      <c r="I301" s="558"/>
      <c r="J301" s="562"/>
      <c r="K301" s="563"/>
      <c r="L301" s="562"/>
      <c r="M301" s="557"/>
      <c r="N301" s="557"/>
      <c r="O301" s="557"/>
      <c r="P301" s="557"/>
      <c r="Q301" s="557" t="s">
        <v>22</v>
      </c>
      <c r="R301" s="559">
        <v>0.60750000000000004</v>
      </c>
      <c r="S301" s="557"/>
      <c r="T301" s="567">
        <v>0</v>
      </c>
      <c r="U301" s="556"/>
      <c r="V301" s="176">
        <f t="shared" si="335"/>
        <v>0</v>
      </c>
      <c r="W301" s="176">
        <f t="shared" si="371"/>
        <v>0</v>
      </c>
      <c r="X301" s="176">
        <f t="shared" si="371"/>
        <v>0</v>
      </c>
      <c r="Y301" s="34">
        <f>X301/Calculation_sheet!M$67</f>
        <v>0</v>
      </c>
      <c r="Z301" s="176">
        <f ca="1">IF(AN301&gt;0,Y301*Calculation_sheet!C$87,0)</f>
        <v>0</v>
      </c>
      <c r="AA301" s="176">
        <f t="shared" ca="1" si="326"/>
        <v>0</v>
      </c>
      <c r="AB301" s="176">
        <f ca="1">IF(AP301&gt;0,AA301*Calculation_sheet!C$94,0)</f>
        <v>0</v>
      </c>
      <c r="AC301" s="176">
        <f t="shared" ca="1" si="363"/>
        <v>0</v>
      </c>
      <c r="AD301" s="958">
        <f ca="1">AC301*Calculation_sheet!C$99</f>
        <v>0</v>
      </c>
      <c r="AE301" s="176">
        <f t="shared" ca="1" si="363"/>
        <v>0</v>
      </c>
      <c r="AF301" s="176">
        <f t="shared" ca="1" si="346"/>
        <v>0</v>
      </c>
      <c r="AG301" s="958">
        <f ca="1">AF301*User_sheet!B$77/100</f>
        <v>0</v>
      </c>
      <c r="AH301" s="313"/>
      <c r="AI301" s="908">
        <v>203</v>
      </c>
      <c r="AJ301" s="313"/>
      <c r="AK301" s="1020">
        <f t="shared" ca="1" si="329"/>
        <v>324.59880015513284</v>
      </c>
      <c r="AL301" s="954">
        <f ca="1">AK301/'203'!I$24</f>
        <v>1.1358324667526467</v>
      </c>
      <c r="AM301" s="954">
        <f ca="1">0.8*(AK301*30+'203'!D$17*0.34*30*1)</f>
        <v>11133.93549846003</v>
      </c>
      <c r="AN301" s="954">
        <f ca="1">IF(AM301&lt;User_sheet!B$50,Y301,0)</f>
        <v>0</v>
      </c>
      <c r="AO301" s="954">
        <f ca="1">20-(User_sheet!B$57/(AK301+'203'!D$17*1*0.34))</f>
        <v>7.7132394004868043</v>
      </c>
      <c r="AP301" s="954">
        <f ca="1">IF(AO301&lt;User_sheet!B$59,0,BC301*AA301)</f>
        <v>0</v>
      </c>
      <c r="AQ301" s="313"/>
      <c r="AR301" s="909">
        <v>0.32</v>
      </c>
      <c r="AS301" s="1020">
        <v>2.41</v>
      </c>
      <c r="AT301" s="909">
        <v>0.59</v>
      </c>
      <c r="AU301" s="909">
        <v>2.75</v>
      </c>
      <c r="AV301" s="909">
        <v>3.3</v>
      </c>
      <c r="AW301" s="909">
        <v>12257.141193582425</v>
      </c>
      <c r="AX301" s="909">
        <v>75945.51234133933</v>
      </c>
      <c r="AY301" s="909">
        <v>64021.679041832605</v>
      </c>
      <c r="AZ301" s="909">
        <v>0</v>
      </c>
      <c r="BA301" s="909">
        <v>0</v>
      </c>
      <c r="BB301" s="909">
        <v>0.6</v>
      </c>
      <c r="BC301" s="919">
        <v>0</v>
      </c>
      <c r="BD301" s="920">
        <v>1</v>
      </c>
      <c r="BE301" s="920">
        <v>0</v>
      </c>
      <c r="BF301" s="921">
        <v>0</v>
      </c>
      <c r="BG301" s="909">
        <v>1</v>
      </c>
      <c r="BH301" s="909">
        <v>0</v>
      </c>
      <c r="BI301" s="921">
        <v>0</v>
      </c>
      <c r="BJ301" s="909">
        <v>0</v>
      </c>
      <c r="BK301" s="909">
        <v>1</v>
      </c>
      <c r="BL301" s="909">
        <v>0</v>
      </c>
      <c r="BM301" s="921">
        <v>0</v>
      </c>
      <c r="BN301" s="958">
        <v>0.08</v>
      </c>
      <c r="BO301" s="959">
        <v>16.3</v>
      </c>
      <c r="BP301">
        <f t="shared" ca="1" si="364"/>
        <v>185.6</v>
      </c>
      <c r="BQ301">
        <f t="shared" ca="1" si="365"/>
        <v>361.17052631578946</v>
      </c>
      <c r="BR301">
        <f t="shared" ca="1" si="366"/>
        <v>84.1</v>
      </c>
      <c r="BS301">
        <f t="shared" ca="1" si="367"/>
        <v>115.78052631578947</v>
      </c>
      <c r="BT301">
        <f t="shared" ca="1" si="368"/>
        <v>75.400000000000006</v>
      </c>
      <c r="BU301">
        <f t="shared" ca="1" si="369"/>
        <v>22</v>
      </c>
      <c r="BV301">
        <f t="shared" ca="1" si="370"/>
        <v>2.15</v>
      </c>
      <c r="BW301" s="1018">
        <v>0</v>
      </c>
      <c r="BX301">
        <f t="shared" ca="1" si="348"/>
        <v>25.497726124305199</v>
      </c>
      <c r="BY301">
        <f t="shared" ca="1" si="349"/>
        <v>196.81491706554075</v>
      </c>
      <c r="BZ301">
        <f t="shared" ca="1" si="330"/>
        <v>13.318356114672797</v>
      </c>
      <c r="CA301">
        <f t="shared" ca="1" si="331"/>
        <v>60.499999966724999</v>
      </c>
      <c r="CB301">
        <f t="shared" ca="1" si="350"/>
        <v>4.5133587786259541</v>
      </c>
      <c r="CC301" s="1018">
        <f t="shared" si="332"/>
        <v>0</v>
      </c>
      <c r="CD301" s="1018">
        <f t="shared" ca="1" si="372"/>
        <v>324.59880015513284</v>
      </c>
      <c r="CE301" s="1018">
        <f t="shared" ca="1" si="344"/>
        <v>148.36563336164974</v>
      </c>
      <c r="CF301">
        <f t="shared" ca="1" si="333"/>
        <v>14.188933005503479</v>
      </c>
      <c r="CG301">
        <f t="shared" ca="1" si="334"/>
        <v>23624.005896843071</v>
      </c>
    </row>
    <row r="302" spans="4:85" x14ac:dyDescent="0.25">
      <c r="D302" s="557"/>
      <c r="E302" s="558"/>
      <c r="F302" s="562"/>
      <c r="G302" s="558"/>
      <c r="H302" s="562"/>
      <c r="I302" s="558"/>
      <c r="J302" s="562"/>
      <c r="K302" s="563"/>
      <c r="L302" s="562"/>
      <c r="M302" s="557"/>
      <c r="N302" s="557"/>
      <c r="O302" s="557" t="s">
        <v>18</v>
      </c>
      <c r="P302" s="559">
        <v>0.94399999999999995</v>
      </c>
      <c r="Q302" s="557" t="s">
        <v>7</v>
      </c>
      <c r="R302" s="559">
        <v>0.39250000000000002</v>
      </c>
      <c r="S302" s="557"/>
      <c r="T302" s="567">
        <v>0</v>
      </c>
      <c r="U302" s="556"/>
      <c r="V302" s="176">
        <f t="shared" si="335"/>
        <v>0</v>
      </c>
      <c r="W302" s="176">
        <f t="shared" si="371"/>
        <v>0</v>
      </c>
      <c r="X302" s="176">
        <f t="shared" si="371"/>
        <v>0</v>
      </c>
      <c r="Y302" s="34">
        <f>X302/Calculation_sheet!M$67</f>
        <v>0</v>
      </c>
      <c r="Z302" s="176">
        <f ca="1">IF(AN302&gt;0,Y302*Calculation_sheet!C$87,0)</f>
        <v>0</v>
      </c>
      <c r="AA302" s="176">
        <f t="shared" ca="1" si="326"/>
        <v>0</v>
      </c>
      <c r="AB302" s="176">
        <f ca="1">IF(AP302&gt;0,AA302*Calculation_sheet!C$94,0)</f>
        <v>0</v>
      </c>
      <c r="AC302" s="176">
        <f t="shared" ca="1" si="363"/>
        <v>0</v>
      </c>
      <c r="AD302" s="958">
        <f ca="1">AC302*Calculation_sheet!C$99</f>
        <v>0</v>
      </c>
      <c r="AE302" s="176">
        <f t="shared" ca="1" si="363"/>
        <v>0</v>
      </c>
      <c r="AF302" s="176">
        <f t="shared" ca="1" si="346"/>
        <v>0</v>
      </c>
      <c r="AG302" s="958">
        <f ca="1">AF302*User_sheet!B$77/100</f>
        <v>0</v>
      </c>
      <c r="AH302" s="313"/>
      <c r="AI302" s="908">
        <v>203</v>
      </c>
      <c r="AJ302" s="313"/>
      <c r="AK302" s="1020">
        <f t="shared" ca="1" si="329"/>
        <v>324.59880015513284</v>
      </c>
      <c r="AL302" s="954">
        <f ca="1">AK302/'203'!I$24</f>
        <v>1.1358324667526467</v>
      </c>
      <c r="AM302" s="954">
        <f ca="1">0.8*(AK302*30+'203'!D$17*0.34*30*1)</f>
        <v>11133.93549846003</v>
      </c>
      <c r="AN302" s="954">
        <f ca="1">IF(AM302&lt;User_sheet!B$50,Y302,0)</f>
        <v>0</v>
      </c>
      <c r="AO302" s="954">
        <f ca="1">20-(User_sheet!B$57/(AK302+'203'!D$17*1*0.34))</f>
        <v>7.7132394004868043</v>
      </c>
      <c r="AP302" s="954">
        <f ca="1">IF(AO302&lt;User_sheet!B$59,0,BC302*AA302)</f>
        <v>0</v>
      </c>
      <c r="AQ302" s="313"/>
      <c r="AR302" s="909">
        <v>0.32</v>
      </c>
      <c r="AS302" s="1020">
        <v>2.41</v>
      </c>
      <c r="AT302" s="909">
        <v>0.59</v>
      </c>
      <c r="AU302" s="909">
        <v>2.75</v>
      </c>
      <c r="AV302" s="909">
        <v>3.3</v>
      </c>
      <c r="AW302" s="909">
        <v>12257.141193582425</v>
      </c>
      <c r="AX302" s="909">
        <v>75945.51234133933</v>
      </c>
      <c r="AY302" s="909">
        <v>64021.679041832605</v>
      </c>
      <c r="AZ302" s="909">
        <v>0</v>
      </c>
      <c r="BA302" s="909">
        <v>0</v>
      </c>
      <c r="BB302" s="909">
        <v>0.6</v>
      </c>
      <c r="BC302" s="919">
        <v>0</v>
      </c>
      <c r="BD302" s="920">
        <v>1</v>
      </c>
      <c r="BE302" s="920">
        <v>0</v>
      </c>
      <c r="BF302" s="921">
        <v>0</v>
      </c>
      <c r="BG302" s="909">
        <v>1</v>
      </c>
      <c r="BH302" s="909">
        <v>0</v>
      </c>
      <c r="BI302" s="921">
        <v>0</v>
      </c>
      <c r="BJ302" s="909">
        <v>0</v>
      </c>
      <c r="BK302" s="909">
        <v>0</v>
      </c>
      <c r="BL302" s="909">
        <v>1</v>
      </c>
      <c r="BM302" s="921">
        <v>0</v>
      </c>
      <c r="BN302" s="958">
        <v>0.08</v>
      </c>
      <c r="BO302" s="959">
        <v>16.3</v>
      </c>
      <c r="BP302">
        <f t="shared" ca="1" si="364"/>
        <v>185.6</v>
      </c>
      <c r="BQ302">
        <f t="shared" ca="1" si="365"/>
        <v>361.17052631578946</v>
      </c>
      <c r="BR302">
        <f t="shared" ca="1" si="366"/>
        <v>84.1</v>
      </c>
      <c r="BS302">
        <f t="shared" ca="1" si="367"/>
        <v>115.78052631578947</v>
      </c>
      <c r="BT302">
        <f t="shared" ca="1" si="368"/>
        <v>75.400000000000006</v>
      </c>
      <c r="BU302">
        <f t="shared" ca="1" si="369"/>
        <v>22</v>
      </c>
      <c r="BV302">
        <f t="shared" ca="1" si="370"/>
        <v>2.15</v>
      </c>
      <c r="BW302" s="1018">
        <v>0</v>
      </c>
      <c r="BX302">
        <f t="shared" ca="1" si="348"/>
        <v>25.497726124305199</v>
      </c>
      <c r="BY302">
        <f t="shared" ca="1" si="349"/>
        <v>196.81491706554075</v>
      </c>
      <c r="BZ302">
        <f t="shared" ca="1" si="330"/>
        <v>13.318356114672797</v>
      </c>
      <c r="CA302">
        <f t="shared" ca="1" si="331"/>
        <v>60.499999966724999</v>
      </c>
      <c r="CB302">
        <f t="shared" ca="1" si="350"/>
        <v>4.5133587786259541</v>
      </c>
      <c r="CC302" s="1018">
        <f t="shared" si="332"/>
        <v>0</v>
      </c>
      <c r="CD302" s="1018">
        <f t="shared" ca="1" si="372"/>
        <v>324.59880015513284</v>
      </c>
      <c r="CE302" s="1018">
        <f t="shared" ca="1" si="344"/>
        <v>148.36563336164974</v>
      </c>
      <c r="CF302">
        <f t="shared" ca="1" si="333"/>
        <v>14.188933005503479</v>
      </c>
      <c r="CG302">
        <f t="shared" ca="1" si="334"/>
        <v>23624.005896843071</v>
      </c>
    </row>
    <row r="303" spans="4:85" x14ac:dyDescent="0.25">
      <c r="D303" s="557"/>
      <c r="E303" s="556"/>
      <c r="F303" s="557"/>
      <c r="G303" s="556"/>
      <c r="H303" s="557"/>
      <c r="I303" s="556"/>
      <c r="J303" s="557"/>
      <c r="K303" s="556"/>
      <c r="L303" s="556"/>
      <c r="M303" s="557"/>
      <c r="N303" s="557"/>
      <c r="O303" s="557"/>
      <c r="P303" s="557"/>
      <c r="Q303" s="557" t="s">
        <v>22</v>
      </c>
      <c r="R303" s="559">
        <v>0.39250000000000002</v>
      </c>
      <c r="S303" s="557"/>
      <c r="T303" s="567">
        <v>0</v>
      </c>
      <c r="U303" s="556"/>
      <c r="V303" s="176">
        <f t="shared" si="335"/>
        <v>0</v>
      </c>
      <c r="W303" s="176">
        <f t="shared" si="371"/>
        <v>0</v>
      </c>
      <c r="X303" s="176">
        <f t="shared" si="371"/>
        <v>0</v>
      </c>
      <c r="Y303" s="34">
        <f>X303/Calculation_sheet!M$67</f>
        <v>0</v>
      </c>
      <c r="Z303" s="176">
        <f ca="1">IF(AN303&gt;0,Y303*Calculation_sheet!C$87,0)</f>
        <v>0</v>
      </c>
      <c r="AA303" s="176">
        <f t="shared" ca="1" si="326"/>
        <v>0</v>
      </c>
      <c r="AB303" s="176">
        <f ca="1">IF(AP303&gt;0,AA303*Calculation_sheet!C$94,0)</f>
        <v>0</v>
      </c>
      <c r="AC303" s="176">
        <f t="shared" ca="1" si="363"/>
        <v>0</v>
      </c>
      <c r="AD303" s="958">
        <f ca="1">AC303*Calculation_sheet!C$99</f>
        <v>0</v>
      </c>
      <c r="AE303" s="176">
        <f t="shared" ca="1" si="363"/>
        <v>0</v>
      </c>
      <c r="AF303" s="176">
        <f t="shared" ca="1" si="346"/>
        <v>0</v>
      </c>
      <c r="AG303" s="958">
        <f ca="1">AF303*User_sheet!B$77/100</f>
        <v>0</v>
      </c>
      <c r="AH303" s="313"/>
      <c r="AI303" s="908">
        <v>203</v>
      </c>
      <c r="AJ303" s="313"/>
      <c r="AK303" s="1020">
        <f t="shared" ca="1" si="329"/>
        <v>324.59880015513284</v>
      </c>
      <c r="AL303" s="954">
        <f ca="1">AK303/'203'!I$24</f>
        <v>1.1358324667526467</v>
      </c>
      <c r="AM303" s="954">
        <f ca="1">0.8*(AK303*30+'203'!D$17*0.34*30*1)</f>
        <v>11133.93549846003</v>
      </c>
      <c r="AN303" s="954">
        <f ca="1">IF(AM303&lt;User_sheet!B$50,Y303,0)</f>
        <v>0</v>
      </c>
      <c r="AO303" s="954">
        <f ca="1">20-(User_sheet!B$57/(AK303+'203'!D$17*1*0.34))</f>
        <v>7.7132394004868043</v>
      </c>
      <c r="AP303" s="954">
        <f ca="1">IF(AO303&lt;User_sheet!B$59,0,BC303*AA303)</f>
        <v>0</v>
      </c>
      <c r="AQ303" s="313"/>
      <c r="AR303" s="909">
        <v>0.32</v>
      </c>
      <c r="AS303" s="1020">
        <v>2.41</v>
      </c>
      <c r="AT303" s="909">
        <v>0.59</v>
      </c>
      <c r="AU303" s="909">
        <v>2.75</v>
      </c>
      <c r="AV303" s="909">
        <v>3.3</v>
      </c>
      <c r="AW303" s="909">
        <v>12257.141193582425</v>
      </c>
      <c r="AX303" s="909">
        <v>75945.51234133933</v>
      </c>
      <c r="AY303" s="909">
        <v>64021.679041832605</v>
      </c>
      <c r="AZ303" s="909">
        <v>0</v>
      </c>
      <c r="BA303" s="909">
        <v>0</v>
      </c>
      <c r="BB303" s="909">
        <v>0.6</v>
      </c>
      <c r="BC303" s="919">
        <v>0</v>
      </c>
      <c r="BD303" s="920">
        <v>1</v>
      </c>
      <c r="BE303" s="920">
        <v>0</v>
      </c>
      <c r="BF303" s="921">
        <v>0</v>
      </c>
      <c r="BG303" s="909">
        <v>0</v>
      </c>
      <c r="BH303" s="909">
        <v>1</v>
      </c>
      <c r="BI303" s="921">
        <v>0</v>
      </c>
      <c r="BJ303" s="909">
        <v>0</v>
      </c>
      <c r="BK303" s="909">
        <v>1</v>
      </c>
      <c r="BL303" s="909">
        <v>0</v>
      </c>
      <c r="BM303" s="921">
        <v>0</v>
      </c>
      <c r="BN303" s="958">
        <v>0.08</v>
      </c>
      <c r="BO303" s="959">
        <v>16.3</v>
      </c>
      <c r="BP303">
        <f t="shared" ca="1" si="364"/>
        <v>185.6</v>
      </c>
      <c r="BQ303">
        <f t="shared" ca="1" si="365"/>
        <v>361.17052631578946</v>
      </c>
      <c r="BR303">
        <f t="shared" ca="1" si="366"/>
        <v>84.1</v>
      </c>
      <c r="BS303">
        <f t="shared" ca="1" si="367"/>
        <v>115.78052631578947</v>
      </c>
      <c r="BT303">
        <f t="shared" ca="1" si="368"/>
        <v>75.400000000000006</v>
      </c>
      <c r="BU303">
        <f t="shared" ca="1" si="369"/>
        <v>22</v>
      </c>
      <c r="BV303">
        <f t="shared" ca="1" si="370"/>
        <v>2.15</v>
      </c>
      <c r="BW303" s="1018">
        <v>0</v>
      </c>
      <c r="BX303">
        <f t="shared" ca="1" si="348"/>
        <v>25.497726124305199</v>
      </c>
      <c r="BY303">
        <f t="shared" ca="1" si="349"/>
        <v>196.81491706554075</v>
      </c>
      <c r="BZ303">
        <f t="shared" ca="1" si="330"/>
        <v>13.318356114672797</v>
      </c>
      <c r="CA303">
        <f t="shared" ca="1" si="331"/>
        <v>60.499999966724999</v>
      </c>
      <c r="CB303">
        <f t="shared" ca="1" si="350"/>
        <v>4.5133587786259541</v>
      </c>
      <c r="CC303" s="1018">
        <f t="shared" si="332"/>
        <v>0</v>
      </c>
      <c r="CD303" s="1018">
        <f t="shared" ca="1" si="372"/>
        <v>324.59880015513284</v>
      </c>
      <c r="CE303" s="1018">
        <f t="shared" ca="1" si="344"/>
        <v>148.36563336164974</v>
      </c>
      <c r="CF303">
        <f t="shared" ca="1" si="333"/>
        <v>14.188933005503479</v>
      </c>
      <c r="CG303">
        <f t="shared" ca="1" si="334"/>
        <v>23624.005896843071</v>
      </c>
    </row>
    <row r="304" spans="4:85" x14ac:dyDescent="0.25">
      <c r="D304" s="557"/>
      <c r="E304" s="556"/>
      <c r="F304" s="557"/>
      <c r="G304" s="556"/>
      <c r="H304" s="557"/>
      <c r="I304" s="556"/>
      <c r="J304" s="557"/>
      <c r="K304" s="557"/>
      <c r="L304" s="557"/>
      <c r="M304" s="557" t="s">
        <v>22</v>
      </c>
      <c r="N304" s="559">
        <v>0.47</v>
      </c>
      <c r="O304" s="557" t="s">
        <v>20</v>
      </c>
      <c r="P304" s="559">
        <v>5.6000000000000001E-2</v>
      </c>
      <c r="Q304" s="557" t="s">
        <v>7</v>
      </c>
      <c r="R304" s="559">
        <v>0.60750000000000004</v>
      </c>
      <c r="S304" s="557"/>
      <c r="T304" s="567">
        <v>0</v>
      </c>
      <c r="U304" s="556"/>
      <c r="V304" s="176">
        <f t="shared" si="335"/>
        <v>0</v>
      </c>
      <c r="W304" s="176">
        <f t="shared" si="371"/>
        <v>0</v>
      </c>
      <c r="X304" s="176">
        <f t="shared" si="371"/>
        <v>0</v>
      </c>
      <c r="Y304" s="34">
        <f>X304/Calculation_sheet!M$67</f>
        <v>0</v>
      </c>
      <c r="Z304" s="176">
        <f ca="1">IF(AN304&gt;0,Y304*Calculation_sheet!C$87,0)</f>
        <v>0</v>
      </c>
      <c r="AA304" s="176">
        <f t="shared" ca="1" si="326"/>
        <v>0</v>
      </c>
      <c r="AB304" s="176">
        <f ca="1">IF(AP304&gt;0,AA304*Calculation_sheet!C$94,0)</f>
        <v>0</v>
      </c>
      <c r="AC304" s="176">
        <f t="shared" ca="1" si="363"/>
        <v>0</v>
      </c>
      <c r="AD304" s="958">
        <f ca="1">AC304*Calculation_sheet!C$99</f>
        <v>0</v>
      </c>
      <c r="AE304" s="176">
        <f t="shared" ca="1" si="363"/>
        <v>0</v>
      </c>
      <c r="AF304" s="176">
        <f t="shared" ca="1" si="346"/>
        <v>0</v>
      </c>
      <c r="AG304" s="958">
        <f ca="1">AF304*User_sheet!B$77/100</f>
        <v>0</v>
      </c>
      <c r="AH304" s="313"/>
      <c r="AI304" s="908">
        <v>203</v>
      </c>
      <c r="AJ304" s="313"/>
      <c r="AK304" s="1020">
        <f t="shared" ca="1" si="329"/>
        <v>324.59880015513284</v>
      </c>
      <c r="AL304" s="954">
        <f ca="1">AK304/'203'!I$24</f>
        <v>1.1358324667526467</v>
      </c>
      <c r="AM304" s="954">
        <f ca="1">0.8*(AK304*30+'203'!D$17*0.34*30*1)</f>
        <v>11133.93549846003</v>
      </c>
      <c r="AN304" s="954">
        <f ca="1">IF(AM304&lt;User_sheet!B$50,Y304,0)</f>
        <v>0</v>
      </c>
      <c r="AO304" s="954">
        <f ca="1">20-(User_sheet!B$57/(AK304+'203'!D$17*1*0.34))</f>
        <v>7.7132394004868043</v>
      </c>
      <c r="AP304" s="954">
        <f ca="1">IF(AO304&lt;User_sheet!B$59,0,BC304*AA304)</f>
        <v>0</v>
      </c>
      <c r="AQ304" s="313"/>
      <c r="AR304" s="909">
        <v>0.32</v>
      </c>
      <c r="AS304" s="1020">
        <v>2.41</v>
      </c>
      <c r="AT304" s="909">
        <v>0.59</v>
      </c>
      <c r="AU304" s="909">
        <v>2.75</v>
      </c>
      <c r="AV304" s="909">
        <v>3.3</v>
      </c>
      <c r="AW304" s="909">
        <v>12257.141193582425</v>
      </c>
      <c r="AX304" s="909">
        <v>75945.51234133933</v>
      </c>
      <c r="AY304" s="909">
        <v>64021.679041832605</v>
      </c>
      <c r="AZ304" s="909">
        <v>0</v>
      </c>
      <c r="BA304" s="909">
        <v>0</v>
      </c>
      <c r="BB304" s="909">
        <v>0.6</v>
      </c>
      <c r="BC304" s="919">
        <v>0</v>
      </c>
      <c r="BD304" s="920">
        <v>1</v>
      </c>
      <c r="BE304" s="920">
        <v>0</v>
      </c>
      <c r="BF304" s="921">
        <v>0</v>
      </c>
      <c r="BG304" s="909">
        <v>0</v>
      </c>
      <c r="BH304" s="909">
        <v>1</v>
      </c>
      <c r="BI304" s="921">
        <v>0</v>
      </c>
      <c r="BJ304" s="909">
        <v>0</v>
      </c>
      <c r="BK304" s="909">
        <v>0</v>
      </c>
      <c r="BL304" s="909">
        <v>1</v>
      </c>
      <c r="BM304" s="921">
        <v>0</v>
      </c>
      <c r="BN304" s="958">
        <v>0.08</v>
      </c>
      <c r="BO304" s="959">
        <v>16.3</v>
      </c>
      <c r="BP304">
        <f t="shared" ca="1" si="364"/>
        <v>185.6</v>
      </c>
      <c r="BQ304">
        <f t="shared" ca="1" si="365"/>
        <v>361.17052631578946</v>
      </c>
      <c r="BR304">
        <f t="shared" ca="1" si="366"/>
        <v>84.1</v>
      </c>
      <c r="BS304">
        <f t="shared" ca="1" si="367"/>
        <v>115.78052631578947</v>
      </c>
      <c r="BT304">
        <f t="shared" ca="1" si="368"/>
        <v>75.400000000000006</v>
      </c>
      <c r="BU304">
        <f t="shared" ca="1" si="369"/>
        <v>22</v>
      </c>
      <c r="BV304">
        <f t="shared" ca="1" si="370"/>
        <v>2.15</v>
      </c>
      <c r="BW304" s="1018">
        <v>0</v>
      </c>
      <c r="BX304">
        <f t="shared" ca="1" si="348"/>
        <v>25.497726124305199</v>
      </c>
      <c r="BY304">
        <f t="shared" ca="1" si="349"/>
        <v>196.81491706554075</v>
      </c>
      <c r="BZ304">
        <f t="shared" ca="1" si="330"/>
        <v>13.318356114672797</v>
      </c>
      <c r="CA304">
        <f t="shared" ca="1" si="331"/>
        <v>60.499999966724999</v>
      </c>
      <c r="CB304">
        <f t="shared" ca="1" si="350"/>
        <v>4.5133587786259541</v>
      </c>
      <c r="CC304" s="1018">
        <f t="shared" si="332"/>
        <v>0</v>
      </c>
      <c r="CD304" s="1018">
        <f t="shared" ca="1" si="372"/>
        <v>324.59880015513284</v>
      </c>
      <c r="CE304" s="1018">
        <f t="shared" ca="1" si="344"/>
        <v>148.36563336164974</v>
      </c>
      <c r="CF304">
        <f t="shared" ca="1" si="333"/>
        <v>14.188933005503479</v>
      </c>
      <c r="CG304">
        <f t="shared" ca="1" si="334"/>
        <v>23624.005896843071</v>
      </c>
    </row>
    <row r="305" spans="4:85" x14ac:dyDescent="0.25">
      <c r="D305" s="557"/>
      <c r="E305" s="556"/>
      <c r="F305" s="557"/>
      <c r="G305" s="556"/>
      <c r="H305" s="557"/>
      <c r="I305" s="556"/>
      <c r="J305" s="557"/>
      <c r="K305" s="560" t="s">
        <v>12</v>
      </c>
      <c r="L305" s="561">
        <v>0</v>
      </c>
      <c r="M305" s="557" t="s">
        <v>7</v>
      </c>
      <c r="N305" s="559">
        <v>0.11900000000000005</v>
      </c>
      <c r="O305" s="557" t="s">
        <v>23</v>
      </c>
      <c r="P305" s="559">
        <v>1</v>
      </c>
      <c r="Q305" s="557" t="s">
        <v>7</v>
      </c>
      <c r="R305" s="559">
        <v>1</v>
      </c>
      <c r="S305" s="557"/>
      <c r="T305" s="567">
        <v>0</v>
      </c>
      <c r="U305" s="556"/>
      <c r="V305" s="176">
        <f t="shared" si="335"/>
        <v>0</v>
      </c>
      <c r="W305" s="176">
        <f t="shared" si="371"/>
        <v>0</v>
      </c>
      <c r="X305" s="176">
        <f t="shared" si="371"/>
        <v>0</v>
      </c>
      <c r="Y305" s="34">
        <f>X305/Calculation_sheet!M$67</f>
        <v>0</v>
      </c>
      <c r="Z305" s="176">
        <f ca="1">IF(AN305&gt;0,Y305*Calculation_sheet!C$87,0)</f>
        <v>0</v>
      </c>
      <c r="AA305" s="176">
        <f t="shared" ca="1" si="326"/>
        <v>0</v>
      </c>
      <c r="AB305" s="176">
        <f ca="1">IF(AP305&gt;0,AA305*Calculation_sheet!C$94,0)</f>
        <v>0</v>
      </c>
      <c r="AC305" s="176">
        <f t="shared" ca="1" si="363"/>
        <v>0</v>
      </c>
      <c r="AD305" s="958">
        <f ca="1">AC305*Calculation_sheet!C$99</f>
        <v>0</v>
      </c>
      <c r="AE305" s="176">
        <f t="shared" ca="1" si="363"/>
        <v>0</v>
      </c>
      <c r="AF305" s="176">
        <f t="shared" ca="1" si="346"/>
        <v>0</v>
      </c>
      <c r="AG305" s="958">
        <f ca="1">AF305*User_sheet!B$77/100</f>
        <v>0</v>
      </c>
      <c r="AH305" s="313"/>
      <c r="AI305" s="908">
        <v>203</v>
      </c>
      <c r="AJ305" s="313"/>
      <c r="AK305" s="1020">
        <f t="shared" ca="1" si="329"/>
        <v>324.59880015513284</v>
      </c>
      <c r="AL305" s="954">
        <f ca="1">AK305/'203'!I$24</f>
        <v>1.1358324667526467</v>
      </c>
      <c r="AM305" s="954">
        <f ca="1">0.8*(AK305*30+'203'!D$17*0.34*30*1)</f>
        <v>11133.93549846003</v>
      </c>
      <c r="AN305" s="954">
        <f ca="1">IF(AM305&lt;User_sheet!B$50,Y305,0)</f>
        <v>0</v>
      </c>
      <c r="AO305" s="954">
        <f ca="1">20-(User_sheet!B$57/(AK305+'203'!D$17*1*0.34))</f>
        <v>7.7132394004868043</v>
      </c>
      <c r="AP305" s="954">
        <f ca="1">IF(AO305&lt;User_sheet!B$59,0,BC305*AA305)</f>
        <v>0</v>
      </c>
      <c r="AQ305" s="313"/>
      <c r="AR305" s="909">
        <v>0.32</v>
      </c>
      <c r="AS305" s="1020">
        <v>2.41</v>
      </c>
      <c r="AT305" s="909">
        <v>0.59</v>
      </c>
      <c r="AU305" s="909">
        <v>2.75</v>
      </c>
      <c r="AV305" s="909">
        <v>3.3</v>
      </c>
      <c r="AW305" s="909">
        <v>12257.141193582425</v>
      </c>
      <c r="AX305" s="909">
        <v>75945.51234133933</v>
      </c>
      <c r="AY305" s="909">
        <v>64021.679041832605</v>
      </c>
      <c r="AZ305" s="909">
        <v>0</v>
      </c>
      <c r="BA305" s="909">
        <v>0</v>
      </c>
      <c r="BB305" s="909">
        <v>0.6</v>
      </c>
      <c r="BC305" s="919">
        <v>0</v>
      </c>
      <c r="BD305" s="920">
        <v>0</v>
      </c>
      <c r="BE305" s="920">
        <v>1</v>
      </c>
      <c r="BF305" s="921">
        <v>0</v>
      </c>
      <c r="BG305" s="909">
        <v>0</v>
      </c>
      <c r="BH305" s="909">
        <v>0</v>
      </c>
      <c r="BI305" s="921">
        <v>1</v>
      </c>
      <c r="BJ305" s="909">
        <v>0</v>
      </c>
      <c r="BK305" s="909">
        <v>0</v>
      </c>
      <c r="BL305" s="909">
        <v>1</v>
      </c>
      <c r="BM305" s="921">
        <v>0</v>
      </c>
      <c r="BN305" s="958">
        <v>0.08</v>
      </c>
      <c r="BO305" s="959">
        <v>16.3</v>
      </c>
      <c r="BP305">
        <f t="shared" ca="1" si="364"/>
        <v>185.6</v>
      </c>
      <c r="BQ305">
        <f t="shared" ca="1" si="365"/>
        <v>361.17052631578946</v>
      </c>
      <c r="BR305">
        <f t="shared" ca="1" si="366"/>
        <v>84.1</v>
      </c>
      <c r="BS305">
        <f t="shared" ca="1" si="367"/>
        <v>115.78052631578947</v>
      </c>
      <c r="BT305">
        <f t="shared" ca="1" si="368"/>
        <v>75.400000000000006</v>
      </c>
      <c r="BU305">
        <f t="shared" ca="1" si="369"/>
        <v>22</v>
      </c>
      <c r="BV305">
        <f t="shared" ca="1" si="370"/>
        <v>2.15</v>
      </c>
      <c r="BW305" s="1018">
        <v>0</v>
      </c>
      <c r="BX305">
        <f t="shared" ca="1" si="348"/>
        <v>25.497726124305199</v>
      </c>
      <c r="BY305">
        <f t="shared" ca="1" si="349"/>
        <v>196.81491706554075</v>
      </c>
      <c r="BZ305">
        <f t="shared" ca="1" si="330"/>
        <v>13.318356114672797</v>
      </c>
      <c r="CA305">
        <f t="shared" ca="1" si="331"/>
        <v>60.499999966724999</v>
      </c>
      <c r="CB305">
        <f t="shared" ca="1" si="350"/>
        <v>4.5133587786259541</v>
      </c>
      <c r="CC305" s="1018">
        <f t="shared" si="332"/>
        <v>0</v>
      </c>
      <c r="CD305" s="1018">
        <f t="shared" ca="1" si="372"/>
        <v>324.59880015513284</v>
      </c>
      <c r="CE305" s="1018">
        <f t="shared" ca="1" si="344"/>
        <v>148.36563336164974</v>
      </c>
      <c r="CF305">
        <f t="shared" ca="1" si="333"/>
        <v>14.188933005503479</v>
      </c>
      <c r="CG305">
        <f t="shared" ca="1" si="334"/>
        <v>23624.005896843071</v>
      </c>
    </row>
    <row r="306" spans="4:85" s="11" customFormat="1" x14ac:dyDescent="0.25">
      <c r="D306" s="565"/>
      <c r="E306" s="564"/>
      <c r="F306" s="565"/>
      <c r="G306" s="564"/>
      <c r="H306" s="565"/>
      <c r="I306" s="564"/>
      <c r="J306" s="565"/>
      <c r="K306" s="565"/>
      <c r="L306" s="565"/>
      <c r="M306" s="565"/>
      <c r="N306" s="565"/>
      <c r="O306" s="565"/>
      <c r="P306" s="565"/>
      <c r="Q306" s="565"/>
      <c r="R306" s="565"/>
      <c r="S306" s="565"/>
      <c r="T306" s="568"/>
      <c r="U306" s="564"/>
      <c r="V306" s="292"/>
      <c r="W306" s="292"/>
      <c r="X306" s="292"/>
      <c r="Y306" s="277"/>
      <c r="Z306" s="292"/>
      <c r="AA306" s="292"/>
      <c r="AB306" s="292"/>
      <c r="AC306" s="292"/>
      <c r="AD306" s="277"/>
      <c r="AE306" s="292"/>
      <c r="AF306" s="292"/>
      <c r="AG306" s="277"/>
      <c r="AH306" s="313"/>
      <c r="AI306" s="912"/>
      <c r="AJ306" s="313"/>
      <c r="AK306" s="1020">
        <f t="shared" si="329"/>
        <v>0</v>
      </c>
      <c r="AL306" s="941"/>
      <c r="AM306" s="941"/>
      <c r="AN306" s="941"/>
      <c r="AO306" s="941"/>
      <c r="AP306" s="941"/>
      <c r="AQ306" s="313"/>
      <c r="AR306" s="918"/>
      <c r="AS306" s="941"/>
      <c r="AT306" s="918"/>
      <c r="AU306" s="918"/>
      <c r="AV306" s="918"/>
      <c r="AW306" s="918"/>
      <c r="AX306" s="918"/>
      <c r="AY306" s="918"/>
      <c r="AZ306" s="918"/>
      <c r="BA306" s="918"/>
      <c r="BB306" s="918"/>
      <c r="BC306" s="45"/>
      <c r="BD306" s="277"/>
      <c r="BE306" s="277"/>
      <c r="BF306" s="49"/>
      <c r="BG306" s="918"/>
      <c r="BH306" s="918"/>
      <c r="BI306" s="49"/>
      <c r="BJ306" s="918"/>
      <c r="BK306" s="918"/>
      <c r="BL306" s="918"/>
      <c r="BM306" s="49"/>
      <c r="BN306" s="277"/>
      <c r="BO306" s="49"/>
      <c r="BW306" s="946"/>
      <c r="CC306" s="946"/>
      <c r="CD306" s="946"/>
      <c r="CE306" s="946"/>
    </row>
    <row r="307" spans="4:85" x14ac:dyDescent="0.25">
      <c r="D307" s="557"/>
      <c r="E307" s="556"/>
      <c r="F307" s="557"/>
      <c r="G307" s="556"/>
      <c r="H307" s="557"/>
      <c r="I307" s="556" t="s">
        <v>6</v>
      </c>
      <c r="J307" s="559">
        <v>0.50990000000000002</v>
      </c>
      <c r="K307" s="557"/>
      <c r="L307" s="557"/>
      <c r="M307" s="557"/>
      <c r="N307" s="557"/>
      <c r="O307" s="557"/>
      <c r="P307" s="557"/>
      <c r="Q307" s="557" t="s">
        <v>16</v>
      </c>
      <c r="R307" s="559">
        <v>0.92569999999999997</v>
      </c>
      <c r="S307" s="557"/>
      <c r="T307" s="567">
        <v>1.6292068171638119E-3</v>
      </c>
      <c r="U307" s="556"/>
      <c r="V307" s="176">
        <f t="shared" si="335"/>
        <v>1.6292068171638119E-3</v>
      </c>
      <c r="W307" s="176">
        <f>V307</f>
        <v>1.6292068171638119E-3</v>
      </c>
      <c r="X307" s="176">
        <f>W307</f>
        <v>1.6292068171638119E-3</v>
      </c>
      <c r="Y307" s="34">
        <f>X307/Calculation_sheet!M$67</f>
        <v>1.6292401286247692E-3</v>
      </c>
      <c r="Z307" s="176">
        <f ca="1">IF(AN307&gt;0,Y307*Calculation_sheet!C$87,0)</f>
        <v>0</v>
      </c>
      <c r="AA307" s="176">
        <f t="shared" ca="1" si="326"/>
        <v>1.6292401286247692E-3</v>
      </c>
      <c r="AB307" s="176">
        <f ca="1">IF(AP307&gt;0,AA307*Calculation_sheet!C$94,0)</f>
        <v>0</v>
      </c>
      <c r="AC307" s="176">
        <f t="shared" ref="AC307:AE315" ca="1" si="373">AA307-AB307</f>
        <v>1.6292401286247692E-3</v>
      </c>
      <c r="AD307" s="958">
        <f ca="1">AC307*Calculation_sheet!C$99</f>
        <v>9.7754407717486145E-4</v>
      </c>
      <c r="AE307" s="176">
        <f t="shared" ca="1" si="373"/>
        <v>6.516960514499077E-4</v>
      </c>
      <c r="AF307" s="176">
        <f t="shared" ca="1" si="346"/>
        <v>1.6292401286247692E-3</v>
      </c>
      <c r="AG307" s="958">
        <f ca="1">AF307*User_sheet!B$77/100</f>
        <v>0</v>
      </c>
      <c r="AH307" s="313"/>
      <c r="AI307" s="908">
        <v>203</v>
      </c>
      <c r="AJ307" s="313"/>
      <c r="AK307" s="1020">
        <f t="shared" ca="1" si="329"/>
        <v>339.63410335995502</v>
      </c>
      <c r="AL307" s="954">
        <f ca="1">AK307/'203'!I$24</f>
        <v>1.1884438304402063</v>
      </c>
      <c r="AM307" s="954">
        <f ca="1">0.8*(AK307*30+'203'!D$17*0.34*30*1)</f>
        <v>11494.782775375763</v>
      </c>
      <c r="AN307" s="954">
        <f ca="1">IF(AM307&lt;User_sheet!B$50,Y307,0)</f>
        <v>0</v>
      </c>
      <c r="AO307" s="954">
        <f ca="1">20-(User_sheet!B$57/(AK307+'203'!D$17*1*0.34))</f>
        <v>8.0989486558150254</v>
      </c>
      <c r="AP307" s="954">
        <f ca="1">IF(AO307&lt;User_sheet!B$59,0,BC307*AA307)</f>
        <v>0</v>
      </c>
      <c r="AQ307" s="313"/>
      <c r="AR307" s="909">
        <v>0.32</v>
      </c>
      <c r="AS307" s="1020">
        <v>2.41</v>
      </c>
      <c r="AT307" s="909">
        <v>1.42</v>
      </c>
      <c r="AU307" s="909">
        <v>2.75</v>
      </c>
      <c r="AV307" s="909">
        <v>3.3</v>
      </c>
      <c r="AW307" s="909">
        <v>12257.141193582425</v>
      </c>
      <c r="AX307" s="909">
        <v>75945.51234133933</v>
      </c>
      <c r="AY307" s="909">
        <v>62673.095488422703</v>
      </c>
      <c r="AZ307" s="909">
        <v>0</v>
      </c>
      <c r="BA307" s="909">
        <v>0</v>
      </c>
      <c r="BB307" s="909">
        <v>0.6</v>
      </c>
      <c r="BC307" s="919">
        <v>1</v>
      </c>
      <c r="BD307" s="920">
        <v>0</v>
      </c>
      <c r="BE307" s="920">
        <v>0</v>
      </c>
      <c r="BF307" s="921">
        <v>0</v>
      </c>
      <c r="BG307" s="909">
        <v>1</v>
      </c>
      <c r="BH307" s="909">
        <v>0</v>
      </c>
      <c r="BI307" s="921">
        <v>0</v>
      </c>
      <c r="BJ307" s="909">
        <v>1</v>
      </c>
      <c r="BK307" s="909">
        <v>0</v>
      </c>
      <c r="BL307" s="909">
        <v>0</v>
      </c>
      <c r="BM307" s="921">
        <v>0</v>
      </c>
      <c r="BN307" s="958">
        <v>0.08</v>
      </c>
      <c r="BO307" s="959">
        <v>16.3</v>
      </c>
      <c r="BP307">
        <f t="shared" ref="BP307:BP315" ca="1" si="374">INDIRECT("'"&amp;AI307&amp;"'!"&amp;"B2")</f>
        <v>185.6</v>
      </c>
      <c r="BQ307">
        <f t="shared" ref="BQ307:BQ315" ca="1" si="375">INDIRECT("'"&amp;AI307&amp;"'!"&amp;"C12")+INDIRECT("'"&amp;AI307&amp;"'!"&amp;"C13")+INDIRECT("'"&amp;AI307&amp;"'!"&amp;"C14")+INDIRECT("'"&amp;AI307&amp;"'!"&amp;"C15")+INDIRECT("'"&amp;AI307&amp;"'!"&amp;"C17")</f>
        <v>361.17052631578946</v>
      </c>
      <c r="BR307">
        <f t="shared" ref="BR307:BR315" ca="1" si="376">INDIRECT("'"&amp;AI307&amp;"'!"&amp;"G5")</f>
        <v>84.1</v>
      </c>
      <c r="BS307">
        <f t="shared" ref="BS307:BS315" ca="1" si="377">INDIRECT("'"&amp;AI307&amp;"'!"&amp;"G4")</f>
        <v>115.78052631578947</v>
      </c>
      <c r="BT307">
        <f t="shared" ref="BT307:BT315" ca="1" si="378">INDIRECT("'"&amp;AI307&amp;"'!"&amp;"G6")</f>
        <v>75.400000000000006</v>
      </c>
      <c r="BU307">
        <f t="shared" ref="BU307:BU315" ca="1" si="379">INDIRECT("'"&amp;AI307&amp;"'!"&amp;"G2")</f>
        <v>22</v>
      </c>
      <c r="BV307">
        <f t="shared" ref="BV307:BV315" ca="1" si="380">INDIRECT("'"&amp;AI307&amp;"'!"&amp;"G3")</f>
        <v>2.15</v>
      </c>
      <c r="BW307" s="1018">
        <v>0</v>
      </c>
      <c r="BX307">
        <f t="shared" ca="1" si="348"/>
        <v>25.497726124305199</v>
      </c>
      <c r="BY307">
        <f t="shared" ca="1" si="349"/>
        <v>196.81491706554075</v>
      </c>
      <c r="BZ307">
        <f t="shared" ca="1" si="330"/>
        <v>28.353659319494973</v>
      </c>
      <c r="CA307">
        <f t="shared" ca="1" si="331"/>
        <v>60.499999966724999</v>
      </c>
      <c r="CB307">
        <f t="shared" ca="1" si="350"/>
        <v>4.5133587786259541</v>
      </c>
      <c r="CC307" s="1018">
        <f t="shared" si="332"/>
        <v>0</v>
      </c>
      <c r="CD307" s="1018">
        <f ca="1">SUM(BX307:CC307)+(BR307+BS307+BT307+BU307+BV307)*BN307</f>
        <v>339.63410335995502</v>
      </c>
      <c r="CE307" s="1018">
        <f t="shared" ca="1" si="344"/>
        <v>148.36563336164974</v>
      </c>
      <c r="CF307">
        <f t="shared" ca="1" si="333"/>
        <v>14.639992101648144</v>
      </c>
      <c r="CG307">
        <f t="shared" ca="1" si="334"/>
        <v>24375.001249560097</v>
      </c>
    </row>
    <row r="308" spans="4:85" x14ac:dyDescent="0.25">
      <c r="D308" s="557"/>
      <c r="E308" s="556"/>
      <c r="F308" s="557"/>
      <c r="G308" s="556"/>
      <c r="H308" s="557"/>
      <c r="I308" s="556"/>
      <c r="J308" s="562"/>
      <c r="K308" s="557"/>
      <c r="L308" s="557"/>
      <c r="M308" s="557"/>
      <c r="N308" s="557"/>
      <c r="O308" s="557" t="s">
        <v>18</v>
      </c>
      <c r="P308" s="559">
        <v>0.89156626500000002</v>
      </c>
      <c r="Q308" s="557" t="s">
        <v>7</v>
      </c>
      <c r="R308" s="559">
        <v>7.4300000000000005E-2</v>
      </c>
      <c r="S308" s="557"/>
      <c r="T308" s="567">
        <v>1.3076597873530434E-4</v>
      </c>
      <c r="U308" s="556"/>
      <c r="V308" s="176">
        <f t="shared" si="335"/>
        <v>1.3076597873530434E-4</v>
      </c>
      <c r="W308" s="176">
        <f t="shared" ref="W308:X315" si="381">V308</f>
        <v>1.3076597873530434E-4</v>
      </c>
      <c r="X308" s="176">
        <f t="shared" si="381"/>
        <v>1.3076597873530434E-4</v>
      </c>
      <c r="Y308" s="34">
        <f>X308/Calculation_sheet!M$67</f>
        <v>1.3076865243255952E-4</v>
      </c>
      <c r="Z308" s="176">
        <f ca="1">IF(AN308&gt;0,Y308*Calculation_sheet!C$87,0)</f>
        <v>0</v>
      </c>
      <c r="AA308" s="176">
        <f t="shared" ca="1" si="326"/>
        <v>1.3076865243255952E-4</v>
      </c>
      <c r="AB308" s="176">
        <f ca="1">IF(AP308&gt;0,AA308*Calculation_sheet!C$94,0)</f>
        <v>0</v>
      </c>
      <c r="AC308" s="176">
        <f t="shared" ca="1" si="373"/>
        <v>1.3076865243255952E-4</v>
      </c>
      <c r="AD308" s="958">
        <f ca="1">AC308*Calculation_sheet!C$99</f>
        <v>7.8461191459535705E-5</v>
      </c>
      <c r="AE308" s="176">
        <f t="shared" ca="1" si="373"/>
        <v>5.2307460973023817E-5</v>
      </c>
      <c r="AF308" s="176">
        <f t="shared" ca="1" si="346"/>
        <v>1.3076865243255952E-4</v>
      </c>
      <c r="AG308" s="958">
        <f ca="1">AF308*User_sheet!B$77/100</f>
        <v>0</v>
      </c>
      <c r="AH308" s="313"/>
      <c r="AI308" s="908">
        <v>203</v>
      </c>
      <c r="AJ308" s="313"/>
      <c r="AK308" s="1020">
        <f t="shared" ca="1" si="329"/>
        <v>339.63410335995502</v>
      </c>
      <c r="AL308" s="954">
        <f ca="1">AK308/'203'!I$24</f>
        <v>1.1884438304402063</v>
      </c>
      <c r="AM308" s="954">
        <f ca="1">0.8*(AK308*30+'203'!D$17*0.34*30*1)</f>
        <v>11494.782775375763</v>
      </c>
      <c r="AN308" s="954">
        <f ca="1">IF(AM308&lt;User_sheet!B$50,Y308,0)</f>
        <v>0</v>
      </c>
      <c r="AO308" s="954">
        <f ca="1">20-(User_sheet!B$57/(AK308+'203'!D$17*1*0.34))</f>
        <v>8.0989486558150254</v>
      </c>
      <c r="AP308" s="954">
        <f ca="1">IF(AO308&lt;User_sheet!B$59,0,BC308*AA308)</f>
        <v>0</v>
      </c>
      <c r="AQ308" s="313"/>
      <c r="AR308" s="909">
        <v>0.32</v>
      </c>
      <c r="AS308" s="1020">
        <v>2.41</v>
      </c>
      <c r="AT308" s="909">
        <v>1.42</v>
      </c>
      <c r="AU308" s="909">
        <v>2.75</v>
      </c>
      <c r="AV308" s="909">
        <v>3.3</v>
      </c>
      <c r="AW308" s="909">
        <v>12257.141193582425</v>
      </c>
      <c r="AX308" s="909">
        <v>75945.51234133933</v>
      </c>
      <c r="AY308" s="909">
        <v>62673.095488422703</v>
      </c>
      <c r="AZ308" s="909">
        <v>0</v>
      </c>
      <c r="BA308" s="909">
        <v>0</v>
      </c>
      <c r="BB308" s="909">
        <v>0.6</v>
      </c>
      <c r="BC308" s="919">
        <v>1</v>
      </c>
      <c r="BD308" s="920">
        <v>0</v>
      </c>
      <c r="BE308" s="920">
        <v>0</v>
      </c>
      <c r="BF308" s="921">
        <v>0</v>
      </c>
      <c r="BG308" s="909">
        <v>1</v>
      </c>
      <c r="BH308" s="909">
        <v>0</v>
      </c>
      <c r="BI308" s="921">
        <v>0</v>
      </c>
      <c r="BJ308" s="909">
        <v>0</v>
      </c>
      <c r="BK308" s="909">
        <v>0</v>
      </c>
      <c r="BL308" s="909">
        <v>1</v>
      </c>
      <c r="BM308" s="921">
        <v>0</v>
      </c>
      <c r="BN308" s="958">
        <v>0.08</v>
      </c>
      <c r="BO308" s="959">
        <v>16.3</v>
      </c>
      <c r="BP308">
        <f t="shared" ca="1" si="374"/>
        <v>185.6</v>
      </c>
      <c r="BQ308">
        <f t="shared" ca="1" si="375"/>
        <v>361.17052631578946</v>
      </c>
      <c r="BR308">
        <f t="shared" ca="1" si="376"/>
        <v>84.1</v>
      </c>
      <c r="BS308">
        <f t="shared" ca="1" si="377"/>
        <v>115.78052631578947</v>
      </c>
      <c r="BT308">
        <f t="shared" ca="1" si="378"/>
        <v>75.400000000000006</v>
      </c>
      <c r="BU308">
        <f t="shared" ca="1" si="379"/>
        <v>22</v>
      </c>
      <c r="BV308">
        <f t="shared" ca="1" si="380"/>
        <v>2.15</v>
      </c>
      <c r="BW308" s="1018">
        <v>0</v>
      </c>
      <c r="BX308">
        <f t="shared" ca="1" si="348"/>
        <v>25.497726124305199</v>
      </c>
      <c r="BY308">
        <f t="shared" ca="1" si="349"/>
        <v>196.81491706554075</v>
      </c>
      <c r="BZ308">
        <f t="shared" ca="1" si="330"/>
        <v>28.353659319494973</v>
      </c>
      <c r="CA308">
        <f t="shared" ca="1" si="331"/>
        <v>60.499999966724999</v>
      </c>
      <c r="CB308">
        <f t="shared" ca="1" si="350"/>
        <v>4.5133587786259541</v>
      </c>
      <c r="CC308" s="1018">
        <f t="shared" si="332"/>
        <v>0</v>
      </c>
      <c r="CD308" s="1018">
        <f t="shared" ref="CD308:CD315" ca="1" si="382">SUM(BX308:CC308)+(BR308+BS308+BT308+BU308+BV308)*BN308</f>
        <v>339.63410335995502</v>
      </c>
      <c r="CE308" s="1018">
        <f t="shared" ca="1" si="344"/>
        <v>148.36563336164974</v>
      </c>
      <c r="CF308">
        <f t="shared" ca="1" si="333"/>
        <v>14.639992101648144</v>
      </c>
      <c r="CG308">
        <f t="shared" ca="1" si="334"/>
        <v>24375.001249560097</v>
      </c>
    </row>
    <row r="309" spans="4:85" x14ac:dyDescent="0.25">
      <c r="D309" s="557"/>
      <c r="E309" s="556"/>
      <c r="F309" s="557"/>
      <c r="G309" s="556"/>
      <c r="H309" s="557"/>
      <c r="I309" s="556"/>
      <c r="J309" s="562"/>
      <c r="K309" s="557"/>
      <c r="L309" s="557"/>
      <c r="M309" s="557"/>
      <c r="N309" s="557"/>
      <c r="O309" s="557"/>
      <c r="P309" s="557"/>
      <c r="Q309" s="557" t="s">
        <v>16</v>
      </c>
      <c r="R309" s="559">
        <v>0.92569999999999997</v>
      </c>
      <c r="S309" s="557"/>
      <c r="T309" s="567">
        <v>1.9814677518393341E-4</v>
      </c>
      <c r="U309" s="556"/>
      <c r="V309" s="176">
        <f t="shared" si="335"/>
        <v>1.9814677518393341E-4</v>
      </c>
      <c r="W309" s="176">
        <f t="shared" si="381"/>
        <v>1.9814677518393341E-4</v>
      </c>
      <c r="X309" s="176">
        <f t="shared" si="381"/>
        <v>1.9814677518393341E-4</v>
      </c>
      <c r="Y309" s="34">
        <f>X309/Calculation_sheet!M$67</f>
        <v>1.9815082657783614E-4</v>
      </c>
      <c r="Z309" s="176">
        <f ca="1">IF(AN309&gt;0,Y309*Calculation_sheet!C$87,0)</f>
        <v>0</v>
      </c>
      <c r="AA309" s="176">
        <f t="shared" ca="1" si="326"/>
        <v>1.9815082657783614E-4</v>
      </c>
      <c r="AB309" s="176">
        <f ca="1">IF(AP309&gt;0,AA309*Calculation_sheet!C$94,0)</f>
        <v>0</v>
      </c>
      <c r="AC309" s="176">
        <f t="shared" ca="1" si="373"/>
        <v>1.9815082657783614E-4</v>
      </c>
      <c r="AD309" s="958">
        <f ca="1">AC309*Calculation_sheet!C$99</f>
        <v>1.1889049594670168E-4</v>
      </c>
      <c r="AE309" s="176">
        <f t="shared" ca="1" si="373"/>
        <v>7.926033063113446E-5</v>
      </c>
      <c r="AF309" s="176">
        <f t="shared" ca="1" si="346"/>
        <v>1.9815082657783614E-4</v>
      </c>
      <c r="AG309" s="958">
        <f ca="1">AF309*User_sheet!B$77/100</f>
        <v>0</v>
      </c>
      <c r="AH309" s="313"/>
      <c r="AI309" s="908">
        <v>203</v>
      </c>
      <c r="AJ309" s="313"/>
      <c r="AK309" s="1020">
        <f t="shared" ca="1" si="329"/>
        <v>339.63410335995502</v>
      </c>
      <c r="AL309" s="954">
        <f ca="1">AK309/'203'!I$24</f>
        <v>1.1884438304402063</v>
      </c>
      <c r="AM309" s="954">
        <f ca="1">0.8*(AK309*30+'203'!D$17*0.34*30*1)</f>
        <v>11494.782775375763</v>
      </c>
      <c r="AN309" s="954">
        <f ca="1">IF(AM309&lt;User_sheet!B$50,Y309,0)</f>
        <v>0</v>
      </c>
      <c r="AO309" s="954">
        <f ca="1">20-(User_sheet!B$57/(AK309+'203'!D$17*1*0.34))</f>
        <v>8.0989486558150254</v>
      </c>
      <c r="AP309" s="954">
        <f ca="1">IF(AO309&lt;User_sheet!B$59,0,BC309*AA309)</f>
        <v>0</v>
      </c>
      <c r="AQ309" s="313"/>
      <c r="AR309" s="909">
        <v>0.32</v>
      </c>
      <c r="AS309" s="1020">
        <v>2.41</v>
      </c>
      <c r="AT309" s="909">
        <v>1.42</v>
      </c>
      <c r="AU309" s="909">
        <v>2.75</v>
      </c>
      <c r="AV309" s="909">
        <v>3.3</v>
      </c>
      <c r="AW309" s="909">
        <v>12257.141193582425</v>
      </c>
      <c r="AX309" s="909">
        <v>75945.51234133933</v>
      </c>
      <c r="AY309" s="909">
        <v>62673.095488422703</v>
      </c>
      <c r="AZ309" s="909">
        <v>0</v>
      </c>
      <c r="BA309" s="909">
        <v>0</v>
      </c>
      <c r="BB309" s="909">
        <v>0.6</v>
      </c>
      <c r="BC309" s="919">
        <v>1</v>
      </c>
      <c r="BD309" s="920">
        <v>0</v>
      </c>
      <c r="BE309" s="920">
        <v>0</v>
      </c>
      <c r="BF309" s="921">
        <v>0</v>
      </c>
      <c r="BG309" s="909">
        <v>0</v>
      </c>
      <c r="BH309" s="909">
        <v>1</v>
      </c>
      <c r="BI309" s="921">
        <v>0</v>
      </c>
      <c r="BJ309" s="909">
        <v>1</v>
      </c>
      <c r="BK309" s="909">
        <v>0</v>
      </c>
      <c r="BL309" s="909">
        <v>0</v>
      </c>
      <c r="BM309" s="921">
        <v>0</v>
      </c>
      <c r="BN309" s="958">
        <v>0.08</v>
      </c>
      <c r="BO309" s="959">
        <v>16.3</v>
      </c>
      <c r="BP309">
        <f t="shared" ca="1" si="374"/>
        <v>185.6</v>
      </c>
      <c r="BQ309">
        <f t="shared" ca="1" si="375"/>
        <v>361.17052631578946</v>
      </c>
      <c r="BR309">
        <f t="shared" ca="1" si="376"/>
        <v>84.1</v>
      </c>
      <c r="BS309">
        <f t="shared" ca="1" si="377"/>
        <v>115.78052631578947</v>
      </c>
      <c r="BT309">
        <f t="shared" ca="1" si="378"/>
        <v>75.400000000000006</v>
      </c>
      <c r="BU309">
        <f t="shared" ca="1" si="379"/>
        <v>22</v>
      </c>
      <c r="BV309">
        <f t="shared" ca="1" si="380"/>
        <v>2.15</v>
      </c>
      <c r="BW309" s="1018">
        <v>0</v>
      </c>
      <c r="BX309">
        <f t="shared" ca="1" si="348"/>
        <v>25.497726124305199</v>
      </c>
      <c r="BY309">
        <f t="shared" ca="1" si="349"/>
        <v>196.81491706554075</v>
      </c>
      <c r="BZ309">
        <f t="shared" ca="1" si="330"/>
        <v>28.353659319494973</v>
      </c>
      <c r="CA309">
        <f t="shared" ca="1" si="331"/>
        <v>60.499999966724999</v>
      </c>
      <c r="CB309">
        <f t="shared" ca="1" si="350"/>
        <v>4.5133587786259541</v>
      </c>
      <c r="CC309" s="1018">
        <f t="shared" si="332"/>
        <v>0</v>
      </c>
      <c r="CD309" s="1018">
        <f t="shared" ca="1" si="382"/>
        <v>339.63410335995502</v>
      </c>
      <c r="CE309" s="1018">
        <f t="shared" ca="1" si="344"/>
        <v>148.36563336164974</v>
      </c>
      <c r="CF309">
        <f t="shared" ca="1" si="333"/>
        <v>14.639992101648144</v>
      </c>
      <c r="CG309">
        <f t="shared" ca="1" si="334"/>
        <v>24375.001249560097</v>
      </c>
    </row>
    <row r="310" spans="4:85" x14ac:dyDescent="0.25">
      <c r="D310" s="557"/>
      <c r="E310" s="556"/>
      <c r="F310" s="557"/>
      <c r="G310" s="556"/>
      <c r="H310" s="557"/>
      <c r="I310" s="556"/>
      <c r="J310" s="562"/>
      <c r="K310" s="557"/>
      <c r="L310" s="557"/>
      <c r="M310" s="557" t="s">
        <v>16</v>
      </c>
      <c r="N310" s="559">
        <v>0.41099999999999998</v>
      </c>
      <c r="O310" s="557" t="s">
        <v>19</v>
      </c>
      <c r="P310" s="559">
        <v>0.108433735</v>
      </c>
      <c r="Q310" s="557" t="s">
        <v>7</v>
      </c>
      <c r="R310" s="559">
        <v>7.4300000000000005E-2</v>
      </c>
      <c r="S310" s="557"/>
      <c r="T310" s="567">
        <v>1.5903970396636334E-5</v>
      </c>
      <c r="U310" s="556"/>
      <c r="V310" s="176">
        <f t="shared" si="335"/>
        <v>1.5903970396636334E-5</v>
      </c>
      <c r="W310" s="176">
        <f t="shared" si="381"/>
        <v>1.5903970396636334E-5</v>
      </c>
      <c r="X310" s="176">
        <f t="shared" si="381"/>
        <v>1.5903970396636334E-5</v>
      </c>
      <c r="Y310" s="34">
        <f>X310/Calculation_sheet!M$67</f>
        <v>1.5904295576032436E-5</v>
      </c>
      <c r="Z310" s="176">
        <f ca="1">IF(AN310&gt;0,Y310*Calculation_sheet!C$87,0)</f>
        <v>0</v>
      </c>
      <c r="AA310" s="176">
        <f t="shared" ca="1" si="326"/>
        <v>1.5904295576032436E-5</v>
      </c>
      <c r="AB310" s="176">
        <f ca="1">IF(AP310&gt;0,AA310*Calculation_sheet!C$94,0)</f>
        <v>0</v>
      </c>
      <c r="AC310" s="176">
        <f t="shared" ca="1" si="373"/>
        <v>1.5904295576032436E-5</v>
      </c>
      <c r="AD310" s="958">
        <f ca="1">AC310*Calculation_sheet!C$99</f>
        <v>9.5425773456194608E-6</v>
      </c>
      <c r="AE310" s="176">
        <f t="shared" ca="1" si="373"/>
        <v>6.361718230412975E-6</v>
      </c>
      <c r="AF310" s="176">
        <f t="shared" ca="1" si="346"/>
        <v>1.5904295576032436E-5</v>
      </c>
      <c r="AG310" s="958">
        <f ca="1">AF310*User_sheet!B$77/100</f>
        <v>0</v>
      </c>
      <c r="AH310" s="313"/>
      <c r="AI310" s="908">
        <v>203</v>
      </c>
      <c r="AJ310" s="313"/>
      <c r="AK310" s="1020">
        <f t="shared" ca="1" si="329"/>
        <v>339.63410335995502</v>
      </c>
      <c r="AL310" s="954">
        <f ca="1">AK310/'203'!I$24</f>
        <v>1.1884438304402063</v>
      </c>
      <c r="AM310" s="954">
        <f ca="1">0.8*(AK310*30+'203'!D$17*0.34*30*1)</f>
        <v>11494.782775375763</v>
      </c>
      <c r="AN310" s="954">
        <f ca="1">IF(AM310&lt;User_sheet!B$50,Y310,0)</f>
        <v>0</v>
      </c>
      <c r="AO310" s="954">
        <f ca="1">20-(User_sheet!B$57/(AK310+'203'!D$17*1*0.34))</f>
        <v>8.0989486558150254</v>
      </c>
      <c r="AP310" s="954">
        <f ca="1">IF(AO310&lt;User_sheet!B$59,0,BC310*AA310)</f>
        <v>0</v>
      </c>
      <c r="AQ310" s="313"/>
      <c r="AR310" s="909">
        <v>0.32</v>
      </c>
      <c r="AS310" s="1020">
        <v>2.41</v>
      </c>
      <c r="AT310" s="909">
        <v>1.42</v>
      </c>
      <c r="AU310" s="909">
        <v>2.75</v>
      </c>
      <c r="AV310" s="909">
        <v>3.3</v>
      </c>
      <c r="AW310" s="909">
        <v>12257.141193582425</v>
      </c>
      <c r="AX310" s="909">
        <v>75945.51234133933</v>
      </c>
      <c r="AY310" s="909">
        <v>62673.095488422703</v>
      </c>
      <c r="AZ310" s="909">
        <v>0</v>
      </c>
      <c r="BA310" s="909">
        <v>0</v>
      </c>
      <c r="BB310" s="909">
        <v>0.6</v>
      </c>
      <c r="BC310" s="919">
        <v>1</v>
      </c>
      <c r="BD310" s="920">
        <v>0</v>
      </c>
      <c r="BE310" s="920">
        <v>0</v>
      </c>
      <c r="BF310" s="921">
        <v>0</v>
      </c>
      <c r="BG310" s="909">
        <v>0</v>
      </c>
      <c r="BH310" s="909">
        <v>1</v>
      </c>
      <c r="BI310" s="921">
        <v>0</v>
      </c>
      <c r="BJ310" s="909">
        <v>0</v>
      </c>
      <c r="BK310" s="909">
        <v>0</v>
      </c>
      <c r="BL310" s="909">
        <v>1</v>
      </c>
      <c r="BM310" s="921">
        <v>0</v>
      </c>
      <c r="BN310" s="958">
        <v>0.08</v>
      </c>
      <c r="BO310" s="959">
        <v>16.3</v>
      </c>
      <c r="BP310">
        <f t="shared" ca="1" si="374"/>
        <v>185.6</v>
      </c>
      <c r="BQ310">
        <f t="shared" ca="1" si="375"/>
        <v>361.17052631578946</v>
      </c>
      <c r="BR310">
        <f t="shared" ca="1" si="376"/>
        <v>84.1</v>
      </c>
      <c r="BS310">
        <f t="shared" ca="1" si="377"/>
        <v>115.78052631578947</v>
      </c>
      <c r="BT310">
        <f t="shared" ca="1" si="378"/>
        <v>75.400000000000006</v>
      </c>
      <c r="BU310">
        <f t="shared" ca="1" si="379"/>
        <v>22</v>
      </c>
      <c r="BV310">
        <f t="shared" ca="1" si="380"/>
        <v>2.15</v>
      </c>
      <c r="BW310" s="1018">
        <v>0</v>
      </c>
      <c r="BX310">
        <f t="shared" ca="1" si="348"/>
        <v>25.497726124305199</v>
      </c>
      <c r="BY310">
        <f t="shared" ca="1" si="349"/>
        <v>196.81491706554075</v>
      </c>
      <c r="BZ310">
        <f t="shared" ca="1" si="330"/>
        <v>28.353659319494973</v>
      </c>
      <c r="CA310">
        <f t="shared" ca="1" si="331"/>
        <v>60.499999966724999</v>
      </c>
      <c r="CB310">
        <f t="shared" ca="1" si="350"/>
        <v>4.5133587786259541</v>
      </c>
      <c r="CC310" s="1018">
        <f t="shared" si="332"/>
        <v>0</v>
      </c>
      <c r="CD310" s="1018">
        <f t="shared" ca="1" si="382"/>
        <v>339.63410335995502</v>
      </c>
      <c r="CE310" s="1018">
        <f t="shared" ca="1" si="344"/>
        <v>148.36563336164974</v>
      </c>
      <c r="CF310">
        <f t="shared" ca="1" si="333"/>
        <v>14.639992101648144</v>
      </c>
      <c r="CG310">
        <f t="shared" ca="1" si="334"/>
        <v>24375.001249560097</v>
      </c>
    </row>
    <row r="311" spans="4:85" x14ac:dyDescent="0.25">
      <c r="D311" s="557"/>
      <c r="E311" s="556"/>
      <c r="F311" s="557"/>
      <c r="G311" s="556"/>
      <c r="H311" s="557"/>
      <c r="I311" s="556"/>
      <c r="J311" s="562"/>
      <c r="K311" s="557"/>
      <c r="L311" s="557"/>
      <c r="M311" s="557"/>
      <c r="N311" s="557"/>
      <c r="O311" s="557"/>
      <c r="P311" s="557"/>
      <c r="Q311" s="557" t="s">
        <v>22</v>
      </c>
      <c r="R311" s="559">
        <v>0.60750000000000004</v>
      </c>
      <c r="S311" s="557"/>
      <c r="T311" s="567">
        <v>1.2945732838609539E-3</v>
      </c>
      <c r="U311" s="556"/>
      <c r="V311" s="176">
        <f t="shared" si="335"/>
        <v>1.2945732838609539E-3</v>
      </c>
      <c r="W311" s="176">
        <f t="shared" si="381"/>
        <v>1.2945732838609539E-3</v>
      </c>
      <c r="X311" s="176">
        <f t="shared" si="381"/>
        <v>1.2945732838609539E-3</v>
      </c>
      <c r="Y311" s="34">
        <f>X311/Calculation_sheet!M$67</f>
        <v>1.2945997532612457E-3</v>
      </c>
      <c r="Z311" s="176">
        <f ca="1">IF(AN311&gt;0,Y311*Calculation_sheet!C$87,0)</f>
        <v>0</v>
      </c>
      <c r="AA311" s="176">
        <f t="shared" ca="1" si="326"/>
        <v>1.2945997532612457E-3</v>
      </c>
      <c r="AB311" s="176">
        <f ca="1">IF(AP311&gt;0,AA311*Calculation_sheet!C$94,0)</f>
        <v>0</v>
      </c>
      <c r="AC311" s="176">
        <f t="shared" ca="1" si="373"/>
        <v>1.2945997532612457E-3</v>
      </c>
      <c r="AD311" s="958">
        <f ca="1">AC311*Calculation_sheet!C$99</f>
        <v>7.7675985195674736E-4</v>
      </c>
      <c r="AE311" s="176">
        <f t="shared" ca="1" si="373"/>
        <v>5.1783990130449835E-4</v>
      </c>
      <c r="AF311" s="176">
        <f t="shared" ca="1" si="346"/>
        <v>1.2945997532612457E-3</v>
      </c>
      <c r="AG311" s="958">
        <f ca="1">AF311*User_sheet!B$77/100</f>
        <v>0</v>
      </c>
      <c r="AH311" s="313"/>
      <c r="AI311" s="908">
        <v>203</v>
      </c>
      <c r="AJ311" s="313"/>
      <c r="AK311" s="1020">
        <f t="shared" ca="1" si="329"/>
        <v>339.63410335995502</v>
      </c>
      <c r="AL311" s="954">
        <f ca="1">AK311/'203'!I$24</f>
        <v>1.1884438304402063</v>
      </c>
      <c r="AM311" s="954">
        <f ca="1">0.8*(AK311*30+'203'!D$17*0.34*30*1)</f>
        <v>11494.782775375763</v>
      </c>
      <c r="AN311" s="954">
        <f ca="1">IF(AM311&lt;User_sheet!B$50,Y311,0)</f>
        <v>0</v>
      </c>
      <c r="AO311" s="954">
        <f ca="1">20-(User_sheet!B$57/(AK311+'203'!D$17*1*0.34))</f>
        <v>8.0989486558150254</v>
      </c>
      <c r="AP311" s="954">
        <f ca="1">IF(AO311&lt;User_sheet!B$59,0,BC311*AA311)</f>
        <v>0</v>
      </c>
      <c r="AQ311" s="313"/>
      <c r="AR311" s="909">
        <v>0.32</v>
      </c>
      <c r="AS311" s="1020">
        <v>2.41</v>
      </c>
      <c r="AT311" s="909">
        <v>1.42</v>
      </c>
      <c r="AU311" s="909">
        <v>2.75</v>
      </c>
      <c r="AV311" s="909">
        <v>3.3</v>
      </c>
      <c r="AW311" s="909">
        <v>12257.141193582425</v>
      </c>
      <c r="AX311" s="909">
        <v>75945.51234133933</v>
      </c>
      <c r="AY311" s="909">
        <v>62673.095488422703</v>
      </c>
      <c r="AZ311" s="909">
        <v>0</v>
      </c>
      <c r="BA311" s="909">
        <v>0</v>
      </c>
      <c r="BB311" s="909">
        <v>0.6</v>
      </c>
      <c r="BC311" s="919">
        <v>0</v>
      </c>
      <c r="BD311" s="920">
        <v>1</v>
      </c>
      <c r="BE311" s="920">
        <v>0</v>
      </c>
      <c r="BF311" s="921">
        <v>0</v>
      </c>
      <c r="BG311" s="909">
        <v>1</v>
      </c>
      <c r="BH311" s="909">
        <v>0</v>
      </c>
      <c r="BI311" s="921">
        <v>0</v>
      </c>
      <c r="BJ311" s="909">
        <v>0</v>
      </c>
      <c r="BK311" s="909">
        <v>1</v>
      </c>
      <c r="BL311" s="909">
        <v>0</v>
      </c>
      <c r="BM311" s="921">
        <v>0</v>
      </c>
      <c r="BN311" s="958">
        <v>0.08</v>
      </c>
      <c r="BO311" s="959">
        <v>16.3</v>
      </c>
      <c r="BP311">
        <f t="shared" ca="1" si="374"/>
        <v>185.6</v>
      </c>
      <c r="BQ311">
        <f t="shared" ca="1" si="375"/>
        <v>361.17052631578946</v>
      </c>
      <c r="BR311">
        <f t="shared" ca="1" si="376"/>
        <v>84.1</v>
      </c>
      <c r="BS311">
        <f t="shared" ca="1" si="377"/>
        <v>115.78052631578947</v>
      </c>
      <c r="BT311">
        <f t="shared" ca="1" si="378"/>
        <v>75.400000000000006</v>
      </c>
      <c r="BU311">
        <f t="shared" ca="1" si="379"/>
        <v>22</v>
      </c>
      <c r="BV311">
        <f t="shared" ca="1" si="380"/>
        <v>2.15</v>
      </c>
      <c r="BW311" s="1018">
        <v>0</v>
      </c>
      <c r="BX311">
        <f t="shared" ca="1" si="348"/>
        <v>25.497726124305199</v>
      </c>
      <c r="BY311">
        <f t="shared" ca="1" si="349"/>
        <v>196.81491706554075</v>
      </c>
      <c r="BZ311">
        <f t="shared" ca="1" si="330"/>
        <v>28.353659319494973</v>
      </c>
      <c r="CA311">
        <f t="shared" ca="1" si="331"/>
        <v>60.499999966724999</v>
      </c>
      <c r="CB311">
        <f t="shared" ca="1" si="350"/>
        <v>4.5133587786259541</v>
      </c>
      <c r="CC311" s="1018">
        <f t="shared" si="332"/>
        <v>0</v>
      </c>
      <c r="CD311" s="1018">
        <f t="shared" ca="1" si="382"/>
        <v>339.63410335995502</v>
      </c>
      <c r="CE311" s="1018">
        <f t="shared" ca="1" si="344"/>
        <v>148.36563336164974</v>
      </c>
      <c r="CF311">
        <f t="shared" ca="1" si="333"/>
        <v>14.639992101648144</v>
      </c>
      <c r="CG311">
        <f t="shared" ca="1" si="334"/>
        <v>24375.001249560097</v>
      </c>
    </row>
    <row r="312" spans="4:85" x14ac:dyDescent="0.25">
      <c r="D312" s="557"/>
      <c r="E312" s="556"/>
      <c r="F312" s="557"/>
      <c r="G312" s="556"/>
      <c r="H312" s="557"/>
      <c r="I312" s="556"/>
      <c r="J312" s="562"/>
      <c r="K312" s="557"/>
      <c r="L312" s="557"/>
      <c r="M312" s="557"/>
      <c r="N312" s="557"/>
      <c r="O312" s="557" t="s">
        <v>18</v>
      </c>
      <c r="P312" s="559">
        <v>0.94399999999999995</v>
      </c>
      <c r="Q312" s="557" t="s">
        <v>7</v>
      </c>
      <c r="R312" s="559">
        <v>0.39250000000000002</v>
      </c>
      <c r="S312" s="557"/>
      <c r="T312" s="567">
        <v>8.3641154553979315E-4</v>
      </c>
      <c r="U312" s="556"/>
      <c r="V312" s="176">
        <f t="shared" si="335"/>
        <v>8.3641154553979315E-4</v>
      </c>
      <c r="W312" s="176">
        <f t="shared" si="381"/>
        <v>8.3641154553979315E-4</v>
      </c>
      <c r="X312" s="176">
        <f t="shared" si="381"/>
        <v>8.3641154553979315E-4</v>
      </c>
      <c r="Y312" s="34">
        <f>X312/Calculation_sheet!M$67</f>
        <v>8.3642864716878824E-4</v>
      </c>
      <c r="Z312" s="176">
        <f ca="1">IF(AN312&gt;0,Y312*Calculation_sheet!C$87,0)</f>
        <v>0</v>
      </c>
      <c r="AA312" s="176">
        <f t="shared" ca="1" si="326"/>
        <v>8.3642864716878824E-4</v>
      </c>
      <c r="AB312" s="176">
        <f ca="1">IF(AP312&gt;0,AA312*Calculation_sheet!C$94,0)</f>
        <v>0</v>
      </c>
      <c r="AC312" s="176">
        <f t="shared" ca="1" si="373"/>
        <v>8.3642864716878824E-4</v>
      </c>
      <c r="AD312" s="958">
        <f ca="1">AC312*Calculation_sheet!C$99</f>
        <v>5.0185718830127288E-4</v>
      </c>
      <c r="AE312" s="176">
        <f t="shared" ca="1" si="373"/>
        <v>3.3457145886751536E-4</v>
      </c>
      <c r="AF312" s="176">
        <f t="shared" ca="1" si="346"/>
        <v>8.3642864716878824E-4</v>
      </c>
      <c r="AG312" s="958">
        <f ca="1">AF312*User_sheet!B$77/100</f>
        <v>0</v>
      </c>
      <c r="AH312" s="313"/>
      <c r="AI312" s="908">
        <v>203</v>
      </c>
      <c r="AJ312" s="313"/>
      <c r="AK312" s="1020">
        <f t="shared" ca="1" si="329"/>
        <v>339.63410335995502</v>
      </c>
      <c r="AL312" s="954">
        <f ca="1">AK312/'203'!I$24</f>
        <v>1.1884438304402063</v>
      </c>
      <c r="AM312" s="954">
        <f ca="1">0.8*(AK312*30+'203'!D$17*0.34*30*1)</f>
        <v>11494.782775375763</v>
      </c>
      <c r="AN312" s="954">
        <f ca="1">IF(AM312&lt;User_sheet!B$50,Y312,0)</f>
        <v>0</v>
      </c>
      <c r="AO312" s="954">
        <f ca="1">20-(User_sheet!B$57/(AK312+'203'!D$17*1*0.34))</f>
        <v>8.0989486558150254</v>
      </c>
      <c r="AP312" s="954">
        <f ca="1">IF(AO312&lt;User_sheet!B$59,0,BC312*AA312)</f>
        <v>0</v>
      </c>
      <c r="AQ312" s="313"/>
      <c r="AR312" s="909">
        <v>0.32</v>
      </c>
      <c r="AS312" s="1020">
        <v>2.41</v>
      </c>
      <c r="AT312" s="909">
        <v>1.42</v>
      </c>
      <c r="AU312" s="909">
        <v>2.75</v>
      </c>
      <c r="AV312" s="909">
        <v>3.3</v>
      </c>
      <c r="AW312" s="909">
        <v>12257.141193582425</v>
      </c>
      <c r="AX312" s="909">
        <v>75945.51234133933</v>
      </c>
      <c r="AY312" s="909">
        <v>62673.095488422703</v>
      </c>
      <c r="AZ312" s="909">
        <v>0</v>
      </c>
      <c r="BA312" s="909">
        <v>0</v>
      </c>
      <c r="BB312" s="909">
        <v>0.6</v>
      </c>
      <c r="BC312" s="919">
        <v>0</v>
      </c>
      <c r="BD312" s="920">
        <v>1</v>
      </c>
      <c r="BE312" s="920">
        <v>0</v>
      </c>
      <c r="BF312" s="921">
        <v>0</v>
      </c>
      <c r="BG312" s="909">
        <v>1</v>
      </c>
      <c r="BH312" s="909">
        <v>0</v>
      </c>
      <c r="BI312" s="921">
        <v>0</v>
      </c>
      <c r="BJ312" s="909">
        <v>0</v>
      </c>
      <c r="BK312" s="909">
        <v>0</v>
      </c>
      <c r="BL312" s="909">
        <v>1</v>
      </c>
      <c r="BM312" s="921">
        <v>0</v>
      </c>
      <c r="BN312" s="958">
        <v>0.08</v>
      </c>
      <c r="BO312" s="959">
        <v>16.3</v>
      </c>
      <c r="BP312">
        <f t="shared" ca="1" si="374"/>
        <v>185.6</v>
      </c>
      <c r="BQ312">
        <f t="shared" ca="1" si="375"/>
        <v>361.17052631578946</v>
      </c>
      <c r="BR312">
        <f t="shared" ca="1" si="376"/>
        <v>84.1</v>
      </c>
      <c r="BS312">
        <f t="shared" ca="1" si="377"/>
        <v>115.78052631578947</v>
      </c>
      <c r="BT312">
        <f t="shared" ca="1" si="378"/>
        <v>75.400000000000006</v>
      </c>
      <c r="BU312">
        <f t="shared" ca="1" si="379"/>
        <v>22</v>
      </c>
      <c r="BV312">
        <f t="shared" ca="1" si="380"/>
        <v>2.15</v>
      </c>
      <c r="BW312" s="1018">
        <v>0</v>
      </c>
      <c r="BX312">
        <f t="shared" ca="1" si="348"/>
        <v>25.497726124305199</v>
      </c>
      <c r="BY312">
        <f t="shared" ca="1" si="349"/>
        <v>196.81491706554075</v>
      </c>
      <c r="BZ312">
        <f t="shared" ca="1" si="330"/>
        <v>28.353659319494973</v>
      </c>
      <c r="CA312">
        <f t="shared" ca="1" si="331"/>
        <v>60.499999966724999</v>
      </c>
      <c r="CB312">
        <f t="shared" ca="1" si="350"/>
        <v>4.5133587786259541</v>
      </c>
      <c r="CC312" s="1018">
        <f t="shared" si="332"/>
        <v>0</v>
      </c>
      <c r="CD312" s="1018">
        <f t="shared" ca="1" si="382"/>
        <v>339.63410335995502</v>
      </c>
      <c r="CE312" s="1018">
        <f t="shared" ca="1" si="344"/>
        <v>148.36563336164974</v>
      </c>
      <c r="CF312">
        <f t="shared" ca="1" si="333"/>
        <v>14.639992101648144</v>
      </c>
      <c r="CG312">
        <f t="shared" ca="1" si="334"/>
        <v>24375.001249560097</v>
      </c>
    </row>
    <row r="313" spans="4:85" x14ac:dyDescent="0.25">
      <c r="D313" s="557"/>
      <c r="E313" s="556"/>
      <c r="F313" s="557"/>
      <c r="G313" s="556"/>
      <c r="H313" s="557"/>
      <c r="I313" s="556"/>
      <c r="J313" s="562"/>
      <c r="K313" s="557"/>
      <c r="L313" s="557"/>
      <c r="M313" s="557"/>
      <c r="N313" s="557"/>
      <c r="O313" s="557"/>
      <c r="P313" s="557"/>
      <c r="Q313" s="557" t="s">
        <v>22</v>
      </c>
      <c r="R313" s="559">
        <v>0.39250000000000002</v>
      </c>
      <c r="S313" s="557"/>
      <c r="T313" s="567">
        <v>4.9617634057445365E-5</v>
      </c>
      <c r="U313" s="556"/>
      <c r="V313" s="176">
        <f t="shared" si="335"/>
        <v>4.9617634057445365E-5</v>
      </c>
      <c r="W313" s="176">
        <f t="shared" si="381"/>
        <v>4.9617634057445365E-5</v>
      </c>
      <c r="X313" s="176">
        <f t="shared" si="381"/>
        <v>4.9617634057445365E-5</v>
      </c>
      <c r="Y313" s="34">
        <f>X313/Calculation_sheet!M$67</f>
        <v>4.9618648560860329E-5</v>
      </c>
      <c r="Z313" s="176">
        <f ca="1">IF(AN313&gt;0,Y313*Calculation_sheet!C$87,0)</f>
        <v>0</v>
      </c>
      <c r="AA313" s="176">
        <f t="shared" ca="1" si="326"/>
        <v>4.9618648560860329E-5</v>
      </c>
      <c r="AB313" s="176">
        <f ca="1">IF(AP313&gt;0,AA313*Calculation_sheet!C$94,0)</f>
        <v>0</v>
      </c>
      <c r="AC313" s="176">
        <f t="shared" ca="1" si="373"/>
        <v>4.9618648560860329E-5</v>
      </c>
      <c r="AD313" s="958">
        <f ca="1">AC313*Calculation_sheet!C$99</f>
        <v>2.9771189136516195E-5</v>
      </c>
      <c r="AE313" s="176">
        <f t="shared" ca="1" si="373"/>
        <v>1.9847459424344134E-5</v>
      </c>
      <c r="AF313" s="176">
        <f t="shared" ca="1" si="346"/>
        <v>4.9618648560860329E-5</v>
      </c>
      <c r="AG313" s="958">
        <f ca="1">AF313*User_sheet!B$77/100</f>
        <v>0</v>
      </c>
      <c r="AH313" s="313"/>
      <c r="AI313" s="908">
        <v>203</v>
      </c>
      <c r="AJ313" s="313"/>
      <c r="AK313" s="1020">
        <f t="shared" ca="1" si="329"/>
        <v>339.63410335995502</v>
      </c>
      <c r="AL313" s="954">
        <f ca="1">AK313/'203'!I$24</f>
        <v>1.1884438304402063</v>
      </c>
      <c r="AM313" s="954">
        <f ca="1">0.8*(AK313*30+'203'!D$17*0.34*30*1)</f>
        <v>11494.782775375763</v>
      </c>
      <c r="AN313" s="954">
        <f ca="1">IF(AM313&lt;User_sheet!B$50,Y313,0)</f>
        <v>0</v>
      </c>
      <c r="AO313" s="954">
        <f ca="1">20-(User_sheet!B$57/(AK313+'203'!D$17*1*0.34))</f>
        <v>8.0989486558150254</v>
      </c>
      <c r="AP313" s="954">
        <f ca="1">IF(AO313&lt;User_sheet!B$59,0,BC313*AA313)</f>
        <v>0</v>
      </c>
      <c r="AQ313" s="313"/>
      <c r="AR313" s="909">
        <v>0.32</v>
      </c>
      <c r="AS313" s="1020">
        <v>2.41</v>
      </c>
      <c r="AT313" s="909">
        <v>1.42</v>
      </c>
      <c r="AU313" s="909">
        <v>2.75</v>
      </c>
      <c r="AV313" s="909">
        <v>3.3</v>
      </c>
      <c r="AW313" s="909">
        <v>12257.141193582425</v>
      </c>
      <c r="AX313" s="909">
        <v>75945.51234133933</v>
      </c>
      <c r="AY313" s="909">
        <v>62673.095488422703</v>
      </c>
      <c r="AZ313" s="909">
        <v>0</v>
      </c>
      <c r="BA313" s="909">
        <v>0</v>
      </c>
      <c r="BB313" s="909">
        <v>0.6</v>
      </c>
      <c r="BC313" s="919">
        <v>0</v>
      </c>
      <c r="BD313" s="920">
        <v>1</v>
      </c>
      <c r="BE313" s="920">
        <v>0</v>
      </c>
      <c r="BF313" s="921">
        <v>0</v>
      </c>
      <c r="BG313" s="909">
        <v>0</v>
      </c>
      <c r="BH313" s="909">
        <v>1</v>
      </c>
      <c r="BI313" s="921">
        <v>0</v>
      </c>
      <c r="BJ313" s="909">
        <v>0</v>
      </c>
      <c r="BK313" s="909">
        <v>1</v>
      </c>
      <c r="BL313" s="909">
        <v>0</v>
      </c>
      <c r="BM313" s="921">
        <v>0</v>
      </c>
      <c r="BN313" s="958">
        <v>0.08</v>
      </c>
      <c r="BO313" s="959">
        <v>16.3</v>
      </c>
      <c r="BP313">
        <f t="shared" ca="1" si="374"/>
        <v>185.6</v>
      </c>
      <c r="BQ313">
        <f t="shared" ca="1" si="375"/>
        <v>361.17052631578946</v>
      </c>
      <c r="BR313">
        <f t="shared" ca="1" si="376"/>
        <v>84.1</v>
      </c>
      <c r="BS313">
        <f t="shared" ca="1" si="377"/>
        <v>115.78052631578947</v>
      </c>
      <c r="BT313">
        <f t="shared" ca="1" si="378"/>
        <v>75.400000000000006</v>
      </c>
      <c r="BU313">
        <f t="shared" ca="1" si="379"/>
        <v>22</v>
      </c>
      <c r="BV313">
        <f t="shared" ca="1" si="380"/>
        <v>2.15</v>
      </c>
      <c r="BW313" s="1018">
        <v>0</v>
      </c>
      <c r="BX313">
        <f t="shared" ca="1" si="348"/>
        <v>25.497726124305199</v>
      </c>
      <c r="BY313">
        <f t="shared" ca="1" si="349"/>
        <v>196.81491706554075</v>
      </c>
      <c r="BZ313">
        <f t="shared" ca="1" si="330"/>
        <v>28.353659319494973</v>
      </c>
      <c r="CA313">
        <f t="shared" ca="1" si="331"/>
        <v>60.499999966724999</v>
      </c>
      <c r="CB313">
        <f t="shared" ca="1" si="350"/>
        <v>4.5133587786259541</v>
      </c>
      <c r="CC313" s="1018">
        <f t="shared" si="332"/>
        <v>0</v>
      </c>
      <c r="CD313" s="1018">
        <f t="shared" ca="1" si="382"/>
        <v>339.63410335995502</v>
      </c>
      <c r="CE313" s="1018">
        <f t="shared" ca="1" si="344"/>
        <v>148.36563336164974</v>
      </c>
      <c r="CF313">
        <f t="shared" ca="1" si="333"/>
        <v>14.639992101648144</v>
      </c>
      <c r="CG313">
        <f t="shared" ca="1" si="334"/>
        <v>24375.001249560097</v>
      </c>
    </row>
    <row r="314" spans="4:85" x14ac:dyDescent="0.25">
      <c r="D314" s="557"/>
      <c r="E314" s="556"/>
      <c r="F314" s="557"/>
      <c r="G314" s="556"/>
      <c r="H314" s="557"/>
      <c r="I314" s="556"/>
      <c r="J314" s="557"/>
      <c r="K314" s="557"/>
      <c r="L314" s="557"/>
      <c r="M314" s="557" t="s">
        <v>22</v>
      </c>
      <c r="N314" s="559">
        <v>0.47</v>
      </c>
      <c r="O314" s="557" t="s">
        <v>20</v>
      </c>
      <c r="P314" s="559">
        <v>5.6000000000000001E-2</v>
      </c>
      <c r="Q314" s="557" t="s">
        <v>7</v>
      </c>
      <c r="R314" s="559">
        <v>0.60750000000000004</v>
      </c>
      <c r="S314" s="557"/>
      <c r="T314" s="567">
        <v>7.6796720229039631E-5</v>
      </c>
      <c r="U314" s="556"/>
      <c r="V314" s="176">
        <f t="shared" si="335"/>
        <v>7.6796720229039631E-5</v>
      </c>
      <c r="W314" s="176">
        <f t="shared" si="381"/>
        <v>7.6796720229039631E-5</v>
      </c>
      <c r="X314" s="176">
        <f t="shared" si="381"/>
        <v>7.6796720229039631E-5</v>
      </c>
      <c r="Y314" s="34">
        <f>X314/Calculation_sheet!M$67</f>
        <v>7.6798290447701011E-5</v>
      </c>
      <c r="Z314" s="176">
        <f ca="1">IF(AN314&gt;0,Y314*Calculation_sheet!C$87,0)</f>
        <v>0</v>
      </c>
      <c r="AA314" s="176">
        <f t="shared" ca="1" si="326"/>
        <v>7.6798290447701011E-5</v>
      </c>
      <c r="AB314" s="176">
        <f ca="1">IF(AP314&gt;0,AA314*Calculation_sheet!C$94,0)</f>
        <v>0</v>
      </c>
      <c r="AC314" s="176">
        <f t="shared" ca="1" si="373"/>
        <v>7.6798290447701011E-5</v>
      </c>
      <c r="AD314" s="958">
        <f ca="1">AC314*Calculation_sheet!C$99</f>
        <v>4.6078974268620608E-5</v>
      </c>
      <c r="AE314" s="176">
        <f t="shared" ca="1" si="373"/>
        <v>3.0719316179080403E-5</v>
      </c>
      <c r="AF314" s="176">
        <f t="shared" ca="1" si="346"/>
        <v>7.6798290447701011E-5</v>
      </c>
      <c r="AG314" s="958">
        <f ca="1">AF314*User_sheet!B$77/100</f>
        <v>0</v>
      </c>
      <c r="AH314" s="313"/>
      <c r="AI314" s="908">
        <v>203</v>
      </c>
      <c r="AJ314" s="313"/>
      <c r="AK314" s="1020">
        <f t="shared" ca="1" si="329"/>
        <v>339.63410335995502</v>
      </c>
      <c r="AL314" s="954">
        <f ca="1">AK314/'203'!I$24</f>
        <v>1.1884438304402063</v>
      </c>
      <c r="AM314" s="954">
        <f ca="1">0.8*(AK314*30+'203'!D$17*0.34*30*1)</f>
        <v>11494.782775375763</v>
      </c>
      <c r="AN314" s="954">
        <f ca="1">IF(AM314&lt;User_sheet!B$50,Y314,0)</f>
        <v>0</v>
      </c>
      <c r="AO314" s="954">
        <f ca="1">20-(User_sheet!B$57/(AK314+'203'!D$17*1*0.34))</f>
        <v>8.0989486558150254</v>
      </c>
      <c r="AP314" s="954">
        <f ca="1">IF(AO314&lt;User_sheet!B$59,0,BC314*AA314)</f>
        <v>0</v>
      </c>
      <c r="AQ314" s="313"/>
      <c r="AR314" s="909">
        <v>0.32</v>
      </c>
      <c r="AS314" s="1020">
        <v>2.41</v>
      </c>
      <c r="AT314" s="909">
        <v>1.42</v>
      </c>
      <c r="AU314" s="909">
        <v>2.75</v>
      </c>
      <c r="AV314" s="909">
        <v>3.3</v>
      </c>
      <c r="AW314" s="909">
        <v>12257.141193582425</v>
      </c>
      <c r="AX314" s="909">
        <v>75945.51234133933</v>
      </c>
      <c r="AY314" s="909">
        <v>62673.095488422703</v>
      </c>
      <c r="AZ314" s="909">
        <v>0</v>
      </c>
      <c r="BA314" s="909">
        <v>0</v>
      </c>
      <c r="BB314" s="909">
        <v>0.6</v>
      </c>
      <c r="BC314" s="919">
        <v>0</v>
      </c>
      <c r="BD314" s="920">
        <v>1</v>
      </c>
      <c r="BE314" s="920">
        <v>0</v>
      </c>
      <c r="BF314" s="921">
        <v>0</v>
      </c>
      <c r="BG314" s="909">
        <v>0</v>
      </c>
      <c r="BH314" s="909">
        <v>1</v>
      </c>
      <c r="BI314" s="921">
        <v>0</v>
      </c>
      <c r="BJ314" s="909">
        <v>0</v>
      </c>
      <c r="BK314" s="909">
        <v>0</v>
      </c>
      <c r="BL314" s="909">
        <v>1</v>
      </c>
      <c r="BM314" s="921">
        <v>0</v>
      </c>
      <c r="BN314" s="958">
        <v>0.08</v>
      </c>
      <c r="BO314" s="959">
        <v>16.3</v>
      </c>
      <c r="BP314">
        <f t="shared" ca="1" si="374"/>
        <v>185.6</v>
      </c>
      <c r="BQ314">
        <f t="shared" ca="1" si="375"/>
        <v>361.17052631578946</v>
      </c>
      <c r="BR314">
        <f t="shared" ca="1" si="376"/>
        <v>84.1</v>
      </c>
      <c r="BS314">
        <f t="shared" ca="1" si="377"/>
        <v>115.78052631578947</v>
      </c>
      <c r="BT314">
        <f t="shared" ca="1" si="378"/>
        <v>75.400000000000006</v>
      </c>
      <c r="BU314">
        <f t="shared" ca="1" si="379"/>
        <v>22</v>
      </c>
      <c r="BV314">
        <f t="shared" ca="1" si="380"/>
        <v>2.15</v>
      </c>
      <c r="BW314" s="1018">
        <v>0</v>
      </c>
      <c r="BX314">
        <f t="shared" ca="1" si="348"/>
        <v>25.497726124305199</v>
      </c>
      <c r="BY314">
        <f t="shared" ca="1" si="349"/>
        <v>196.81491706554075</v>
      </c>
      <c r="BZ314">
        <f t="shared" ca="1" si="330"/>
        <v>28.353659319494973</v>
      </c>
      <c r="CA314">
        <f t="shared" ca="1" si="331"/>
        <v>60.499999966724999</v>
      </c>
      <c r="CB314">
        <f t="shared" ca="1" si="350"/>
        <v>4.5133587786259541</v>
      </c>
      <c r="CC314" s="1018">
        <f t="shared" si="332"/>
        <v>0</v>
      </c>
      <c r="CD314" s="1018">
        <f t="shared" ca="1" si="382"/>
        <v>339.63410335995502</v>
      </c>
      <c r="CE314" s="1018">
        <f t="shared" ca="1" si="344"/>
        <v>148.36563336164974</v>
      </c>
      <c r="CF314">
        <f t="shared" ca="1" si="333"/>
        <v>14.639992101648144</v>
      </c>
      <c r="CG314">
        <f t="shared" ca="1" si="334"/>
        <v>24375.001249560097</v>
      </c>
    </row>
    <row r="315" spans="4:85" x14ac:dyDescent="0.25">
      <c r="D315" s="557"/>
      <c r="E315" s="556"/>
      <c r="F315" s="557"/>
      <c r="G315" s="556"/>
      <c r="H315" s="557"/>
      <c r="I315" s="556"/>
      <c r="J315" s="557"/>
      <c r="K315" s="560" t="s">
        <v>13</v>
      </c>
      <c r="L315" s="561">
        <v>1</v>
      </c>
      <c r="M315" s="557" t="s">
        <v>7</v>
      </c>
      <c r="N315" s="559">
        <v>0.11900000000000005</v>
      </c>
      <c r="O315" s="557" t="s">
        <v>23</v>
      </c>
      <c r="P315" s="559">
        <v>1</v>
      </c>
      <c r="Q315" s="557" t="s">
        <v>7</v>
      </c>
      <c r="R315" s="559">
        <v>1</v>
      </c>
      <c r="S315" s="557"/>
      <c r="T315" s="567">
        <v>5.7155426140166111E-4</v>
      </c>
      <c r="U315" s="556"/>
      <c r="V315" s="176">
        <f t="shared" si="335"/>
        <v>5.7155426140166111E-4</v>
      </c>
      <c r="W315" s="176">
        <f t="shared" si="381"/>
        <v>5.7155426140166111E-4</v>
      </c>
      <c r="X315" s="176">
        <f t="shared" si="381"/>
        <v>5.7155426140166111E-4</v>
      </c>
      <c r="Y315" s="34">
        <f>X315/Calculation_sheet!M$67</f>
        <v>5.7156594764509142E-4</v>
      </c>
      <c r="Z315" s="176">
        <f ca="1">IF(AN315&gt;0,Y315*Calculation_sheet!C$87,0)</f>
        <v>0</v>
      </c>
      <c r="AA315" s="176">
        <f t="shared" ca="1" si="326"/>
        <v>5.7156594764509142E-4</v>
      </c>
      <c r="AB315" s="176">
        <f ca="1">IF(AP315&gt;0,AA315*Calculation_sheet!C$94,0)</f>
        <v>0</v>
      </c>
      <c r="AC315" s="176">
        <f t="shared" ca="1" si="373"/>
        <v>5.7156594764509142E-4</v>
      </c>
      <c r="AD315" s="958">
        <f ca="1">AC315*Calculation_sheet!C$99</f>
        <v>3.4293956858705483E-4</v>
      </c>
      <c r="AE315" s="176">
        <f t="shared" ca="1" si="373"/>
        <v>2.2862637905803659E-4</v>
      </c>
      <c r="AF315" s="176">
        <f t="shared" ca="1" si="346"/>
        <v>5.7156594764509142E-4</v>
      </c>
      <c r="AG315" s="958">
        <f ca="1">AF315*User_sheet!B$77/100</f>
        <v>0</v>
      </c>
      <c r="AH315" s="313"/>
      <c r="AI315" s="908">
        <v>203</v>
      </c>
      <c r="AJ315" s="313"/>
      <c r="AK315" s="1020">
        <f t="shared" ca="1" si="329"/>
        <v>339.63410335995502</v>
      </c>
      <c r="AL315" s="954">
        <f ca="1">AK315/'203'!I$24</f>
        <v>1.1884438304402063</v>
      </c>
      <c r="AM315" s="954">
        <f ca="1">0.8*(AK315*30+'203'!D$17*0.34*30*1)</f>
        <v>11494.782775375763</v>
      </c>
      <c r="AN315" s="954">
        <f ca="1">IF(AM315&lt;User_sheet!B$50,Y315,0)</f>
        <v>0</v>
      </c>
      <c r="AO315" s="954">
        <f ca="1">20-(User_sheet!B$57/(AK315+'203'!D$17*1*0.34))</f>
        <v>8.0989486558150254</v>
      </c>
      <c r="AP315" s="954">
        <f ca="1">IF(AO315&lt;User_sheet!B$59,0,BC315*AA315)</f>
        <v>0</v>
      </c>
      <c r="AQ315" s="313"/>
      <c r="AR315" s="909">
        <v>0.32</v>
      </c>
      <c r="AS315" s="1020">
        <v>2.41</v>
      </c>
      <c r="AT315" s="909">
        <v>1.42</v>
      </c>
      <c r="AU315" s="909">
        <v>2.75</v>
      </c>
      <c r="AV315" s="909">
        <v>3.3</v>
      </c>
      <c r="AW315" s="909">
        <v>12257.141193582425</v>
      </c>
      <c r="AX315" s="909">
        <v>75945.51234133933</v>
      </c>
      <c r="AY315" s="909">
        <v>62673.095488422703</v>
      </c>
      <c r="AZ315" s="909">
        <v>0</v>
      </c>
      <c r="BA315" s="909">
        <v>0</v>
      </c>
      <c r="BB315" s="909">
        <v>0.6</v>
      </c>
      <c r="BC315" s="919">
        <v>0</v>
      </c>
      <c r="BD315" s="920">
        <v>0</v>
      </c>
      <c r="BE315" s="920">
        <v>1</v>
      </c>
      <c r="BF315" s="921">
        <v>0</v>
      </c>
      <c r="BG315" s="909">
        <v>0</v>
      </c>
      <c r="BH315" s="909">
        <v>0</v>
      </c>
      <c r="BI315" s="921">
        <v>1</v>
      </c>
      <c r="BJ315" s="909">
        <v>0</v>
      </c>
      <c r="BK315" s="909">
        <v>0</v>
      </c>
      <c r="BL315" s="909">
        <v>1</v>
      </c>
      <c r="BM315" s="921">
        <v>0</v>
      </c>
      <c r="BN315" s="958">
        <v>0.08</v>
      </c>
      <c r="BO315" s="959">
        <v>16.3</v>
      </c>
      <c r="BP315">
        <f t="shared" ca="1" si="374"/>
        <v>185.6</v>
      </c>
      <c r="BQ315">
        <f t="shared" ca="1" si="375"/>
        <v>361.17052631578946</v>
      </c>
      <c r="BR315">
        <f t="shared" ca="1" si="376"/>
        <v>84.1</v>
      </c>
      <c r="BS315">
        <f t="shared" ca="1" si="377"/>
        <v>115.78052631578947</v>
      </c>
      <c r="BT315">
        <f t="shared" ca="1" si="378"/>
        <v>75.400000000000006</v>
      </c>
      <c r="BU315">
        <f t="shared" ca="1" si="379"/>
        <v>22</v>
      </c>
      <c r="BV315">
        <f t="shared" ca="1" si="380"/>
        <v>2.15</v>
      </c>
      <c r="BW315" s="1018">
        <v>0</v>
      </c>
      <c r="BX315">
        <f t="shared" ca="1" si="348"/>
        <v>25.497726124305199</v>
      </c>
      <c r="BY315">
        <f t="shared" ca="1" si="349"/>
        <v>196.81491706554075</v>
      </c>
      <c r="BZ315">
        <f t="shared" ca="1" si="330"/>
        <v>28.353659319494973</v>
      </c>
      <c r="CA315">
        <f t="shared" ca="1" si="331"/>
        <v>60.499999966724999</v>
      </c>
      <c r="CB315">
        <f t="shared" ca="1" si="350"/>
        <v>4.5133587786259541</v>
      </c>
      <c r="CC315" s="1018">
        <f t="shared" si="332"/>
        <v>0</v>
      </c>
      <c r="CD315" s="1018">
        <f t="shared" ca="1" si="382"/>
        <v>339.63410335995502</v>
      </c>
      <c r="CE315" s="1018">
        <f t="shared" ca="1" si="344"/>
        <v>148.36563336164974</v>
      </c>
      <c r="CF315">
        <f t="shared" ca="1" si="333"/>
        <v>14.639992101648144</v>
      </c>
      <c r="CG315">
        <f t="shared" ca="1" si="334"/>
        <v>24375.001249560097</v>
      </c>
    </row>
    <row r="316" spans="4:85" s="11" customFormat="1" x14ac:dyDescent="0.25">
      <c r="D316" s="565"/>
      <c r="E316" s="564"/>
      <c r="F316" s="565"/>
      <c r="G316" s="564"/>
      <c r="H316" s="565"/>
      <c r="I316" s="564"/>
      <c r="J316" s="565"/>
      <c r="K316" s="566"/>
      <c r="L316" s="565"/>
      <c r="M316" s="565"/>
      <c r="N316" s="565"/>
      <c r="O316" s="565"/>
      <c r="P316" s="565"/>
      <c r="Q316" s="565"/>
      <c r="R316" s="565"/>
      <c r="S316" s="565"/>
      <c r="T316" s="568"/>
      <c r="U316" s="564"/>
      <c r="V316" s="292"/>
      <c r="W316" s="292"/>
      <c r="X316" s="292"/>
      <c r="Y316" s="277"/>
      <c r="Z316" s="292"/>
      <c r="AA316" s="292"/>
      <c r="AB316" s="292"/>
      <c r="AC316" s="292"/>
      <c r="AD316" s="277"/>
      <c r="AE316" s="292"/>
      <c r="AF316" s="292"/>
      <c r="AG316" s="277"/>
      <c r="AH316" s="313"/>
      <c r="AI316" s="912"/>
      <c r="AJ316" s="313"/>
      <c r="AK316" s="1020">
        <f t="shared" si="329"/>
        <v>0</v>
      </c>
      <c r="AL316" s="941"/>
      <c r="AM316" s="941"/>
      <c r="AN316" s="941"/>
      <c r="AO316" s="941"/>
      <c r="AP316" s="941"/>
      <c r="AQ316" s="313"/>
      <c r="AR316" s="918"/>
      <c r="AS316" s="941"/>
      <c r="AT316" s="918"/>
      <c r="AU316" s="918"/>
      <c r="AV316" s="918"/>
      <c r="AW316" s="918"/>
      <c r="AX316" s="918"/>
      <c r="AY316" s="918"/>
      <c r="AZ316" s="918"/>
      <c r="BA316" s="918"/>
      <c r="BB316" s="918"/>
      <c r="BC316" s="45"/>
      <c r="BD316" s="277"/>
      <c r="BE316" s="277"/>
      <c r="BF316" s="49"/>
      <c r="BG316" s="918"/>
      <c r="BH316" s="918"/>
      <c r="BI316" s="49"/>
      <c r="BJ316" s="918"/>
      <c r="BK316" s="918"/>
      <c r="BL316" s="918"/>
      <c r="BM316" s="49"/>
      <c r="BN316" s="277"/>
      <c r="BO316" s="49"/>
      <c r="BW316" s="946"/>
      <c r="CC316" s="946"/>
      <c r="CD316" s="946"/>
      <c r="CE316" s="946"/>
    </row>
    <row r="317" spans="4:85" x14ac:dyDescent="0.25">
      <c r="D317" s="557"/>
      <c r="E317" s="556"/>
      <c r="F317" s="557"/>
      <c r="G317" s="556"/>
      <c r="H317" s="557"/>
      <c r="I317" s="556"/>
      <c r="J317" s="557"/>
      <c r="K317" s="560"/>
      <c r="L317" s="562"/>
      <c r="M317" s="557"/>
      <c r="N317" s="557"/>
      <c r="O317" s="557"/>
      <c r="P317" s="557"/>
      <c r="Q317" s="557" t="s">
        <v>16</v>
      </c>
      <c r="R317" s="559">
        <v>0.92569999999999997</v>
      </c>
      <c r="S317" s="557"/>
      <c r="T317" s="567">
        <v>0</v>
      </c>
      <c r="U317" s="556"/>
      <c r="V317" s="176">
        <f t="shared" si="335"/>
        <v>0</v>
      </c>
      <c r="W317" s="176">
        <f>V317</f>
        <v>0</v>
      </c>
      <c r="X317" s="176">
        <f>W317-W317*Calculation_sheet!O$78</f>
        <v>0</v>
      </c>
      <c r="Y317" s="34">
        <f>X317/Calculation_sheet!M$67</f>
        <v>0</v>
      </c>
      <c r="Z317" s="176">
        <f ca="1">IF(AN317&gt;0,Y317*Calculation_sheet!C$87,0)</f>
        <v>0</v>
      </c>
      <c r="AA317" s="176">
        <f t="shared" ca="1" si="326"/>
        <v>0</v>
      </c>
      <c r="AB317" s="176">
        <f ca="1">IF(AP317&gt;0,AA317*Calculation_sheet!C$94,0)</f>
        <v>0</v>
      </c>
      <c r="AC317" s="176">
        <f t="shared" ref="AC317:AE325" ca="1" si="383">AA317-AB317</f>
        <v>0</v>
      </c>
      <c r="AD317" s="958">
        <f ca="1">AC317*Calculation_sheet!C$99</f>
        <v>0</v>
      </c>
      <c r="AE317" s="176">
        <f t="shared" ca="1" si="383"/>
        <v>0</v>
      </c>
      <c r="AF317" s="176">
        <f t="shared" ca="1" si="346"/>
        <v>0</v>
      </c>
      <c r="AG317" s="958">
        <f ca="1">AF317*User_sheet!B$77/100</f>
        <v>0</v>
      </c>
      <c r="AH317" s="313"/>
      <c r="AI317" s="908">
        <v>203</v>
      </c>
      <c r="AJ317" s="313"/>
      <c r="AK317" s="1020">
        <f t="shared" ca="1" si="329"/>
        <v>363.31440119417789</v>
      </c>
      <c r="AL317" s="954">
        <f ca="1">AK317/'203'!I$24</f>
        <v>1.2713056619985119</v>
      </c>
      <c r="AM317" s="954">
        <f ca="1">0.8*(AK317*30+'203'!D$17*0.34*30*1)</f>
        <v>12063.109923397113</v>
      </c>
      <c r="AN317" s="954">
        <f ca="1">IF(AM317&lt;User_sheet!B$50,Y317,0)</f>
        <v>0</v>
      </c>
      <c r="AO317" s="954">
        <f ca="1">20-(User_sheet!B$57/(AK317+'203'!D$17*1*0.34))</f>
        <v>8.6596407668748547</v>
      </c>
      <c r="AP317" s="954">
        <f ca="1">IF(AO317&lt;User_sheet!B$59,0,BC317*AA317)</f>
        <v>0</v>
      </c>
      <c r="AQ317" s="313"/>
      <c r="AR317" s="909">
        <v>0.88</v>
      </c>
      <c r="AS317" s="1020">
        <v>2.41</v>
      </c>
      <c r="AT317" s="909">
        <v>0.59</v>
      </c>
      <c r="AU317" s="909">
        <v>2.75</v>
      </c>
      <c r="AV317" s="909">
        <v>3.3</v>
      </c>
      <c r="AW317" s="909">
        <v>11922.428413610982</v>
      </c>
      <c r="AX317" s="909">
        <v>75945.51234133933</v>
      </c>
      <c r="AY317" s="909">
        <v>64021.679041832605</v>
      </c>
      <c r="AZ317" s="909">
        <v>0</v>
      </c>
      <c r="BA317" s="909">
        <v>0</v>
      </c>
      <c r="BB317" s="909">
        <v>0.6</v>
      </c>
      <c r="BC317" s="919">
        <v>1</v>
      </c>
      <c r="BD317" s="920">
        <v>0</v>
      </c>
      <c r="BE317" s="920">
        <v>0</v>
      </c>
      <c r="BF317" s="921">
        <v>0</v>
      </c>
      <c r="BG317" s="909">
        <v>1</v>
      </c>
      <c r="BH317" s="909">
        <v>0</v>
      </c>
      <c r="BI317" s="921">
        <v>0</v>
      </c>
      <c r="BJ317" s="909">
        <v>1</v>
      </c>
      <c r="BK317" s="909">
        <v>0</v>
      </c>
      <c r="BL317" s="909">
        <v>0</v>
      </c>
      <c r="BM317" s="921">
        <v>0</v>
      </c>
      <c r="BN317" s="958">
        <v>0.08</v>
      </c>
      <c r="BO317" s="959">
        <v>16.3</v>
      </c>
      <c r="BP317">
        <f t="shared" ref="BP317:BP325" ca="1" si="384">INDIRECT("'"&amp;AI317&amp;"'!"&amp;"B2")</f>
        <v>185.6</v>
      </c>
      <c r="BQ317">
        <f t="shared" ref="BQ317:BQ325" ca="1" si="385">INDIRECT("'"&amp;AI317&amp;"'!"&amp;"C12")+INDIRECT("'"&amp;AI317&amp;"'!"&amp;"C13")+INDIRECT("'"&amp;AI317&amp;"'!"&amp;"C14")+INDIRECT("'"&amp;AI317&amp;"'!"&amp;"C15")+INDIRECT("'"&amp;AI317&amp;"'!"&amp;"C17")</f>
        <v>361.17052631578946</v>
      </c>
      <c r="BR317">
        <f t="shared" ref="BR317:BR325" ca="1" si="386">INDIRECT("'"&amp;AI317&amp;"'!"&amp;"G5")</f>
        <v>84.1</v>
      </c>
      <c r="BS317">
        <f t="shared" ref="BS317:BS325" ca="1" si="387">INDIRECT("'"&amp;AI317&amp;"'!"&amp;"G4")</f>
        <v>115.78052631578947</v>
      </c>
      <c r="BT317">
        <f t="shared" ref="BT317:BT325" ca="1" si="388">INDIRECT("'"&amp;AI317&amp;"'!"&amp;"G6")</f>
        <v>75.400000000000006</v>
      </c>
      <c r="BU317">
        <f t="shared" ref="BU317:BU325" ca="1" si="389">INDIRECT("'"&amp;AI317&amp;"'!"&amp;"G2")</f>
        <v>22</v>
      </c>
      <c r="BV317">
        <f t="shared" ref="BV317:BV325" ca="1" si="390">INDIRECT("'"&amp;AI317&amp;"'!"&amp;"G3")</f>
        <v>2.15</v>
      </c>
      <c r="BW317" s="1018">
        <v>0</v>
      </c>
      <c r="BX317">
        <f t="shared" ca="1" si="348"/>
        <v>64.2133271633503</v>
      </c>
      <c r="BY317">
        <f t="shared" ca="1" si="349"/>
        <v>196.81491706554075</v>
      </c>
      <c r="BZ317">
        <f t="shared" ca="1" si="330"/>
        <v>13.318356114672797</v>
      </c>
      <c r="CA317">
        <f t="shared" ca="1" si="331"/>
        <v>60.499999966724999</v>
      </c>
      <c r="CB317">
        <f t="shared" ca="1" si="350"/>
        <v>4.5133587786259541</v>
      </c>
      <c r="CC317" s="1018">
        <f t="shared" si="332"/>
        <v>0</v>
      </c>
      <c r="CD317" s="1018">
        <f ca="1">SUM(BX317:CC317)+(BR317+BS317+BT317+BU317+BV317)*BN317</f>
        <v>363.31440119417789</v>
      </c>
      <c r="CE317" s="1018">
        <f t="shared" ca="1" si="344"/>
        <v>148.36563336164974</v>
      </c>
      <c r="CF317">
        <f t="shared" ca="1" si="333"/>
        <v>15.35040103667483</v>
      </c>
      <c r="CG317">
        <f t="shared" ca="1" si="334"/>
        <v>25557.803710022126</v>
      </c>
    </row>
    <row r="318" spans="4:85" x14ac:dyDescent="0.25">
      <c r="D318" s="557"/>
      <c r="E318" s="556"/>
      <c r="F318" s="557"/>
      <c r="G318" s="556"/>
      <c r="H318" s="557"/>
      <c r="I318" s="556"/>
      <c r="J318" s="557"/>
      <c r="K318" s="560"/>
      <c r="L318" s="562"/>
      <c r="M318" s="557"/>
      <c r="N318" s="557"/>
      <c r="O318" s="557" t="s">
        <v>18</v>
      </c>
      <c r="P318" s="559">
        <v>0.89156626500000002</v>
      </c>
      <c r="Q318" s="557" t="s">
        <v>7</v>
      </c>
      <c r="R318" s="559">
        <v>7.4300000000000005E-2</v>
      </c>
      <c r="S318" s="557"/>
      <c r="T318" s="567">
        <v>0</v>
      </c>
      <c r="U318" s="556"/>
      <c r="V318" s="176">
        <f t="shared" si="335"/>
        <v>0</v>
      </c>
      <c r="W318" s="176">
        <f t="shared" ref="W318:W325" si="391">V318</f>
        <v>0</v>
      </c>
      <c r="X318" s="176">
        <f>W318-W318*Calculation_sheet!O$78</f>
        <v>0</v>
      </c>
      <c r="Y318" s="34">
        <f>X318/Calculation_sheet!M$67</f>
        <v>0</v>
      </c>
      <c r="Z318" s="176">
        <f ca="1">IF(AN318&gt;0,Y318*Calculation_sheet!C$87,0)</f>
        <v>0</v>
      </c>
      <c r="AA318" s="176">
        <f t="shared" ca="1" si="326"/>
        <v>0</v>
      </c>
      <c r="AB318" s="176">
        <f ca="1">IF(AP318&gt;0,AA318*Calculation_sheet!C$94,0)</f>
        <v>0</v>
      </c>
      <c r="AC318" s="176">
        <f t="shared" ca="1" si="383"/>
        <v>0</v>
      </c>
      <c r="AD318" s="958">
        <f ca="1">AC318*Calculation_sheet!C$99</f>
        <v>0</v>
      </c>
      <c r="AE318" s="176">
        <f t="shared" ca="1" si="383"/>
        <v>0</v>
      </c>
      <c r="AF318" s="176">
        <f t="shared" ca="1" si="346"/>
        <v>0</v>
      </c>
      <c r="AG318" s="958">
        <f ca="1">AF318*User_sheet!B$77/100</f>
        <v>0</v>
      </c>
      <c r="AH318" s="313"/>
      <c r="AI318" s="908">
        <v>203</v>
      </c>
      <c r="AJ318" s="313"/>
      <c r="AK318" s="1020">
        <f t="shared" ca="1" si="329"/>
        <v>363.31440119417789</v>
      </c>
      <c r="AL318" s="954">
        <f ca="1">AK318/'203'!I$24</f>
        <v>1.2713056619985119</v>
      </c>
      <c r="AM318" s="954">
        <f ca="1">0.8*(AK318*30+'203'!D$17*0.34*30*1)</f>
        <v>12063.109923397113</v>
      </c>
      <c r="AN318" s="954">
        <f ca="1">IF(AM318&lt;User_sheet!B$50,Y318,0)</f>
        <v>0</v>
      </c>
      <c r="AO318" s="954">
        <f ca="1">20-(User_sheet!B$57/(AK318+'203'!D$17*1*0.34))</f>
        <v>8.6596407668748547</v>
      </c>
      <c r="AP318" s="954">
        <f ca="1">IF(AO318&lt;User_sheet!B$59,0,BC318*AA318)</f>
        <v>0</v>
      </c>
      <c r="AQ318" s="313"/>
      <c r="AR318" s="909">
        <v>0.88</v>
      </c>
      <c r="AS318" s="1020">
        <v>2.41</v>
      </c>
      <c r="AT318" s="909">
        <v>0.59</v>
      </c>
      <c r="AU318" s="909">
        <v>2.75</v>
      </c>
      <c r="AV318" s="909">
        <v>3.3</v>
      </c>
      <c r="AW318" s="909">
        <v>11922.428413610982</v>
      </c>
      <c r="AX318" s="909">
        <v>75945.51234133933</v>
      </c>
      <c r="AY318" s="909">
        <v>64021.679041832605</v>
      </c>
      <c r="AZ318" s="909">
        <v>0</v>
      </c>
      <c r="BA318" s="909">
        <v>0</v>
      </c>
      <c r="BB318" s="909">
        <v>0.6</v>
      </c>
      <c r="BC318" s="919">
        <v>1</v>
      </c>
      <c r="BD318" s="920">
        <v>0</v>
      </c>
      <c r="BE318" s="920">
        <v>0</v>
      </c>
      <c r="BF318" s="921">
        <v>0</v>
      </c>
      <c r="BG318" s="909">
        <v>1</v>
      </c>
      <c r="BH318" s="909">
        <v>0</v>
      </c>
      <c r="BI318" s="921">
        <v>0</v>
      </c>
      <c r="BJ318" s="909">
        <v>0</v>
      </c>
      <c r="BK318" s="909">
        <v>0</v>
      </c>
      <c r="BL318" s="909">
        <v>1</v>
      </c>
      <c r="BM318" s="921">
        <v>0</v>
      </c>
      <c r="BN318" s="958">
        <v>0.08</v>
      </c>
      <c r="BO318" s="959">
        <v>16.3</v>
      </c>
      <c r="BP318">
        <f t="shared" ca="1" si="384"/>
        <v>185.6</v>
      </c>
      <c r="BQ318">
        <f t="shared" ca="1" si="385"/>
        <v>361.17052631578946</v>
      </c>
      <c r="BR318">
        <f t="shared" ca="1" si="386"/>
        <v>84.1</v>
      </c>
      <c r="BS318">
        <f t="shared" ca="1" si="387"/>
        <v>115.78052631578947</v>
      </c>
      <c r="BT318">
        <f t="shared" ca="1" si="388"/>
        <v>75.400000000000006</v>
      </c>
      <c r="BU318">
        <f t="shared" ca="1" si="389"/>
        <v>22</v>
      </c>
      <c r="BV318">
        <f t="shared" ca="1" si="390"/>
        <v>2.15</v>
      </c>
      <c r="BW318" s="1018">
        <v>0</v>
      </c>
      <c r="BX318">
        <f t="shared" ca="1" si="348"/>
        <v>64.2133271633503</v>
      </c>
      <c r="BY318">
        <f t="shared" ca="1" si="349"/>
        <v>196.81491706554075</v>
      </c>
      <c r="BZ318">
        <f t="shared" ca="1" si="330"/>
        <v>13.318356114672797</v>
      </c>
      <c r="CA318">
        <f t="shared" ca="1" si="331"/>
        <v>60.499999966724999</v>
      </c>
      <c r="CB318">
        <f t="shared" ca="1" si="350"/>
        <v>4.5133587786259541</v>
      </c>
      <c r="CC318" s="1018">
        <f t="shared" si="332"/>
        <v>0</v>
      </c>
      <c r="CD318" s="1018">
        <f t="shared" ref="CD318:CD325" ca="1" si="392">SUM(BX318:CC318)+(BR318+BS318+BT318+BU318+BV318)*BN318</f>
        <v>363.31440119417789</v>
      </c>
      <c r="CE318" s="1018">
        <f t="shared" ca="1" si="344"/>
        <v>148.36563336164974</v>
      </c>
      <c r="CF318">
        <f t="shared" ca="1" si="333"/>
        <v>15.35040103667483</v>
      </c>
      <c r="CG318">
        <f t="shared" ca="1" si="334"/>
        <v>25557.803710022126</v>
      </c>
    </row>
    <row r="319" spans="4:85" x14ac:dyDescent="0.25">
      <c r="D319" s="557"/>
      <c r="E319" s="556"/>
      <c r="F319" s="557"/>
      <c r="G319" s="556"/>
      <c r="H319" s="557"/>
      <c r="I319" s="556"/>
      <c r="J319" s="557"/>
      <c r="K319" s="560"/>
      <c r="L319" s="562"/>
      <c r="M319" s="557"/>
      <c r="N319" s="557"/>
      <c r="O319" s="557"/>
      <c r="P319" s="557"/>
      <c r="Q319" s="557" t="s">
        <v>16</v>
      </c>
      <c r="R319" s="559">
        <v>0.92569999999999997</v>
      </c>
      <c r="S319" s="557"/>
      <c r="T319" s="567">
        <v>0</v>
      </c>
      <c r="U319" s="556"/>
      <c r="V319" s="176">
        <f t="shared" si="335"/>
        <v>0</v>
      </c>
      <c r="W319" s="176">
        <f t="shared" si="391"/>
        <v>0</v>
      </c>
      <c r="X319" s="176">
        <f>W319-W319*Calculation_sheet!O$78</f>
        <v>0</v>
      </c>
      <c r="Y319" s="34">
        <f>X319/Calculation_sheet!M$67</f>
        <v>0</v>
      </c>
      <c r="Z319" s="176">
        <f ca="1">IF(AN319&gt;0,Y319*Calculation_sheet!C$87,0)</f>
        <v>0</v>
      </c>
      <c r="AA319" s="176">
        <f t="shared" ca="1" si="326"/>
        <v>0</v>
      </c>
      <c r="AB319" s="176">
        <f ca="1">IF(AP319&gt;0,AA319*Calculation_sheet!C$94,0)</f>
        <v>0</v>
      </c>
      <c r="AC319" s="176">
        <f t="shared" ca="1" si="383"/>
        <v>0</v>
      </c>
      <c r="AD319" s="958">
        <f ca="1">AC319*Calculation_sheet!C$99</f>
        <v>0</v>
      </c>
      <c r="AE319" s="176">
        <f t="shared" ca="1" si="383"/>
        <v>0</v>
      </c>
      <c r="AF319" s="176">
        <f t="shared" ca="1" si="346"/>
        <v>0</v>
      </c>
      <c r="AG319" s="958">
        <f ca="1">AF319*User_sheet!B$77/100</f>
        <v>0</v>
      </c>
      <c r="AH319" s="313"/>
      <c r="AI319" s="908">
        <v>203</v>
      </c>
      <c r="AJ319" s="313"/>
      <c r="AK319" s="1020">
        <f t="shared" ca="1" si="329"/>
        <v>363.31440119417789</v>
      </c>
      <c r="AL319" s="954">
        <f ca="1">AK319/'203'!I$24</f>
        <v>1.2713056619985119</v>
      </c>
      <c r="AM319" s="954">
        <f ca="1">0.8*(AK319*30+'203'!D$17*0.34*30*1)</f>
        <v>12063.109923397113</v>
      </c>
      <c r="AN319" s="954">
        <f ca="1">IF(AM319&lt;User_sheet!B$50,Y319,0)</f>
        <v>0</v>
      </c>
      <c r="AO319" s="954">
        <f ca="1">20-(User_sheet!B$57/(AK319+'203'!D$17*1*0.34))</f>
        <v>8.6596407668748547</v>
      </c>
      <c r="AP319" s="954">
        <f ca="1">IF(AO319&lt;User_sheet!B$59,0,BC319*AA319)</f>
        <v>0</v>
      </c>
      <c r="AQ319" s="313"/>
      <c r="AR319" s="909">
        <v>0.88</v>
      </c>
      <c r="AS319" s="1020">
        <v>2.41</v>
      </c>
      <c r="AT319" s="909">
        <v>0.59</v>
      </c>
      <c r="AU319" s="909">
        <v>2.75</v>
      </c>
      <c r="AV319" s="909">
        <v>3.3</v>
      </c>
      <c r="AW319" s="909">
        <v>11922.428413610982</v>
      </c>
      <c r="AX319" s="909">
        <v>75945.51234133933</v>
      </c>
      <c r="AY319" s="909">
        <v>64021.679041832605</v>
      </c>
      <c r="AZ319" s="909">
        <v>0</v>
      </c>
      <c r="BA319" s="909">
        <v>0</v>
      </c>
      <c r="BB319" s="909">
        <v>0.6</v>
      </c>
      <c r="BC319" s="919">
        <v>1</v>
      </c>
      <c r="BD319" s="920">
        <v>0</v>
      </c>
      <c r="BE319" s="920">
        <v>0</v>
      </c>
      <c r="BF319" s="921">
        <v>0</v>
      </c>
      <c r="BG319" s="909">
        <v>0</v>
      </c>
      <c r="BH319" s="909">
        <v>1</v>
      </c>
      <c r="BI319" s="921">
        <v>0</v>
      </c>
      <c r="BJ319" s="909">
        <v>1</v>
      </c>
      <c r="BK319" s="909">
        <v>0</v>
      </c>
      <c r="BL319" s="909">
        <v>0</v>
      </c>
      <c r="BM319" s="921">
        <v>0</v>
      </c>
      <c r="BN319" s="958">
        <v>0.08</v>
      </c>
      <c r="BO319" s="959">
        <v>16.3</v>
      </c>
      <c r="BP319">
        <f t="shared" ca="1" si="384"/>
        <v>185.6</v>
      </c>
      <c r="BQ319">
        <f t="shared" ca="1" si="385"/>
        <v>361.17052631578946</v>
      </c>
      <c r="BR319">
        <f t="shared" ca="1" si="386"/>
        <v>84.1</v>
      </c>
      <c r="BS319">
        <f t="shared" ca="1" si="387"/>
        <v>115.78052631578947</v>
      </c>
      <c r="BT319">
        <f t="shared" ca="1" si="388"/>
        <v>75.400000000000006</v>
      </c>
      <c r="BU319">
        <f t="shared" ca="1" si="389"/>
        <v>22</v>
      </c>
      <c r="BV319">
        <f t="shared" ca="1" si="390"/>
        <v>2.15</v>
      </c>
      <c r="BW319" s="1018">
        <v>0</v>
      </c>
      <c r="BX319">
        <f t="shared" ca="1" si="348"/>
        <v>64.2133271633503</v>
      </c>
      <c r="BY319">
        <f t="shared" ca="1" si="349"/>
        <v>196.81491706554075</v>
      </c>
      <c r="BZ319">
        <f t="shared" ca="1" si="330"/>
        <v>13.318356114672797</v>
      </c>
      <c r="CA319">
        <f t="shared" ca="1" si="331"/>
        <v>60.499999966724999</v>
      </c>
      <c r="CB319">
        <f t="shared" ca="1" si="350"/>
        <v>4.5133587786259541</v>
      </c>
      <c r="CC319" s="1018">
        <f t="shared" si="332"/>
        <v>0</v>
      </c>
      <c r="CD319" s="1018">
        <f t="shared" ca="1" si="392"/>
        <v>363.31440119417789</v>
      </c>
      <c r="CE319" s="1018">
        <f t="shared" ca="1" si="344"/>
        <v>148.36563336164974</v>
      </c>
      <c r="CF319">
        <f t="shared" ca="1" si="333"/>
        <v>15.35040103667483</v>
      </c>
      <c r="CG319">
        <f t="shared" ca="1" si="334"/>
        <v>25557.803710022126</v>
      </c>
    </row>
    <row r="320" spans="4:85" x14ac:dyDescent="0.25">
      <c r="D320" s="557"/>
      <c r="E320" s="556"/>
      <c r="F320" s="557"/>
      <c r="G320" s="556"/>
      <c r="H320" s="557"/>
      <c r="I320" s="556"/>
      <c r="J320" s="557"/>
      <c r="K320" s="560"/>
      <c r="L320" s="562"/>
      <c r="M320" s="557" t="s">
        <v>16</v>
      </c>
      <c r="N320" s="559">
        <v>0.41099999999999998</v>
      </c>
      <c r="O320" s="557" t="s">
        <v>19</v>
      </c>
      <c r="P320" s="559">
        <v>0.108433735</v>
      </c>
      <c r="Q320" s="557" t="s">
        <v>7</v>
      </c>
      <c r="R320" s="559">
        <v>7.4300000000000005E-2</v>
      </c>
      <c r="S320" s="557"/>
      <c r="T320" s="567">
        <v>0</v>
      </c>
      <c r="U320" s="556"/>
      <c r="V320" s="176">
        <f t="shared" si="335"/>
        <v>0</v>
      </c>
      <c r="W320" s="176">
        <f t="shared" si="391"/>
        <v>0</v>
      </c>
      <c r="X320" s="176">
        <f>W320-W320*Calculation_sheet!O$78</f>
        <v>0</v>
      </c>
      <c r="Y320" s="34">
        <f>X320/Calculation_sheet!M$67</f>
        <v>0</v>
      </c>
      <c r="Z320" s="176">
        <f ca="1">IF(AN320&gt;0,Y320*Calculation_sheet!C$87,0)</f>
        <v>0</v>
      </c>
      <c r="AA320" s="176">
        <f t="shared" ca="1" si="326"/>
        <v>0</v>
      </c>
      <c r="AB320" s="176">
        <f ca="1">IF(AP320&gt;0,AA320*Calculation_sheet!C$94,0)</f>
        <v>0</v>
      </c>
      <c r="AC320" s="176">
        <f t="shared" ca="1" si="383"/>
        <v>0</v>
      </c>
      <c r="AD320" s="958">
        <f ca="1">AC320*Calculation_sheet!C$99</f>
        <v>0</v>
      </c>
      <c r="AE320" s="176">
        <f t="shared" ca="1" si="383"/>
        <v>0</v>
      </c>
      <c r="AF320" s="176">
        <f t="shared" ca="1" si="346"/>
        <v>0</v>
      </c>
      <c r="AG320" s="958">
        <f ca="1">AF320*User_sheet!B$77/100</f>
        <v>0</v>
      </c>
      <c r="AH320" s="313"/>
      <c r="AI320" s="908">
        <v>203</v>
      </c>
      <c r="AJ320" s="313"/>
      <c r="AK320" s="1020">
        <f t="shared" ca="1" si="329"/>
        <v>363.31440119417789</v>
      </c>
      <c r="AL320" s="954">
        <f ca="1">AK320/'203'!I$24</f>
        <v>1.2713056619985119</v>
      </c>
      <c r="AM320" s="954">
        <f ca="1">0.8*(AK320*30+'203'!D$17*0.34*30*1)</f>
        <v>12063.109923397113</v>
      </c>
      <c r="AN320" s="954">
        <f ca="1">IF(AM320&lt;User_sheet!B$50,Y320,0)</f>
        <v>0</v>
      </c>
      <c r="AO320" s="954">
        <f ca="1">20-(User_sheet!B$57/(AK320+'203'!D$17*1*0.34))</f>
        <v>8.6596407668748547</v>
      </c>
      <c r="AP320" s="954">
        <f ca="1">IF(AO320&lt;User_sheet!B$59,0,BC320*AA320)</f>
        <v>0</v>
      </c>
      <c r="AQ320" s="313"/>
      <c r="AR320" s="909">
        <v>0.88</v>
      </c>
      <c r="AS320" s="1020">
        <v>2.41</v>
      </c>
      <c r="AT320" s="909">
        <v>0.59</v>
      </c>
      <c r="AU320" s="909">
        <v>2.75</v>
      </c>
      <c r="AV320" s="909">
        <v>3.3</v>
      </c>
      <c r="AW320" s="909">
        <v>11922.428413610982</v>
      </c>
      <c r="AX320" s="909">
        <v>75945.51234133933</v>
      </c>
      <c r="AY320" s="909">
        <v>64021.679041832605</v>
      </c>
      <c r="AZ320" s="909">
        <v>0</v>
      </c>
      <c r="BA320" s="909">
        <v>0</v>
      </c>
      <c r="BB320" s="909">
        <v>0.6</v>
      </c>
      <c r="BC320" s="919">
        <v>1</v>
      </c>
      <c r="BD320" s="920">
        <v>0</v>
      </c>
      <c r="BE320" s="920">
        <v>0</v>
      </c>
      <c r="BF320" s="921">
        <v>0</v>
      </c>
      <c r="BG320" s="909">
        <v>0</v>
      </c>
      <c r="BH320" s="909">
        <v>1</v>
      </c>
      <c r="BI320" s="921">
        <v>0</v>
      </c>
      <c r="BJ320" s="909">
        <v>0</v>
      </c>
      <c r="BK320" s="909">
        <v>0</v>
      </c>
      <c r="BL320" s="909">
        <v>1</v>
      </c>
      <c r="BM320" s="921">
        <v>0</v>
      </c>
      <c r="BN320" s="958">
        <v>0.08</v>
      </c>
      <c r="BO320" s="959">
        <v>16.3</v>
      </c>
      <c r="BP320">
        <f t="shared" ca="1" si="384"/>
        <v>185.6</v>
      </c>
      <c r="BQ320">
        <f t="shared" ca="1" si="385"/>
        <v>361.17052631578946</v>
      </c>
      <c r="BR320">
        <f t="shared" ca="1" si="386"/>
        <v>84.1</v>
      </c>
      <c r="BS320">
        <f t="shared" ca="1" si="387"/>
        <v>115.78052631578947</v>
      </c>
      <c r="BT320">
        <f t="shared" ca="1" si="388"/>
        <v>75.400000000000006</v>
      </c>
      <c r="BU320">
        <f t="shared" ca="1" si="389"/>
        <v>22</v>
      </c>
      <c r="BV320">
        <f t="shared" ca="1" si="390"/>
        <v>2.15</v>
      </c>
      <c r="BW320" s="1018">
        <v>0</v>
      </c>
      <c r="BX320">
        <f t="shared" ca="1" si="348"/>
        <v>64.2133271633503</v>
      </c>
      <c r="BY320">
        <f t="shared" ca="1" si="349"/>
        <v>196.81491706554075</v>
      </c>
      <c r="BZ320">
        <f t="shared" ca="1" si="330"/>
        <v>13.318356114672797</v>
      </c>
      <c r="CA320">
        <f t="shared" ca="1" si="331"/>
        <v>60.499999966724999</v>
      </c>
      <c r="CB320">
        <f t="shared" ca="1" si="350"/>
        <v>4.5133587786259541</v>
      </c>
      <c r="CC320" s="1018">
        <f t="shared" si="332"/>
        <v>0</v>
      </c>
      <c r="CD320" s="1018">
        <f t="shared" ca="1" si="392"/>
        <v>363.31440119417789</v>
      </c>
      <c r="CE320" s="1018">
        <f t="shared" ca="1" si="344"/>
        <v>148.36563336164974</v>
      </c>
      <c r="CF320">
        <f t="shared" ca="1" si="333"/>
        <v>15.35040103667483</v>
      </c>
      <c r="CG320">
        <f t="shared" ca="1" si="334"/>
        <v>25557.803710022126</v>
      </c>
    </row>
    <row r="321" spans="3:85" x14ac:dyDescent="0.25">
      <c r="C321" s="556"/>
      <c r="D321" s="557"/>
      <c r="E321" s="556"/>
      <c r="F321" s="557"/>
      <c r="G321" s="556"/>
      <c r="H321" s="557"/>
      <c r="I321" s="556"/>
      <c r="J321" s="557"/>
      <c r="K321" s="560"/>
      <c r="L321" s="562"/>
      <c r="M321" s="557"/>
      <c r="N321" s="557"/>
      <c r="O321" s="557"/>
      <c r="P321" s="557"/>
      <c r="Q321" s="557" t="s">
        <v>22</v>
      </c>
      <c r="R321" s="559">
        <v>0.60750000000000004</v>
      </c>
      <c r="S321" s="557"/>
      <c r="T321" s="567">
        <v>0</v>
      </c>
      <c r="U321" s="556"/>
      <c r="V321" s="176">
        <f t="shared" si="335"/>
        <v>0</v>
      </c>
      <c r="W321" s="176">
        <f t="shared" si="391"/>
        <v>0</v>
      </c>
      <c r="X321" s="176">
        <f>W321-W321*Calculation_sheet!O$78</f>
        <v>0</v>
      </c>
      <c r="Y321" s="34">
        <f>X321/Calculation_sheet!M$67</f>
        <v>0</v>
      </c>
      <c r="Z321" s="176">
        <f ca="1">IF(AN321&gt;0,Y321*Calculation_sheet!C$87,0)</f>
        <v>0</v>
      </c>
      <c r="AA321" s="176">
        <f t="shared" ca="1" si="326"/>
        <v>0</v>
      </c>
      <c r="AB321" s="176">
        <f ca="1">IF(AP321&gt;0,AA321*Calculation_sheet!C$94,0)</f>
        <v>0</v>
      </c>
      <c r="AC321" s="176">
        <f t="shared" ca="1" si="383"/>
        <v>0</v>
      </c>
      <c r="AD321" s="958">
        <f ca="1">AC321*Calculation_sheet!C$99</f>
        <v>0</v>
      </c>
      <c r="AE321" s="176">
        <f t="shared" ca="1" si="383"/>
        <v>0</v>
      </c>
      <c r="AF321" s="176">
        <f t="shared" ca="1" si="346"/>
        <v>0</v>
      </c>
      <c r="AG321" s="958">
        <f ca="1">AF321*User_sheet!B$77/100</f>
        <v>0</v>
      </c>
      <c r="AH321" s="313"/>
      <c r="AI321" s="908">
        <v>203</v>
      </c>
      <c r="AJ321" s="313"/>
      <c r="AK321" s="1020">
        <f t="shared" ca="1" si="329"/>
        <v>363.31440119417789</v>
      </c>
      <c r="AL321" s="954">
        <f ca="1">AK321/'203'!I$24</f>
        <v>1.2713056619985119</v>
      </c>
      <c r="AM321" s="954">
        <f ca="1">0.8*(AK321*30+'203'!D$17*0.34*30*1)</f>
        <v>12063.109923397113</v>
      </c>
      <c r="AN321" s="954">
        <f ca="1">IF(AM321&lt;User_sheet!B$50,Y321,0)</f>
        <v>0</v>
      </c>
      <c r="AO321" s="954">
        <f ca="1">20-(User_sheet!B$57/(AK321+'203'!D$17*1*0.34))</f>
        <v>8.6596407668748547</v>
      </c>
      <c r="AP321" s="954">
        <f ca="1">IF(AO321&lt;User_sheet!B$59,0,BC321*AA321)</f>
        <v>0</v>
      </c>
      <c r="AQ321" s="313"/>
      <c r="AR321" s="909">
        <v>0.88</v>
      </c>
      <c r="AS321" s="1020">
        <v>2.41</v>
      </c>
      <c r="AT321" s="909">
        <v>0.59</v>
      </c>
      <c r="AU321" s="909">
        <v>2.75</v>
      </c>
      <c r="AV321" s="909">
        <v>3.3</v>
      </c>
      <c r="AW321" s="909">
        <v>11922.428413610982</v>
      </c>
      <c r="AX321" s="909">
        <v>75945.51234133933</v>
      </c>
      <c r="AY321" s="909">
        <v>64021.679041832605</v>
      </c>
      <c r="AZ321" s="909">
        <v>0</v>
      </c>
      <c r="BA321" s="909">
        <v>0</v>
      </c>
      <c r="BB321" s="909">
        <v>0.6</v>
      </c>
      <c r="BC321" s="919">
        <v>0</v>
      </c>
      <c r="BD321" s="920">
        <v>1</v>
      </c>
      <c r="BE321" s="920">
        <v>0</v>
      </c>
      <c r="BF321" s="921">
        <v>0</v>
      </c>
      <c r="BG321" s="909">
        <v>1</v>
      </c>
      <c r="BH321" s="909">
        <v>0</v>
      </c>
      <c r="BI321" s="921">
        <v>0</v>
      </c>
      <c r="BJ321" s="909">
        <v>0</v>
      </c>
      <c r="BK321" s="909">
        <v>1</v>
      </c>
      <c r="BL321" s="909">
        <v>0</v>
      </c>
      <c r="BM321" s="921">
        <v>0</v>
      </c>
      <c r="BN321" s="958">
        <v>0.08</v>
      </c>
      <c r="BO321" s="959">
        <v>16.3</v>
      </c>
      <c r="BP321">
        <f t="shared" ca="1" si="384"/>
        <v>185.6</v>
      </c>
      <c r="BQ321">
        <f t="shared" ca="1" si="385"/>
        <v>361.17052631578946</v>
      </c>
      <c r="BR321">
        <f t="shared" ca="1" si="386"/>
        <v>84.1</v>
      </c>
      <c r="BS321">
        <f t="shared" ca="1" si="387"/>
        <v>115.78052631578947</v>
      </c>
      <c r="BT321">
        <f t="shared" ca="1" si="388"/>
        <v>75.400000000000006</v>
      </c>
      <c r="BU321">
        <f t="shared" ca="1" si="389"/>
        <v>22</v>
      </c>
      <c r="BV321">
        <f t="shared" ca="1" si="390"/>
        <v>2.15</v>
      </c>
      <c r="BW321" s="1018">
        <v>0</v>
      </c>
      <c r="BX321">
        <f t="shared" ca="1" si="348"/>
        <v>64.2133271633503</v>
      </c>
      <c r="BY321">
        <f t="shared" ca="1" si="349"/>
        <v>196.81491706554075</v>
      </c>
      <c r="BZ321">
        <f t="shared" ca="1" si="330"/>
        <v>13.318356114672797</v>
      </c>
      <c r="CA321">
        <f t="shared" ca="1" si="331"/>
        <v>60.499999966724999</v>
      </c>
      <c r="CB321">
        <f t="shared" ca="1" si="350"/>
        <v>4.5133587786259541</v>
      </c>
      <c r="CC321" s="1018">
        <f t="shared" si="332"/>
        <v>0</v>
      </c>
      <c r="CD321" s="1018">
        <f t="shared" ca="1" si="392"/>
        <v>363.31440119417789</v>
      </c>
      <c r="CE321" s="1018">
        <f t="shared" ca="1" si="344"/>
        <v>148.36563336164974</v>
      </c>
      <c r="CF321">
        <f t="shared" ca="1" si="333"/>
        <v>15.35040103667483</v>
      </c>
      <c r="CG321">
        <f t="shared" ca="1" si="334"/>
        <v>25557.803710022126</v>
      </c>
    </row>
    <row r="322" spans="3:85" x14ac:dyDescent="0.25">
      <c r="C322" s="556"/>
      <c r="D322" s="557"/>
      <c r="E322" s="556"/>
      <c r="F322" s="557"/>
      <c r="G322" s="556"/>
      <c r="H322" s="557"/>
      <c r="I322" s="556"/>
      <c r="J322" s="557"/>
      <c r="K322" s="560"/>
      <c r="L322" s="562"/>
      <c r="M322" s="557"/>
      <c r="N322" s="557"/>
      <c r="O322" s="557" t="s">
        <v>18</v>
      </c>
      <c r="P322" s="559">
        <v>0.94399999999999995</v>
      </c>
      <c r="Q322" s="557" t="s">
        <v>7</v>
      </c>
      <c r="R322" s="559">
        <v>0.39250000000000002</v>
      </c>
      <c r="S322" s="557"/>
      <c r="T322" s="567">
        <v>0</v>
      </c>
      <c r="U322" s="556"/>
      <c r="V322" s="176">
        <f t="shared" si="335"/>
        <v>0</v>
      </c>
      <c r="W322" s="176">
        <f t="shared" si="391"/>
        <v>0</v>
      </c>
      <c r="X322" s="176">
        <f>W322-W322*Calculation_sheet!O$78</f>
        <v>0</v>
      </c>
      <c r="Y322" s="34">
        <f>X322/Calculation_sheet!M$67</f>
        <v>0</v>
      </c>
      <c r="Z322" s="176">
        <f ca="1">IF(AN322&gt;0,Y322*Calculation_sheet!C$87,0)</f>
        <v>0</v>
      </c>
      <c r="AA322" s="176">
        <f t="shared" ca="1" si="326"/>
        <v>0</v>
      </c>
      <c r="AB322" s="176">
        <f ca="1">IF(AP322&gt;0,AA322*Calculation_sheet!C$94,0)</f>
        <v>0</v>
      </c>
      <c r="AC322" s="176">
        <f t="shared" ca="1" si="383"/>
        <v>0</v>
      </c>
      <c r="AD322" s="958">
        <f ca="1">AC322*Calculation_sheet!C$99</f>
        <v>0</v>
      </c>
      <c r="AE322" s="176">
        <f t="shared" ca="1" si="383"/>
        <v>0</v>
      </c>
      <c r="AF322" s="176">
        <f t="shared" ca="1" si="346"/>
        <v>0</v>
      </c>
      <c r="AG322" s="958">
        <f ca="1">AF322*User_sheet!B$77/100</f>
        <v>0</v>
      </c>
      <c r="AH322" s="313"/>
      <c r="AI322" s="908">
        <v>203</v>
      </c>
      <c r="AJ322" s="313"/>
      <c r="AK322" s="1020">
        <f t="shared" ca="1" si="329"/>
        <v>363.31440119417789</v>
      </c>
      <c r="AL322" s="954">
        <f ca="1">AK322/'203'!I$24</f>
        <v>1.2713056619985119</v>
      </c>
      <c r="AM322" s="954">
        <f ca="1">0.8*(AK322*30+'203'!D$17*0.34*30*1)</f>
        <v>12063.109923397113</v>
      </c>
      <c r="AN322" s="954">
        <f ca="1">IF(AM322&lt;User_sheet!B$50,Y322,0)</f>
        <v>0</v>
      </c>
      <c r="AO322" s="954">
        <f ca="1">20-(User_sheet!B$57/(AK322+'203'!D$17*1*0.34))</f>
        <v>8.6596407668748547</v>
      </c>
      <c r="AP322" s="954">
        <f ca="1">IF(AO322&lt;User_sheet!B$59,0,BC322*AA322)</f>
        <v>0</v>
      </c>
      <c r="AQ322" s="313"/>
      <c r="AR322" s="909">
        <v>0.88</v>
      </c>
      <c r="AS322" s="1020">
        <v>2.41</v>
      </c>
      <c r="AT322" s="909">
        <v>0.59</v>
      </c>
      <c r="AU322" s="909">
        <v>2.75</v>
      </c>
      <c r="AV322" s="909">
        <v>3.3</v>
      </c>
      <c r="AW322" s="909">
        <v>11922.428413610982</v>
      </c>
      <c r="AX322" s="909">
        <v>75945.51234133933</v>
      </c>
      <c r="AY322" s="909">
        <v>64021.679041832605</v>
      </c>
      <c r="AZ322" s="909">
        <v>0</v>
      </c>
      <c r="BA322" s="909">
        <v>0</v>
      </c>
      <c r="BB322" s="909">
        <v>0.6</v>
      </c>
      <c r="BC322" s="919">
        <v>0</v>
      </c>
      <c r="BD322" s="920">
        <v>1</v>
      </c>
      <c r="BE322" s="920">
        <v>0</v>
      </c>
      <c r="BF322" s="921">
        <v>0</v>
      </c>
      <c r="BG322" s="909">
        <v>1</v>
      </c>
      <c r="BH322" s="909">
        <v>0</v>
      </c>
      <c r="BI322" s="921">
        <v>0</v>
      </c>
      <c r="BJ322" s="909">
        <v>0</v>
      </c>
      <c r="BK322" s="909">
        <v>0</v>
      </c>
      <c r="BL322" s="909">
        <v>1</v>
      </c>
      <c r="BM322" s="921">
        <v>0</v>
      </c>
      <c r="BN322" s="958">
        <v>0.08</v>
      </c>
      <c r="BO322" s="959">
        <v>16.3</v>
      </c>
      <c r="BP322">
        <f t="shared" ca="1" si="384"/>
        <v>185.6</v>
      </c>
      <c r="BQ322">
        <f t="shared" ca="1" si="385"/>
        <v>361.17052631578946</v>
      </c>
      <c r="BR322">
        <f t="shared" ca="1" si="386"/>
        <v>84.1</v>
      </c>
      <c r="BS322">
        <f t="shared" ca="1" si="387"/>
        <v>115.78052631578947</v>
      </c>
      <c r="BT322">
        <f t="shared" ca="1" si="388"/>
        <v>75.400000000000006</v>
      </c>
      <c r="BU322">
        <f t="shared" ca="1" si="389"/>
        <v>22</v>
      </c>
      <c r="BV322">
        <f t="shared" ca="1" si="390"/>
        <v>2.15</v>
      </c>
      <c r="BW322" s="1018">
        <v>0</v>
      </c>
      <c r="BX322">
        <f t="shared" ca="1" si="348"/>
        <v>64.2133271633503</v>
      </c>
      <c r="BY322">
        <f t="shared" ca="1" si="349"/>
        <v>196.81491706554075</v>
      </c>
      <c r="BZ322">
        <f t="shared" ca="1" si="330"/>
        <v>13.318356114672797</v>
      </c>
      <c r="CA322">
        <f t="shared" ca="1" si="331"/>
        <v>60.499999966724999</v>
      </c>
      <c r="CB322">
        <f t="shared" ca="1" si="350"/>
        <v>4.5133587786259541</v>
      </c>
      <c r="CC322" s="1018">
        <f t="shared" si="332"/>
        <v>0</v>
      </c>
      <c r="CD322" s="1018">
        <f t="shared" ca="1" si="392"/>
        <v>363.31440119417789</v>
      </c>
      <c r="CE322" s="1018">
        <f t="shared" ca="1" si="344"/>
        <v>148.36563336164974</v>
      </c>
      <c r="CF322">
        <f t="shared" ca="1" si="333"/>
        <v>15.35040103667483</v>
      </c>
      <c r="CG322">
        <f t="shared" ca="1" si="334"/>
        <v>25557.803710022126</v>
      </c>
    </row>
    <row r="323" spans="3:85" x14ac:dyDescent="0.25">
      <c r="C323" s="556"/>
      <c r="D323" s="557"/>
      <c r="E323" s="556"/>
      <c r="F323" s="557"/>
      <c r="G323" s="556"/>
      <c r="H323" s="557"/>
      <c r="I323" s="556"/>
      <c r="J323" s="557"/>
      <c r="K323" s="560"/>
      <c r="L323" s="562"/>
      <c r="M323" s="557"/>
      <c r="N323" s="557"/>
      <c r="O323" s="557"/>
      <c r="P323" s="557"/>
      <c r="Q323" s="557" t="s">
        <v>22</v>
      </c>
      <c r="R323" s="559">
        <v>0.39250000000000002</v>
      </c>
      <c r="S323" s="557"/>
      <c r="T323" s="567">
        <v>0</v>
      </c>
      <c r="U323" s="556"/>
      <c r="V323" s="176">
        <f t="shared" si="335"/>
        <v>0</v>
      </c>
      <c r="W323" s="176">
        <f t="shared" si="391"/>
        <v>0</v>
      </c>
      <c r="X323" s="176">
        <f>W323-W323*Calculation_sheet!O$78</f>
        <v>0</v>
      </c>
      <c r="Y323" s="34">
        <f>X323/Calculation_sheet!M$67</f>
        <v>0</v>
      </c>
      <c r="Z323" s="176">
        <f ca="1">IF(AN323&gt;0,Y323*Calculation_sheet!C$87,0)</f>
        <v>0</v>
      </c>
      <c r="AA323" s="176">
        <f t="shared" ca="1" si="326"/>
        <v>0</v>
      </c>
      <c r="AB323" s="176">
        <f ca="1">IF(AP323&gt;0,AA323*Calculation_sheet!C$94,0)</f>
        <v>0</v>
      </c>
      <c r="AC323" s="176">
        <f t="shared" ca="1" si="383"/>
        <v>0</v>
      </c>
      <c r="AD323" s="958">
        <f ca="1">AC323*Calculation_sheet!C$99</f>
        <v>0</v>
      </c>
      <c r="AE323" s="176">
        <f t="shared" ca="1" si="383"/>
        <v>0</v>
      </c>
      <c r="AF323" s="176">
        <f t="shared" ca="1" si="346"/>
        <v>0</v>
      </c>
      <c r="AG323" s="958">
        <f ca="1">AF323*User_sheet!B$77/100</f>
        <v>0</v>
      </c>
      <c r="AH323" s="313"/>
      <c r="AI323" s="908">
        <v>203</v>
      </c>
      <c r="AJ323" s="313"/>
      <c r="AK323" s="1020">
        <f t="shared" ca="1" si="329"/>
        <v>363.31440119417789</v>
      </c>
      <c r="AL323" s="954">
        <f ca="1">AK323/'203'!I$24</f>
        <v>1.2713056619985119</v>
      </c>
      <c r="AM323" s="954">
        <f ca="1">0.8*(AK323*30+'203'!D$17*0.34*30*1)</f>
        <v>12063.109923397113</v>
      </c>
      <c r="AN323" s="954">
        <f ca="1">IF(AM323&lt;User_sheet!B$50,Y323,0)</f>
        <v>0</v>
      </c>
      <c r="AO323" s="954">
        <f ca="1">20-(User_sheet!B$57/(AK323+'203'!D$17*1*0.34))</f>
        <v>8.6596407668748547</v>
      </c>
      <c r="AP323" s="954">
        <f ca="1">IF(AO323&lt;User_sheet!B$59,0,BC323*AA323)</f>
        <v>0</v>
      </c>
      <c r="AQ323" s="313"/>
      <c r="AR323" s="909">
        <v>0.88</v>
      </c>
      <c r="AS323" s="1020">
        <v>2.41</v>
      </c>
      <c r="AT323" s="909">
        <v>0.59</v>
      </c>
      <c r="AU323" s="909">
        <v>2.75</v>
      </c>
      <c r="AV323" s="909">
        <v>3.3</v>
      </c>
      <c r="AW323" s="909">
        <v>11922.428413610982</v>
      </c>
      <c r="AX323" s="909">
        <v>75945.51234133933</v>
      </c>
      <c r="AY323" s="909">
        <v>64021.679041832605</v>
      </c>
      <c r="AZ323" s="909">
        <v>0</v>
      </c>
      <c r="BA323" s="909">
        <v>0</v>
      </c>
      <c r="BB323" s="909">
        <v>0.6</v>
      </c>
      <c r="BC323" s="919">
        <v>0</v>
      </c>
      <c r="BD323" s="920">
        <v>1</v>
      </c>
      <c r="BE323" s="920">
        <v>0</v>
      </c>
      <c r="BF323" s="921">
        <v>0</v>
      </c>
      <c r="BG323" s="909">
        <v>0</v>
      </c>
      <c r="BH323" s="909">
        <v>1</v>
      </c>
      <c r="BI323" s="921">
        <v>0</v>
      </c>
      <c r="BJ323" s="909">
        <v>0</v>
      </c>
      <c r="BK323" s="909">
        <v>1</v>
      </c>
      <c r="BL323" s="909">
        <v>0</v>
      </c>
      <c r="BM323" s="921">
        <v>0</v>
      </c>
      <c r="BN323" s="958">
        <v>0.08</v>
      </c>
      <c r="BO323" s="959">
        <v>16.3</v>
      </c>
      <c r="BP323">
        <f t="shared" ca="1" si="384"/>
        <v>185.6</v>
      </c>
      <c r="BQ323">
        <f t="shared" ca="1" si="385"/>
        <v>361.17052631578946</v>
      </c>
      <c r="BR323">
        <f t="shared" ca="1" si="386"/>
        <v>84.1</v>
      </c>
      <c r="BS323">
        <f t="shared" ca="1" si="387"/>
        <v>115.78052631578947</v>
      </c>
      <c r="BT323">
        <f t="shared" ca="1" si="388"/>
        <v>75.400000000000006</v>
      </c>
      <c r="BU323">
        <f t="shared" ca="1" si="389"/>
        <v>22</v>
      </c>
      <c r="BV323">
        <f t="shared" ca="1" si="390"/>
        <v>2.15</v>
      </c>
      <c r="BW323" s="1018">
        <v>0</v>
      </c>
      <c r="BX323">
        <f t="shared" ca="1" si="348"/>
        <v>64.2133271633503</v>
      </c>
      <c r="BY323">
        <f t="shared" ca="1" si="349"/>
        <v>196.81491706554075</v>
      </c>
      <c r="BZ323">
        <f t="shared" ca="1" si="330"/>
        <v>13.318356114672797</v>
      </c>
      <c r="CA323">
        <f t="shared" ca="1" si="331"/>
        <v>60.499999966724999</v>
      </c>
      <c r="CB323">
        <f t="shared" ca="1" si="350"/>
        <v>4.5133587786259541</v>
      </c>
      <c r="CC323" s="1018">
        <f t="shared" si="332"/>
        <v>0</v>
      </c>
      <c r="CD323" s="1018">
        <f t="shared" ca="1" si="392"/>
        <v>363.31440119417789</v>
      </c>
      <c r="CE323" s="1018">
        <f t="shared" ca="1" si="344"/>
        <v>148.36563336164974</v>
      </c>
      <c r="CF323">
        <f t="shared" ca="1" si="333"/>
        <v>15.35040103667483</v>
      </c>
      <c r="CG323">
        <f t="shared" ca="1" si="334"/>
        <v>25557.803710022126</v>
      </c>
    </row>
    <row r="324" spans="3:85" x14ac:dyDescent="0.25">
      <c r="C324" s="556" t="s">
        <v>3</v>
      </c>
      <c r="D324" s="559">
        <v>0.1719</v>
      </c>
      <c r="E324" s="556"/>
      <c r="F324" s="557"/>
      <c r="G324" s="556"/>
      <c r="H324" s="557"/>
      <c r="I324" s="556"/>
      <c r="J324" s="557"/>
      <c r="K324" s="556"/>
      <c r="L324" s="556"/>
      <c r="M324" s="557" t="s">
        <v>22</v>
      </c>
      <c r="N324" s="559">
        <v>0.47</v>
      </c>
      <c r="O324" s="557" t="s">
        <v>20</v>
      </c>
      <c r="P324" s="559">
        <v>5.6000000000000001E-2</v>
      </c>
      <c r="Q324" s="557" t="s">
        <v>7</v>
      </c>
      <c r="R324" s="559">
        <v>0.60750000000000004</v>
      </c>
      <c r="S324" s="557"/>
      <c r="T324" s="567">
        <v>0</v>
      </c>
      <c r="U324" s="556"/>
      <c r="V324" s="176">
        <f t="shared" si="335"/>
        <v>0</v>
      </c>
      <c r="W324" s="176">
        <f t="shared" si="391"/>
        <v>0</v>
      </c>
      <c r="X324" s="176">
        <f>W324-W324*Calculation_sheet!O$78</f>
        <v>0</v>
      </c>
      <c r="Y324" s="34">
        <f>X324/Calculation_sheet!M$67</f>
        <v>0</v>
      </c>
      <c r="Z324" s="176">
        <f ca="1">IF(AN324&gt;0,Y324*Calculation_sheet!C$87,0)</f>
        <v>0</v>
      </c>
      <c r="AA324" s="176">
        <f t="shared" ca="1" si="326"/>
        <v>0</v>
      </c>
      <c r="AB324" s="176">
        <f ca="1">IF(AP324&gt;0,AA324*Calculation_sheet!C$94,0)</f>
        <v>0</v>
      </c>
      <c r="AC324" s="176">
        <f t="shared" ca="1" si="383"/>
        <v>0</v>
      </c>
      <c r="AD324" s="958">
        <f ca="1">AC324*Calculation_sheet!C$99</f>
        <v>0</v>
      </c>
      <c r="AE324" s="176">
        <f t="shared" ca="1" si="383"/>
        <v>0</v>
      </c>
      <c r="AF324" s="176">
        <f t="shared" ca="1" si="346"/>
        <v>0</v>
      </c>
      <c r="AG324" s="958">
        <f ca="1">AF324*User_sheet!B$77/100</f>
        <v>0</v>
      </c>
      <c r="AH324" s="313"/>
      <c r="AI324" s="908">
        <v>203</v>
      </c>
      <c r="AJ324" s="313"/>
      <c r="AK324" s="1020">
        <f t="shared" ca="1" si="329"/>
        <v>363.31440119417789</v>
      </c>
      <c r="AL324" s="954">
        <f ca="1">AK324/'203'!I$24</f>
        <v>1.2713056619985119</v>
      </c>
      <c r="AM324" s="954">
        <f ca="1">0.8*(AK324*30+'203'!D$17*0.34*30*1)</f>
        <v>12063.109923397113</v>
      </c>
      <c r="AN324" s="954">
        <f ca="1">IF(AM324&lt;User_sheet!B$50,Y324,0)</f>
        <v>0</v>
      </c>
      <c r="AO324" s="954">
        <f ca="1">20-(User_sheet!B$57/(AK324+'203'!D$17*1*0.34))</f>
        <v>8.6596407668748547</v>
      </c>
      <c r="AP324" s="954">
        <f ca="1">IF(AO324&lt;User_sheet!B$59,0,BC324*AA324)</f>
        <v>0</v>
      </c>
      <c r="AQ324" s="313"/>
      <c r="AR324" s="909">
        <v>0.88</v>
      </c>
      <c r="AS324" s="1020">
        <v>2.41</v>
      </c>
      <c r="AT324" s="909">
        <v>0.59</v>
      </c>
      <c r="AU324" s="909">
        <v>2.75</v>
      </c>
      <c r="AV324" s="909">
        <v>3.3</v>
      </c>
      <c r="AW324" s="909">
        <v>11922.428413610982</v>
      </c>
      <c r="AX324" s="909">
        <v>75945.51234133933</v>
      </c>
      <c r="AY324" s="909">
        <v>64021.679041832605</v>
      </c>
      <c r="AZ324" s="909">
        <v>0</v>
      </c>
      <c r="BA324" s="909">
        <v>0</v>
      </c>
      <c r="BB324" s="909">
        <v>0.6</v>
      </c>
      <c r="BC324" s="919">
        <v>0</v>
      </c>
      <c r="BD324" s="920">
        <v>1</v>
      </c>
      <c r="BE324" s="920">
        <v>0</v>
      </c>
      <c r="BF324" s="921">
        <v>0</v>
      </c>
      <c r="BG324" s="909">
        <v>0</v>
      </c>
      <c r="BH324" s="909">
        <v>1</v>
      </c>
      <c r="BI324" s="921">
        <v>0</v>
      </c>
      <c r="BJ324" s="909">
        <v>0</v>
      </c>
      <c r="BK324" s="909">
        <v>0</v>
      </c>
      <c r="BL324" s="909">
        <v>1</v>
      </c>
      <c r="BM324" s="921">
        <v>0</v>
      </c>
      <c r="BN324" s="958">
        <v>0.08</v>
      </c>
      <c r="BO324" s="959">
        <v>16.3</v>
      </c>
      <c r="BP324">
        <f t="shared" ca="1" si="384"/>
        <v>185.6</v>
      </c>
      <c r="BQ324">
        <f t="shared" ca="1" si="385"/>
        <v>361.17052631578946</v>
      </c>
      <c r="BR324">
        <f t="shared" ca="1" si="386"/>
        <v>84.1</v>
      </c>
      <c r="BS324">
        <f t="shared" ca="1" si="387"/>
        <v>115.78052631578947</v>
      </c>
      <c r="BT324">
        <f t="shared" ca="1" si="388"/>
        <v>75.400000000000006</v>
      </c>
      <c r="BU324">
        <f t="shared" ca="1" si="389"/>
        <v>22</v>
      </c>
      <c r="BV324">
        <f t="shared" ca="1" si="390"/>
        <v>2.15</v>
      </c>
      <c r="BW324" s="1018">
        <v>0</v>
      </c>
      <c r="BX324">
        <f t="shared" ca="1" si="348"/>
        <v>64.2133271633503</v>
      </c>
      <c r="BY324">
        <f t="shared" ca="1" si="349"/>
        <v>196.81491706554075</v>
      </c>
      <c r="BZ324">
        <f t="shared" ca="1" si="330"/>
        <v>13.318356114672797</v>
      </c>
      <c r="CA324">
        <f t="shared" ca="1" si="331"/>
        <v>60.499999966724999</v>
      </c>
      <c r="CB324">
        <f t="shared" ca="1" si="350"/>
        <v>4.5133587786259541</v>
      </c>
      <c r="CC324" s="1018">
        <f t="shared" si="332"/>
        <v>0</v>
      </c>
      <c r="CD324" s="1018">
        <f t="shared" ca="1" si="392"/>
        <v>363.31440119417789</v>
      </c>
      <c r="CE324" s="1018">
        <f t="shared" ca="1" si="344"/>
        <v>148.36563336164974</v>
      </c>
      <c r="CF324">
        <f t="shared" ca="1" si="333"/>
        <v>15.35040103667483</v>
      </c>
      <c r="CG324">
        <f t="shared" ca="1" si="334"/>
        <v>25557.803710022126</v>
      </c>
    </row>
    <row r="325" spans="3:85" x14ac:dyDescent="0.25">
      <c r="C325" s="556"/>
      <c r="D325" s="557"/>
      <c r="E325" s="556"/>
      <c r="F325" s="557"/>
      <c r="G325" s="556" t="s">
        <v>9</v>
      </c>
      <c r="H325" s="561">
        <v>0.71429999999999993</v>
      </c>
      <c r="I325" s="556"/>
      <c r="J325" s="557"/>
      <c r="K325" s="560" t="s">
        <v>12</v>
      </c>
      <c r="L325" s="561">
        <v>0</v>
      </c>
      <c r="M325" s="557" t="s">
        <v>7</v>
      </c>
      <c r="N325" s="559">
        <v>0.11900000000000005</v>
      </c>
      <c r="O325" s="557" t="s">
        <v>23</v>
      </c>
      <c r="P325" s="559">
        <v>1</v>
      </c>
      <c r="Q325" s="557" t="s">
        <v>7</v>
      </c>
      <c r="R325" s="559">
        <v>1</v>
      </c>
      <c r="S325" s="557"/>
      <c r="T325" s="567">
        <v>0</v>
      </c>
      <c r="U325" s="556"/>
      <c r="V325" s="176">
        <f t="shared" si="335"/>
        <v>0</v>
      </c>
      <c r="W325" s="176">
        <f t="shared" si="391"/>
        <v>0</v>
      </c>
      <c r="X325" s="176">
        <f>W325-W325*Calculation_sheet!O$78</f>
        <v>0</v>
      </c>
      <c r="Y325" s="34">
        <f>X325/Calculation_sheet!M$67</f>
        <v>0</v>
      </c>
      <c r="Z325" s="176">
        <f ca="1">IF(AN325&gt;0,Y325*Calculation_sheet!C$87,0)</f>
        <v>0</v>
      </c>
      <c r="AA325" s="176">
        <f t="shared" ca="1" si="326"/>
        <v>0</v>
      </c>
      <c r="AB325" s="176">
        <f ca="1">IF(AP325&gt;0,AA325*Calculation_sheet!C$94,0)</f>
        <v>0</v>
      </c>
      <c r="AC325" s="176">
        <f t="shared" ca="1" si="383"/>
        <v>0</v>
      </c>
      <c r="AD325" s="958">
        <f ca="1">AC325*Calculation_sheet!C$99</f>
        <v>0</v>
      </c>
      <c r="AE325" s="176">
        <f t="shared" ca="1" si="383"/>
        <v>0</v>
      </c>
      <c r="AF325" s="176">
        <f t="shared" ca="1" si="346"/>
        <v>0</v>
      </c>
      <c r="AG325" s="958">
        <f ca="1">AF325*User_sheet!B$77/100</f>
        <v>0</v>
      </c>
      <c r="AH325" s="313"/>
      <c r="AI325" s="908">
        <v>203</v>
      </c>
      <c r="AJ325" s="313"/>
      <c r="AK325" s="1020">
        <f t="shared" ca="1" si="329"/>
        <v>363.31440119417789</v>
      </c>
      <c r="AL325" s="954">
        <f ca="1">AK325/'203'!I$24</f>
        <v>1.2713056619985119</v>
      </c>
      <c r="AM325" s="954">
        <f ca="1">0.8*(AK325*30+'203'!D$17*0.34*30*1)</f>
        <v>12063.109923397113</v>
      </c>
      <c r="AN325" s="954">
        <f ca="1">IF(AM325&lt;User_sheet!B$50,Y325,0)</f>
        <v>0</v>
      </c>
      <c r="AO325" s="954">
        <f ca="1">20-(User_sheet!B$57/(AK325+'203'!D$17*1*0.34))</f>
        <v>8.6596407668748547</v>
      </c>
      <c r="AP325" s="954">
        <f ca="1">IF(AO325&lt;User_sheet!B$59,0,BC325*AA325)</f>
        <v>0</v>
      </c>
      <c r="AQ325" s="313"/>
      <c r="AR325" s="909">
        <v>0.88</v>
      </c>
      <c r="AS325" s="1020">
        <v>2.41</v>
      </c>
      <c r="AT325" s="909">
        <v>0.59</v>
      </c>
      <c r="AU325" s="909">
        <v>2.75</v>
      </c>
      <c r="AV325" s="909">
        <v>3.3</v>
      </c>
      <c r="AW325" s="909">
        <v>11922.428413610982</v>
      </c>
      <c r="AX325" s="909">
        <v>75945.51234133933</v>
      </c>
      <c r="AY325" s="909">
        <v>64021.679041832605</v>
      </c>
      <c r="AZ325" s="909">
        <v>0</v>
      </c>
      <c r="BA325" s="909">
        <v>0</v>
      </c>
      <c r="BB325" s="909">
        <v>0.6</v>
      </c>
      <c r="BC325" s="919">
        <v>0</v>
      </c>
      <c r="BD325" s="920">
        <v>0</v>
      </c>
      <c r="BE325" s="920">
        <v>1</v>
      </c>
      <c r="BF325" s="921">
        <v>0</v>
      </c>
      <c r="BG325" s="909">
        <v>0</v>
      </c>
      <c r="BH325" s="909">
        <v>0</v>
      </c>
      <c r="BI325" s="921">
        <v>1</v>
      </c>
      <c r="BJ325" s="909">
        <v>0</v>
      </c>
      <c r="BK325" s="909">
        <v>0</v>
      </c>
      <c r="BL325" s="909">
        <v>1</v>
      </c>
      <c r="BM325" s="921">
        <v>0</v>
      </c>
      <c r="BN325" s="958">
        <v>0.08</v>
      </c>
      <c r="BO325" s="959">
        <v>16.3</v>
      </c>
      <c r="BP325">
        <f t="shared" ca="1" si="384"/>
        <v>185.6</v>
      </c>
      <c r="BQ325">
        <f t="shared" ca="1" si="385"/>
        <v>361.17052631578946</v>
      </c>
      <c r="BR325">
        <f t="shared" ca="1" si="386"/>
        <v>84.1</v>
      </c>
      <c r="BS325">
        <f t="shared" ca="1" si="387"/>
        <v>115.78052631578947</v>
      </c>
      <c r="BT325">
        <f t="shared" ca="1" si="388"/>
        <v>75.400000000000006</v>
      </c>
      <c r="BU325">
        <f t="shared" ca="1" si="389"/>
        <v>22</v>
      </c>
      <c r="BV325">
        <f t="shared" ca="1" si="390"/>
        <v>2.15</v>
      </c>
      <c r="BW325" s="1018">
        <v>0</v>
      </c>
      <c r="BX325">
        <f t="shared" ca="1" si="348"/>
        <v>64.2133271633503</v>
      </c>
      <c r="BY325">
        <f t="shared" ca="1" si="349"/>
        <v>196.81491706554075</v>
      </c>
      <c r="BZ325">
        <f t="shared" ca="1" si="330"/>
        <v>13.318356114672797</v>
      </c>
      <c r="CA325">
        <f t="shared" ca="1" si="331"/>
        <v>60.499999966724999</v>
      </c>
      <c r="CB325">
        <f t="shared" ca="1" si="350"/>
        <v>4.5133587786259541</v>
      </c>
      <c r="CC325" s="1018">
        <f t="shared" si="332"/>
        <v>0</v>
      </c>
      <c r="CD325" s="1018">
        <f t="shared" ca="1" si="392"/>
        <v>363.31440119417789</v>
      </c>
      <c r="CE325" s="1018">
        <f t="shared" ca="1" si="344"/>
        <v>148.36563336164974</v>
      </c>
      <c r="CF325">
        <f t="shared" ca="1" si="333"/>
        <v>15.35040103667483</v>
      </c>
      <c r="CG325">
        <f t="shared" ca="1" si="334"/>
        <v>25557.803710022126</v>
      </c>
    </row>
    <row r="326" spans="3:85" s="11" customFormat="1" x14ac:dyDescent="0.25">
      <c r="C326" s="564"/>
      <c r="D326" s="565"/>
      <c r="E326" s="564"/>
      <c r="F326" s="565"/>
      <c r="G326" s="564"/>
      <c r="H326" s="565"/>
      <c r="I326" s="564"/>
      <c r="J326" s="565"/>
      <c r="K326" s="566"/>
      <c r="L326" s="565"/>
      <c r="M326" s="565"/>
      <c r="N326" s="565"/>
      <c r="O326" s="565"/>
      <c r="P326" s="565"/>
      <c r="Q326" s="565"/>
      <c r="R326" s="565"/>
      <c r="S326" s="565"/>
      <c r="T326" s="568"/>
      <c r="U326" s="564"/>
      <c r="V326" s="293"/>
      <c r="W326" s="292"/>
      <c r="X326" s="292"/>
      <c r="Y326" s="277"/>
      <c r="Z326" s="292"/>
      <c r="AA326" s="292"/>
      <c r="AB326" s="292"/>
      <c r="AC326" s="292"/>
      <c r="AD326" s="277"/>
      <c r="AE326" s="292"/>
      <c r="AF326" s="292"/>
      <c r="AG326" s="277"/>
      <c r="AH326" s="313"/>
      <c r="AI326" s="912"/>
      <c r="AJ326" s="313"/>
      <c r="AK326" s="1020">
        <f t="shared" si="329"/>
        <v>0</v>
      </c>
      <c r="AL326" s="941"/>
      <c r="AM326" s="941"/>
      <c r="AN326" s="941"/>
      <c r="AO326" s="941"/>
      <c r="AP326" s="941"/>
      <c r="AQ326" s="313"/>
      <c r="AR326" s="918"/>
      <c r="AS326" s="941"/>
      <c r="AT326" s="918"/>
      <c r="AU326" s="918"/>
      <c r="AV326" s="918"/>
      <c r="AW326" s="918"/>
      <c r="AX326" s="918"/>
      <c r="AY326" s="918"/>
      <c r="AZ326" s="918"/>
      <c r="BA326" s="918"/>
      <c r="BB326" s="918"/>
      <c r="BC326" s="45"/>
      <c r="BD326" s="277"/>
      <c r="BE326" s="277"/>
      <c r="BF326" s="49"/>
      <c r="BG326" s="918"/>
      <c r="BH326" s="918"/>
      <c r="BI326" s="49"/>
      <c r="BJ326" s="918"/>
      <c r="BK326" s="918"/>
      <c r="BL326" s="918"/>
      <c r="BM326" s="49"/>
      <c r="BN326" s="277"/>
      <c r="BO326" s="49"/>
      <c r="BW326" s="946"/>
      <c r="CC326" s="946"/>
      <c r="CD326" s="946"/>
      <c r="CE326" s="946"/>
    </row>
    <row r="327" spans="3:85" x14ac:dyDescent="0.25">
      <c r="D327" s="1"/>
      <c r="F327" s="1"/>
      <c r="G327" s="3"/>
      <c r="H327" s="6"/>
      <c r="I327" s="3"/>
      <c r="J327" s="6"/>
      <c r="K327" s="8"/>
      <c r="L327" s="6"/>
      <c r="M327" s="1"/>
      <c r="N327" s="1"/>
      <c r="O327" s="1"/>
      <c r="P327" s="1"/>
      <c r="Q327" s="1" t="s">
        <v>16</v>
      </c>
      <c r="R327" s="4"/>
      <c r="S327" s="1"/>
      <c r="T327" s="77"/>
      <c r="U327" s="22"/>
      <c r="X327" s="176">
        <f>W317-X317</f>
        <v>0</v>
      </c>
      <c r="Y327" s="34">
        <f>X327/Calculation_sheet!M$67</f>
        <v>0</v>
      </c>
      <c r="Z327" s="176">
        <f ca="1">IF(AN327&gt;0,Y327*Calculation_sheet!C$87,0)</f>
        <v>0</v>
      </c>
      <c r="AA327" s="176">
        <f t="shared" ca="1" si="326"/>
        <v>0</v>
      </c>
      <c r="AB327" s="176">
        <f ca="1">IF(AP327&gt;0,AA327*Calculation_sheet!C$94,0)</f>
        <v>0</v>
      </c>
      <c r="AC327" s="176">
        <f t="shared" ref="AC327:AE335" ca="1" si="393">AA327-AB327</f>
        <v>0</v>
      </c>
      <c r="AD327" s="958">
        <f ca="1">AC327*Calculation_sheet!C$99</f>
        <v>0</v>
      </c>
      <c r="AE327" s="176">
        <f t="shared" ca="1" si="393"/>
        <v>0</v>
      </c>
      <c r="AF327" s="176">
        <f t="shared" ca="1" si="346"/>
        <v>0</v>
      </c>
      <c r="AG327" s="958">
        <f ca="1">AF327*User_sheet!B$77/100</f>
        <v>0</v>
      </c>
      <c r="AH327" s="313"/>
      <c r="AI327" s="908">
        <v>203</v>
      </c>
      <c r="AJ327" s="313"/>
      <c r="AK327" s="1020">
        <f t="shared" ca="1" si="329"/>
        <v>308.09880017080786</v>
      </c>
      <c r="AL327" s="954">
        <f ca="1">AK327/'203'!I$24</f>
        <v>1.0780958525856885</v>
      </c>
      <c r="AM327" s="954">
        <f ca="1">0.8*(AK327*30+'203'!D$17*0.34*30*1)</f>
        <v>10737.93549883623</v>
      </c>
      <c r="AN327" s="954">
        <f ca="1">IF(AM327&lt;User_sheet!B$50,Y327,0)</f>
        <v>0</v>
      </c>
      <c r="AO327" s="954">
        <f ca="1">20-(User_sheet!B$57/(AK327+'203'!D$17*1*0.34))</f>
        <v>7.2601209036107281</v>
      </c>
      <c r="AP327" s="954">
        <f ca="1">IF(AO327&lt;User_sheet!B$59,0,BC327*AA327)</f>
        <v>0</v>
      </c>
      <c r="AQ327" s="313"/>
      <c r="AR327" s="909">
        <v>0.32</v>
      </c>
      <c r="AS327" s="1020">
        <v>2.41</v>
      </c>
      <c r="AT327" s="909">
        <v>0.59</v>
      </c>
      <c r="AU327" s="909">
        <v>2</v>
      </c>
      <c r="AV327" s="909">
        <v>3.3</v>
      </c>
      <c r="AW327" s="909">
        <v>14356</v>
      </c>
      <c r="AX327" s="909">
        <v>75945.51234133933</v>
      </c>
      <c r="AY327" s="909">
        <v>64021.679041832605</v>
      </c>
      <c r="AZ327" s="917">
        <v>0</v>
      </c>
      <c r="BA327" s="917">
        <v>0</v>
      </c>
      <c r="BB327" s="909">
        <v>0.6</v>
      </c>
      <c r="BC327" s="919">
        <v>1</v>
      </c>
      <c r="BD327" s="920">
        <v>0</v>
      </c>
      <c r="BE327" s="920">
        <v>0</v>
      </c>
      <c r="BF327" s="921">
        <v>0</v>
      </c>
      <c r="BG327" s="909">
        <v>1</v>
      </c>
      <c r="BH327" s="909">
        <v>0</v>
      </c>
      <c r="BI327" s="921">
        <v>0</v>
      </c>
      <c r="BJ327" s="909">
        <v>1</v>
      </c>
      <c r="BK327" s="909">
        <v>0</v>
      </c>
      <c r="BL327" s="909">
        <v>0</v>
      </c>
      <c r="BM327" s="921">
        <v>0</v>
      </c>
      <c r="BN327" s="958">
        <v>0.08</v>
      </c>
      <c r="BO327" s="959">
        <v>16.3</v>
      </c>
      <c r="BP327">
        <f t="shared" ref="BP327:BP335" ca="1" si="394">INDIRECT("'"&amp;AI327&amp;"'!"&amp;"B2")</f>
        <v>185.6</v>
      </c>
      <c r="BQ327">
        <f t="shared" ref="BQ327:BQ335" ca="1" si="395">INDIRECT("'"&amp;AI327&amp;"'!"&amp;"C12")+INDIRECT("'"&amp;AI327&amp;"'!"&amp;"C13")+INDIRECT("'"&amp;AI327&amp;"'!"&amp;"C14")+INDIRECT("'"&amp;AI327&amp;"'!"&amp;"C15")+INDIRECT("'"&amp;AI327&amp;"'!"&amp;"C17")</f>
        <v>361.17052631578946</v>
      </c>
      <c r="BR327">
        <f t="shared" ref="BR327:BR335" ca="1" si="396">INDIRECT("'"&amp;AI327&amp;"'!"&amp;"G5")</f>
        <v>84.1</v>
      </c>
      <c r="BS327">
        <f t="shared" ref="BS327:BS335" ca="1" si="397">INDIRECT("'"&amp;AI327&amp;"'!"&amp;"G4")</f>
        <v>115.78052631578947</v>
      </c>
      <c r="BT327">
        <f t="shared" ref="BT327:BT335" ca="1" si="398">INDIRECT("'"&amp;AI327&amp;"'!"&amp;"G6")</f>
        <v>75.400000000000006</v>
      </c>
      <c r="BU327">
        <f t="shared" ref="BU327:BU335" ca="1" si="399">INDIRECT("'"&amp;AI327&amp;"'!"&amp;"G2")</f>
        <v>22</v>
      </c>
      <c r="BV327">
        <f t="shared" ref="BV327:BV335" ca="1" si="400">INDIRECT("'"&amp;AI327&amp;"'!"&amp;"G3")</f>
        <v>2.15</v>
      </c>
      <c r="BW327" s="1018">
        <v>0</v>
      </c>
      <c r="BX327">
        <f t="shared" ca="1" si="348"/>
        <v>25.497726124305199</v>
      </c>
      <c r="BY327">
        <f t="shared" ca="1" si="349"/>
        <v>196.81491706554075</v>
      </c>
      <c r="BZ327">
        <f t="shared" ca="1" si="330"/>
        <v>13.318356114672797</v>
      </c>
      <c r="CA327">
        <f t="shared" ca="1" si="331"/>
        <v>43.999999982399999</v>
      </c>
      <c r="CB327">
        <f t="shared" ca="1" si="350"/>
        <v>4.5133587786259541</v>
      </c>
      <c r="CC327" s="1018">
        <f t="shared" si="332"/>
        <v>0</v>
      </c>
      <c r="CD327" s="1018">
        <f ca="1">SUM(BX327:CC327)+(BR327+BS327+BT327+BU327+BV327)*BN327</f>
        <v>308.09880017080786</v>
      </c>
      <c r="CE327" s="1018">
        <f t="shared" ca="1" si="344"/>
        <v>148.36563336164974</v>
      </c>
      <c r="CF327">
        <f t="shared" ca="1" si="333"/>
        <v>13.693933005973729</v>
      </c>
      <c r="CG327">
        <f t="shared" ca="1" si="334"/>
        <v>22799.850697626018</v>
      </c>
    </row>
    <row r="328" spans="3:85" x14ac:dyDescent="0.25">
      <c r="D328" s="1"/>
      <c r="F328" s="1"/>
      <c r="G328" s="3"/>
      <c r="H328" s="6"/>
      <c r="I328" s="3"/>
      <c r="J328" s="6"/>
      <c r="K328" s="8"/>
      <c r="L328" s="6"/>
      <c r="M328" s="1"/>
      <c r="N328" s="1"/>
      <c r="O328" s="1" t="s">
        <v>18</v>
      </c>
      <c r="P328" s="4"/>
      <c r="Q328" s="1" t="s">
        <v>7</v>
      </c>
      <c r="R328" s="4"/>
      <c r="S328" s="1"/>
      <c r="T328" s="77"/>
      <c r="U328" s="22"/>
      <c r="X328" s="176">
        <f t="shared" ref="X328:X335" si="401">W318-X318</f>
        <v>0</v>
      </c>
      <c r="Y328" s="34">
        <f>X328/Calculation_sheet!M$67</f>
        <v>0</v>
      </c>
      <c r="Z328" s="176">
        <f ca="1">IF(AN328&gt;0,Y328*Calculation_sheet!C$87,0)</f>
        <v>0</v>
      </c>
      <c r="AA328" s="176">
        <f t="shared" ca="1" si="326"/>
        <v>0</v>
      </c>
      <c r="AB328" s="176">
        <f ca="1">IF(AP328&gt;0,AA328*Calculation_sheet!C$94,0)</f>
        <v>0</v>
      </c>
      <c r="AC328" s="176">
        <f t="shared" ca="1" si="393"/>
        <v>0</v>
      </c>
      <c r="AD328" s="958">
        <f ca="1">AC328*Calculation_sheet!C$99</f>
        <v>0</v>
      </c>
      <c r="AE328" s="176">
        <f t="shared" ca="1" si="393"/>
        <v>0</v>
      </c>
      <c r="AF328" s="176">
        <f t="shared" ca="1" si="346"/>
        <v>0</v>
      </c>
      <c r="AG328" s="958">
        <f ca="1">AF328*User_sheet!B$77/100</f>
        <v>0</v>
      </c>
      <c r="AH328" s="313"/>
      <c r="AI328" s="908">
        <v>203</v>
      </c>
      <c r="AJ328" s="313"/>
      <c r="AK328" s="1020">
        <f t="shared" ca="1" si="329"/>
        <v>308.09880017080786</v>
      </c>
      <c r="AL328" s="954">
        <f ca="1">AK328/'203'!I$24</f>
        <v>1.0780958525856885</v>
      </c>
      <c r="AM328" s="954">
        <f ca="1">0.8*(AK328*30+'203'!D$17*0.34*30*1)</f>
        <v>10737.93549883623</v>
      </c>
      <c r="AN328" s="954">
        <f ca="1">IF(AM328&lt;User_sheet!B$50,Y328,0)</f>
        <v>0</v>
      </c>
      <c r="AO328" s="954">
        <f ca="1">20-(User_sheet!B$57/(AK328+'203'!D$17*1*0.34))</f>
        <v>7.2601209036107281</v>
      </c>
      <c r="AP328" s="954">
        <f ca="1">IF(AO328&lt;User_sheet!B$59,0,BC328*AA328)</f>
        <v>0</v>
      </c>
      <c r="AQ328" s="313"/>
      <c r="AR328" s="909">
        <v>0.32</v>
      </c>
      <c r="AS328" s="1020">
        <v>2.41</v>
      </c>
      <c r="AT328" s="909">
        <v>0.59</v>
      </c>
      <c r="AU328" s="909">
        <v>2</v>
      </c>
      <c r="AV328" s="909">
        <v>3.3</v>
      </c>
      <c r="AW328" s="909">
        <v>14356</v>
      </c>
      <c r="AX328" s="909">
        <v>75945.51234133933</v>
      </c>
      <c r="AY328" s="909">
        <v>64021.679041832605</v>
      </c>
      <c r="AZ328" s="917">
        <v>0</v>
      </c>
      <c r="BA328" s="917">
        <v>0</v>
      </c>
      <c r="BB328" s="909">
        <v>0.6</v>
      </c>
      <c r="BC328" s="919">
        <v>1</v>
      </c>
      <c r="BD328" s="920">
        <v>0</v>
      </c>
      <c r="BE328" s="920">
        <v>0</v>
      </c>
      <c r="BF328" s="921">
        <v>0</v>
      </c>
      <c r="BG328" s="909">
        <v>1</v>
      </c>
      <c r="BH328" s="909">
        <v>0</v>
      </c>
      <c r="BI328" s="921">
        <v>0</v>
      </c>
      <c r="BJ328" s="909">
        <v>0</v>
      </c>
      <c r="BK328" s="909">
        <v>0</v>
      </c>
      <c r="BL328" s="909">
        <v>1</v>
      </c>
      <c r="BM328" s="921">
        <v>0</v>
      </c>
      <c r="BN328" s="958">
        <v>0.08</v>
      </c>
      <c r="BO328" s="959">
        <v>16.3</v>
      </c>
      <c r="BP328">
        <f t="shared" ca="1" si="394"/>
        <v>185.6</v>
      </c>
      <c r="BQ328">
        <f t="shared" ca="1" si="395"/>
        <v>361.17052631578946</v>
      </c>
      <c r="BR328">
        <f t="shared" ca="1" si="396"/>
        <v>84.1</v>
      </c>
      <c r="BS328">
        <f t="shared" ca="1" si="397"/>
        <v>115.78052631578947</v>
      </c>
      <c r="BT328">
        <f t="shared" ca="1" si="398"/>
        <v>75.400000000000006</v>
      </c>
      <c r="BU328">
        <f t="shared" ca="1" si="399"/>
        <v>22</v>
      </c>
      <c r="BV328">
        <f t="shared" ca="1" si="400"/>
        <v>2.15</v>
      </c>
      <c r="BW328" s="1018">
        <v>0</v>
      </c>
      <c r="BX328">
        <f t="shared" ca="1" si="348"/>
        <v>25.497726124305199</v>
      </c>
      <c r="BY328">
        <f t="shared" ca="1" si="349"/>
        <v>196.81491706554075</v>
      </c>
      <c r="BZ328">
        <f t="shared" ca="1" si="330"/>
        <v>13.318356114672797</v>
      </c>
      <c r="CA328">
        <f t="shared" ca="1" si="331"/>
        <v>43.999999982399999</v>
      </c>
      <c r="CB328">
        <f t="shared" ca="1" si="350"/>
        <v>4.5133587786259541</v>
      </c>
      <c r="CC328" s="1018">
        <f t="shared" si="332"/>
        <v>0</v>
      </c>
      <c r="CD328" s="1018">
        <f t="shared" ref="CD328:CD335" ca="1" si="402">SUM(BX328:CC328)+(BR328+BS328+BT328+BU328+BV328)*BN328</f>
        <v>308.09880017080786</v>
      </c>
      <c r="CE328" s="1018">
        <f t="shared" ca="1" si="344"/>
        <v>148.36563336164974</v>
      </c>
      <c r="CF328">
        <f t="shared" ca="1" si="333"/>
        <v>13.693933005973729</v>
      </c>
      <c r="CG328">
        <f t="shared" ca="1" si="334"/>
        <v>22799.850697626018</v>
      </c>
    </row>
    <row r="329" spans="3:85" x14ac:dyDescent="0.25">
      <c r="D329" s="1"/>
      <c r="F329" s="1"/>
      <c r="G329" s="3"/>
      <c r="H329" s="6"/>
      <c r="I329" s="3"/>
      <c r="J329" s="6"/>
      <c r="K329" s="8"/>
      <c r="L329" s="6"/>
      <c r="M329" s="1"/>
      <c r="N329" s="1"/>
      <c r="O329" s="1"/>
      <c r="P329" s="1"/>
      <c r="Q329" s="1" t="s">
        <v>16</v>
      </c>
      <c r="R329" s="4"/>
      <c r="S329" s="1"/>
      <c r="T329" s="77"/>
      <c r="U329" s="22"/>
      <c r="X329" s="176">
        <f t="shared" si="401"/>
        <v>0</v>
      </c>
      <c r="Y329" s="34">
        <f>X329/Calculation_sheet!M$67</f>
        <v>0</v>
      </c>
      <c r="Z329" s="176">
        <f ca="1">IF(AN329&gt;0,Y329*Calculation_sheet!C$87,0)</f>
        <v>0</v>
      </c>
      <c r="AA329" s="176">
        <f t="shared" ca="1" si="326"/>
        <v>0</v>
      </c>
      <c r="AB329" s="176">
        <f ca="1">IF(AP329&gt;0,AA329*Calculation_sheet!C$94,0)</f>
        <v>0</v>
      </c>
      <c r="AC329" s="176">
        <f t="shared" ca="1" si="393"/>
        <v>0</v>
      </c>
      <c r="AD329" s="958">
        <f ca="1">AC329*Calculation_sheet!C$99</f>
        <v>0</v>
      </c>
      <c r="AE329" s="176">
        <f t="shared" ca="1" si="393"/>
        <v>0</v>
      </c>
      <c r="AF329" s="176">
        <f t="shared" ca="1" si="346"/>
        <v>0</v>
      </c>
      <c r="AG329" s="958">
        <f ca="1">AF329*User_sheet!B$77/100</f>
        <v>0</v>
      </c>
      <c r="AH329" s="313"/>
      <c r="AI329" s="908">
        <v>203</v>
      </c>
      <c r="AJ329" s="313"/>
      <c r="AK329" s="1020">
        <f t="shared" ca="1" si="329"/>
        <v>308.09880017080786</v>
      </c>
      <c r="AL329" s="954">
        <f ca="1">AK329/'203'!I$24</f>
        <v>1.0780958525856885</v>
      </c>
      <c r="AM329" s="954">
        <f ca="1">0.8*(AK329*30+'203'!D$17*0.34*30*1)</f>
        <v>10737.93549883623</v>
      </c>
      <c r="AN329" s="954">
        <f ca="1">IF(AM329&lt;User_sheet!B$50,Y329,0)</f>
        <v>0</v>
      </c>
      <c r="AO329" s="954">
        <f ca="1">20-(User_sheet!B$57/(AK329+'203'!D$17*1*0.34))</f>
        <v>7.2601209036107281</v>
      </c>
      <c r="AP329" s="954">
        <f ca="1">IF(AO329&lt;User_sheet!B$59,0,BC329*AA329)</f>
        <v>0</v>
      </c>
      <c r="AQ329" s="313"/>
      <c r="AR329" s="909">
        <v>0.32</v>
      </c>
      <c r="AS329" s="1020">
        <v>2.41</v>
      </c>
      <c r="AT329" s="909">
        <v>0.59</v>
      </c>
      <c r="AU329" s="909">
        <v>2</v>
      </c>
      <c r="AV329" s="909">
        <v>3.3</v>
      </c>
      <c r="AW329" s="909">
        <v>14356</v>
      </c>
      <c r="AX329" s="909">
        <v>75945.51234133933</v>
      </c>
      <c r="AY329" s="909">
        <v>64021.679041832605</v>
      </c>
      <c r="AZ329" s="917">
        <v>0</v>
      </c>
      <c r="BA329" s="917">
        <v>0</v>
      </c>
      <c r="BB329" s="909">
        <v>0.6</v>
      </c>
      <c r="BC329" s="919">
        <v>1</v>
      </c>
      <c r="BD329" s="920">
        <v>0</v>
      </c>
      <c r="BE329" s="920">
        <v>0</v>
      </c>
      <c r="BF329" s="921">
        <v>0</v>
      </c>
      <c r="BG329" s="909">
        <v>0</v>
      </c>
      <c r="BH329" s="909">
        <v>1</v>
      </c>
      <c r="BI329" s="921">
        <v>0</v>
      </c>
      <c r="BJ329" s="909">
        <v>1</v>
      </c>
      <c r="BK329" s="909">
        <v>0</v>
      </c>
      <c r="BL329" s="909">
        <v>0</v>
      </c>
      <c r="BM329" s="921">
        <v>0</v>
      </c>
      <c r="BN329" s="958">
        <v>0.08</v>
      </c>
      <c r="BO329" s="959">
        <v>16.3</v>
      </c>
      <c r="BP329">
        <f t="shared" ca="1" si="394"/>
        <v>185.6</v>
      </c>
      <c r="BQ329">
        <f t="shared" ca="1" si="395"/>
        <v>361.17052631578946</v>
      </c>
      <c r="BR329">
        <f t="shared" ca="1" si="396"/>
        <v>84.1</v>
      </c>
      <c r="BS329">
        <f t="shared" ca="1" si="397"/>
        <v>115.78052631578947</v>
      </c>
      <c r="BT329">
        <f t="shared" ca="1" si="398"/>
        <v>75.400000000000006</v>
      </c>
      <c r="BU329">
        <f t="shared" ca="1" si="399"/>
        <v>22</v>
      </c>
      <c r="BV329">
        <f t="shared" ca="1" si="400"/>
        <v>2.15</v>
      </c>
      <c r="BW329" s="1018">
        <v>0</v>
      </c>
      <c r="BX329">
        <f t="shared" ca="1" si="348"/>
        <v>25.497726124305199</v>
      </c>
      <c r="BY329">
        <f t="shared" ca="1" si="349"/>
        <v>196.81491706554075</v>
      </c>
      <c r="BZ329">
        <f t="shared" ca="1" si="330"/>
        <v>13.318356114672797</v>
      </c>
      <c r="CA329">
        <f t="shared" ca="1" si="331"/>
        <v>43.999999982399999</v>
      </c>
      <c r="CB329">
        <f t="shared" ca="1" si="350"/>
        <v>4.5133587786259541</v>
      </c>
      <c r="CC329" s="1018">
        <f t="shared" si="332"/>
        <v>0</v>
      </c>
      <c r="CD329" s="1018">
        <f t="shared" ca="1" si="402"/>
        <v>308.09880017080786</v>
      </c>
      <c r="CE329" s="1018">
        <f t="shared" ca="1" si="344"/>
        <v>148.36563336164974</v>
      </c>
      <c r="CF329">
        <f t="shared" ca="1" si="333"/>
        <v>13.693933005973729</v>
      </c>
      <c r="CG329">
        <f t="shared" ca="1" si="334"/>
        <v>22799.850697626018</v>
      </c>
    </row>
    <row r="330" spans="3:85" x14ac:dyDescent="0.25">
      <c r="D330" s="1"/>
      <c r="F330" s="1"/>
      <c r="G330" s="3"/>
      <c r="H330" s="6"/>
      <c r="I330" s="3"/>
      <c r="J330" s="3" t="s">
        <v>144</v>
      </c>
      <c r="K330" s="8"/>
      <c r="L330" s="6"/>
      <c r="M330" s="1" t="s">
        <v>16</v>
      </c>
      <c r="N330" s="4"/>
      <c r="O330" s="1" t="s">
        <v>19</v>
      </c>
      <c r="P330" s="4"/>
      <c r="Q330" s="1" t="s">
        <v>7</v>
      </c>
      <c r="R330" s="4"/>
      <c r="S330" s="1"/>
      <c r="T330" s="77"/>
      <c r="U330" s="22"/>
      <c r="X330" s="176">
        <f t="shared" si="401"/>
        <v>0</v>
      </c>
      <c r="Y330" s="34">
        <f>X330/Calculation_sheet!M$67</f>
        <v>0</v>
      </c>
      <c r="Z330" s="176">
        <f ca="1">IF(AN330&gt;0,Y330*Calculation_sheet!C$87,0)</f>
        <v>0</v>
      </c>
      <c r="AA330" s="176">
        <f t="shared" ref="AA330:AA335" ca="1" si="403">Y330-Z330</f>
        <v>0</v>
      </c>
      <c r="AB330" s="176">
        <f ca="1">IF(AP330&gt;0,AA330*Calculation_sheet!C$94,0)</f>
        <v>0</v>
      </c>
      <c r="AC330" s="176">
        <f t="shared" ca="1" si="393"/>
        <v>0</v>
      </c>
      <c r="AD330" s="958">
        <f ca="1">AC330*Calculation_sheet!C$99</f>
        <v>0</v>
      </c>
      <c r="AE330" s="176">
        <f t="shared" ca="1" si="393"/>
        <v>0</v>
      </c>
      <c r="AF330" s="176">
        <f t="shared" ca="1" si="346"/>
        <v>0</v>
      </c>
      <c r="AG330" s="958">
        <f ca="1">AF330*User_sheet!B$77/100</f>
        <v>0</v>
      </c>
      <c r="AH330" s="313"/>
      <c r="AI330" s="908">
        <v>203</v>
      </c>
      <c r="AJ330" s="313"/>
      <c r="AK330" s="1020">
        <f t="shared" ca="1" si="329"/>
        <v>308.09880017080786</v>
      </c>
      <c r="AL330" s="954">
        <f ca="1">AK330/'203'!I$24</f>
        <v>1.0780958525856885</v>
      </c>
      <c r="AM330" s="954">
        <f ca="1">0.8*(AK330*30+'203'!D$17*0.34*30*1)</f>
        <v>10737.93549883623</v>
      </c>
      <c r="AN330" s="954">
        <f ca="1">IF(AM330&lt;User_sheet!B$50,Y330,0)</f>
        <v>0</v>
      </c>
      <c r="AO330" s="954">
        <f ca="1">20-(User_sheet!B$57/(AK330+'203'!D$17*1*0.34))</f>
        <v>7.2601209036107281</v>
      </c>
      <c r="AP330" s="954">
        <f ca="1">IF(AO330&lt;User_sheet!B$59,0,BC330*AA330)</f>
        <v>0</v>
      </c>
      <c r="AQ330" s="313"/>
      <c r="AR330" s="909">
        <v>0.32</v>
      </c>
      <c r="AS330" s="1020">
        <v>2.41</v>
      </c>
      <c r="AT330" s="909">
        <v>0.59</v>
      </c>
      <c r="AU330" s="909">
        <v>2</v>
      </c>
      <c r="AV330" s="909">
        <v>3.3</v>
      </c>
      <c r="AW330" s="909">
        <v>14356</v>
      </c>
      <c r="AX330" s="909">
        <v>75945.51234133933</v>
      </c>
      <c r="AY330" s="909">
        <v>64021.679041832605</v>
      </c>
      <c r="AZ330" s="917">
        <v>0</v>
      </c>
      <c r="BA330" s="917">
        <v>0</v>
      </c>
      <c r="BB330" s="909">
        <v>0.6</v>
      </c>
      <c r="BC330" s="919">
        <v>1</v>
      </c>
      <c r="BD330" s="920">
        <v>0</v>
      </c>
      <c r="BE330" s="920">
        <v>0</v>
      </c>
      <c r="BF330" s="921">
        <v>0</v>
      </c>
      <c r="BG330" s="909">
        <v>0</v>
      </c>
      <c r="BH330" s="909">
        <v>1</v>
      </c>
      <c r="BI330" s="921">
        <v>0</v>
      </c>
      <c r="BJ330" s="909">
        <v>0</v>
      </c>
      <c r="BK330" s="909">
        <v>0</v>
      </c>
      <c r="BL330" s="909">
        <v>1</v>
      </c>
      <c r="BM330" s="921">
        <v>0</v>
      </c>
      <c r="BN330" s="958">
        <v>0.08</v>
      </c>
      <c r="BO330" s="959">
        <v>16.3</v>
      </c>
      <c r="BP330">
        <f t="shared" ca="1" si="394"/>
        <v>185.6</v>
      </c>
      <c r="BQ330">
        <f t="shared" ca="1" si="395"/>
        <v>361.17052631578946</v>
      </c>
      <c r="BR330">
        <f t="shared" ca="1" si="396"/>
        <v>84.1</v>
      </c>
      <c r="BS330">
        <f t="shared" ca="1" si="397"/>
        <v>115.78052631578947</v>
      </c>
      <c r="BT330">
        <f t="shared" ca="1" si="398"/>
        <v>75.400000000000006</v>
      </c>
      <c r="BU330">
        <f t="shared" ca="1" si="399"/>
        <v>22</v>
      </c>
      <c r="BV330">
        <f t="shared" ca="1" si="400"/>
        <v>2.15</v>
      </c>
      <c r="BW330" s="1018">
        <v>0</v>
      </c>
      <c r="BX330">
        <f t="shared" ca="1" si="348"/>
        <v>25.497726124305199</v>
      </c>
      <c r="BY330">
        <f t="shared" ca="1" si="349"/>
        <v>196.81491706554075</v>
      </c>
      <c r="BZ330">
        <f t="shared" ca="1" si="330"/>
        <v>13.318356114672797</v>
      </c>
      <c r="CA330">
        <f t="shared" ca="1" si="331"/>
        <v>43.999999982399999</v>
      </c>
      <c r="CB330">
        <f t="shared" ca="1" si="350"/>
        <v>4.5133587786259541</v>
      </c>
      <c r="CC330" s="1018">
        <f t="shared" si="332"/>
        <v>0</v>
      </c>
      <c r="CD330" s="1018">
        <f t="shared" ca="1" si="402"/>
        <v>308.09880017080786</v>
      </c>
      <c r="CE330" s="1018">
        <f t="shared" ca="1" si="344"/>
        <v>148.36563336164974</v>
      </c>
      <c r="CF330">
        <f t="shared" ca="1" si="333"/>
        <v>13.693933005973729</v>
      </c>
      <c r="CG330">
        <f t="shared" ca="1" si="334"/>
        <v>22799.850697626018</v>
      </c>
    </row>
    <row r="331" spans="3:85" x14ac:dyDescent="0.25">
      <c r="D331" s="1"/>
      <c r="F331" s="1"/>
      <c r="G331" s="3"/>
      <c r="H331" s="6"/>
      <c r="I331" s="3"/>
      <c r="J331" s="6" t="s">
        <v>190</v>
      </c>
      <c r="K331" s="8"/>
      <c r="L331" s="6"/>
      <c r="M331" s="1"/>
      <c r="N331" s="1"/>
      <c r="O331" s="1"/>
      <c r="P331" s="1"/>
      <c r="Q331" s="1" t="s">
        <v>22</v>
      </c>
      <c r="R331" s="4"/>
      <c r="S331" s="1"/>
      <c r="T331" s="77"/>
      <c r="U331" s="22"/>
      <c r="X331" s="176">
        <f t="shared" si="401"/>
        <v>0</v>
      </c>
      <c r="Y331" s="34">
        <f>X331/Calculation_sheet!M$67</f>
        <v>0</v>
      </c>
      <c r="Z331" s="176">
        <f ca="1">IF(AN331&gt;0,Y331*Calculation_sheet!C$87,0)</f>
        <v>0</v>
      </c>
      <c r="AA331" s="176">
        <f t="shared" ca="1" si="403"/>
        <v>0</v>
      </c>
      <c r="AB331" s="176">
        <f ca="1">IF(AP331&gt;0,AA331*Calculation_sheet!C$94,0)</f>
        <v>0</v>
      </c>
      <c r="AC331" s="176">
        <f t="shared" ca="1" si="393"/>
        <v>0</v>
      </c>
      <c r="AD331" s="958">
        <f ca="1">AC331*Calculation_sheet!C$99</f>
        <v>0</v>
      </c>
      <c r="AE331" s="176">
        <f t="shared" ca="1" si="393"/>
        <v>0</v>
      </c>
      <c r="AF331" s="176">
        <f t="shared" ca="1" si="346"/>
        <v>0</v>
      </c>
      <c r="AG331" s="958">
        <f ca="1">AF331*User_sheet!B$77/100</f>
        <v>0</v>
      </c>
      <c r="AH331" s="313"/>
      <c r="AI331" s="908">
        <v>203</v>
      </c>
      <c r="AJ331" s="313"/>
      <c r="AK331" s="1020">
        <f t="shared" ca="1" si="329"/>
        <v>308.09880017080786</v>
      </c>
      <c r="AL331" s="954">
        <f ca="1">AK331/'203'!I$24</f>
        <v>1.0780958525856885</v>
      </c>
      <c r="AM331" s="954">
        <f ca="1">0.8*(AK331*30+'203'!D$17*0.34*30*1)</f>
        <v>10737.93549883623</v>
      </c>
      <c r="AN331" s="954">
        <f ca="1">IF(AM331&lt;User_sheet!B$50,Y331,0)</f>
        <v>0</v>
      </c>
      <c r="AO331" s="954">
        <f ca="1">20-(User_sheet!B$57/(AK331+'203'!D$17*1*0.34))</f>
        <v>7.2601209036107281</v>
      </c>
      <c r="AP331" s="954">
        <f ca="1">IF(AO331&lt;User_sheet!B$59,0,BC331*AA331)</f>
        <v>0</v>
      </c>
      <c r="AQ331" s="313"/>
      <c r="AR331" s="909">
        <v>0.32</v>
      </c>
      <c r="AS331" s="1020">
        <v>2.41</v>
      </c>
      <c r="AT331" s="909">
        <v>0.59</v>
      </c>
      <c r="AU331" s="909">
        <v>2</v>
      </c>
      <c r="AV331" s="909">
        <v>3.3</v>
      </c>
      <c r="AW331" s="909">
        <v>14356</v>
      </c>
      <c r="AX331" s="909">
        <v>75945.51234133933</v>
      </c>
      <c r="AY331" s="909">
        <v>64021.679041832605</v>
      </c>
      <c r="AZ331" s="917">
        <v>0</v>
      </c>
      <c r="BA331" s="917">
        <v>0</v>
      </c>
      <c r="BB331" s="909">
        <v>0.6</v>
      </c>
      <c r="BC331" s="919">
        <v>0</v>
      </c>
      <c r="BD331" s="920">
        <v>1</v>
      </c>
      <c r="BE331" s="920">
        <v>0</v>
      </c>
      <c r="BF331" s="921">
        <v>0</v>
      </c>
      <c r="BG331" s="909">
        <v>1</v>
      </c>
      <c r="BH331" s="909">
        <v>0</v>
      </c>
      <c r="BI331" s="921">
        <v>0</v>
      </c>
      <c r="BJ331" s="909">
        <v>0</v>
      </c>
      <c r="BK331" s="909">
        <v>1</v>
      </c>
      <c r="BL331" s="909">
        <v>0</v>
      </c>
      <c r="BM331" s="921">
        <v>0</v>
      </c>
      <c r="BN331" s="958">
        <v>0.08</v>
      </c>
      <c r="BO331" s="959">
        <v>16.3</v>
      </c>
      <c r="BP331">
        <f t="shared" ca="1" si="394"/>
        <v>185.6</v>
      </c>
      <c r="BQ331">
        <f t="shared" ca="1" si="395"/>
        <v>361.17052631578946</v>
      </c>
      <c r="BR331">
        <f t="shared" ca="1" si="396"/>
        <v>84.1</v>
      </c>
      <c r="BS331">
        <f t="shared" ca="1" si="397"/>
        <v>115.78052631578947</v>
      </c>
      <c r="BT331">
        <f t="shared" ca="1" si="398"/>
        <v>75.400000000000006</v>
      </c>
      <c r="BU331">
        <f t="shared" ca="1" si="399"/>
        <v>22</v>
      </c>
      <c r="BV331">
        <f t="shared" ca="1" si="400"/>
        <v>2.15</v>
      </c>
      <c r="BW331" s="1018">
        <v>0</v>
      </c>
      <c r="BX331">
        <f t="shared" ca="1" si="348"/>
        <v>25.497726124305199</v>
      </c>
      <c r="BY331">
        <f t="shared" ca="1" si="349"/>
        <v>196.81491706554075</v>
      </c>
      <c r="BZ331">
        <f t="shared" ca="1" si="330"/>
        <v>13.318356114672797</v>
      </c>
      <c r="CA331">
        <f t="shared" ca="1" si="331"/>
        <v>43.999999982399999</v>
      </c>
      <c r="CB331">
        <f t="shared" ca="1" si="350"/>
        <v>4.5133587786259541</v>
      </c>
      <c r="CC331" s="1018">
        <f t="shared" si="332"/>
        <v>0</v>
      </c>
      <c r="CD331" s="1018">
        <f t="shared" ca="1" si="402"/>
        <v>308.09880017080786</v>
      </c>
      <c r="CE331" s="1018">
        <f t="shared" ca="1" si="344"/>
        <v>148.36563336164974</v>
      </c>
      <c r="CF331">
        <f t="shared" ca="1" si="333"/>
        <v>13.693933005973729</v>
      </c>
      <c r="CG331">
        <f t="shared" ca="1" si="334"/>
        <v>22799.850697626018</v>
      </c>
    </row>
    <row r="332" spans="3:85" x14ac:dyDescent="0.25">
      <c r="D332" s="1"/>
      <c r="F332" s="1"/>
      <c r="G332" s="3"/>
      <c r="H332" s="6"/>
      <c r="I332" s="3"/>
      <c r="K332" s="8"/>
      <c r="L332" s="6"/>
      <c r="M332" s="1"/>
      <c r="N332" s="1"/>
      <c r="O332" s="1" t="s">
        <v>18</v>
      </c>
      <c r="P332" s="4"/>
      <c r="Q332" s="1" t="s">
        <v>7</v>
      </c>
      <c r="R332" s="4"/>
      <c r="S332" s="1"/>
      <c r="T332" s="77"/>
      <c r="U332" s="22"/>
      <c r="X332" s="176">
        <f t="shared" si="401"/>
        <v>0</v>
      </c>
      <c r="Y332" s="34">
        <f>X332/Calculation_sheet!M$67</f>
        <v>0</v>
      </c>
      <c r="Z332" s="176">
        <f ca="1">IF(AN332&gt;0,Y332*Calculation_sheet!C$87,0)</f>
        <v>0</v>
      </c>
      <c r="AA332" s="176">
        <f t="shared" ca="1" si="403"/>
        <v>0</v>
      </c>
      <c r="AB332" s="176">
        <f ca="1">IF(AP332&gt;0,AA332*Calculation_sheet!C$94,0)</f>
        <v>0</v>
      </c>
      <c r="AC332" s="176">
        <f t="shared" ca="1" si="393"/>
        <v>0</v>
      </c>
      <c r="AD332" s="958">
        <f ca="1">AC332*Calculation_sheet!C$99</f>
        <v>0</v>
      </c>
      <c r="AE332" s="176">
        <f t="shared" ca="1" si="393"/>
        <v>0</v>
      </c>
      <c r="AF332" s="176">
        <f t="shared" ca="1" si="346"/>
        <v>0</v>
      </c>
      <c r="AG332" s="958">
        <f ca="1">AF332*User_sheet!B$77/100</f>
        <v>0</v>
      </c>
      <c r="AH332" s="313"/>
      <c r="AI332" s="908">
        <v>203</v>
      </c>
      <c r="AJ332" s="313"/>
      <c r="AK332" s="1020">
        <f t="shared" ca="1" si="329"/>
        <v>308.09880017080786</v>
      </c>
      <c r="AL332" s="954">
        <f ca="1">AK332/'203'!I$24</f>
        <v>1.0780958525856885</v>
      </c>
      <c r="AM332" s="954">
        <f ca="1">0.8*(AK332*30+'203'!D$17*0.34*30*1)</f>
        <v>10737.93549883623</v>
      </c>
      <c r="AN332" s="954">
        <f ca="1">IF(AM332&lt;User_sheet!B$50,Y332,0)</f>
        <v>0</v>
      </c>
      <c r="AO332" s="954">
        <f ca="1">20-(User_sheet!B$57/(AK332+'203'!D$17*1*0.34))</f>
        <v>7.2601209036107281</v>
      </c>
      <c r="AP332" s="954">
        <f ca="1">IF(AO332&lt;User_sheet!B$59,0,BC332*AA332)</f>
        <v>0</v>
      </c>
      <c r="AQ332" s="313"/>
      <c r="AR332" s="909">
        <v>0.32</v>
      </c>
      <c r="AS332" s="1020">
        <v>2.41</v>
      </c>
      <c r="AT332" s="909">
        <v>0.59</v>
      </c>
      <c r="AU332" s="909">
        <v>2</v>
      </c>
      <c r="AV332" s="909">
        <v>3.3</v>
      </c>
      <c r="AW332" s="909">
        <v>14356</v>
      </c>
      <c r="AX332" s="909">
        <v>75945.51234133933</v>
      </c>
      <c r="AY332" s="909">
        <v>64021.679041832605</v>
      </c>
      <c r="AZ332" s="917">
        <v>0</v>
      </c>
      <c r="BA332" s="917">
        <v>0</v>
      </c>
      <c r="BB332" s="909">
        <v>0.6</v>
      </c>
      <c r="BC332" s="919">
        <v>0</v>
      </c>
      <c r="BD332" s="920">
        <v>1</v>
      </c>
      <c r="BE332" s="920">
        <v>0</v>
      </c>
      <c r="BF332" s="921">
        <v>0</v>
      </c>
      <c r="BG332" s="909">
        <v>1</v>
      </c>
      <c r="BH332" s="909">
        <v>0</v>
      </c>
      <c r="BI332" s="921">
        <v>0</v>
      </c>
      <c r="BJ332" s="909">
        <v>0</v>
      </c>
      <c r="BK332" s="909">
        <v>0</v>
      </c>
      <c r="BL332" s="909">
        <v>1</v>
      </c>
      <c r="BM332" s="921">
        <v>0</v>
      </c>
      <c r="BN332" s="958">
        <v>0.08</v>
      </c>
      <c r="BO332" s="959">
        <v>16.3</v>
      </c>
      <c r="BP332">
        <f t="shared" ca="1" si="394"/>
        <v>185.6</v>
      </c>
      <c r="BQ332">
        <f t="shared" ca="1" si="395"/>
        <v>361.17052631578946</v>
      </c>
      <c r="BR332">
        <f t="shared" ca="1" si="396"/>
        <v>84.1</v>
      </c>
      <c r="BS332">
        <f t="shared" ca="1" si="397"/>
        <v>115.78052631578947</v>
      </c>
      <c r="BT332">
        <f t="shared" ca="1" si="398"/>
        <v>75.400000000000006</v>
      </c>
      <c r="BU332">
        <f t="shared" ca="1" si="399"/>
        <v>22</v>
      </c>
      <c r="BV332">
        <f t="shared" ca="1" si="400"/>
        <v>2.15</v>
      </c>
      <c r="BW332" s="1018">
        <v>0</v>
      </c>
      <c r="BX332">
        <f t="shared" ca="1" si="348"/>
        <v>25.497726124305199</v>
      </c>
      <c r="BY332">
        <f t="shared" ca="1" si="349"/>
        <v>196.81491706554075</v>
      </c>
      <c r="BZ332">
        <f t="shared" ca="1" si="330"/>
        <v>13.318356114672797</v>
      </c>
      <c r="CA332">
        <f t="shared" ca="1" si="331"/>
        <v>43.999999982399999</v>
      </c>
      <c r="CB332">
        <f t="shared" ca="1" si="350"/>
        <v>4.5133587786259541</v>
      </c>
      <c r="CC332" s="1018">
        <f t="shared" si="332"/>
        <v>0</v>
      </c>
      <c r="CD332" s="1018">
        <f t="shared" ca="1" si="402"/>
        <v>308.09880017080786</v>
      </c>
      <c r="CE332" s="1018">
        <f t="shared" ca="1" si="344"/>
        <v>148.36563336164974</v>
      </c>
      <c r="CF332">
        <f t="shared" ca="1" si="333"/>
        <v>13.693933005973729</v>
      </c>
      <c r="CG332">
        <f t="shared" ca="1" si="334"/>
        <v>22799.850697626018</v>
      </c>
    </row>
    <row r="333" spans="3:85" x14ac:dyDescent="0.25">
      <c r="D333" s="1"/>
      <c r="F333" s="1"/>
      <c r="G333" s="3"/>
      <c r="H333" s="6"/>
      <c r="I333" s="3"/>
      <c r="K333" s="8"/>
      <c r="L333" s="6"/>
      <c r="M333" s="1"/>
      <c r="N333" s="1"/>
      <c r="O333" s="1"/>
      <c r="P333" s="1"/>
      <c r="Q333" s="1" t="s">
        <v>22</v>
      </c>
      <c r="R333" s="4"/>
      <c r="S333" s="1"/>
      <c r="T333" s="77"/>
      <c r="U333" s="22"/>
      <c r="X333" s="176">
        <f t="shared" si="401"/>
        <v>0</v>
      </c>
      <c r="Y333" s="34">
        <f>X333/Calculation_sheet!M$67</f>
        <v>0</v>
      </c>
      <c r="Z333" s="176">
        <f ca="1">IF(AN333&gt;0,Y333*Calculation_sheet!C$87,0)</f>
        <v>0</v>
      </c>
      <c r="AA333" s="176">
        <f t="shared" ca="1" si="403"/>
        <v>0</v>
      </c>
      <c r="AB333" s="176">
        <f ca="1">IF(AP333&gt;0,AA333*Calculation_sheet!C$94,0)</f>
        <v>0</v>
      </c>
      <c r="AC333" s="176">
        <f t="shared" ca="1" si="393"/>
        <v>0</v>
      </c>
      <c r="AD333" s="958">
        <f ca="1">AC333*Calculation_sheet!C$99</f>
        <v>0</v>
      </c>
      <c r="AE333" s="176">
        <f t="shared" ca="1" si="393"/>
        <v>0</v>
      </c>
      <c r="AF333" s="176">
        <f t="shared" ca="1" si="346"/>
        <v>0</v>
      </c>
      <c r="AG333" s="958">
        <f ca="1">AF333*User_sheet!B$77/100</f>
        <v>0</v>
      </c>
      <c r="AH333" s="313"/>
      <c r="AI333" s="908">
        <v>203</v>
      </c>
      <c r="AJ333" s="313"/>
      <c r="AK333" s="1020">
        <f t="shared" ca="1" si="329"/>
        <v>308.09880017080786</v>
      </c>
      <c r="AL333" s="954">
        <f ca="1">AK333/'203'!I$24</f>
        <v>1.0780958525856885</v>
      </c>
      <c r="AM333" s="954">
        <f ca="1">0.8*(AK333*30+'203'!D$17*0.34*30*1)</f>
        <v>10737.93549883623</v>
      </c>
      <c r="AN333" s="954">
        <f ca="1">IF(AM333&lt;User_sheet!B$50,Y333,0)</f>
        <v>0</v>
      </c>
      <c r="AO333" s="954">
        <f ca="1">20-(User_sheet!B$57/(AK333+'203'!D$17*1*0.34))</f>
        <v>7.2601209036107281</v>
      </c>
      <c r="AP333" s="954">
        <f ca="1">IF(AO333&lt;User_sheet!B$59,0,BC333*AA333)</f>
        <v>0</v>
      </c>
      <c r="AQ333" s="313"/>
      <c r="AR333" s="909">
        <v>0.32</v>
      </c>
      <c r="AS333" s="1020">
        <v>2.41</v>
      </c>
      <c r="AT333" s="909">
        <v>0.59</v>
      </c>
      <c r="AU333" s="909">
        <v>2</v>
      </c>
      <c r="AV333" s="909">
        <v>3.3</v>
      </c>
      <c r="AW333" s="909">
        <v>14356</v>
      </c>
      <c r="AX333" s="909">
        <v>75945.51234133933</v>
      </c>
      <c r="AY333" s="909">
        <v>64021.679041832605</v>
      </c>
      <c r="AZ333" s="917">
        <v>0</v>
      </c>
      <c r="BA333" s="917">
        <v>0</v>
      </c>
      <c r="BB333" s="909">
        <v>0.6</v>
      </c>
      <c r="BC333" s="919">
        <v>0</v>
      </c>
      <c r="BD333" s="920">
        <v>1</v>
      </c>
      <c r="BE333" s="920">
        <v>0</v>
      </c>
      <c r="BF333" s="921">
        <v>0</v>
      </c>
      <c r="BG333" s="909">
        <v>0</v>
      </c>
      <c r="BH333" s="909">
        <v>1</v>
      </c>
      <c r="BI333" s="921">
        <v>0</v>
      </c>
      <c r="BJ333" s="909">
        <v>0</v>
      </c>
      <c r="BK333" s="909">
        <v>1</v>
      </c>
      <c r="BL333" s="909">
        <v>0</v>
      </c>
      <c r="BM333" s="921">
        <v>0</v>
      </c>
      <c r="BN333" s="958">
        <v>0.08</v>
      </c>
      <c r="BO333" s="959">
        <v>16.3</v>
      </c>
      <c r="BP333">
        <f t="shared" ca="1" si="394"/>
        <v>185.6</v>
      </c>
      <c r="BQ333">
        <f t="shared" ca="1" si="395"/>
        <v>361.17052631578946</v>
      </c>
      <c r="BR333">
        <f t="shared" ca="1" si="396"/>
        <v>84.1</v>
      </c>
      <c r="BS333">
        <f t="shared" ca="1" si="397"/>
        <v>115.78052631578947</v>
      </c>
      <c r="BT333">
        <f t="shared" ca="1" si="398"/>
        <v>75.400000000000006</v>
      </c>
      <c r="BU333">
        <f t="shared" ca="1" si="399"/>
        <v>22</v>
      </c>
      <c r="BV333">
        <f t="shared" ca="1" si="400"/>
        <v>2.15</v>
      </c>
      <c r="BW333" s="1018">
        <v>0</v>
      </c>
      <c r="BX333">
        <f t="shared" ca="1" si="348"/>
        <v>25.497726124305199</v>
      </c>
      <c r="BY333">
        <f t="shared" ca="1" si="349"/>
        <v>196.81491706554075</v>
      </c>
      <c r="BZ333">
        <f t="shared" ca="1" si="330"/>
        <v>13.318356114672797</v>
      </c>
      <c r="CA333">
        <f t="shared" ca="1" si="331"/>
        <v>43.999999982399999</v>
      </c>
      <c r="CB333">
        <f t="shared" ca="1" si="350"/>
        <v>4.5133587786259541</v>
      </c>
      <c r="CC333" s="1018">
        <f t="shared" si="332"/>
        <v>0</v>
      </c>
      <c r="CD333" s="1018">
        <f t="shared" ca="1" si="402"/>
        <v>308.09880017080786</v>
      </c>
      <c r="CE333" s="1018">
        <f t="shared" ca="1" si="344"/>
        <v>148.36563336164974</v>
      </c>
      <c r="CF333">
        <f t="shared" ca="1" si="333"/>
        <v>13.693933005973729</v>
      </c>
      <c r="CG333">
        <f t="shared" ca="1" si="334"/>
        <v>22799.850697626018</v>
      </c>
    </row>
    <row r="334" spans="3:85" x14ac:dyDescent="0.25">
      <c r="D334" s="1"/>
      <c r="F334" s="1"/>
      <c r="G334" s="3"/>
      <c r="H334" s="6"/>
      <c r="I334" s="3"/>
      <c r="J334" s="6"/>
      <c r="K334" s="8"/>
      <c r="L334" s="3"/>
      <c r="M334" s="1" t="s">
        <v>22</v>
      </c>
      <c r="N334" s="4"/>
      <c r="O334" s="1" t="s">
        <v>20</v>
      </c>
      <c r="P334" s="4"/>
      <c r="Q334" s="1" t="s">
        <v>7</v>
      </c>
      <c r="R334" s="4"/>
      <c r="S334" s="1"/>
      <c r="T334" s="77"/>
      <c r="U334" s="22"/>
      <c r="X334" s="176">
        <f t="shared" si="401"/>
        <v>0</v>
      </c>
      <c r="Y334" s="34">
        <f>X334/Calculation_sheet!M$67</f>
        <v>0</v>
      </c>
      <c r="Z334" s="176">
        <f ca="1">IF(AN334&gt;0,Y334*Calculation_sheet!C$87,0)</f>
        <v>0</v>
      </c>
      <c r="AA334" s="176">
        <f t="shared" ca="1" si="403"/>
        <v>0</v>
      </c>
      <c r="AB334" s="176">
        <f ca="1">IF(AP334&gt;0,AA334*Calculation_sheet!C$94,0)</f>
        <v>0</v>
      </c>
      <c r="AC334" s="176">
        <f t="shared" ca="1" si="393"/>
        <v>0</v>
      </c>
      <c r="AD334" s="958">
        <f ca="1">AC334*Calculation_sheet!C$99</f>
        <v>0</v>
      </c>
      <c r="AE334" s="176">
        <f t="shared" ca="1" si="393"/>
        <v>0</v>
      </c>
      <c r="AF334" s="176">
        <f t="shared" ca="1" si="346"/>
        <v>0</v>
      </c>
      <c r="AG334" s="958">
        <f ca="1">AF334*User_sheet!B$77/100</f>
        <v>0</v>
      </c>
      <c r="AH334" s="313"/>
      <c r="AI334" s="908">
        <v>203</v>
      </c>
      <c r="AJ334" s="313"/>
      <c r="AK334" s="1020">
        <f t="shared" ref="AK334:AK397" ca="1" si="404">CD334</f>
        <v>308.09880017080786</v>
      </c>
      <c r="AL334" s="954">
        <f ca="1">AK334/'203'!I$24</f>
        <v>1.0780958525856885</v>
      </c>
      <c r="AM334" s="954">
        <f ca="1">0.8*(AK334*30+'203'!D$17*0.34*30*1)</f>
        <v>10737.93549883623</v>
      </c>
      <c r="AN334" s="954">
        <f ca="1">IF(AM334&lt;User_sheet!B$50,Y334,0)</f>
        <v>0</v>
      </c>
      <c r="AO334" s="954">
        <f ca="1">20-(User_sheet!B$57/(AK334+'203'!D$17*1*0.34))</f>
        <v>7.2601209036107281</v>
      </c>
      <c r="AP334" s="954">
        <f ca="1">IF(AO334&lt;User_sheet!B$59,0,BC334*AA334)</f>
        <v>0</v>
      </c>
      <c r="AQ334" s="313"/>
      <c r="AR334" s="909">
        <v>0.32</v>
      </c>
      <c r="AS334" s="1020">
        <v>2.41</v>
      </c>
      <c r="AT334" s="909">
        <v>0.59</v>
      </c>
      <c r="AU334" s="909">
        <v>2</v>
      </c>
      <c r="AV334" s="909">
        <v>3.3</v>
      </c>
      <c r="AW334" s="909">
        <v>14356</v>
      </c>
      <c r="AX334" s="909">
        <v>75945.51234133933</v>
      </c>
      <c r="AY334" s="909">
        <v>64021.679041832605</v>
      </c>
      <c r="AZ334" s="917">
        <v>0</v>
      </c>
      <c r="BA334" s="917">
        <v>0</v>
      </c>
      <c r="BB334" s="909">
        <v>0.6</v>
      </c>
      <c r="BC334" s="919">
        <v>0</v>
      </c>
      <c r="BD334" s="920">
        <v>1</v>
      </c>
      <c r="BE334" s="920">
        <v>0</v>
      </c>
      <c r="BF334" s="921">
        <v>0</v>
      </c>
      <c r="BG334" s="909">
        <v>0</v>
      </c>
      <c r="BH334" s="909">
        <v>1</v>
      </c>
      <c r="BI334" s="921">
        <v>0</v>
      </c>
      <c r="BJ334" s="909">
        <v>0</v>
      </c>
      <c r="BK334" s="909">
        <v>0</v>
      </c>
      <c r="BL334" s="909">
        <v>1</v>
      </c>
      <c r="BM334" s="921">
        <v>0</v>
      </c>
      <c r="BN334" s="958">
        <v>0.08</v>
      </c>
      <c r="BO334" s="959">
        <v>16.3</v>
      </c>
      <c r="BP334">
        <f t="shared" ca="1" si="394"/>
        <v>185.6</v>
      </c>
      <c r="BQ334">
        <f t="shared" ca="1" si="395"/>
        <v>361.17052631578946</v>
      </c>
      <c r="BR334">
        <f t="shared" ca="1" si="396"/>
        <v>84.1</v>
      </c>
      <c r="BS334">
        <f t="shared" ca="1" si="397"/>
        <v>115.78052631578947</v>
      </c>
      <c r="BT334">
        <f t="shared" ca="1" si="398"/>
        <v>75.400000000000006</v>
      </c>
      <c r="BU334">
        <f t="shared" ca="1" si="399"/>
        <v>22</v>
      </c>
      <c r="BV334">
        <f t="shared" ca="1" si="400"/>
        <v>2.15</v>
      </c>
      <c r="BW334" s="1018">
        <v>0</v>
      </c>
      <c r="BX334">
        <f t="shared" ca="1" si="348"/>
        <v>25.497726124305199</v>
      </c>
      <c r="BY334">
        <f t="shared" ca="1" si="349"/>
        <v>196.81491706554075</v>
      </c>
      <c r="BZ334">
        <f t="shared" ref="BZ334:BZ397" ca="1" si="405">IF(BT334=0,0,1/(1/(BT334*$BY$3)+1/(BT334*AT334)+1/(BT334*$BY$4)))*0.33</f>
        <v>13.318356114672797</v>
      </c>
      <c r="CA334">
        <f t="shared" ref="CA334:CA397" ca="1" si="406">IF(BU334=0,0,1/(1/(BU334*$BY$5)+1/(BU334*AU334)+1/(BU334*$BY$6)))</f>
        <v>43.999999982399999</v>
      </c>
      <c r="CB334">
        <f t="shared" ca="1" si="350"/>
        <v>4.5133587786259541</v>
      </c>
      <c r="CC334" s="1018">
        <f t="shared" ref="CC334:CC397" si="407">0.67*IF(BW334=0,0,1/(1/(BW334*$BY$3)+1/(BW334*AS334)+1/(BW334*$BY$4)))</f>
        <v>0</v>
      </c>
      <c r="CD334" s="1018">
        <f t="shared" ca="1" si="402"/>
        <v>308.09880017080786</v>
      </c>
      <c r="CE334" s="1018">
        <f t="shared" ca="1" si="344"/>
        <v>148.36563336164974</v>
      </c>
      <c r="CF334">
        <f t="shared" ref="CF334:CF397" ca="1" si="408">(CD334+CE334)*($BY$7-$BV$5)/1000</f>
        <v>13.693933005973729</v>
      </c>
      <c r="CG334">
        <f t="shared" ref="CG334:CG397" ca="1" si="409">$BV$8*(CD334+CE334)*($BY$10-$BV$7)*24/1000</f>
        <v>22799.850697626018</v>
      </c>
    </row>
    <row r="335" spans="3:85" x14ac:dyDescent="0.25">
      <c r="D335" s="1"/>
      <c r="F335" s="1"/>
      <c r="G335" s="3"/>
      <c r="H335" s="6"/>
      <c r="I335" s="3"/>
      <c r="J335" s="6"/>
      <c r="K335" s="8"/>
      <c r="L335" s="7"/>
      <c r="M335" s="1" t="s">
        <v>7</v>
      </c>
      <c r="N335" s="4"/>
      <c r="O335" s="1" t="s">
        <v>23</v>
      </c>
      <c r="P335" s="4"/>
      <c r="Q335" s="1" t="s">
        <v>7</v>
      </c>
      <c r="R335" s="4"/>
      <c r="S335" s="1"/>
      <c r="T335" s="77"/>
      <c r="U335" s="22"/>
      <c r="X335" s="176">
        <f t="shared" si="401"/>
        <v>0</v>
      </c>
      <c r="Y335" s="34">
        <f>X335/Calculation_sheet!M$67</f>
        <v>0</v>
      </c>
      <c r="Z335" s="176">
        <f ca="1">IF(AN335&gt;0,Y335*Calculation_sheet!C$87,0)</f>
        <v>0</v>
      </c>
      <c r="AA335" s="176">
        <f t="shared" ca="1" si="403"/>
        <v>0</v>
      </c>
      <c r="AB335" s="176">
        <f ca="1">IF(AP335&gt;0,AA335*Calculation_sheet!C$94,0)</f>
        <v>0</v>
      </c>
      <c r="AC335" s="176">
        <f t="shared" ca="1" si="393"/>
        <v>0</v>
      </c>
      <c r="AD335" s="958">
        <f ca="1">AC335*Calculation_sheet!C$99</f>
        <v>0</v>
      </c>
      <c r="AE335" s="176">
        <f t="shared" ca="1" si="393"/>
        <v>0</v>
      </c>
      <c r="AF335" s="176">
        <f t="shared" ca="1" si="346"/>
        <v>0</v>
      </c>
      <c r="AG335" s="958">
        <f ca="1">AF335*User_sheet!B$77/100</f>
        <v>0</v>
      </c>
      <c r="AH335" s="313"/>
      <c r="AI335" s="908">
        <v>203</v>
      </c>
      <c r="AJ335" s="313"/>
      <c r="AK335" s="1020">
        <f t="shared" ca="1" si="404"/>
        <v>308.09880017080786</v>
      </c>
      <c r="AL335" s="954">
        <f ca="1">AK335/'203'!I$24</f>
        <v>1.0780958525856885</v>
      </c>
      <c r="AM335" s="954">
        <f ca="1">0.8*(AK335*30+'203'!D$17*0.34*30*1)</f>
        <v>10737.93549883623</v>
      </c>
      <c r="AN335" s="954">
        <f ca="1">IF(AM335&lt;User_sheet!B$50,Y335,0)</f>
        <v>0</v>
      </c>
      <c r="AO335" s="954">
        <f ca="1">20-(User_sheet!B$57/(AK335+'203'!D$17*1*0.34))</f>
        <v>7.2601209036107281</v>
      </c>
      <c r="AP335" s="954">
        <f ca="1">IF(AO335&lt;User_sheet!B$59,0,BC335*AA335)</f>
        <v>0</v>
      </c>
      <c r="AQ335" s="313"/>
      <c r="AR335" s="909">
        <v>0.32</v>
      </c>
      <c r="AS335" s="1020">
        <v>2.41</v>
      </c>
      <c r="AT335" s="909">
        <v>0.59</v>
      </c>
      <c r="AU335" s="909">
        <v>2</v>
      </c>
      <c r="AV335" s="909">
        <v>3.3</v>
      </c>
      <c r="AW335" s="909">
        <v>14356</v>
      </c>
      <c r="AX335" s="909">
        <v>75945.51234133933</v>
      </c>
      <c r="AY335" s="909">
        <v>64021.679041832605</v>
      </c>
      <c r="AZ335" s="917">
        <v>0</v>
      </c>
      <c r="BA335" s="917">
        <v>0</v>
      </c>
      <c r="BB335" s="909">
        <v>0.6</v>
      </c>
      <c r="BC335" s="919">
        <v>0</v>
      </c>
      <c r="BD335" s="920">
        <v>0</v>
      </c>
      <c r="BE335" s="920">
        <v>1</v>
      </c>
      <c r="BF335" s="921">
        <v>0</v>
      </c>
      <c r="BG335" s="909">
        <v>0</v>
      </c>
      <c r="BH335" s="909">
        <v>0</v>
      </c>
      <c r="BI335" s="921">
        <v>1</v>
      </c>
      <c r="BJ335" s="909">
        <v>0</v>
      </c>
      <c r="BK335" s="909">
        <v>0</v>
      </c>
      <c r="BL335" s="909">
        <v>1</v>
      </c>
      <c r="BM335" s="921">
        <v>0</v>
      </c>
      <c r="BN335" s="958">
        <v>0.08</v>
      </c>
      <c r="BO335" s="959">
        <v>16.3</v>
      </c>
      <c r="BP335">
        <f t="shared" ca="1" si="394"/>
        <v>185.6</v>
      </c>
      <c r="BQ335">
        <f t="shared" ca="1" si="395"/>
        <v>361.17052631578946</v>
      </c>
      <c r="BR335">
        <f t="shared" ca="1" si="396"/>
        <v>84.1</v>
      </c>
      <c r="BS335">
        <f t="shared" ca="1" si="397"/>
        <v>115.78052631578947</v>
      </c>
      <c r="BT335">
        <f t="shared" ca="1" si="398"/>
        <v>75.400000000000006</v>
      </c>
      <c r="BU335">
        <f t="shared" ca="1" si="399"/>
        <v>22</v>
      </c>
      <c r="BV335">
        <f t="shared" ca="1" si="400"/>
        <v>2.15</v>
      </c>
      <c r="BW335" s="1018">
        <v>0</v>
      </c>
      <c r="BX335">
        <f t="shared" ca="1" si="348"/>
        <v>25.497726124305199</v>
      </c>
      <c r="BY335">
        <f t="shared" ca="1" si="349"/>
        <v>196.81491706554075</v>
      </c>
      <c r="BZ335">
        <f t="shared" ca="1" si="405"/>
        <v>13.318356114672797</v>
      </c>
      <c r="CA335">
        <f t="shared" ca="1" si="406"/>
        <v>43.999999982399999</v>
      </c>
      <c r="CB335">
        <f t="shared" ca="1" si="350"/>
        <v>4.5133587786259541</v>
      </c>
      <c r="CC335" s="1018">
        <f t="shared" si="407"/>
        <v>0</v>
      </c>
      <c r="CD335" s="1018">
        <f t="shared" ca="1" si="402"/>
        <v>308.09880017080786</v>
      </c>
      <c r="CE335" s="1018">
        <f t="shared" ca="1" si="344"/>
        <v>148.36563336164974</v>
      </c>
      <c r="CF335">
        <f t="shared" ca="1" si="408"/>
        <v>13.693933005973729</v>
      </c>
      <c r="CG335">
        <f t="shared" ca="1" si="409"/>
        <v>22799.850697626018</v>
      </c>
    </row>
    <row r="336" spans="3:85" s="11" customFormat="1" x14ac:dyDescent="0.25">
      <c r="D336" s="12"/>
      <c r="F336" s="12"/>
      <c r="H336" s="12"/>
      <c r="J336" s="12"/>
      <c r="K336" s="13"/>
      <c r="L336" s="12"/>
      <c r="M336" s="12"/>
      <c r="N336" s="12"/>
      <c r="O336" s="12"/>
      <c r="P336" s="12"/>
      <c r="Q336" s="12"/>
      <c r="R336" s="12"/>
      <c r="S336" s="12"/>
      <c r="T336" s="82"/>
      <c r="V336" s="292"/>
      <c r="W336" s="292"/>
      <c r="X336" s="292"/>
      <c r="Y336" s="277"/>
      <c r="Z336" s="292"/>
      <c r="AA336" s="292"/>
      <c r="AB336" s="292"/>
      <c r="AC336" s="292"/>
      <c r="AD336" s="277"/>
      <c r="AE336" s="292"/>
      <c r="AF336" s="292"/>
      <c r="AG336" s="277"/>
      <c r="AH336" s="313"/>
      <c r="AI336" s="912"/>
      <c r="AJ336" s="313"/>
      <c r="AK336" s="1020">
        <f t="shared" si="404"/>
        <v>0</v>
      </c>
      <c r="AL336" s="941"/>
      <c r="AM336" s="941"/>
      <c r="AN336" s="941"/>
      <c r="AO336" s="941"/>
      <c r="AP336" s="941"/>
      <c r="AQ336" s="313"/>
      <c r="AR336" s="918"/>
      <c r="AS336" s="941"/>
      <c r="AT336" s="918"/>
      <c r="AU336" s="918"/>
      <c r="AV336" s="918"/>
      <c r="AW336" s="918"/>
      <c r="AX336" s="918"/>
      <c r="AY336" s="918"/>
      <c r="AZ336" s="918"/>
      <c r="BA336" s="918"/>
      <c r="BB336" s="918"/>
      <c r="BC336" s="45"/>
      <c r="BD336" s="277"/>
      <c r="BE336" s="277"/>
      <c r="BF336" s="49"/>
      <c r="BG336" s="918"/>
      <c r="BH336" s="918"/>
      <c r="BI336" s="49"/>
      <c r="BJ336" s="918"/>
      <c r="BK336" s="918"/>
      <c r="BL336" s="918"/>
      <c r="BM336" s="49"/>
      <c r="BN336" s="277"/>
      <c r="BO336" s="49"/>
      <c r="BW336" s="946"/>
      <c r="CC336" s="946"/>
      <c r="CD336" s="946"/>
      <c r="CE336" s="946"/>
    </row>
    <row r="337" spans="3:85" x14ac:dyDescent="0.25">
      <c r="C337" s="569"/>
      <c r="D337" s="570"/>
      <c r="E337" s="569"/>
      <c r="F337" s="570"/>
      <c r="G337" s="569"/>
      <c r="H337" s="574"/>
      <c r="I337" s="569"/>
      <c r="J337" s="570"/>
      <c r="K337" s="572"/>
      <c r="L337" s="574"/>
      <c r="M337" s="570"/>
      <c r="N337" s="570"/>
      <c r="O337" s="570"/>
      <c r="P337" s="570"/>
      <c r="Q337" s="570" t="s">
        <v>16</v>
      </c>
      <c r="R337" s="571">
        <v>0.92569999999999997</v>
      </c>
      <c r="S337" s="570"/>
      <c r="T337" s="578">
        <v>1.5659428536810827E-3</v>
      </c>
      <c r="U337" s="569"/>
      <c r="V337" s="176">
        <f t="shared" si="335"/>
        <v>1.5659428536810827E-3</v>
      </c>
      <c r="W337" s="176">
        <f>V337-V337*Calculation_sheet!J$68</f>
        <v>1.5659428536810827E-3</v>
      </c>
      <c r="X337" s="176">
        <f>W337-W337*Calculation_sheet!E$78</f>
        <v>1.5659428536810827E-3</v>
      </c>
      <c r="Y337" s="34">
        <f>X337/Calculation_sheet!M$67</f>
        <v>1.5659748716199239E-3</v>
      </c>
      <c r="Z337" s="176">
        <f ca="1">IF(AN337&gt;0,Y337*Calculation_sheet!C$87,0)</f>
        <v>0</v>
      </c>
      <c r="AA337" s="176">
        <f t="shared" ref="AA337:AA400" ca="1" si="410">Y337-Z337</f>
        <v>1.5659748716199239E-3</v>
      </c>
      <c r="AB337" s="176">
        <f ca="1">IF(AP337&gt;0,AA337*Calculation_sheet!C$94,0)</f>
        <v>0</v>
      </c>
      <c r="AC337" s="176">
        <f t="shared" ref="AC337:AE345" ca="1" si="411">AA337-AB337</f>
        <v>1.5659748716199239E-3</v>
      </c>
      <c r="AD337" s="958">
        <f ca="1">AC337*Calculation_sheet!C$99</f>
        <v>9.3958492297195433E-4</v>
      </c>
      <c r="AE337" s="176">
        <f t="shared" ca="1" si="411"/>
        <v>6.2638994864796962E-4</v>
      </c>
      <c r="AF337" s="176">
        <f t="shared" ca="1" si="346"/>
        <v>1.5659748716199239E-3</v>
      </c>
      <c r="AG337" s="958">
        <f ca="1">AF337*User_sheet!B$77/100</f>
        <v>0</v>
      </c>
      <c r="AH337" s="313"/>
      <c r="AI337" s="908">
        <v>203</v>
      </c>
      <c r="AJ337" s="313"/>
      <c r="AK337" s="1020">
        <f t="shared" ca="1" si="404"/>
        <v>378.34970439900007</v>
      </c>
      <c r="AL337" s="954">
        <f ca="1">AK337/'203'!I$24</f>
        <v>1.3239170256860715</v>
      </c>
      <c r="AM337" s="954">
        <f ca="1">0.8*(AK337*30+'203'!D$17*0.34*30*1)</f>
        <v>12423.957200312845</v>
      </c>
      <c r="AN337" s="954">
        <f ca="1">IF(AM337&lt;User_sheet!B$50,Y337,0)</f>
        <v>0</v>
      </c>
      <c r="AO337" s="954">
        <f ca="1">20-(User_sheet!B$57/(AK337+'203'!D$17*1*0.34))</f>
        <v>8.9890155129836344</v>
      </c>
      <c r="AP337" s="954">
        <f ca="1">IF(AO337&lt;User_sheet!B$59,0,BC337*AA337)</f>
        <v>0</v>
      </c>
      <c r="AQ337" s="313"/>
      <c r="AR337" s="909">
        <v>0.88</v>
      </c>
      <c r="AS337" s="1020">
        <v>2.41</v>
      </c>
      <c r="AT337" s="909">
        <v>1.42</v>
      </c>
      <c r="AU337" s="909">
        <v>2.75</v>
      </c>
      <c r="AV337" s="909">
        <v>3.3</v>
      </c>
      <c r="AW337" s="909">
        <v>11922.428413610982</v>
      </c>
      <c r="AX337" s="909">
        <v>75945.51234133933</v>
      </c>
      <c r="AY337" s="909">
        <v>62673.095488422703</v>
      </c>
      <c r="AZ337" s="909">
        <v>0</v>
      </c>
      <c r="BA337" s="909">
        <v>0</v>
      </c>
      <c r="BB337" s="909">
        <v>0.6</v>
      </c>
      <c r="BC337" s="919">
        <v>1</v>
      </c>
      <c r="BD337" s="920">
        <v>0</v>
      </c>
      <c r="BE337" s="920">
        <v>0</v>
      </c>
      <c r="BF337" s="921">
        <v>0</v>
      </c>
      <c r="BG337" s="909">
        <v>1</v>
      </c>
      <c r="BH337" s="909">
        <v>0</v>
      </c>
      <c r="BI337" s="921">
        <v>0</v>
      </c>
      <c r="BJ337" s="909">
        <v>1</v>
      </c>
      <c r="BK337" s="909">
        <v>0</v>
      </c>
      <c r="BL337" s="909">
        <v>0</v>
      </c>
      <c r="BM337" s="921">
        <v>0</v>
      </c>
      <c r="BN337" s="958">
        <v>0.08</v>
      </c>
      <c r="BO337" s="959">
        <v>16.3</v>
      </c>
      <c r="BP337">
        <f t="shared" ref="BP337:BP345" ca="1" si="412">INDIRECT("'"&amp;AI337&amp;"'!"&amp;"B2")</f>
        <v>185.6</v>
      </c>
      <c r="BQ337">
        <f t="shared" ref="BQ337:BQ345" ca="1" si="413">INDIRECT("'"&amp;AI337&amp;"'!"&amp;"C12")+INDIRECT("'"&amp;AI337&amp;"'!"&amp;"C13")+INDIRECT("'"&amp;AI337&amp;"'!"&amp;"C14")+INDIRECT("'"&amp;AI337&amp;"'!"&amp;"C15")+INDIRECT("'"&amp;AI337&amp;"'!"&amp;"C17")</f>
        <v>361.17052631578946</v>
      </c>
      <c r="BR337">
        <f t="shared" ref="BR337:BR345" ca="1" si="414">INDIRECT("'"&amp;AI337&amp;"'!"&amp;"G5")</f>
        <v>84.1</v>
      </c>
      <c r="BS337">
        <f t="shared" ref="BS337:BS345" ca="1" si="415">INDIRECT("'"&amp;AI337&amp;"'!"&amp;"G4")</f>
        <v>115.78052631578947</v>
      </c>
      <c r="BT337">
        <f t="shared" ref="BT337:BT345" ca="1" si="416">INDIRECT("'"&amp;AI337&amp;"'!"&amp;"G6")</f>
        <v>75.400000000000006</v>
      </c>
      <c r="BU337">
        <f t="shared" ref="BU337:BU345" ca="1" si="417">INDIRECT("'"&amp;AI337&amp;"'!"&amp;"G2")</f>
        <v>22</v>
      </c>
      <c r="BV337">
        <f t="shared" ref="BV337:BV345" ca="1" si="418">INDIRECT("'"&amp;AI337&amp;"'!"&amp;"G3")</f>
        <v>2.15</v>
      </c>
      <c r="BW337" s="1018">
        <v>0</v>
      </c>
      <c r="BX337">
        <f t="shared" ca="1" si="348"/>
        <v>64.2133271633503</v>
      </c>
      <c r="BY337">
        <f t="shared" ca="1" si="349"/>
        <v>196.81491706554075</v>
      </c>
      <c r="BZ337">
        <f t="shared" ca="1" si="405"/>
        <v>28.353659319494973</v>
      </c>
      <c r="CA337">
        <f t="shared" ca="1" si="406"/>
        <v>60.499999966724999</v>
      </c>
      <c r="CB337">
        <f t="shared" ca="1" si="350"/>
        <v>4.5133587786259541</v>
      </c>
      <c r="CC337" s="1018">
        <f t="shared" si="407"/>
        <v>0</v>
      </c>
      <c r="CD337" s="1018">
        <f ca="1">SUM(BX337:CC337)+(BR337+BS337+BT337+BU337+BV337)*BN337</f>
        <v>378.34970439900007</v>
      </c>
      <c r="CE337" s="1018">
        <f t="shared" ref="CE337:CE345" ca="1" si="419">0.34*BO337*(1/25)^0.66*(BR337+BS337+BU337+BV337)</f>
        <v>148.36563336164974</v>
      </c>
      <c r="CF337">
        <f t="shared" ca="1" si="408"/>
        <v>15.801460132819495</v>
      </c>
      <c r="CG337">
        <f t="shared" ca="1" si="409"/>
        <v>26308.799062739148</v>
      </c>
    </row>
    <row r="338" spans="3:85" x14ac:dyDescent="0.25">
      <c r="C338" s="569"/>
      <c r="D338" s="570"/>
      <c r="E338" s="569"/>
      <c r="F338" s="570"/>
      <c r="G338" s="569"/>
      <c r="H338" s="574"/>
      <c r="I338" s="569"/>
      <c r="J338" s="570"/>
      <c r="K338" s="572"/>
      <c r="L338" s="574"/>
      <c r="M338" s="570"/>
      <c r="N338" s="570"/>
      <c r="O338" s="570" t="s">
        <v>18</v>
      </c>
      <c r="P338" s="571">
        <v>0.89156626500000002</v>
      </c>
      <c r="Q338" s="570" t="s">
        <v>7</v>
      </c>
      <c r="R338" s="571">
        <v>7.4300000000000005E-2</v>
      </c>
      <c r="S338" s="570"/>
      <c r="T338" s="578">
        <v>1.2568818626823426E-4</v>
      </c>
      <c r="U338" s="569"/>
      <c r="V338" s="176">
        <f t="shared" si="335"/>
        <v>1.2568818626823426E-4</v>
      </c>
      <c r="W338" s="176">
        <f>V338-V338*Calculation_sheet!J$68</f>
        <v>1.2568818626823426E-4</v>
      </c>
      <c r="X338" s="176">
        <f>W338-W338*Calculation_sheet!E$78</f>
        <v>1.2568818626823426E-4</v>
      </c>
      <c r="Y338" s="34">
        <f>X338/Calculation_sheet!M$67</f>
        <v>1.2569075614276803E-4</v>
      </c>
      <c r="Z338" s="176">
        <f ca="1">IF(AN338&gt;0,Y338*Calculation_sheet!C$87,0)</f>
        <v>0</v>
      </c>
      <c r="AA338" s="176">
        <f t="shared" ca="1" si="410"/>
        <v>1.2569075614276803E-4</v>
      </c>
      <c r="AB338" s="176">
        <f ca="1">IF(AP338&gt;0,AA338*Calculation_sheet!C$94,0)</f>
        <v>0</v>
      </c>
      <c r="AC338" s="176">
        <f t="shared" ca="1" si="411"/>
        <v>1.2569075614276803E-4</v>
      </c>
      <c r="AD338" s="958">
        <f ca="1">AC338*Calculation_sheet!C$99</f>
        <v>7.541445368566081E-5</v>
      </c>
      <c r="AE338" s="176">
        <f t="shared" ca="1" si="411"/>
        <v>5.0276302457107216E-5</v>
      </c>
      <c r="AF338" s="176">
        <f t="shared" ca="1" si="346"/>
        <v>1.2569075614276803E-4</v>
      </c>
      <c r="AG338" s="958">
        <f ca="1">AF338*User_sheet!B$77/100</f>
        <v>0</v>
      </c>
      <c r="AH338" s="313"/>
      <c r="AI338" s="908">
        <v>203</v>
      </c>
      <c r="AJ338" s="313"/>
      <c r="AK338" s="1020">
        <f t="shared" ca="1" si="404"/>
        <v>378.34970439900007</v>
      </c>
      <c r="AL338" s="954">
        <f ca="1">AK338/'203'!I$24</f>
        <v>1.3239170256860715</v>
      </c>
      <c r="AM338" s="954">
        <f ca="1">0.8*(AK338*30+'203'!D$17*0.34*30*1)</f>
        <v>12423.957200312845</v>
      </c>
      <c r="AN338" s="954">
        <f ca="1">IF(AM338&lt;User_sheet!B$50,Y338,0)</f>
        <v>0</v>
      </c>
      <c r="AO338" s="954">
        <f ca="1">20-(User_sheet!B$57/(AK338+'203'!D$17*1*0.34))</f>
        <v>8.9890155129836344</v>
      </c>
      <c r="AP338" s="954">
        <f ca="1">IF(AO338&lt;User_sheet!B$59,0,BC338*AA338)</f>
        <v>0</v>
      </c>
      <c r="AQ338" s="313"/>
      <c r="AR338" s="909">
        <v>0.88</v>
      </c>
      <c r="AS338" s="1020">
        <v>2.41</v>
      </c>
      <c r="AT338" s="909">
        <v>1.42</v>
      </c>
      <c r="AU338" s="909">
        <v>2.75</v>
      </c>
      <c r="AV338" s="909">
        <v>3.3</v>
      </c>
      <c r="AW338" s="909">
        <v>11922.428413610982</v>
      </c>
      <c r="AX338" s="909">
        <v>75945.51234133933</v>
      </c>
      <c r="AY338" s="909">
        <v>62673.095488422703</v>
      </c>
      <c r="AZ338" s="909">
        <v>0</v>
      </c>
      <c r="BA338" s="909">
        <v>0</v>
      </c>
      <c r="BB338" s="909">
        <v>0.6</v>
      </c>
      <c r="BC338" s="919">
        <v>1</v>
      </c>
      <c r="BD338" s="920">
        <v>0</v>
      </c>
      <c r="BE338" s="920">
        <v>0</v>
      </c>
      <c r="BF338" s="921">
        <v>0</v>
      </c>
      <c r="BG338" s="909">
        <v>1</v>
      </c>
      <c r="BH338" s="909">
        <v>0</v>
      </c>
      <c r="BI338" s="921">
        <v>0</v>
      </c>
      <c r="BJ338" s="909">
        <v>0</v>
      </c>
      <c r="BK338" s="909">
        <v>0</v>
      </c>
      <c r="BL338" s="909">
        <v>1</v>
      </c>
      <c r="BM338" s="921">
        <v>0</v>
      </c>
      <c r="BN338" s="958">
        <v>0.08</v>
      </c>
      <c r="BO338" s="959">
        <v>16.3</v>
      </c>
      <c r="BP338">
        <f t="shared" ca="1" si="412"/>
        <v>185.6</v>
      </c>
      <c r="BQ338">
        <f t="shared" ca="1" si="413"/>
        <v>361.17052631578946</v>
      </c>
      <c r="BR338">
        <f t="shared" ca="1" si="414"/>
        <v>84.1</v>
      </c>
      <c r="BS338">
        <f t="shared" ca="1" si="415"/>
        <v>115.78052631578947</v>
      </c>
      <c r="BT338">
        <f t="shared" ca="1" si="416"/>
        <v>75.400000000000006</v>
      </c>
      <c r="BU338">
        <f t="shared" ca="1" si="417"/>
        <v>22</v>
      </c>
      <c r="BV338">
        <f t="shared" ca="1" si="418"/>
        <v>2.15</v>
      </c>
      <c r="BW338" s="1018">
        <v>0</v>
      </c>
      <c r="BX338">
        <f t="shared" ca="1" si="348"/>
        <v>64.2133271633503</v>
      </c>
      <c r="BY338">
        <f t="shared" ca="1" si="349"/>
        <v>196.81491706554075</v>
      </c>
      <c r="BZ338">
        <f t="shared" ca="1" si="405"/>
        <v>28.353659319494973</v>
      </c>
      <c r="CA338">
        <f t="shared" ca="1" si="406"/>
        <v>60.499999966724999</v>
      </c>
      <c r="CB338">
        <f t="shared" ca="1" si="350"/>
        <v>4.5133587786259541</v>
      </c>
      <c r="CC338" s="1018">
        <f t="shared" si="407"/>
        <v>0</v>
      </c>
      <c r="CD338" s="1018">
        <f t="shared" ref="CD338:CD345" ca="1" si="420">SUM(BX338:CC338)+(BR338+BS338+BT338+BU338+BV338)*BN338</f>
        <v>378.34970439900007</v>
      </c>
      <c r="CE338" s="1018">
        <f t="shared" ca="1" si="419"/>
        <v>148.36563336164974</v>
      </c>
      <c r="CF338">
        <f t="shared" ca="1" si="408"/>
        <v>15.801460132819495</v>
      </c>
      <c r="CG338">
        <f t="shared" ca="1" si="409"/>
        <v>26308.799062739148</v>
      </c>
    </row>
    <row r="339" spans="3:85" x14ac:dyDescent="0.25">
      <c r="C339" s="569"/>
      <c r="D339" s="570"/>
      <c r="E339" s="569"/>
      <c r="F339" s="570"/>
      <c r="G339" s="569"/>
      <c r="H339" s="574"/>
      <c r="I339" s="569"/>
      <c r="J339" s="570"/>
      <c r="K339" s="572"/>
      <c r="L339" s="574"/>
      <c r="M339" s="570"/>
      <c r="N339" s="570"/>
      <c r="O339" s="570"/>
      <c r="P339" s="570"/>
      <c r="Q339" s="570" t="s">
        <v>16</v>
      </c>
      <c r="R339" s="571">
        <v>0.92569999999999997</v>
      </c>
      <c r="S339" s="570"/>
      <c r="T339" s="578">
        <v>1.904525093501584E-4</v>
      </c>
      <c r="U339" s="569"/>
      <c r="V339" s="176">
        <f t="shared" si="335"/>
        <v>1.904525093501584E-4</v>
      </c>
      <c r="W339" s="176">
        <f>V339-V339*Calculation_sheet!J$68</f>
        <v>1.904525093501584E-4</v>
      </c>
      <c r="X339" s="176">
        <f>W339-W339*Calculation_sheet!E$78</f>
        <v>1.904525093501584E-4</v>
      </c>
      <c r="Y339" s="34">
        <f>X339/Calculation_sheet!M$67</f>
        <v>1.9045640342380368E-4</v>
      </c>
      <c r="Z339" s="176">
        <f ca="1">IF(AN339&gt;0,Y339*Calculation_sheet!C$87,0)</f>
        <v>0</v>
      </c>
      <c r="AA339" s="176">
        <f t="shared" ca="1" si="410"/>
        <v>1.9045640342380368E-4</v>
      </c>
      <c r="AB339" s="176">
        <f ca="1">IF(AP339&gt;0,AA339*Calculation_sheet!C$94,0)</f>
        <v>0</v>
      </c>
      <c r="AC339" s="176">
        <f t="shared" ca="1" si="411"/>
        <v>1.9045640342380368E-4</v>
      </c>
      <c r="AD339" s="958">
        <f ca="1">AC339*Calculation_sheet!C$99</f>
        <v>1.142738420542822E-4</v>
      </c>
      <c r="AE339" s="176">
        <f t="shared" ca="1" si="411"/>
        <v>7.6182561369521475E-5</v>
      </c>
      <c r="AF339" s="176">
        <f t="shared" ca="1" si="346"/>
        <v>1.9045640342380368E-4</v>
      </c>
      <c r="AG339" s="958">
        <f ca="1">AF339*User_sheet!B$77/100</f>
        <v>0</v>
      </c>
      <c r="AH339" s="313"/>
      <c r="AI339" s="908">
        <v>203</v>
      </c>
      <c r="AJ339" s="313"/>
      <c r="AK339" s="1020">
        <f t="shared" ca="1" si="404"/>
        <v>378.34970439900007</v>
      </c>
      <c r="AL339" s="954">
        <f ca="1">AK339/'203'!I$24</f>
        <v>1.3239170256860715</v>
      </c>
      <c r="AM339" s="954">
        <f ca="1">0.8*(AK339*30+'203'!D$17*0.34*30*1)</f>
        <v>12423.957200312845</v>
      </c>
      <c r="AN339" s="954">
        <f ca="1">IF(AM339&lt;User_sheet!B$50,Y339,0)</f>
        <v>0</v>
      </c>
      <c r="AO339" s="954">
        <f ca="1">20-(User_sheet!B$57/(AK339+'203'!D$17*1*0.34))</f>
        <v>8.9890155129836344</v>
      </c>
      <c r="AP339" s="954">
        <f ca="1">IF(AO339&lt;User_sheet!B$59,0,BC339*AA339)</f>
        <v>0</v>
      </c>
      <c r="AQ339" s="313"/>
      <c r="AR339" s="909">
        <v>0.88</v>
      </c>
      <c r="AS339" s="1020">
        <v>2.41</v>
      </c>
      <c r="AT339" s="909">
        <v>1.42</v>
      </c>
      <c r="AU339" s="909">
        <v>2.75</v>
      </c>
      <c r="AV339" s="909">
        <v>3.3</v>
      </c>
      <c r="AW339" s="909">
        <v>11922.428413610982</v>
      </c>
      <c r="AX339" s="909">
        <v>75945.51234133933</v>
      </c>
      <c r="AY339" s="909">
        <v>62673.095488422703</v>
      </c>
      <c r="AZ339" s="909">
        <v>0</v>
      </c>
      <c r="BA339" s="909">
        <v>0</v>
      </c>
      <c r="BB339" s="909">
        <v>0.6</v>
      </c>
      <c r="BC339" s="919">
        <v>1</v>
      </c>
      <c r="BD339" s="920">
        <v>0</v>
      </c>
      <c r="BE339" s="920">
        <v>0</v>
      </c>
      <c r="BF339" s="921">
        <v>0</v>
      </c>
      <c r="BG339" s="909">
        <v>0</v>
      </c>
      <c r="BH339" s="909">
        <v>1</v>
      </c>
      <c r="BI339" s="921">
        <v>0</v>
      </c>
      <c r="BJ339" s="909">
        <v>1</v>
      </c>
      <c r="BK339" s="909">
        <v>0</v>
      </c>
      <c r="BL339" s="909">
        <v>0</v>
      </c>
      <c r="BM339" s="921">
        <v>0</v>
      </c>
      <c r="BN339" s="958">
        <v>0.08</v>
      </c>
      <c r="BO339" s="959">
        <v>16.3</v>
      </c>
      <c r="BP339">
        <f t="shared" ca="1" si="412"/>
        <v>185.6</v>
      </c>
      <c r="BQ339">
        <f t="shared" ca="1" si="413"/>
        <v>361.17052631578946</v>
      </c>
      <c r="BR339">
        <f t="shared" ca="1" si="414"/>
        <v>84.1</v>
      </c>
      <c r="BS339">
        <f t="shared" ca="1" si="415"/>
        <v>115.78052631578947</v>
      </c>
      <c r="BT339">
        <f t="shared" ca="1" si="416"/>
        <v>75.400000000000006</v>
      </c>
      <c r="BU339">
        <f t="shared" ca="1" si="417"/>
        <v>22</v>
      </c>
      <c r="BV339">
        <f t="shared" ca="1" si="418"/>
        <v>2.15</v>
      </c>
      <c r="BW339" s="1018">
        <v>0</v>
      </c>
      <c r="BX339">
        <f t="shared" ca="1" si="348"/>
        <v>64.2133271633503</v>
      </c>
      <c r="BY339">
        <f t="shared" ca="1" si="349"/>
        <v>196.81491706554075</v>
      </c>
      <c r="BZ339">
        <f t="shared" ca="1" si="405"/>
        <v>28.353659319494973</v>
      </c>
      <c r="CA339">
        <f t="shared" ca="1" si="406"/>
        <v>60.499999966724999</v>
      </c>
      <c r="CB339">
        <f t="shared" ca="1" si="350"/>
        <v>4.5133587786259541</v>
      </c>
      <c r="CC339" s="1018">
        <f t="shared" si="407"/>
        <v>0</v>
      </c>
      <c r="CD339" s="1018">
        <f t="shared" ca="1" si="420"/>
        <v>378.34970439900007</v>
      </c>
      <c r="CE339" s="1018">
        <f t="shared" ca="1" si="419"/>
        <v>148.36563336164974</v>
      </c>
      <c r="CF339">
        <f t="shared" ca="1" si="408"/>
        <v>15.801460132819495</v>
      </c>
      <c r="CG339">
        <f t="shared" ca="1" si="409"/>
        <v>26308.799062739148</v>
      </c>
    </row>
    <row r="340" spans="3:85" x14ac:dyDescent="0.25">
      <c r="C340" s="569"/>
      <c r="D340" s="570"/>
      <c r="E340" s="569"/>
      <c r="F340" s="570"/>
      <c r="G340" s="569"/>
      <c r="H340" s="574"/>
      <c r="I340" s="569"/>
      <c r="J340" s="570"/>
      <c r="K340" s="572"/>
      <c r="L340" s="574"/>
      <c r="M340" s="570" t="s">
        <v>16</v>
      </c>
      <c r="N340" s="571">
        <v>0.41099999999999998</v>
      </c>
      <c r="O340" s="570" t="s">
        <v>19</v>
      </c>
      <c r="P340" s="571">
        <v>0.108433735</v>
      </c>
      <c r="Q340" s="570" t="s">
        <v>7</v>
      </c>
      <c r="R340" s="571">
        <v>7.4300000000000005E-2</v>
      </c>
      <c r="S340" s="570"/>
      <c r="T340" s="578">
        <v>1.5286401042148399E-5</v>
      </c>
      <c r="U340" s="569"/>
      <c r="V340" s="176">
        <f t="shared" si="335"/>
        <v>1.5286401042148399E-5</v>
      </c>
      <c r="W340" s="176">
        <f>V340-V340*Calculation_sheet!J$68</f>
        <v>1.5286401042148399E-5</v>
      </c>
      <c r="X340" s="176">
        <f>W340-W340*Calculation_sheet!E$78</f>
        <v>1.5286401042148399E-5</v>
      </c>
      <c r="Y340" s="34">
        <f>X340/Calculation_sheet!M$67</f>
        <v>1.5286713594456755E-5</v>
      </c>
      <c r="Z340" s="176">
        <f ca="1">IF(AN340&gt;0,Y340*Calculation_sheet!C$87,0)</f>
        <v>0</v>
      </c>
      <c r="AA340" s="176">
        <f t="shared" ca="1" si="410"/>
        <v>1.5286713594456755E-5</v>
      </c>
      <c r="AB340" s="176">
        <f ca="1">IF(AP340&gt;0,AA340*Calculation_sheet!C$94,0)</f>
        <v>0</v>
      </c>
      <c r="AC340" s="176">
        <f t="shared" ca="1" si="411"/>
        <v>1.5286713594456755E-5</v>
      </c>
      <c r="AD340" s="958">
        <f ca="1">AC340*Calculation_sheet!C$99</f>
        <v>9.1720281566740524E-6</v>
      </c>
      <c r="AE340" s="176">
        <f t="shared" ca="1" si="411"/>
        <v>6.1146854377827022E-6</v>
      </c>
      <c r="AF340" s="176">
        <f t="shared" ca="1" si="346"/>
        <v>1.5286713594456755E-5</v>
      </c>
      <c r="AG340" s="958">
        <f ca="1">AF340*User_sheet!B$77/100</f>
        <v>0</v>
      </c>
      <c r="AH340" s="313"/>
      <c r="AI340" s="908">
        <v>203</v>
      </c>
      <c r="AJ340" s="313"/>
      <c r="AK340" s="1020">
        <f t="shared" ca="1" si="404"/>
        <v>378.34970439900007</v>
      </c>
      <c r="AL340" s="954">
        <f ca="1">AK340/'203'!I$24</f>
        <v>1.3239170256860715</v>
      </c>
      <c r="AM340" s="954">
        <f ca="1">0.8*(AK340*30+'203'!D$17*0.34*30*1)</f>
        <v>12423.957200312845</v>
      </c>
      <c r="AN340" s="954">
        <f ca="1">IF(AM340&lt;User_sheet!B$50,Y340,0)</f>
        <v>0</v>
      </c>
      <c r="AO340" s="954">
        <f ca="1">20-(User_sheet!B$57/(AK340+'203'!D$17*1*0.34))</f>
        <v>8.9890155129836344</v>
      </c>
      <c r="AP340" s="954">
        <f ca="1">IF(AO340&lt;User_sheet!B$59,0,BC340*AA340)</f>
        <v>0</v>
      </c>
      <c r="AQ340" s="313"/>
      <c r="AR340" s="909">
        <v>0.88</v>
      </c>
      <c r="AS340" s="1020">
        <v>2.41</v>
      </c>
      <c r="AT340" s="909">
        <v>1.42</v>
      </c>
      <c r="AU340" s="909">
        <v>2.75</v>
      </c>
      <c r="AV340" s="909">
        <v>3.3</v>
      </c>
      <c r="AW340" s="909">
        <v>11922.428413610982</v>
      </c>
      <c r="AX340" s="909">
        <v>75945.51234133933</v>
      </c>
      <c r="AY340" s="909">
        <v>62673.095488422703</v>
      </c>
      <c r="AZ340" s="909">
        <v>0</v>
      </c>
      <c r="BA340" s="909">
        <v>0</v>
      </c>
      <c r="BB340" s="909">
        <v>0.6</v>
      </c>
      <c r="BC340" s="919">
        <v>1</v>
      </c>
      <c r="BD340" s="920">
        <v>0</v>
      </c>
      <c r="BE340" s="920">
        <v>0</v>
      </c>
      <c r="BF340" s="921">
        <v>0</v>
      </c>
      <c r="BG340" s="909">
        <v>0</v>
      </c>
      <c r="BH340" s="909">
        <v>1</v>
      </c>
      <c r="BI340" s="921">
        <v>0</v>
      </c>
      <c r="BJ340" s="909">
        <v>0</v>
      </c>
      <c r="BK340" s="909">
        <v>0</v>
      </c>
      <c r="BL340" s="909">
        <v>1</v>
      </c>
      <c r="BM340" s="921">
        <v>0</v>
      </c>
      <c r="BN340" s="958">
        <v>0.08</v>
      </c>
      <c r="BO340" s="959">
        <v>16.3</v>
      </c>
      <c r="BP340">
        <f t="shared" ca="1" si="412"/>
        <v>185.6</v>
      </c>
      <c r="BQ340">
        <f t="shared" ca="1" si="413"/>
        <v>361.17052631578946</v>
      </c>
      <c r="BR340">
        <f t="shared" ca="1" si="414"/>
        <v>84.1</v>
      </c>
      <c r="BS340">
        <f t="shared" ca="1" si="415"/>
        <v>115.78052631578947</v>
      </c>
      <c r="BT340">
        <f t="shared" ca="1" si="416"/>
        <v>75.400000000000006</v>
      </c>
      <c r="BU340">
        <f t="shared" ca="1" si="417"/>
        <v>22</v>
      </c>
      <c r="BV340">
        <f t="shared" ca="1" si="418"/>
        <v>2.15</v>
      </c>
      <c r="BW340" s="1018">
        <v>0</v>
      </c>
      <c r="BX340">
        <f t="shared" ca="1" si="348"/>
        <v>64.2133271633503</v>
      </c>
      <c r="BY340">
        <f t="shared" ca="1" si="349"/>
        <v>196.81491706554075</v>
      </c>
      <c r="BZ340">
        <f t="shared" ca="1" si="405"/>
        <v>28.353659319494973</v>
      </c>
      <c r="CA340">
        <f t="shared" ca="1" si="406"/>
        <v>60.499999966724999</v>
      </c>
      <c r="CB340">
        <f t="shared" ca="1" si="350"/>
        <v>4.5133587786259541</v>
      </c>
      <c r="CC340" s="1018">
        <f t="shared" si="407"/>
        <v>0</v>
      </c>
      <c r="CD340" s="1018">
        <f t="shared" ca="1" si="420"/>
        <v>378.34970439900007</v>
      </c>
      <c r="CE340" s="1018">
        <f t="shared" ca="1" si="419"/>
        <v>148.36563336164974</v>
      </c>
      <c r="CF340">
        <f t="shared" ca="1" si="408"/>
        <v>15.801460132819495</v>
      </c>
      <c r="CG340">
        <f t="shared" ca="1" si="409"/>
        <v>26308.799062739148</v>
      </c>
    </row>
    <row r="341" spans="3:85" x14ac:dyDescent="0.25">
      <c r="C341" s="569"/>
      <c r="D341" s="570"/>
      <c r="E341" s="569"/>
      <c r="F341" s="570"/>
      <c r="G341" s="569"/>
      <c r="H341" s="574"/>
      <c r="I341" s="569"/>
      <c r="J341" s="570"/>
      <c r="K341" s="572"/>
      <c r="L341" s="574"/>
      <c r="M341" s="570"/>
      <c r="N341" s="570"/>
      <c r="O341" s="570"/>
      <c r="P341" s="570"/>
      <c r="Q341" s="570" t="s">
        <v>22</v>
      </c>
      <c r="R341" s="571">
        <v>0.60750000000000004</v>
      </c>
      <c r="S341" s="570"/>
      <c r="T341" s="578">
        <v>1.2443035230834548E-3</v>
      </c>
      <c r="U341" s="569"/>
      <c r="V341" s="176">
        <f t="shared" si="335"/>
        <v>1.2443035230834548E-3</v>
      </c>
      <c r="W341" s="176">
        <f>V341-V341*Calculation_sheet!J$68</f>
        <v>1.2443035230834548E-3</v>
      </c>
      <c r="X341" s="176">
        <f>W341-W341*Calculation_sheet!E$78</f>
        <v>1.2443035230834548E-3</v>
      </c>
      <c r="Y341" s="34">
        <f>X341/Calculation_sheet!M$67</f>
        <v>1.2443289646466692E-3</v>
      </c>
      <c r="Z341" s="176">
        <f ca="1">IF(AN341&gt;0,Y341*Calculation_sheet!C$87,0)</f>
        <v>0</v>
      </c>
      <c r="AA341" s="176">
        <f t="shared" ca="1" si="410"/>
        <v>1.2443289646466692E-3</v>
      </c>
      <c r="AB341" s="176">
        <f ca="1">IF(AP341&gt;0,AA341*Calculation_sheet!C$94,0)</f>
        <v>0</v>
      </c>
      <c r="AC341" s="176">
        <f t="shared" ca="1" si="411"/>
        <v>1.2443289646466692E-3</v>
      </c>
      <c r="AD341" s="958">
        <f ca="1">AC341*Calculation_sheet!C$99</f>
        <v>7.465973787880015E-4</v>
      </c>
      <c r="AE341" s="176">
        <f t="shared" ca="1" si="411"/>
        <v>4.9773158585866774E-4</v>
      </c>
      <c r="AF341" s="176">
        <f t="shared" ca="1" si="346"/>
        <v>1.2443289646466692E-3</v>
      </c>
      <c r="AG341" s="958">
        <f ca="1">AF341*User_sheet!B$77/100</f>
        <v>0</v>
      </c>
      <c r="AH341" s="313"/>
      <c r="AI341" s="908">
        <v>203</v>
      </c>
      <c r="AJ341" s="313"/>
      <c r="AK341" s="1020">
        <f t="shared" ca="1" si="404"/>
        <v>378.34970439900007</v>
      </c>
      <c r="AL341" s="954">
        <f ca="1">AK341/'203'!I$24</f>
        <v>1.3239170256860715</v>
      </c>
      <c r="AM341" s="954">
        <f ca="1">0.8*(AK341*30+'203'!D$17*0.34*30*1)</f>
        <v>12423.957200312845</v>
      </c>
      <c r="AN341" s="954">
        <f ca="1">IF(AM341&lt;User_sheet!B$50,Y341,0)</f>
        <v>0</v>
      </c>
      <c r="AO341" s="954">
        <f ca="1">20-(User_sheet!B$57/(AK341+'203'!D$17*1*0.34))</f>
        <v>8.9890155129836344</v>
      </c>
      <c r="AP341" s="954">
        <f ca="1">IF(AO341&lt;User_sheet!B$59,0,BC341*AA341)</f>
        <v>0</v>
      </c>
      <c r="AQ341" s="313"/>
      <c r="AR341" s="909">
        <v>0.88</v>
      </c>
      <c r="AS341" s="1020">
        <v>2.41</v>
      </c>
      <c r="AT341" s="909">
        <v>1.42</v>
      </c>
      <c r="AU341" s="909">
        <v>2.75</v>
      </c>
      <c r="AV341" s="909">
        <v>3.3</v>
      </c>
      <c r="AW341" s="909">
        <v>11922.428413610982</v>
      </c>
      <c r="AX341" s="909">
        <v>75945.51234133933</v>
      </c>
      <c r="AY341" s="909">
        <v>62673.095488422703</v>
      </c>
      <c r="AZ341" s="909">
        <v>0</v>
      </c>
      <c r="BA341" s="909">
        <v>0</v>
      </c>
      <c r="BB341" s="909">
        <v>0.6</v>
      </c>
      <c r="BC341" s="919">
        <v>0</v>
      </c>
      <c r="BD341" s="920">
        <v>1</v>
      </c>
      <c r="BE341" s="920">
        <v>0</v>
      </c>
      <c r="BF341" s="921">
        <v>0</v>
      </c>
      <c r="BG341" s="909">
        <v>1</v>
      </c>
      <c r="BH341" s="909">
        <v>0</v>
      </c>
      <c r="BI341" s="921">
        <v>0</v>
      </c>
      <c r="BJ341" s="909">
        <v>0</v>
      </c>
      <c r="BK341" s="909">
        <v>1</v>
      </c>
      <c r="BL341" s="909">
        <v>0</v>
      </c>
      <c r="BM341" s="921">
        <v>0</v>
      </c>
      <c r="BN341" s="958">
        <v>0.08</v>
      </c>
      <c r="BO341" s="959">
        <v>16.3</v>
      </c>
      <c r="BP341">
        <f t="shared" ca="1" si="412"/>
        <v>185.6</v>
      </c>
      <c r="BQ341">
        <f t="shared" ca="1" si="413"/>
        <v>361.17052631578946</v>
      </c>
      <c r="BR341">
        <f t="shared" ca="1" si="414"/>
        <v>84.1</v>
      </c>
      <c r="BS341">
        <f t="shared" ca="1" si="415"/>
        <v>115.78052631578947</v>
      </c>
      <c r="BT341">
        <f t="shared" ca="1" si="416"/>
        <v>75.400000000000006</v>
      </c>
      <c r="BU341">
        <f t="shared" ca="1" si="417"/>
        <v>22</v>
      </c>
      <c r="BV341">
        <f t="shared" ca="1" si="418"/>
        <v>2.15</v>
      </c>
      <c r="BW341" s="1018">
        <v>0</v>
      </c>
      <c r="BX341">
        <f t="shared" ca="1" si="348"/>
        <v>64.2133271633503</v>
      </c>
      <c r="BY341">
        <f t="shared" ca="1" si="349"/>
        <v>196.81491706554075</v>
      </c>
      <c r="BZ341">
        <f t="shared" ca="1" si="405"/>
        <v>28.353659319494973</v>
      </c>
      <c r="CA341">
        <f t="shared" ca="1" si="406"/>
        <v>60.499999966724999</v>
      </c>
      <c r="CB341">
        <f t="shared" ca="1" si="350"/>
        <v>4.5133587786259541</v>
      </c>
      <c r="CC341" s="1018">
        <f t="shared" si="407"/>
        <v>0</v>
      </c>
      <c r="CD341" s="1018">
        <f t="shared" ca="1" si="420"/>
        <v>378.34970439900007</v>
      </c>
      <c r="CE341" s="1018">
        <f t="shared" ca="1" si="419"/>
        <v>148.36563336164974</v>
      </c>
      <c r="CF341">
        <f t="shared" ca="1" si="408"/>
        <v>15.801460132819495</v>
      </c>
      <c r="CG341">
        <f t="shared" ca="1" si="409"/>
        <v>26308.799062739148</v>
      </c>
    </row>
    <row r="342" spans="3:85" x14ac:dyDescent="0.25">
      <c r="C342" s="569"/>
      <c r="D342" s="570"/>
      <c r="E342" s="569"/>
      <c r="F342" s="570"/>
      <c r="G342" s="569"/>
      <c r="H342" s="570"/>
      <c r="I342" s="569"/>
      <c r="J342" s="570"/>
      <c r="K342" s="569"/>
      <c r="L342" s="569"/>
      <c r="M342" s="570"/>
      <c r="N342" s="570"/>
      <c r="O342" s="570" t="s">
        <v>18</v>
      </c>
      <c r="P342" s="571">
        <v>0.94399999999999995</v>
      </c>
      <c r="Q342" s="570" t="s">
        <v>7</v>
      </c>
      <c r="R342" s="571">
        <v>0.39250000000000002</v>
      </c>
      <c r="S342" s="570"/>
      <c r="T342" s="578">
        <v>8.0393272890577096E-4</v>
      </c>
      <c r="U342" s="569"/>
      <c r="V342" s="176">
        <f t="shared" si="335"/>
        <v>8.0393272890577096E-4</v>
      </c>
      <c r="W342" s="176">
        <f>V342-V342*Calculation_sheet!J$68</f>
        <v>8.0393272890577096E-4</v>
      </c>
      <c r="X342" s="176">
        <f>W342-W342*Calculation_sheet!E$78</f>
        <v>8.0393272890577096E-4</v>
      </c>
      <c r="Y342" s="34">
        <f>X342/Calculation_sheet!M$67</f>
        <v>8.039491664589588E-4</v>
      </c>
      <c r="Z342" s="176">
        <f ca="1">IF(AN342&gt;0,Y342*Calculation_sheet!C$87,0)</f>
        <v>0</v>
      </c>
      <c r="AA342" s="176">
        <f t="shared" ca="1" si="410"/>
        <v>8.039491664589588E-4</v>
      </c>
      <c r="AB342" s="176">
        <f ca="1">IF(AP342&gt;0,AA342*Calculation_sheet!C$94,0)</f>
        <v>0</v>
      </c>
      <c r="AC342" s="176">
        <f t="shared" ca="1" si="411"/>
        <v>8.039491664589588E-4</v>
      </c>
      <c r="AD342" s="958">
        <f ca="1">AC342*Calculation_sheet!C$99</f>
        <v>4.8236949987537527E-4</v>
      </c>
      <c r="AE342" s="176">
        <f t="shared" ca="1" si="411"/>
        <v>3.2157966658358353E-4</v>
      </c>
      <c r="AF342" s="176">
        <f ca="1">Y342-AB342</f>
        <v>8.039491664589588E-4</v>
      </c>
      <c r="AG342" s="958">
        <f ca="1">AF342*User_sheet!B$77/100</f>
        <v>0</v>
      </c>
      <c r="AH342" s="313"/>
      <c r="AI342" s="908">
        <v>203</v>
      </c>
      <c r="AJ342" s="313"/>
      <c r="AK342" s="1020">
        <f t="shared" ca="1" si="404"/>
        <v>378.34970439900007</v>
      </c>
      <c r="AL342" s="954">
        <f ca="1">AK342/'203'!I$24</f>
        <v>1.3239170256860715</v>
      </c>
      <c r="AM342" s="954">
        <f ca="1">0.8*(AK342*30+'203'!D$17*0.34*30*1)</f>
        <v>12423.957200312845</v>
      </c>
      <c r="AN342" s="954">
        <f ca="1">IF(AM342&lt;User_sheet!B$50,Y342,0)</f>
        <v>0</v>
      </c>
      <c r="AO342" s="954">
        <f ca="1">20-(User_sheet!B$57/(AK342+'203'!D$17*1*0.34))</f>
        <v>8.9890155129836344</v>
      </c>
      <c r="AP342" s="954">
        <f ca="1">IF(AO342&lt;User_sheet!B$59,0,BC342*AA342)</f>
        <v>0</v>
      </c>
      <c r="AQ342" s="313"/>
      <c r="AR342" s="909">
        <v>0.88</v>
      </c>
      <c r="AS342" s="1020">
        <v>2.41</v>
      </c>
      <c r="AT342" s="909">
        <v>1.42</v>
      </c>
      <c r="AU342" s="909">
        <v>2.75</v>
      </c>
      <c r="AV342" s="909">
        <v>3.3</v>
      </c>
      <c r="AW342" s="909">
        <v>11922.428413610982</v>
      </c>
      <c r="AX342" s="909">
        <v>75945.51234133933</v>
      </c>
      <c r="AY342" s="909">
        <v>62673.095488422703</v>
      </c>
      <c r="AZ342" s="909">
        <v>0</v>
      </c>
      <c r="BA342" s="909">
        <v>0</v>
      </c>
      <c r="BB342" s="909">
        <v>0.6</v>
      </c>
      <c r="BC342" s="919">
        <v>0</v>
      </c>
      <c r="BD342" s="920">
        <v>1</v>
      </c>
      <c r="BE342" s="920">
        <v>0</v>
      </c>
      <c r="BF342" s="921">
        <v>0</v>
      </c>
      <c r="BG342" s="909">
        <v>1</v>
      </c>
      <c r="BH342" s="909">
        <v>0</v>
      </c>
      <c r="BI342" s="921">
        <v>0</v>
      </c>
      <c r="BJ342" s="909">
        <v>0</v>
      </c>
      <c r="BK342" s="909">
        <v>0</v>
      </c>
      <c r="BL342" s="909">
        <v>1</v>
      </c>
      <c r="BM342" s="921">
        <v>0</v>
      </c>
      <c r="BN342" s="958">
        <v>0.08</v>
      </c>
      <c r="BO342" s="959">
        <v>16.3</v>
      </c>
      <c r="BP342">
        <f t="shared" ca="1" si="412"/>
        <v>185.6</v>
      </c>
      <c r="BQ342">
        <f t="shared" ca="1" si="413"/>
        <v>361.17052631578946</v>
      </c>
      <c r="BR342">
        <f t="shared" ca="1" si="414"/>
        <v>84.1</v>
      </c>
      <c r="BS342">
        <f t="shared" ca="1" si="415"/>
        <v>115.78052631578947</v>
      </c>
      <c r="BT342">
        <f t="shared" ca="1" si="416"/>
        <v>75.400000000000006</v>
      </c>
      <c r="BU342">
        <f t="shared" ca="1" si="417"/>
        <v>22</v>
      </c>
      <c r="BV342">
        <f t="shared" ca="1" si="418"/>
        <v>2.15</v>
      </c>
      <c r="BW342" s="1018">
        <v>0</v>
      </c>
      <c r="BX342">
        <f t="shared" ca="1" si="348"/>
        <v>64.2133271633503</v>
      </c>
      <c r="BY342">
        <f t="shared" ca="1" si="349"/>
        <v>196.81491706554075</v>
      </c>
      <c r="BZ342">
        <f t="shared" ca="1" si="405"/>
        <v>28.353659319494973</v>
      </c>
      <c r="CA342">
        <f t="shared" ca="1" si="406"/>
        <v>60.499999966724999</v>
      </c>
      <c r="CB342">
        <f t="shared" ca="1" si="350"/>
        <v>4.5133587786259541</v>
      </c>
      <c r="CC342" s="1018">
        <f t="shared" si="407"/>
        <v>0</v>
      </c>
      <c r="CD342" s="1018">
        <f t="shared" ca="1" si="420"/>
        <v>378.34970439900007</v>
      </c>
      <c r="CE342" s="1018">
        <f t="shared" ca="1" si="419"/>
        <v>148.36563336164974</v>
      </c>
      <c r="CF342">
        <f t="shared" ca="1" si="408"/>
        <v>15.801460132819495</v>
      </c>
      <c r="CG342">
        <f t="shared" ca="1" si="409"/>
        <v>26308.799062739148</v>
      </c>
    </row>
    <row r="343" spans="3:85" x14ac:dyDescent="0.25">
      <c r="C343" s="569"/>
      <c r="D343" s="570"/>
      <c r="E343" s="569" t="s">
        <v>8</v>
      </c>
      <c r="F343" s="573">
        <v>0.39</v>
      </c>
      <c r="G343" s="569"/>
      <c r="H343" s="570"/>
      <c r="I343" s="569" t="s">
        <v>10</v>
      </c>
      <c r="J343" s="573">
        <v>0.49009999999999998</v>
      </c>
      <c r="K343" s="570"/>
      <c r="L343" s="570"/>
      <c r="M343" s="570"/>
      <c r="N343" s="570"/>
      <c r="O343" s="570"/>
      <c r="P343" s="570"/>
      <c r="Q343" s="570" t="s">
        <v>22</v>
      </c>
      <c r="R343" s="571">
        <v>0.39250000000000002</v>
      </c>
      <c r="S343" s="570"/>
      <c r="T343" s="578">
        <v>4.7690924596105068E-5</v>
      </c>
      <c r="U343" s="569"/>
      <c r="V343" s="176">
        <f t="shared" si="335"/>
        <v>4.7690924596105068E-5</v>
      </c>
      <c r="W343" s="176">
        <f>V343-V343*Calculation_sheet!J$68</f>
        <v>4.7690924596105068E-5</v>
      </c>
      <c r="X343" s="176">
        <f>W343-W343*Calculation_sheet!E$78</f>
        <v>4.7690924596105068E-5</v>
      </c>
      <c r="Y343" s="34">
        <f>X343/Calculation_sheet!M$67</f>
        <v>4.7691899705192483E-5</v>
      </c>
      <c r="Z343" s="176">
        <f ca="1">IF(AN343&gt;0,Y343*Calculation_sheet!C$87,0)</f>
        <v>0</v>
      </c>
      <c r="AA343" s="176">
        <f t="shared" ca="1" si="410"/>
        <v>4.7691899705192483E-5</v>
      </c>
      <c r="AB343" s="176">
        <f ca="1">IF(AP343&gt;0,AA343*Calculation_sheet!C$94,0)</f>
        <v>0</v>
      </c>
      <c r="AC343" s="176">
        <f t="shared" ca="1" si="411"/>
        <v>4.7691899705192483E-5</v>
      </c>
      <c r="AD343" s="958">
        <f ca="1">AC343*Calculation_sheet!C$99</f>
        <v>2.8615139823115488E-5</v>
      </c>
      <c r="AE343" s="176">
        <f t="shared" ca="1" si="411"/>
        <v>1.9076759882076995E-5</v>
      </c>
      <c r="AF343" s="176">
        <f ca="1">Y343-AB343</f>
        <v>4.7691899705192483E-5</v>
      </c>
      <c r="AG343" s="958">
        <f ca="1">AF343*User_sheet!B$77/100</f>
        <v>0</v>
      </c>
      <c r="AH343" s="313"/>
      <c r="AI343" s="908">
        <v>203</v>
      </c>
      <c r="AJ343" s="313"/>
      <c r="AK343" s="1020">
        <f t="shared" ca="1" si="404"/>
        <v>378.34970439900007</v>
      </c>
      <c r="AL343" s="954">
        <f ca="1">AK343/'203'!I$24</f>
        <v>1.3239170256860715</v>
      </c>
      <c r="AM343" s="954">
        <f ca="1">0.8*(AK343*30+'203'!D$17*0.34*30*1)</f>
        <v>12423.957200312845</v>
      </c>
      <c r="AN343" s="954">
        <f ca="1">IF(AM343&lt;User_sheet!B$50,Y343,0)</f>
        <v>0</v>
      </c>
      <c r="AO343" s="954">
        <f ca="1">20-(User_sheet!B$57/(AK343+'203'!D$17*1*0.34))</f>
        <v>8.9890155129836344</v>
      </c>
      <c r="AP343" s="954">
        <f ca="1">IF(AO343&lt;User_sheet!B$59,0,BC343*AA343)</f>
        <v>0</v>
      </c>
      <c r="AQ343" s="313"/>
      <c r="AR343" s="909">
        <v>0.88</v>
      </c>
      <c r="AS343" s="1020">
        <v>2.41</v>
      </c>
      <c r="AT343" s="909">
        <v>1.42</v>
      </c>
      <c r="AU343" s="909">
        <v>2.75</v>
      </c>
      <c r="AV343" s="909">
        <v>3.3</v>
      </c>
      <c r="AW343" s="909">
        <v>11922.428413610982</v>
      </c>
      <c r="AX343" s="909">
        <v>75945.51234133933</v>
      </c>
      <c r="AY343" s="909">
        <v>62673.095488422703</v>
      </c>
      <c r="AZ343" s="909">
        <v>0</v>
      </c>
      <c r="BA343" s="909">
        <v>0</v>
      </c>
      <c r="BB343" s="909">
        <v>0.6</v>
      </c>
      <c r="BC343" s="919">
        <v>0</v>
      </c>
      <c r="BD343" s="920">
        <v>1</v>
      </c>
      <c r="BE343" s="920">
        <v>0</v>
      </c>
      <c r="BF343" s="921">
        <v>0</v>
      </c>
      <c r="BG343" s="909">
        <v>0</v>
      </c>
      <c r="BH343" s="909">
        <v>1</v>
      </c>
      <c r="BI343" s="921">
        <v>0</v>
      </c>
      <c r="BJ343" s="909">
        <v>0</v>
      </c>
      <c r="BK343" s="909">
        <v>1</v>
      </c>
      <c r="BL343" s="909">
        <v>0</v>
      </c>
      <c r="BM343" s="921">
        <v>0</v>
      </c>
      <c r="BN343" s="958">
        <v>0.08</v>
      </c>
      <c r="BO343" s="959">
        <v>16.3</v>
      </c>
      <c r="BP343">
        <f t="shared" ca="1" si="412"/>
        <v>185.6</v>
      </c>
      <c r="BQ343">
        <f t="shared" ca="1" si="413"/>
        <v>361.17052631578946</v>
      </c>
      <c r="BR343">
        <f t="shared" ca="1" si="414"/>
        <v>84.1</v>
      </c>
      <c r="BS343">
        <f t="shared" ca="1" si="415"/>
        <v>115.78052631578947</v>
      </c>
      <c r="BT343">
        <f t="shared" ca="1" si="416"/>
        <v>75.400000000000006</v>
      </c>
      <c r="BU343">
        <f t="shared" ca="1" si="417"/>
        <v>22</v>
      </c>
      <c r="BV343">
        <f t="shared" ca="1" si="418"/>
        <v>2.15</v>
      </c>
      <c r="BW343" s="1018">
        <v>0</v>
      </c>
      <c r="BX343">
        <f t="shared" ca="1" si="348"/>
        <v>64.2133271633503</v>
      </c>
      <c r="BY343">
        <f t="shared" ca="1" si="349"/>
        <v>196.81491706554075</v>
      </c>
      <c r="BZ343">
        <f t="shared" ca="1" si="405"/>
        <v>28.353659319494973</v>
      </c>
      <c r="CA343">
        <f t="shared" ca="1" si="406"/>
        <v>60.499999966724999</v>
      </c>
      <c r="CB343">
        <f t="shared" ca="1" si="350"/>
        <v>4.5133587786259541</v>
      </c>
      <c r="CC343" s="1018">
        <f t="shared" si="407"/>
        <v>0</v>
      </c>
      <c r="CD343" s="1018">
        <f t="shared" ca="1" si="420"/>
        <v>378.34970439900007</v>
      </c>
      <c r="CE343" s="1018">
        <f t="shared" ca="1" si="419"/>
        <v>148.36563336164974</v>
      </c>
      <c r="CF343">
        <f t="shared" ca="1" si="408"/>
        <v>15.801460132819495</v>
      </c>
      <c r="CG343">
        <f t="shared" ca="1" si="409"/>
        <v>26308.799062739148</v>
      </c>
    </row>
    <row r="344" spans="3:85" x14ac:dyDescent="0.25">
      <c r="C344" s="569"/>
      <c r="D344" s="570"/>
      <c r="E344" s="569"/>
      <c r="F344" s="570"/>
      <c r="G344" s="569"/>
      <c r="H344" s="570"/>
      <c r="I344" s="569"/>
      <c r="J344" s="570"/>
      <c r="K344" s="570"/>
      <c r="L344" s="570"/>
      <c r="M344" s="570" t="s">
        <v>22</v>
      </c>
      <c r="N344" s="571">
        <v>0.47</v>
      </c>
      <c r="O344" s="570" t="s">
        <v>20</v>
      </c>
      <c r="P344" s="571">
        <v>5.6000000000000001E-2</v>
      </c>
      <c r="Q344" s="570" t="s">
        <v>7</v>
      </c>
      <c r="R344" s="571">
        <v>0.60750000000000004</v>
      </c>
      <c r="S344" s="570"/>
      <c r="T344" s="578">
        <v>7.3814615776137134E-5</v>
      </c>
      <c r="U344" s="569"/>
      <c r="V344" s="176">
        <f t="shared" si="335"/>
        <v>7.3814615776137134E-5</v>
      </c>
      <c r="W344" s="176">
        <f>V344-V344*Calculation_sheet!J$68</f>
        <v>7.3814615776137134E-5</v>
      </c>
      <c r="X344" s="176">
        <f>W344-W344*Calculation_sheet!E$78</f>
        <v>7.3814615776137134E-5</v>
      </c>
      <c r="Y344" s="34">
        <f>X344/Calculation_sheet!M$67</f>
        <v>7.3816125021412561E-5</v>
      </c>
      <c r="Z344" s="176">
        <f ca="1">IF(AN344&gt;0,Y344*Calculation_sheet!C$87,0)</f>
        <v>0</v>
      </c>
      <c r="AA344" s="176">
        <f t="shared" ca="1" si="410"/>
        <v>7.3816125021412561E-5</v>
      </c>
      <c r="AB344" s="176">
        <f ca="1">IF(AP344&gt;0,AA344*Calculation_sheet!C$94,0)</f>
        <v>0</v>
      </c>
      <c r="AC344" s="176">
        <f t="shared" ca="1" si="411"/>
        <v>7.3816125021412561E-5</v>
      </c>
      <c r="AD344" s="958">
        <f ca="1">AC344*Calculation_sheet!C$99</f>
        <v>4.4289675012847534E-5</v>
      </c>
      <c r="AE344" s="176">
        <f t="shared" ca="1" si="411"/>
        <v>2.9526450008565027E-5</v>
      </c>
      <c r="AF344" s="176">
        <f ca="1">Y344-AB344</f>
        <v>7.3816125021412561E-5</v>
      </c>
      <c r="AG344" s="958">
        <f ca="1">AF344*User_sheet!B$77/100</f>
        <v>0</v>
      </c>
      <c r="AH344" s="313"/>
      <c r="AI344" s="908">
        <v>203</v>
      </c>
      <c r="AJ344" s="313"/>
      <c r="AK344" s="1020">
        <f t="shared" ca="1" si="404"/>
        <v>378.34970439900007</v>
      </c>
      <c r="AL344" s="954">
        <f ca="1">AK344/'203'!I$24</f>
        <v>1.3239170256860715</v>
      </c>
      <c r="AM344" s="954">
        <f ca="1">0.8*(AK344*30+'203'!D$17*0.34*30*1)</f>
        <v>12423.957200312845</v>
      </c>
      <c r="AN344" s="954">
        <f ca="1">IF(AM344&lt;User_sheet!B$50,Y344,0)</f>
        <v>0</v>
      </c>
      <c r="AO344" s="954">
        <f ca="1">20-(User_sheet!B$57/(AK344+'203'!D$17*1*0.34))</f>
        <v>8.9890155129836344</v>
      </c>
      <c r="AP344" s="954">
        <f ca="1">IF(AO344&lt;User_sheet!B$59,0,BC344*AA344)</f>
        <v>0</v>
      </c>
      <c r="AQ344" s="313"/>
      <c r="AR344" s="909">
        <v>0.88</v>
      </c>
      <c r="AS344" s="1020">
        <v>2.41</v>
      </c>
      <c r="AT344" s="909">
        <v>1.42</v>
      </c>
      <c r="AU344" s="909">
        <v>2.75</v>
      </c>
      <c r="AV344" s="909">
        <v>3.3</v>
      </c>
      <c r="AW344" s="909">
        <v>11922.428413610982</v>
      </c>
      <c r="AX344" s="909">
        <v>75945.51234133933</v>
      </c>
      <c r="AY344" s="909">
        <v>62673.095488422703</v>
      </c>
      <c r="AZ344" s="909">
        <v>0</v>
      </c>
      <c r="BA344" s="909">
        <v>0</v>
      </c>
      <c r="BB344" s="909">
        <v>0.6</v>
      </c>
      <c r="BC344" s="919">
        <v>0</v>
      </c>
      <c r="BD344" s="920">
        <v>1</v>
      </c>
      <c r="BE344" s="920">
        <v>0</v>
      </c>
      <c r="BF344" s="921">
        <v>0</v>
      </c>
      <c r="BG344" s="909">
        <v>0</v>
      </c>
      <c r="BH344" s="909">
        <v>1</v>
      </c>
      <c r="BI344" s="921">
        <v>0</v>
      </c>
      <c r="BJ344" s="909">
        <v>0</v>
      </c>
      <c r="BK344" s="909">
        <v>0</v>
      </c>
      <c r="BL344" s="909">
        <v>1</v>
      </c>
      <c r="BM344" s="921">
        <v>0</v>
      </c>
      <c r="BN344" s="958">
        <v>0.08</v>
      </c>
      <c r="BO344" s="959">
        <v>16.3</v>
      </c>
      <c r="BP344">
        <f t="shared" ca="1" si="412"/>
        <v>185.6</v>
      </c>
      <c r="BQ344">
        <f t="shared" ca="1" si="413"/>
        <v>361.17052631578946</v>
      </c>
      <c r="BR344">
        <f t="shared" ca="1" si="414"/>
        <v>84.1</v>
      </c>
      <c r="BS344">
        <f t="shared" ca="1" si="415"/>
        <v>115.78052631578947</v>
      </c>
      <c r="BT344">
        <f t="shared" ca="1" si="416"/>
        <v>75.400000000000006</v>
      </c>
      <c r="BU344">
        <f t="shared" ca="1" si="417"/>
        <v>22</v>
      </c>
      <c r="BV344">
        <f t="shared" ca="1" si="418"/>
        <v>2.15</v>
      </c>
      <c r="BW344" s="1018">
        <v>0</v>
      </c>
      <c r="BX344">
        <f t="shared" ca="1" si="348"/>
        <v>64.2133271633503</v>
      </c>
      <c r="BY344">
        <f t="shared" ca="1" si="349"/>
        <v>196.81491706554075</v>
      </c>
      <c r="BZ344">
        <f t="shared" ca="1" si="405"/>
        <v>28.353659319494973</v>
      </c>
      <c r="CA344">
        <f t="shared" ca="1" si="406"/>
        <v>60.499999966724999</v>
      </c>
      <c r="CB344">
        <f t="shared" ca="1" si="350"/>
        <v>4.5133587786259541</v>
      </c>
      <c r="CC344" s="1018">
        <f t="shared" si="407"/>
        <v>0</v>
      </c>
      <c r="CD344" s="1018">
        <f t="shared" ca="1" si="420"/>
        <v>378.34970439900007</v>
      </c>
      <c r="CE344" s="1018">
        <f t="shared" ca="1" si="419"/>
        <v>148.36563336164974</v>
      </c>
      <c r="CF344">
        <f t="shared" ca="1" si="408"/>
        <v>15.801460132819495</v>
      </c>
      <c r="CG344">
        <f t="shared" ca="1" si="409"/>
        <v>26308.799062739148</v>
      </c>
    </row>
    <row r="345" spans="3:85" x14ac:dyDescent="0.25">
      <c r="C345" s="569"/>
      <c r="D345" s="570"/>
      <c r="E345" s="569"/>
      <c r="F345" s="570"/>
      <c r="G345" s="569"/>
      <c r="H345" s="570"/>
      <c r="I345" s="569"/>
      <c r="J345" s="570"/>
      <c r="K345" s="572" t="s">
        <v>13</v>
      </c>
      <c r="L345" s="573">
        <v>1</v>
      </c>
      <c r="M345" s="570" t="s">
        <v>7</v>
      </c>
      <c r="N345" s="571">
        <v>0.11900000000000005</v>
      </c>
      <c r="O345" s="570" t="s">
        <v>23</v>
      </c>
      <c r="P345" s="571">
        <v>1</v>
      </c>
      <c r="Q345" s="570" t="s">
        <v>7</v>
      </c>
      <c r="R345" s="571">
        <v>1</v>
      </c>
      <c r="S345" s="570"/>
      <c r="T345" s="578">
        <v>5.4936015593832935E-4</v>
      </c>
      <c r="U345" s="569"/>
      <c r="V345" s="176">
        <f t="shared" si="335"/>
        <v>5.4936015593832935E-4</v>
      </c>
      <c r="W345" s="176">
        <f>V345-V345*Calculation_sheet!J$68</f>
        <v>5.4936015593832935E-4</v>
      </c>
      <c r="X345" s="176">
        <f>W345-W345*Calculation_sheet!E$78</f>
        <v>5.4936015593832935E-4</v>
      </c>
      <c r="Y345" s="34">
        <f>X345/Calculation_sheet!M$67</f>
        <v>5.4937138839156565E-4</v>
      </c>
      <c r="Z345" s="176">
        <f ca="1">IF(AN345&gt;0,Y345*Calculation_sheet!C$87,0)</f>
        <v>0</v>
      </c>
      <c r="AA345" s="176">
        <f t="shared" ca="1" si="410"/>
        <v>5.4937138839156565E-4</v>
      </c>
      <c r="AB345" s="176">
        <f ca="1">IF(AP345&gt;0,AA345*Calculation_sheet!C$94,0)</f>
        <v>0</v>
      </c>
      <c r="AC345" s="176">
        <f t="shared" ca="1" si="411"/>
        <v>5.4937138839156565E-4</v>
      </c>
      <c r="AD345" s="958">
        <f ca="1">AC345*Calculation_sheet!C$99</f>
        <v>3.2962283303493938E-4</v>
      </c>
      <c r="AE345" s="176">
        <f t="shared" ca="1" si="411"/>
        <v>2.1974855535662627E-4</v>
      </c>
      <c r="AF345" s="176">
        <f ca="1">Y345-AB345</f>
        <v>5.4937138839156565E-4</v>
      </c>
      <c r="AG345" s="958">
        <f ca="1">AF345*User_sheet!B$77/100</f>
        <v>0</v>
      </c>
      <c r="AH345" s="313"/>
      <c r="AI345" s="908">
        <v>203</v>
      </c>
      <c r="AJ345" s="313"/>
      <c r="AK345" s="1020">
        <f t="shared" ca="1" si="404"/>
        <v>378.34970439900007</v>
      </c>
      <c r="AL345" s="954">
        <f ca="1">AK345/'203'!I$24</f>
        <v>1.3239170256860715</v>
      </c>
      <c r="AM345" s="954">
        <f ca="1">0.8*(AK345*30+'203'!D$17*0.34*30*1)</f>
        <v>12423.957200312845</v>
      </c>
      <c r="AN345" s="954">
        <f ca="1">IF(AM345&lt;User_sheet!B$50,Y345,0)</f>
        <v>0</v>
      </c>
      <c r="AO345" s="954">
        <f ca="1">20-(User_sheet!B$57/(AK345+'203'!D$17*1*0.34))</f>
        <v>8.9890155129836344</v>
      </c>
      <c r="AP345" s="954">
        <f ca="1">IF(AO345&lt;User_sheet!B$59,0,BC345*AA345)</f>
        <v>0</v>
      </c>
      <c r="AQ345" s="313"/>
      <c r="AR345" s="909">
        <v>0.88</v>
      </c>
      <c r="AS345" s="1020">
        <v>2.41</v>
      </c>
      <c r="AT345" s="909">
        <v>1.42</v>
      </c>
      <c r="AU345" s="909">
        <v>2.75</v>
      </c>
      <c r="AV345" s="909">
        <v>3.3</v>
      </c>
      <c r="AW345" s="909">
        <v>11922.428413610982</v>
      </c>
      <c r="AX345" s="909">
        <v>75945.51234133933</v>
      </c>
      <c r="AY345" s="909">
        <v>62673.095488422703</v>
      </c>
      <c r="AZ345" s="909">
        <v>0</v>
      </c>
      <c r="BA345" s="909">
        <v>0</v>
      </c>
      <c r="BB345" s="909">
        <v>0.6</v>
      </c>
      <c r="BC345" s="919">
        <v>0</v>
      </c>
      <c r="BD345" s="920">
        <v>0</v>
      </c>
      <c r="BE345" s="920">
        <v>1</v>
      </c>
      <c r="BF345" s="921">
        <v>0</v>
      </c>
      <c r="BG345" s="909">
        <v>0</v>
      </c>
      <c r="BH345" s="909">
        <v>0</v>
      </c>
      <c r="BI345" s="921">
        <v>1</v>
      </c>
      <c r="BJ345" s="909">
        <v>0</v>
      </c>
      <c r="BK345" s="909">
        <v>0</v>
      </c>
      <c r="BL345" s="909">
        <v>1</v>
      </c>
      <c r="BM345" s="921">
        <v>0</v>
      </c>
      <c r="BN345" s="958">
        <v>0.08</v>
      </c>
      <c r="BO345" s="959">
        <v>16.3</v>
      </c>
      <c r="BP345">
        <f t="shared" ca="1" si="412"/>
        <v>185.6</v>
      </c>
      <c r="BQ345">
        <f t="shared" ca="1" si="413"/>
        <v>361.17052631578946</v>
      </c>
      <c r="BR345">
        <f t="shared" ca="1" si="414"/>
        <v>84.1</v>
      </c>
      <c r="BS345">
        <f t="shared" ca="1" si="415"/>
        <v>115.78052631578947</v>
      </c>
      <c r="BT345">
        <f t="shared" ca="1" si="416"/>
        <v>75.400000000000006</v>
      </c>
      <c r="BU345">
        <f t="shared" ca="1" si="417"/>
        <v>22</v>
      </c>
      <c r="BV345">
        <f t="shared" ca="1" si="418"/>
        <v>2.15</v>
      </c>
      <c r="BW345" s="1018">
        <v>0</v>
      </c>
      <c r="BX345">
        <f t="shared" ca="1" si="348"/>
        <v>64.2133271633503</v>
      </c>
      <c r="BY345">
        <f t="shared" ca="1" si="349"/>
        <v>196.81491706554075</v>
      </c>
      <c r="BZ345">
        <f t="shared" ca="1" si="405"/>
        <v>28.353659319494973</v>
      </c>
      <c r="CA345">
        <f t="shared" ca="1" si="406"/>
        <v>60.499999966724999</v>
      </c>
      <c r="CB345">
        <f t="shared" ca="1" si="350"/>
        <v>4.5133587786259541</v>
      </c>
      <c r="CC345" s="1018">
        <f t="shared" si="407"/>
        <v>0</v>
      </c>
      <c r="CD345" s="1018">
        <f t="shared" ca="1" si="420"/>
        <v>378.34970439900007</v>
      </c>
      <c r="CE345" s="1018">
        <f t="shared" ca="1" si="419"/>
        <v>148.36563336164974</v>
      </c>
      <c r="CF345">
        <f t="shared" ca="1" si="408"/>
        <v>15.801460132819495</v>
      </c>
      <c r="CG345">
        <f t="shared" ca="1" si="409"/>
        <v>26308.799062739148</v>
      </c>
    </row>
    <row r="346" spans="3:85" s="11" customFormat="1" x14ac:dyDescent="0.25">
      <c r="C346" s="575"/>
      <c r="D346" s="576"/>
      <c r="E346" s="575"/>
      <c r="F346" s="576"/>
      <c r="G346" s="575"/>
      <c r="H346" s="576"/>
      <c r="I346" s="575"/>
      <c r="J346" s="576"/>
      <c r="K346" s="577"/>
      <c r="L346" s="576"/>
      <c r="M346" s="576"/>
      <c r="N346" s="576"/>
      <c r="O346" s="576"/>
      <c r="P346" s="576"/>
      <c r="Q346" s="576"/>
      <c r="R346" s="576"/>
      <c r="S346" s="576"/>
      <c r="T346" s="579"/>
      <c r="U346" s="575"/>
      <c r="V346" s="293"/>
      <c r="W346" s="292"/>
      <c r="X346" s="292"/>
      <c r="Y346" s="277"/>
      <c r="Z346" s="292"/>
      <c r="AA346" s="292"/>
      <c r="AB346" s="292"/>
      <c r="AC346" s="292"/>
      <c r="AD346" s="277"/>
      <c r="AE346" s="292"/>
      <c r="AF346" s="292"/>
      <c r="AG346" s="277"/>
      <c r="AH346" s="313"/>
      <c r="AI346" s="912"/>
      <c r="AJ346" s="313"/>
      <c r="AK346" s="1020">
        <f t="shared" si="404"/>
        <v>0</v>
      </c>
      <c r="AL346" s="941"/>
      <c r="AM346" s="941"/>
      <c r="AN346" s="941"/>
      <c r="AO346" s="941"/>
      <c r="AP346" s="941"/>
      <c r="AQ346" s="313"/>
      <c r="AR346" s="918"/>
      <c r="AS346" s="941"/>
      <c r="AT346" s="918"/>
      <c r="AU346" s="918"/>
      <c r="AV346" s="918"/>
      <c r="AW346" s="918"/>
      <c r="AX346" s="918"/>
      <c r="AY346" s="918"/>
      <c r="AZ346" s="918"/>
      <c r="BA346" s="918"/>
      <c r="BB346" s="918"/>
      <c r="BC346" s="45"/>
      <c r="BD346" s="277"/>
      <c r="BE346" s="277"/>
      <c r="BF346" s="49"/>
      <c r="BG346" s="918"/>
      <c r="BH346" s="918"/>
      <c r="BI346" s="49"/>
      <c r="BJ346" s="918"/>
      <c r="BK346" s="918"/>
      <c r="BL346" s="918"/>
      <c r="BM346" s="49"/>
      <c r="BN346" s="277"/>
      <c r="BO346" s="49"/>
      <c r="BW346" s="946"/>
      <c r="CC346" s="946"/>
      <c r="CD346" s="946"/>
      <c r="CE346" s="946"/>
    </row>
    <row r="347" spans="3:85" x14ac:dyDescent="0.25">
      <c r="D347" s="1"/>
      <c r="F347" s="1"/>
      <c r="G347" s="3"/>
      <c r="H347" s="6"/>
      <c r="I347" s="3"/>
      <c r="J347" s="6"/>
      <c r="K347" s="8"/>
      <c r="L347" s="6"/>
      <c r="M347" s="1"/>
      <c r="N347" s="1"/>
      <c r="O347" s="1"/>
      <c r="P347" s="1"/>
      <c r="Q347" s="1" t="s">
        <v>16</v>
      </c>
      <c r="R347" s="4"/>
      <c r="S347" s="1"/>
      <c r="T347" s="77"/>
      <c r="U347" s="22"/>
      <c r="X347" s="176">
        <f>W337-X337</f>
        <v>0</v>
      </c>
      <c r="Y347" s="34">
        <f>X347/Calculation_sheet!M$67</f>
        <v>0</v>
      </c>
      <c r="Z347" s="176">
        <f ca="1">IF(AN347&gt;0,Y347*Calculation_sheet!C$87,0)</f>
        <v>0</v>
      </c>
      <c r="AA347" s="176">
        <f t="shared" ca="1" si="410"/>
        <v>0</v>
      </c>
      <c r="AB347" s="176">
        <f ca="1">IF(AP347&gt;0,AA347*Calculation_sheet!C$94,0)</f>
        <v>0</v>
      </c>
      <c r="AC347" s="176">
        <f t="shared" ref="AC347:AE355" ca="1" si="421">AA347-AB347</f>
        <v>0</v>
      </c>
      <c r="AD347" s="958">
        <f ca="1">AC347*Calculation_sheet!C$99</f>
        <v>0</v>
      </c>
      <c r="AE347" s="176">
        <f t="shared" ca="1" si="421"/>
        <v>0</v>
      </c>
      <c r="AF347" s="176">
        <f t="shared" ref="AF347:AF355" ca="1" si="422">Y347-AB347</f>
        <v>0</v>
      </c>
      <c r="AG347" s="958">
        <f ca="1">AF347*User_sheet!B$77/100</f>
        <v>0</v>
      </c>
      <c r="AH347" s="313"/>
      <c r="AI347" s="908">
        <v>203</v>
      </c>
      <c r="AJ347" s="313"/>
      <c r="AK347" s="1020">
        <f t="shared" ca="1" si="404"/>
        <v>323.13410337563005</v>
      </c>
      <c r="AL347" s="954">
        <f ca="1">AK347/'203'!I$24</f>
        <v>1.1307072162732481</v>
      </c>
      <c r="AM347" s="954">
        <f ca="1">0.8*(AK347*30+'203'!D$17*0.34*30*1)</f>
        <v>11098.782775751964</v>
      </c>
      <c r="AN347" s="954">
        <f ca="1">IF(AM347&lt;User_sheet!B$50,Y347,0)</f>
        <v>0</v>
      </c>
      <c r="AO347" s="954">
        <f ca="1">20-(User_sheet!B$57/(AK347+'203'!D$17*1*0.34))</f>
        <v>7.6743240439957567</v>
      </c>
      <c r="AP347" s="954">
        <f ca="1">IF(AO347&lt;User_sheet!B$59,0,BC347*AA347)</f>
        <v>0</v>
      </c>
      <c r="AQ347" s="313"/>
      <c r="AR347" s="909">
        <v>0.32</v>
      </c>
      <c r="AS347" s="1020">
        <v>2.41</v>
      </c>
      <c r="AT347" s="909">
        <v>1.42</v>
      </c>
      <c r="AU347" s="909">
        <v>2</v>
      </c>
      <c r="AV347" s="909">
        <v>3.3</v>
      </c>
      <c r="AW347" s="909">
        <v>14356</v>
      </c>
      <c r="AX347" s="909">
        <v>75945.51234133933</v>
      </c>
      <c r="AY347" s="909">
        <v>62673.095488422703</v>
      </c>
      <c r="AZ347" s="917">
        <v>0</v>
      </c>
      <c r="BA347" s="917">
        <v>0</v>
      </c>
      <c r="BB347" s="909">
        <v>0.6</v>
      </c>
      <c r="BC347" s="919">
        <v>1</v>
      </c>
      <c r="BD347" s="920">
        <v>0</v>
      </c>
      <c r="BE347" s="920">
        <v>0</v>
      </c>
      <c r="BF347" s="921">
        <v>0</v>
      </c>
      <c r="BG347" s="909">
        <v>1</v>
      </c>
      <c r="BH347" s="909">
        <v>0</v>
      </c>
      <c r="BI347" s="921">
        <v>0</v>
      </c>
      <c r="BJ347" s="909">
        <v>1</v>
      </c>
      <c r="BK347" s="909">
        <v>0</v>
      </c>
      <c r="BL347" s="909">
        <v>0</v>
      </c>
      <c r="BM347" s="921">
        <v>0</v>
      </c>
      <c r="BN347" s="958">
        <v>0.08</v>
      </c>
      <c r="BO347" s="959">
        <v>16.3</v>
      </c>
      <c r="BP347">
        <f t="shared" ref="BP347:BP355" ca="1" si="423">INDIRECT("'"&amp;AI347&amp;"'!"&amp;"B2")</f>
        <v>185.6</v>
      </c>
      <c r="BQ347">
        <f t="shared" ref="BQ347:BQ355" ca="1" si="424">INDIRECT("'"&amp;AI347&amp;"'!"&amp;"C12")+INDIRECT("'"&amp;AI347&amp;"'!"&amp;"C13")+INDIRECT("'"&amp;AI347&amp;"'!"&amp;"C14")+INDIRECT("'"&amp;AI347&amp;"'!"&amp;"C15")+INDIRECT("'"&amp;AI347&amp;"'!"&amp;"C17")</f>
        <v>361.17052631578946</v>
      </c>
      <c r="BR347">
        <f t="shared" ref="BR347:BR355" ca="1" si="425">INDIRECT("'"&amp;AI347&amp;"'!"&amp;"G5")</f>
        <v>84.1</v>
      </c>
      <c r="BS347">
        <f t="shared" ref="BS347:BS355" ca="1" si="426">INDIRECT("'"&amp;AI347&amp;"'!"&amp;"G4")</f>
        <v>115.78052631578947</v>
      </c>
      <c r="BT347">
        <f t="shared" ref="BT347:BT355" ca="1" si="427">INDIRECT("'"&amp;AI347&amp;"'!"&amp;"G6")</f>
        <v>75.400000000000006</v>
      </c>
      <c r="BU347">
        <f t="shared" ref="BU347:BU355" ca="1" si="428">INDIRECT("'"&amp;AI347&amp;"'!"&amp;"G2")</f>
        <v>22</v>
      </c>
      <c r="BV347">
        <f t="shared" ref="BV347:BV355" ca="1" si="429">INDIRECT("'"&amp;AI347&amp;"'!"&amp;"G3")</f>
        <v>2.15</v>
      </c>
      <c r="BW347" s="1018">
        <v>0</v>
      </c>
      <c r="BX347">
        <f t="shared" ca="1" si="348"/>
        <v>25.497726124305199</v>
      </c>
      <c r="BY347">
        <f t="shared" ca="1" si="349"/>
        <v>196.81491706554075</v>
      </c>
      <c r="BZ347">
        <f t="shared" ca="1" si="405"/>
        <v>28.353659319494973</v>
      </c>
      <c r="CA347">
        <f t="shared" ca="1" si="406"/>
        <v>43.999999982399999</v>
      </c>
      <c r="CB347">
        <f t="shared" ca="1" si="350"/>
        <v>4.5133587786259541</v>
      </c>
      <c r="CC347" s="1018">
        <f t="shared" si="407"/>
        <v>0</v>
      </c>
      <c r="CD347" s="1018">
        <f ca="1">SUM(BX347:CC347)+(BR347+BS347+BT347+BU347+BV347)*BN347</f>
        <v>323.13410337563005</v>
      </c>
      <c r="CE347" s="1018">
        <f t="shared" ref="CE347:CE355" ca="1" si="430">0.34*BO347*(1/25)^0.66*(BR347+BS347+BU347+BV347)</f>
        <v>148.36563336164974</v>
      </c>
      <c r="CF347">
        <f t="shared" ca="1" si="408"/>
        <v>14.144992102118394</v>
      </c>
      <c r="CG347">
        <f t="shared" ca="1" si="409"/>
        <v>23550.84605034304</v>
      </c>
    </row>
    <row r="348" spans="3:85" x14ac:dyDescent="0.25">
      <c r="D348" s="1"/>
      <c r="F348" s="1"/>
      <c r="G348" s="3"/>
      <c r="H348" s="6"/>
      <c r="I348" s="3"/>
      <c r="J348" s="6"/>
      <c r="K348" s="8"/>
      <c r="L348" s="6"/>
      <c r="M348" s="1"/>
      <c r="N348" s="1"/>
      <c r="O348" s="1" t="s">
        <v>18</v>
      </c>
      <c r="P348" s="4"/>
      <c r="Q348" s="1" t="s">
        <v>7</v>
      </c>
      <c r="R348" s="4"/>
      <c r="S348" s="1"/>
      <c r="T348" s="77"/>
      <c r="U348" s="22"/>
      <c r="X348" s="176">
        <f t="shared" ref="X348:X355" si="431">W338-X338</f>
        <v>0</v>
      </c>
      <c r="Y348" s="34">
        <f>X348/Calculation_sheet!M$67</f>
        <v>0</v>
      </c>
      <c r="Z348" s="176">
        <f ca="1">IF(AN348&gt;0,Y348*Calculation_sheet!C$87,0)</f>
        <v>0</v>
      </c>
      <c r="AA348" s="176">
        <f t="shared" ca="1" si="410"/>
        <v>0</v>
      </c>
      <c r="AB348" s="176">
        <f ca="1">IF(AP348&gt;0,AA348*Calculation_sheet!C$94,0)</f>
        <v>0</v>
      </c>
      <c r="AC348" s="176">
        <f t="shared" ca="1" si="421"/>
        <v>0</v>
      </c>
      <c r="AD348" s="958">
        <f ca="1">AC348*Calculation_sheet!C$99</f>
        <v>0</v>
      </c>
      <c r="AE348" s="176">
        <f t="shared" ca="1" si="421"/>
        <v>0</v>
      </c>
      <c r="AF348" s="176">
        <f t="shared" ca="1" si="422"/>
        <v>0</v>
      </c>
      <c r="AG348" s="958">
        <f ca="1">AF348*User_sheet!B$77/100</f>
        <v>0</v>
      </c>
      <c r="AH348" s="313"/>
      <c r="AI348" s="908">
        <v>203</v>
      </c>
      <c r="AJ348" s="313"/>
      <c r="AK348" s="1020">
        <f t="shared" ca="1" si="404"/>
        <v>323.13410337563005</v>
      </c>
      <c r="AL348" s="954">
        <f ca="1">AK348/'203'!I$24</f>
        <v>1.1307072162732481</v>
      </c>
      <c r="AM348" s="954">
        <f ca="1">0.8*(AK348*30+'203'!D$17*0.34*30*1)</f>
        <v>11098.782775751964</v>
      </c>
      <c r="AN348" s="954">
        <f ca="1">IF(AM348&lt;User_sheet!B$50,Y348,0)</f>
        <v>0</v>
      </c>
      <c r="AO348" s="954">
        <f ca="1">20-(User_sheet!B$57/(AK348+'203'!D$17*1*0.34))</f>
        <v>7.6743240439957567</v>
      </c>
      <c r="AP348" s="954">
        <f ca="1">IF(AO348&lt;User_sheet!B$59,0,BC348*AA348)</f>
        <v>0</v>
      </c>
      <c r="AQ348" s="313"/>
      <c r="AR348" s="909">
        <v>0.32</v>
      </c>
      <c r="AS348" s="1020">
        <v>2.41</v>
      </c>
      <c r="AT348" s="909">
        <v>1.42</v>
      </c>
      <c r="AU348" s="909">
        <v>2</v>
      </c>
      <c r="AV348" s="909">
        <v>3.3</v>
      </c>
      <c r="AW348" s="909">
        <v>14356</v>
      </c>
      <c r="AX348" s="909">
        <v>75945.51234133933</v>
      </c>
      <c r="AY348" s="909">
        <v>62673.095488422703</v>
      </c>
      <c r="AZ348" s="917">
        <v>0</v>
      </c>
      <c r="BA348" s="917">
        <v>0</v>
      </c>
      <c r="BB348" s="909">
        <v>0.6</v>
      </c>
      <c r="BC348" s="919">
        <v>1</v>
      </c>
      <c r="BD348" s="920">
        <v>0</v>
      </c>
      <c r="BE348" s="920">
        <v>0</v>
      </c>
      <c r="BF348" s="921">
        <v>0</v>
      </c>
      <c r="BG348" s="909">
        <v>1</v>
      </c>
      <c r="BH348" s="909">
        <v>0</v>
      </c>
      <c r="BI348" s="921">
        <v>0</v>
      </c>
      <c r="BJ348" s="909">
        <v>0</v>
      </c>
      <c r="BK348" s="909">
        <v>0</v>
      </c>
      <c r="BL348" s="909">
        <v>1</v>
      </c>
      <c r="BM348" s="921">
        <v>0</v>
      </c>
      <c r="BN348" s="958">
        <v>0.08</v>
      </c>
      <c r="BO348" s="959">
        <v>16.3</v>
      </c>
      <c r="BP348">
        <f t="shared" ca="1" si="423"/>
        <v>185.6</v>
      </c>
      <c r="BQ348">
        <f t="shared" ca="1" si="424"/>
        <v>361.17052631578946</v>
      </c>
      <c r="BR348">
        <f t="shared" ca="1" si="425"/>
        <v>84.1</v>
      </c>
      <c r="BS348">
        <f t="shared" ca="1" si="426"/>
        <v>115.78052631578947</v>
      </c>
      <c r="BT348">
        <f t="shared" ca="1" si="427"/>
        <v>75.400000000000006</v>
      </c>
      <c r="BU348">
        <f t="shared" ca="1" si="428"/>
        <v>22</v>
      </c>
      <c r="BV348">
        <f t="shared" ca="1" si="429"/>
        <v>2.15</v>
      </c>
      <c r="BW348" s="1018">
        <v>0</v>
      </c>
      <c r="BX348">
        <f t="shared" ref="BX348:BX411" ca="1" si="432">IF(BR348=0,0,1/(1/(BR348*$BY$3)+1/(BR348*AR348)+1/(BR348*$BY$4)))</f>
        <v>25.497726124305199</v>
      </c>
      <c r="BY348">
        <f t="shared" ref="BY348:BY411" ca="1" si="433">IF(BS348=0,0,1/(1/(BS348*$BY$3)+1/(BS348*AS348)+1/(BS348*$BY$4)))</f>
        <v>196.81491706554075</v>
      </c>
      <c r="BZ348">
        <f t="shared" ca="1" si="405"/>
        <v>28.353659319494973</v>
      </c>
      <c r="CA348">
        <f t="shared" ca="1" si="406"/>
        <v>43.999999982399999</v>
      </c>
      <c r="CB348">
        <f t="shared" ref="CB348:CB411" ca="1" si="434">IF(BV348=0,0,1/(1/(BV348*$BY$3)+1/(BV348*AV348)+1/(BV348*$BY$4)))</f>
        <v>4.5133587786259541</v>
      </c>
      <c r="CC348" s="1018">
        <f t="shared" si="407"/>
        <v>0</v>
      </c>
      <c r="CD348" s="1018">
        <f t="shared" ref="CD348:CD355" ca="1" si="435">SUM(BX348:CC348)+(BR348+BS348+BT348+BU348+BV348)*BN348</f>
        <v>323.13410337563005</v>
      </c>
      <c r="CE348" s="1018">
        <f t="shared" ca="1" si="430"/>
        <v>148.36563336164974</v>
      </c>
      <c r="CF348">
        <f t="shared" ca="1" si="408"/>
        <v>14.144992102118394</v>
      </c>
      <c r="CG348">
        <f t="shared" ca="1" si="409"/>
        <v>23550.84605034304</v>
      </c>
    </row>
    <row r="349" spans="3:85" x14ac:dyDescent="0.25">
      <c r="D349" s="1"/>
      <c r="F349" s="1"/>
      <c r="G349" s="3"/>
      <c r="H349" s="6"/>
      <c r="I349" s="3"/>
      <c r="J349" s="6"/>
      <c r="K349" s="8"/>
      <c r="L349" s="6"/>
      <c r="M349" s="1"/>
      <c r="N349" s="1"/>
      <c r="O349" s="1"/>
      <c r="P349" s="1"/>
      <c r="Q349" s="1" t="s">
        <v>16</v>
      </c>
      <c r="R349" s="4"/>
      <c r="S349" s="1"/>
      <c r="T349" s="77"/>
      <c r="U349" s="22"/>
      <c r="X349" s="176">
        <f t="shared" si="431"/>
        <v>0</v>
      </c>
      <c r="Y349" s="34">
        <f>X349/Calculation_sheet!M$67</f>
        <v>0</v>
      </c>
      <c r="Z349" s="176">
        <f ca="1">IF(AN349&gt;0,Y349*Calculation_sheet!C$87,0)</f>
        <v>0</v>
      </c>
      <c r="AA349" s="176">
        <f t="shared" ca="1" si="410"/>
        <v>0</v>
      </c>
      <c r="AB349" s="176">
        <f ca="1">IF(AP349&gt;0,AA349*Calculation_sheet!C$94,0)</f>
        <v>0</v>
      </c>
      <c r="AC349" s="176">
        <f t="shared" ca="1" si="421"/>
        <v>0</v>
      </c>
      <c r="AD349" s="958">
        <f ca="1">AC349*Calculation_sheet!C$99</f>
        <v>0</v>
      </c>
      <c r="AE349" s="176">
        <f t="shared" ca="1" si="421"/>
        <v>0</v>
      </c>
      <c r="AF349" s="176">
        <f t="shared" ca="1" si="422"/>
        <v>0</v>
      </c>
      <c r="AG349" s="958">
        <f ca="1">AF349*User_sheet!B$77/100</f>
        <v>0</v>
      </c>
      <c r="AH349" s="313"/>
      <c r="AI349" s="908">
        <v>203</v>
      </c>
      <c r="AJ349" s="313"/>
      <c r="AK349" s="1020">
        <f t="shared" ca="1" si="404"/>
        <v>323.13410337563005</v>
      </c>
      <c r="AL349" s="954">
        <f ca="1">AK349/'203'!I$24</f>
        <v>1.1307072162732481</v>
      </c>
      <c r="AM349" s="954">
        <f ca="1">0.8*(AK349*30+'203'!D$17*0.34*30*1)</f>
        <v>11098.782775751964</v>
      </c>
      <c r="AN349" s="954">
        <f ca="1">IF(AM349&lt;User_sheet!B$50,Y349,0)</f>
        <v>0</v>
      </c>
      <c r="AO349" s="954">
        <f ca="1">20-(User_sheet!B$57/(AK349+'203'!D$17*1*0.34))</f>
        <v>7.6743240439957567</v>
      </c>
      <c r="AP349" s="954">
        <f ca="1">IF(AO349&lt;User_sheet!B$59,0,BC349*AA349)</f>
        <v>0</v>
      </c>
      <c r="AQ349" s="313"/>
      <c r="AR349" s="909">
        <v>0.32</v>
      </c>
      <c r="AS349" s="1020">
        <v>2.41</v>
      </c>
      <c r="AT349" s="909">
        <v>1.42</v>
      </c>
      <c r="AU349" s="909">
        <v>2</v>
      </c>
      <c r="AV349" s="909">
        <v>3.3</v>
      </c>
      <c r="AW349" s="909">
        <v>14356</v>
      </c>
      <c r="AX349" s="909">
        <v>75945.51234133933</v>
      </c>
      <c r="AY349" s="909">
        <v>62673.095488422703</v>
      </c>
      <c r="AZ349" s="917">
        <v>0</v>
      </c>
      <c r="BA349" s="917">
        <v>0</v>
      </c>
      <c r="BB349" s="909">
        <v>0.6</v>
      </c>
      <c r="BC349" s="919">
        <v>1</v>
      </c>
      <c r="BD349" s="920">
        <v>0</v>
      </c>
      <c r="BE349" s="920">
        <v>0</v>
      </c>
      <c r="BF349" s="921">
        <v>0</v>
      </c>
      <c r="BG349" s="909">
        <v>0</v>
      </c>
      <c r="BH349" s="909">
        <v>1</v>
      </c>
      <c r="BI349" s="921">
        <v>0</v>
      </c>
      <c r="BJ349" s="909">
        <v>1</v>
      </c>
      <c r="BK349" s="909">
        <v>0</v>
      </c>
      <c r="BL349" s="909">
        <v>0</v>
      </c>
      <c r="BM349" s="921">
        <v>0</v>
      </c>
      <c r="BN349" s="958">
        <v>0.08</v>
      </c>
      <c r="BO349" s="959">
        <v>16.3</v>
      </c>
      <c r="BP349">
        <f t="shared" ca="1" si="423"/>
        <v>185.6</v>
      </c>
      <c r="BQ349">
        <f t="shared" ca="1" si="424"/>
        <v>361.17052631578946</v>
      </c>
      <c r="BR349">
        <f t="shared" ca="1" si="425"/>
        <v>84.1</v>
      </c>
      <c r="BS349">
        <f t="shared" ca="1" si="426"/>
        <v>115.78052631578947</v>
      </c>
      <c r="BT349">
        <f t="shared" ca="1" si="427"/>
        <v>75.400000000000006</v>
      </c>
      <c r="BU349">
        <f t="shared" ca="1" si="428"/>
        <v>22</v>
      </c>
      <c r="BV349">
        <f t="shared" ca="1" si="429"/>
        <v>2.15</v>
      </c>
      <c r="BW349" s="1018">
        <v>0</v>
      </c>
      <c r="BX349">
        <f t="shared" ca="1" si="432"/>
        <v>25.497726124305199</v>
      </c>
      <c r="BY349">
        <f t="shared" ca="1" si="433"/>
        <v>196.81491706554075</v>
      </c>
      <c r="BZ349">
        <f t="shared" ca="1" si="405"/>
        <v>28.353659319494973</v>
      </c>
      <c r="CA349">
        <f t="shared" ca="1" si="406"/>
        <v>43.999999982399999</v>
      </c>
      <c r="CB349">
        <f t="shared" ca="1" si="434"/>
        <v>4.5133587786259541</v>
      </c>
      <c r="CC349" s="1018">
        <f t="shared" si="407"/>
        <v>0</v>
      </c>
      <c r="CD349" s="1018">
        <f t="shared" ca="1" si="435"/>
        <v>323.13410337563005</v>
      </c>
      <c r="CE349" s="1018">
        <f t="shared" ca="1" si="430"/>
        <v>148.36563336164974</v>
      </c>
      <c r="CF349">
        <f t="shared" ca="1" si="408"/>
        <v>14.144992102118394</v>
      </c>
      <c r="CG349">
        <f t="shared" ca="1" si="409"/>
        <v>23550.84605034304</v>
      </c>
    </row>
    <row r="350" spans="3:85" x14ac:dyDescent="0.25">
      <c r="D350" s="1"/>
      <c r="F350" s="1"/>
      <c r="G350" s="3"/>
      <c r="H350" s="6"/>
      <c r="I350" s="3"/>
      <c r="J350" s="3" t="s">
        <v>144</v>
      </c>
      <c r="K350" s="8"/>
      <c r="L350" s="6"/>
      <c r="M350" s="1" t="s">
        <v>16</v>
      </c>
      <c r="N350" s="4"/>
      <c r="O350" s="1" t="s">
        <v>19</v>
      </c>
      <c r="P350" s="4"/>
      <c r="Q350" s="1" t="s">
        <v>7</v>
      </c>
      <c r="R350" s="4"/>
      <c r="S350" s="1"/>
      <c r="T350" s="77"/>
      <c r="U350" s="22"/>
      <c r="X350" s="176">
        <f t="shared" si="431"/>
        <v>0</v>
      </c>
      <c r="Y350" s="34">
        <f>X350/Calculation_sheet!M$67</f>
        <v>0</v>
      </c>
      <c r="Z350" s="176">
        <f ca="1">IF(AN350&gt;0,Y350*Calculation_sheet!C$87,0)</f>
        <v>0</v>
      </c>
      <c r="AA350" s="176">
        <f t="shared" ca="1" si="410"/>
        <v>0</v>
      </c>
      <c r="AB350" s="176">
        <f ca="1">IF(AP350&gt;0,AA350*Calculation_sheet!C$94,0)</f>
        <v>0</v>
      </c>
      <c r="AC350" s="176">
        <f t="shared" ca="1" si="421"/>
        <v>0</v>
      </c>
      <c r="AD350" s="958">
        <f ca="1">AC350*Calculation_sheet!C$99</f>
        <v>0</v>
      </c>
      <c r="AE350" s="176">
        <f t="shared" ca="1" si="421"/>
        <v>0</v>
      </c>
      <c r="AF350" s="176">
        <f t="shared" ca="1" si="422"/>
        <v>0</v>
      </c>
      <c r="AG350" s="958">
        <f ca="1">AF350*User_sheet!B$77/100</f>
        <v>0</v>
      </c>
      <c r="AH350" s="313"/>
      <c r="AI350" s="908">
        <v>203</v>
      </c>
      <c r="AJ350" s="313"/>
      <c r="AK350" s="1020">
        <f t="shared" ca="1" si="404"/>
        <v>323.13410337563005</v>
      </c>
      <c r="AL350" s="954">
        <f ca="1">AK350/'203'!I$24</f>
        <v>1.1307072162732481</v>
      </c>
      <c r="AM350" s="954">
        <f ca="1">0.8*(AK350*30+'203'!D$17*0.34*30*1)</f>
        <v>11098.782775751964</v>
      </c>
      <c r="AN350" s="954">
        <f ca="1">IF(AM350&lt;User_sheet!B$50,Y350,0)</f>
        <v>0</v>
      </c>
      <c r="AO350" s="954">
        <f ca="1">20-(User_sheet!B$57/(AK350+'203'!D$17*1*0.34))</f>
        <v>7.6743240439957567</v>
      </c>
      <c r="AP350" s="954">
        <f ca="1">IF(AO350&lt;User_sheet!B$59,0,BC350*AA350)</f>
        <v>0</v>
      </c>
      <c r="AQ350" s="313"/>
      <c r="AR350" s="909">
        <v>0.32</v>
      </c>
      <c r="AS350" s="1020">
        <v>2.41</v>
      </c>
      <c r="AT350" s="909">
        <v>1.42</v>
      </c>
      <c r="AU350" s="909">
        <v>2</v>
      </c>
      <c r="AV350" s="909">
        <v>3.3</v>
      </c>
      <c r="AW350" s="909">
        <v>14356</v>
      </c>
      <c r="AX350" s="909">
        <v>75945.51234133933</v>
      </c>
      <c r="AY350" s="909">
        <v>62673.095488422703</v>
      </c>
      <c r="AZ350" s="917">
        <v>0</v>
      </c>
      <c r="BA350" s="917">
        <v>0</v>
      </c>
      <c r="BB350" s="909">
        <v>0.6</v>
      </c>
      <c r="BC350" s="919">
        <v>1</v>
      </c>
      <c r="BD350" s="920">
        <v>0</v>
      </c>
      <c r="BE350" s="920">
        <v>0</v>
      </c>
      <c r="BF350" s="921">
        <v>0</v>
      </c>
      <c r="BG350" s="909">
        <v>0</v>
      </c>
      <c r="BH350" s="909">
        <v>1</v>
      </c>
      <c r="BI350" s="921">
        <v>0</v>
      </c>
      <c r="BJ350" s="909">
        <v>0</v>
      </c>
      <c r="BK350" s="909">
        <v>0</v>
      </c>
      <c r="BL350" s="909">
        <v>1</v>
      </c>
      <c r="BM350" s="921">
        <v>0</v>
      </c>
      <c r="BN350" s="958">
        <v>0.08</v>
      </c>
      <c r="BO350" s="959">
        <v>16.3</v>
      </c>
      <c r="BP350">
        <f t="shared" ca="1" si="423"/>
        <v>185.6</v>
      </c>
      <c r="BQ350">
        <f t="shared" ca="1" si="424"/>
        <v>361.17052631578946</v>
      </c>
      <c r="BR350">
        <f t="shared" ca="1" si="425"/>
        <v>84.1</v>
      </c>
      <c r="BS350">
        <f t="shared" ca="1" si="426"/>
        <v>115.78052631578947</v>
      </c>
      <c r="BT350">
        <f t="shared" ca="1" si="427"/>
        <v>75.400000000000006</v>
      </c>
      <c r="BU350">
        <f t="shared" ca="1" si="428"/>
        <v>22</v>
      </c>
      <c r="BV350">
        <f t="shared" ca="1" si="429"/>
        <v>2.15</v>
      </c>
      <c r="BW350" s="1018">
        <v>0</v>
      </c>
      <c r="BX350">
        <f t="shared" ca="1" si="432"/>
        <v>25.497726124305199</v>
      </c>
      <c r="BY350">
        <f t="shared" ca="1" si="433"/>
        <v>196.81491706554075</v>
      </c>
      <c r="BZ350">
        <f t="shared" ca="1" si="405"/>
        <v>28.353659319494973</v>
      </c>
      <c r="CA350">
        <f t="shared" ca="1" si="406"/>
        <v>43.999999982399999</v>
      </c>
      <c r="CB350">
        <f t="shared" ca="1" si="434"/>
        <v>4.5133587786259541</v>
      </c>
      <c r="CC350" s="1018">
        <f t="shared" si="407"/>
        <v>0</v>
      </c>
      <c r="CD350" s="1018">
        <f t="shared" ca="1" si="435"/>
        <v>323.13410337563005</v>
      </c>
      <c r="CE350" s="1018">
        <f t="shared" ca="1" si="430"/>
        <v>148.36563336164974</v>
      </c>
      <c r="CF350">
        <f t="shared" ca="1" si="408"/>
        <v>14.144992102118394</v>
      </c>
      <c r="CG350">
        <f t="shared" ca="1" si="409"/>
        <v>23550.84605034304</v>
      </c>
    </row>
    <row r="351" spans="3:85" x14ac:dyDescent="0.25">
      <c r="D351" s="1"/>
      <c r="F351" s="1"/>
      <c r="G351" s="3"/>
      <c r="H351" s="6"/>
      <c r="I351" s="3"/>
      <c r="J351" s="6" t="s">
        <v>190</v>
      </c>
      <c r="K351" s="8"/>
      <c r="L351" s="6"/>
      <c r="M351" s="1"/>
      <c r="N351" s="1"/>
      <c r="O351" s="1"/>
      <c r="P351" s="1"/>
      <c r="Q351" s="1" t="s">
        <v>22</v>
      </c>
      <c r="R351" s="4"/>
      <c r="S351" s="1"/>
      <c r="T351" s="77"/>
      <c r="U351" s="22"/>
      <c r="X351" s="176">
        <f t="shared" si="431"/>
        <v>0</v>
      </c>
      <c r="Y351" s="34">
        <f>X351/Calculation_sheet!M$67</f>
        <v>0</v>
      </c>
      <c r="Z351" s="176">
        <f ca="1">IF(AN351&gt;0,Y351*Calculation_sheet!C$87,0)</f>
        <v>0</v>
      </c>
      <c r="AA351" s="176">
        <f t="shared" ca="1" si="410"/>
        <v>0</v>
      </c>
      <c r="AB351" s="176">
        <f ca="1">IF(AP351&gt;0,AA351*Calculation_sheet!C$94,0)</f>
        <v>0</v>
      </c>
      <c r="AC351" s="176">
        <f t="shared" ca="1" si="421"/>
        <v>0</v>
      </c>
      <c r="AD351" s="958">
        <f ca="1">AC351*Calculation_sheet!C$99</f>
        <v>0</v>
      </c>
      <c r="AE351" s="176">
        <f t="shared" ca="1" si="421"/>
        <v>0</v>
      </c>
      <c r="AF351" s="176">
        <f t="shared" ca="1" si="422"/>
        <v>0</v>
      </c>
      <c r="AG351" s="958">
        <f ca="1">AF351*User_sheet!B$77/100</f>
        <v>0</v>
      </c>
      <c r="AH351" s="313"/>
      <c r="AI351" s="908">
        <v>203</v>
      </c>
      <c r="AJ351" s="313"/>
      <c r="AK351" s="1020">
        <f t="shared" ca="1" si="404"/>
        <v>323.13410337563005</v>
      </c>
      <c r="AL351" s="954">
        <f ca="1">AK351/'203'!I$24</f>
        <v>1.1307072162732481</v>
      </c>
      <c r="AM351" s="954">
        <f ca="1">0.8*(AK351*30+'203'!D$17*0.34*30*1)</f>
        <v>11098.782775751964</v>
      </c>
      <c r="AN351" s="954">
        <f ca="1">IF(AM351&lt;User_sheet!B$50,Y351,0)</f>
        <v>0</v>
      </c>
      <c r="AO351" s="954">
        <f ca="1">20-(User_sheet!B$57/(AK351+'203'!D$17*1*0.34))</f>
        <v>7.6743240439957567</v>
      </c>
      <c r="AP351" s="954">
        <f ca="1">IF(AO351&lt;User_sheet!B$59,0,BC351*AA351)</f>
        <v>0</v>
      </c>
      <c r="AQ351" s="313"/>
      <c r="AR351" s="909">
        <v>0.32</v>
      </c>
      <c r="AS351" s="1020">
        <v>2.41</v>
      </c>
      <c r="AT351" s="909">
        <v>1.42</v>
      </c>
      <c r="AU351" s="909">
        <v>2</v>
      </c>
      <c r="AV351" s="909">
        <v>3.3</v>
      </c>
      <c r="AW351" s="909">
        <v>14356</v>
      </c>
      <c r="AX351" s="909">
        <v>75945.51234133933</v>
      </c>
      <c r="AY351" s="909">
        <v>62673.095488422703</v>
      </c>
      <c r="AZ351" s="917">
        <v>0</v>
      </c>
      <c r="BA351" s="917">
        <v>0</v>
      </c>
      <c r="BB351" s="909">
        <v>0.6</v>
      </c>
      <c r="BC351" s="919">
        <v>0</v>
      </c>
      <c r="BD351" s="920">
        <v>1</v>
      </c>
      <c r="BE351" s="920">
        <v>0</v>
      </c>
      <c r="BF351" s="921">
        <v>0</v>
      </c>
      <c r="BG351" s="909">
        <v>1</v>
      </c>
      <c r="BH351" s="909">
        <v>0</v>
      </c>
      <c r="BI351" s="921">
        <v>0</v>
      </c>
      <c r="BJ351" s="909">
        <v>0</v>
      </c>
      <c r="BK351" s="909">
        <v>1</v>
      </c>
      <c r="BL351" s="909">
        <v>0</v>
      </c>
      <c r="BM351" s="921">
        <v>0</v>
      </c>
      <c r="BN351" s="958">
        <v>0.08</v>
      </c>
      <c r="BO351" s="959">
        <v>16.3</v>
      </c>
      <c r="BP351">
        <f t="shared" ca="1" si="423"/>
        <v>185.6</v>
      </c>
      <c r="BQ351">
        <f t="shared" ca="1" si="424"/>
        <v>361.17052631578946</v>
      </c>
      <c r="BR351">
        <f t="shared" ca="1" si="425"/>
        <v>84.1</v>
      </c>
      <c r="BS351">
        <f t="shared" ca="1" si="426"/>
        <v>115.78052631578947</v>
      </c>
      <c r="BT351">
        <f t="shared" ca="1" si="427"/>
        <v>75.400000000000006</v>
      </c>
      <c r="BU351">
        <f t="shared" ca="1" si="428"/>
        <v>22</v>
      </c>
      <c r="BV351">
        <f t="shared" ca="1" si="429"/>
        <v>2.15</v>
      </c>
      <c r="BW351" s="1018">
        <v>0</v>
      </c>
      <c r="BX351">
        <f t="shared" ca="1" si="432"/>
        <v>25.497726124305199</v>
      </c>
      <c r="BY351">
        <f t="shared" ca="1" si="433"/>
        <v>196.81491706554075</v>
      </c>
      <c r="BZ351">
        <f t="shared" ca="1" si="405"/>
        <v>28.353659319494973</v>
      </c>
      <c r="CA351">
        <f t="shared" ca="1" si="406"/>
        <v>43.999999982399999</v>
      </c>
      <c r="CB351">
        <f t="shared" ca="1" si="434"/>
        <v>4.5133587786259541</v>
      </c>
      <c r="CC351" s="1018">
        <f t="shared" si="407"/>
        <v>0</v>
      </c>
      <c r="CD351" s="1018">
        <f t="shared" ca="1" si="435"/>
        <v>323.13410337563005</v>
      </c>
      <c r="CE351" s="1018">
        <f t="shared" ca="1" si="430"/>
        <v>148.36563336164974</v>
      </c>
      <c r="CF351">
        <f t="shared" ca="1" si="408"/>
        <v>14.144992102118394</v>
      </c>
      <c r="CG351">
        <f t="shared" ca="1" si="409"/>
        <v>23550.84605034304</v>
      </c>
    </row>
    <row r="352" spans="3:85" x14ac:dyDescent="0.25">
      <c r="D352" s="1"/>
      <c r="F352" s="1"/>
      <c r="G352" s="3"/>
      <c r="H352" s="6"/>
      <c r="I352" s="3"/>
      <c r="K352" s="8"/>
      <c r="L352" s="6"/>
      <c r="M352" s="1"/>
      <c r="N352" s="1"/>
      <c r="O352" s="1" t="s">
        <v>18</v>
      </c>
      <c r="P352" s="4"/>
      <c r="Q352" s="1" t="s">
        <v>7</v>
      </c>
      <c r="R352" s="4"/>
      <c r="S352" s="1"/>
      <c r="T352" s="77"/>
      <c r="U352" s="22"/>
      <c r="X352" s="176">
        <f t="shared" si="431"/>
        <v>0</v>
      </c>
      <c r="Y352" s="34">
        <f>X352/Calculation_sheet!M$67</f>
        <v>0</v>
      </c>
      <c r="Z352" s="176">
        <f ca="1">IF(AN352&gt;0,Y352*Calculation_sheet!C$87,0)</f>
        <v>0</v>
      </c>
      <c r="AA352" s="176">
        <f t="shared" ca="1" si="410"/>
        <v>0</v>
      </c>
      <c r="AB352" s="176">
        <f ca="1">IF(AP352&gt;0,AA352*Calculation_sheet!C$94,0)</f>
        <v>0</v>
      </c>
      <c r="AC352" s="176">
        <f t="shared" ca="1" si="421"/>
        <v>0</v>
      </c>
      <c r="AD352" s="958">
        <f ca="1">AC352*Calculation_sheet!C$99</f>
        <v>0</v>
      </c>
      <c r="AE352" s="176">
        <f t="shared" ca="1" si="421"/>
        <v>0</v>
      </c>
      <c r="AF352" s="176">
        <f t="shared" ca="1" si="422"/>
        <v>0</v>
      </c>
      <c r="AG352" s="958">
        <f ca="1">AF352*User_sheet!B$77/100</f>
        <v>0</v>
      </c>
      <c r="AH352" s="313"/>
      <c r="AI352" s="908">
        <v>203</v>
      </c>
      <c r="AJ352" s="313"/>
      <c r="AK352" s="1020">
        <f t="shared" ca="1" si="404"/>
        <v>323.13410337563005</v>
      </c>
      <c r="AL352" s="954">
        <f ca="1">AK352/'203'!I$24</f>
        <v>1.1307072162732481</v>
      </c>
      <c r="AM352" s="954">
        <f ca="1">0.8*(AK352*30+'203'!D$17*0.34*30*1)</f>
        <v>11098.782775751964</v>
      </c>
      <c r="AN352" s="954">
        <f ca="1">IF(AM352&lt;User_sheet!B$50,Y352,0)</f>
        <v>0</v>
      </c>
      <c r="AO352" s="954">
        <f ca="1">20-(User_sheet!B$57/(AK352+'203'!D$17*1*0.34))</f>
        <v>7.6743240439957567</v>
      </c>
      <c r="AP352" s="954">
        <f ca="1">IF(AO352&lt;User_sheet!B$59,0,BC352*AA352)</f>
        <v>0</v>
      </c>
      <c r="AQ352" s="313"/>
      <c r="AR352" s="909">
        <v>0.32</v>
      </c>
      <c r="AS352" s="1020">
        <v>2.41</v>
      </c>
      <c r="AT352" s="909">
        <v>1.42</v>
      </c>
      <c r="AU352" s="909">
        <v>2</v>
      </c>
      <c r="AV352" s="909">
        <v>3.3</v>
      </c>
      <c r="AW352" s="909">
        <v>14356</v>
      </c>
      <c r="AX352" s="909">
        <v>75945.51234133933</v>
      </c>
      <c r="AY352" s="909">
        <v>62673.095488422703</v>
      </c>
      <c r="AZ352" s="917">
        <v>0</v>
      </c>
      <c r="BA352" s="917">
        <v>0</v>
      </c>
      <c r="BB352" s="909">
        <v>0.6</v>
      </c>
      <c r="BC352" s="919">
        <v>0</v>
      </c>
      <c r="BD352" s="920">
        <v>1</v>
      </c>
      <c r="BE352" s="920">
        <v>0</v>
      </c>
      <c r="BF352" s="921">
        <v>0</v>
      </c>
      <c r="BG352" s="909">
        <v>1</v>
      </c>
      <c r="BH352" s="909">
        <v>0</v>
      </c>
      <c r="BI352" s="921">
        <v>0</v>
      </c>
      <c r="BJ352" s="909">
        <v>0</v>
      </c>
      <c r="BK352" s="909">
        <v>0</v>
      </c>
      <c r="BL352" s="909">
        <v>1</v>
      </c>
      <c r="BM352" s="921">
        <v>0</v>
      </c>
      <c r="BN352" s="958">
        <v>0.08</v>
      </c>
      <c r="BO352" s="959">
        <v>16.3</v>
      </c>
      <c r="BP352">
        <f t="shared" ca="1" si="423"/>
        <v>185.6</v>
      </c>
      <c r="BQ352">
        <f t="shared" ca="1" si="424"/>
        <v>361.17052631578946</v>
      </c>
      <c r="BR352">
        <f t="shared" ca="1" si="425"/>
        <v>84.1</v>
      </c>
      <c r="BS352">
        <f t="shared" ca="1" si="426"/>
        <v>115.78052631578947</v>
      </c>
      <c r="BT352">
        <f t="shared" ca="1" si="427"/>
        <v>75.400000000000006</v>
      </c>
      <c r="BU352">
        <f t="shared" ca="1" si="428"/>
        <v>22</v>
      </c>
      <c r="BV352">
        <f t="shared" ca="1" si="429"/>
        <v>2.15</v>
      </c>
      <c r="BW352" s="1018">
        <v>0</v>
      </c>
      <c r="BX352">
        <f t="shared" ca="1" si="432"/>
        <v>25.497726124305199</v>
      </c>
      <c r="BY352">
        <f t="shared" ca="1" si="433"/>
        <v>196.81491706554075</v>
      </c>
      <c r="BZ352">
        <f t="shared" ca="1" si="405"/>
        <v>28.353659319494973</v>
      </c>
      <c r="CA352">
        <f t="shared" ca="1" si="406"/>
        <v>43.999999982399999</v>
      </c>
      <c r="CB352">
        <f t="shared" ca="1" si="434"/>
        <v>4.5133587786259541</v>
      </c>
      <c r="CC352" s="1018">
        <f t="shared" si="407"/>
        <v>0</v>
      </c>
      <c r="CD352" s="1018">
        <f t="shared" ca="1" si="435"/>
        <v>323.13410337563005</v>
      </c>
      <c r="CE352" s="1018">
        <f t="shared" ca="1" si="430"/>
        <v>148.36563336164974</v>
      </c>
      <c r="CF352">
        <f t="shared" ca="1" si="408"/>
        <v>14.144992102118394</v>
      </c>
      <c r="CG352">
        <f t="shared" ca="1" si="409"/>
        <v>23550.84605034304</v>
      </c>
    </row>
    <row r="353" spans="4:85" x14ac:dyDescent="0.25">
      <c r="D353" s="1"/>
      <c r="F353" s="1"/>
      <c r="G353" s="3"/>
      <c r="H353" s="6"/>
      <c r="I353" s="3"/>
      <c r="K353" s="8"/>
      <c r="L353" s="6"/>
      <c r="M353" s="1"/>
      <c r="N353" s="1"/>
      <c r="O353" s="1"/>
      <c r="P353" s="1"/>
      <c r="Q353" s="1" t="s">
        <v>22</v>
      </c>
      <c r="R353" s="4"/>
      <c r="S353" s="1"/>
      <c r="T353" s="77"/>
      <c r="U353" s="22"/>
      <c r="X353" s="176">
        <f t="shared" si="431"/>
        <v>0</v>
      </c>
      <c r="Y353" s="34">
        <f>X353/Calculation_sheet!M$67</f>
        <v>0</v>
      </c>
      <c r="Z353" s="176">
        <f ca="1">IF(AN353&gt;0,Y353*Calculation_sheet!C$87,0)</f>
        <v>0</v>
      </c>
      <c r="AA353" s="176">
        <f t="shared" ca="1" si="410"/>
        <v>0</v>
      </c>
      <c r="AB353" s="176">
        <f ca="1">IF(AP353&gt;0,AA353*Calculation_sheet!C$94,0)</f>
        <v>0</v>
      </c>
      <c r="AC353" s="176">
        <f t="shared" ca="1" si="421"/>
        <v>0</v>
      </c>
      <c r="AD353" s="958">
        <f ca="1">AC353*Calculation_sheet!C$99</f>
        <v>0</v>
      </c>
      <c r="AE353" s="176">
        <f t="shared" ca="1" si="421"/>
        <v>0</v>
      </c>
      <c r="AF353" s="176">
        <f t="shared" ca="1" si="422"/>
        <v>0</v>
      </c>
      <c r="AG353" s="958">
        <f ca="1">AF353*User_sheet!B$77/100</f>
        <v>0</v>
      </c>
      <c r="AH353" s="313"/>
      <c r="AI353" s="908">
        <v>203</v>
      </c>
      <c r="AJ353" s="313"/>
      <c r="AK353" s="1020">
        <f t="shared" ca="1" si="404"/>
        <v>323.13410337563005</v>
      </c>
      <c r="AL353" s="954">
        <f ca="1">AK353/'203'!I$24</f>
        <v>1.1307072162732481</v>
      </c>
      <c r="AM353" s="954">
        <f ca="1">0.8*(AK353*30+'203'!D$17*0.34*30*1)</f>
        <v>11098.782775751964</v>
      </c>
      <c r="AN353" s="954">
        <f ca="1">IF(AM353&lt;User_sheet!B$50,Y353,0)</f>
        <v>0</v>
      </c>
      <c r="AO353" s="954">
        <f ca="1">20-(User_sheet!B$57/(AK353+'203'!D$17*1*0.34))</f>
        <v>7.6743240439957567</v>
      </c>
      <c r="AP353" s="954">
        <f ca="1">IF(AO353&lt;User_sheet!B$59,0,BC353*AA353)</f>
        <v>0</v>
      </c>
      <c r="AQ353" s="313"/>
      <c r="AR353" s="909">
        <v>0.32</v>
      </c>
      <c r="AS353" s="1020">
        <v>2.41</v>
      </c>
      <c r="AT353" s="909">
        <v>1.42</v>
      </c>
      <c r="AU353" s="909">
        <v>2</v>
      </c>
      <c r="AV353" s="909">
        <v>3.3</v>
      </c>
      <c r="AW353" s="909">
        <v>14356</v>
      </c>
      <c r="AX353" s="909">
        <v>75945.51234133933</v>
      </c>
      <c r="AY353" s="909">
        <v>62673.095488422703</v>
      </c>
      <c r="AZ353" s="917">
        <v>0</v>
      </c>
      <c r="BA353" s="917">
        <v>0</v>
      </c>
      <c r="BB353" s="909">
        <v>0.6</v>
      </c>
      <c r="BC353" s="919">
        <v>0</v>
      </c>
      <c r="BD353" s="920">
        <v>1</v>
      </c>
      <c r="BE353" s="920">
        <v>0</v>
      </c>
      <c r="BF353" s="921">
        <v>0</v>
      </c>
      <c r="BG353" s="909">
        <v>0</v>
      </c>
      <c r="BH353" s="909">
        <v>1</v>
      </c>
      <c r="BI353" s="921">
        <v>0</v>
      </c>
      <c r="BJ353" s="909">
        <v>0</v>
      </c>
      <c r="BK353" s="909">
        <v>1</v>
      </c>
      <c r="BL353" s="909">
        <v>0</v>
      </c>
      <c r="BM353" s="921">
        <v>0</v>
      </c>
      <c r="BN353" s="958">
        <v>0.08</v>
      </c>
      <c r="BO353" s="959">
        <v>16.3</v>
      </c>
      <c r="BP353">
        <f t="shared" ca="1" si="423"/>
        <v>185.6</v>
      </c>
      <c r="BQ353">
        <f t="shared" ca="1" si="424"/>
        <v>361.17052631578946</v>
      </c>
      <c r="BR353">
        <f t="shared" ca="1" si="425"/>
        <v>84.1</v>
      </c>
      <c r="BS353">
        <f t="shared" ca="1" si="426"/>
        <v>115.78052631578947</v>
      </c>
      <c r="BT353">
        <f t="shared" ca="1" si="427"/>
        <v>75.400000000000006</v>
      </c>
      <c r="BU353">
        <f t="shared" ca="1" si="428"/>
        <v>22</v>
      </c>
      <c r="BV353">
        <f t="shared" ca="1" si="429"/>
        <v>2.15</v>
      </c>
      <c r="BW353" s="1018">
        <v>0</v>
      </c>
      <c r="BX353">
        <f t="shared" ca="1" si="432"/>
        <v>25.497726124305199</v>
      </c>
      <c r="BY353">
        <f t="shared" ca="1" si="433"/>
        <v>196.81491706554075</v>
      </c>
      <c r="BZ353">
        <f t="shared" ca="1" si="405"/>
        <v>28.353659319494973</v>
      </c>
      <c r="CA353">
        <f t="shared" ca="1" si="406"/>
        <v>43.999999982399999</v>
      </c>
      <c r="CB353">
        <f t="shared" ca="1" si="434"/>
        <v>4.5133587786259541</v>
      </c>
      <c r="CC353" s="1018">
        <f t="shared" si="407"/>
        <v>0</v>
      </c>
      <c r="CD353" s="1018">
        <f t="shared" ca="1" si="435"/>
        <v>323.13410337563005</v>
      </c>
      <c r="CE353" s="1018">
        <f t="shared" ca="1" si="430"/>
        <v>148.36563336164974</v>
      </c>
      <c r="CF353">
        <f t="shared" ca="1" si="408"/>
        <v>14.144992102118394</v>
      </c>
      <c r="CG353">
        <f t="shared" ca="1" si="409"/>
        <v>23550.84605034304</v>
      </c>
    </row>
    <row r="354" spans="4:85" x14ac:dyDescent="0.25">
      <c r="D354" s="1"/>
      <c r="F354" s="1"/>
      <c r="G354" s="3"/>
      <c r="H354" s="6"/>
      <c r="I354" s="3"/>
      <c r="J354" s="6"/>
      <c r="K354" s="8"/>
      <c r="L354" s="3"/>
      <c r="M354" s="1" t="s">
        <v>22</v>
      </c>
      <c r="N354" s="4"/>
      <c r="O354" s="1" t="s">
        <v>20</v>
      </c>
      <c r="P354" s="4"/>
      <c r="Q354" s="1" t="s">
        <v>7</v>
      </c>
      <c r="R354" s="4"/>
      <c r="S354" s="1"/>
      <c r="T354" s="77"/>
      <c r="U354" s="22"/>
      <c r="X354" s="176">
        <f t="shared" si="431"/>
        <v>0</v>
      </c>
      <c r="Y354" s="34">
        <f>X354/Calculation_sheet!M$67</f>
        <v>0</v>
      </c>
      <c r="Z354" s="176">
        <f ca="1">IF(AN354&gt;0,Y354*Calculation_sheet!C$87,0)</f>
        <v>0</v>
      </c>
      <c r="AA354" s="176">
        <f t="shared" ca="1" si="410"/>
        <v>0</v>
      </c>
      <c r="AB354" s="176">
        <f ca="1">IF(AP354&gt;0,AA354*Calculation_sheet!C$94,0)</f>
        <v>0</v>
      </c>
      <c r="AC354" s="176">
        <f t="shared" ca="1" si="421"/>
        <v>0</v>
      </c>
      <c r="AD354" s="958">
        <f ca="1">AC354*Calculation_sheet!C$99</f>
        <v>0</v>
      </c>
      <c r="AE354" s="176">
        <f t="shared" ca="1" si="421"/>
        <v>0</v>
      </c>
      <c r="AF354" s="176">
        <f t="shared" ca="1" si="422"/>
        <v>0</v>
      </c>
      <c r="AG354" s="958">
        <f ca="1">AF354*User_sheet!B$77/100</f>
        <v>0</v>
      </c>
      <c r="AH354" s="313"/>
      <c r="AI354" s="908">
        <v>203</v>
      </c>
      <c r="AJ354" s="313"/>
      <c r="AK354" s="1020">
        <f t="shared" ca="1" si="404"/>
        <v>323.13410337563005</v>
      </c>
      <c r="AL354" s="954">
        <f ca="1">AK354/'203'!I$24</f>
        <v>1.1307072162732481</v>
      </c>
      <c r="AM354" s="954">
        <f ca="1">0.8*(AK354*30+'203'!D$17*0.34*30*1)</f>
        <v>11098.782775751964</v>
      </c>
      <c r="AN354" s="954">
        <f ca="1">IF(AM354&lt;User_sheet!B$50,Y354,0)</f>
        <v>0</v>
      </c>
      <c r="AO354" s="954">
        <f ca="1">20-(User_sheet!B$57/(AK354+'203'!D$17*1*0.34))</f>
        <v>7.6743240439957567</v>
      </c>
      <c r="AP354" s="954">
        <f ca="1">IF(AO354&lt;User_sheet!B$59,0,BC354*AA354)</f>
        <v>0</v>
      </c>
      <c r="AQ354" s="313"/>
      <c r="AR354" s="909">
        <v>0.32</v>
      </c>
      <c r="AS354" s="1020">
        <v>2.41</v>
      </c>
      <c r="AT354" s="909">
        <v>1.42</v>
      </c>
      <c r="AU354" s="909">
        <v>2</v>
      </c>
      <c r="AV354" s="909">
        <v>3.3</v>
      </c>
      <c r="AW354" s="909">
        <v>14356</v>
      </c>
      <c r="AX354" s="909">
        <v>75945.51234133933</v>
      </c>
      <c r="AY354" s="909">
        <v>62673.095488422703</v>
      </c>
      <c r="AZ354" s="917">
        <v>0</v>
      </c>
      <c r="BA354" s="917">
        <v>0</v>
      </c>
      <c r="BB354" s="909">
        <v>0.6</v>
      </c>
      <c r="BC354" s="919">
        <v>0</v>
      </c>
      <c r="BD354" s="920">
        <v>1</v>
      </c>
      <c r="BE354" s="920">
        <v>0</v>
      </c>
      <c r="BF354" s="921">
        <v>0</v>
      </c>
      <c r="BG354" s="909">
        <v>0</v>
      </c>
      <c r="BH354" s="909">
        <v>1</v>
      </c>
      <c r="BI354" s="921">
        <v>0</v>
      </c>
      <c r="BJ354" s="909">
        <v>0</v>
      </c>
      <c r="BK354" s="909">
        <v>0</v>
      </c>
      <c r="BL354" s="909">
        <v>1</v>
      </c>
      <c r="BM354" s="921">
        <v>0</v>
      </c>
      <c r="BN354" s="958">
        <v>0.08</v>
      </c>
      <c r="BO354" s="959">
        <v>16.3</v>
      </c>
      <c r="BP354">
        <f t="shared" ca="1" si="423"/>
        <v>185.6</v>
      </c>
      <c r="BQ354">
        <f t="shared" ca="1" si="424"/>
        <v>361.17052631578946</v>
      </c>
      <c r="BR354">
        <f t="shared" ca="1" si="425"/>
        <v>84.1</v>
      </c>
      <c r="BS354">
        <f t="shared" ca="1" si="426"/>
        <v>115.78052631578947</v>
      </c>
      <c r="BT354">
        <f t="shared" ca="1" si="427"/>
        <v>75.400000000000006</v>
      </c>
      <c r="BU354">
        <f t="shared" ca="1" si="428"/>
        <v>22</v>
      </c>
      <c r="BV354">
        <f t="shared" ca="1" si="429"/>
        <v>2.15</v>
      </c>
      <c r="BW354" s="1018">
        <v>0</v>
      </c>
      <c r="BX354">
        <f t="shared" ca="1" si="432"/>
        <v>25.497726124305199</v>
      </c>
      <c r="BY354">
        <f t="shared" ca="1" si="433"/>
        <v>196.81491706554075</v>
      </c>
      <c r="BZ354">
        <f t="shared" ca="1" si="405"/>
        <v>28.353659319494973</v>
      </c>
      <c r="CA354">
        <f t="shared" ca="1" si="406"/>
        <v>43.999999982399999</v>
      </c>
      <c r="CB354">
        <f t="shared" ca="1" si="434"/>
        <v>4.5133587786259541</v>
      </c>
      <c r="CC354" s="1018">
        <f t="shared" si="407"/>
        <v>0</v>
      </c>
      <c r="CD354" s="1018">
        <f t="shared" ca="1" si="435"/>
        <v>323.13410337563005</v>
      </c>
      <c r="CE354" s="1018">
        <f t="shared" ca="1" si="430"/>
        <v>148.36563336164974</v>
      </c>
      <c r="CF354">
        <f t="shared" ca="1" si="408"/>
        <v>14.144992102118394</v>
      </c>
      <c r="CG354">
        <f t="shared" ca="1" si="409"/>
        <v>23550.84605034304</v>
      </c>
    </row>
    <row r="355" spans="4:85" x14ac:dyDescent="0.25">
      <c r="D355" s="1"/>
      <c r="F355" s="1"/>
      <c r="G355" s="3"/>
      <c r="H355" s="6"/>
      <c r="I355" s="3"/>
      <c r="J355" s="6"/>
      <c r="K355" s="8"/>
      <c r="L355" s="7"/>
      <c r="M355" s="1" t="s">
        <v>7</v>
      </c>
      <c r="N355" s="4"/>
      <c r="O355" s="1" t="s">
        <v>23</v>
      </c>
      <c r="P355" s="4"/>
      <c r="Q355" s="1" t="s">
        <v>7</v>
      </c>
      <c r="R355" s="4"/>
      <c r="S355" s="1"/>
      <c r="T355" s="77"/>
      <c r="U355" s="22"/>
      <c r="X355" s="176">
        <f t="shared" si="431"/>
        <v>0</v>
      </c>
      <c r="Y355" s="34">
        <f>X355/Calculation_sheet!M$67</f>
        <v>0</v>
      </c>
      <c r="Z355" s="176">
        <f ca="1">IF(AN355&gt;0,Y355*Calculation_sheet!C$87,0)</f>
        <v>0</v>
      </c>
      <c r="AA355" s="176">
        <f t="shared" ca="1" si="410"/>
        <v>0</v>
      </c>
      <c r="AB355" s="176">
        <f ca="1">IF(AP355&gt;0,AA355*Calculation_sheet!C$94,0)</f>
        <v>0</v>
      </c>
      <c r="AC355" s="176">
        <f t="shared" ca="1" si="421"/>
        <v>0</v>
      </c>
      <c r="AD355" s="958">
        <f ca="1">AC355*Calculation_sheet!C$99</f>
        <v>0</v>
      </c>
      <c r="AE355" s="176">
        <f t="shared" ca="1" si="421"/>
        <v>0</v>
      </c>
      <c r="AF355" s="176">
        <f t="shared" ca="1" si="422"/>
        <v>0</v>
      </c>
      <c r="AG355" s="958">
        <f ca="1">AF355*User_sheet!B$77/100</f>
        <v>0</v>
      </c>
      <c r="AH355" s="313"/>
      <c r="AI355" s="908">
        <v>203</v>
      </c>
      <c r="AJ355" s="313"/>
      <c r="AK355" s="1020">
        <f t="shared" ca="1" si="404"/>
        <v>323.13410337563005</v>
      </c>
      <c r="AL355" s="954">
        <f ca="1">AK355/'203'!I$24</f>
        <v>1.1307072162732481</v>
      </c>
      <c r="AM355" s="954">
        <f ca="1">0.8*(AK355*30+'203'!D$17*0.34*30*1)</f>
        <v>11098.782775751964</v>
      </c>
      <c r="AN355" s="954">
        <f ca="1">IF(AM355&lt;User_sheet!B$50,Y355,0)</f>
        <v>0</v>
      </c>
      <c r="AO355" s="954">
        <f ca="1">20-(User_sheet!B$57/(AK355+'203'!D$17*1*0.34))</f>
        <v>7.6743240439957567</v>
      </c>
      <c r="AP355" s="954">
        <f ca="1">IF(AO355&lt;User_sheet!B$59,0,BC355*AA355)</f>
        <v>0</v>
      </c>
      <c r="AQ355" s="313"/>
      <c r="AR355" s="909">
        <v>0.32</v>
      </c>
      <c r="AS355" s="1020">
        <v>2.41</v>
      </c>
      <c r="AT355" s="909">
        <v>1.42</v>
      </c>
      <c r="AU355" s="909">
        <v>2</v>
      </c>
      <c r="AV355" s="909">
        <v>3.3</v>
      </c>
      <c r="AW355" s="909">
        <v>14356</v>
      </c>
      <c r="AX355" s="909">
        <v>75945.51234133933</v>
      </c>
      <c r="AY355" s="909">
        <v>62673.095488422703</v>
      </c>
      <c r="AZ355" s="917">
        <v>0</v>
      </c>
      <c r="BA355" s="917">
        <v>0</v>
      </c>
      <c r="BB355" s="909">
        <v>0.6</v>
      </c>
      <c r="BC355" s="919">
        <v>0</v>
      </c>
      <c r="BD355" s="920">
        <v>0</v>
      </c>
      <c r="BE355" s="920">
        <v>1</v>
      </c>
      <c r="BF355" s="921">
        <v>0</v>
      </c>
      <c r="BG355" s="909">
        <v>0</v>
      </c>
      <c r="BH355" s="909">
        <v>0</v>
      </c>
      <c r="BI355" s="921">
        <v>1</v>
      </c>
      <c r="BJ355" s="909">
        <v>0</v>
      </c>
      <c r="BK355" s="909">
        <v>0</v>
      </c>
      <c r="BL355" s="909">
        <v>1</v>
      </c>
      <c r="BM355" s="921">
        <v>0</v>
      </c>
      <c r="BN355" s="958">
        <v>0.08</v>
      </c>
      <c r="BO355" s="959">
        <v>16.3</v>
      </c>
      <c r="BP355">
        <f t="shared" ca="1" si="423"/>
        <v>185.6</v>
      </c>
      <c r="BQ355">
        <f t="shared" ca="1" si="424"/>
        <v>361.17052631578946</v>
      </c>
      <c r="BR355">
        <f t="shared" ca="1" si="425"/>
        <v>84.1</v>
      </c>
      <c r="BS355">
        <f t="shared" ca="1" si="426"/>
        <v>115.78052631578947</v>
      </c>
      <c r="BT355">
        <f t="shared" ca="1" si="427"/>
        <v>75.400000000000006</v>
      </c>
      <c r="BU355">
        <f t="shared" ca="1" si="428"/>
        <v>22</v>
      </c>
      <c r="BV355">
        <f t="shared" ca="1" si="429"/>
        <v>2.15</v>
      </c>
      <c r="BW355" s="1018">
        <v>0</v>
      </c>
      <c r="BX355">
        <f t="shared" ca="1" si="432"/>
        <v>25.497726124305199</v>
      </c>
      <c r="BY355">
        <f t="shared" ca="1" si="433"/>
        <v>196.81491706554075</v>
      </c>
      <c r="BZ355">
        <f t="shared" ca="1" si="405"/>
        <v>28.353659319494973</v>
      </c>
      <c r="CA355">
        <f t="shared" ca="1" si="406"/>
        <v>43.999999982399999</v>
      </c>
      <c r="CB355">
        <f t="shared" ca="1" si="434"/>
        <v>4.5133587786259541</v>
      </c>
      <c r="CC355" s="1018">
        <f t="shared" si="407"/>
        <v>0</v>
      </c>
      <c r="CD355" s="1018">
        <f t="shared" ca="1" si="435"/>
        <v>323.13410337563005</v>
      </c>
      <c r="CE355" s="1018">
        <f t="shared" ca="1" si="430"/>
        <v>148.36563336164974</v>
      </c>
      <c r="CF355">
        <f t="shared" ca="1" si="408"/>
        <v>14.144992102118394</v>
      </c>
      <c r="CG355">
        <f t="shared" ca="1" si="409"/>
        <v>23550.84605034304</v>
      </c>
    </row>
    <row r="356" spans="4:85" s="11" customFormat="1" x14ac:dyDescent="0.25">
      <c r="D356" s="12"/>
      <c r="F356" s="12"/>
      <c r="H356" s="12"/>
      <c r="J356" s="12"/>
      <c r="K356" s="13"/>
      <c r="L356" s="12"/>
      <c r="M356" s="12"/>
      <c r="N356" s="12"/>
      <c r="O356" s="12"/>
      <c r="P356" s="12"/>
      <c r="Q356" s="12"/>
      <c r="R356" s="12"/>
      <c r="S356" s="12"/>
      <c r="T356" s="82"/>
      <c r="V356" s="292"/>
      <c r="W356" s="292"/>
      <c r="X356" s="292"/>
      <c r="Y356" s="277"/>
      <c r="Z356" s="292"/>
      <c r="AA356" s="292"/>
      <c r="AB356" s="292"/>
      <c r="AC356" s="292"/>
      <c r="AD356" s="277"/>
      <c r="AE356" s="292"/>
      <c r="AF356" s="292"/>
      <c r="AG356" s="277"/>
      <c r="AH356" s="313"/>
      <c r="AI356" s="912"/>
      <c r="AJ356" s="313"/>
      <c r="AK356" s="1020">
        <f t="shared" si="404"/>
        <v>0</v>
      </c>
      <c r="AL356" s="941"/>
      <c r="AM356" s="941"/>
      <c r="AN356" s="941"/>
      <c r="AO356" s="941"/>
      <c r="AP356" s="941"/>
      <c r="AQ356" s="313"/>
      <c r="AR356" s="918"/>
      <c r="AS356" s="941"/>
      <c r="AT356" s="918"/>
      <c r="AU356" s="918"/>
      <c r="AV356" s="918"/>
      <c r="AW356" s="918"/>
      <c r="AX356" s="918"/>
      <c r="AY356" s="918"/>
      <c r="AZ356" s="918"/>
      <c r="BA356" s="918"/>
      <c r="BB356" s="918"/>
      <c r="BC356" s="45"/>
      <c r="BD356" s="277"/>
      <c r="BE356" s="277"/>
      <c r="BF356" s="49"/>
      <c r="BG356" s="918"/>
      <c r="BH356" s="918"/>
      <c r="BI356" s="49"/>
      <c r="BJ356" s="918"/>
      <c r="BK356" s="918"/>
      <c r="BL356" s="918"/>
      <c r="BM356" s="49"/>
      <c r="BN356" s="277"/>
      <c r="BO356" s="49"/>
      <c r="BW356" s="946"/>
      <c r="CC356" s="946"/>
      <c r="CD356" s="946"/>
      <c r="CE356" s="946"/>
    </row>
    <row r="357" spans="4:85" x14ac:dyDescent="0.25">
      <c r="D357" s="581"/>
      <c r="E357" s="580"/>
      <c r="F357" s="581"/>
      <c r="G357" s="580"/>
      <c r="H357" s="581"/>
      <c r="I357" s="580"/>
      <c r="J357" s="581"/>
      <c r="K357" s="584"/>
      <c r="L357" s="586"/>
      <c r="M357" s="581"/>
      <c r="N357" s="581"/>
      <c r="O357" s="581"/>
      <c r="P357" s="581"/>
      <c r="Q357" s="581" t="s">
        <v>16</v>
      </c>
      <c r="R357" s="583">
        <v>0.92569999999999997</v>
      </c>
      <c r="S357" s="581"/>
      <c r="T357" s="591">
        <v>1.2779704059364223E-3</v>
      </c>
      <c r="U357" s="580"/>
      <c r="V357" s="176">
        <f>T357-T357*Calculation_sheet!F$60</f>
        <v>1.2779704059364223E-3</v>
      </c>
      <c r="W357" s="176">
        <f>V357-V357*Calculation_sheet!E$68</f>
        <v>1.2779704059364223E-3</v>
      </c>
      <c r="X357" s="176">
        <f>W357-W357*Calculation_sheet!E$78</f>
        <v>1.2779704059364223E-3</v>
      </c>
      <c r="Y357" s="34">
        <f>X357/Calculation_sheet!M$67</f>
        <v>1.2779965358671551E-3</v>
      </c>
      <c r="Z357" s="176">
        <f ca="1">IF(AN357&gt;0,Y357*Calculation_sheet!C$87,0)</f>
        <v>0</v>
      </c>
      <c r="AA357" s="176">
        <f t="shared" ca="1" si="410"/>
        <v>1.2779965358671551E-3</v>
      </c>
      <c r="AB357" s="176">
        <f ca="1">IF(AP357&gt;0,AA357*Calculation_sheet!C$94,0)</f>
        <v>0</v>
      </c>
      <c r="AC357" s="176">
        <f t="shared" ref="AC357:AE365" ca="1" si="436">AA357-AB357</f>
        <v>1.2779965358671551E-3</v>
      </c>
      <c r="AD357" s="958">
        <f ca="1">AC357*Calculation_sheet!C$99</f>
        <v>7.6679792152029307E-4</v>
      </c>
      <c r="AE357" s="176">
        <f t="shared" ca="1" si="436"/>
        <v>5.1119861434686205E-4</v>
      </c>
      <c r="AF357" s="176">
        <f t="shared" ref="AF357:AF365" ca="1" si="437">Y357-AB357</f>
        <v>1.2779965358671551E-3</v>
      </c>
      <c r="AG357" s="958">
        <f ca="1">AF357*User_sheet!B$77/100</f>
        <v>0</v>
      </c>
      <c r="AH357" s="313"/>
      <c r="AI357" s="908">
        <v>203</v>
      </c>
      <c r="AJ357" s="313"/>
      <c r="AK357" s="1020">
        <f t="shared" ca="1" si="404"/>
        <v>394.84970437837512</v>
      </c>
      <c r="AL357" s="954">
        <f ca="1">AK357/'203'!I$24</f>
        <v>1.3816536398357089</v>
      </c>
      <c r="AM357" s="954">
        <f ca="1">0.8*(AK357*30+'203'!D$17*0.34*30*1)</f>
        <v>12819.957199817844</v>
      </c>
      <c r="AN357" s="954">
        <f ca="1">IF(AM357&lt;User_sheet!B$50,Y357,0)</f>
        <v>0</v>
      </c>
      <c r="AO357" s="954">
        <f ca="1">20-(User_sheet!B$57/(AK357+'203'!D$17*1*0.34))</f>
        <v>9.3291375417428259</v>
      </c>
      <c r="AP357" s="954">
        <f ca="1">IF(AO357&lt;User_sheet!B$59,0,BC357*AA357)</f>
        <v>0</v>
      </c>
      <c r="AQ357" s="313"/>
      <c r="AR357" s="909">
        <v>0.88</v>
      </c>
      <c r="AS357" s="1020">
        <v>2.41</v>
      </c>
      <c r="AT357" s="909">
        <v>1.42</v>
      </c>
      <c r="AU357" s="909">
        <v>3.5</v>
      </c>
      <c r="AV357" s="909">
        <v>3.3</v>
      </c>
      <c r="AW357" s="909">
        <v>11922.428413610982</v>
      </c>
      <c r="AX357" s="909">
        <v>75945.51234133933</v>
      </c>
      <c r="AY357" s="909">
        <v>62673.095488422703</v>
      </c>
      <c r="AZ357" s="909">
        <v>0</v>
      </c>
      <c r="BA357" s="909">
        <v>0</v>
      </c>
      <c r="BB357" s="909">
        <v>0.75</v>
      </c>
      <c r="BC357" s="919">
        <v>1</v>
      </c>
      <c r="BD357" s="920">
        <v>0</v>
      </c>
      <c r="BE357" s="920">
        <v>0</v>
      </c>
      <c r="BF357" s="921">
        <v>0</v>
      </c>
      <c r="BG357" s="909">
        <v>1</v>
      </c>
      <c r="BH357" s="909">
        <v>0</v>
      </c>
      <c r="BI357" s="921">
        <v>0</v>
      </c>
      <c r="BJ357" s="909">
        <v>1</v>
      </c>
      <c r="BK357" s="909">
        <v>0</v>
      </c>
      <c r="BL357" s="909">
        <v>0</v>
      </c>
      <c r="BM357" s="921">
        <v>0</v>
      </c>
      <c r="BN357" s="958">
        <v>0.08</v>
      </c>
      <c r="BO357" s="959">
        <v>16.3</v>
      </c>
      <c r="BP357">
        <f t="shared" ref="BP357:BP365" ca="1" si="438">INDIRECT("'"&amp;AI357&amp;"'!"&amp;"B2")</f>
        <v>185.6</v>
      </c>
      <c r="BQ357">
        <f t="shared" ref="BQ357:BQ365" ca="1" si="439">INDIRECT("'"&amp;AI357&amp;"'!"&amp;"C12")+INDIRECT("'"&amp;AI357&amp;"'!"&amp;"C13")+INDIRECT("'"&amp;AI357&amp;"'!"&amp;"C14")+INDIRECT("'"&amp;AI357&amp;"'!"&amp;"C15")+INDIRECT("'"&amp;AI357&amp;"'!"&amp;"C17")</f>
        <v>361.17052631578946</v>
      </c>
      <c r="BR357">
        <f t="shared" ref="BR357:BR365" ca="1" si="440">INDIRECT("'"&amp;AI357&amp;"'!"&amp;"G5")</f>
        <v>84.1</v>
      </c>
      <c r="BS357">
        <f t="shared" ref="BS357:BS365" ca="1" si="441">INDIRECT("'"&amp;AI357&amp;"'!"&amp;"G4")</f>
        <v>115.78052631578947</v>
      </c>
      <c r="BT357">
        <f t="shared" ref="BT357:BT365" ca="1" si="442">INDIRECT("'"&amp;AI357&amp;"'!"&amp;"G6")</f>
        <v>75.400000000000006</v>
      </c>
      <c r="BU357">
        <f t="shared" ref="BU357:BU365" ca="1" si="443">INDIRECT("'"&amp;AI357&amp;"'!"&amp;"G2")</f>
        <v>22</v>
      </c>
      <c r="BV357">
        <f t="shared" ref="BV357:BV365" ca="1" si="444">INDIRECT("'"&amp;AI357&amp;"'!"&amp;"G3")</f>
        <v>2.15</v>
      </c>
      <c r="BW357" s="1018">
        <v>0</v>
      </c>
      <c r="BX357">
        <f t="shared" ca="1" si="432"/>
        <v>64.2133271633503</v>
      </c>
      <c r="BY357">
        <f t="shared" ca="1" si="433"/>
        <v>196.81491706554075</v>
      </c>
      <c r="BZ357">
        <f t="shared" ca="1" si="405"/>
        <v>28.353659319494973</v>
      </c>
      <c r="CA357">
        <f t="shared" ca="1" si="406"/>
        <v>76.999999946100004</v>
      </c>
      <c r="CB357">
        <f t="shared" ca="1" si="434"/>
        <v>4.5133587786259541</v>
      </c>
      <c r="CC357" s="1018">
        <f t="shared" si="407"/>
        <v>0</v>
      </c>
      <c r="CD357" s="1018">
        <f ca="1">SUM(BX357:CC357)+(BR357+BS357+BT357+BU357+BV357)*BN357</f>
        <v>394.84970437837512</v>
      </c>
      <c r="CE357" s="1018">
        <f t="shared" ref="CE357:CE365" ca="1" si="445">0.34*BO357*(1/25)^0.66*(BR357+BS357+BU357+BV357)</f>
        <v>148.36563336164974</v>
      </c>
      <c r="CF357">
        <f t="shared" ca="1" si="408"/>
        <v>16.296460132200746</v>
      </c>
      <c r="CG357">
        <f t="shared" ca="1" si="409"/>
        <v>27132.954261708957</v>
      </c>
    </row>
    <row r="358" spans="4:85" x14ac:dyDescent="0.25">
      <c r="D358" s="581"/>
      <c r="E358" s="580"/>
      <c r="F358" s="581"/>
      <c r="G358" s="580"/>
      <c r="H358" s="581"/>
      <c r="I358" s="580"/>
      <c r="J358" s="581"/>
      <c r="K358" s="584"/>
      <c r="L358" s="586"/>
      <c r="M358" s="581"/>
      <c r="N358" s="581"/>
      <c r="O358" s="581" t="s">
        <v>18</v>
      </c>
      <c r="P358" s="583">
        <v>0.89156626500000002</v>
      </c>
      <c r="Q358" s="581" t="s">
        <v>7</v>
      </c>
      <c r="R358" s="583">
        <v>7.4300000000000005E-2</v>
      </c>
      <c r="S358" s="581"/>
      <c r="T358" s="591">
        <v>1.0257448542840682E-4</v>
      </c>
      <c r="U358" s="580"/>
      <c r="V358" s="176">
        <f>T358-T358*Calculation_sheet!F$60</f>
        <v>1.0257448542840682E-4</v>
      </c>
      <c r="W358" s="176">
        <f>V358-V358*Calculation_sheet!E$68</f>
        <v>1.0257448542840682E-4</v>
      </c>
      <c r="X358" s="176">
        <f>W358-W358*Calculation_sheet!E$78</f>
        <v>1.0257448542840682E-4</v>
      </c>
      <c r="Y358" s="34">
        <f>X358/Calculation_sheet!M$67</f>
        <v>1.0257658271030532E-4</v>
      </c>
      <c r="Z358" s="176">
        <f ca="1">IF(AN358&gt;0,Y358*Calculation_sheet!C$87,0)</f>
        <v>0</v>
      </c>
      <c r="AA358" s="176">
        <f t="shared" ca="1" si="410"/>
        <v>1.0257658271030532E-4</v>
      </c>
      <c r="AB358" s="176">
        <f ca="1">IF(AP358&gt;0,AA358*Calculation_sheet!C$94,0)</f>
        <v>0</v>
      </c>
      <c r="AC358" s="176">
        <f t="shared" ca="1" si="436"/>
        <v>1.0257658271030532E-4</v>
      </c>
      <c r="AD358" s="958">
        <f ca="1">AC358*Calculation_sheet!C$99</f>
        <v>6.1545949626183184E-5</v>
      </c>
      <c r="AE358" s="176">
        <f t="shared" ca="1" si="436"/>
        <v>4.1030633084122132E-5</v>
      </c>
      <c r="AF358" s="176">
        <f t="shared" ca="1" si="437"/>
        <v>1.0257658271030532E-4</v>
      </c>
      <c r="AG358" s="958">
        <f ca="1">AF358*User_sheet!B$77/100</f>
        <v>0</v>
      </c>
      <c r="AH358" s="313"/>
      <c r="AI358" s="908">
        <v>203</v>
      </c>
      <c r="AJ358" s="313"/>
      <c r="AK358" s="1020">
        <f t="shared" ca="1" si="404"/>
        <v>394.84970437837512</v>
      </c>
      <c r="AL358" s="954">
        <f ca="1">AK358/'203'!I$24</f>
        <v>1.3816536398357089</v>
      </c>
      <c r="AM358" s="954">
        <f ca="1">0.8*(AK358*30+'203'!D$17*0.34*30*1)</f>
        <v>12819.957199817844</v>
      </c>
      <c r="AN358" s="954">
        <f ca="1">IF(AM358&lt;User_sheet!B$50,Y358,0)</f>
        <v>0</v>
      </c>
      <c r="AO358" s="954">
        <f ca="1">20-(User_sheet!B$57/(AK358+'203'!D$17*1*0.34))</f>
        <v>9.3291375417428259</v>
      </c>
      <c r="AP358" s="954">
        <f ca="1">IF(AO358&lt;User_sheet!B$59,0,BC358*AA358)</f>
        <v>0</v>
      </c>
      <c r="AQ358" s="313"/>
      <c r="AR358" s="909">
        <v>0.88</v>
      </c>
      <c r="AS358" s="1020">
        <v>2.41</v>
      </c>
      <c r="AT358" s="909">
        <v>1.42</v>
      </c>
      <c r="AU358" s="909">
        <v>3.5</v>
      </c>
      <c r="AV358" s="909">
        <v>3.3</v>
      </c>
      <c r="AW358" s="909">
        <v>11922.428413610982</v>
      </c>
      <c r="AX358" s="909">
        <v>75945.51234133933</v>
      </c>
      <c r="AY358" s="909">
        <v>62673.095488422703</v>
      </c>
      <c r="AZ358" s="909">
        <v>0</v>
      </c>
      <c r="BA358" s="909">
        <v>0</v>
      </c>
      <c r="BB358" s="909">
        <v>0.75</v>
      </c>
      <c r="BC358" s="919">
        <v>1</v>
      </c>
      <c r="BD358" s="920">
        <v>0</v>
      </c>
      <c r="BE358" s="920">
        <v>0</v>
      </c>
      <c r="BF358" s="921">
        <v>0</v>
      </c>
      <c r="BG358" s="909">
        <v>1</v>
      </c>
      <c r="BH358" s="909">
        <v>0</v>
      </c>
      <c r="BI358" s="921">
        <v>0</v>
      </c>
      <c r="BJ358" s="909">
        <v>0</v>
      </c>
      <c r="BK358" s="909">
        <v>0</v>
      </c>
      <c r="BL358" s="909">
        <v>1</v>
      </c>
      <c r="BM358" s="921">
        <v>0</v>
      </c>
      <c r="BN358" s="958">
        <v>0.08</v>
      </c>
      <c r="BO358" s="959">
        <v>16.3</v>
      </c>
      <c r="BP358">
        <f t="shared" ca="1" si="438"/>
        <v>185.6</v>
      </c>
      <c r="BQ358">
        <f t="shared" ca="1" si="439"/>
        <v>361.17052631578946</v>
      </c>
      <c r="BR358">
        <f t="shared" ca="1" si="440"/>
        <v>84.1</v>
      </c>
      <c r="BS358">
        <f t="shared" ca="1" si="441"/>
        <v>115.78052631578947</v>
      </c>
      <c r="BT358">
        <f t="shared" ca="1" si="442"/>
        <v>75.400000000000006</v>
      </c>
      <c r="BU358">
        <f t="shared" ca="1" si="443"/>
        <v>22</v>
      </c>
      <c r="BV358">
        <f t="shared" ca="1" si="444"/>
        <v>2.15</v>
      </c>
      <c r="BW358" s="1018">
        <v>0</v>
      </c>
      <c r="BX358">
        <f t="shared" ca="1" si="432"/>
        <v>64.2133271633503</v>
      </c>
      <c r="BY358">
        <f t="shared" ca="1" si="433"/>
        <v>196.81491706554075</v>
      </c>
      <c r="BZ358">
        <f t="shared" ca="1" si="405"/>
        <v>28.353659319494973</v>
      </c>
      <c r="CA358">
        <f t="shared" ca="1" si="406"/>
        <v>76.999999946100004</v>
      </c>
      <c r="CB358">
        <f t="shared" ca="1" si="434"/>
        <v>4.5133587786259541</v>
      </c>
      <c r="CC358" s="1018">
        <f t="shared" si="407"/>
        <v>0</v>
      </c>
      <c r="CD358" s="1018">
        <f t="shared" ref="CD358:CD365" ca="1" si="446">SUM(BX358:CC358)+(BR358+BS358+BT358+BU358+BV358)*BN358</f>
        <v>394.84970437837512</v>
      </c>
      <c r="CE358" s="1018">
        <f t="shared" ca="1" si="445"/>
        <v>148.36563336164974</v>
      </c>
      <c r="CF358">
        <f t="shared" ca="1" si="408"/>
        <v>16.296460132200746</v>
      </c>
      <c r="CG358">
        <f t="shared" ca="1" si="409"/>
        <v>27132.954261708957</v>
      </c>
    </row>
    <row r="359" spans="4:85" x14ac:dyDescent="0.25">
      <c r="D359" s="581"/>
      <c r="E359" s="580"/>
      <c r="F359" s="581"/>
      <c r="G359" s="580"/>
      <c r="H359" s="581"/>
      <c r="I359" s="580"/>
      <c r="J359" s="581"/>
      <c r="K359" s="584"/>
      <c r="L359" s="586"/>
      <c r="M359" s="581"/>
      <c r="N359" s="581"/>
      <c r="O359" s="581"/>
      <c r="P359" s="581"/>
      <c r="Q359" s="581" t="s">
        <v>16</v>
      </c>
      <c r="R359" s="583">
        <v>0.92569999999999997</v>
      </c>
      <c r="S359" s="581"/>
      <c r="T359" s="591">
        <v>1.5542883325128106E-4</v>
      </c>
      <c r="U359" s="580"/>
      <c r="V359" s="176">
        <f>T359-T359*Calculation_sheet!F$60</f>
        <v>1.5542883325128106E-4</v>
      </c>
      <c r="W359" s="176">
        <f>V359-V359*Calculation_sheet!E$68</f>
        <v>1.5542883325128106E-4</v>
      </c>
      <c r="X359" s="176">
        <f>W359-W359*Calculation_sheet!E$78</f>
        <v>1.5542883325128106E-4</v>
      </c>
      <c r="Y359" s="34">
        <f>X359/Calculation_sheet!M$67</f>
        <v>1.5543201121583162E-4</v>
      </c>
      <c r="Z359" s="176">
        <f ca="1">IF(AN359&gt;0,Y359*Calculation_sheet!C$87,0)</f>
        <v>0</v>
      </c>
      <c r="AA359" s="176">
        <f t="shared" ca="1" si="410"/>
        <v>1.5543201121583162E-4</v>
      </c>
      <c r="AB359" s="176">
        <f ca="1">IF(AP359&gt;0,AA359*Calculation_sheet!C$94,0)</f>
        <v>0</v>
      </c>
      <c r="AC359" s="176">
        <f t="shared" ca="1" si="436"/>
        <v>1.5543201121583162E-4</v>
      </c>
      <c r="AD359" s="958">
        <f ca="1">AC359*Calculation_sheet!C$99</f>
        <v>9.3259206729498967E-5</v>
      </c>
      <c r="AE359" s="176">
        <f t="shared" ca="1" si="436"/>
        <v>6.2172804486332654E-5</v>
      </c>
      <c r="AF359" s="176">
        <f t="shared" ca="1" si="437"/>
        <v>1.5543201121583162E-4</v>
      </c>
      <c r="AG359" s="958">
        <f ca="1">AF359*User_sheet!B$77/100</f>
        <v>0</v>
      </c>
      <c r="AH359" s="313"/>
      <c r="AI359" s="908">
        <v>203</v>
      </c>
      <c r="AJ359" s="313"/>
      <c r="AK359" s="1020">
        <f t="shared" ca="1" si="404"/>
        <v>394.84970437837512</v>
      </c>
      <c r="AL359" s="954">
        <f ca="1">AK359/'203'!I$24</f>
        <v>1.3816536398357089</v>
      </c>
      <c r="AM359" s="954">
        <f ca="1">0.8*(AK359*30+'203'!D$17*0.34*30*1)</f>
        <v>12819.957199817844</v>
      </c>
      <c r="AN359" s="954">
        <f ca="1">IF(AM359&lt;User_sheet!B$50,Y359,0)</f>
        <v>0</v>
      </c>
      <c r="AO359" s="954">
        <f ca="1">20-(User_sheet!B$57/(AK359+'203'!D$17*1*0.34))</f>
        <v>9.3291375417428259</v>
      </c>
      <c r="AP359" s="954">
        <f ca="1">IF(AO359&lt;User_sheet!B$59,0,BC359*AA359)</f>
        <v>0</v>
      </c>
      <c r="AQ359" s="313"/>
      <c r="AR359" s="909">
        <v>0.88</v>
      </c>
      <c r="AS359" s="1020">
        <v>2.41</v>
      </c>
      <c r="AT359" s="909">
        <v>1.42</v>
      </c>
      <c r="AU359" s="909">
        <v>3.5</v>
      </c>
      <c r="AV359" s="909">
        <v>3.3</v>
      </c>
      <c r="AW359" s="909">
        <v>11922.428413610982</v>
      </c>
      <c r="AX359" s="909">
        <v>75945.51234133933</v>
      </c>
      <c r="AY359" s="909">
        <v>62673.095488422703</v>
      </c>
      <c r="AZ359" s="909">
        <v>0</v>
      </c>
      <c r="BA359" s="909">
        <v>0</v>
      </c>
      <c r="BB359" s="909">
        <v>0.75</v>
      </c>
      <c r="BC359" s="919">
        <v>1</v>
      </c>
      <c r="BD359" s="920">
        <v>0</v>
      </c>
      <c r="BE359" s="920">
        <v>0</v>
      </c>
      <c r="BF359" s="921">
        <v>0</v>
      </c>
      <c r="BG359" s="909">
        <v>0</v>
      </c>
      <c r="BH359" s="909">
        <v>1</v>
      </c>
      <c r="BI359" s="921">
        <v>0</v>
      </c>
      <c r="BJ359" s="909">
        <v>1</v>
      </c>
      <c r="BK359" s="909">
        <v>0</v>
      </c>
      <c r="BL359" s="909">
        <v>0</v>
      </c>
      <c r="BM359" s="921">
        <v>0</v>
      </c>
      <c r="BN359" s="958">
        <v>0.08</v>
      </c>
      <c r="BO359" s="959">
        <v>16.3</v>
      </c>
      <c r="BP359">
        <f t="shared" ca="1" si="438"/>
        <v>185.6</v>
      </c>
      <c r="BQ359">
        <f t="shared" ca="1" si="439"/>
        <v>361.17052631578946</v>
      </c>
      <c r="BR359">
        <f t="shared" ca="1" si="440"/>
        <v>84.1</v>
      </c>
      <c r="BS359">
        <f t="shared" ca="1" si="441"/>
        <v>115.78052631578947</v>
      </c>
      <c r="BT359">
        <f t="shared" ca="1" si="442"/>
        <v>75.400000000000006</v>
      </c>
      <c r="BU359">
        <f t="shared" ca="1" si="443"/>
        <v>22</v>
      </c>
      <c r="BV359">
        <f t="shared" ca="1" si="444"/>
        <v>2.15</v>
      </c>
      <c r="BW359" s="1018">
        <v>0</v>
      </c>
      <c r="BX359">
        <f t="shared" ca="1" si="432"/>
        <v>64.2133271633503</v>
      </c>
      <c r="BY359">
        <f t="shared" ca="1" si="433"/>
        <v>196.81491706554075</v>
      </c>
      <c r="BZ359">
        <f t="shared" ca="1" si="405"/>
        <v>28.353659319494973</v>
      </c>
      <c r="CA359">
        <f t="shared" ca="1" si="406"/>
        <v>76.999999946100004</v>
      </c>
      <c r="CB359">
        <f t="shared" ca="1" si="434"/>
        <v>4.5133587786259541</v>
      </c>
      <c r="CC359" s="1018">
        <f t="shared" si="407"/>
        <v>0</v>
      </c>
      <c r="CD359" s="1018">
        <f t="shared" ca="1" si="446"/>
        <v>394.84970437837512</v>
      </c>
      <c r="CE359" s="1018">
        <f t="shared" ca="1" si="445"/>
        <v>148.36563336164974</v>
      </c>
      <c r="CF359">
        <f t="shared" ca="1" si="408"/>
        <v>16.296460132200746</v>
      </c>
      <c r="CG359">
        <f t="shared" ca="1" si="409"/>
        <v>27132.954261708957</v>
      </c>
    </row>
    <row r="360" spans="4:85" x14ac:dyDescent="0.25">
      <c r="D360" s="581"/>
      <c r="E360" s="580"/>
      <c r="F360" s="581"/>
      <c r="G360" s="580"/>
      <c r="H360" s="581"/>
      <c r="I360" s="580"/>
      <c r="J360" s="581"/>
      <c r="K360" s="584"/>
      <c r="L360" s="586"/>
      <c r="M360" s="581" t="s">
        <v>16</v>
      </c>
      <c r="N360" s="583">
        <v>0.41099999999999998</v>
      </c>
      <c r="O360" s="581" t="s">
        <v>19</v>
      </c>
      <c r="P360" s="583">
        <v>0.108433735</v>
      </c>
      <c r="Q360" s="581" t="s">
        <v>7</v>
      </c>
      <c r="R360" s="583">
        <v>7.4300000000000005E-2</v>
      </c>
      <c r="S360" s="581"/>
      <c r="T360" s="591">
        <v>1.2475275262579867E-5</v>
      </c>
      <c r="U360" s="580"/>
      <c r="V360" s="176">
        <f>T360-T360*Calculation_sheet!F$60</f>
        <v>1.2475275262579867E-5</v>
      </c>
      <c r="W360" s="176">
        <f>V360-V360*Calculation_sheet!E$68</f>
        <v>1.2475275262579867E-5</v>
      </c>
      <c r="X360" s="176">
        <f>W360-W360*Calculation_sheet!E$78</f>
        <v>1.2475275262579867E-5</v>
      </c>
      <c r="Y360" s="34">
        <f>X360/Calculation_sheet!M$67</f>
        <v>1.247553033740552E-5</v>
      </c>
      <c r="Z360" s="176">
        <f ca="1">IF(AN360&gt;0,Y360*Calculation_sheet!C$87,0)</f>
        <v>0</v>
      </c>
      <c r="AA360" s="176">
        <f t="shared" ca="1" si="410"/>
        <v>1.247553033740552E-5</v>
      </c>
      <c r="AB360" s="176">
        <f ca="1">IF(AP360&gt;0,AA360*Calculation_sheet!C$94,0)</f>
        <v>0</v>
      </c>
      <c r="AC360" s="176">
        <f t="shared" ca="1" si="436"/>
        <v>1.247553033740552E-5</v>
      </c>
      <c r="AD360" s="958">
        <f ca="1">AC360*Calculation_sheet!C$99</f>
        <v>7.4853182024433115E-6</v>
      </c>
      <c r="AE360" s="176">
        <f t="shared" ca="1" si="436"/>
        <v>4.9902121349622085E-6</v>
      </c>
      <c r="AF360" s="176">
        <f t="shared" ca="1" si="437"/>
        <v>1.247553033740552E-5</v>
      </c>
      <c r="AG360" s="958">
        <f ca="1">AF360*User_sheet!B$77/100</f>
        <v>0</v>
      </c>
      <c r="AH360" s="313"/>
      <c r="AI360" s="908">
        <v>203</v>
      </c>
      <c r="AJ360" s="313"/>
      <c r="AK360" s="1020">
        <f t="shared" ca="1" si="404"/>
        <v>394.84970437837512</v>
      </c>
      <c r="AL360" s="954">
        <f ca="1">AK360/'203'!I$24</f>
        <v>1.3816536398357089</v>
      </c>
      <c r="AM360" s="954">
        <f ca="1">0.8*(AK360*30+'203'!D$17*0.34*30*1)</f>
        <v>12819.957199817844</v>
      </c>
      <c r="AN360" s="954">
        <f ca="1">IF(AM360&lt;User_sheet!B$50,Y360,0)</f>
        <v>0</v>
      </c>
      <c r="AO360" s="954">
        <f ca="1">20-(User_sheet!B$57/(AK360+'203'!D$17*1*0.34))</f>
        <v>9.3291375417428259</v>
      </c>
      <c r="AP360" s="954">
        <f ca="1">IF(AO360&lt;User_sheet!B$59,0,BC360*AA360)</f>
        <v>0</v>
      </c>
      <c r="AQ360" s="313"/>
      <c r="AR360" s="909">
        <v>0.88</v>
      </c>
      <c r="AS360" s="1020">
        <v>2.41</v>
      </c>
      <c r="AT360" s="909">
        <v>1.42</v>
      </c>
      <c r="AU360" s="909">
        <v>3.5</v>
      </c>
      <c r="AV360" s="909">
        <v>3.3</v>
      </c>
      <c r="AW360" s="909">
        <v>11922.428413610982</v>
      </c>
      <c r="AX360" s="909">
        <v>75945.51234133933</v>
      </c>
      <c r="AY360" s="909">
        <v>62673.095488422703</v>
      </c>
      <c r="AZ360" s="909">
        <v>0</v>
      </c>
      <c r="BA360" s="909">
        <v>0</v>
      </c>
      <c r="BB360" s="909">
        <v>0.75</v>
      </c>
      <c r="BC360" s="919">
        <v>1</v>
      </c>
      <c r="BD360" s="920">
        <v>0</v>
      </c>
      <c r="BE360" s="920">
        <v>0</v>
      </c>
      <c r="BF360" s="921">
        <v>0</v>
      </c>
      <c r="BG360" s="909">
        <v>0</v>
      </c>
      <c r="BH360" s="909">
        <v>1</v>
      </c>
      <c r="BI360" s="921">
        <v>0</v>
      </c>
      <c r="BJ360" s="909">
        <v>0</v>
      </c>
      <c r="BK360" s="909">
        <v>0</v>
      </c>
      <c r="BL360" s="909">
        <v>1</v>
      </c>
      <c r="BM360" s="921">
        <v>0</v>
      </c>
      <c r="BN360" s="958">
        <v>0.08</v>
      </c>
      <c r="BO360" s="959">
        <v>16.3</v>
      </c>
      <c r="BP360">
        <f t="shared" ca="1" si="438"/>
        <v>185.6</v>
      </c>
      <c r="BQ360">
        <f t="shared" ca="1" si="439"/>
        <v>361.17052631578946</v>
      </c>
      <c r="BR360">
        <f t="shared" ca="1" si="440"/>
        <v>84.1</v>
      </c>
      <c r="BS360">
        <f t="shared" ca="1" si="441"/>
        <v>115.78052631578947</v>
      </c>
      <c r="BT360">
        <f t="shared" ca="1" si="442"/>
        <v>75.400000000000006</v>
      </c>
      <c r="BU360">
        <f t="shared" ca="1" si="443"/>
        <v>22</v>
      </c>
      <c r="BV360">
        <f t="shared" ca="1" si="444"/>
        <v>2.15</v>
      </c>
      <c r="BW360" s="1018">
        <v>0</v>
      </c>
      <c r="BX360">
        <f t="shared" ca="1" si="432"/>
        <v>64.2133271633503</v>
      </c>
      <c r="BY360">
        <f t="shared" ca="1" si="433"/>
        <v>196.81491706554075</v>
      </c>
      <c r="BZ360">
        <f t="shared" ca="1" si="405"/>
        <v>28.353659319494973</v>
      </c>
      <c r="CA360">
        <f t="shared" ca="1" si="406"/>
        <v>76.999999946100004</v>
      </c>
      <c r="CB360">
        <f t="shared" ca="1" si="434"/>
        <v>4.5133587786259541</v>
      </c>
      <c r="CC360" s="1018">
        <f t="shared" si="407"/>
        <v>0</v>
      </c>
      <c r="CD360" s="1018">
        <f t="shared" ca="1" si="446"/>
        <v>394.84970437837512</v>
      </c>
      <c r="CE360" s="1018">
        <f t="shared" ca="1" si="445"/>
        <v>148.36563336164974</v>
      </c>
      <c r="CF360">
        <f t="shared" ca="1" si="408"/>
        <v>16.296460132200746</v>
      </c>
      <c r="CG360">
        <f t="shared" ca="1" si="409"/>
        <v>27132.954261708957</v>
      </c>
    </row>
    <row r="361" spans="4:85" x14ac:dyDescent="0.25">
      <c r="D361" s="581"/>
      <c r="E361" s="580"/>
      <c r="F361" s="581"/>
      <c r="G361" s="580"/>
      <c r="H361" s="581"/>
      <c r="I361" s="580"/>
      <c r="J361" s="581"/>
      <c r="K361" s="584"/>
      <c r="L361" s="586"/>
      <c r="M361" s="581"/>
      <c r="N361" s="581"/>
      <c r="O361" s="581"/>
      <c r="P361" s="581"/>
      <c r="Q361" s="581" t="s">
        <v>22</v>
      </c>
      <c r="R361" s="583">
        <v>0.60750000000000004</v>
      </c>
      <c r="S361" s="581"/>
      <c r="T361" s="591">
        <v>1.0154796356489117E-3</v>
      </c>
      <c r="U361" s="580"/>
      <c r="V361" s="176">
        <f>T361-T361*Calculation_sheet!F$60</f>
        <v>1.0154796356489117E-3</v>
      </c>
      <c r="W361" s="176">
        <f>V361-V361*Calculation_sheet!E$68</f>
        <v>1.0154796356489117E-3</v>
      </c>
      <c r="X361" s="176">
        <f>W361-W361*Calculation_sheet!E$78</f>
        <v>1.0154796356489117E-3</v>
      </c>
      <c r="Y361" s="34">
        <f>X361/Calculation_sheet!M$67</f>
        <v>1.0155003985808362E-3</v>
      </c>
      <c r="Z361" s="176">
        <f ca="1">IF(AN361&gt;0,Y361*Calculation_sheet!C$87,0)</f>
        <v>0</v>
      </c>
      <c r="AA361" s="176">
        <f t="shared" ca="1" si="410"/>
        <v>1.0155003985808362E-3</v>
      </c>
      <c r="AB361" s="176">
        <f ca="1">IF(AP361&gt;0,AA361*Calculation_sheet!C$94,0)</f>
        <v>0</v>
      </c>
      <c r="AC361" s="176">
        <f t="shared" ca="1" si="436"/>
        <v>1.0155003985808362E-3</v>
      </c>
      <c r="AD361" s="958">
        <f ca="1">AC361*Calculation_sheet!C$99</f>
        <v>6.0930023914850169E-4</v>
      </c>
      <c r="AE361" s="176">
        <f t="shared" ca="1" si="436"/>
        <v>4.0620015943233453E-4</v>
      </c>
      <c r="AF361" s="176">
        <f t="shared" ca="1" si="437"/>
        <v>1.0155003985808362E-3</v>
      </c>
      <c r="AG361" s="958">
        <f ca="1">AF361*User_sheet!B$77/100</f>
        <v>0</v>
      </c>
      <c r="AH361" s="313"/>
      <c r="AI361" s="908">
        <v>203</v>
      </c>
      <c r="AJ361" s="313"/>
      <c r="AK361" s="1020">
        <f t="shared" ca="1" si="404"/>
        <v>394.84970437837512</v>
      </c>
      <c r="AL361" s="954">
        <f ca="1">AK361/'203'!I$24</f>
        <v>1.3816536398357089</v>
      </c>
      <c r="AM361" s="954">
        <f ca="1">0.8*(AK361*30+'203'!D$17*0.34*30*1)</f>
        <v>12819.957199817844</v>
      </c>
      <c r="AN361" s="954">
        <f ca="1">IF(AM361&lt;User_sheet!B$50,Y361,0)</f>
        <v>0</v>
      </c>
      <c r="AO361" s="954">
        <f ca="1">20-(User_sheet!B$57/(AK361+'203'!D$17*1*0.34))</f>
        <v>9.3291375417428259</v>
      </c>
      <c r="AP361" s="954">
        <f ca="1">IF(AO361&lt;User_sheet!B$59,0,BC361*AA361)</f>
        <v>0</v>
      </c>
      <c r="AQ361" s="313"/>
      <c r="AR361" s="909">
        <v>0.88</v>
      </c>
      <c r="AS361" s="1020">
        <v>2.41</v>
      </c>
      <c r="AT361" s="909">
        <v>1.42</v>
      </c>
      <c r="AU361" s="909">
        <v>3.5</v>
      </c>
      <c r="AV361" s="909">
        <v>3.3</v>
      </c>
      <c r="AW361" s="909">
        <v>11922.428413610982</v>
      </c>
      <c r="AX361" s="909">
        <v>75945.51234133933</v>
      </c>
      <c r="AY361" s="909">
        <v>62673.095488422703</v>
      </c>
      <c r="AZ361" s="909">
        <v>0</v>
      </c>
      <c r="BA361" s="909">
        <v>0</v>
      </c>
      <c r="BB361" s="909">
        <v>0.75</v>
      </c>
      <c r="BC361" s="919">
        <v>0</v>
      </c>
      <c r="BD361" s="920">
        <v>1</v>
      </c>
      <c r="BE361" s="920">
        <v>0</v>
      </c>
      <c r="BF361" s="921">
        <v>0</v>
      </c>
      <c r="BG361" s="909">
        <v>1</v>
      </c>
      <c r="BH361" s="909">
        <v>0</v>
      </c>
      <c r="BI361" s="921">
        <v>0</v>
      </c>
      <c r="BJ361" s="909">
        <v>0</v>
      </c>
      <c r="BK361" s="909">
        <v>1</v>
      </c>
      <c r="BL361" s="909">
        <v>0</v>
      </c>
      <c r="BM361" s="921">
        <v>0</v>
      </c>
      <c r="BN361" s="958">
        <v>0.08</v>
      </c>
      <c r="BO361" s="959">
        <v>16.3</v>
      </c>
      <c r="BP361">
        <f t="shared" ca="1" si="438"/>
        <v>185.6</v>
      </c>
      <c r="BQ361">
        <f t="shared" ca="1" si="439"/>
        <v>361.17052631578946</v>
      </c>
      <c r="BR361">
        <f t="shared" ca="1" si="440"/>
        <v>84.1</v>
      </c>
      <c r="BS361">
        <f t="shared" ca="1" si="441"/>
        <v>115.78052631578947</v>
      </c>
      <c r="BT361">
        <f t="shared" ca="1" si="442"/>
        <v>75.400000000000006</v>
      </c>
      <c r="BU361">
        <f t="shared" ca="1" si="443"/>
        <v>22</v>
      </c>
      <c r="BV361">
        <f t="shared" ca="1" si="444"/>
        <v>2.15</v>
      </c>
      <c r="BW361" s="1018">
        <v>0</v>
      </c>
      <c r="BX361">
        <f t="shared" ca="1" si="432"/>
        <v>64.2133271633503</v>
      </c>
      <c r="BY361">
        <f t="shared" ca="1" si="433"/>
        <v>196.81491706554075</v>
      </c>
      <c r="BZ361">
        <f t="shared" ca="1" si="405"/>
        <v>28.353659319494973</v>
      </c>
      <c r="CA361">
        <f t="shared" ca="1" si="406"/>
        <v>76.999999946100004</v>
      </c>
      <c r="CB361">
        <f t="shared" ca="1" si="434"/>
        <v>4.5133587786259541</v>
      </c>
      <c r="CC361" s="1018">
        <f t="shared" si="407"/>
        <v>0</v>
      </c>
      <c r="CD361" s="1018">
        <f t="shared" ca="1" si="446"/>
        <v>394.84970437837512</v>
      </c>
      <c r="CE361" s="1018">
        <f t="shared" ca="1" si="445"/>
        <v>148.36563336164974</v>
      </c>
      <c r="CF361">
        <f t="shared" ca="1" si="408"/>
        <v>16.296460132200746</v>
      </c>
      <c r="CG361">
        <f t="shared" ca="1" si="409"/>
        <v>27132.954261708957</v>
      </c>
    </row>
    <row r="362" spans="4:85" x14ac:dyDescent="0.25">
      <c r="D362" s="581"/>
      <c r="E362" s="580"/>
      <c r="F362" s="581"/>
      <c r="G362" s="580"/>
      <c r="H362" s="581"/>
      <c r="I362" s="580"/>
      <c r="J362" s="581"/>
      <c r="K362" s="584"/>
      <c r="L362" s="586"/>
      <c r="M362" s="581"/>
      <c r="N362" s="581"/>
      <c r="O362" s="581" t="s">
        <v>18</v>
      </c>
      <c r="P362" s="583">
        <v>0.94399999999999995</v>
      </c>
      <c r="Q362" s="581" t="s">
        <v>7</v>
      </c>
      <c r="R362" s="583">
        <v>0.39250000000000002</v>
      </c>
      <c r="S362" s="581"/>
      <c r="T362" s="591">
        <v>6.5609178105711572E-4</v>
      </c>
      <c r="U362" s="580"/>
      <c r="V362" s="176">
        <f>T362-T362*Calculation_sheet!F$60</f>
        <v>6.5609178105711572E-4</v>
      </c>
      <c r="W362" s="176">
        <f>V362-V362*Calculation_sheet!E$68</f>
        <v>6.5609178105711572E-4</v>
      </c>
      <c r="X362" s="176">
        <f>W362-W362*Calculation_sheet!E$78</f>
        <v>6.5609178105711572E-4</v>
      </c>
      <c r="Y362" s="34">
        <f>X362/Calculation_sheet!M$67</f>
        <v>6.5610519579091054E-4</v>
      </c>
      <c r="Z362" s="176">
        <f ca="1">IF(AN362&gt;0,Y362*Calculation_sheet!C$87,0)</f>
        <v>0</v>
      </c>
      <c r="AA362" s="176">
        <f t="shared" ca="1" si="410"/>
        <v>6.5610519579091054E-4</v>
      </c>
      <c r="AB362" s="176">
        <f ca="1">IF(AP362&gt;0,AA362*Calculation_sheet!C$94,0)</f>
        <v>0</v>
      </c>
      <c r="AC362" s="176">
        <f t="shared" ca="1" si="436"/>
        <v>6.5610519579091054E-4</v>
      </c>
      <c r="AD362" s="958">
        <f ca="1">AC362*Calculation_sheet!C$99</f>
        <v>3.936631174745463E-4</v>
      </c>
      <c r="AE362" s="176">
        <f t="shared" ca="1" si="436"/>
        <v>2.6244207831636424E-4</v>
      </c>
      <c r="AF362" s="176">
        <f t="shared" ca="1" si="437"/>
        <v>6.5610519579091054E-4</v>
      </c>
      <c r="AG362" s="958">
        <f ca="1">AF362*User_sheet!B$77/100</f>
        <v>0</v>
      </c>
      <c r="AH362" s="313"/>
      <c r="AI362" s="908">
        <v>203</v>
      </c>
      <c r="AJ362" s="313"/>
      <c r="AK362" s="1020">
        <f t="shared" ca="1" si="404"/>
        <v>394.84970437837512</v>
      </c>
      <c r="AL362" s="954">
        <f ca="1">AK362/'203'!I$24</f>
        <v>1.3816536398357089</v>
      </c>
      <c r="AM362" s="954">
        <f ca="1">0.8*(AK362*30+'203'!D$17*0.34*30*1)</f>
        <v>12819.957199817844</v>
      </c>
      <c r="AN362" s="954">
        <f ca="1">IF(AM362&lt;User_sheet!B$50,Y362,0)</f>
        <v>0</v>
      </c>
      <c r="AO362" s="954">
        <f ca="1">20-(User_sheet!B$57/(AK362+'203'!D$17*1*0.34))</f>
        <v>9.3291375417428259</v>
      </c>
      <c r="AP362" s="954">
        <f ca="1">IF(AO362&lt;User_sheet!B$59,0,BC362*AA362)</f>
        <v>0</v>
      </c>
      <c r="AQ362" s="313"/>
      <c r="AR362" s="909">
        <v>0.88</v>
      </c>
      <c r="AS362" s="1020">
        <v>2.41</v>
      </c>
      <c r="AT362" s="909">
        <v>1.42</v>
      </c>
      <c r="AU362" s="909">
        <v>3.5</v>
      </c>
      <c r="AV362" s="909">
        <v>3.3</v>
      </c>
      <c r="AW362" s="909">
        <v>11922.428413610982</v>
      </c>
      <c r="AX362" s="909">
        <v>75945.51234133933</v>
      </c>
      <c r="AY362" s="909">
        <v>62673.095488422703</v>
      </c>
      <c r="AZ362" s="909">
        <v>0</v>
      </c>
      <c r="BA362" s="909">
        <v>0</v>
      </c>
      <c r="BB362" s="909">
        <v>0.75</v>
      </c>
      <c r="BC362" s="919">
        <v>0</v>
      </c>
      <c r="BD362" s="920">
        <v>1</v>
      </c>
      <c r="BE362" s="920">
        <v>0</v>
      </c>
      <c r="BF362" s="921">
        <v>0</v>
      </c>
      <c r="BG362" s="909">
        <v>1</v>
      </c>
      <c r="BH362" s="909">
        <v>0</v>
      </c>
      <c r="BI362" s="921">
        <v>0</v>
      </c>
      <c r="BJ362" s="909">
        <v>0</v>
      </c>
      <c r="BK362" s="909">
        <v>0</v>
      </c>
      <c r="BL362" s="909">
        <v>1</v>
      </c>
      <c r="BM362" s="921">
        <v>0</v>
      </c>
      <c r="BN362" s="958">
        <v>0.08</v>
      </c>
      <c r="BO362" s="959">
        <v>16.3</v>
      </c>
      <c r="BP362">
        <f t="shared" ca="1" si="438"/>
        <v>185.6</v>
      </c>
      <c r="BQ362">
        <f t="shared" ca="1" si="439"/>
        <v>361.17052631578946</v>
      </c>
      <c r="BR362">
        <f t="shared" ca="1" si="440"/>
        <v>84.1</v>
      </c>
      <c r="BS362">
        <f t="shared" ca="1" si="441"/>
        <v>115.78052631578947</v>
      </c>
      <c r="BT362">
        <f t="shared" ca="1" si="442"/>
        <v>75.400000000000006</v>
      </c>
      <c r="BU362">
        <f t="shared" ca="1" si="443"/>
        <v>22</v>
      </c>
      <c r="BV362">
        <f t="shared" ca="1" si="444"/>
        <v>2.15</v>
      </c>
      <c r="BW362" s="1018">
        <v>0</v>
      </c>
      <c r="BX362">
        <f t="shared" ca="1" si="432"/>
        <v>64.2133271633503</v>
      </c>
      <c r="BY362">
        <f t="shared" ca="1" si="433"/>
        <v>196.81491706554075</v>
      </c>
      <c r="BZ362">
        <f t="shared" ca="1" si="405"/>
        <v>28.353659319494973</v>
      </c>
      <c r="CA362">
        <f t="shared" ca="1" si="406"/>
        <v>76.999999946100004</v>
      </c>
      <c r="CB362">
        <f t="shared" ca="1" si="434"/>
        <v>4.5133587786259541</v>
      </c>
      <c r="CC362" s="1018">
        <f t="shared" si="407"/>
        <v>0</v>
      </c>
      <c r="CD362" s="1018">
        <f t="shared" ca="1" si="446"/>
        <v>394.84970437837512</v>
      </c>
      <c r="CE362" s="1018">
        <f t="shared" ca="1" si="445"/>
        <v>148.36563336164974</v>
      </c>
      <c r="CF362">
        <f t="shared" ca="1" si="408"/>
        <v>16.296460132200746</v>
      </c>
      <c r="CG362">
        <f t="shared" ca="1" si="409"/>
        <v>27132.954261708957</v>
      </c>
    </row>
    <row r="363" spans="4:85" x14ac:dyDescent="0.25">
      <c r="D363" s="581"/>
      <c r="E363" s="580"/>
      <c r="F363" s="581"/>
      <c r="G363" s="580"/>
      <c r="H363" s="581"/>
      <c r="I363" s="580"/>
      <c r="J363" s="581"/>
      <c r="K363" s="584"/>
      <c r="L363" s="586"/>
      <c r="M363" s="581"/>
      <c r="N363" s="581"/>
      <c r="O363" s="581"/>
      <c r="P363" s="581"/>
      <c r="Q363" s="581" t="s">
        <v>22</v>
      </c>
      <c r="R363" s="583">
        <v>0.39250000000000002</v>
      </c>
      <c r="S363" s="581"/>
      <c r="T363" s="591">
        <v>3.892069887626958E-5</v>
      </c>
      <c r="U363" s="580"/>
      <c r="V363" s="176">
        <f>T363-T363*Calculation_sheet!F$60</f>
        <v>3.892069887626958E-5</v>
      </c>
      <c r="W363" s="176">
        <f>V363-V363*Calculation_sheet!E$68</f>
        <v>3.892069887626958E-5</v>
      </c>
      <c r="X363" s="176">
        <f>W363-W363*Calculation_sheet!E$78</f>
        <v>3.892069887626958E-5</v>
      </c>
      <c r="Y363" s="34">
        <f>X363/Calculation_sheet!M$67</f>
        <v>3.8921494665562495E-5</v>
      </c>
      <c r="Z363" s="176">
        <f ca="1">IF(AN363&gt;0,Y363*Calculation_sheet!C$87,0)</f>
        <v>0</v>
      </c>
      <c r="AA363" s="176">
        <f t="shared" ca="1" si="410"/>
        <v>3.8921494665562495E-5</v>
      </c>
      <c r="AB363" s="176">
        <f ca="1">IF(AP363&gt;0,AA363*Calculation_sheet!C$94,0)</f>
        <v>0</v>
      </c>
      <c r="AC363" s="176">
        <f t="shared" ca="1" si="436"/>
        <v>3.8921494665562495E-5</v>
      </c>
      <c r="AD363" s="958">
        <f ca="1">AC363*Calculation_sheet!C$99</f>
        <v>2.3352896799337495E-5</v>
      </c>
      <c r="AE363" s="176">
        <f t="shared" ca="1" si="436"/>
        <v>1.5568597866225E-5</v>
      </c>
      <c r="AF363" s="176">
        <f t="shared" ca="1" si="437"/>
        <v>3.8921494665562495E-5</v>
      </c>
      <c r="AG363" s="958">
        <f ca="1">AF363*User_sheet!B$77/100</f>
        <v>0</v>
      </c>
      <c r="AH363" s="313"/>
      <c r="AI363" s="908">
        <v>203</v>
      </c>
      <c r="AJ363" s="313"/>
      <c r="AK363" s="1020">
        <f t="shared" ca="1" si="404"/>
        <v>394.84970437837512</v>
      </c>
      <c r="AL363" s="954">
        <f ca="1">AK363/'203'!I$24</f>
        <v>1.3816536398357089</v>
      </c>
      <c r="AM363" s="954">
        <f ca="1">0.8*(AK363*30+'203'!D$17*0.34*30*1)</f>
        <v>12819.957199817844</v>
      </c>
      <c r="AN363" s="954">
        <f ca="1">IF(AM363&lt;User_sheet!B$50,Y363,0)</f>
        <v>0</v>
      </c>
      <c r="AO363" s="954">
        <f ca="1">20-(User_sheet!B$57/(AK363+'203'!D$17*1*0.34))</f>
        <v>9.3291375417428259</v>
      </c>
      <c r="AP363" s="954">
        <f ca="1">IF(AO363&lt;User_sheet!B$59,0,BC363*AA363)</f>
        <v>0</v>
      </c>
      <c r="AQ363" s="313"/>
      <c r="AR363" s="909">
        <v>0.88</v>
      </c>
      <c r="AS363" s="1020">
        <v>2.41</v>
      </c>
      <c r="AT363" s="909">
        <v>1.42</v>
      </c>
      <c r="AU363" s="909">
        <v>3.5</v>
      </c>
      <c r="AV363" s="909">
        <v>3.3</v>
      </c>
      <c r="AW363" s="909">
        <v>11922.428413610982</v>
      </c>
      <c r="AX363" s="909">
        <v>75945.51234133933</v>
      </c>
      <c r="AY363" s="909">
        <v>62673.095488422703</v>
      </c>
      <c r="AZ363" s="909">
        <v>0</v>
      </c>
      <c r="BA363" s="909">
        <v>0</v>
      </c>
      <c r="BB363" s="909">
        <v>0.75</v>
      </c>
      <c r="BC363" s="919">
        <v>0</v>
      </c>
      <c r="BD363" s="920">
        <v>1</v>
      </c>
      <c r="BE363" s="920">
        <v>0</v>
      </c>
      <c r="BF363" s="921">
        <v>0</v>
      </c>
      <c r="BG363" s="909">
        <v>0</v>
      </c>
      <c r="BH363" s="909">
        <v>1</v>
      </c>
      <c r="BI363" s="921">
        <v>0</v>
      </c>
      <c r="BJ363" s="909">
        <v>0</v>
      </c>
      <c r="BK363" s="909">
        <v>1</v>
      </c>
      <c r="BL363" s="909">
        <v>0</v>
      </c>
      <c r="BM363" s="921">
        <v>0</v>
      </c>
      <c r="BN363" s="958">
        <v>0.08</v>
      </c>
      <c r="BO363" s="959">
        <v>16.3</v>
      </c>
      <c r="BP363">
        <f t="shared" ca="1" si="438"/>
        <v>185.6</v>
      </c>
      <c r="BQ363">
        <f t="shared" ca="1" si="439"/>
        <v>361.17052631578946</v>
      </c>
      <c r="BR363">
        <f t="shared" ca="1" si="440"/>
        <v>84.1</v>
      </c>
      <c r="BS363">
        <f t="shared" ca="1" si="441"/>
        <v>115.78052631578947</v>
      </c>
      <c r="BT363">
        <f t="shared" ca="1" si="442"/>
        <v>75.400000000000006</v>
      </c>
      <c r="BU363">
        <f t="shared" ca="1" si="443"/>
        <v>22</v>
      </c>
      <c r="BV363">
        <f t="shared" ca="1" si="444"/>
        <v>2.15</v>
      </c>
      <c r="BW363" s="1018">
        <v>0</v>
      </c>
      <c r="BX363">
        <f t="shared" ca="1" si="432"/>
        <v>64.2133271633503</v>
      </c>
      <c r="BY363">
        <f t="shared" ca="1" si="433"/>
        <v>196.81491706554075</v>
      </c>
      <c r="BZ363">
        <f t="shared" ca="1" si="405"/>
        <v>28.353659319494973</v>
      </c>
      <c r="CA363">
        <f t="shared" ca="1" si="406"/>
        <v>76.999999946100004</v>
      </c>
      <c r="CB363">
        <f t="shared" ca="1" si="434"/>
        <v>4.5133587786259541</v>
      </c>
      <c r="CC363" s="1018">
        <f t="shared" si="407"/>
        <v>0</v>
      </c>
      <c r="CD363" s="1018">
        <f t="shared" ca="1" si="446"/>
        <v>394.84970437837512</v>
      </c>
      <c r="CE363" s="1018">
        <f t="shared" ca="1" si="445"/>
        <v>148.36563336164974</v>
      </c>
      <c r="CF363">
        <f t="shared" ca="1" si="408"/>
        <v>16.296460132200746</v>
      </c>
      <c r="CG363">
        <f t="shared" ca="1" si="409"/>
        <v>27132.954261708957</v>
      </c>
    </row>
    <row r="364" spans="4:85" x14ac:dyDescent="0.25">
      <c r="D364" s="581"/>
      <c r="E364" s="580"/>
      <c r="F364" s="581"/>
      <c r="G364" s="580"/>
      <c r="H364" s="581"/>
      <c r="I364" s="580"/>
      <c r="J364" s="581"/>
      <c r="K364" s="581"/>
      <c r="L364" s="582"/>
      <c r="M364" s="581" t="s">
        <v>22</v>
      </c>
      <c r="N364" s="583">
        <v>0.47</v>
      </c>
      <c r="O364" s="581" t="s">
        <v>20</v>
      </c>
      <c r="P364" s="583">
        <v>5.6000000000000001E-2</v>
      </c>
      <c r="Q364" s="581" t="s">
        <v>7</v>
      </c>
      <c r="R364" s="583">
        <v>0.60750000000000004</v>
      </c>
      <c r="S364" s="581"/>
      <c r="T364" s="591">
        <v>6.0240317369003242E-5</v>
      </c>
      <c r="U364" s="580"/>
      <c r="V364" s="176">
        <f>T364-T364*Calculation_sheet!F$60</f>
        <v>6.0240317369003242E-5</v>
      </c>
      <c r="W364" s="176">
        <f>V364-V364*Calculation_sheet!E$68</f>
        <v>6.0240317369003242E-5</v>
      </c>
      <c r="X364" s="176">
        <f>W364-W364*Calculation_sheet!E$78</f>
        <v>6.0240317369003242E-5</v>
      </c>
      <c r="Y364" s="34">
        <f>X364/Calculation_sheet!M$67</f>
        <v>6.0241549068354695E-5</v>
      </c>
      <c r="Z364" s="176">
        <f ca="1">IF(AN364&gt;0,Y364*Calculation_sheet!C$87,0)</f>
        <v>0</v>
      </c>
      <c r="AA364" s="176">
        <f t="shared" ca="1" si="410"/>
        <v>6.0241549068354695E-5</v>
      </c>
      <c r="AB364" s="176">
        <f ca="1">IF(AP364&gt;0,AA364*Calculation_sheet!C$94,0)</f>
        <v>0</v>
      </c>
      <c r="AC364" s="176">
        <f t="shared" ca="1" si="436"/>
        <v>6.0241549068354695E-5</v>
      </c>
      <c r="AD364" s="958">
        <f ca="1">AC364*Calculation_sheet!C$99</f>
        <v>3.6144929441012813E-5</v>
      </c>
      <c r="AE364" s="176">
        <f t="shared" ca="1" si="436"/>
        <v>2.4096619627341882E-5</v>
      </c>
      <c r="AF364" s="176">
        <f t="shared" ca="1" si="437"/>
        <v>6.0241549068354695E-5</v>
      </c>
      <c r="AG364" s="958">
        <f ca="1">AF364*User_sheet!B$77/100</f>
        <v>0</v>
      </c>
      <c r="AH364" s="313"/>
      <c r="AI364" s="908">
        <v>203</v>
      </c>
      <c r="AJ364" s="313"/>
      <c r="AK364" s="1020">
        <f t="shared" ca="1" si="404"/>
        <v>394.84970437837512</v>
      </c>
      <c r="AL364" s="954">
        <f ca="1">AK364/'203'!I$24</f>
        <v>1.3816536398357089</v>
      </c>
      <c r="AM364" s="954">
        <f ca="1">0.8*(AK364*30+'203'!D$17*0.34*30*1)</f>
        <v>12819.957199817844</v>
      </c>
      <c r="AN364" s="954">
        <f ca="1">IF(AM364&lt;User_sheet!B$50,Y364,0)</f>
        <v>0</v>
      </c>
      <c r="AO364" s="954">
        <f ca="1">20-(User_sheet!B$57/(AK364+'203'!D$17*1*0.34))</f>
        <v>9.3291375417428259</v>
      </c>
      <c r="AP364" s="954">
        <f ca="1">IF(AO364&lt;User_sheet!B$59,0,BC364*AA364)</f>
        <v>0</v>
      </c>
      <c r="AQ364" s="313"/>
      <c r="AR364" s="909">
        <v>0.88</v>
      </c>
      <c r="AS364" s="1020">
        <v>2.41</v>
      </c>
      <c r="AT364" s="909">
        <v>1.42</v>
      </c>
      <c r="AU364" s="909">
        <v>3.5</v>
      </c>
      <c r="AV364" s="909">
        <v>3.3</v>
      </c>
      <c r="AW364" s="909">
        <v>11922.428413610982</v>
      </c>
      <c r="AX364" s="909">
        <v>75945.51234133933</v>
      </c>
      <c r="AY364" s="909">
        <v>62673.095488422703</v>
      </c>
      <c r="AZ364" s="909">
        <v>0</v>
      </c>
      <c r="BA364" s="909">
        <v>0</v>
      </c>
      <c r="BB364" s="909">
        <v>0.75</v>
      </c>
      <c r="BC364" s="919">
        <v>0</v>
      </c>
      <c r="BD364" s="920">
        <v>1</v>
      </c>
      <c r="BE364" s="920">
        <v>0</v>
      </c>
      <c r="BF364" s="921">
        <v>0</v>
      </c>
      <c r="BG364" s="909">
        <v>0</v>
      </c>
      <c r="BH364" s="909">
        <v>1</v>
      </c>
      <c r="BI364" s="921">
        <v>0</v>
      </c>
      <c r="BJ364" s="909">
        <v>0</v>
      </c>
      <c r="BK364" s="909">
        <v>0</v>
      </c>
      <c r="BL364" s="909">
        <v>1</v>
      </c>
      <c r="BM364" s="921">
        <v>0</v>
      </c>
      <c r="BN364" s="958">
        <v>0.08</v>
      </c>
      <c r="BO364" s="959">
        <v>16.3</v>
      </c>
      <c r="BP364">
        <f t="shared" ca="1" si="438"/>
        <v>185.6</v>
      </c>
      <c r="BQ364">
        <f t="shared" ca="1" si="439"/>
        <v>361.17052631578946</v>
      </c>
      <c r="BR364">
        <f t="shared" ca="1" si="440"/>
        <v>84.1</v>
      </c>
      <c r="BS364">
        <f t="shared" ca="1" si="441"/>
        <v>115.78052631578947</v>
      </c>
      <c r="BT364">
        <f t="shared" ca="1" si="442"/>
        <v>75.400000000000006</v>
      </c>
      <c r="BU364">
        <f t="shared" ca="1" si="443"/>
        <v>22</v>
      </c>
      <c r="BV364">
        <f t="shared" ca="1" si="444"/>
        <v>2.15</v>
      </c>
      <c r="BW364" s="1018">
        <v>0</v>
      </c>
      <c r="BX364">
        <f t="shared" ca="1" si="432"/>
        <v>64.2133271633503</v>
      </c>
      <c r="BY364">
        <f t="shared" ca="1" si="433"/>
        <v>196.81491706554075</v>
      </c>
      <c r="BZ364">
        <f t="shared" ca="1" si="405"/>
        <v>28.353659319494973</v>
      </c>
      <c r="CA364">
        <f t="shared" ca="1" si="406"/>
        <v>76.999999946100004</v>
      </c>
      <c r="CB364">
        <f t="shared" ca="1" si="434"/>
        <v>4.5133587786259541</v>
      </c>
      <c r="CC364" s="1018">
        <f t="shared" si="407"/>
        <v>0</v>
      </c>
      <c r="CD364" s="1018">
        <f t="shared" ca="1" si="446"/>
        <v>394.84970437837512</v>
      </c>
      <c r="CE364" s="1018">
        <f t="shared" ca="1" si="445"/>
        <v>148.36563336164974</v>
      </c>
      <c r="CF364">
        <f t="shared" ca="1" si="408"/>
        <v>16.296460132200746</v>
      </c>
      <c r="CG364">
        <f t="shared" ca="1" si="409"/>
        <v>27132.954261708957</v>
      </c>
    </row>
    <row r="365" spans="4:85" x14ac:dyDescent="0.25">
      <c r="D365" s="581"/>
      <c r="E365" s="580"/>
      <c r="F365" s="581"/>
      <c r="G365" s="580" t="s">
        <v>11</v>
      </c>
      <c r="H365" s="585">
        <v>0.28570000000000001</v>
      </c>
      <c r="I365" s="580" t="s">
        <v>10</v>
      </c>
      <c r="J365" s="585">
        <v>1</v>
      </c>
      <c r="K365" s="584" t="s">
        <v>13</v>
      </c>
      <c r="L365" s="587">
        <v>1</v>
      </c>
      <c r="M365" s="581" t="s">
        <v>7</v>
      </c>
      <c r="N365" s="583">
        <v>0.11900000000000005</v>
      </c>
      <c r="O365" s="581" t="s">
        <v>23</v>
      </c>
      <c r="P365" s="583">
        <v>1</v>
      </c>
      <c r="Q365" s="581" t="s">
        <v>7</v>
      </c>
      <c r="R365" s="583">
        <v>1</v>
      </c>
      <c r="S365" s="581"/>
      <c r="T365" s="591">
        <v>4.4833438196001022E-4</v>
      </c>
      <c r="U365" s="590" t="s">
        <v>49</v>
      </c>
      <c r="V365" s="176">
        <f>T365-T365*Calculation_sheet!F$60</f>
        <v>4.4833438196001022E-4</v>
      </c>
      <c r="W365" s="176">
        <f>V365-V365*Calculation_sheet!E$68</f>
        <v>4.4833438196001022E-4</v>
      </c>
      <c r="X365" s="176">
        <f>W365-W365*Calculation_sheet!E$78</f>
        <v>4.4833438196001022E-4</v>
      </c>
      <c r="Y365" s="34">
        <f>X365/Calculation_sheet!M$67</f>
        <v>4.4834354879696618E-4</v>
      </c>
      <c r="Z365" s="176">
        <f ca="1">IF(AN365&gt;0,Y365*Calculation_sheet!C$87,0)</f>
        <v>0</v>
      </c>
      <c r="AA365" s="176">
        <f t="shared" ca="1" si="410"/>
        <v>4.4834354879696618E-4</v>
      </c>
      <c r="AB365" s="176">
        <f ca="1">IF(AP365&gt;0,AA365*Calculation_sheet!C$94,0)</f>
        <v>0</v>
      </c>
      <c r="AC365" s="176">
        <f t="shared" ca="1" si="436"/>
        <v>4.4834354879696618E-4</v>
      </c>
      <c r="AD365" s="958">
        <f ca="1">AC365*Calculation_sheet!C$99</f>
        <v>2.6900612927817971E-4</v>
      </c>
      <c r="AE365" s="176">
        <f t="shared" ca="1" si="436"/>
        <v>1.7933741951878647E-4</v>
      </c>
      <c r="AF365" s="176">
        <f t="shared" ca="1" si="437"/>
        <v>4.4834354879696618E-4</v>
      </c>
      <c r="AG365" s="958">
        <f ca="1">AF365*User_sheet!B$77/100</f>
        <v>0</v>
      </c>
      <c r="AH365" s="313"/>
      <c r="AI365" s="908">
        <v>203</v>
      </c>
      <c r="AJ365" s="313"/>
      <c r="AK365" s="1020">
        <f t="shared" ca="1" si="404"/>
        <v>394.84970437837512</v>
      </c>
      <c r="AL365" s="954">
        <f ca="1">AK365/'203'!I$24</f>
        <v>1.3816536398357089</v>
      </c>
      <c r="AM365" s="954">
        <f ca="1">0.8*(AK365*30+'203'!D$17*0.34*30*1)</f>
        <v>12819.957199817844</v>
      </c>
      <c r="AN365" s="954">
        <f ca="1">IF(AM365&lt;User_sheet!B$50,Y365,0)</f>
        <v>0</v>
      </c>
      <c r="AO365" s="954">
        <f ca="1">20-(User_sheet!B$57/(AK365+'203'!D$17*1*0.34))</f>
        <v>9.3291375417428259</v>
      </c>
      <c r="AP365" s="954">
        <f ca="1">IF(AO365&lt;User_sheet!B$59,0,BC365*AA365)</f>
        <v>0</v>
      </c>
      <c r="AQ365" s="313"/>
      <c r="AR365" s="909">
        <v>0.88</v>
      </c>
      <c r="AS365" s="1020">
        <v>2.41</v>
      </c>
      <c r="AT365" s="909">
        <v>1.42</v>
      </c>
      <c r="AU365" s="909">
        <v>3.5</v>
      </c>
      <c r="AV365" s="909">
        <v>3.3</v>
      </c>
      <c r="AW365" s="909">
        <v>11922.428413610982</v>
      </c>
      <c r="AX365" s="909">
        <v>75945.51234133933</v>
      </c>
      <c r="AY365" s="909">
        <v>62673.095488422703</v>
      </c>
      <c r="AZ365" s="909">
        <v>0</v>
      </c>
      <c r="BA365" s="909">
        <v>0</v>
      </c>
      <c r="BB365" s="909">
        <v>0.75</v>
      </c>
      <c r="BC365" s="919">
        <v>0</v>
      </c>
      <c r="BD365" s="920">
        <v>0</v>
      </c>
      <c r="BE365" s="920">
        <v>1</v>
      </c>
      <c r="BF365" s="921">
        <v>0</v>
      </c>
      <c r="BG365" s="909">
        <v>0</v>
      </c>
      <c r="BH365" s="909">
        <v>0</v>
      </c>
      <c r="BI365" s="921">
        <v>1</v>
      </c>
      <c r="BJ365" s="909">
        <v>0</v>
      </c>
      <c r="BK365" s="909">
        <v>0</v>
      </c>
      <c r="BL365" s="909">
        <v>1</v>
      </c>
      <c r="BM365" s="921">
        <v>0</v>
      </c>
      <c r="BN365" s="958">
        <v>0.08</v>
      </c>
      <c r="BO365" s="959">
        <v>16.3</v>
      </c>
      <c r="BP365">
        <f t="shared" ca="1" si="438"/>
        <v>185.6</v>
      </c>
      <c r="BQ365">
        <f t="shared" ca="1" si="439"/>
        <v>361.17052631578946</v>
      </c>
      <c r="BR365">
        <f t="shared" ca="1" si="440"/>
        <v>84.1</v>
      </c>
      <c r="BS365">
        <f t="shared" ca="1" si="441"/>
        <v>115.78052631578947</v>
      </c>
      <c r="BT365">
        <f t="shared" ca="1" si="442"/>
        <v>75.400000000000006</v>
      </c>
      <c r="BU365">
        <f t="shared" ca="1" si="443"/>
        <v>22</v>
      </c>
      <c r="BV365">
        <f t="shared" ca="1" si="444"/>
        <v>2.15</v>
      </c>
      <c r="BW365" s="1018">
        <v>0</v>
      </c>
      <c r="BX365">
        <f t="shared" ca="1" si="432"/>
        <v>64.2133271633503</v>
      </c>
      <c r="BY365">
        <f t="shared" ca="1" si="433"/>
        <v>196.81491706554075</v>
      </c>
      <c r="BZ365">
        <f t="shared" ca="1" si="405"/>
        <v>28.353659319494973</v>
      </c>
      <c r="CA365">
        <f t="shared" ca="1" si="406"/>
        <v>76.999999946100004</v>
      </c>
      <c r="CB365">
        <f t="shared" ca="1" si="434"/>
        <v>4.5133587786259541</v>
      </c>
      <c r="CC365" s="1018">
        <f t="shared" si="407"/>
        <v>0</v>
      </c>
      <c r="CD365" s="1018">
        <f t="shared" ca="1" si="446"/>
        <v>394.84970437837512</v>
      </c>
      <c r="CE365" s="1018">
        <f t="shared" ca="1" si="445"/>
        <v>148.36563336164974</v>
      </c>
      <c r="CF365">
        <f t="shared" ca="1" si="408"/>
        <v>16.296460132200746</v>
      </c>
      <c r="CG365">
        <f t="shared" ca="1" si="409"/>
        <v>27132.954261708957</v>
      </c>
    </row>
    <row r="366" spans="4:85" s="588" customFormat="1" x14ac:dyDescent="0.25">
      <c r="D366" s="589"/>
      <c r="F366" s="589"/>
      <c r="M366" s="589"/>
      <c r="N366" s="589"/>
      <c r="O366" s="589"/>
      <c r="P366" s="589"/>
      <c r="Q366" s="589"/>
      <c r="R366" s="589"/>
      <c r="S366" s="589"/>
      <c r="T366" s="592"/>
      <c r="U366" s="589"/>
      <c r="V366" s="292"/>
      <c r="W366" s="292"/>
      <c r="X366" s="292"/>
      <c r="Y366" s="277"/>
      <c r="Z366" s="292"/>
      <c r="AA366" s="292"/>
      <c r="AB366" s="292"/>
      <c r="AC366" s="292"/>
      <c r="AD366" s="277"/>
      <c r="AE366" s="292"/>
      <c r="AF366" s="292"/>
      <c r="AG366" s="277"/>
      <c r="AH366" s="313"/>
      <c r="AI366" s="913"/>
      <c r="AJ366" s="313"/>
      <c r="AK366" s="1020">
        <f t="shared" si="404"/>
        <v>0</v>
      </c>
      <c r="AL366" s="941"/>
      <c r="AM366" s="941"/>
      <c r="AN366" s="941"/>
      <c r="AO366" s="941"/>
      <c r="AP366" s="941"/>
      <c r="AQ366" s="313"/>
      <c r="AR366" s="918"/>
      <c r="AS366" s="941"/>
      <c r="AT366" s="918"/>
      <c r="AU366" s="918"/>
      <c r="AV366" s="918"/>
      <c r="AW366" s="918"/>
      <c r="AX366" s="918"/>
      <c r="AY366" s="918"/>
      <c r="AZ366" s="918"/>
      <c r="BA366" s="918"/>
      <c r="BB366" s="918"/>
      <c r="BC366" s="45"/>
      <c r="BD366" s="277"/>
      <c r="BE366" s="277"/>
      <c r="BF366" s="49"/>
      <c r="BG366" s="918"/>
      <c r="BH366" s="918"/>
      <c r="BI366" s="49"/>
      <c r="BJ366" s="918"/>
      <c r="BK366" s="918"/>
      <c r="BL366" s="918"/>
      <c r="BM366" s="49"/>
      <c r="BN366" s="277"/>
      <c r="BO366" s="49"/>
      <c r="BW366" s="928"/>
      <c r="CC366" s="928"/>
      <c r="CD366" s="928"/>
      <c r="CE366" s="928"/>
    </row>
    <row r="367" spans="4:85" x14ac:dyDescent="0.25">
      <c r="D367" s="1"/>
      <c r="F367" s="1"/>
      <c r="G367" s="3"/>
      <c r="H367" s="6"/>
      <c r="I367" s="3"/>
      <c r="J367" s="6"/>
      <c r="K367" s="8"/>
      <c r="L367" s="6"/>
      <c r="M367" s="1"/>
      <c r="N367" s="1"/>
      <c r="O367" s="1"/>
      <c r="P367" s="1"/>
      <c r="Q367" s="1" t="s">
        <v>16</v>
      </c>
      <c r="R367" s="4"/>
      <c r="S367" s="1"/>
      <c r="T367" s="77"/>
      <c r="U367" s="22"/>
      <c r="X367" s="176">
        <f>W357-X357</f>
        <v>0</v>
      </c>
      <c r="Y367" s="34">
        <f>X367/Calculation_sheet!M$67</f>
        <v>0</v>
      </c>
      <c r="Z367" s="176">
        <f ca="1">IF(AN367&gt;0,Y367*Calculation_sheet!C$87,0)</f>
        <v>0</v>
      </c>
      <c r="AA367" s="176">
        <f t="shared" ca="1" si="410"/>
        <v>0</v>
      </c>
      <c r="AB367" s="176">
        <f ca="1">IF(AP367&gt;0,AA367*Calculation_sheet!C$94,0)</f>
        <v>0</v>
      </c>
      <c r="AC367" s="176">
        <f t="shared" ref="AC367:AE375" ca="1" si="447">AA367-AB367</f>
        <v>0</v>
      </c>
      <c r="AD367" s="958">
        <f ca="1">AC367*Calculation_sheet!C$99</f>
        <v>0</v>
      </c>
      <c r="AE367" s="176">
        <f t="shared" ca="1" si="447"/>
        <v>0</v>
      </c>
      <c r="AF367" s="176">
        <f t="shared" ref="AF367:AF375" ca="1" si="448">Y367-AB367</f>
        <v>0</v>
      </c>
      <c r="AG367" s="958">
        <f ca="1">AF367*User_sheet!B$77/100</f>
        <v>0</v>
      </c>
      <c r="AH367" s="313"/>
      <c r="AI367" s="908">
        <v>203</v>
      </c>
      <c r="AJ367" s="313"/>
      <c r="AK367" s="1020">
        <f t="shared" ca="1" si="404"/>
        <v>323.13410337563005</v>
      </c>
      <c r="AL367" s="954">
        <f ca="1">AK367/'203'!I$24</f>
        <v>1.1307072162732481</v>
      </c>
      <c r="AM367" s="954">
        <f ca="1">0.8*(AK367*30+'203'!D$17*0.34*30*1)</f>
        <v>11098.782775751964</v>
      </c>
      <c r="AN367" s="954">
        <f ca="1">IF(AM367&lt;User_sheet!B$50,Y367,0)</f>
        <v>0</v>
      </c>
      <c r="AO367" s="954">
        <f ca="1">20-(User_sheet!B$57/(AK367+'203'!D$17*1*0.34))</f>
        <v>7.6743240439957567</v>
      </c>
      <c r="AP367" s="954">
        <f ca="1">IF(AO367&lt;User_sheet!B$59,0,BC367*AA367)</f>
        <v>0</v>
      </c>
      <c r="AQ367" s="313"/>
      <c r="AR367" s="909">
        <v>0.32</v>
      </c>
      <c r="AS367" s="1020">
        <v>2.41</v>
      </c>
      <c r="AT367" s="909">
        <v>1.42</v>
      </c>
      <c r="AU367" s="909">
        <v>2</v>
      </c>
      <c r="AV367" s="909">
        <v>3.3</v>
      </c>
      <c r="AW367" s="909">
        <v>14356</v>
      </c>
      <c r="AX367" s="909">
        <v>75945.51234133933</v>
      </c>
      <c r="AY367" s="909">
        <v>62673.095488422703</v>
      </c>
      <c r="AZ367" s="917">
        <v>0</v>
      </c>
      <c r="BA367" s="917">
        <v>0</v>
      </c>
      <c r="BB367" s="909">
        <v>0.6</v>
      </c>
      <c r="BC367" s="919">
        <v>1</v>
      </c>
      <c r="BD367" s="920">
        <v>0</v>
      </c>
      <c r="BE367" s="920">
        <v>0</v>
      </c>
      <c r="BF367" s="921">
        <v>0</v>
      </c>
      <c r="BG367" s="909">
        <v>1</v>
      </c>
      <c r="BH367" s="909">
        <v>0</v>
      </c>
      <c r="BI367" s="921">
        <v>0</v>
      </c>
      <c r="BJ367" s="909">
        <v>1</v>
      </c>
      <c r="BK367" s="909">
        <v>0</v>
      </c>
      <c r="BL367" s="909">
        <v>0</v>
      </c>
      <c r="BM367" s="921">
        <v>0</v>
      </c>
      <c r="BN367" s="958">
        <v>0.08</v>
      </c>
      <c r="BO367" s="959">
        <v>16.3</v>
      </c>
      <c r="BP367">
        <f t="shared" ref="BP367:BP375" ca="1" si="449">INDIRECT("'"&amp;AI367&amp;"'!"&amp;"B2")</f>
        <v>185.6</v>
      </c>
      <c r="BQ367">
        <f t="shared" ref="BQ367:BQ375" ca="1" si="450">INDIRECT("'"&amp;AI367&amp;"'!"&amp;"C12")+INDIRECT("'"&amp;AI367&amp;"'!"&amp;"C13")+INDIRECT("'"&amp;AI367&amp;"'!"&amp;"C14")+INDIRECT("'"&amp;AI367&amp;"'!"&amp;"C15")+INDIRECT("'"&amp;AI367&amp;"'!"&amp;"C17")</f>
        <v>361.17052631578946</v>
      </c>
      <c r="BR367">
        <f t="shared" ref="BR367:BR375" ca="1" si="451">INDIRECT("'"&amp;AI367&amp;"'!"&amp;"G5")</f>
        <v>84.1</v>
      </c>
      <c r="BS367">
        <f t="shared" ref="BS367:BS375" ca="1" si="452">INDIRECT("'"&amp;AI367&amp;"'!"&amp;"G4")</f>
        <v>115.78052631578947</v>
      </c>
      <c r="BT367">
        <f t="shared" ref="BT367:BT375" ca="1" si="453">INDIRECT("'"&amp;AI367&amp;"'!"&amp;"G6")</f>
        <v>75.400000000000006</v>
      </c>
      <c r="BU367">
        <f t="shared" ref="BU367:BU375" ca="1" si="454">INDIRECT("'"&amp;AI367&amp;"'!"&amp;"G2")</f>
        <v>22</v>
      </c>
      <c r="BV367">
        <f t="shared" ref="BV367:BV375" ca="1" si="455">INDIRECT("'"&amp;AI367&amp;"'!"&amp;"G3")</f>
        <v>2.15</v>
      </c>
      <c r="BW367" s="1018">
        <v>0</v>
      </c>
      <c r="BX367">
        <f t="shared" ca="1" si="432"/>
        <v>25.497726124305199</v>
      </c>
      <c r="BY367">
        <f t="shared" ca="1" si="433"/>
        <v>196.81491706554075</v>
      </c>
      <c r="BZ367">
        <f t="shared" ca="1" si="405"/>
        <v>28.353659319494973</v>
      </c>
      <c r="CA367">
        <f t="shared" ca="1" si="406"/>
        <v>43.999999982399999</v>
      </c>
      <c r="CB367">
        <f t="shared" ca="1" si="434"/>
        <v>4.5133587786259541</v>
      </c>
      <c r="CC367" s="1018">
        <f t="shared" si="407"/>
        <v>0</v>
      </c>
      <c r="CD367" s="1018">
        <f ca="1">SUM(BX367:CC367)+(BR367+BS367+BT367+BU367+BV367)*BN367</f>
        <v>323.13410337563005</v>
      </c>
      <c r="CE367" s="1018">
        <f t="shared" ref="CE367:CE375" ca="1" si="456">0.34*BO367*(1/25)^0.66*(BR367+BS367+BU367+BV367)</f>
        <v>148.36563336164974</v>
      </c>
      <c r="CF367">
        <f t="shared" ca="1" si="408"/>
        <v>14.144992102118394</v>
      </c>
      <c r="CG367">
        <f t="shared" ca="1" si="409"/>
        <v>23550.84605034304</v>
      </c>
    </row>
    <row r="368" spans="4:85" x14ac:dyDescent="0.25">
      <c r="D368" s="1"/>
      <c r="F368" s="1"/>
      <c r="G368" s="3"/>
      <c r="H368" s="6"/>
      <c r="I368" s="3"/>
      <c r="J368" s="6"/>
      <c r="K368" s="8"/>
      <c r="L368" s="6"/>
      <c r="M368" s="1"/>
      <c r="N368" s="1"/>
      <c r="O368" s="1" t="s">
        <v>18</v>
      </c>
      <c r="P368" s="4"/>
      <c r="Q368" s="1" t="s">
        <v>7</v>
      </c>
      <c r="R368" s="4"/>
      <c r="S368" s="1"/>
      <c r="T368" s="77"/>
      <c r="U368" s="22"/>
      <c r="X368" s="176">
        <f t="shared" ref="X368:X375" si="457">W358-X358</f>
        <v>0</v>
      </c>
      <c r="Y368" s="34">
        <f>X368/Calculation_sheet!M$67</f>
        <v>0</v>
      </c>
      <c r="Z368" s="176">
        <f ca="1">IF(AN368&gt;0,Y368*Calculation_sheet!C$87,0)</f>
        <v>0</v>
      </c>
      <c r="AA368" s="176">
        <f t="shared" ca="1" si="410"/>
        <v>0</v>
      </c>
      <c r="AB368" s="176">
        <f ca="1">IF(AP368&gt;0,AA368*Calculation_sheet!C$94,0)</f>
        <v>0</v>
      </c>
      <c r="AC368" s="176">
        <f t="shared" ca="1" si="447"/>
        <v>0</v>
      </c>
      <c r="AD368" s="958">
        <f ca="1">AC368*Calculation_sheet!C$99</f>
        <v>0</v>
      </c>
      <c r="AE368" s="176">
        <f t="shared" ca="1" si="447"/>
        <v>0</v>
      </c>
      <c r="AF368" s="176">
        <f t="shared" ca="1" si="448"/>
        <v>0</v>
      </c>
      <c r="AG368" s="958">
        <f ca="1">AF368*User_sheet!B$77/100</f>
        <v>0</v>
      </c>
      <c r="AH368" s="313"/>
      <c r="AI368" s="908">
        <v>203</v>
      </c>
      <c r="AJ368" s="313"/>
      <c r="AK368" s="1020">
        <f t="shared" ca="1" si="404"/>
        <v>323.13410337563005</v>
      </c>
      <c r="AL368" s="954">
        <f ca="1">AK368/'203'!I$24</f>
        <v>1.1307072162732481</v>
      </c>
      <c r="AM368" s="954">
        <f ca="1">0.8*(AK368*30+'203'!D$17*0.34*30*1)</f>
        <v>11098.782775751964</v>
      </c>
      <c r="AN368" s="954">
        <f ca="1">IF(AM368&lt;User_sheet!B$50,Y368,0)</f>
        <v>0</v>
      </c>
      <c r="AO368" s="954">
        <f ca="1">20-(User_sheet!B$57/(AK368+'203'!D$17*1*0.34))</f>
        <v>7.6743240439957567</v>
      </c>
      <c r="AP368" s="954">
        <f ca="1">IF(AO368&lt;User_sheet!B$59,0,BC368*AA368)</f>
        <v>0</v>
      </c>
      <c r="AQ368" s="313"/>
      <c r="AR368" s="909">
        <v>0.32</v>
      </c>
      <c r="AS368" s="1020">
        <v>2.41</v>
      </c>
      <c r="AT368" s="909">
        <v>1.42</v>
      </c>
      <c r="AU368" s="909">
        <v>2</v>
      </c>
      <c r="AV368" s="909">
        <v>3.3</v>
      </c>
      <c r="AW368" s="909">
        <v>14356</v>
      </c>
      <c r="AX368" s="909">
        <v>75945.51234133933</v>
      </c>
      <c r="AY368" s="909">
        <v>62673.095488422703</v>
      </c>
      <c r="AZ368" s="917">
        <v>0</v>
      </c>
      <c r="BA368" s="917">
        <v>0</v>
      </c>
      <c r="BB368" s="909">
        <v>0.6</v>
      </c>
      <c r="BC368" s="919">
        <v>1</v>
      </c>
      <c r="BD368" s="920">
        <v>0</v>
      </c>
      <c r="BE368" s="920">
        <v>0</v>
      </c>
      <c r="BF368" s="921">
        <v>0</v>
      </c>
      <c r="BG368" s="909">
        <v>1</v>
      </c>
      <c r="BH368" s="909">
        <v>0</v>
      </c>
      <c r="BI368" s="921">
        <v>0</v>
      </c>
      <c r="BJ368" s="909">
        <v>0</v>
      </c>
      <c r="BK368" s="909">
        <v>0</v>
      </c>
      <c r="BL368" s="909">
        <v>1</v>
      </c>
      <c r="BM368" s="921">
        <v>0</v>
      </c>
      <c r="BN368" s="958">
        <v>0.08</v>
      </c>
      <c r="BO368" s="959">
        <v>16.3</v>
      </c>
      <c r="BP368">
        <f t="shared" ca="1" si="449"/>
        <v>185.6</v>
      </c>
      <c r="BQ368">
        <f t="shared" ca="1" si="450"/>
        <v>361.17052631578946</v>
      </c>
      <c r="BR368">
        <f t="shared" ca="1" si="451"/>
        <v>84.1</v>
      </c>
      <c r="BS368">
        <f t="shared" ca="1" si="452"/>
        <v>115.78052631578947</v>
      </c>
      <c r="BT368">
        <f t="shared" ca="1" si="453"/>
        <v>75.400000000000006</v>
      </c>
      <c r="BU368">
        <f t="shared" ca="1" si="454"/>
        <v>22</v>
      </c>
      <c r="BV368">
        <f t="shared" ca="1" si="455"/>
        <v>2.15</v>
      </c>
      <c r="BW368" s="1018">
        <v>0</v>
      </c>
      <c r="BX368">
        <f t="shared" ca="1" si="432"/>
        <v>25.497726124305199</v>
      </c>
      <c r="BY368">
        <f t="shared" ca="1" si="433"/>
        <v>196.81491706554075</v>
      </c>
      <c r="BZ368">
        <f t="shared" ca="1" si="405"/>
        <v>28.353659319494973</v>
      </c>
      <c r="CA368">
        <f t="shared" ca="1" si="406"/>
        <v>43.999999982399999</v>
      </c>
      <c r="CB368">
        <f t="shared" ca="1" si="434"/>
        <v>4.5133587786259541</v>
      </c>
      <c r="CC368" s="1018">
        <f t="shared" si="407"/>
        <v>0</v>
      </c>
      <c r="CD368" s="1018">
        <f t="shared" ref="CD368:CD375" ca="1" si="458">SUM(BX368:CC368)+(BR368+BS368+BT368+BU368+BV368)*BN368</f>
        <v>323.13410337563005</v>
      </c>
      <c r="CE368" s="1018">
        <f t="shared" ca="1" si="456"/>
        <v>148.36563336164974</v>
      </c>
      <c r="CF368">
        <f t="shared" ca="1" si="408"/>
        <v>14.144992102118394</v>
      </c>
      <c r="CG368">
        <f t="shared" ca="1" si="409"/>
        <v>23550.84605034304</v>
      </c>
    </row>
    <row r="369" spans="4:85" x14ac:dyDescent="0.25">
      <c r="D369" s="1"/>
      <c r="F369" s="1"/>
      <c r="G369" s="3"/>
      <c r="H369" s="6"/>
      <c r="I369" s="3"/>
      <c r="J369" s="6"/>
      <c r="K369" s="8"/>
      <c r="L369" s="6"/>
      <c r="M369" s="1"/>
      <c r="N369" s="1"/>
      <c r="O369" s="1"/>
      <c r="P369" s="1"/>
      <c r="Q369" s="1" t="s">
        <v>16</v>
      </c>
      <c r="R369" s="4"/>
      <c r="S369" s="1"/>
      <c r="T369" s="77"/>
      <c r="U369" s="22"/>
      <c r="X369" s="176">
        <f t="shared" si="457"/>
        <v>0</v>
      </c>
      <c r="Y369" s="34">
        <f>X369/Calculation_sheet!M$67</f>
        <v>0</v>
      </c>
      <c r="Z369" s="176">
        <f ca="1">IF(AN369&gt;0,Y369*Calculation_sheet!C$87,0)</f>
        <v>0</v>
      </c>
      <c r="AA369" s="176">
        <f t="shared" ca="1" si="410"/>
        <v>0</v>
      </c>
      <c r="AB369" s="176">
        <f ca="1">IF(AP369&gt;0,AA369*Calculation_sheet!C$94,0)</f>
        <v>0</v>
      </c>
      <c r="AC369" s="176">
        <f t="shared" ca="1" si="447"/>
        <v>0</v>
      </c>
      <c r="AD369" s="958">
        <f ca="1">AC369*Calculation_sheet!C$99</f>
        <v>0</v>
      </c>
      <c r="AE369" s="176">
        <f t="shared" ca="1" si="447"/>
        <v>0</v>
      </c>
      <c r="AF369" s="176">
        <f t="shared" ca="1" si="448"/>
        <v>0</v>
      </c>
      <c r="AG369" s="958">
        <f ca="1">AF369*User_sheet!B$77/100</f>
        <v>0</v>
      </c>
      <c r="AH369" s="313"/>
      <c r="AI369" s="908">
        <v>203</v>
      </c>
      <c r="AJ369" s="313"/>
      <c r="AK369" s="1020">
        <f t="shared" ca="1" si="404"/>
        <v>323.13410337563005</v>
      </c>
      <c r="AL369" s="954">
        <f ca="1">AK369/'203'!I$24</f>
        <v>1.1307072162732481</v>
      </c>
      <c r="AM369" s="954">
        <f ca="1">0.8*(AK369*30+'203'!D$17*0.34*30*1)</f>
        <v>11098.782775751964</v>
      </c>
      <c r="AN369" s="954">
        <f ca="1">IF(AM369&lt;User_sheet!B$50,Y369,0)</f>
        <v>0</v>
      </c>
      <c r="AO369" s="954">
        <f ca="1">20-(User_sheet!B$57/(AK369+'203'!D$17*1*0.34))</f>
        <v>7.6743240439957567</v>
      </c>
      <c r="AP369" s="954">
        <f ca="1">IF(AO369&lt;User_sheet!B$59,0,BC369*AA369)</f>
        <v>0</v>
      </c>
      <c r="AQ369" s="313"/>
      <c r="AR369" s="909">
        <v>0.32</v>
      </c>
      <c r="AS369" s="1020">
        <v>2.41</v>
      </c>
      <c r="AT369" s="909">
        <v>1.42</v>
      </c>
      <c r="AU369" s="909">
        <v>2</v>
      </c>
      <c r="AV369" s="909">
        <v>3.3</v>
      </c>
      <c r="AW369" s="909">
        <v>14356</v>
      </c>
      <c r="AX369" s="909">
        <v>75945.51234133933</v>
      </c>
      <c r="AY369" s="909">
        <v>62673.095488422703</v>
      </c>
      <c r="AZ369" s="917">
        <v>0</v>
      </c>
      <c r="BA369" s="917">
        <v>0</v>
      </c>
      <c r="BB369" s="909">
        <v>0.6</v>
      </c>
      <c r="BC369" s="919">
        <v>1</v>
      </c>
      <c r="BD369" s="920">
        <v>0</v>
      </c>
      <c r="BE369" s="920">
        <v>0</v>
      </c>
      <c r="BF369" s="921">
        <v>0</v>
      </c>
      <c r="BG369" s="909">
        <v>0</v>
      </c>
      <c r="BH369" s="909">
        <v>1</v>
      </c>
      <c r="BI369" s="921">
        <v>0</v>
      </c>
      <c r="BJ369" s="909">
        <v>1</v>
      </c>
      <c r="BK369" s="909">
        <v>0</v>
      </c>
      <c r="BL369" s="909">
        <v>0</v>
      </c>
      <c r="BM369" s="921">
        <v>0</v>
      </c>
      <c r="BN369" s="958">
        <v>0.08</v>
      </c>
      <c r="BO369" s="959">
        <v>16.3</v>
      </c>
      <c r="BP369">
        <f t="shared" ca="1" si="449"/>
        <v>185.6</v>
      </c>
      <c r="BQ369">
        <f t="shared" ca="1" si="450"/>
        <v>361.17052631578946</v>
      </c>
      <c r="BR369">
        <f t="shared" ca="1" si="451"/>
        <v>84.1</v>
      </c>
      <c r="BS369">
        <f t="shared" ca="1" si="452"/>
        <v>115.78052631578947</v>
      </c>
      <c r="BT369">
        <f t="shared" ca="1" si="453"/>
        <v>75.400000000000006</v>
      </c>
      <c r="BU369">
        <f t="shared" ca="1" si="454"/>
        <v>22</v>
      </c>
      <c r="BV369">
        <f t="shared" ca="1" si="455"/>
        <v>2.15</v>
      </c>
      <c r="BW369" s="1018">
        <v>0</v>
      </c>
      <c r="BX369">
        <f t="shared" ca="1" si="432"/>
        <v>25.497726124305199</v>
      </c>
      <c r="BY369">
        <f t="shared" ca="1" si="433"/>
        <v>196.81491706554075</v>
      </c>
      <c r="BZ369">
        <f t="shared" ca="1" si="405"/>
        <v>28.353659319494973</v>
      </c>
      <c r="CA369">
        <f t="shared" ca="1" si="406"/>
        <v>43.999999982399999</v>
      </c>
      <c r="CB369">
        <f t="shared" ca="1" si="434"/>
        <v>4.5133587786259541</v>
      </c>
      <c r="CC369" s="1018">
        <f t="shared" si="407"/>
        <v>0</v>
      </c>
      <c r="CD369" s="1018">
        <f t="shared" ca="1" si="458"/>
        <v>323.13410337563005</v>
      </c>
      <c r="CE369" s="1018">
        <f t="shared" ca="1" si="456"/>
        <v>148.36563336164974</v>
      </c>
      <c r="CF369">
        <f t="shared" ca="1" si="408"/>
        <v>14.144992102118394</v>
      </c>
      <c r="CG369">
        <f t="shared" ca="1" si="409"/>
        <v>23550.84605034304</v>
      </c>
    </row>
    <row r="370" spans="4:85" x14ac:dyDescent="0.25">
      <c r="D370" s="1"/>
      <c r="F370" s="1"/>
      <c r="G370" s="3"/>
      <c r="H370" s="6"/>
      <c r="I370" s="3"/>
      <c r="J370" s="3" t="s">
        <v>144</v>
      </c>
      <c r="K370" s="8"/>
      <c r="L370" s="6"/>
      <c r="M370" s="1" t="s">
        <v>16</v>
      </c>
      <c r="N370" s="4"/>
      <c r="O370" s="1" t="s">
        <v>19</v>
      </c>
      <c r="P370" s="4"/>
      <c r="Q370" s="1" t="s">
        <v>7</v>
      </c>
      <c r="R370" s="4"/>
      <c r="S370" s="1"/>
      <c r="T370" s="77"/>
      <c r="U370" s="22"/>
      <c r="X370" s="176">
        <f t="shared" si="457"/>
        <v>0</v>
      </c>
      <c r="Y370" s="34">
        <f>X370/Calculation_sheet!M$67</f>
        <v>0</v>
      </c>
      <c r="Z370" s="176">
        <f ca="1">IF(AN370&gt;0,Y370*Calculation_sheet!C$87,0)</f>
        <v>0</v>
      </c>
      <c r="AA370" s="176">
        <f t="shared" ca="1" si="410"/>
        <v>0</v>
      </c>
      <c r="AB370" s="176">
        <f ca="1">IF(AP370&gt;0,AA370*Calculation_sheet!C$94,0)</f>
        <v>0</v>
      </c>
      <c r="AC370" s="176">
        <f t="shared" ca="1" si="447"/>
        <v>0</v>
      </c>
      <c r="AD370" s="958">
        <f ca="1">AC370*Calculation_sheet!C$99</f>
        <v>0</v>
      </c>
      <c r="AE370" s="176">
        <f t="shared" ca="1" si="447"/>
        <v>0</v>
      </c>
      <c r="AF370" s="176">
        <f t="shared" ca="1" si="448"/>
        <v>0</v>
      </c>
      <c r="AG370" s="958">
        <f ca="1">AF370*User_sheet!B$77/100</f>
        <v>0</v>
      </c>
      <c r="AH370" s="313"/>
      <c r="AI370" s="908">
        <v>203</v>
      </c>
      <c r="AJ370" s="313"/>
      <c r="AK370" s="1020">
        <f t="shared" ca="1" si="404"/>
        <v>323.13410337563005</v>
      </c>
      <c r="AL370" s="954">
        <f ca="1">AK370/'203'!I$24</f>
        <v>1.1307072162732481</v>
      </c>
      <c r="AM370" s="954">
        <f ca="1">0.8*(AK370*30+'203'!D$17*0.34*30*1)</f>
        <v>11098.782775751964</v>
      </c>
      <c r="AN370" s="954">
        <f ca="1">IF(AM370&lt;User_sheet!B$50,Y370,0)</f>
        <v>0</v>
      </c>
      <c r="AO370" s="954">
        <f ca="1">20-(User_sheet!B$57/(AK370+'203'!D$17*1*0.34))</f>
        <v>7.6743240439957567</v>
      </c>
      <c r="AP370" s="954">
        <f ca="1">IF(AO370&lt;User_sheet!B$59,0,BC370*AA370)</f>
        <v>0</v>
      </c>
      <c r="AQ370" s="313"/>
      <c r="AR370" s="909">
        <v>0.32</v>
      </c>
      <c r="AS370" s="1020">
        <v>2.41</v>
      </c>
      <c r="AT370" s="909">
        <v>1.42</v>
      </c>
      <c r="AU370" s="909">
        <v>2</v>
      </c>
      <c r="AV370" s="909">
        <v>3.3</v>
      </c>
      <c r="AW370" s="909">
        <v>14356</v>
      </c>
      <c r="AX370" s="909">
        <v>75945.51234133933</v>
      </c>
      <c r="AY370" s="909">
        <v>62673.095488422703</v>
      </c>
      <c r="AZ370" s="917">
        <v>0</v>
      </c>
      <c r="BA370" s="917">
        <v>0</v>
      </c>
      <c r="BB370" s="909">
        <v>0.6</v>
      </c>
      <c r="BC370" s="919">
        <v>1</v>
      </c>
      <c r="BD370" s="920">
        <v>0</v>
      </c>
      <c r="BE370" s="920">
        <v>0</v>
      </c>
      <c r="BF370" s="921">
        <v>0</v>
      </c>
      <c r="BG370" s="909">
        <v>0</v>
      </c>
      <c r="BH370" s="909">
        <v>1</v>
      </c>
      <c r="BI370" s="921">
        <v>0</v>
      </c>
      <c r="BJ370" s="909">
        <v>0</v>
      </c>
      <c r="BK370" s="909">
        <v>0</v>
      </c>
      <c r="BL370" s="909">
        <v>1</v>
      </c>
      <c r="BM370" s="921">
        <v>0</v>
      </c>
      <c r="BN370" s="958">
        <v>0.08</v>
      </c>
      <c r="BO370" s="959">
        <v>16.3</v>
      </c>
      <c r="BP370">
        <f t="shared" ca="1" si="449"/>
        <v>185.6</v>
      </c>
      <c r="BQ370">
        <f t="shared" ca="1" si="450"/>
        <v>361.17052631578946</v>
      </c>
      <c r="BR370">
        <f t="shared" ca="1" si="451"/>
        <v>84.1</v>
      </c>
      <c r="BS370">
        <f t="shared" ca="1" si="452"/>
        <v>115.78052631578947</v>
      </c>
      <c r="BT370">
        <f t="shared" ca="1" si="453"/>
        <v>75.400000000000006</v>
      </c>
      <c r="BU370">
        <f t="shared" ca="1" si="454"/>
        <v>22</v>
      </c>
      <c r="BV370">
        <f t="shared" ca="1" si="455"/>
        <v>2.15</v>
      </c>
      <c r="BW370" s="1018">
        <v>0</v>
      </c>
      <c r="BX370">
        <f t="shared" ca="1" si="432"/>
        <v>25.497726124305199</v>
      </c>
      <c r="BY370">
        <f t="shared" ca="1" si="433"/>
        <v>196.81491706554075</v>
      </c>
      <c r="BZ370">
        <f t="shared" ca="1" si="405"/>
        <v>28.353659319494973</v>
      </c>
      <c r="CA370">
        <f t="shared" ca="1" si="406"/>
        <v>43.999999982399999</v>
      </c>
      <c r="CB370">
        <f t="shared" ca="1" si="434"/>
        <v>4.5133587786259541</v>
      </c>
      <c r="CC370" s="1018">
        <f t="shared" si="407"/>
        <v>0</v>
      </c>
      <c r="CD370" s="1018">
        <f t="shared" ca="1" si="458"/>
        <v>323.13410337563005</v>
      </c>
      <c r="CE370" s="1018">
        <f t="shared" ca="1" si="456"/>
        <v>148.36563336164974</v>
      </c>
      <c r="CF370">
        <f t="shared" ca="1" si="408"/>
        <v>14.144992102118394</v>
      </c>
      <c r="CG370">
        <f t="shared" ca="1" si="409"/>
        <v>23550.84605034304</v>
      </c>
    </row>
    <row r="371" spans="4:85" x14ac:dyDescent="0.25">
      <c r="D371" s="1"/>
      <c r="F371" s="1"/>
      <c r="G371" s="3"/>
      <c r="H371" s="6"/>
      <c r="I371" s="3"/>
      <c r="J371" s="6" t="s">
        <v>190</v>
      </c>
      <c r="K371" s="8"/>
      <c r="L371" s="6"/>
      <c r="M371" s="1"/>
      <c r="N371" s="1"/>
      <c r="O371" s="1"/>
      <c r="P371" s="1"/>
      <c r="Q371" s="1" t="s">
        <v>22</v>
      </c>
      <c r="R371" s="4"/>
      <c r="S371" s="1"/>
      <c r="T371" s="77"/>
      <c r="U371" s="22"/>
      <c r="X371" s="176">
        <f t="shared" si="457"/>
        <v>0</v>
      </c>
      <c r="Y371" s="34">
        <f>X371/Calculation_sheet!M$67</f>
        <v>0</v>
      </c>
      <c r="Z371" s="176">
        <f ca="1">IF(AN371&gt;0,Y371*Calculation_sheet!C$87,0)</f>
        <v>0</v>
      </c>
      <c r="AA371" s="176">
        <f t="shared" ca="1" si="410"/>
        <v>0</v>
      </c>
      <c r="AB371" s="176">
        <f ca="1">IF(AP371&gt;0,AA371*Calculation_sheet!C$94,0)</f>
        <v>0</v>
      </c>
      <c r="AC371" s="176">
        <f t="shared" ca="1" si="447"/>
        <v>0</v>
      </c>
      <c r="AD371" s="958">
        <f ca="1">AC371*Calculation_sheet!C$99</f>
        <v>0</v>
      </c>
      <c r="AE371" s="176">
        <f t="shared" ca="1" si="447"/>
        <v>0</v>
      </c>
      <c r="AF371" s="176">
        <f t="shared" ca="1" si="448"/>
        <v>0</v>
      </c>
      <c r="AG371" s="958">
        <f ca="1">AF371*User_sheet!B$77/100</f>
        <v>0</v>
      </c>
      <c r="AH371" s="313"/>
      <c r="AI371" s="908">
        <v>203</v>
      </c>
      <c r="AJ371" s="313"/>
      <c r="AK371" s="1020">
        <f t="shared" ca="1" si="404"/>
        <v>323.13410337563005</v>
      </c>
      <c r="AL371" s="954">
        <f ca="1">AK371/'203'!I$24</f>
        <v>1.1307072162732481</v>
      </c>
      <c r="AM371" s="954">
        <f ca="1">0.8*(AK371*30+'203'!D$17*0.34*30*1)</f>
        <v>11098.782775751964</v>
      </c>
      <c r="AN371" s="954">
        <f ca="1">IF(AM371&lt;User_sheet!B$50,Y371,0)</f>
        <v>0</v>
      </c>
      <c r="AO371" s="954">
        <f ca="1">20-(User_sheet!B$57/(AK371+'203'!D$17*1*0.34))</f>
        <v>7.6743240439957567</v>
      </c>
      <c r="AP371" s="954">
        <f ca="1">IF(AO371&lt;User_sheet!B$59,0,BC371*AA371)</f>
        <v>0</v>
      </c>
      <c r="AQ371" s="313"/>
      <c r="AR371" s="909">
        <v>0.32</v>
      </c>
      <c r="AS371" s="1020">
        <v>2.41</v>
      </c>
      <c r="AT371" s="909">
        <v>1.42</v>
      </c>
      <c r="AU371" s="909">
        <v>2</v>
      </c>
      <c r="AV371" s="909">
        <v>3.3</v>
      </c>
      <c r="AW371" s="909">
        <v>14356</v>
      </c>
      <c r="AX371" s="909">
        <v>75945.51234133933</v>
      </c>
      <c r="AY371" s="909">
        <v>62673.095488422703</v>
      </c>
      <c r="AZ371" s="917">
        <v>0</v>
      </c>
      <c r="BA371" s="917">
        <v>0</v>
      </c>
      <c r="BB371" s="909">
        <v>0.6</v>
      </c>
      <c r="BC371" s="919">
        <v>0</v>
      </c>
      <c r="BD371" s="920">
        <v>1</v>
      </c>
      <c r="BE371" s="920">
        <v>0</v>
      </c>
      <c r="BF371" s="921">
        <v>0</v>
      </c>
      <c r="BG371" s="909">
        <v>1</v>
      </c>
      <c r="BH371" s="909">
        <v>0</v>
      </c>
      <c r="BI371" s="921">
        <v>0</v>
      </c>
      <c r="BJ371" s="909">
        <v>0</v>
      </c>
      <c r="BK371" s="909">
        <v>1</v>
      </c>
      <c r="BL371" s="909">
        <v>0</v>
      </c>
      <c r="BM371" s="921">
        <v>0</v>
      </c>
      <c r="BN371" s="958">
        <v>0.08</v>
      </c>
      <c r="BO371" s="959">
        <v>16.3</v>
      </c>
      <c r="BP371">
        <f t="shared" ca="1" si="449"/>
        <v>185.6</v>
      </c>
      <c r="BQ371">
        <f t="shared" ca="1" si="450"/>
        <v>361.17052631578946</v>
      </c>
      <c r="BR371">
        <f t="shared" ca="1" si="451"/>
        <v>84.1</v>
      </c>
      <c r="BS371">
        <f t="shared" ca="1" si="452"/>
        <v>115.78052631578947</v>
      </c>
      <c r="BT371">
        <f t="shared" ca="1" si="453"/>
        <v>75.400000000000006</v>
      </c>
      <c r="BU371">
        <f t="shared" ca="1" si="454"/>
        <v>22</v>
      </c>
      <c r="BV371">
        <f t="shared" ca="1" si="455"/>
        <v>2.15</v>
      </c>
      <c r="BW371" s="1018">
        <v>0</v>
      </c>
      <c r="BX371">
        <f t="shared" ca="1" si="432"/>
        <v>25.497726124305199</v>
      </c>
      <c r="BY371">
        <f t="shared" ca="1" si="433"/>
        <v>196.81491706554075</v>
      </c>
      <c r="BZ371">
        <f t="shared" ca="1" si="405"/>
        <v>28.353659319494973</v>
      </c>
      <c r="CA371">
        <f t="shared" ca="1" si="406"/>
        <v>43.999999982399999</v>
      </c>
      <c r="CB371">
        <f t="shared" ca="1" si="434"/>
        <v>4.5133587786259541</v>
      </c>
      <c r="CC371" s="1018">
        <f t="shared" si="407"/>
        <v>0</v>
      </c>
      <c r="CD371" s="1018">
        <f t="shared" ca="1" si="458"/>
        <v>323.13410337563005</v>
      </c>
      <c r="CE371" s="1018">
        <f t="shared" ca="1" si="456"/>
        <v>148.36563336164974</v>
      </c>
      <c r="CF371">
        <f t="shared" ca="1" si="408"/>
        <v>14.144992102118394</v>
      </c>
      <c r="CG371">
        <f t="shared" ca="1" si="409"/>
        <v>23550.84605034304</v>
      </c>
    </row>
    <row r="372" spans="4:85" x14ac:dyDescent="0.25">
      <c r="D372" s="1"/>
      <c r="F372" s="1"/>
      <c r="G372" s="3"/>
      <c r="H372" s="6"/>
      <c r="I372" s="3"/>
      <c r="K372" s="8"/>
      <c r="L372" s="6"/>
      <c r="M372" s="1"/>
      <c r="N372" s="1"/>
      <c r="O372" s="1" t="s">
        <v>18</v>
      </c>
      <c r="P372" s="4"/>
      <c r="Q372" s="1" t="s">
        <v>7</v>
      </c>
      <c r="R372" s="4"/>
      <c r="S372" s="1"/>
      <c r="T372" s="77"/>
      <c r="U372" s="22"/>
      <c r="X372" s="176">
        <f t="shared" si="457"/>
        <v>0</v>
      </c>
      <c r="Y372" s="34">
        <f>X372/Calculation_sheet!M$67</f>
        <v>0</v>
      </c>
      <c r="Z372" s="176">
        <f ca="1">IF(AN372&gt;0,Y372*Calculation_sheet!C$87,0)</f>
        <v>0</v>
      </c>
      <c r="AA372" s="176">
        <f t="shared" ca="1" si="410"/>
        <v>0</v>
      </c>
      <c r="AB372" s="176">
        <f ca="1">IF(AP372&gt;0,AA372*Calculation_sheet!C$94,0)</f>
        <v>0</v>
      </c>
      <c r="AC372" s="176">
        <f t="shared" ca="1" si="447"/>
        <v>0</v>
      </c>
      <c r="AD372" s="958">
        <f ca="1">AC372*Calculation_sheet!C$99</f>
        <v>0</v>
      </c>
      <c r="AE372" s="176">
        <f t="shared" ca="1" si="447"/>
        <v>0</v>
      </c>
      <c r="AF372" s="176">
        <f t="shared" ca="1" si="448"/>
        <v>0</v>
      </c>
      <c r="AG372" s="958">
        <f ca="1">AF372*User_sheet!B$77/100</f>
        <v>0</v>
      </c>
      <c r="AH372" s="313"/>
      <c r="AI372" s="908">
        <v>203</v>
      </c>
      <c r="AJ372" s="313"/>
      <c r="AK372" s="1020">
        <f t="shared" ca="1" si="404"/>
        <v>323.13410337563005</v>
      </c>
      <c r="AL372" s="954">
        <f ca="1">AK372/'203'!I$24</f>
        <v>1.1307072162732481</v>
      </c>
      <c r="AM372" s="954">
        <f ca="1">0.8*(AK372*30+'203'!D$17*0.34*30*1)</f>
        <v>11098.782775751964</v>
      </c>
      <c r="AN372" s="954">
        <f ca="1">IF(AM372&lt;User_sheet!B$50,Y372,0)</f>
        <v>0</v>
      </c>
      <c r="AO372" s="954">
        <f ca="1">20-(User_sheet!B$57/(AK372+'203'!D$17*1*0.34))</f>
        <v>7.6743240439957567</v>
      </c>
      <c r="AP372" s="954">
        <f ca="1">IF(AO372&lt;User_sheet!B$59,0,BC372*AA372)</f>
        <v>0</v>
      </c>
      <c r="AQ372" s="313"/>
      <c r="AR372" s="909">
        <v>0.32</v>
      </c>
      <c r="AS372" s="1020">
        <v>2.41</v>
      </c>
      <c r="AT372" s="909">
        <v>1.42</v>
      </c>
      <c r="AU372" s="909">
        <v>2</v>
      </c>
      <c r="AV372" s="909">
        <v>3.3</v>
      </c>
      <c r="AW372" s="909">
        <v>14356</v>
      </c>
      <c r="AX372" s="909">
        <v>75945.51234133933</v>
      </c>
      <c r="AY372" s="909">
        <v>62673.095488422703</v>
      </c>
      <c r="AZ372" s="917">
        <v>0</v>
      </c>
      <c r="BA372" s="917">
        <v>0</v>
      </c>
      <c r="BB372" s="909">
        <v>0.6</v>
      </c>
      <c r="BC372" s="919">
        <v>0</v>
      </c>
      <c r="BD372" s="920">
        <v>1</v>
      </c>
      <c r="BE372" s="920">
        <v>0</v>
      </c>
      <c r="BF372" s="921">
        <v>0</v>
      </c>
      <c r="BG372" s="909">
        <v>1</v>
      </c>
      <c r="BH372" s="909">
        <v>0</v>
      </c>
      <c r="BI372" s="921">
        <v>0</v>
      </c>
      <c r="BJ372" s="909">
        <v>0</v>
      </c>
      <c r="BK372" s="909">
        <v>0</v>
      </c>
      <c r="BL372" s="909">
        <v>1</v>
      </c>
      <c r="BM372" s="921">
        <v>0</v>
      </c>
      <c r="BN372" s="958">
        <v>0.08</v>
      </c>
      <c r="BO372" s="959">
        <v>16.3</v>
      </c>
      <c r="BP372">
        <f t="shared" ca="1" si="449"/>
        <v>185.6</v>
      </c>
      <c r="BQ372">
        <f t="shared" ca="1" si="450"/>
        <v>361.17052631578946</v>
      </c>
      <c r="BR372">
        <f t="shared" ca="1" si="451"/>
        <v>84.1</v>
      </c>
      <c r="BS372">
        <f t="shared" ca="1" si="452"/>
        <v>115.78052631578947</v>
      </c>
      <c r="BT372">
        <f t="shared" ca="1" si="453"/>
        <v>75.400000000000006</v>
      </c>
      <c r="BU372">
        <f t="shared" ca="1" si="454"/>
        <v>22</v>
      </c>
      <c r="BV372">
        <f t="shared" ca="1" si="455"/>
        <v>2.15</v>
      </c>
      <c r="BW372" s="1018">
        <v>0</v>
      </c>
      <c r="BX372">
        <f t="shared" ca="1" si="432"/>
        <v>25.497726124305199</v>
      </c>
      <c r="BY372">
        <f t="shared" ca="1" si="433"/>
        <v>196.81491706554075</v>
      </c>
      <c r="BZ372">
        <f t="shared" ca="1" si="405"/>
        <v>28.353659319494973</v>
      </c>
      <c r="CA372">
        <f t="shared" ca="1" si="406"/>
        <v>43.999999982399999</v>
      </c>
      <c r="CB372">
        <f t="shared" ca="1" si="434"/>
        <v>4.5133587786259541</v>
      </c>
      <c r="CC372" s="1018">
        <f t="shared" si="407"/>
        <v>0</v>
      </c>
      <c r="CD372" s="1018">
        <f t="shared" ca="1" si="458"/>
        <v>323.13410337563005</v>
      </c>
      <c r="CE372" s="1018">
        <f t="shared" ca="1" si="456"/>
        <v>148.36563336164974</v>
      </c>
      <c r="CF372">
        <f t="shared" ca="1" si="408"/>
        <v>14.144992102118394</v>
      </c>
      <c r="CG372">
        <f t="shared" ca="1" si="409"/>
        <v>23550.84605034304</v>
      </c>
    </row>
    <row r="373" spans="4:85" x14ac:dyDescent="0.25">
      <c r="D373" s="1"/>
      <c r="F373" s="1"/>
      <c r="G373" s="3"/>
      <c r="H373" s="6"/>
      <c r="I373" s="3"/>
      <c r="K373" s="8"/>
      <c r="L373" s="6"/>
      <c r="M373" s="1"/>
      <c r="N373" s="1"/>
      <c r="O373" s="1"/>
      <c r="P373" s="1"/>
      <c r="Q373" s="1" t="s">
        <v>22</v>
      </c>
      <c r="R373" s="4"/>
      <c r="S373" s="1"/>
      <c r="T373" s="77"/>
      <c r="U373" s="22"/>
      <c r="X373" s="176">
        <f t="shared" si="457"/>
        <v>0</v>
      </c>
      <c r="Y373" s="34">
        <f>X373/Calculation_sheet!M$67</f>
        <v>0</v>
      </c>
      <c r="Z373" s="176">
        <f ca="1">IF(AN373&gt;0,Y373*Calculation_sheet!C$87,0)</f>
        <v>0</v>
      </c>
      <c r="AA373" s="176">
        <f t="shared" ca="1" si="410"/>
        <v>0</v>
      </c>
      <c r="AB373" s="176">
        <f ca="1">IF(AP373&gt;0,AA373*Calculation_sheet!C$94,0)</f>
        <v>0</v>
      </c>
      <c r="AC373" s="176">
        <f t="shared" ca="1" si="447"/>
        <v>0</v>
      </c>
      <c r="AD373" s="958">
        <f ca="1">AC373*Calculation_sheet!C$99</f>
        <v>0</v>
      </c>
      <c r="AE373" s="176">
        <f t="shared" ca="1" si="447"/>
        <v>0</v>
      </c>
      <c r="AF373" s="176">
        <f t="shared" ca="1" si="448"/>
        <v>0</v>
      </c>
      <c r="AG373" s="958">
        <f ca="1">AF373*User_sheet!B$77/100</f>
        <v>0</v>
      </c>
      <c r="AH373" s="313"/>
      <c r="AI373" s="908">
        <v>203</v>
      </c>
      <c r="AJ373" s="313"/>
      <c r="AK373" s="1020">
        <f t="shared" ca="1" si="404"/>
        <v>323.13410337563005</v>
      </c>
      <c r="AL373" s="954">
        <f ca="1">AK373/'203'!I$24</f>
        <v>1.1307072162732481</v>
      </c>
      <c r="AM373" s="954">
        <f ca="1">0.8*(AK373*30+'203'!D$17*0.34*30*1)</f>
        <v>11098.782775751964</v>
      </c>
      <c r="AN373" s="954">
        <f ca="1">IF(AM373&lt;User_sheet!B$50,Y373,0)</f>
        <v>0</v>
      </c>
      <c r="AO373" s="954">
        <f ca="1">20-(User_sheet!B$57/(AK373+'203'!D$17*1*0.34))</f>
        <v>7.6743240439957567</v>
      </c>
      <c r="AP373" s="954">
        <f ca="1">IF(AO373&lt;User_sheet!B$59,0,BC373*AA373)</f>
        <v>0</v>
      </c>
      <c r="AQ373" s="313"/>
      <c r="AR373" s="909">
        <v>0.32</v>
      </c>
      <c r="AS373" s="1020">
        <v>2.41</v>
      </c>
      <c r="AT373" s="909">
        <v>1.42</v>
      </c>
      <c r="AU373" s="909">
        <v>2</v>
      </c>
      <c r="AV373" s="909">
        <v>3.3</v>
      </c>
      <c r="AW373" s="909">
        <v>14356</v>
      </c>
      <c r="AX373" s="909">
        <v>75945.51234133933</v>
      </c>
      <c r="AY373" s="909">
        <v>62673.095488422703</v>
      </c>
      <c r="AZ373" s="917">
        <v>0</v>
      </c>
      <c r="BA373" s="917">
        <v>0</v>
      </c>
      <c r="BB373" s="909">
        <v>0.6</v>
      </c>
      <c r="BC373" s="919">
        <v>0</v>
      </c>
      <c r="BD373" s="920">
        <v>1</v>
      </c>
      <c r="BE373" s="920">
        <v>0</v>
      </c>
      <c r="BF373" s="921">
        <v>0</v>
      </c>
      <c r="BG373" s="909">
        <v>0</v>
      </c>
      <c r="BH373" s="909">
        <v>1</v>
      </c>
      <c r="BI373" s="921">
        <v>0</v>
      </c>
      <c r="BJ373" s="909">
        <v>0</v>
      </c>
      <c r="BK373" s="909">
        <v>1</v>
      </c>
      <c r="BL373" s="909">
        <v>0</v>
      </c>
      <c r="BM373" s="921">
        <v>0</v>
      </c>
      <c r="BN373" s="958">
        <v>0.08</v>
      </c>
      <c r="BO373" s="959">
        <v>16.3</v>
      </c>
      <c r="BP373">
        <f t="shared" ca="1" si="449"/>
        <v>185.6</v>
      </c>
      <c r="BQ373">
        <f t="shared" ca="1" si="450"/>
        <v>361.17052631578946</v>
      </c>
      <c r="BR373">
        <f t="shared" ca="1" si="451"/>
        <v>84.1</v>
      </c>
      <c r="BS373">
        <f t="shared" ca="1" si="452"/>
        <v>115.78052631578947</v>
      </c>
      <c r="BT373">
        <f t="shared" ca="1" si="453"/>
        <v>75.400000000000006</v>
      </c>
      <c r="BU373">
        <f t="shared" ca="1" si="454"/>
        <v>22</v>
      </c>
      <c r="BV373">
        <f t="shared" ca="1" si="455"/>
        <v>2.15</v>
      </c>
      <c r="BW373" s="1018">
        <v>0</v>
      </c>
      <c r="BX373">
        <f t="shared" ca="1" si="432"/>
        <v>25.497726124305199</v>
      </c>
      <c r="BY373">
        <f t="shared" ca="1" si="433"/>
        <v>196.81491706554075</v>
      </c>
      <c r="BZ373">
        <f t="shared" ca="1" si="405"/>
        <v>28.353659319494973</v>
      </c>
      <c r="CA373">
        <f t="shared" ca="1" si="406"/>
        <v>43.999999982399999</v>
      </c>
      <c r="CB373">
        <f t="shared" ca="1" si="434"/>
        <v>4.5133587786259541</v>
      </c>
      <c r="CC373" s="1018">
        <f t="shared" si="407"/>
        <v>0</v>
      </c>
      <c r="CD373" s="1018">
        <f t="shared" ca="1" si="458"/>
        <v>323.13410337563005</v>
      </c>
      <c r="CE373" s="1018">
        <f t="shared" ca="1" si="456"/>
        <v>148.36563336164974</v>
      </c>
      <c r="CF373">
        <f t="shared" ca="1" si="408"/>
        <v>14.144992102118394</v>
      </c>
      <c r="CG373">
        <f t="shared" ca="1" si="409"/>
        <v>23550.84605034304</v>
      </c>
    </row>
    <row r="374" spans="4:85" x14ac:dyDescent="0.25">
      <c r="D374" s="1"/>
      <c r="F374" s="1"/>
      <c r="G374" s="3"/>
      <c r="H374" s="6"/>
      <c r="I374" s="3"/>
      <c r="J374" s="6"/>
      <c r="K374" s="8"/>
      <c r="L374" s="3"/>
      <c r="M374" s="1" t="s">
        <v>22</v>
      </c>
      <c r="N374" s="4"/>
      <c r="O374" s="1" t="s">
        <v>20</v>
      </c>
      <c r="P374" s="4"/>
      <c r="Q374" s="1" t="s">
        <v>7</v>
      </c>
      <c r="R374" s="4"/>
      <c r="S374" s="1"/>
      <c r="T374" s="77"/>
      <c r="U374" s="22"/>
      <c r="X374" s="176">
        <f t="shared" si="457"/>
        <v>0</v>
      </c>
      <c r="Y374" s="34">
        <f>X374/Calculation_sheet!M$67</f>
        <v>0</v>
      </c>
      <c r="Z374" s="176">
        <f ca="1">IF(AN374&gt;0,Y374*Calculation_sheet!C$87,0)</f>
        <v>0</v>
      </c>
      <c r="AA374" s="176">
        <f t="shared" ca="1" si="410"/>
        <v>0</v>
      </c>
      <c r="AB374" s="176">
        <f ca="1">IF(AP374&gt;0,AA374*Calculation_sheet!C$94,0)</f>
        <v>0</v>
      </c>
      <c r="AC374" s="176">
        <f t="shared" ca="1" si="447"/>
        <v>0</v>
      </c>
      <c r="AD374" s="958">
        <f ca="1">AC374*Calculation_sheet!C$99</f>
        <v>0</v>
      </c>
      <c r="AE374" s="176">
        <f t="shared" ca="1" si="447"/>
        <v>0</v>
      </c>
      <c r="AF374" s="176">
        <f t="shared" ca="1" si="448"/>
        <v>0</v>
      </c>
      <c r="AG374" s="958">
        <f ca="1">AF374*User_sheet!B$77/100</f>
        <v>0</v>
      </c>
      <c r="AH374" s="313"/>
      <c r="AI374" s="908">
        <v>203</v>
      </c>
      <c r="AJ374" s="313"/>
      <c r="AK374" s="1020">
        <f t="shared" ca="1" si="404"/>
        <v>323.13410337563005</v>
      </c>
      <c r="AL374" s="954">
        <f ca="1">AK374/'203'!I$24</f>
        <v>1.1307072162732481</v>
      </c>
      <c r="AM374" s="954">
        <f ca="1">0.8*(AK374*30+'203'!D$17*0.34*30*1)</f>
        <v>11098.782775751964</v>
      </c>
      <c r="AN374" s="954">
        <f ca="1">IF(AM374&lt;User_sheet!B$50,Y374,0)</f>
        <v>0</v>
      </c>
      <c r="AO374" s="954">
        <f ca="1">20-(User_sheet!B$57/(AK374+'203'!D$17*1*0.34))</f>
        <v>7.6743240439957567</v>
      </c>
      <c r="AP374" s="954">
        <f ca="1">IF(AO374&lt;User_sheet!B$59,0,BC374*AA374)</f>
        <v>0</v>
      </c>
      <c r="AQ374" s="313"/>
      <c r="AR374" s="909">
        <v>0.32</v>
      </c>
      <c r="AS374" s="1020">
        <v>2.41</v>
      </c>
      <c r="AT374" s="909">
        <v>1.42</v>
      </c>
      <c r="AU374" s="909">
        <v>2</v>
      </c>
      <c r="AV374" s="909">
        <v>3.3</v>
      </c>
      <c r="AW374" s="909">
        <v>14356</v>
      </c>
      <c r="AX374" s="909">
        <v>75945.51234133933</v>
      </c>
      <c r="AY374" s="909">
        <v>62673.095488422703</v>
      </c>
      <c r="AZ374" s="917">
        <v>0</v>
      </c>
      <c r="BA374" s="917">
        <v>0</v>
      </c>
      <c r="BB374" s="909">
        <v>0.6</v>
      </c>
      <c r="BC374" s="919">
        <v>0</v>
      </c>
      <c r="BD374" s="920">
        <v>1</v>
      </c>
      <c r="BE374" s="920">
        <v>0</v>
      </c>
      <c r="BF374" s="921">
        <v>0</v>
      </c>
      <c r="BG374" s="909">
        <v>0</v>
      </c>
      <c r="BH374" s="909">
        <v>1</v>
      </c>
      <c r="BI374" s="921">
        <v>0</v>
      </c>
      <c r="BJ374" s="909">
        <v>0</v>
      </c>
      <c r="BK374" s="909">
        <v>0</v>
      </c>
      <c r="BL374" s="909">
        <v>1</v>
      </c>
      <c r="BM374" s="921">
        <v>0</v>
      </c>
      <c r="BN374" s="958">
        <v>0.08</v>
      </c>
      <c r="BO374" s="959">
        <v>16.3</v>
      </c>
      <c r="BP374">
        <f t="shared" ca="1" si="449"/>
        <v>185.6</v>
      </c>
      <c r="BQ374">
        <f t="shared" ca="1" si="450"/>
        <v>361.17052631578946</v>
      </c>
      <c r="BR374">
        <f t="shared" ca="1" si="451"/>
        <v>84.1</v>
      </c>
      <c r="BS374">
        <f t="shared" ca="1" si="452"/>
        <v>115.78052631578947</v>
      </c>
      <c r="BT374">
        <f t="shared" ca="1" si="453"/>
        <v>75.400000000000006</v>
      </c>
      <c r="BU374">
        <f t="shared" ca="1" si="454"/>
        <v>22</v>
      </c>
      <c r="BV374">
        <f t="shared" ca="1" si="455"/>
        <v>2.15</v>
      </c>
      <c r="BW374" s="1018">
        <v>0</v>
      </c>
      <c r="BX374">
        <f t="shared" ca="1" si="432"/>
        <v>25.497726124305199</v>
      </c>
      <c r="BY374">
        <f t="shared" ca="1" si="433"/>
        <v>196.81491706554075</v>
      </c>
      <c r="BZ374">
        <f t="shared" ca="1" si="405"/>
        <v>28.353659319494973</v>
      </c>
      <c r="CA374">
        <f t="shared" ca="1" si="406"/>
        <v>43.999999982399999</v>
      </c>
      <c r="CB374">
        <f t="shared" ca="1" si="434"/>
        <v>4.5133587786259541</v>
      </c>
      <c r="CC374" s="1018">
        <f t="shared" si="407"/>
        <v>0</v>
      </c>
      <c r="CD374" s="1018">
        <f t="shared" ca="1" si="458"/>
        <v>323.13410337563005</v>
      </c>
      <c r="CE374" s="1018">
        <f t="shared" ca="1" si="456"/>
        <v>148.36563336164974</v>
      </c>
      <c r="CF374">
        <f t="shared" ca="1" si="408"/>
        <v>14.144992102118394</v>
      </c>
      <c r="CG374">
        <f t="shared" ca="1" si="409"/>
        <v>23550.84605034304</v>
      </c>
    </row>
    <row r="375" spans="4:85" x14ac:dyDescent="0.25">
      <c r="D375" s="1"/>
      <c r="F375" s="1"/>
      <c r="G375" s="3"/>
      <c r="H375" s="6"/>
      <c r="I375" s="3"/>
      <c r="J375" s="6"/>
      <c r="K375" s="8"/>
      <c r="L375" s="7"/>
      <c r="M375" s="1" t="s">
        <v>7</v>
      </c>
      <c r="N375" s="4"/>
      <c r="O375" s="1" t="s">
        <v>23</v>
      </c>
      <c r="P375" s="4"/>
      <c r="Q375" s="1" t="s">
        <v>7</v>
      </c>
      <c r="R375" s="4"/>
      <c r="S375" s="1"/>
      <c r="T375" s="77"/>
      <c r="U375" s="22"/>
      <c r="X375" s="176">
        <f t="shared" si="457"/>
        <v>0</v>
      </c>
      <c r="Y375" s="34">
        <f>X375/Calculation_sheet!M$67</f>
        <v>0</v>
      </c>
      <c r="Z375" s="176">
        <f ca="1">IF(AN375&gt;0,Y375*Calculation_sheet!C$87,0)</f>
        <v>0</v>
      </c>
      <c r="AA375" s="176">
        <f t="shared" ca="1" si="410"/>
        <v>0</v>
      </c>
      <c r="AB375" s="176">
        <f ca="1">IF(AP375&gt;0,AA375*Calculation_sheet!C$94,0)</f>
        <v>0</v>
      </c>
      <c r="AC375" s="176">
        <f t="shared" ca="1" si="447"/>
        <v>0</v>
      </c>
      <c r="AD375" s="958">
        <f ca="1">AC375*Calculation_sheet!C$99</f>
        <v>0</v>
      </c>
      <c r="AE375" s="176">
        <f t="shared" ca="1" si="447"/>
        <v>0</v>
      </c>
      <c r="AF375" s="176">
        <f t="shared" ca="1" si="448"/>
        <v>0</v>
      </c>
      <c r="AG375" s="958">
        <f ca="1">AF375*User_sheet!B$77/100</f>
        <v>0</v>
      </c>
      <c r="AH375" s="313"/>
      <c r="AI375" s="908">
        <v>203</v>
      </c>
      <c r="AJ375" s="313"/>
      <c r="AK375" s="1020">
        <f t="shared" ca="1" si="404"/>
        <v>323.13410337563005</v>
      </c>
      <c r="AL375" s="954">
        <f ca="1">AK375/'203'!I$24</f>
        <v>1.1307072162732481</v>
      </c>
      <c r="AM375" s="954">
        <f ca="1">0.8*(AK375*30+'203'!D$17*0.34*30*1)</f>
        <v>11098.782775751964</v>
      </c>
      <c r="AN375" s="954">
        <f ca="1">IF(AM375&lt;User_sheet!B$50,Y375,0)</f>
        <v>0</v>
      </c>
      <c r="AO375" s="954">
        <f ca="1">20-(User_sheet!B$57/(AK375+'203'!D$17*1*0.34))</f>
        <v>7.6743240439957567</v>
      </c>
      <c r="AP375" s="954">
        <f ca="1">IF(AO375&lt;User_sheet!B$59,0,BC375*AA375)</f>
        <v>0</v>
      </c>
      <c r="AQ375" s="313"/>
      <c r="AR375" s="909">
        <v>0.32</v>
      </c>
      <c r="AS375" s="1020">
        <v>2.41</v>
      </c>
      <c r="AT375" s="909">
        <v>1.42</v>
      </c>
      <c r="AU375" s="909">
        <v>2</v>
      </c>
      <c r="AV375" s="909">
        <v>3.3</v>
      </c>
      <c r="AW375" s="909">
        <v>14356</v>
      </c>
      <c r="AX375" s="909">
        <v>75945.51234133933</v>
      </c>
      <c r="AY375" s="909">
        <v>62673.095488422703</v>
      </c>
      <c r="AZ375" s="917">
        <v>0</v>
      </c>
      <c r="BA375" s="917">
        <v>0</v>
      </c>
      <c r="BB375" s="909">
        <v>0.6</v>
      </c>
      <c r="BC375" s="919">
        <v>0</v>
      </c>
      <c r="BD375" s="920">
        <v>0</v>
      </c>
      <c r="BE375" s="920">
        <v>1</v>
      </c>
      <c r="BF375" s="921">
        <v>0</v>
      </c>
      <c r="BG375" s="909">
        <v>0</v>
      </c>
      <c r="BH375" s="909">
        <v>0</v>
      </c>
      <c r="BI375" s="921">
        <v>1</v>
      </c>
      <c r="BJ375" s="909">
        <v>0</v>
      </c>
      <c r="BK375" s="909">
        <v>0</v>
      </c>
      <c r="BL375" s="909">
        <v>1</v>
      </c>
      <c r="BM375" s="921">
        <v>0</v>
      </c>
      <c r="BN375" s="958">
        <v>0.08</v>
      </c>
      <c r="BO375" s="959">
        <v>16.3</v>
      </c>
      <c r="BP375">
        <f t="shared" ca="1" si="449"/>
        <v>185.6</v>
      </c>
      <c r="BQ375">
        <f t="shared" ca="1" si="450"/>
        <v>361.17052631578946</v>
      </c>
      <c r="BR375">
        <f t="shared" ca="1" si="451"/>
        <v>84.1</v>
      </c>
      <c r="BS375">
        <f t="shared" ca="1" si="452"/>
        <v>115.78052631578947</v>
      </c>
      <c r="BT375">
        <f t="shared" ca="1" si="453"/>
        <v>75.400000000000006</v>
      </c>
      <c r="BU375">
        <f t="shared" ca="1" si="454"/>
        <v>22</v>
      </c>
      <c r="BV375">
        <f t="shared" ca="1" si="455"/>
        <v>2.15</v>
      </c>
      <c r="BW375" s="1018">
        <v>0</v>
      </c>
      <c r="BX375">
        <f t="shared" ca="1" si="432"/>
        <v>25.497726124305199</v>
      </c>
      <c r="BY375">
        <f t="shared" ca="1" si="433"/>
        <v>196.81491706554075</v>
      </c>
      <c r="BZ375">
        <f t="shared" ca="1" si="405"/>
        <v>28.353659319494973</v>
      </c>
      <c r="CA375">
        <f t="shared" ca="1" si="406"/>
        <v>43.999999982399999</v>
      </c>
      <c r="CB375">
        <f t="shared" ca="1" si="434"/>
        <v>4.5133587786259541</v>
      </c>
      <c r="CC375" s="1018">
        <f t="shared" si="407"/>
        <v>0</v>
      </c>
      <c r="CD375" s="1018">
        <f t="shared" ca="1" si="458"/>
        <v>323.13410337563005</v>
      </c>
      <c r="CE375" s="1018">
        <f t="shared" ca="1" si="456"/>
        <v>148.36563336164974</v>
      </c>
      <c r="CF375">
        <f t="shared" ca="1" si="408"/>
        <v>14.144992102118394</v>
      </c>
      <c r="CG375">
        <f t="shared" ca="1" si="409"/>
        <v>23550.84605034304</v>
      </c>
    </row>
    <row r="376" spans="4:85" s="11" customFormat="1" x14ac:dyDescent="0.25">
      <c r="D376" s="12"/>
      <c r="F376" s="12"/>
      <c r="H376" s="12"/>
      <c r="J376" s="12"/>
      <c r="K376" s="13"/>
      <c r="L376" s="25"/>
      <c r="M376" s="12"/>
      <c r="N376" s="12"/>
      <c r="O376" s="12"/>
      <c r="P376" s="12"/>
      <c r="Q376" s="12"/>
      <c r="R376" s="12"/>
      <c r="S376" s="12"/>
      <c r="T376" s="82"/>
      <c r="U376" s="270"/>
      <c r="V376" s="293"/>
      <c r="W376" s="292"/>
      <c r="X376" s="292"/>
      <c r="Y376" s="277"/>
      <c r="Z376" s="292"/>
      <c r="AA376" s="292"/>
      <c r="AB376" s="292"/>
      <c r="AC376" s="292"/>
      <c r="AD376" s="277"/>
      <c r="AE376" s="292"/>
      <c r="AF376" s="292"/>
      <c r="AG376" s="277"/>
      <c r="AH376" s="313"/>
      <c r="AI376" s="912"/>
      <c r="AJ376" s="313"/>
      <c r="AK376" s="1020">
        <f t="shared" si="404"/>
        <v>0</v>
      </c>
      <c r="AL376" s="941"/>
      <c r="AM376" s="941"/>
      <c r="AN376" s="941"/>
      <c r="AO376" s="941"/>
      <c r="AP376" s="941"/>
      <c r="AQ376" s="313"/>
      <c r="AR376" s="918"/>
      <c r="AS376" s="941"/>
      <c r="AT376" s="918"/>
      <c r="AU376" s="918"/>
      <c r="AV376" s="918"/>
      <c r="AW376" s="918"/>
      <c r="AX376" s="918"/>
      <c r="AY376" s="918"/>
      <c r="AZ376" s="918"/>
      <c r="BA376" s="918"/>
      <c r="BB376" s="918"/>
      <c r="BC376" s="45"/>
      <c r="BD376" s="277"/>
      <c r="BE376" s="277"/>
      <c r="BF376" s="49"/>
      <c r="BG376" s="918"/>
      <c r="BH376" s="918"/>
      <c r="BI376" s="49"/>
      <c r="BJ376" s="918"/>
      <c r="BK376" s="918"/>
      <c r="BL376" s="918"/>
      <c r="BM376" s="49"/>
      <c r="BN376" s="277"/>
      <c r="BO376" s="49"/>
      <c r="BW376" s="946"/>
      <c r="CC376" s="946"/>
      <c r="CD376" s="946"/>
      <c r="CE376" s="946"/>
    </row>
    <row r="377" spans="4:85" x14ac:dyDescent="0.25">
      <c r="D377" s="1"/>
      <c r="F377" s="1"/>
      <c r="G377" s="3"/>
      <c r="H377" s="6"/>
      <c r="I377" s="3"/>
      <c r="J377" s="6"/>
      <c r="K377" s="8"/>
      <c r="L377" s="6"/>
      <c r="M377" s="1"/>
      <c r="N377" s="1"/>
      <c r="O377" s="1"/>
      <c r="P377" s="1"/>
      <c r="Q377" s="1" t="s">
        <v>16</v>
      </c>
      <c r="R377" s="4"/>
      <c r="S377" s="1"/>
      <c r="T377" s="77"/>
      <c r="U377" s="22"/>
      <c r="W377" s="176">
        <f t="shared" ref="W377:W385" si="459">V357-W357+V337-W337</f>
        <v>0</v>
      </c>
      <c r="X377" s="176">
        <f>W377</f>
        <v>0</v>
      </c>
      <c r="Y377" s="34">
        <f>X377/Calculation_sheet!M$67</f>
        <v>0</v>
      </c>
      <c r="Z377" s="176">
        <f ca="1">IF(AN377&gt;0,Y377*Calculation_sheet!C$87,0)</f>
        <v>0</v>
      </c>
      <c r="AA377" s="176">
        <f t="shared" ca="1" si="410"/>
        <v>0</v>
      </c>
      <c r="AB377" s="176">
        <f ca="1">IF(AP377&gt;0,AA377*Calculation_sheet!C$94,0)</f>
        <v>0</v>
      </c>
      <c r="AC377" s="176">
        <f t="shared" ref="AC377:AE385" ca="1" si="460">AA377-AB377</f>
        <v>0</v>
      </c>
      <c r="AD377" s="958">
        <f ca="1">AC377*Calculation_sheet!C$99</f>
        <v>0</v>
      </c>
      <c r="AE377" s="176">
        <f t="shared" ca="1" si="460"/>
        <v>0</v>
      </c>
      <c r="AF377" s="176">
        <f t="shared" ref="AF377:AF385" ca="1" si="461">Y377-AB377</f>
        <v>0</v>
      </c>
      <c r="AG377" s="958">
        <f ca="1">AF377*User_sheet!B$77/100</f>
        <v>0</v>
      </c>
      <c r="AH377" s="313"/>
      <c r="AI377" s="908">
        <v>203</v>
      </c>
      <c r="AJ377" s="313"/>
      <c r="AK377" s="1020">
        <f t="shared" ca="1" si="404"/>
        <v>133.29483640341161</v>
      </c>
      <c r="AL377" s="954">
        <f ca="1">AK377/'203'!I$24</f>
        <v>0.46642379073835105</v>
      </c>
      <c r="AM377" s="954">
        <f ca="1">0.8*(AK377*30+'203'!D$17*0.34*30*1)</f>
        <v>6542.6403684187208</v>
      </c>
      <c r="AN377" s="954">
        <f ca="1">IF(AM377&lt;User_sheet!B$50,Y377,0)</f>
        <v>0</v>
      </c>
      <c r="AO377" s="954">
        <f ca="1">20-(User_sheet!B$57/(AK377+'203'!D$17*1*0.34))</f>
        <v>-0.90898968867869456</v>
      </c>
      <c r="AP377" s="954">
        <f ca="1">IF(AO377&lt;User_sheet!B$59,0,BC377*AA377)</f>
        <v>0</v>
      </c>
      <c r="AQ377" s="313"/>
      <c r="AR377" s="909">
        <v>0.32</v>
      </c>
      <c r="AS377" s="1020">
        <v>0.43</v>
      </c>
      <c r="AT377" s="909">
        <v>0.43</v>
      </c>
      <c r="AU377" s="909">
        <v>2</v>
      </c>
      <c r="AV377" s="909">
        <v>3.3</v>
      </c>
      <c r="AW377" s="909">
        <v>14356</v>
      </c>
      <c r="AX377" s="909">
        <v>74834</v>
      </c>
      <c r="AY377" s="909">
        <v>69246</v>
      </c>
      <c r="AZ377" s="917">
        <v>0</v>
      </c>
      <c r="BA377" s="917">
        <v>0</v>
      </c>
      <c r="BB377" s="909">
        <v>0.6</v>
      </c>
      <c r="BC377" s="919">
        <v>1</v>
      </c>
      <c r="BD377" s="920">
        <v>0</v>
      </c>
      <c r="BE377" s="920">
        <v>0</v>
      </c>
      <c r="BF377" s="921">
        <v>0</v>
      </c>
      <c r="BG377" s="909">
        <v>1</v>
      </c>
      <c r="BH377" s="909">
        <v>0</v>
      </c>
      <c r="BI377" s="921">
        <v>0</v>
      </c>
      <c r="BJ377" s="909">
        <v>1</v>
      </c>
      <c r="BK377" s="909">
        <v>0</v>
      </c>
      <c r="BL377" s="909">
        <v>0</v>
      </c>
      <c r="BM377" s="921">
        <v>0</v>
      </c>
      <c r="BN377" s="958">
        <v>0.01</v>
      </c>
      <c r="BO377" s="959">
        <v>2.5</v>
      </c>
      <c r="BP377">
        <f t="shared" ref="BP377:BP385" ca="1" si="462">INDIRECT("'"&amp;AI377&amp;"'!"&amp;"B2")</f>
        <v>185.6</v>
      </c>
      <c r="BQ377">
        <f t="shared" ref="BQ377:BQ385" ca="1" si="463">INDIRECT("'"&amp;AI377&amp;"'!"&amp;"C12")+INDIRECT("'"&amp;AI377&amp;"'!"&amp;"C13")+INDIRECT("'"&amp;AI377&amp;"'!"&amp;"C14")+INDIRECT("'"&amp;AI377&amp;"'!"&amp;"C15")+INDIRECT("'"&amp;AI377&amp;"'!"&amp;"C17")</f>
        <v>361.17052631578946</v>
      </c>
      <c r="BR377">
        <f t="shared" ref="BR377:BR385" ca="1" si="464">INDIRECT("'"&amp;AI377&amp;"'!"&amp;"G5")</f>
        <v>84.1</v>
      </c>
      <c r="BS377">
        <f t="shared" ref="BS377:BS385" ca="1" si="465">INDIRECT("'"&amp;AI377&amp;"'!"&amp;"G4")</f>
        <v>115.78052631578947</v>
      </c>
      <c r="BT377">
        <f t="shared" ref="BT377:BT385" ca="1" si="466">INDIRECT("'"&amp;AI377&amp;"'!"&amp;"G6")</f>
        <v>75.400000000000006</v>
      </c>
      <c r="BU377">
        <f t="shared" ref="BU377:BU385" ca="1" si="467">INDIRECT("'"&amp;AI377&amp;"'!"&amp;"G2")</f>
        <v>22</v>
      </c>
      <c r="BV377">
        <f t="shared" ref="BV377:BV385" ca="1" si="468">INDIRECT("'"&amp;AI377&amp;"'!"&amp;"G3")</f>
        <v>2.15</v>
      </c>
      <c r="BW377" s="1018">
        <v>0</v>
      </c>
      <c r="BX377">
        <f t="shared" ca="1" si="432"/>
        <v>25.497726124305199</v>
      </c>
      <c r="BY377">
        <f t="shared" ca="1" si="433"/>
        <v>46.332323783151885</v>
      </c>
      <c r="BZ377">
        <f t="shared" ca="1" si="405"/>
        <v>9.9571224717706937</v>
      </c>
      <c r="CA377">
        <f t="shared" ca="1" si="406"/>
        <v>43.999999982399999</v>
      </c>
      <c r="CB377">
        <f t="shared" ca="1" si="434"/>
        <v>4.5133587786259541</v>
      </c>
      <c r="CC377" s="1018">
        <f t="shared" si="407"/>
        <v>0</v>
      </c>
      <c r="CD377" s="1018">
        <f ca="1">SUM(BX377:CC377)+(BR377+BS377+BT377+BU377+BV377)*BN377</f>
        <v>133.29483640341161</v>
      </c>
      <c r="CE377" s="1018">
        <f t="shared" ref="CE377:CE385" ca="1" si="469">0.34*BO377*(1/25)^0.66*(BR377+BS377+BU377+BV377)+0.6*BQ377*0.34</f>
        <v>96.434252607937893</v>
      </c>
      <c r="CF377">
        <f t="shared" ca="1" si="408"/>
        <v>6.8918726703404856</v>
      </c>
      <c r="CG377">
        <f t="shared" ca="1" si="409"/>
        <v>11474.692321210096</v>
      </c>
    </row>
    <row r="378" spans="4:85" x14ac:dyDescent="0.25">
      <c r="D378" s="1"/>
      <c r="F378" s="1"/>
      <c r="G378" s="3"/>
      <c r="H378" s="6"/>
      <c r="I378" s="3"/>
      <c r="J378" s="6"/>
      <c r="K378" s="8"/>
      <c r="L378" s="6"/>
      <c r="M378" s="1"/>
      <c r="N378" s="1"/>
      <c r="O378" s="1" t="s">
        <v>18</v>
      </c>
      <c r="P378" s="4"/>
      <c r="Q378" s="1" t="s">
        <v>7</v>
      </c>
      <c r="R378" s="4"/>
      <c r="S378" s="1"/>
      <c r="T378" s="77"/>
      <c r="U378" s="22"/>
      <c r="W378" s="176">
        <f t="shared" si="459"/>
        <v>0</v>
      </c>
      <c r="X378" s="176">
        <f t="shared" ref="X378:X385" si="470">W378</f>
        <v>0</v>
      </c>
      <c r="Y378" s="34">
        <f>X378/Calculation_sheet!M$67</f>
        <v>0</v>
      </c>
      <c r="Z378" s="176">
        <f ca="1">IF(AN378&gt;0,Y378*Calculation_sheet!C$87,0)</f>
        <v>0</v>
      </c>
      <c r="AA378" s="176">
        <f t="shared" ca="1" si="410"/>
        <v>0</v>
      </c>
      <c r="AB378" s="176">
        <f ca="1">IF(AP378&gt;0,AA378*Calculation_sheet!C$94,0)</f>
        <v>0</v>
      </c>
      <c r="AC378" s="176">
        <f t="shared" ca="1" si="460"/>
        <v>0</v>
      </c>
      <c r="AD378" s="958">
        <f ca="1">AC378*Calculation_sheet!C$99</f>
        <v>0</v>
      </c>
      <c r="AE378" s="176">
        <f t="shared" ca="1" si="460"/>
        <v>0</v>
      </c>
      <c r="AF378" s="176">
        <f t="shared" ca="1" si="461"/>
        <v>0</v>
      </c>
      <c r="AG378" s="958">
        <f ca="1">AF378*User_sheet!B$77/100</f>
        <v>0</v>
      </c>
      <c r="AH378" s="313"/>
      <c r="AI378" s="908">
        <v>203</v>
      </c>
      <c r="AJ378" s="313"/>
      <c r="AK378" s="1020">
        <f t="shared" ca="1" si="404"/>
        <v>133.29483640341161</v>
      </c>
      <c r="AL378" s="954">
        <f ca="1">AK378/'203'!I$24</f>
        <v>0.46642379073835105</v>
      </c>
      <c r="AM378" s="954">
        <f ca="1">0.8*(AK378*30+'203'!D$17*0.34*30*1)</f>
        <v>6542.6403684187208</v>
      </c>
      <c r="AN378" s="954">
        <f ca="1">IF(AM378&lt;User_sheet!B$50,Y378,0)</f>
        <v>0</v>
      </c>
      <c r="AO378" s="954">
        <f ca="1">20-(User_sheet!B$57/(AK378+'203'!D$17*1*0.34))</f>
        <v>-0.90898968867869456</v>
      </c>
      <c r="AP378" s="954">
        <f ca="1">IF(AO378&lt;User_sheet!B$59,0,BC378*AA378)</f>
        <v>0</v>
      </c>
      <c r="AQ378" s="313"/>
      <c r="AR378" s="909">
        <v>0.32</v>
      </c>
      <c r="AS378" s="1020">
        <v>0.43</v>
      </c>
      <c r="AT378" s="909">
        <v>0.43</v>
      </c>
      <c r="AU378" s="909">
        <v>2</v>
      </c>
      <c r="AV378" s="909">
        <v>3.3</v>
      </c>
      <c r="AW378" s="909">
        <v>14356</v>
      </c>
      <c r="AX378" s="909">
        <v>74834</v>
      </c>
      <c r="AY378" s="909">
        <v>69246</v>
      </c>
      <c r="AZ378" s="917">
        <v>0</v>
      </c>
      <c r="BA378" s="917">
        <v>0</v>
      </c>
      <c r="BB378" s="909">
        <v>0.6</v>
      </c>
      <c r="BC378" s="919">
        <v>1</v>
      </c>
      <c r="BD378" s="920">
        <v>0</v>
      </c>
      <c r="BE378" s="920">
        <v>0</v>
      </c>
      <c r="BF378" s="921">
        <v>0</v>
      </c>
      <c r="BG378" s="909">
        <v>1</v>
      </c>
      <c r="BH378" s="909">
        <v>0</v>
      </c>
      <c r="BI378" s="921">
        <v>0</v>
      </c>
      <c r="BJ378" s="909">
        <v>0</v>
      </c>
      <c r="BK378" s="909">
        <v>0</v>
      </c>
      <c r="BL378" s="909">
        <v>1</v>
      </c>
      <c r="BM378" s="921">
        <v>0</v>
      </c>
      <c r="BN378" s="958">
        <v>0.01</v>
      </c>
      <c r="BO378" s="959">
        <v>2.5</v>
      </c>
      <c r="BP378">
        <f t="shared" ca="1" si="462"/>
        <v>185.6</v>
      </c>
      <c r="BQ378">
        <f t="shared" ca="1" si="463"/>
        <v>361.17052631578946</v>
      </c>
      <c r="BR378">
        <f t="shared" ca="1" si="464"/>
        <v>84.1</v>
      </c>
      <c r="BS378">
        <f t="shared" ca="1" si="465"/>
        <v>115.78052631578947</v>
      </c>
      <c r="BT378">
        <f t="shared" ca="1" si="466"/>
        <v>75.400000000000006</v>
      </c>
      <c r="BU378">
        <f t="shared" ca="1" si="467"/>
        <v>22</v>
      </c>
      <c r="BV378">
        <f t="shared" ca="1" si="468"/>
        <v>2.15</v>
      </c>
      <c r="BW378" s="1018">
        <v>0</v>
      </c>
      <c r="BX378">
        <f t="shared" ca="1" si="432"/>
        <v>25.497726124305199</v>
      </c>
      <c r="BY378">
        <f t="shared" ca="1" si="433"/>
        <v>46.332323783151885</v>
      </c>
      <c r="BZ378">
        <f t="shared" ca="1" si="405"/>
        <v>9.9571224717706937</v>
      </c>
      <c r="CA378">
        <f t="shared" ca="1" si="406"/>
        <v>43.999999982399999</v>
      </c>
      <c r="CB378">
        <f t="shared" ca="1" si="434"/>
        <v>4.5133587786259541</v>
      </c>
      <c r="CC378" s="1018">
        <f t="shared" si="407"/>
        <v>0</v>
      </c>
      <c r="CD378" s="1018">
        <f t="shared" ref="CD378:CD385" ca="1" si="471">SUM(BX378:CC378)+(BR378+BS378+BT378+BU378+BV378)*BN378</f>
        <v>133.29483640341161</v>
      </c>
      <c r="CE378" s="1018">
        <f t="shared" ca="1" si="469"/>
        <v>96.434252607937893</v>
      </c>
      <c r="CF378">
        <f t="shared" ca="1" si="408"/>
        <v>6.8918726703404856</v>
      </c>
      <c r="CG378">
        <f t="shared" ca="1" si="409"/>
        <v>11474.692321210096</v>
      </c>
    </row>
    <row r="379" spans="4:85" x14ac:dyDescent="0.25">
      <c r="D379" s="1"/>
      <c r="F379" s="1"/>
      <c r="G379" s="3"/>
      <c r="H379" s="6"/>
      <c r="I379" s="3"/>
      <c r="J379" s="6"/>
      <c r="K379" s="8"/>
      <c r="L379" s="6"/>
      <c r="M379" s="1"/>
      <c r="N379" s="1"/>
      <c r="O379" s="1"/>
      <c r="P379" s="1"/>
      <c r="Q379" s="1" t="s">
        <v>16</v>
      </c>
      <c r="R379" s="4"/>
      <c r="S379" s="1"/>
      <c r="T379" s="77"/>
      <c r="U379" s="22"/>
      <c r="W379" s="176">
        <f t="shared" si="459"/>
        <v>0</v>
      </c>
      <c r="X379" s="176">
        <f t="shared" si="470"/>
        <v>0</v>
      </c>
      <c r="Y379" s="34">
        <f>X379/Calculation_sheet!M$67</f>
        <v>0</v>
      </c>
      <c r="Z379" s="176">
        <f ca="1">IF(AN379&gt;0,Y379*Calculation_sheet!C$87,0)</f>
        <v>0</v>
      </c>
      <c r="AA379" s="176">
        <f t="shared" ca="1" si="410"/>
        <v>0</v>
      </c>
      <c r="AB379" s="176">
        <f ca="1">IF(AP379&gt;0,AA379*Calculation_sheet!C$94,0)</f>
        <v>0</v>
      </c>
      <c r="AC379" s="176">
        <f t="shared" ca="1" si="460"/>
        <v>0</v>
      </c>
      <c r="AD379" s="958">
        <f ca="1">AC379*Calculation_sheet!C$99</f>
        <v>0</v>
      </c>
      <c r="AE379" s="176">
        <f t="shared" ca="1" si="460"/>
        <v>0</v>
      </c>
      <c r="AF379" s="176">
        <f t="shared" ca="1" si="461"/>
        <v>0</v>
      </c>
      <c r="AG379" s="958">
        <f ca="1">AF379*User_sheet!B$77/100</f>
        <v>0</v>
      </c>
      <c r="AH379" s="313"/>
      <c r="AI379" s="908">
        <v>203</v>
      </c>
      <c r="AJ379" s="313"/>
      <c r="AK379" s="1020">
        <f t="shared" ca="1" si="404"/>
        <v>133.29483640341161</v>
      </c>
      <c r="AL379" s="954">
        <f ca="1">AK379/'203'!I$24</f>
        <v>0.46642379073835105</v>
      </c>
      <c r="AM379" s="954">
        <f ca="1">0.8*(AK379*30+'203'!D$17*0.34*30*1)</f>
        <v>6542.6403684187208</v>
      </c>
      <c r="AN379" s="954">
        <f ca="1">IF(AM379&lt;User_sheet!B$50,Y379,0)</f>
        <v>0</v>
      </c>
      <c r="AO379" s="954">
        <f ca="1">20-(User_sheet!B$57/(AK379+'203'!D$17*1*0.34))</f>
        <v>-0.90898968867869456</v>
      </c>
      <c r="AP379" s="954">
        <f ca="1">IF(AO379&lt;User_sheet!B$59,0,BC379*AA379)</f>
        <v>0</v>
      </c>
      <c r="AQ379" s="313"/>
      <c r="AR379" s="909">
        <v>0.32</v>
      </c>
      <c r="AS379" s="1020">
        <v>0.43</v>
      </c>
      <c r="AT379" s="909">
        <v>0.43</v>
      </c>
      <c r="AU379" s="909">
        <v>2</v>
      </c>
      <c r="AV379" s="909">
        <v>3.3</v>
      </c>
      <c r="AW379" s="909">
        <v>14356</v>
      </c>
      <c r="AX379" s="909">
        <v>74834</v>
      </c>
      <c r="AY379" s="909">
        <v>69246</v>
      </c>
      <c r="AZ379" s="917">
        <v>0</v>
      </c>
      <c r="BA379" s="917">
        <v>0</v>
      </c>
      <c r="BB379" s="909">
        <v>0.6</v>
      </c>
      <c r="BC379" s="919">
        <v>1</v>
      </c>
      <c r="BD379" s="920">
        <v>0</v>
      </c>
      <c r="BE379" s="920">
        <v>0</v>
      </c>
      <c r="BF379" s="921">
        <v>0</v>
      </c>
      <c r="BG379" s="909">
        <v>0</v>
      </c>
      <c r="BH379" s="909">
        <v>1</v>
      </c>
      <c r="BI379" s="921">
        <v>0</v>
      </c>
      <c r="BJ379" s="909">
        <v>1</v>
      </c>
      <c r="BK379" s="909">
        <v>0</v>
      </c>
      <c r="BL379" s="909">
        <v>0</v>
      </c>
      <c r="BM379" s="921">
        <v>0</v>
      </c>
      <c r="BN379" s="958">
        <v>0.01</v>
      </c>
      <c r="BO379" s="959">
        <v>2.5</v>
      </c>
      <c r="BP379">
        <f t="shared" ca="1" si="462"/>
        <v>185.6</v>
      </c>
      <c r="BQ379">
        <f t="shared" ca="1" si="463"/>
        <v>361.17052631578946</v>
      </c>
      <c r="BR379">
        <f t="shared" ca="1" si="464"/>
        <v>84.1</v>
      </c>
      <c r="BS379">
        <f t="shared" ca="1" si="465"/>
        <v>115.78052631578947</v>
      </c>
      <c r="BT379">
        <f t="shared" ca="1" si="466"/>
        <v>75.400000000000006</v>
      </c>
      <c r="BU379">
        <f t="shared" ca="1" si="467"/>
        <v>22</v>
      </c>
      <c r="BV379">
        <f t="shared" ca="1" si="468"/>
        <v>2.15</v>
      </c>
      <c r="BW379" s="1018">
        <v>0</v>
      </c>
      <c r="BX379">
        <f t="shared" ca="1" si="432"/>
        <v>25.497726124305199</v>
      </c>
      <c r="BY379">
        <f t="shared" ca="1" si="433"/>
        <v>46.332323783151885</v>
      </c>
      <c r="BZ379">
        <f t="shared" ca="1" si="405"/>
        <v>9.9571224717706937</v>
      </c>
      <c r="CA379">
        <f t="shared" ca="1" si="406"/>
        <v>43.999999982399999</v>
      </c>
      <c r="CB379">
        <f t="shared" ca="1" si="434"/>
        <v>4.5133587786259541</v>
      </c>
      <c r="CC379" s="1018">
        <f t="shared" si="407"/>
        <v>0</v>
      </c>
      <c r="CD379" s="1018">
        <f t="shared" ca="1" si="471"/>
        <v>133.29483640341161</v>
      </c>
      <c r="CE379" s="1018">
        <f t="shared" ca="1" si="469"/>
        <v>96.434252607937893</v>
      </c>
      <c r="CF379">
        <f t="shared" ca="1" si="408"/>
        <v>6.8918726703404856</v>
      </c>
      <c r="CG379">
        <f t="shared" ca="1" si="409"/>
        <v>11474.692321210096</v>
      </c>
    </row>
    <row r="380" spans="4:85" x14ac:dyDescent="0.25">
      <c r="D380" s="1"/>
      <c r="F380" s="1"/>
      <c r="G380" s="3"/>
      <c r="H380" s="6"/>
      <c r="I380" s="3"/>
      <c r="J380" s="3" t="s">
        <v>143</v>
      </c>
      <c r="K380" s="8"/>
      <c r="L380" s="6"/>
      <c r="M380" s="1" t="s">
        <v>16</v>
      </c>
      <c r="N380" s="4"/>
      <c r="O380" s="1" t="s">
        <v>19</v>
      </c>
      <c r="P380" s="4"/>
      <c r="Q380" s="1" t="s">
        <v>7</v>
      </c>
      <c r="R380" s="4"/>
      <c r="S380" s="1"/>
      <c r="T380" s="77"/>
      <c r="U380" s="22"/>
      <c r="W380" s="176">
        <f t="shared" si="459"/>
        <v>0</v>
      </c>
      <c r="X380" s="176">
        <f t="shared" si="470"/>
        <v>0</v>
      </c>
      <c r="Y380" s="34">
        <f>X380/Calculation_sheet!M$67</f>
        <v>0</v>
      </c>
      <c r="Z380" s="176">
        <f ca="1">IF(AN380&gt;0,Y380*Calculation_sheet!C$87,0)</f>
        <v>0</v>
      </c>
      <c r="AA380" s="176">
        <f t="shared" ca="1" si="410"/>
        <v>0</v>
      </c>
      <c r="AB380" s="176">
        <f ca="1">IF(AP380&gt;0,AA380*Calculation_sheet!C$94,0)</f>
        <v>0</v>
      </c>
      <c r="AC380" s="176">
        <f t="shared" ca="1" si="460"/>
        <v>0</v>
      </c>
      <c r="AD380" s="958">
        <f ca="1">AC380*Calculation_sheet!C$99</f>
        <v>0</v>
      </c>
      <c r="AE380" s="176">
        <f t="shared" ca="1" si="460"/>
        <v>0</v>
      </c>
      <c r="AF380" s="176">
        <f t="shared" ca="1" si="461"/>
        <v>0</v>
      </c>
      <c r="AG380" s="958">
        <f ca="1">AF380*User_sheet!B$77/100</f>
        <v>0</v>
      </c>
      <c r="AH380" s="313"/>
      <c r="AI380" s="908">
        <v>203</v>
      </c>
      <c r="AJ380" s="313"/>
      <c r="AK380" s="1020">
        <f t="shared" ca="1" si="404"/>
        <v>133.29483640341161</v>
      </c>
      <c r="AL380" s="954">
        <f ca="1">AK380/'203'!I$24</f>
        <v>0.46642379073835105</v>
      </c>
      <c r="AM380" s="954">
        <f ca="1">0.8*(AK380*30+'203'!D$17*0.34*30*1)</f>
        <v>6542.6403684187208</v>
      </c>
      <c r="AN380" s="954">
        <f ca="1">IF(AM380&lt;User_sheet!B$50,Y380,0)</f>
        <v>0</v>
      </c>
      <c r="AO380" s="954">
        <f ca="1">20-(User_sheet!B$57/(AK380+'203'!D$17*1*0.34))</f>
        <v>-0.90898968867869456</v>
      </c>
      <c r="AP380" s="954">
        <f ca="1">IF(AO380&lt;User_sheet!B$59,0,BC380*AA380)</f>
        <v>0</v>
      </c>
      <c r="AQ380" s="313"/>
      <c r="AR380" s="909">
        <v>0.32</v>
      </c>
      <c r="AS380" s="1020">
        <v>0.43</v>
      </c>
      <c r="AT380" s="909">
        <v>0.43</v>
      </c>
      <c r="AU380" s="909">
        <v>2</v>
      </c>
      <c r="AV380" s="909">
        <v>3.3</v>
      </c>
      <c r="AW380" s="909">
        <v>14356</v>
      </c>
      <c r="AX380" s="909">
        <v>74834</v>
      </c>
      <c r="AY380" s="909">
        <v>69246</v>
      </c>
      <c r="AZ380" s="917">
        <v>0</v>
      </c>
      <c r="BA380" s="917">
        <v>0</v>
      </c>
      <c r="BB380" s="909">
        <v>0.6</v>
      </c>
      <c r="BC380" s="919">
        <v>1</v>
      </c>
      <c r="BD380" s="920">
        <v>0</v>
      </c>
      <c r="BE380" s="920">
        <v>0</v>
      </c>
      <c r="BF380" s="921">
        <v>0</v>
      </c>
      <c r="BG380" s="909">
        <v>0</v>
      </c>
      <c r="BH380" s="909">
        <v>1</v>
      </c>
      <c r="BI380" s="921">
        <v>0</v>
      </c>
      <c r="BJ380" s="909">
        <v>0</v>
      </c>
      <c r="BK380" s="909">
        <v>0</v>
      </c>
      <c r="BL380" s="909">
        <v>1</v>
      </c>
      <c r="BM380" s="921">
        <v>0</v>
      </c>
      <c r="BN380" s="958">
        <v>0.01</v>
      </c>
      <c r="BO380" s="959">
        <v>2.5</v>
      </c>
      <c r="BP380">
        <f t="shared" ca="1" si="462"/>
        <v>185.6</v>
      </c>
      <c r="BQ380">
        <f t="shared" ca="1" si="463"/>
        <v>361.17052631578946</v>
      </c>
      <c r="BR380">
        <f t="shared" ca="1" si="464"/>
        <v>84.1</v>
      </c>
      <c r="BS380">
        <f t="shared" ca="1" si="465"/>
        <v>115.78052631578947</v>
      </c>
      <c r="BT380">
        <f t="shared" ca="1" si="466"/>
        <v>75.400000000000006</v>
      </c>
      <c r="BU380">
        <f t="shared" ca="1" si="467"/>
        <v>22</v>
      </c>
      <c r="BV380">
        <f t="shared" ca="1" si="468"/>
        <v>2.15</v>
      </c>
      <c r="BW380" s="1018">
        <v>0</v>
      </c>
      <c r="BX380">
        <f t="shared" ca="1" si="432"/>
        <v>25.497726124305199</v>
      </c>
      <c r="BY380">
        <f t="shared" ca="1" si="433"/>
        <v>46.332323783151885</v>
      </c>
      <c r="BZ380">
        <f t="shared" ca="1" si="405"/>
        <v>9.9571224717706937</v>
      </c>
      <c r="CA380">
        <f t="shared" ca="1" si="406"/>
        <v>43.999999982399999</v>
      </c>
      <c r="CB380">
        <f t="shared" ca="1" si="434"/>
        <v>4.5133587786259541</v>
      </c>
      <c r="CC380" s="1018">
        <f t="shared" si="407"/>
        <v>0</v>
      </c>
      <c r="CD380" s="1018">
        <f t="shared" ca="1" si="471"/>
        <v>133.29483640341161</v>
      </c>
      <c r="CE380" s="1018">
        <f t="shared" ca="1" si="469"/>
        <v>96.434252607937893</v>
      </c>
      <c r="CF380">
        <f t="shared" ca="1" si="408"/>
        <v>6.8918726703404856</v>
      </c>
      <c r="CG380">
        <f t="shared" ca="1" si="409"/>
        <v>11474.692321210096</v>
      </c>
    </row>
    <row r="381" spans="4:85" x14ac:dyDescent="0.25">
      <c r="D381" s="1"/>
      <c r="F381" s="1"/>
      <c r="G381" s="3"/>
      <c r="H381" s="6"/>
      <c r="I381" s="3"/>
      <c r="J381" s="6" t="s">
        <v>190</v>
      </c>
      <c r="K381" s="8"/>
      <c r="L381" s="6"/>
      <c r="M381" s="1"/>
      <c r="N381" s="1"/>
      <c r="O381" s="1"/>
      <c r="P381" s="1"/>
      <c r="Q381" s="1" t="s">
        <v>22</v>
      </c>
      <c r="R381" s="4"/>
      <c r="S381" s="1"/>
      <c r="T381" s="77"/>
      <c r="U381" s="22"/>
      <c r="W381" s="176">
        <f t="shared" si="459"/>
        <v>0</v>
      </c>
      <c r="X381" s="176">
        <f t="shared" si="470"/>
        <v>0</v>
      </c>
      <c r="Y381" s="34">
        <f>X381/Calculation_sheet!M$67</f>
        <v>0</v>
      </c>
      <c r="Z381" s="176">
        <f ca="1">IF(AN381&gt;0,Y381*Calculation_sheet!C$87,0)</f>
        <v>0</v>
      </c>
      <c r="AA381" s="176">
        <f t="shared" ca="1" si="410"/>
        <v>0</v>
      </c>
      <c r="AB381" s="176">
        <f ca="1">IF(AP381&gt;0,AA381*Calculation_sheet!C$94,0)</f>
        <v>0</v>
      </c>
      <c r="AC381" s="176">
        <f t="shared" ca="1" si="460"/>
        <v>0</v>
      </c>
      <c r="AD381" s="958">
        <f ca="1">AC381*Calculation_sheet!C$99</f>
        <v>0</v>
      </c>
      <c r="AE381" s="176">
        <f t="shared" ca="1" si="460"/>
        <v>0</v>
      </c>
      <c r="AF381" s="176">
        <f t="shared" ca="1" si="461"/>
        <v>0</v>
      </c>
      <c r="AG381" s="958">
        <f ca="1">AF381*User_sheet!B$77/100</f>
        <v>0</v>
      </c>
      <c r="AH381" s="313"/>
      <c r="AI381" s="908">
        <v>203</v>
      </c>
      <c r="AJ381" s="313"/>
      <c r="AK381" s="1020">
        <f t="shared" ca="1" si="404"/>
        <v>133.29483640341161</v>
      </c>
      <c r="AL381" s="954">
        <f ca="1">AK381/'203'!I$24</f>
        <v>0.46642379073835105</v>
      </c>
      <c r="AM381" s="954">
        <f ca="1">0.8*(AK381*30+'203'!D$17*0.34*30*1)</f>
        <v>6542.6403684187208</v>
      </c>
      <c r="AN381" s="954">
        <f ca="1">IF(AM381&lt;User_sheet!B$50,Y381,0)</f>
        <v>0</v>
      </c>
      <c r="AO381" s="954">
        <f ca="1">20-(User_sheet!B$57/(AK381+'203'!D$17*1*0.34))</f>
        <v>-0.90898968867869456</v>
      </c>
      <c r="AP381" s="954">
        <f ca="1">IF(AO381&lt;User_sheet!B$59,0,BC381*AA381)</f>
        <v>0</v>
      </c>
      <c r="AQ381" s="313"/>
      <c r="AR381" s="909">
        <v>0.32</v>
      </c>
      <c r="AS381" s="1020">
        <v>0.43</v>
      </c>
      <c r="AT381" s="909">
        <v>0.43</v>
      </c>
      <c r="AU381" s="909">
        <v>2</v>
      </c>
      <c r="AV381" s="909">
        <v>3.3</v>
      </c>
      <c r="AW381" s="909">
        <v>14356</v>
      </c>
      <c r="AX381" s="909">
        <v>74834</v>
      </c>
      <c r="AY381" s="909">
        <v>69246</v>
      </c>
      <c r="AZ381" s="917">
        <v>0</v>
      </c>
      <c r="BA381" s="917">
        <v>0</v>
      </c>
      <c r="BB381" s="909">
        <v>0.6</v>
      </c>
      <c r="BC381" s="919">
        <v>0</v>
      </c>
      <c r="BD381" s="920">
        <v>1</v>
      </c>
      <c r="BE381" s="920">
        <v>0</v>
      </c>
      <c r="BF381" s="921">
        <v>0</v>
      </c>
      <c r="BG381" s="909">
        <v>1</v>
      </c>
      <c r="BH381" s="909">
        <v>0</v>
      </c>
      <c r="BI381" s="921">
        <v>0</v>
      </c>
      <c r="BJ381" s="909">
        <v>0</v>
      </c>
      <c r="BK381" s="909">
        <v>1</v>
      </c>
      <c r="BL381" s="909">
        <v>0</v>
      </c>
      <c r="BM381" s="921">
        <v>0</v>
      </c>
      <c r="BN381" s="958">
        <v>0.01</v>
      </c>
      <c r="BO381" s="959">
        <v>2.5</v>
      </c>
      <c r="BP381">
        <f t="shared" ca="1" si="462"/>
        <v>185.6</v>
      </c>
      <c r="BQ381">
        <f t="shared" ca="1" si="463"/>
        <v>361.17052631578946</v>
      </c>
      <c r="BR381">
        <f t="shared" ca="1" si="464"/>
        <v>84.1</v>
      </c>
      <c r="BS381">
        <f t="shared" ca="1" si="465"/>
        <v>115.78052631578947</v>
      </c>
      <c r="BT381">
        <f t="shared" ca="1" si="466"/>
        <v>75.400000000000006</v>
      </c>
      <c r="BU381">
        <f t="shared" ca="1" si="467"/>
        <v>22</v>
      </c>
      <c r="BV381">
        <f t="shared" ca="1" si="468"/>
        <v>2.15</v>
      </c>
      <c r="BW381" s="1018">
        <v>0</v>
      </c>
      <c r="BX381">
        <f t="shared" ca="1" si="432"/>
        <v>25.497726124305199</v>
      </c>
      <c r="BY381">
        <f t="shared" ca="1" si="433"/>
        <v>46.332323783151885</v>
      </c>
      <c r="BZ381">
        <f t="shared" ca="1" si="405"/>
        <v>9.9571224717706937</v>
      </c>
      <c r="CA381">
        <f t="shared" ca="1" si="406"/>
        <v>43.999999982399999</v>
      </c>
      <c r="CB381">
        <f t="shared" ca="1" si="434"/>
        <v>4.5133587786259541</v>
      </c>
      <c r="CC381" s="1018">
        <f t="shared" si="407"/>
        <v>0</v>
      </c>
      <c r="CD381" s="1018">
        <f t="shared" ca="1" si="471"/>
        <v>133.29483640341161</v>
      </c>
      <c r="CE381" s="1018">
        <f t="shared" ca="1" si="469"/>
        <v>96.434252607937893</v>
      </c>
      <c r="CF381">
        <f t="shared" ca="1" si="408"/>
        <v>6.8918726703404856</v>
      </c>
      <c r="CG381">
        <f t="shared" ca="1" si="409"/>
        <v>11474.692321210096</v>
      </c>
    </row>
    <row r="382" spans="4:85" x14ac:dyDescent="0.25">
      <c r="D382" s="1"/>
      <c r="F382" s="1"/>
      <c r="G382" s="3"/>
      <c r="H382" s="6"/>
      <c r="I382" s="3"/>
      <c r="K382" s="8"/>
      <c r="L382" s="6"/>
      <c r="M382" s="1"/>
      <c r="N382" s="1"/>
      <c r="O382" s="1" t="s">
        <v>18</v>
      </c>
      <c r="P382" s="4"/>
      <c r="Q382" s="1" t="s">
        <v>7</v>
      </c>
      <c r="R382" s="4"/>
      <c r="S382" s="1"/>
      <c r="T382" s="77"/>
      <c r="U382" s="22"/>
      <c r="W382" s="176">
        <f t="shared" si="459"/>
        <v>0</v>
      </c>
      <c r="X382" s="176">
        <f t="shared" si="470"/>
        <v>0</v>
      </c>
      <c r="Y382" s="34">
        <f>X382/Calculation_sheet!M$67</f>
        <v>0</v>
      </c>
      <c r="Z382" s="176">
        <f ca="1">IF(AN382&gt;0,Y382*Calculation_sheet!C$87,0)</f>
        <v>0</v>
      </c>
      <c r="AA382" s="176">
        <f t="shared" ca="1" si="410"/>
        <v>0</v>
      </c>
      <c r="AB382" s="176">
        <f ca="1">IF(AP382&gt;0,AA382*Calculation_sheet!C$94,0)</f>
        <v>0</v>
      </c>
      <c r="AC382" s="176">
        <f t="shared" ca="1" si="460"/>
        <v>0</v>
      </c>
      <c r="AD382" s="958">
        <f ca="1">AC382*Calculation_sheet!C$99</f>
        <v>0</v>
      </c>
      <c r="AE382" s="176">
        <f t="shared" ca="1" si="460"/>
        <v>0</v>
      </c>
      <c r="AF382" s="176">
        <f t="shared" ca="1" si="461"/>
        <v>0</v>
      </c>
      <c r="AG382" s="958">
        <f ca="1">AF382*User_sheet!B$77/100</f>
        <v>0</v>
      </c>
      <c r="AH382" s="313"/>
      <c r="AI382" s="908">
        <v>203</v>
      </c>
      <c r="AJ382" s="313"/>
      <c r="AK382" s="1020">
        <f t="shared" ca="1" si="404"/>
        <v>133.29483640341161</v>
      </c>
      <c r="AL382" s="954">
        <f ca="1">AK382/'203'!I$24</f>
        <v>0.46642379073835105</v>
      </c>
      <c r="AM382" s="954">
        <f ca="1">0.8*(AK382*30+'203'!D$17*0.34*30*1)</f>
        <v>6542.6403684187208</v>
      </c>
      <c r="AN382" s="954">
        <f ca="1">IF(AM382&lt;User_sheet!B$50,Y382,0)</f>
        <v>0</v>
      </c>
      <c r="AO382" s="954">
        <f ca="1">20-(User_sheet!B$57/(AK382+'203'!D$17*1*0.34))</f>
        <v>-0.90898968867869456</v>
      </c>
      <c r="AP382" s="954">
        <f ca="1">IF(AO382&lt;User_sheet!B$59,0,BC382*AA382)</f>
        <v>0</v>
      </c>
      <c r="AQ382" s="313"/>
      <c r="AR382" s="909">
        <v>0.32</v>
      </c>
      <c r="AS382" s="1020">
        <v>0.43</v>
      </c>
      <c r="AT382" s="909">
        <v>0.43</v>
      </c>
      <c r="AU382" s="909">
        <v>2</v>
      </c>
      <c r="AV382" s="909">
        <v>3.3</v>
      </c>
      <c r="AW382" s="909">
        <v>14356</v>
      </c>
      <c r="AX382" s="909">
        <v>74834</v>
      </c>
      <c r="AY382" s="909">
        <v>69246</v>
      </c>
      <c r="AZ382" s="917">
        <v>0</v>
      </c>
      <c r="BA382" s="917">
        <v>0</v>
      </c>
      <c r="BB382" s="909">
        <v>0.6</v>
      </c>
      <c r="BC382" s="919">
        <v>0</v>
      </c>
      <c r="BD382" s="920">
        <v>1</v>
      </c>
      <c r="BE382" s="920">
        <v>0</v>
      </c>
      <c r="BF382" s="921">
        <v>0</v>
      </c>
      <c r="BG382" s="909">
        <v>1</v>
      </c>
      <c r="BH382" s="909">
        <v>0</v>
      </c>
      <c r="BI382" s="921">
        <v>0</v>
      </c>
      <c r="BJ382" s="909">
        <v>0</v>
      </c>
      <c r="BK382" s="909">
        <v>0</v>
      </c>
      <c r="BL382" s="909">
        <v>1</v>
      </c>
      <c r="BM382" s="921">
        <v>0</v>
      </c>
      <c r="BN382" s="958">
        <v>0.01</v>
      </c>
      <c r="BO382" s="959">
        <v>2.5</v>
      </c>
      <c r="BP382">
        <f t="shared" ca="1" si="462"/>
        <v>185.6</v>
      </c>
      <c r="BQ382">
        <f t="shared" ca="1" si="463"/>
        <v>361.17052631578946</v>
      </c>
      <c r="BR382">
        <f t="shared" ca="1" si="464"/>
        <v>84.1</v>
      </c>
      <c r="BS382">
        <f t="shared" ca="1" si="465"/>
        <v>115.78052631578947</v>
      </c>
      <c r="BT382">
        <f t="shared" ca="1" si="466"/>
        <v>75.400000000000006</v>
      </c>
      <c r="BU382">
        <f t="shared" ca="1" si="467"/>
        <v>22</v>
      </c>
      <c r="BV382">
        <f t="shared" ca="1" si="468"/>
        <v>2.15</v>
      </c>
      <c r="BW382" s="1018">
        <v>0</v>
      </c>
      <c r="BX382">
        <f t="shared" ca="1" si="432"/>
        <v>25.497726124305199</v>
      </c>
      <c r="BY382">
        <f t="shared" ca="1" si="433"/>
        <v>46.332323783151885</v>
      </c>
      <c r="BZ382">
        <f t="shared" ca="1" si="405"/>
        <v>9.9571224717706937</v>
      </c>
      <c r="CA382">
        <f t="shared" ca="1" si="406"/>
        <v>43.999999982399999</v>
      </c>
      <c r="CB382">
        <f t="shared" ca="1" si="434"/>
        <v>4.5133587786259541</v>
      </c>
      <c r="CC382" s="1018">
        <f t="shared" si="407"/>
        <v>0</v>
      </c>
      <c r="CD382" s="1018">
        <f t="shared" ca="1" si="471"/>
        <v>133.29483640341161</v>
      </c>
      <c r="CE382" s="1018">
        <f t="shared" ca="1" si="469"/>
        <v>96.434252607937893</v>
      </c>
      <c r="CF382">
        <f t="shared" ca="1" si="408"/>
        <v>6.8918726703404856</v>
      </c>
      <c r="CG382">
        <f t="shared" ca="1" si="409"/>
        <v>11474.692321210096</v>
      </c>
    </row>
    <row r="383" spans="4:85" x14ac:dyDescent="0.25">
      <c r="D383" s="1"/>
      <c r="F383" s="1"/>
      <c r="G383" s="3"/>
      <c r="H383" s="6"/>
      <c r="I383" s="3"/>
      <c r="K383" s="8"/>
      <c r="L383" s="6"/>
      <c r="M383" s="1"/>
      <c r="N383" s="1"/>
      <c r="O383" s="1"/>
      <c r="P383" s="1"/>
      <c r="Q383" s="1" t="s">
        <v>22</v>
      </c>
      <c r="R383" s="4"/>
      <c r="S383" s="1"/>
      <c r="T383" s="77"/>
      <c r="U383" s="22"/>
      <c r="W383" s="176">
        <f t="shared" si="459"/>
        <v>0</v>
      </c>
      <c r="X383" s="176">
        <f t="shared" si="470"/>
        <v>0</v>
      </c>
      <c r="Y383" s="34">
        <f>X383/Calculation_sheet!M$67</f>
        <v>0</v>
      </c>
      <c r="Z383" s="176">
        <f ca="1">IF(AN383&gt;0,Y383*Calculation_sheet!C$87,0)</f>
        <v>0</v>
      </c>
      <c r="AA383" s="176">
        <f t="shared" ca="1" si="410"/>
        <v>0</v>
      </c>
      <c r="AB383" s="176">
        <f ca="1">IF(AP383&gt;0,AA383*Calculation_sheet!C$94,0)</f>
        <v>0</v>
      </c>
      <c r="AC383" s="176">
        <f t="shared" ca="1" si="460"/>
        <v>0</v>
      </c>
      <c r="AD383" s="958">
        <f ca="1">AC383*Calculation_sheet!C$99</f>
        <v>0</v>
      </c>
      <c r="AE383" s="176">
        <f t="shared" ca="1" si="460"/>
        <v>0</v>
      </c>
      <c r="AF383" s="176">
        <f t="shared" ca="1" si="461"/>
        <v>0</v>
      </c>
      <c r="AG383" s="958">
        <f ca="1">AF383*User_sheet!B$77/100</f>
        <v>0</v>
      </c>
      <c r="AH383" s="313"/>
      <c r="AI383" s="908">
        <v>203</v>
      </c>
      <c r="AJ383" s="313"/>
      <c r="AK383" s="1020">
        <f t="shared" ca="1" si="404"/>
        <v>133.29483640341161</v>
      </c>
      <c r="AL383" s="954">
        <f ca="1">AK383/'203'!I$24</f>
        <v>0.46642379073835105</v>
      </c>
      <c r="AM383" s="954">
        <f ca="1">0.8*(AK383*30+'203'!D$17*0.34*30*1)</f>
        <v>6542.6403684187208</v>
      </c>
      <c r="AN383" s="954">
        <f ca="1">IF(AM383&lt;User_sheet!B$50,Y383,0)</f>
        <v>0</v>
      </c>
      <c r="AO383" s="954">
        <f ca="1">20-(User_sheet!B$57/(AK383+'203'!D$17*1*0.34))</f>
        <v>-0.90898968867869456</v>
      </c>
      <c r="AP383" s="954">
        <f ca="1">IF(AO383&lt;User_sheet!B$59,0,BC383*AA383)</f>
        <v>0</v>
      </c>
      <c r="AQ383" s="313"/>
      <c r="AR383" s="909">
        <v>0.32</v>
      </c>
      <c r="AS383" s="1020">
        <v>0.43</v>
      </c>
      <c r="AT383" s="909">
        <v>0.43</v>
      </c>
      <c r="AU383" s="909">
        <v>2</v>
      </c>
      <c r="AV383" s="909">
        <v>3.3</v>
      </c>
      <c r="AW383" s="909">
        <v>14356</v>
      </c>
      <c r="AX383" s="909">
        <v>74834</v>
      </c>
      <c r="AY383" s="909">
        <v>69246</v>
      </c>
      <c r="AZ383" s="917">
        <v>0</v>
      </c>
      <c r="BA383" s="917">
        <v>0</v>
      </c>
      <c r="BB383" s="909">
        <v>0.6</v>
      </c>
      <c r="BC383" s="919">
        <v>0</v>
      </c>
      <c r="BD383" s="920">
        <v>1</v>
      </c>
      <c r="BE383" s="920">
        <v>0</v>
      </c>
      <c r="BF383" s="921">
        <v>0</v>
      </c>
      <c r="BG383" s="909">
        <v>0</v>
      </c>
      <c r="BH383" s="909">
        <v>1</v>
      </c>
      <c r="BI383" s="921">
        <v>0</v>
      </c>
      <c r="BJ383" s="909">
        <v>0</v>
      </c>
      <c r="BK383" s="909">
        <v>1</v>
      </c>
      <c r="BL383" s="909">
        <v>0</v>
      </c>
      <c r="BM383" s="921">
        <v>0</v>
      </c>
      <c r="BN383" s="958">
        <v>0.01</v>
      </c>
      <c r="BO383" s="959">
        <v>2.5</v>
      </c>
      <c r="BP383">
        <f t="shared" ca="1" si="462"/>
        <v>185.6</v>
      </c>
      <c r="BQ383">
        <f t="shared" ca="1" si="463"/>
        <v>361.17052631578946</v>
      </c>
      <c r="BR383">
        <f t="shared" ca="1" si="464"/>
        <v>84.1</v>
      </c>
      <c r="BS383">
        <f t="shared" ca="1" si="465"/>
        <v>115.78052631578947</v>
      </c>
      <c r="BT383">
        <f t="shared" ca="1" si="466"/>
        <v>75.400000000000006</v>
      </c>
      <c r="BU383">
        <f t="shared" ca="1" si="467"/>
        <v>22</v>
      </c>
      <c r="BV383">
        <f t="shared" ca="1" si="468"/>
        <v>2.15</v>
      </c>
      <c r="BW383" s="1018">
        <v>0</v>
      </c>
      <c r="BX383">
        <f t="shared" ca="1" si="432"/>
        <v>25.497726124305199</v>
      </c>
      <c r="BY383">
        <f t="shared" ca="1" si="433"/>
        <v>46.332323783151885</v>
      </c>
      <c r="BZ383">
        <f t="shared" ca="1" si="405"/>
        <v>9.9571224717706937</v>
      </c>
      <c r="CA383">
        <f t="shared" ca="1" si="406"/>
        <v>43.999999982399999</v>
      </c>
      <c r="CB383">
        <f t="shared" ca="1" si="434"/>
        <v>4.5133587786259541</v>
      </c>
      <c r="CC383" s="1018">
        <f t="shared" si="407"/>
        <v>0</v>
      </c>
      <c r="CD383" s="1018">
        <f t="shared" ca="1" si="471"/>
        <v>133.29483640341161</v>
      </c>
      <c r="CE383" s="1018">
        <f t="shared" ca="1" si="469"/>
        <v>96.434252607937893</v>
      </c>
      <c r="CF383">
        <f t="shared" ca="1" si="408"/>
        <v>6.8918726703404856</v>
      </c>
      <c r="CG383">
        <f t="shared" ca="1" si="409"/>
        <v>11474.692321210096</v>
      </c>
    </row>
    <row r="384" spans="4:85" x14ac:dyDescent="0.25">
      <c r="D384" s="1"/>
      <c r="F384" s="1"/>
      <c r="G384" s="3"/>
      <c r="H384" s="6"/>
      <c r="I384" s="3"/>
      <c r="J384" s="6"/>
      <c r="K384" s="8"/>
      <c r="L384" s="3"/>
      <c r="M384" s="1" t="s">
        <v>22</v>
      </c>
      <c r="N384" s="4"/>
      <c r="O384" s="1" t="s">
        <v>20</v>
      </c>
      <c r="P384" s="4"/>
      <c r="Q384" s="1" t="s">
        <v>7</v>
      </c>
      <c r="R384" s="4"/>
      <c r="S384" s="1"/>
      <c r="T384" s="77"/>
      <c r="U384" s="22"/>
      <c r="W384" s="176">
        <f t="shared" si="459"/>
        <v>0</v>
      </c>
      <c r="X384" s="176">
        <f t="shared" si="470"/>
        <v>0</v>
      </c>
      <c r="Y384" s="34">
        <f>X384/Calculation_sheet!M$67</f>
        <v>0</v>
      </c>
      <c r="Z384" s="176">
        <f ca="1">IF(AN384&gt;0,Y384*Calculation_sheet!C$87,0)</f>
        <v>0</v>
      </c>
      <c r="AA384" s="176">
        <f t="shared" ca="1" si="410"/>
        <v>0</v>
      </c>
      <c r="AB384" s="176">
        <f ca="1">IF(AP384&gt;0,AA384*Calculation_sheet!C$94,0)</f>
        <v>0</v>
      </c>
      <c r="AC384" s="176">
        <f t="shared" ca="1" si="460"/>
        <v>0</v>
      </c>
      <c r="AD384" s="958">
        <f ca="1">AC384*Calculation_sheet!C$99</f>
        <v>0</v>
      </c>
      <c r="AE384" s="176">
        <f t="shared" ca="1" si="460"/>
        <v>0</v>
      </c>
      <c r="AF384" s="176">
        <f t="shared" ca="1" si="461"/>
        <v>0</v>
      </c>
      <c r="AG384" s="958">
        <f ca="1">AF384*User_sheet!B$77/100</f>
        <v>0</v>
      </c>
      <c r="AH384" s="313"/>
      <c r="AI384" s="908">
        <v>203</v>
      </c>
      <c r="AJ384" s="313"/>
      <c r="AK384" s="1020">
        <f t="shared" ca="1" si="404"/>
        <v>133.29483640341161</v>
      </c>
      <c r="AL384" s="954">
        <f ca="1">AK384/'203'!I$24</f>
        <v>0.46642379073835105</v>
      </c>
      <c r="AM384" s="954">
        <f ca="1">0.8*(AK384*30+'203'!D$17*0.34*30*1)</f>
        <v>6542.6403684187208</v>
      </c>
      <c r="AN384" s="954">
        <f ca="1">IF(AM384&lt;User_sheet!B$50,Y384,0)</f>
        <v>0</v>
      </c>
      <c r="AO384" s="954">
        <f ca="1">20-(User_sheet!B$57/(AK384+'203'!D$17*1*0.34))</f>
        <v>-0.90898968867869456</v>
      </c>
      <c r="AP384" s="954">
        <f ca="1">IF(AO384&lt;User_sheet!B$59,0,BC384*AA384)</f>
        <v>0</v>
      </c>
      <c r="AQ384" s="313"/>
      <c r="AR384" s="909">
        <v>0.32</v>
      </c>
      <c r="AS384" s="1020">
        <v>0.43</v>
      </c>
      <c r="AT384" s="909">
        <v>0.43</v>
      </c>
      <c r="AU384" s="909">
        <v>2</v>
      </c>
      <c r="AV384" s="909">
        <v>3.3</v>
      </c>
      <c r="AW384" s="909">
        <v>14356</v>
      </c>
      <c r="AX384" s="909">
        <v>74834</v>
      </c>
      <c r="AY384" s="909">
        <v>69246</v>
      </c>
      <c r="AZ384" s="917">
        <v>0</v>
      </c>
      <c r="BA384" s="917">
        <v>0</v>
      </c>
      <c r="BB384" s="909">
        <v>0.6</v>
      </c>
      <c r="BC384" s="919">
        <v>0</v>
      </c>
      <c r="BD384" s="920">
        <v>1</v>
      </c>
      <c r="BE384" s="920">
        <v>0</v>
      </c>
      <c r="BF384" s="921">
        <v>0</v>
      </c>
      <c r="BG384" s="909">
        <v>0</v>
      </c>
      <c r="BH384" s="909">
        <v>1</v>
      </c>
      <c r="BI384" s="921">
        <v>0</v>
      </c>
      <c r="BJ384" s="909">
        <v>0</v>
      </c>
      <c r="BK384" s="909">
        <v>0</v>
      </c>
      <c r="BL384" s="909">
        <v>1</v>
      </c>
      <c r="BM384" s="921">
        <v>0</v>
      </c>
      <c r="BN384" s="958">
        <v>0.01</v>
      </c>
      <c r="BO384" s="959">
        <v>2.5</v>
      </c>
      <c r="BP384">
        <f t="shared" ca="1" si="462"/>
        <v>185.6</v>
      </c>
      <c r="BQ384">
        <f t="shared" ca="1" si="463"/>
        <v>361.17052631578946</v>
      </c>
      <c r="BR384">
        <f t="shared" ca="1" si="464"/>
        <v>84.1</v>
      </c>
      <c r="BS384">
        <f t="shared" ca="1" si="465"/>
        <v>115.78052631578947</v>
      </c>
      <c r="BT384">
        <f t="shared" ca="1" si="466"/>
        <v>75.400000000000006</v>
      </c>
      <c r="BU384">
        <f t="shared" ca="1" si="467"/>
        <v>22</v>
      </c>
      <c r="BV384">
        <f t="shared" ca="1" si="468"/>
        <v>2.15</v>
      </c>
      <c r="BW384" s="1018">
        <v>0</v>
      </c>
      <c r="BX384">
        <f t="shared" ca="1" si="432"/>
        <v>25.497726124305199</v>
      </c>
      <c r="BY384">
        <f t="shared" ca="1" si="433"/>
        <v>46.332323783151885</v>
      </c>
      <c r="BZ384">
        <f t="shared" ca="1" si="405"/>
        <v>9.9571224717706937</v>
      </c>
      <c r="CA384">
        <f t="shared" ca="1" si="406"/>
        <v>43.999999982399999</v>
      </c>
      <c r="CB384">
        <f t="shared" ca="1" si="434"/>
        <v>4.5133587786259541</v>
      </c>
      <c r="CC384" s="1018">
        <f t="shared" si="407"/>
        <v>0</v>
      </c>
      <c r="CD384" s="1018">
        <f t="shared" ca="1" si="471"/>
        <v>133.29483640341161</v>
      </c>
      <c r="CE384" s="1018">
        <f t="shared" ca="1" si="469"/>
        <v>96.434252607937893</v>
      </c>
      <c r="CF384">
        <f t="shared" ca="1" si="408"/>
        <v>6.8918726703404856</v>
      </c>
      <c r="CG384">
        <f t="shared" ca="1" si="409"/>
        <v>11474.692321210096</v>
      </c>
    </row>
    <row r="385" spans="4:85" x14ac:dyDescent="0.25">
      <c r="D385" s="1"/>
      <c r="F385" s="1"/>
      <c r="G385" s="3"/>
      <c r="H385" s="6"/>
      <c r="I385" s="3"/>
      <c r="J385" s="6"/>
      <c r="K385" s="8"/>
      <c r="L385" s="7"/>
      <c r="M385" s="1" t="s">
        <v>7</v>
      </c>
      <c r="N385" s="4"/>
      <c r="O385" s="1" t="s">
        <v>23</v>
      </c>
      <c r="P385" s="4"/>
      <c r="Q385" s="1" t="s">
        <v>7</v>
      </c>
      <c r="R385" s="4"/>
      <c r="S385" s="1"/>
      <c r="T385" s="77"/>
      <c r="U385" s="22" t="s">
        <v>49</v>
      </c>
      <c r="W385" s="176">
        <f t="shared" si="459"/>
        <v>0</v>
      </c>
      <c r="X385" s="176">
        <f t="shared" si="470"/>
        <v>0</v>
      </c>
      <c r="Y385" s="34">
        <f>X385/Calculation_sheet!M$67</f>
        <v>0</v>
      </c>
      <c r="Z385" s="176">
        <f ca="1">IF(AN385&gt;0,Y385*Calculation_sheet!C$87,0)</f>
        <v>0</v>
      </c>
      <c r="AA385" s="176">
        <f t="shared" ca="1" si="410"/>
        <v>0</v>
      </c>
      <c r="AB385" s="176">
        <f ca="1">IF(AP385&gt;0,AA385*Calculation_sheet!C$94,0)</f>
        <v>0</v>
      </c>
      <c r="AC385" s="176">
        <f t="shared" ca="1" si="460"/>
        <v>0</v>
      </c>
      <c r="AD385" s="958">
        <f ca="1">AC385*Calculation_sheet!C$99</f>
        <v>0</v>
      </c>
      <c r="AE385" s="176">
        <f t="shared" ca="1" si="460"/>
        <v>0</v>
      </c>
      <c r="AF385" s="176">
        <f t="shared" ca="1" si="461"/>
        <v>0</v>
      </c>
      <c r="AG385" s="958">
        <f ca="1">AF385*User_sheet!B$77/100</f>
        <v>0</v>
      </c>
      <c r="AH385" s="313"/>
      <c r="AI385" s="908">
        <v>203</v>
      </c>
      <c r="AJ385" s="313"/>
      <c r="AK385" s="1020">
        <f t="shared" ca="1" si="404"/>
        <v>133.29483640341161</v>
      </c>
      <c r="AL385" s="954">
        <f ca="1">AK385/'203'!I$24</f>
        <v>0.46642379073835105</v>
      </c>
      <c r="AM385" s="954">
        <f ca="1">0.8*(AK385*30+'203'!D$17*0.34*30*1)</f>
        <v>6542.6403684187208</v>
      </c>
      <c r="AN385" s="954">
        <f ca="1">IF(AM385&lt;User_sheet!B$50,Y385,0)</f>
        <v>0</v>
      </c>
      <c r="AO385" s="954">
        <f ca="1">20-(User_sheet!B$57/(AK385+'203'!D$17*1*0.34))</f>
        <v>-0.90898968867869456</v>
      </c>
      <c r="AP385" s="954">
        <f ca="1">IF(AO385&lt;User_sheet!B$59,0,BC385*AA385)</f>
        <v>0</v>
      </c>
      <c r="AQ385" s="313"/>
      <c r="AR385" s="909">
        <v>0.32</v>
      </c>
      <c r="AS385" s="1020">
        <v>0.43</v>
      </c>
      <c r="AT385" s="909">
        <v>0.43</v>
      </c>
      <c r="AU385" s="909">
        <v>2</v>
      </c>
      <c r="AV385" s="909">
        <v>3.3</v>
      </c>
      <c r="AW385" s="909">
        <v>14356</v>
      </c>
      <c r="AX385" s="909">
        <v>74834</v>
      </c>
      <c r="AY385" s="909">
        <v>69246</v>
      </c>
      <c r="AZ385" s="917">
        <v>0</v>
      </c>
      <c r="BA385" s="917">
        <v>0</v>
      </c>
      <c r="BB385" s="909">
        <v>0.6</v>
      </c>
      <c r="BC385" s="919">
        <v>0</v>
      </c>
      <c r="BD385" s="920">
        <v>0</v>
      </c>
      <c r="BE385" s="920">
        <v>1</v>
      </c>
      <c r="BF385" s="921">
        <v>0</v>
      </c>
      <c r="BG385" s="909">
        <v>0</v>
      </c>
      <c r="BH385" s="909">
        <v>0</v>
      </c>
      <c r="BI385" s="921">
        <v>1</v>
      </c>
      <c r="BJ385" s="909">
        <v>0</v>
      </c>
      <c r="BK385" s="909">
        <v>0</v>
      </c>
      <c r="BL385" s="909">
        <v>1</v>
      </c>
      <c r="BM385" s="921">
        <v>0</v>
      </c>
      <c r="BN385" s="958">
        <v>0.01</v>
      </c>
      <c r="BO385" s="959">
        <v>2.5</v>
      </c>
      <c r="BP385">
        <f t="shared" ca="1" si="462"/>
        <v>185.6</v>
      </c>
      <c r="BQ385">
        <f t="shared" ca="1" si="463"/>
        <v>361.17052631578946</v>
      </c>
      <c r="BR385">
        <f t="shared" ca="1" si="464"/>
        <v>84.1</v>
      </c>
      <c r="BS385">
        <f t="shared" ca="1" si="465"/>
        <v>115.78052631578947</v>
      </c>
      <c r="BT385">
        <f t="shared" ca="1" si="466"/>
        <v>75.400000000000006</v>
      </c>
      <c r="BU385">
        <f t="shared" ca="1" si="467"/>
        <v>22</v>
      </c>
      <c r="BV385">
        <f t="shared" ca="1" si="468"/>
        <v>2.15</v>
      </c>
      <c r="BW385" s="1018">
        <v>0</v>
      </c>
      <c r="BX385">
        <f t="shared" ca="1" si="432"/>
        <v>25.497726124305199</v>
      </c>
      <c r="BY385">
        <f t="shared" ca="1" si="433"/>
        <v>46.332323783151885</v>
      </c>
      <c r="BZ385">
        <f t="shared" ca="1" si="405"/>
        <v>9.9571224717706937</v>
      </c>
      <c r="CA385">
        <f t="shared" ca="1" si="406"/>
        <v>43.999999982399999</v>
      </c>
      <c r="CB385">
        <f t="shared" ca="1" si="434"/>
        <v>4.5133587786259541</v>
      </c>
      <c r="CC385" s="1018">
        <f t="shared" si="407"/>
        <v>0</v>
      </c>
      <c r="CD385" s="1018">
        <f t="shared" ca="1" si="471"/>
        <v>133.29483640341161</v>
      </c>
      <c r="CE385" s="1018">
        <f t="shared" ca="1" si="469"/>
        <v>96.434252607937893</v>
      </c>
      <c r="CF385">
        <f t="shared" ca="1" si="408"/>
        <v>6.8918726703404856</v>
      </c>
      <c r="CG385">
        <f t="shared" ca="1" si="409"/>
        <v>11474.692321210096</v>
      </c>
    </row>
    <row r="386" spans="4:85" s="9" customFormat="1" x14ac:dyDescent="0.25">
      <c r="D386" s="10"/>
      <c r="F386" s="10"/>
      <c r="M386" s="10"/>
      <c r="N386" s="10"/>
      <c r="O386" s="10"/>
      <c r="P386" s="10"/>
      <c r="Q386" s="10"/>
      <c r="R386" s="10"/>
      <c r="S386" s="10"/>
      <c r="T386" s="81"/>
      <c r="U386" s="18"/>
      <c r="V386" s="283"/>
      <c r="W386" s="283"/>
      <c r="X386" s="283"/>
      <c r="Y386" s="279"/>
      <c r="Z386" s="283"/>
      <c r="AA386" s="283"/>
      <c r="AB386" s="283"/>
      <c r="AC386" s="283"/>
      <c r="AD386" s="279"/>
      <c r="AE386" s="283"/>
      <c r="AF386" s="283"/>
      <c r="AG386" s="279"/>
      <c r="AH386" s="313"/>
      <c r="AI386" s="911"/>
      <c r="AJ386" s="313"/>
      <c r="AK386" s="1020">
        <f t="shared" si="404"/>
        <v>0</v>
      </c>
      <c r="AL386" s="916"/>
      <c r="AM386" s="916"/>
      <c r="AN386" s="916"/>
      <c r="AO386" s="916"/>
      <c r="AP386" s="916"/>
      <c r="AQ386" s="313"/>
      <c r="AR386" s="916"/>
      <c r="AS386" s="916"/>
      <c r="AT386" s="916"/>
      <c r="AU386" s="916"/>
      <c r="AV386" s="916"/>
      <c r="AW386" s="916"/>
      <c r="AX386" s="916"/>
      <c r="AY386" s="916"/>
      <c r="AZ386" s="916"/>
      <c r="BA386" s="916"/>
      <c r="BB386" s="916"/>
      <c r="BC386" s="47"/>
      <c r="BD386" s="279"/>
      <c r="BE386" s="279"/>
      <c r="BF386" s="51"/>
      <c r="BG386" s="916"/>
      <c r="BH386" s="916"/>
      <c r="BI386" s="51"/>
      <c r="BJ386" s="916"/>
      <c r="BK386" s="916"/>
      <c r="BL386" s="916"/>
      <c r="BM386" s="51"/>
      <c r="BN386" s="279"/>
      <c r="BO386" s="51"/>
    </row>
    <row r="387" spans="4:85" s="3" customFormat="1" x14ac:dyDescent="0.25">
      <c r="D387" s="599"/>
      <c r="E387" s="595"/>
      <c r="F387" s="599"/>
      <c r="G387" s="595"/>
      <c r="H387" s="595"/>
      <c r="I387" s="595"/>
      <c r="J387" s="595"/>
      <c r="K387" s="595"/>
      <c r="L387" s="595"/>
      <c r="M387" s="599"/>
      <c r="N387" s="599"/>
      <c r="O387" s="599"/>
      <c r="P387" s="599"/>
      <c r="Q387" s="599" t="s">
        <v>16</v>
      </c>
      <c r="R387" s="596">
        <v>0.81069999999999998</v>
      </c>
      <c r="S387" s="599"/>
      <c r="T387" s="605">
        <v>5.0060370581310005E-3</v>
      </c>
      <c r="U387" s="595"/>
      <c r="V387" s="176">
        <f t="shared" ref="V387:V498" si="472">T387</f>
        <v>5.0060370581310005E-3</v>
      </c>
      <c r="W387" s="176">
        <f>V387</f>
        <v>5.0060370581310005E-3</v>
      </c>
      <c r="X387" s="176">
        <f>W387</f>
        <v>5.0060370581310005E-3</v>
      </c>
      <c r="Y387" s="34">
        <f>X387/Calculation_sheet!M$67</f>
        <v>5.0061394137105716E-3</v>
      </c>
      <c r="Z387" s="176">
        <f ca="1">IF(AN387&gt;0,Y387*Calculation_sheet!C$87,0)</f>
        <v>0</v>
      </c>
      <c r="AA387" s="176">
        <f t="shared" ca="1" si="410"/>
        <v>5.0061394137105716E-3</v>
      </c>
      <c r="AB387" s="176">
        <f ca="1">IF(AP387&gt;0,AA387*Calculation_sheet!C$94,0)</f>
        <v>0</v>
      </c>
      <c r="AC387" s="176">
        <f t="shared" ref="AC387:AE395" ca="1" si="473">AA387-AB387</f>
        <v>5.0061394137105716E-3</v>
      </c>
      <c r="AD387" s="958">
        <f ca="1">AC387*Calculation_sheet!C$99</f>
        <v>3.0036836482263429E-3</v>
      </c>
      <c r="AE387" s="176">
        <f t="shared" ca="1" si="473"/>
        <v>2.0024557654842287E-3</v>
      </c>
      <c r="AF387" s="176">
        <f t="shared" ref="AF387:AF395" ca="1" si="474">Y387-AB387</f>
        <v>5.0061394137105716E-3</v>
      </c>
      <c r="AG387" s="958">
        <f ca="1">AF387*User_sheet!B$77/100</f>
        <v>0</v>
      </c>
      <c r="AH387" s="313"/>
      <c r="AI387" s="910">
        <v>204</v>
      </c>
      <c r="AJ387" s="313"/>
      <c r="AK387" s="1020">
        <f t="shared" ca="1" si="404"/>
        <v>149.64632628586426</v>
      </c>
      <c r="AL387" s="954">
        <f ca="1">AK387/'204'!I$24</f>
        <v>0.5462541569113496</v>
      </c>
      <c r="AM387" s="954">
        <f ca="1">0.8*(AK387*30+'204'!D$17*0.34*30*1)</f>
        <v>7176.5976308607424</v>
      </c>
      <c r="AN387" s="954">
        <f ca="1">IF(AM387&lt;User_sheet!B$50,Y387,0)</f>
        <v>5.0061394137105716E-3</v>
      </c>
      <c r="AO387" s="954">
        <f ca="1">20-(User_sheet!B$57/(AK387+'204'!D$17*1*0.34))</f>
        <v>0.93804236540532671</v>
      </c>
      <c r="AP387" s="954">
        <f ca="1">IF(AO387&lt;User_sheet!B$59,0,BC387*AA387)</f>
        <v>0</v>
      </c>
      <c r="AQ387" s="313"/>
      <c r="AR387" s="909">
        <v>0.24</v>
      </c>
      <c r="AS387" s="909">
        <v>0.32</v>
      </c>
      <c r="AT387" s="909">
        <v>0.45</v>
      </c>
      <c r="AU387" s="909">
        <v>2</v>
      </c>
      <c r="AV387" s="909">
        <v>3.3</v>
      </c>
      <c r="AW387" s="909">
        <v>14536.85461731979</v>
      </c>
      <c r="AX387" s="909">
        <v>73366.155837550017</v>
      </c>
      <c r="AY387" s="909">
        <v>65937.809199439725</v>
      </c>
      <c r="AZ387" s="917">
        <v>0</v>
      </c>
      <c r="BA387" s="917">
        <v>0</v>
      </c>
      <c r="BB387" s="909">
        <v>0.6</v>
      </c>
      <c r="BC387" s="46">
        <v>1</v>
      </c>
      <c r="BD387" s="199">
        <v>0</v>
      </c>
      <c r="BE387" s="199">
        <v>0</v>
      </c>
      <c r="BF387" s="50">
        <v>0</v>
      </c>
      <c r="BG387" s="917">
        <v>1</v>
      </c>
      <c r="BH387" s="917">
        <v>0</v>
      </c>
      <c r="BI387" s="50">
        <v>0</v>
      </c>
      <c r="BJ387" s="917">
        <v>1</v>
      </c>
      <c r="BK387" s="917">
        <v>0</v>
      </c>
      <c r="BL387" s="917">
        <v>0</v>
      </c>
      <c r="BM387" s="50">
        <v>0</v>
      </c>
      <c r="BN387" s="958">
        <v>0.08</v>
      </c>
      <c r="BO387" s="959">
        <v>6</v>
      </c>
      <c r="BP387" s="3">
        <f t="shared" ref="BP387:BP395" ca="1" si="475">INDIRECT("'"&amp;AI387&amp;"'!"&amp;"B2")</f>
        <v>150</v>
      </c>
      <c r="BQ387" s="3">
        <f t="shared" ref="BQ387:BQ395" ca="1" si="476">INDIRECT("'"&amp;AI387&amp;"'!"&amp;"C12")+INDIRECT("'"&amp;AI387&amp;"'!"&amp;"C13")+INDIRECT("'"&amp;AI387&amp;"'!"&amp;"C14")+INDIRECT("'"&amp;AI387&amp;"'!"&amp;"C15")+INDIRECT("'"&amp;AI387&amp;"'!"&amp;"C17")</f>
        <v>372.82075000000003</v>
      </c>
      <c r="BR387" s="3">
        <f t="shared" ref="BR387:BR395" ca="1" si="477">INDIRECT("'"&amp;AI387&amp;"'!"&amp;"G5")</f>
        <v>111</v>
      </c>
      <c r="BS387" s="3">
        <f t="shared" ref="BS387:BS395" ca="1" si="478">INDIRECT("'"&amp;AI387&amp;"'!"&amp;"G4")</f>
        <v>120</v>
      </c>
      <c r="BT387" s="3">
        <f t="shared" ref="BT387:BT395" ca="1" si="479">INDIRECT("'"&amp;AI387&amp;"'!"&amp;"G6")</f>
        <v>86.25</v>
      </c>
      <c r="BU387" s="3">
        <f t="shared" ref="BU387:BU395" ca="1" si="480">INDIRECT("'"&amp;AI387&amp;"'!"&amp;"G2")</f>
        <v>14.5</v>
      </c>
      <c r="BV387" s="3">
        <f t="shared" ref="BV387:BV395" ca="1" si="481">INDIRECT("'"&amp;AI387&amp;"'!"&amp;"G3")</f>
        <v>9.3000000000000007</v>
      </c>
      <c r="BW387" s="926">
        <v>0</v>
      </c>
      <c r="BX387" s="3">
        <f t="shared" ca="1" si="432"/>
        <v>25.576036866359445</v>
      </c>
      <c r="BY387" s="3">
        <f t="shared" ca="1" si="433"/>
        <v>36.382011116725614</v>
      </c>
      <c r="BZ387" s="3">
        <f t="shared" ca="1" si="405"/>
        <v>11.881377551020408</v>
      </c>
      <c r="CA387" s="3">
        <f t="shared" ca="1" si="406"/>
        <v>28.999999988399999</v>
      </c>
      <c r="CB387" s="3">
        <f t="shared" ca="1" si="434"/>
        <v>19.522900763358777</v>
      </c>
      <c r="CC387" s="926">
        <f t="shared" si="407"/>
        <v>0</v>
      </c>
      <c r="CD387" s="1018">
        <f ca="1">SUM(BX387:CC387)+(BR387+BS387+BT387+BU387+BV387)*BN387</f>
        <v>149.64632628586426</v>
      </c>
      <c r="CE387" s="1018">
        <f t="shared" ref="CE387:CE445" ca="1" si="482">0.34*BO387*(1/25)^0.66*(BR387+BS387+BU387+BV387)</f>
        <v>62.113955326134437</v>
      </c>
      <c r="CF387" s="3">
        <f t="shared" ca="1" si="408"/>
        <v>6.3528084483599603</v>
      </c>
      <c r="CG387" s="3">
        <f t="shared" ca="1" si="409"/>
        <v>10577.171954181402</v>
      </c>
    </row>
    <row r="388" spans="4:85" s="3" customFormat="1" x14ac:dyDescent="0.25">
      <c r="D388" s="599"/>
      <c r="E388" s="595"/>
      <c r="F388" s="599"/>
      <c r="G388" s="595"/>
      <c r="H388" s="595"/>
      <c r="I388" s="595"/>
      <c r="J388" s="595"/>
      <c r="K388" s="595"/>
      <c r="L388" s="595"/>
      <c r="M388" s="599"/>
      <c r="N388" s="599"/>
      <c r="O388" s="599" t="s">
        <v>18</v>
      </c>
      <c r="P388" s="596">
        <v>0.962121212</v>
      </c>
      <c r="Q388" s="599" t="s">
        <v>7</v>
      </c>
      <c r="R388" s="596">
        <v>0.1893</v>
      </c>
      <c r="S388" s="599"/>
      <c r="T388" s="605">
        <v>1.1689192242558262E-3</v>
      </c>
      <c r="U388" s="595"/>
      <c r="V388" s="176">
        <f t="shared" si="472"/>
        <v>1.1689192242558262E-3</v>
      </c>
      <c r="W388" s="176">
        <f t="shared" ref="W388:X395" si="483">V388</f>
        <v>1.1689192242558262E-3</v>
      </c>
      <c r="X388" s="176">
        <f t="shared" si="483"/>
        <v>1.1689192242558262E-3</v>
      </c>
      <c r="Y388" s="34">
        <f>X388/Calculation_sheet!M$67</f>
        <v>1.1689431244793526E-3</v>
      </c>
      <c r="Z388" s="176">
        <f ca="1">IF(AN388&gt;0,Y388*Calculation_sheet!C$87,0)</f>
        <v>0</v>
      </c>
      <c r="AA388" s="176">
        <f t="shared" ca="1" si="410"/>
        <v>1.1689431244793526E-3</v>
      </c>
      <c r="AB388" s="176">
        <f ca="1">IF(AP388&gt;0,AA388*Calculation_sheet!C$94,0)</f>
        <v>0</v>
      </c>
      <c r="AC388" s="176">
        <f t="shared" ca="1" si="473"/>
        <v>1.1689431244793526E-3</v>
      </c>
      <c r="AD388" s="958">
        <f ca="1">AC388*Calculation_sheet!C$99</f>
        <v>7.0136587468761153E-4</v>
      </c>
      <c r="AE388" s="176">
        <f t="shared" ca="1" si="473"/>
        <v>4.6757724979174106E-4</v>
      </c>
      <c r="AF388" s="176">
        <f t="shared" ca="1" si="474"/>
        <v>1.1689431244793526E-3</v>
      </c>
      <c r="AG388" s="958">
        <f ca="1">AF388*User_sheet!B$77/100</f>
        <v>0</v>
      </c>
      <c r="AH388" s="313"/>
      <c r="AI388" s="910">
        <v>204</v>
      </c>
      <c r="AJ388" s="313"/>
      <c r="AK388" s="1020">
        <f t="shared" ca="1" si="404"/>
        <v>149.64632628586426</v>
      </c>
      <c r="AL388" s="954">
        <f ca="1">AK388/'204'!I$24</f>
        <v>0.5462541569113496</v>
      </c>
      <c r="AM388" s="954">
        <f ca="1">0.8*(AK388*30+'204'!D$17*0.34*30*1)</f>
        <v>7176.5976308607424</v>
      </c>
      <c r="AN388" s="954">
        <f ca="1">IF(AM388&lt;User_sheet!B$50,Y388,0)</f>
        <v>1.1689431244793526E-3</v>
      </c>
      <c r="AO388" s="954">
        <f ca="1">20-(User_sheet!B$57/(AK388+'204'!D$17*1*0.34))</f>
        <v>0.93804236540532671</v>
      </c>
      <c r="AP388" s="954">
        <f ca="1">IF(AO388&lt;User_sheet!B$59,0,BC388*AA388)</f>
        <v>0</v>
      </c>
      <c r="AQ388" s="313"/>
      <c r="AR388" s="909">
        <v>0.24</v>
      </c>
      <c r="AS388" s="909">
        <v>0.32</v>
      </c>
      <c r="AT388" s="909">
        <v>0.45</v>
      </c>
      <c r="AU388" s="909">
        <v>2</v>
      </c>
      <c r="AV388" s="909">
        <v>3.3</v>
      </c>
      <c r="AW388" s="909">
        <v>14536.85461731979</v>
      </c>
      <c r="AX388" s="909">
        <v>73366.155837550017</v>
      </c>
      <c r="AY388" s="909">
        <v>65937.809199439725</v>
      </c>
      <c r="AZ388" s="917">
        <v>0</v>
      </c>
      <c r="BA388" s="917">
        <v>0</v>
      </c>
      <c r="BB388" s="909">
        <v>0.6</v>
      </c>
      <c r="BC388" s="46">
        <v>1</v>
      </c>
      <c r="BD388" s="199">
        <v>0</v>
      </c>
      <c r="BE388" s="199">
        <v>0</v>
      </c>
      <c r="BF388" s="50">
        <v>0</v>
      </c>
      <c r="BG388" s="917">
        <v>1</v>
      </c>
      <c r="BH388" s="917">
        <v>0</v>
      </c>
      <c r="BI388" s="50">
        <v>0</v>
      </c>
      <c r="BJ388" s="917">
        <v>0</v>
      </c>
      <c r="BK388" s="917">
        <v>0</v>
      </c>
      <c r="BL388" s="917">
        <v>1</v>
      </c>
      <c r="BM388" s="50">
        <v>0</v>
      </c>
      <c r="BN388" s="958">
        <v>0.08</v>
      </c>
      <c r="BO388" s="959">
        <v>6</v>
      </c>
      <c r="BP388" s="3">
        <f t="shared" ca="1" si="475"/>
        <v>150</v>
      </c>
      <c r="BQ388" s="3">
        <f t="shared" ca="1" si="476"/>
        <v>372.82075000000003</v>
      </c>
      <c r="BR388" s="3">
        <f t="shared" ca="1" si="477"/>
        <v>111</v>
      </c>
      <c r="BS388" s="3">
        <f t="shared" ca="1" si="478"/>
        <v>120</v>
      </c>
      <c r="BT388" s="3">
        <f t="shared" ca="1" si="479"/>
        <v>86.25</v>
      </c>
      <c r="BU388" s="3">
        <f t="shared" ca="1" si="480"/>
        <v>14.5</v>
      </c>
      <c r="BV388" s="3">
        <f t="shared" ca="1" si="481"/>
        <v>9.3000000000000007</v>
      </c>
      <c r="BW388" s="926">
        <v>0</v>
      </c>
      <c r="BX388" s="3">
        <f t="shared" ca="1" si="432"/>
        <v>25.576036866359445</v>
      </c>
      <c r="BY388" s="3">
        <f t="shared" ca="1" si="433"/>
        <v>36.382011116725614</v>
      </c>
      <c r="BZ388" s="3">
        <f t="shared" ca="1" si="405"/>
        <v>11.881377551020408</v>
      </c>
      <c r="CA388" s="3">
        <f t="shared" ca="1" si="406"/>
        <v>28.999999988399999</v>
      </c>
      <c r="CB388" s="3">
        <f t="shared" ca="1" si="434"/>
        <v>19.522900763358777</v>
      </c>
      <c r="CC388" s="926">
        <f t="shared" si="407"/>
        <v>0</v>
      </c>
      <c r="CD388" s="1018">
        <f t="shared" ref="CD388:CD395" ca="1" si="484">SUM(BX388:CC388)+(BR388+BS388+BT388+BU388+BV388)*BN388</f>
        <v>149.64632628586426</v>
      </c>
      <c r="CE388" s="1018">
        <f t="shared" ca="1" si="482"/>
        <v>62.113955326134437</v>
      </c>
      <c r="CF388" s="3">
        <f t="shared" ca="1" si="408"/>
        <v>6.3528084483599603</v>
      </c>
      <c r="CG388" s="3">
        <f t="shared" ca="1" si="409"/>
        <v>10577.171954181402</v>
      </c>
    </row>
    <row r="389" spans="4:85" s="3" customFormat="1" x14ac:dyDescent="0.25">
      <c r="D389" s="599"/>
      <c r="E389" s="595"/>
      <c r="F389" s="599"/>
      <c r="G389" s="595"/>
      <c r="H389" s="595"/>
      <c r="I389" s="595"/>
      <c r="J389" s="595"/>
      <c r="K389" s="595"/>
      <c r="L389" s="595"/>
      <c r="M389" s="599"/>
      <c r="N389" s="599"/>
      <c r="O389" s="599"/>
      <c r="P389" s="599"/>
      <c r="Q389" s="599" t="s">
        <v>16</v>
      </c>
      <c r="R389" s="596">
        <v>0.81069999999999998</v>
      </c>
      <c r="S389" s="599"/>
      <c r="T389" s="605">
        <v>1.9708807381027557E-4</v>
      </c>
      <c r="U389" s="595"/>
      <c r="V389" s="176">
        <f t="shared" si="472"/>
        <v>1.9708807381027557E-4</v>
      </c>
      <c r="W389" s="176">
        <f t="shared" si="483"/>
        <v>1.9708807381027557E-4</v>
      </c>
      <c r="X389" s="176">
        <f t="shared" si="483"/>
        <v>1.9708807381027557E-4</v>
      </c>
      <c r="Y389" s="34">
        <f>X389/Calculation_sheet!M$67</f>
        <v>1.9709210355751619E-4</v>
      </c>
      <c r="Z389" s="176">
        <f ca="1">IF(AN389&gt;0,Y389*Calculation_sheet!C$87,0)</f>
        <v>0</v>
      </c>
      <c r="AA389" s="176">
        <f t="shared" ca="1" si="410"/>
        <v>1.9709210355751619E-4</v>
      </c>
      <c r="AB389" s="176">
        <f ca="1">IF(AP389&gt;0,AA389*Calculation_sheet!C$94,0)</f>
        <v>0</v>
      </c>
      <c r="AC389" s="176">
        <f t="shared" ca="1" si="473"/>
        <v>1.9709210355751619E-4</v>
      </c>
      <c r="AD389" s="958">
        <f ca="1">AC389*Calculation_sheet!C$99</f>
        <v>1.1825526213450971E-4</v>
      </c>
      <c r="AE389" s="176">
        <f t="shared" ca="1" si="473"/>
        <v>7.8836841423006481E-5</v>
      </c>
      <c r="AF389" s="176">
        <f t="shared" ca="1" si="474"/>
        <v>1.9709210355751619E-4</v>
      </c>
      <c r="AG389" s="958">
        <f ca="1">AF389*User_sheet!B$77/100</f>
        <v>0</v>
      </c>
      <c r="AH389" s="313"/>
      <c r="AI389" s="910">
        <v>204</v>
      </c>
      <c r="AJ389" s="313"/>
      <c r="AK389" s="1020">
        <f t="shared" ca="1" si="404"/>
        <v>149.64632628586426</v>
      </c>
      <c r="AL389" s="954">
        <f ca="1">AK389/'204'!I$24</f>
        <v>0.5462541569113496</v>
      </c>
      <c r="AM389" s="954">
        <f ca="1">0.8*(AK389*30+'204'!D$17*0.34*30*1)</f>
        <v>7176.5976308607424</v>
      </c>
      <c r="AN389" s="954">
        <f ca="1">IF(AM389&lt;User_sheet!B$50,Y389,0)</f>
        <v>1.9709210355751619E-4</v>
      </c>
      <c r="AO389" s="954">
        <f ca="1">20-(User_sheet!B$57/(AK389+'204'!D$17*1*0.34))</f>
        <v>0.93804236540532671</v>
      </c>
      <c r="AP389" s="954">
        <f ca="1">IF(AO389&lt;User_sheet!B$59,0,BC389*AA389)</f>
        <v>0</v>
      </c>
      <c r="AQ389" s="313"/>
      <c r="AR389" s="909">
        <v>0.24</v>
      </c>
      <c r="AS389" s="909">
        <v>0.32</v>
      </c>
      <c r="AT389" s="909">
        <v>0.45</v>
      </c>
      <c r="AU389" s="909">
        <v>2</v>
      </c>
      <c r="AV389" s="909">
        <v>3.3</v>
      </c>
      <c r="AW389" s="909">
        <v>14536.85461731979</v>
      </c>
      <c r="AX389" s="909">
        <v>73366.155837550017</v>
      </c>
      <c r="AY389" s="909">
        <v>65937.809199439725</v>
      </c>
      <c r="AZ389" s="917">
        <v>0</v>
      </c>
      <c r="BA389" s="917">
        <v>0</v>
      </c>
      <c r="BB389" s="909">
        <v>0.6</v>
      </c>
      <c r="BC389" s="46">
        <v>1</v>
      </c>
      <c r="BD389" s="199">
        <v>0</v>
      </c>
      <c r="BE389" s="199">
        <v>0</v>
      </c>
      <c r="BF389" s="50">
        <v>0</v>
      </c>
      <c r="BG389" s="917">
        <v>0</v>
      </c>
      <c r="BH389" s="917">
        <v>1</v>
      </c>
      <c r="BI389" s="50">
        <v>0</v>
      </c>
      <c r="BJ389" s="917">
        <v>1</v>
      </c>
      <c r="BK389" s="917">
        <v>0</v>
      </c>
      <c r="BL389" s="917">
        <v>0</v>
      </c>
      <c r="BM389" s="50">
        <v>0</v>
      </c>
      <c r="BN389" s="958">
        <v>0.08</v>
      </c>
      <c r="BO389" s="959">
        <v>6</v>
      </c>
      <c r="BP389" s="3">
        <f t="shared" ca="1" si="475"/>
        <v>150</v>
      </c>
      <c r="BQ389" s="3">
        <f t="shared" ca="1" si="476"/>
        <v>372.82075000000003</v>
      </c>
      <c r="BR389" s="3">
        <f t="shared" ca="1" si="477"/>
        <v>111</v>
      </c>
      <c r="BS389" s="3">
        <f t="shared" ca="1" si="478"/>
        <v>120</v>
      </c>
      <c r="BT389" s="3">
        <f t="shared" ca="1" si="479"/>
        <v>86.25</v>
      </c>
      <c r="BU389" s="3">
        <f t="shared" ca="1" si="480"/>
        <v>14.5</v>
      </c>
      <c r="BV389" s="3">
        <f t="shared" ca="1" si="481"/>
        <v>9.3000000000000007</v>
      </c>
      <c r="BW389" s="926">
        <v>0</v>
      </c>
      <c r="BX389" s="3">
        <f t="shared" ca="1" si="432"/>
        <v>25.576036866359445</v>
      </c>
      <c r="BY389" s="3">
        <f t="shared" ca="1" si="433"/>
        <v>36.382011116725614</v>
      </c>
      <c r="BZ389" s="3">
        <f t="shared" ca="1" si="405"/>
        <v>11.881377551020408</v>
      </c>
      <c r="CA389" s="3">
        <f t="shared" ca="1" si="406"/>
        <v>28.999999988399999</v>
      </c>
      <c r="CB389" s="3">
        <f t="shared" ca="1" si="434"/>
        <v>19.522900763358777</v>
      </c>
      <c r="CC389" s="926">
        <f t="shared" si="407"/>
        <v>0</v>
      </c>
      <c r="CD389" s="1018">
        <f t="shared" ca="1" si="484"/>
        <v>149.64632628586426</v>
      </c>
      <c r="CE389" s="1018">
        <f t="shared" ca="1" si="482"/>
        <v>62.113955326134437</v>
      </c>
      <c r="CF389" s="3">
        <f t="shared" ca="1" si="408"/>
        <v>6.3528084483599603</v>
      </c>
      <c r="CG389" s="3">
        <f t="shared" ca="1" si="409"/>
        <v>10577.171954181402</v>
      </c>
    </row>
    <row r="390" spans="4:85" s="3" customFormat="1" x14ac:dyDescent="0.25">
      <c r="D390" s="599"/>
      <c r="E390" s="595"/>
      <c r="F390" s="599"/>
      <c r="G390" s="595"/>
      <c r="H390" s="595"/>
      <c r="I390" s="595"/>
      <c r="J390" s="595"/>
      <c r="K390" s="595"/>
      <c r="L390" s="595"/>
      <c r="M390" s="599" t="s">
        <v>16</v>
      </c>
      <c r="N390" s="596">
        <v>0.5</v>
      </c>
      <c r="O390" s="599" t="s">
        <v>19</v>
      </c>
      <c r="P390" s="596">
        <v>3.7878787999999997E-2</v>
      </c>
      <c r="Q390" s="599" t="s">
        <v>7</v>
      </c>
      <c r="R390" s="596">
        <v>0.1893</v>
      </c>
      <c r="S390" s="599"/>
      <c r="T390" s="605">
        <v>4.6020442052898941E-5</v>
      </c>
      <c r="U390" s="595"/>
      <c r="V390" s="176">
        <f t="shared" si="472"/>
        <v>4.6020442052898941E-5</v>
      </c>
      <c r="W390" s="176">
        <f t="shared" si="483"/>
        <v>4.6020442052898941E-5</v>
      </c>
      <c r="X390" s="176">
        <f t="shared" si="483"/>
        <v>4.6020442052898941E-5</v>
      </c>
      <c r="Y390" s="34">
        <f>X390/Calculation_sheet!M$67</f>
        <v>4.602138300658421E-5</v>
      </c>
      <c r="Z390" s="176">
        <f ca="1">IF(AN390&gt;0,Y390*Calculation_sheet!C$87,0)</f>
        <v>0</v>
      </c>
      <c r="AA390" s="176">
        <f t="shared" ca="1" si="410"/>
        <v>4.602138300658421E-5</v>
      </c>
      <c r="AB390" s="176">
        <f ca="1">IF(AP390&gt;0,AA390*Calculation_sheet!C$94,0)</f>
        <v>0</v>
      </c>
      <c r="AC390" s="176">
        <f t="shared" ca="1" si="473"/>
        <v>4.602138300658421E-5</v>
      </c>
      <c r="AD390" s="958">
        <f ca="1">AC390*Calculation_sheet!C$99</f>
        <v>2.7612829803950524E-5</v>
      </c>
      <c r="AE390" s="176">
        <f t="shared" ca="1" si="473"/>
        <v>1.8408553202633686E-5</v>
      </c>
      <c r="AF390" s="176">
        <f t="shared" ca="1" si="474"/>
        <v>4.602138300658421E-5</v>
      </c>
      <c r="AG390" s="958">
        <f ca="1">AF390*User_sheet!B$77/100</f>
        <v>0</v>
      </c>
      <c r="AH390" s="313"/>
      <c r="AI390" s="910">
        <v>204</v>
      </c>
      <c r="AJ390" s="313"/>
      <c r="AK390" s="1020">
        <f t="shared" ca="1" si="404"/>
        <v>149.64632628586426</v>
      </c>
      <c r="AL390" s="954">
        <f ca="1">AK390/'204'!I$24</f>
        <v>0.5462541569113496</v>
      </c>
      <c r="AM390" s="954">
        <f ca="1">0.8*(AK390*30+'204'!D$17*0.34*30*1)</f>
        <v>7176.5976308607424</v>
      </c>
      <c r="AN390" s="954">
        <f ca="1">IF(AM390&lt;User_sheet!B$50,Y390,0)</f>
        <v>4.602138300658421E-5</v>
      </c>
      <c r="AO390" s="954">
        <f ca="1">20-(User_sheet!B$57/(AK390+'204'!D$17*1*0.34))</f>
        <v>0.93804236540532671</v>
      </c>
      <c r="AP390" s="954">
        <f ca="1">IF(AO390&lt;User_sheet!B$59,0,BC390*AA390)</f>
        <v>0</v>
      </c>
      <c r="AQ390" s="313"/>
      <c r="AR390" s="909">
        <v>0.24</v>
      </c>
      <c r="AS390" s="909">
        <v>0.32</v>
      </c>
      <c r="AT390" s="909">
        <v>0.45</v>
      </c>
      <c r="AU390" s="909">
        <v>2</v>
      </c>
      <c r="AV390" s="909">
        <v>3.3</v>
      </c>
      <c r="AW390" s="909">
        <v>14536.85461731979</v>
      </c>
      <c r="AX390" s="909">
        <v>73366.155837550017</v>
      </c>
      <c r="AY390" s="909">
        <v>65937.809199439725</v>
      </c>
      <c r="AZ390" s="917">
        <v>0</v>
      </c>
      <c r="BA390" s="917">
        <v>0</v>
      </c>
      <c r="BB390" s="909">
        <v>0.6</v>
      </c>
      <c r="BC390" s="46">
        <v>1</v>
      </c>
      <c r="BD390" s="199">
        <v>0</v>
      </c>
      <c r="BE390" s="199">
        <v>0</v>
      </c>
      <c r="BF390" s="50">
        <v>0</v>
      </c>
      <c r="BG390" s="917">
        <v>0</v>
      </c>
      <c r="BH390" s="917">
        <v>1</v>
      </c>
      <c r="BI390" s="50">
        <v>0</v>
      </c>
      <c r="BJ390" s="917">
        <v>0</v>
      </c>
      <c r="BK390" s="917">
        <v>0</v>
      </c>
      <c r="BL390" s="917">
        <v>1</v>
      </c>
      <c r="BM390" s="50">
        <v>0</v>
      </c>
      <c r="BN390" s="958">
        <v>0.08</v>
      </c>
      <c r="BO390" s="959">
        <v>6</v>
      </c>
      <c r="BP390" s="3">
        <f t="shared" ca="1" si="475"/>
        <v>150</v>
      </c>
      <c r="BQ390" s="3">
        <f t="shared" ca="1" si="476"/>
        <v>372.82075000000003</v>
      </c>
      <c r="BR390" s="3">
        <f t="shared" ca="1" si="477"/>
        <v>111</v>
      </c>
      <c r="BS390" s="3">
        <f t="shared" ca="1" si="478"/>
        <v>120</v>
      </c>
      <c r="BT390" s="3">
        <f t="shared" ca="1" si="479"/>
        <v>86.25</v>
      </c>
      <c r="BU390" s="3">
        <f t="shared" ca="1" si="480"/>
        <v>14.5</v>
      </c>
      <c r="BV390" s="3">
        <f t="shared" ca="1" si="481"/>
        <v>9.3000000000000007</v>
      </c>
      <c r="BW390" s="926">
        <v>0</v>
      </c>
      <c r="BX390" s="3">
        <f t="shared" ca="1" si="432"/>
        <v>25.576036866359445</v>
      </c>
      <c r="BY390" s="3">
        <f t="shared" ca="1" si="433"/>
        <v>36.382011116725614</v>
      </c>
      <c r="BZ390" s="3">
        <f t="shared" ca="1" si="405"/>
        <v>11.881377551020408</v>
      </c>
      <c r="CA390" s="3">
        <f t="shared" ca="1" si="406"/>
        <v>28.999999988399999</v>
      </c>
      <c r="CB390" s="3">
        <f t="shared" ca="1" si="434"/>
        <v>19.522900763358777</v>
      </c>
      <c r="CC390" s="926">
        <f t="shared" si="407"/>
        <v>0</v>
      </c>
      <c r="CD390" s="1018">
        <f t="shared" ca="1" si="484"/>
        <v>149.64632628586426</v>
      </c>
      <c r="CE390" s="1018">
        <f t="shared" ca="1" si="482"/>
        <v>62.113955326134437</v>
      </c>
      <c r="CF390" s="3">
        <f t="shared" ca="1" si="408"/>
        <v>6.3528084483599603</v>
      </c>
      <c r="CG390" s="3">
        <f t="shared" ca="1" si="409"/>
        <v>10577.171954181402</v>
      </c>
    </row>
    <row r="391" spans="4:85" x14ac:dyDescent="0.25">
      <c r="D391" s="594"/>
      <c r="E391" s="593"/>
      <c r="F391" s="594"/>
      <c r="G391" s="593"/>
      <c r="H391" s="593"/>
      <c r="I391" s="593"/>
      <c r="J391" s="593"/>
      <c r="K391" s="593"/>
      <c r="L391" s="593"/>
      <c r="M391" s="594"/>
      <c r="N391" s="594"/>
      <c r="O391" s="594"/>
      <c r="P391" s="594"/>
      <c r="Q391" s="594" t="s">
        <v>22</v>
      </c>
      <c r="R391" s="596">
        <v>0.81</v>
      </c>
      <c r="S391" s="594"/>
      <c r="T391" s="605">
        <v>3.7460734105194617E-3</v>
      </c>
      <c r="U391" s="593"/>
      <c r="V391" s="176">
        <f t="shared" si="472"/>
        <v>3.7460734105194617E-3</v>
      </c>
      <c r="W391" s="176">
        <f t="shared" si="483"/>
        <v>3.7460734105194617E-3</v>
      </c>
      <c r="X391" s="176">
        <f t="shared" si="483"/>
        <v>3.7460734105194617E-3</v>
      </c>
      <c r="Y391" s="34">
        <f>X391/Calculation_sheet!M$67</f>
        <v>3.7461500043421995E-3</v>
      </c>
      <c r="Z391" s="176">
        <f ca="1">IF(AN391&gt;0,Y391*Calculation_sheet!C$87,0)</f>
        <v>0</v>
      </c>
      <c r="AA391" s="176">
        <f t="shared" ca="1" si="410"/>
        <v>3.7461500043421995E-3</v>
      </c>
      <c r="AB391" s="176">
        <f ca="1">IF(AP391&gt;0,AA391*Calculation_sheet!C$94,0)</f>
        <v>0</v>
      </c>
      <c r="AC391" s="176">
        <f t="shared" ca="1" si="473"/>
        <v>3.7461500043421995E-3</v>
      </c>
      <c r="AD391" s="958">
        <f ca="1">AC391*Calculation_sheet!C$99</f>
        <v>2.2476900026053197E-3</v>
      </c>
      <c r="AE391" s="176">
        <f t="shared" ca="1" si="473"/>
        <v>1.4984600017368798E-3</v>
      </c>
      <c r="AF391" s="176">
        <f t="shared" ca="1" si="474"/>
        <v>3.7461500043421995E-3</v>
      </c>
      <c r="AG391" s="958">
        <f ca="1">AF391*User_sheet!B$77/100</f>
        <v>0</v>
      </c>
      <c r="AH391" s="313"/>
      <c r="AI391" s="910">
        <v>204</v>
      </c>
      <c r="AJ391" s="313"/>
      <c r="AK391" s="1020">
        <f t="shared" ca="1" si="404"/>
        <v>149.64632628586426</v>
      </c>
      <c r="AL391" s="954">
        <f ca="1">AK391/'204'!I$24</f>
        <v>0.5462541569113496</v>
      </c>
      <c r="AM391" s="954">
        <f ca="1">0.8*(AK391*30+'204'!D$17*0.34*30*1)</f>
        <v>7176.5976308607424</v>
      </c>
      <c r="AN391" s="954">
        <f ca="1">IF(AM391&lt;User_sheet!B$50,Y391,0)</f>
        <v>3.7461500043421995E-3</v>
      </c>
      <c r="AO391" s="954">
        <f ca="1">20-(User_sheet!B$57/(AK391+'204'!D$17*1*0.34))</f>
        <v>0.93804236540532671</v>
      </c>
      <c r="AP391" s="954">
        <f ca="1">IF(AO391&lt;User_sheet!B$59,0,BC391*AA391)</f>
        <v>0</v>
      </c>
      <c r="AQ391" s="313"/>
      <c r="AR391" s="909">
        <v>0.24</v>
      </c>
      <c r="AS391" s="909">
        <v>0.32</v>
      </c>
      <c r="AT391" s="909">
        <v>0.45</v>
      </c>
      <c r="AU391" s="909">
        <v>2</v>
      </c>
      <c r="AV391" s="909">
        <v>3.3</v>
      </c>
      <c r="AW391" s="909">
        <v>14536.85461731979</v>
      </c>
      <c r="AX391" s="909">
        <v>73366.155837550017</v>
      </c>
      <c r="AY391" s="909">
        <v>65937.809199439725</v>
      </c>
      <c r="AZ391" s="917">
        <v>0</v>
      </c>
      <c r="BA391" s="917">
        <v>0</v>
      </c>
      <c r="BB391" s="909">
        <v>0.6</v>
      </c>
      <c r="BC391" s="919">
        <v>0</v>
      </c>
      <c r="BD391" s="920">
        <v>1</v>
      </c>
      <c r="BE391" s="920">
        <v>0</v>
      </c>
      <c r="BF391" s="921">
        <v>0</v>
      </c>
      <c r="BG391" s="909">
        <v>1</v>
      </c>
      <c r="BH391" s="909">
        <v>0</v>
      </c>
      <c r="BI391" s="921">
        <v>0</v>
      </c>
      <c r="BJ391" s="909">
        <v>0</v>
      </c>
      <c r="BK391" s="909">
        <v>1</v>
      </c>
      <c r="BL391" s="909">
        <v>0</v>
      </c>
      <c r="BM391" s="921">
        <v>0</v>
      </c>
      <c r="BN391" s="958">
        <v>0.08</v>
      </c>
      <c r="BO391" s="959">
        <v>6</v>
      </c>
      <c r="BP391">
        <f t="shared" ca="1" si="475"/>
        <v>150</v>
      </c>
      <c r="BQ391">
        <f t="shared" ca="1" si="476"/>
        <v>372.82075000000003</v>
      </c>
      <c r="BR391">
        <f t="shared" ca="1" si="477"/>
        <v>111</v>
      </c>
      <c r="BS391">
        <f t="shared" ca="1" si="478"/>
        <v>120</v>
      </c>
      <c r="BT391">
        <f t="shared" ca="1" si="479"/>
        <v>86.25</v>
      </c>
      <c r="BU391">
        <f t="shared" ca="1" si="480"/>
        <v>14.5</v>
      </c>
      <c r="BV391">
        <f t="shared" ca="1" si="481"/>
        <v>9.3000000000000007</v>
      </c>
      <c r="BW391" s="1018">
        <v>0</v>
      </c>
      <c r="BX391">
        <f t="shared" ca="1" si="432"/>
        <v>25.576036866359445</v>
      </c>
      <c r="BY391">
        <f t="shared" ca="1" si="433"/>
        <v>36.382011116725614</v>
      </c>
      <c r="BZ391">
        <f t="shared" ca="1" si="405"/>
        <v>11.881377551020408</v>
      </c>
      <c r="CA391">
        <f t="shared" ca="1" si="406"/>
        <v>28.999999988399999</v>
      </c>
      <c r="CB391">
        <f t="shared" ca="1" si="434"/>
        <v>19.522900763358777</v>
      </c>
      <c r="CC391" s="1018">
        <f t="shared" si="407"/>
        <v>0</v>
      </c>
      <c r="CD391" s="1018">
        <f t="shared" ca="1" si="484"/>
        <v>149.64632628586426</v>
      </c>
      <c r="CE391" s="1018">
        <f t="shared" ca="1" si="482"/>
        <v>62.113955326134437</v>
      </c>
      <c r="CF391">
        <f t="shared" ca="1" si="408"/>
        <v>6.3528084483599603</v>
      </c>
      <c r="CG391">
        <f t="shared" ca="1" si="409"/>
        <v>10577.171954181402</v>
      </c>
    </row>
    <row r="392" spans="4:85" x14ac:dyDescent="0.25">
      <c r="D392" s="594"/>
      <c r="E392" s="593"/>
      <c r="F392" s="594"/>
      <c r="G392" s="593"/>
      <c r="H392" s="594"/>
      <c r="I392" s="593"/>
      <c r="J392" s="594"/>
      <c r="K392" s="594"/>
      <c r="L392" s="594"/>
      <c r="M392" s="594"/>
      <c r="N392" s="594"/>
      <c r="O392" s="594" t="s">
        <v>18</v>
      </c>
      <c r="P392" s="596">
        <v>0.96078431399999997</v>
      </c>
      <c r="Q392" s="594" t="s">
        <v>7</v>
      </c>
      <c r="R392" s="596">
        <v>0.19</v>
      </c>
      <c r="S392" s="594"/>
      <c r="T392" s="605">
        <v>8.7870857777616997E-4</v>
      </c>
      <c r="U392" s="593"/>
      <c r="V392" s="176">
        <f t="shared" si="472"/>
        <v>8.7870857777616997E-4</v>
      </c>
      <c r="W392" s="176">
        <f t="shared" si="483"/>
        <v>8.7870857777616997E-4</v>
      </c>
      <c r="X392" s="176">
        <f t="shared" si="483"/>
        <v>8.7870857777616997E-4</v>
      </c>
      <c r="Y392" s="34">
        <f>X392/Calculation_sheet!M$67</f>
        <v>8.7872654422841714E-4</v>
      </c>
      <c r="Z392" s="176">
        <f ca="1">IF(AN392&gt;0,Y392*Calculation_sheet!C$87,0)</f>
        <v>0</v>
      </c>
      <c r="AA392" s="176">
        <f t="shared" ca="1" si="410"/>
        <v>8.7872654422841714E-4</v>
      </c>
      <c r="AB392" s="176">
        <f ca="1">IF(AP392&gt;0,AA392*Calculation_sheet!C$94,0)</f>
        <v>0</v>
      </c>
      <c r="AC392" s="176">
        <f t="shared" ca="1" si="473"/>
        <v>8.7872654422841714E-4</v>
      </c>
      <c r="AD392" s="958">
        <f ca="1">AC392*Calculation_sheet!C$99</f>
        <v>5.2723592653705024E-4</v>
      </c>
      <c r="AE392" s="176">
        <f t="shared" ca="1" si="473"/>
        <v>3.514906176913669E-4</v>
      </c>
      <c r="AF392" s="176">
        <f t="shared" ca="1" si="474"/>
        <v>8.7872654422841714E-4</v>
      </c>
      <c r="AG392" s="958">
        <f ca="1">AF392*User_sheet!B$77/100</f>
        <v>0</v>
      </c>
      <c r="AH392" s="313"/>
      <c r="AI392" s="910">
        <v>204</v>
      </c>
      <c r="AJ392" s="313"/>
      <c r="AK392" s="1020">
        <f t="shared" ca="1" si="404"/>
        <v>149.64632628586426</v>
      </c>
      <c r="AL392" s="954">
        <f ca="1">AK392/'204'!I$24</f>
        <v>0.5462541569113496</v>
      </c>
      <c r="AM392" s="954">
        <f ca="1">0.8*(AK392*30+'204'!D$17*0.34*30*1)</f>
        <v>7176.5976308607424</v>
      </c>
      <c r="AN392" s="954">
        <f ca="1">IF(AM392&lt;User_sheet!B$50,Y392,0)</f>
        <v>8.7872654422841714E-4</v>
      </c>
      <c r="AO392" s="954">
        <f ca="1">20-(User_sheet!B$57/(AK392+'204'!D$17*1*0.34))</f>
        <v>0.93804236540532671</v>
      </c>
      <c r="AP392" s="954">
        <f ca="1">IF(AO392&lt;User_sheet!B$59,0,BC392*AA392)</f>
        <v>0</v>
      </c>
      <c r="AQ392" s="313"/>
      <c r="AR392" s="909">
        <v>0.24</v>
      </c>
      <c r="AS392" s="909">
        <v>0.32</v>
      </c>
      <c r="AT392" s="909">
        <v>0.45</v>
      </c>
      <c r="AU392" s="909">
        <v>2</v>
      </c>
      <c r="AV392" s="909">
        <v>3.3</v>
      </c>
      <c r="AW392" s="909">
        <v>14536.85461731979</v>
      </c>
      <c r="AX392" s="909">
        <v>73366.155837550017</v>
      </c>
      <c r="AY392" s="909">
        <v>65937.809199439725</v>
      </c>
      <c r="AZ392" s="917">
        <v>0</v>
      </c>
      <c r="BA392" s="917">
        <v>0</v>
      </c>
      <c r="BB392" s="909">
        <v>0.6</v>
      </c>
      <c r="BC392" s="919">
        <v>0</v>
      </c>
      <c r="BD392" s="920">
        <v>1</v>
      </c>
      <c r="BE392" s="920">
        <v>0</v>
      </c>
      <c r="BF392" s="921">
        <v>0</v>
      </c>
      <c r="BG392" s="909">
        <v>1</v>
      </c>
      <c r="BH392" s="909">
        <v>0</v>
      </c>
      <c r="BI392" s="921">
        <v>0</v>
      </c>
      <c r="BJ392" s="909">
        <v>0</v>
      </c>
      <c r="BK392" s="909">
        <v>0</v>
      </c>
      <c r="BL392" s="909">
        <v>1</v>
      </c>
      <c r="BM392" s="921">
        <v>0</v>
      </c>
      <c r="BN392" s="958">
        <v>0.08</v>
      </c>
      <c r="BO392" s="959">
        <v>6</v>
      </c>
      <c r="BP392">
        <f t="shared" ca="1" si="475"/>
        <v>150</v>
      </c>
      <c r="BQ392">
        <f t="shared" ca="1" si="476"/>
        <v>372.82075000000003</v>
      </c>
      <c r="BR392">
        <f t="shared" ca="1" si="477"/>
        <v>111</v>
      </c>
      <c r="BS392">
        <f t="shared" ca="1" si="478"/>
        <v>120</v>
      </c>
      <c r="BT392">
        <f t="shared" ca="1" si="479"/>
        <v>86.25</v>
      </c>
      <c r="BU392">
        <f t="shared" ca="1" si="480"/>
        <v>14.5</v>
      </c>
      <c r="BV392">
        <f t="shared" ca="1" si="481"/>
        <v>9.3000000000000007</v>
      </c>
      <c r="BW392" s="1018">
        <v>0</v>
      </c>
      <c r="BX392">
        <f t="shared" ca="1" si="432"/>
        <v>25.576036866359445</v>
      </c>
      <c r="BY392">
        <f t="shared" ca="1" si="433"/>
        <v>36.382011116725614</v>
      </c>
      <c r="BZ392">
        <f t="shared" ca="1" si="405"/>
        <v>11.881377551020408</v>
      </c>
      <c r="CA392">
        <f t="shared" ca="1" si="406"/>
        <v>28.999999988399999</v>
      </c>
      <c r="CB392">
        <f t="shared" ca="1" si="434"/>
        <v>19.522900763358777</v>
      </c>
      <c r="CC392" s="1018">
        <f t="shared" si="407"/>
        <v>0</v>
      </c>
      <c r="CD392" s="1018">
        <f t="shared" ca="1" si="484"/>
        <v>149.64632628586426</v>
      </c>
      <c r="CE392" s="1018">
        <f t="shared" ca="1" si="482"/>
        <v>62.113955326134437</v>
      </c>
      <c r="CF392">
        <f t="shared" ca="1" si="408"/>
        <v>6.3528084483599603</v>
      </c>
      <c r="CG392">
        <f t="shared" ca="1" si="409"/>
        <v>10577.171954181402</v>
      </c>
    </row>
    <row r="393" spans="4:85" x14ac:dyDescent="0.25">
      <c r="D393" s="594"/>
      <c r="E393" s="593"/>
      <c r="F393" s="594"/>
      <c r="G393" s="593"/>
      <c r="H393" s="594"/>
      <c r="I393" s="593"/>
      <c r="J393" s="594"/>
      <c r="K393" s="594"/>
      <c r="L393" s="594"/>
      <c r="M393" s="594"/>
      <c r="N393" s="594"/>
      <c r="O393" s="594"/>
      <c r="P393" s="594"/>
      <c r="Q393" s="594" t="s">
        <v>22</v>
      </c>
      <c r="R393" s="596">
        <v>0.81</v>
      </c>
      <c r="S393" s="594"/>
      <c r="T393" s="605">
        <v>1.5290095441741395E-4</v>
      </c>
      <c r="U393" s="593"/>
      <c r="V393" s="176">
        <f t="shared" si="472"/>
        <v>1.5290095441741395E-4</v>
      </c>
      <c r="W393" s="176">
        <f t="shared" si="483"/>
        <v>1.5290095441741395E-4</v>
      </c>
      <c r="X393" s="176">
        <f t="shared" si="483"/>
        <v>1.5290095441741395E-4</v>
      </c>
      <c r="Y393" s="34">
        <f>X393/Calculation_sheet!M$67</f>
        <v>1.5290408069587027E-4</v>
      </c>
      <c r="Z393" s="176">
        <f ca="1">IF(AN393&gt;0,Y393*Calculation_sheet!C$87,0)</f>
        <v>0</v>
      </c>
      <c r="AA393" s="176">
        <f t="shared" ca="1" si="410"/>
        <v>1.5290408069587027E-4</v>
      </c>
      <c r="AB393" s="176">
        <f ca="1">IF(AP393&gt;0,AA393*Calculation_sheet!C$94,0)</f>
        <v>0</v>
      </c>
      <c r="AC393" s="176">
        <f t="shared" ca="1" si="473"/>
        <v>1.5290408069587027E-4</v>
      </c>
      <c r="AD393" s="958">
        <f ca="1">AC393*Calculation_sheet!C$99</f>
        <v>9.1742448417522166E-5</v>
      </c>
      <c r="AE393" s="176">
        <f t="shared" ca="1" si="473"/>
        <v>6.1161632278348106E-5</v>
      </c>
      <c r="AF393" s="176">
        <f t="shared" ca="1" si="474"/>
        <v>1.5290408069587027E-4</v>
      </c>
      <c r="AG393" s="958">
        <f ca="1">AF393*User_sheet!B$77/100</f>
        <v>0</v>
      </c>
      <c r="AH393" s="313"/>
      <c r="AI393" s="910">
        <v>204</v>
      </c>
      <c r="AJ393" s="313"/>
      <c r="AK393" s="1020">
        <f t="shared" ca="1" si="404"/>
        <v>149.64632628586426</v>
      </c>
      <c r="AL393" s="954">
        <f ca="1">AK393/'204'!I$24</f>
        <v>0.5462541569113496</v>
      </c>
      <c r="AM393" s="954">
        <f ca="1">0.8*(AK393*30+'204'!D$17*0.34*30*1)</f>
        <v>7176.5976308607424</v>
      </c>
      <c r="AN393" s="954">
        <f ca="1">IF(AM393&lt;User_sheet!B$50,Y393,0)</f>
        <v>1.5290408069587027E-4</v>
      </c>
      <c r="AO393" s="954">
        <f ca="1">20-(User_sheet!B$57/(AK393+'204'!D$17*1*0.34))</f>
        <v>0.93804236540532671</v>
      </c>
      <c r="AP393" s="954">
        <f ca="1">IF(AO393&lt;User_sheet!B$59,0,BC393*AA393)</f>
        <v>0</v>
      </c>
      <c r="AQ393" s="313"/>
      <c r="AR393" s="909">
        <v>0.24</v>
      </c>
      <c r="AS393" s="909">
        <v>0.32</v>
      </c>
      <c r="AT393" s="909">
        <v>0.45</v>
      </c>
      <c r="AU393" s="909">
        <v>2</v>
      </c>
      <c r="AV393" s="909">
        <v>3.3</v>
      </c>
      <c r="AW393" s="909">
        <v>14536.85461731979</v>
      </c>
      <c r="AX393" s="909">
        <v>73366.155837550017</v>
      </c>
      <c r="AY393" s="909">
        <v>65937.809199439725</v>
      </c>
      <c r="AZ393" s="917">
        <v>0</v>
      </c>
      <c r="BA393" s="917">
        <v>0</v>
      </c>
      <c r="BB393" s="909">
        <v>0.6</v>
      </c>
      <c r="BC393" s="919">
        <v>0</v>
      </c>
      <c r="BD393" s="920">
        <v>1</v>
      </c>
      <c r="BE393" s="920">
        <v>0</v>
      </c>
      <c r="BF393" s="921">
        <v>0</v>
      </c>
      <c r="BG393" s="909">
        <v>0</v>
      </c>
      <c r="BH393" s="909">
        <v>1</v>
      </c>
      <c r="BI393" s="921">
        <v>0</v>
      </c>
      <c r="BJ393" s="909">
        <v>0</v>
      </c>
      <c r="BK393" s="909">
        <v>1</v>
      </c>
      <c r="BL393" s="909">
        <v>0</v>
      </c>
      <c r="BM393" s="921">
        <v>0</v>
      </c>
      <c r="BN393" s="958">
        <v>0.08</v>
      </c>
      <c r="BO393" s="959">
        <v>6</v>
      </c>
      <c r="BP393">
        <f t="shared" ca="1" si="475"/>
        <v>150</v>
      </c>
      <c r="BQ393">
        <f t="shared" ca="1" si="476"/>
        <v>372.82075000000003</v>
      </c>
      <c r="BR393">
        <f t="shared" ca="1" si="477"/>
        <v>111</v>
      </c>
      <c r="BS393">
        <f t="shared" ca="1" si="478"/>
        <v>120</v>
      </c>
      <c r="BT393">
        <f t="shared" ca="1" si="479"/>
        <v>86.25</v>
      </c>
      <c r="BU393">
        <f t="shared" ca="1" si="480"/>
        <v>14.5</v>
      </c>
      <c r="BV393">
        <f t="shared" ca="1" si="481"/>
        <v>9.3000000000000007</v>
      </c>
      <c r="BW393" s="1018">
        <v>0</v>
      </c>
      <c r="BX393">
        <f t="shared" ca="1" si="432"/>
        <v>25.576036866359445</v>
      </c>
      <c r="BY393">
        <f t="shared" ca="1" si="433"/>
        <v>36.382011116725614</v>
      </c>
      <c r="BZ393">
        <f t="shared" ca="1" si="405"/>
        <v>11.881377551020408</v>
      </c>
      <c r="CA393">
        <f t="shared" ca="1" si="406"/>
        <v>28.999999988399999</v>
      </c>
      <c r="CB393">
        <f t="shared" ca="1" si="434"/>
        <v>19.522900763358777</v>
      </c>
      <c r="CC393" s="1018">
        <f t="shared" si="407"/>
        <v>0</v>
      </c>
      <c r="CD393" s="1018">
        <f t="shared" ca="1" si="484"/>
        <v>149.64632628586426</v>
      </c>
      <c r="CE393" s="1018">
        <f t="shared" ca="1" si="482"/>
        <v>62.113955326134437</v>
      </c>
      <c r="CF393">
        <f t="shared" ca="1" si="408"/>
        <v>6.3528084483599603</v>
      </c>
      <c r="CG393">
        <f t="shared" ca="1" si="409"/>
        <v>10577.171954181402</v>
      </c>
    </row>
    <row r="394" spans="4:85" x14ac:dyDescent="0.25">
      <c r="D394" s="594"/>
      <c r="E394" s="593"/>
      <c r="F394" s="594"/>
      <c r="G394" s="593"/>
      <c r="H394" s="594"/>
      <c r="I394" s="593"/>
      <c r="J394" s="594"/>
      <c r="K394" s="594"/>
      <c r="L394" s="594"/>
      <c r="M394" s="594" t="s">
        <v>22</v>
      </c>
      <c r="N394" s="596">
        <v>0.375</v>
      </c>
      <c r="O394" s="594" t="s">
        <v>20</v>
      </c>
      <c r="P394" s="596">
        <v>3.9215686E-2</v>
      </c>
      <c r="Q394" s="594" t="s">
        <v>7</v>
      </c>
      <c r="R394" s="596">
        <v>0.19</v>
      </c>
      <c r="S394" s="594"/>
      <c r="T394" s="605">
        <v>3.5865655974455117E-5</v>
      </c>
      <c r="U394" s="593"/>
      <c r="V394" s="176">
        <f t="shared" si="472"/>
        <v>3.5865655974455117E-5</v>
      </c>
      <c r="W394" s="176">
        <f t="shared" si="483"/>
        <v>3.5865655974455117E-5</v>
      </c>
      <c r="X394" s="176">
        <f t="shared" si="483"/>
        <v>3.5865655974455117E-5</v>
      </c>
      <c r="Y394" s="34">
        <f>X394/Calculation_sheet!M$67</f>
        <v>3.586638929903129E-5</v>
      </c>
      <c r="Z394" s="176">
        <f ca="1">IF(AN394&gt;0,Y394*Calculation_sheet!C$87,0)</f>
        <v>0</v>
      </c>
      <c r="AA394" s="176">
        <f t="shared" ca="1" si="410"/>
        <v>3.586638929903129E-5</v>
      </c>
      <c r="AB394" s="176">
        <f ca="1">IF(AP394&gt;0,AA394*Calculation_sheet!C$94,0)</f>
        <v>0</v>
      </c>
      <c r="AC394" s="176">
        <f t="shared" ca="1" si="473"/>
        <v>3.586638929903129E-5</v>
      </c>
      <c r="AD394" s="958">
        <f ca="1">AC394*Calculation_sheet!C$99</f>
        <v>2.1519833579418773E-5</v>
      </c>
      <c r="AE394" s="176">
        <f t="shared" ca="1" si="473"/>
        <v>1.4346555719612517E-5</v>
      </c>
      <c r="AF394" s="176">
        <f t="shared" ca="1" si="474"/>
        <v>3.586638929903129E-5</v>
      </c>
      <c r="AG394" s="958">
        <f ca="1">AF394*User_sheet!B$77/100</f>
        <v>0</v>
      </c>
      <c r="AH394" s="313"/>
      <c r="AI394" s="910">
        <v>204</v>
      </c>
      <c r="AJ394" s="313"/>
      <c r="AK394" s="1020">
        <f t="shared" ca="1" si="404"/>
        <v>149.64632628586426</v>
      </c>
      <c r="AL394" s="954">
        <f ca="1">AK394/'204'!I$24</f>
        <v>0.5462541569113496</v>
      </c>
      <c r="AM394" s="954">
        <f ca="1">0.8*(AK394*30+'204'!D$17*0.34*30*1)</f>
        <v>7176.5976308607424</v>
      </c>
      <c r="AN394" s="954">
        <f ca="1">IF(AM394&lt;User_sheet!B$50,Y394,0)</f>
        <v>3.586638929903129E-5</v>
      </c>
      <c r="AO394" s="954">
        <f ca="1">20-(User_sheet!B$57/(AK394+'204'!D$17*1*0.34))</f>
        <v>0.93804236540532671</v>
      </c>
      <c r="AP394" s="954">
        <f ca="1">IF(AO394&lt;User_sheet!B$59,0,BC394*AA394)</f>
        <v>0</v>
      </c>
      <c r="AQ394" s="313"/>
      <c r="AR394" s="909">
        <v>0.24</v>
      </c>
      <c r="AS394" s="909">
        <v>0.32</v>
      </c>
      <c r="AT394" s="909">
        <v>0.45</v>
      </c>
      <c r="AU394" s="909">
        <v>2</v>
      </c>
      <c r="AV394" s="909">
        <v>3.3</v>
      </c>
      <c r="AW394" s="909">
        <v>14536.85461731979</v>
      </c>
      <c r="AX394" s="909">
        <v>73366.155837550017</v>
      </c>
      <c r="AY394" s="909">
        <v>65937.809199439725</v>
      </c>
      <c r="AZ394" s="917">
        <v>0</v>
      </c>
      <c r="BA394" s="917">
        <v>0</v>
      </c>
      <c r="BB394" s="909">
        <v>0.6</v>
      </c>
      <c r="BC394" s="919">
        <v>0</v>
      </c>
      <c r="BD394" s="920">
        <v>1</v>
      </c>
      <c r="BE394" s="920">
        <v>0</v>
      </c>
      <c r="BF394" s="921">
        <v>0</v>
      </c>
      <c r="BG394" s="909">
        <v>0</v>
      </c>
      <c r="BH394" s="909">
        <v>1</v>
      </c>
      <c r="BI394" s="921">
        <v>0</v>
      </c>
      <c r="BJ394" s="909">
        <v>0</v>
      </c>
      <c r="BK394" s="909">
        <v>0</v>
      </c>
      <c r="BL394" s="909">
        <v>1</v>
      </c>
      <c r="BM394" s="921">
        <v>0</v>
      </c>
      <c r="BN394" s="958">
        <v>0.08</v>
      </c>
      <c r="BO394" s="959">
        <v>6</v>
      </c>
      <c r="BP394">
        <f t="shared" ca="1" si="475"/>
        <v>150</v>
      </c>
      <c r="BQ394">
        <f t="shared" ca="1" si="476"/>
        <v>372.82075000000003</v>
      </c>
      <c r="BR394">
        <f t="shared" ca="1" si="477"/>
        <v>111</v>
      </c>
      <c r="BS394">
        <f t="shared" ca="1" si="478"/>
        <v>120</v>
      </c>
      <c r="BT394">
        <f t="shared" ca="1" si="479"/>
        <v>86.25</v>
      </c>
      <c r="BU394">
        <f t="shared" ca="1" si="480"/>
        <v>14.5</v>
      </c>
      <c r="BV394">
        <f t="shared" ca="1" si="481"/>
        <v>9.3000000000000007</v>
      </c>
      <c r="BW394" s="1018">
        <v>0</v>
      </c>
      <c r="BX394">
        <f t="shared" ca="1" si="432"/>
        <v>25.576036866359445</v>
      </c>
      <c r="BY394">
        <f t="shared" ca="1" si="433"/>
        <v>36.382011116725614</v>
      </c>
      <c r="BZ394">
        <f t="shared" ca="1" si="405"/>
        <v>11.881377551020408</v>
      </c>
      <c r="CA394">
        <f t="shared" ca="1" si="406"/>
        <v>28.999999988399999</v>
      </c>
      <c r="CB394">
        <f t="shared" ca="1" si="434"/>
        <v>19.522900763358777</v>
      </c>
      <c r="CC394" s="1018">
        <f t="shared" si="407"/>
        <v>0</v>
      </c>
      <c r="CD394" s="1018">
        <f t="shared" ca="1" si="484"/>
        <v>149.64632628586426</v>
      </c>
      <c r="CE394" s="1018">
        <f t="shared" ca="1" si="482"/>
        <v>62.113955326134437</v>
      </c>
      <c r="CF394">
        <f t="shared" ca="1" si="408"/>
        <v>6.3528084483599603</v>
      </c>
      <c r="CG394">
        <f t="shared" ca="1" si="409"/>
        <v>10577.171954181402</v>
      </c>
    </row>
    <row r="395" spans="4:85" x14ac:dyDescent="0.25">
      <c r="D395" s="594"/>
      <c r="E395" s="593" t="s">
        <v>4</v>
      </c>
      <c r="F395" s="598">
        <v>0.87</v>
      </c>
      <c r="G395" s="593" t="s">
        <v>5</v>
      </c>
      <c r="H395" s="598">
        <v>1</v>
      </c>
      <c r="I395" s="593" t="s">
        <v>6</v>
      </c>
      <c r="J395" s="598">
        <v>1</v>
      </c>
      <c r="K395" s="597" t="s">
        <v>12</v>
      </c>
      <c r="L395" s="598">
        <v>0.73899999999999999</v>
      </c>
      <c r="M395" s="594" t="s">
        <v>7</v>
      </c>
      <c r="N395" s="596">
        <v>0.125</v>
      </c>
      <c r="O395" s="594" t="s">
        <v>23</v>
      </c>
      <c r="P395" s="596">
        <v>1</v>
      </c>
      <c r="Q395" s="594" t="s">
        <v>7</v>
      </c>
      <c r="R395" s="596">
        <v>1</v>
      </c>
      <c r="S395" s="594"/>
      <c r="T395" s="605">
        <v>1.6045161995625003E-3</v>
      </c>
      <c r="U395" s="593"/>
      <c r="V395" s="176">
        <f t="shared" si="472"/>
        <v>1.6045161995625003E-3</v>
      </c>
      <c r="W395" s="176">
        <f t="shared" si="483"/>
        <v>1.6045161995625003E-3</v>
      </c>
      <c r="X395" s="176">
        <f t="shared" si="483"/>
        <v>1.6045161995625003E-3</v>
      </c>
      <c r="Y395" s="34">
        <f>X395/Calculation_sheet!M$67</f>
        <v>1.6045490061885061E-3</v>
      </c>
      <c r="Z395" s="176">
        <f ca="1">IF(AN395&gt;0,Y395*Calculation_sheet!C$87,0)</f>
        <v>0</v>
      </c>
      <c r="AA395" s="176">
        <f t="shared" ca="1" si="410"/>
        <v>1.6045490061885061E-3</v>
      </c>
      <c r="AB395" s="176">
        <f ca="1">IF(AP395&gt;0,AA395*Calculation_sheet!C$94,0)</f>
        <v>0</v>
      </c>
      <c r="AC395" s="176">
        <f t="shared" ca="1" si="473"/>
        <v>1.6045490061885061E-3</v>
      </c>
      <c r="AD395" s="958">
        <f ca="1">AC395*Calculation_sheet!C$99</f>
        <v>9.6272940371310359E-4</v>
      </c>
      <c r="AE395" s="176">
        <f t="shared" ca="1" si="473"/>
        <v>6.4181960247540254E-4</v>
      </c>
      <c r="AF395" s="176">
        <f t="shared" ca="1" si="474"/>
        <v>1.6045490061885061E-3</v>
      </c>
      <c r="AG395" s="958">
        <f ca="1">AF395*User_sheet!B$77/100</f>
        <v>0</v>
      </c>
      <c r="AH395" s="313"/>
      <c r="AI395" s="910">
        <v>204</v>
      </c>
      <c r="AJ395" s="313"/>
      <c r="AK395" s="1020">
        <f t="shared" ca="1" si="404"/>
        <v>149.64632628586426</v>
      </c>
      <c r="AL395" s="954">
        <f ca="1">AK395/'204'!I$24</f>
        <v>0.5462541569113496</v>
      </c>
      <c r="AM395" s="954">
        <f ca="1">0.8*(AK395*30+'204'!D$17*0.34*30*1)</f>
        <v>7176.5976308607424</v>
      </c>
      <c r="AN395" s="954">
        <f ca="1">IF(AM395&lt;User_sheet!B$50,Y395,0)</f>
        <v>1.6045490061885061E-3</v>
      </c>
      <c r="AO395" s="954">
        <f ca="1">20-(User_sheet!B$57/(AK395+'204'!D$17*1*0.34))</f>
        <v>0.93804236540532671</v>
      </c>
      <c r="AP395" s="954">
        <f ca="1">IF(AO395&lt;User_sheet!B$59,0,BC395*AA395)</f>
        <v>0</v>
      </c>
      <c r="AQ395" s="313"/>
      <c r="AR395" s="909">
        <v>0.24</v>
      </c>
      <c r="AS395" s="909">
        <v>0.32</v>
      </c>
      <c r="AT395" s="909">
        <v>0.45</v>
      </c>
      <c r="AU395" s="909">
        <v>2</v>
      </c>
      <c r="AV395" s="909">
        <v>3.3</v>
      </c>
      <c r="AW395" s="909">
        <v>14536.85461731979</v>
      </c>
      <c r="AX395" s="909">
        <v>73366.155837550017</v>
      </c>
      <c r="AY395" s="909">
        <v>65937.809199439725</v>
      </c>
      <c r="AZ395" s="917">
        <v>0</v>
      </c>
      <c r="BA395" s="917">
        <v>0</v>
      </c>
      <c r="BB395" s="909">
        <v>0.6</v>
      </c>
      <c r="BC395" s="919">
        <v>0</v>
      </c>
      <c r="BD395" s="920">
        <v>0</v>
      </c>
      <c r="BE395" s="920">
        <v>1</v>
      </c>
      <c r="BF395" s="921">
        <v>0</v>
      </c>
      <c r="BG395" s="909">
        <v>0</v>
      </c>
      <c r="BH395" s="909">
        <v>0</v>
      </c>
      <c r="BI395" s="921">
        <v>1</v>
      </c>
      <c r="BJ395" s="909">
        <v>0</v>
      </c>
      <c r="BK395" s="909">
        <v>0</v>
      </c>
      <c r="BL395" s="909">
        <v>1</v>
      </c>
      <c r="BM395" s="921">
        <v>0</v>
      </c>
      <c r="BN395" s="958">
        <v>0.08</v>
      </c>
      <c r="BO395" s="959">
        <v>6</v>
      </c>
      <c r="BP395">
        <f t="shared" ca="1" si="475"/>
        <v>150</v>
      </c>
      <c r="BQ395">
        <f t="shared" ca="1" si="476"/>
        <v>372.82075000000003</v>
      </c>
      <c r="BR395">
        <f t="shared" ca="1" si="477"/>
        <v>111</v>
      </c>
      <c r="BS395">
        <f t="shared" ca="1" si="478"/>
        <v>120</v>
      </c>
      <c r="BT395">
        <f t="shared" ca="1" si="479"/>
        <v>86.25</v>
      </c>
      <c r="BU395">
        <f t="shared" ca="1" si="480"/>
        <v>14.5</v>
      </c>
      <c r="BV395">
        <f t="shared" ca="1" si="481"/>
        <v>9.3000000000000007</v>
      </c>
      <c r="BW395" s="1018">
        <v>0</v>
      </c>
      <c r="BX395">
        <f t="shared" ca="1" si="432"/>
        <v>25.576036866359445</v>
      </c>
      <c r="BY395">
        <f t="shared" ca="1" si="433"/>
        <v>36.382011116725614</v>
      </c>
      <c r="BZ395">
        <f t="shared" ca="1" si="405"/>
        <v>11.881377551020408</v>
      </c>
      <c r="CA395">
        <f t="shared" ca="1" si="406"/>
        <v>28.999999988399999</v>
      </c>
      <c r="CB395">
        <f t="shared" ca="1" si="434"/>
        <v>19.522900763358777</v>
      </c>
      <c r="CC395" s="1018">
        <f t="shared" si="407"/>
        <v>0</v>
      </c>
      <c r="CD395" s="1018">
        <f t="shared" ca="1" si="484"/>
        <v>149.64632628586426</v>
      </c>
      <c r="CE395" s="1018">
        <f t="shared" ca="1" si="482"/>
        <v>62.113955326134437</v>
      </c>
      <c r="CF395">
        <f t="shared" ca="1" si="408"/>
        <v>6.3528084483599603</v>
      </c>
      <c r="CG395">
        <f t="shared" ca="1" si="409"/>
        <v>10577.171954181402</v>
      </c>
    </row>
    <row r="396" spans="4:85" s="11" customFormat="1" x14ac:dyDescent="0.25">
      <c r="D396" s="608"/>
      <c r="E396" s="607"/>
      <c r="F396" s="608"/>
      <c r="G396" s="607"/>
      <c r="H396" s="608"/>
      <c r="I396" s="607"/>
      <c r="J396" s="608"/>
      <c r="K396" s="609"/>
      <c r="L396" s="608"/>
      <c r="M396" s="608"/>
      <c r="N396" s="608"/>
      <c r="O396" s="608"/>
      <c r="P396" s="608"/>
      <c r="Q396" s="608"/>
      <c r="R396" s="608"/>
      <c r="S396" s="608"/>
      <c r="T396" s="610"/>
      <c r="U396" s="607"/>
      <c r="V396" s="293"/>
      <c r="W396" s="293"/>
      <c r="X396" s="293"/>
      <c r="Y396" s="278"/>
      <c r="Z396" s="292"/>
      <c r="AA396" s="292"/>
      <c r="AB396" s="292"/>
      <c r="AC396" s="292"/>
      <c r="AD396" s="277"/>
      <c r="AE396" s="292"/>
      <c r="AF396" s="292"/>
      <c r="AG396" s="277"/>
      <c r="AH396" s="313"/>
      <c r="AI396" s="923"/>
      <c r="AJ396" s="313"/>
      <c r="AK396" s="1020">
        <f t="shared" si="404"/>
        <v>0</v>
      </c>
      <c r="AL396" s="941"/>
      <c r="AM396" s="941"/>
      <c r="AN396" s="955"/>
      <c r="AO396" s="955"/>
      <c r="AP396" s="955"/>
      <c r="AQ396" s="313"/>
      <c r="AR396" s="923"/>
      <c r="AS396" s="923"/>
      <c r="AT396" s="923"/>
      <c r="AU396" s="923"/>
      <c r="AV396" s="923"/>
      <c r="AW396" s="923"/>
      <c r="AX396" s="923"/>
      <c r="AY396" s="923"/>
      <c r="AZ396" s="923"/>
      <c r="BA396" s="923"/>
      <c r="BB396" s="923"/>
      <c r="BC396" s="896"/>
      <c r="BD396" s="895"/>
      <c r="BE396" s="895"/>
      <c r="BF396" s="907"/>
      <c r="BG396" s="923"/>
      <c r="BH396" s="923"/>
      <c r="BI396" s="907"/>
      <c r="BJ396" s="923"/>
      <c r="BK396" s="923"/>
      <c r="BL396" s="923"/>
      <c r="BM396" s="907"/>
      <c r="BN396" s="893"/>
      <c r="BO396" s="894"/>
      <c r="BW396" s="946"/>
      <c r="CC396" s="946"/>
      <c r="CD396" s="946"/>
      <c r="CE396" s="946"/>
    </row>
    <row r="397" spans="4:85" s="3" customFormat="1" x14ac:dyDescent="0.25">
      <c r="D397" s="599"/>
      <c r="E397" s="595"/>
      <c r="F397" s="599"/>
      <c r="G397" s="595"/>
      <c r="H397" s="599"/>
      <c r="I397" s="595"/>
      <c r="J397" s="599"/>
      <c r="K397" s="600"/>
      <c r="L397" s="599"/>
      <c r="M397" s="594"/>
      <c r="N397" s="594"/>
      <c r="O397" s="594"/>
      <c r="P397" s="594"/>
      <c r="Q397" s="594" t="s">
        <v>16</v>
      </c>
      <c r="R397" s="596">
        <v>0.81069999999999998</v>
      </c>
      <c r="S397" s="594"/>
      <c r="T397" s="605">
        <v>1.7680320327093252E-3</v>
      </c>
      <c r="U397" s="593"/>
      <c r="V397" s="176">
        <f t="shared" ref="V397:V405" si="485">T397</f>
        <v>1.7680320327093252E-3</v>
      </c>
      <c r="W397" s="176">
        <f>V397</f>
        <v>1.7680320327093252E-3</v>
      </c>
      <c r="X397" s="176">
        <f>W397</f>
        <v>1.7680320327093252E-3</v>
      </c>
      <c r="Y397" s="958">
        <f>X397/Calculation_sheet!M$67</f>
        <v>1.7680681826501481E-3</v>
      </c>
      <c r="Z397" s="176">
        <f ca="1">IF(AN397&gt;0,Y397*Calculation_sheet!C$87,0)</f>
        <v>0</v>
      </c>
      <c r="AA397" s="176">
        <f t="shared" ca="1" si="410"/>
        <v>1.7680681826501481E-3</v>
      </c>
      <c r="AB397" s="176">
        <f ca="1">IF(AP397&gt;0,AA397*Calculation_sheet!C$94,0)</f>
        <v>0</v>
      </c>
      <c r="AC397" s="176">
        <f t="shared" ref="AC397:AE405" ca="1" si="486">AA397-AB397</f>
        <v>1.7680681826501481E-3</v>
      </c>
      <c r="AD397" s="958">
        <f ca="1">AC397*Calculation_sheet!C$99</f>
        <v>1.0608409095900888E-3</v>
      </c>
      <c r="AE397" s="176">
        <f t="shared" ca="1" si="486"/>
        <v>7.0722727306005932E-4</v>
      </c>
      <c r="AF397" s="176">
        <f t="shared" ref="AF397:AF405" ca="1" si="487">Y397-AB397</f>
        <v>1.7680681826501481E-3</v>
      </c>
      <c r="AG397" s="958">
        <f ca="1">AF397*User_sheet!B$77/100</f>
        <v>0</v>
      </c>
      <c r="AH397" s="313"/>
      <c r="AI397" s="908">
        <v>204</v>
      </c>
      <c r="AJ397" s="313"/>
      <c r="AK397" s="1020">
        <f t="shared" ca="1" si="404"/>
        <v>158.41759618792696</v>
      </c>
      <c r="AL397" s="954">
        <f ca="1">AK397/'204'!I$24</f>
        <v>0.5782719335204487</v>
      </c>
      <c r="AM397" s="954">
        <f ca="1">0.8*(AK397*30+'204'!D$17*0.34*30*1)</f>
        <v>7387.1081085102478</v>
      </c>
      <c r="AN397" s="954">
        <f ca="1">IF(AM397&lt;User_sheet!B$50,Y397,0)</f>
        <v>1.7680681826501481E-3</v>
      </c>
      <c r="AO397" s="954">
        <f ca="1">20-(User_sheet!B$57/(AK397+'204'!D$17*1*0.34))</f>
        <v>1.4812511214773103</v>
      </c>
      <c r="AP397" s="954">
        <f ca="1">IF(AO397&lt;User_sheet!B$59,0,BC397*AA397)</f>
        <v>0</v>
      </c>
      <c r="AQ397" s="313"/>
      <c r="AR397" s="908">
        <v>0.24</v>
      </c>
      <c r="AS397" s="908">
        <v>0.32</v>
      </c>
      <c r="AT397" s="908">
        <v>0.83</v>
      </c>
      <c r="AU397" s="908">
        <v>2</v>
      </c>
      <c r="AV397" s="908">
        <v>3.3</v>
      </c>
      <c r="AW397" s="908">
        <v>14536.85461731979</v>
      </c>
      <c r="AX397" s="908">
        <v>73366.155837550017</v>
      </c>
      <c r="AY397" s="908">
        <v>69245.59826015502</v>
      </c>
      <c r="AZ397" s="910">
        <v>0</v>
      </c>
      <c r="BA397" s="910">
        <v>0</v>
      </c>
      <c r="BB397" s="908">
        <v>0.6</v>
      </c>
      <c r="BC397" s="899">
        <v>1</v>
      </c>
      <c r="BD397" s="900">
        <v>0</v>
      </c>
      <c r="BE397" s="900">
        <v>0</v>
      </c>
      <c r="BF397" s="901">
        <v>0</v>
      </c>
      <c r="BG397" s="910">
        <v>1</v>
      </c>
      <c r="BH397" s="910">
        <v>0</v>
      </c>
      <c r="BI397" s="901">
        <v>0</v>
      </c>
      <c r="BJ397" s="910">
        <v>1</v>
      </c>
      <c r="BK397" s="910">
        <v>0</v>
      </c>
      <c r="BL397" s="910">
        <v>0</v>
      </c>
      <c r="BM397" s="901">
        <v>0</v>
      </c>
      <c r="BN397" s="958">
        <v>0.08</v>
      </c>
      <c r="BO397" s="959">
        <v>6</v>
      </c>
      <c r="BP397" s="3">
        <f t="shared" ref="BP397:BP405" ca="1" si="488">INDIRECT("'"&amp;AI397&amp;"'!"&amp;"B2")</f>
        <v>150</v>
      </c>
      <c r="BQ397" s="3">
        <f t="shared" ref="BQ397:BQ405" ca="1" si="489">INDIRECT("'"&amp;AI397&amp;"'!"&amp;"C12")+INDIRECT("'"&amp;AI397&amp;"'!"&amp;"C13")+INDIRECT("'"&amp;AI397&amp;"'!"&amp;"C14")+INDIRECT("'"&amp;AI397&amp;"'!"&amp;"C15")+INDIRECT("'"&amp;AI397&amp;"'!"&amp;"C17")</f>
        <v>372.82075000000003</v>
      </c>
      <c r="BR397" s="3">
        <f t="shared" ref="BR397:BR405" ca="1" si="490">INDIRECT("'"&amp;AI397&amp;"'!"&amp;"G5")</f>
        <v>111</v>
      </c>
      <c r="BS397" s="3">
        <f t="shared" ref="BS397:BS405" ca="1" si="491">INDIRECT("'"&amp;AI397&amp;"'!"&amp;"G4")</f>
        <v>120</v>
      </c>
      <c r="BT397" s="3">
        <f t="shared" ref="BT397:BT405" ca="1" si="492">INDIRECT("'"&amp;AI397&amp;"'!"&amp;"G6")</f>
        <v>86.25</v>
      </c>
      <c r="BU397" s="3">
        <f t="shared" ref="BU397:BU405" ca="1" si="493">INDIRECT("'"&amp;AI397&amp;"'!"&amp;"G2")</f>
        <v>14.5</v>
      </c>
      <c r="BV397" s="3">
        <f t="shared" ref="BV397:BV405" ca="1" si="494">INDIRECT("'"&amp;AI397&amp;"'!"&amp;"G3")</f>
        <v>9.3000000000000007</v>
      </c>
      <c r="BW397" s="926">
        <v>0</v>
      </c>
      <c r="BX397" s="3">
        <f t="shared" ca="1" si="432"/>
        <v>25.576036866359445</v>
      </c>
      <c r="BY397" s="3">
        <f t="shared" ca="1" si="433"/>
        <v>36.382011116725614</v>
      </c>
      <c r="BZ397" s="3">
        <f t="shared" ca="1" si="405"/>
        <v>20.652647453083109</v>
      </c>
      <c r="CA397" s="3">
        <f t="shared" ca="1" si="406"/>
        <v>28.999999988399999</v>
      </c>
      <c r="CB397" s="3">
        <f t="shared" ca="1" si="434"/>
        <v>19.522900763358777</v>
      </c>
      <c r="CC397" s="926">
        <f t="shared" si="407"/>
        <v>0</v>
      </c>
      <c r="CD397" s="1018">
        <f ca="1">SUM(BX397:CC397)+(BR397+BS397+BT397+BU397+BV397)*BN397</f>
        <v>158.41759618792696</v>
      </c>
      <c r="CE397" s="1018">
        <f t="shared" ca="1" si="482"/>
        <v>62.113955326134437</v>
      </c>
      <c r="CF397" s="3">
        <f t="shared" ca="1" si="408"/>
        <v>6.615946545421842</v>
      </c>
      <c r="CG397" s="3">
        <f t="shared" ca="1" si="409"/>
        <v>11015.286360265549</v>
      </c>
    </row>
    <row r="398" spans="4:85" s="3" customFormat="1" x14ac:dyDescent="0.25">
      <c r="D398" s="599"/>
      <c r="E398" s="595"/>
      <c r="F398" s="599"/>
      <c r="G398" s="595"/>
      <c r="H398" s="599"/>
      <c r="I398" s="595"/>
      <c r="J398" s="599"/>
      <c r="K398" s="600"/>
      <c r="L398" s="599"/>
      <c r="M398" s="594"/>
      <c r="N398" s="594"/>
      <c r="O398" s="594" t="s">
        <v>18</v>
      </c>
      <c r="P398" s="596">
        <v>0.962121212</v>
      </c>
      <c r="Q398" s="594" t="s">
        <v>7</v>
      </c>
      <c r="R398" s="596">
        <v>0.1893</v>
      </c>
      <c r="S398" s="594"/>
      <c r="T398" s="605">
        <v>4.1283885998751101E-4</v>
      </c>
      <c r="U398" s="593"/>
      <c r="V398" s="176">
        <f t="shared" si="485"/>
        <v>4.1283885998751101E-4</v>
      </c>
      <c r="W398" s="176">
        <f t="shared" ref="W398:W405" si="495">V398</f>
        <v>4.1283885998751101E-4</v>
      </c>
      <c r="X398" s="176">
        <f t="shared" ref="X398:X405" si="496">W398</f>
        <v>4.1283885998751101E-4</v>
      </c>
      <c r="Y398" s="958">
        <f>X398/Calculation_sheet!M$67</f>
        <v>4.1284730106780923E-4</v>
      </c>
      <c r="Z398" s="176">
        <f ca="1">IF(AN398&gt;0,Y398*Calculation_sheet!C$87,0)</f>
        <v>0</v>
      </c>
      <c r="AA398" s="176">
        <f t="shared" ca="1" si="410"/>
        <v>4.1284730106780923E-4</v>
      </c>
      <c r="AB398" s="176">
        <f ca="1">IF(AP398&gt;0,AA398*Calculation_sheet!C$94,0)</f>
        <v>0</v>
      </c>
      <c r="AC398" s="176">
        <f t="shared" ca="1" si="486"/>
        <v>4.1284730106780923E-4</v>
      </c>
      <c r="AD398" s="958">
        <f ca="1">AC398*Calculation_sheet!C$99</f>
        <v>2.4770838064068555E-4</v>
      </c>
      <c r="AE398" s="176">
        <f t="shared" ca="1" si="486"/>
        <v>1.6513892042712368E-4</v>
      </c>
      <c r="AF398" s="176">
        <f t="shared" ca="1" si="487"/>
        <v>4.1284730106780923E-4</v>
      </c>
      <c r="AG398" s="958">
        <f ca="1">AF398*User_sheet!B$77/100</f>
        <v>0</v>
      </c>
      <c r="AH398" s="313"/>
      <c r="AI398" s="908">
        <v>204</v>
      </c>
      <c r="AJ398" s="313"/>
      <c r="AK398" s="1020">
        <f t="shared" ref="AK398:AK461" ca="1" si="497">CD398</f>
        <v>158.41759618792696</v>
      </c>
      <c r="AL398" s="954">
        <f ca="1">AK398/'204'!I$24</f>
        <v>0.5782719335204487</v>
      </c>
      <c r="AM398" s="954">
        <f ca="1">0.8*(AK398*30+'204'!D$17*0.34*30*1)</f>
        <v>7387.1081085102478</v>
      </c>
      <c r="AN398" s="954">
        <f ca="1">IF(AM398&lt;User_sheet!B$50,Y398,0)</f>
        <v>4.1284730106780923E-4</v>
      </c>
      <c r="AO398" s="954">
        <f ca="1">20-(User_sheet!B$57/(AK398+'204'!D$17*1*0.34))</f>
        <v>1.4812511214773103</v>
      </c>
      <c r="AP398" s="954">
        <f ca="1">IF(AO398&lt;User_sheet!B$59,0,BC398*AA398)</f>
        <v>0</v>
      </c>
      <c r="AQ398" s="313"/>
      <c r="AR398" s="908">
        <v>0.24</v>
      </c>
      <c r="AS398" s="908">
        <v>0.32</v>
      </c>
      <c r="AT398" s="908">
        <v>0.83</v>
      </c>
      <c r="AU398" s="908">
        <v>2</v>
      </c>
      <c r="AV398" s="908">
        <v>3.3</v>
      </c>
      <c r="AW398" s="908">
        <v>14536.85461731979</v>
      </c>
      <c r="AX398" s="908">
        <v>73366.155837550017</v>
      </c>
      <c r="AY398" s="908">
        <v>69245.59826015502</v>
      </c>
      <c r="AZ398" s="910">
        <v>0</v>
      </c>
      <c r="BA398" s="910">
        <v>0</v>
      </c>
      <c r="BB398" s="908">
        <v>0.6</v>
      </c>
      <c r="BC398" s="899">
        <v>1</v>
      </c>
      <c r="BD398" s="900">
        <v>0</v>
      </c>
      <c r="BE398" s="900">
        <v>0</v>
      </c>
      <c r="BF398" s="901">
        <v>0</v>
      </c>
      <c r="BG398" s="910">
        <v>1</v>
      </c>
      <c r="BH398" s="910">
        <v>0</v>
      </c>
      <c r="BI398" s="901">
        <v>0</v>
      </c>
      <c r="BJ398" s="910">
        <v>0</v>
      </c>
      <c r="BK398" s="910">
        <v>0</v>
      </c>
      <c r="BL398" s="910">
        <v>1</v>
      </c>
      <c r="BM398" s="901">
        <v>0</v>
      </c>
      <c r="BN398" s="958">
        <v>0.08</v>
      </c>
      <c r="BO398" s="959">
        <v>6</v>
      </c>
      <c r="BP398" s="3">
        <f t="shared" ca="1" si="488"/>
        <v>150</v>
      </c>
      <c r="BQ398" s="3">
        <f t="shared" ca="1" si="489"/>
        <v>372.82075000000003</v>
      </c>
      <c r="BR398" s="3">
        <f t="shared" ca="1" si="490"/>
        <v>111</v>
      </c>
      <c r="BS398" s="3">
        <f t="shared" ca="1" si="491"/>
        <v>120</v>
      </c>
      <c r="BT398" s="3">
        <f t="shared" ca="1" si="492"/>
        <v>86.25</v>
      </c>
      <c r="BU398" s="3">
        <f t="shared" ca="1" si="493"/>
        <v>14.5</v>
      </c>
      <c r="BV398" s="3">
        <f t="shared" ca="1" si="494"/>
        <v>9.3000000000000007</v>
      </c>
      <c r="BW398" s="926">
        <v>0</v>
      </c>
      <c r="BX398" s="3">
        <f t="shared" ca="1" si="432"/>
        <v>25.576036866359445</v>
      </c>
      <c r="BY398" s="3">
        <f t="shared" ca="1" si="433"/>
        <v>36.382011116725614</v>
      </c>
      <c r="BZ398" s="3">
        <f t="shared" ref="BZ398:BZ461" ca="1" si="498">IF(BT398=0,0,1/(1/(BT398*$BY$3)+1/(BT398*AT398)+1/(BT398*$BY$4)))*0.33</f>
        <v>20.652647453083109</v>
      </c>
      <c r="CA398" s="3">
        <f t="shared" ref="CA398:CA461" ca="1" si="499">IF(BU398=0,0,1/(1/(BU398*$BY$5)+1/(BU398*AU398)+1/(BU398*$BY$6)))</f>
        <v>28.999999988399999</v>
      </c>
      <c r="CB398" s="3">
        <f t="shared" ca="1" si="434"/>
        <v>19.522900763358777</v>
      </c>
      <c r="CC398" s="926">
        <f t="shared" ref="CC398:CC461" si="500">0.67*IF(BW398=0,0,1/(1/(BW398*$BY$3)+1/(BW398*AS398)+1/(BW398*$BY$4)))</f>
        <v>0</v>
      </c>
      <c r="CD398" s="1018">
        <f t="shared" ref="CD398:CD405" ca="1" si="501">SUM(BX398:CC398)+(BR398+BS398+BT398+BU398+BV398)*BN398</f>
        <v>158.41759618792696</v>
      </c>
      <c r="CE398" s="1018">
        <f t="shared" ca="1" si="482"/>
        <v>62.113955326134437</v>
      </c>
      <c r="CF398" s="3">
        <f t="shared" ref="CF398:CF461" ca="1" si="502">(CD398+CE398)*($BY$7-$BV$5)/1000</f>
        <v>6.615946545421842</v>
      </c>
      <c r="CG398" s="3">
        <f t="shared" ref="CG398:CG461" ca="1" si="503">$BV$8*(CD398+CE398)*($BY$10-$BV$7)*24/1000</f>
        <v>11015.286360265549</v>
      </c>
    </row>
    <row r="399" spans="4:85" s="3" customFormat="1" x14ac:dyDescent="0.25">
      <c r="D399" s="599"/>
      <c r="E399" s="595"/>
      <c r="F399" s="599"/>
      <c r="G399" s="595"/>
      <c r="H399" s="599"/>
      <c r="I399" s="595"/>
      <c r="J399" s="599"/>
      <c r="K399" s="600"/>
      <c r="L399" s="599"/>
      <c r="M399" s="594"/>
      <c r="N399" s="594"/>
      <c r="O399" s="594"/>
      <c r="P399" s="594"/>
      <c r="Q399" s="594" t="s">
        <v>16</v>
      </c>
      <c r="R399" s="596">
        <v>0.81069999999999998</v>
      </c>
      <c r="S399" s="594"/>
      <c r="T399" s="605">
        <v>6.9607560574400456E-5</v>
      </c>
      <c r="U399" s="593"/>
      <c r="V399" s="176">
        <f t="shared" si="485"/>
        <v>6.9607560574400456E-5</v>
      </c>
      <c r="W399" s="176">
        <f t="shared" si="495"/>
        <v>6.9607560574400456E-5</v>
      </c>
      <c r="X399" s="176">
        <f t="shared" si="496"/>
        <v>6.9607560574400456E-5</v>
      </c>
      <c r="Y399" s="958">
        <f>X399/Calculation_sheet!M$67</f>
        <v>6.960898380042184E-5</v>
      </c>
      <c r="Z399" s="176">
        <f ca="1">IF(AN399&gt;0,Y399*Calculation_sheet!C$87,0)</f>
        <v>0</v>
      </c>
      <c r="AA399" s="176">
        <f t="shared" ca="1" si="410"/>
        <v>6.960898380042184E-5</v>
      </c>
      <c r="AB399" s="176">
        <f ca="1">IF(AP399&gt;0,AA399*Calculation_sheet!C$94,0)</f>
        <v>0</v>
      </c>
      <c r="AC399" s="176">
        <f t="shared" ca="1" si="486"/>
        <v>6.960898380042184E-5</v>
      </c>
      <c r="AD399" s="958">
        <f ca="1">AC399*Calculation_sheet!C$99</f>
        <v>4.17653902802531E-5</v>
      </c>
      <c r="AE399" s="176">
        <f t="shared" ca="1" si="486"/>
        <v>2.784359352016874E-5</v>
      </c>
      <c r="AF399" s="176">
        <f t="shared" ca="1" si="487"/>
        <v>6.960898380042184E-5</v>
      </c>
      <c r="AG399" s="958">
        <f ca="1">AF399*User_sheet!B$77/100</f>
        <v>0</v>
      </c>
      <c r="AH399" s="313"/>
      <c r="AI399" s="908">
        <v>204</v>
      </c>
      <c r="AJ399" s="313"/>
      <c r="AK399" s="1020">
        <f t="shared" ca="1" si="497"/>
        <v>158.41759618792696</v>
      </c>
      <c r="AL399" s="954">
        <f ca="1">AK399/'204'!I$24</f>
        <v>0.5782719335204487</v>
      </c>
      <c r="AM399" s="954">
        <f ca="1">0.8*(AK399*30+'204'!D$17*0.34*30*1)</f>
        <v>7387.1081085102478</v>
      </c>
      <c r="AN399" s="954">
        <f ca="1">IF(AM399&lt;User_sheet!B$50,Y399,0)</f>
        <v>6.960898380042184E-5</v>
      </c>
      <c r="AO399" s="954">
        <f ca="1">20-(User_sheet!B$57/(AK399+'204'!D$17*1*0.34))</f>
        <v>1.4812511214773103</v>
      </c>
      <c r="AP399" s="954">
        <f ca="1">IF(AO399&lt;User_sheet!B$59,0,BC399*AA399)</f>
        <v>0</v>
      </c>
      <c r="AQ399" s="313"/>
      <c r="AR399" s="908">
        <v>0.24</v>
      </c>
      <c r="AS399" s="908">
        <v>0.32</v>
      </c>
      <c r="AT399" s="908">
        <v>0.83</v>
      </c>
      <c r="AU399" s="908">
        <v>2</v>
      </c>
      <c r="AV399" s="908">
        <v>3.3</v>
      </c>
      <c r="AW399" s="908">
        <v>14536.85461731979</v>
      </c>
      <c r="AX399" s="908">
        <v>73366.155837550017</v>
      </c>
      <c r="AY399" s="908">
        <v>69245.59826015502</v>
      </c>
      <c r="AZ399" s="910">
        <v>0</v>
      </c>
      <c r="BA399" s="910">
        <v>0</v>
      </c>
      <c r="BB399" s="908">
        <v>0.6</v>
      </c>
      <c r="BC399" s="899">
        <v>1</v>
      </c>
      <c r="BD399" s="900">
        <v>0</v>
      </c>
      <c r="BE399" s="900">
        <v>0</v>
      </c>
      <c r="BF399" s="901">
        <v>0</v>
      </c>
      <c r="BG399" s="910">
        <v>0</v>
      </c>
      <c r="BH399" s="910">
        <v>1</v>
      </c>
      <c r="BI399" s="901">
        <v>0</v>
      </c>
      <c r="BJ399" s="910">
        <v>1</v>
      </c>
      <c r="BK399" s="910">
        <v>0</v>
      </c>
      <c r="BL399" s="910">
        <v>0</v>
      </c>
      <c r="BM399" s="901">
        <v>0</v>
      </c>
      <c r="BN399" s="958">
        <v>0.08</v>
      </c>
      <c r="BO399" s="959">
        <v>6</v>
      </c>
      <c r="BP399" s="3">
        <f t="shared" ca="1" si="488"/>
        <v>150</v>
      </c>
      <c r="BQ399" s="3">
        <f t="shared" ca="1" si="489"/>
        <v>372.82075000000003</v>
      </c>
      <c r="BR399" s="3">
        <f t="shared" ca="1" si="490"/>
        <v>111</v>
      </c>
      <c r="BS399" s="3">
        <f t="shared" ca="1" si="491"/>
        <v>120</v>
      </c>
      <c r="BT399" s="3">
        <f t="shared" ca="1" si="492"/>
        <v>86.25</v>
      </c>
      <c r="BU399" s="3">
        <f t="shared" ca="1" si="493"/>
        <v>14.5</v>
      </c>
      <c r="BV399" s="3">
        <f t="shared" ca="1" si="494"/>
        <v>9.3000000000000007</v>
      </c>
      <c r="BW399" s="926">
        <v>0</v>
      </c>
      <c r="BX399" s="3">
        <f t="shared" ca="1" si="432"/>
        <v>25.576036866359445</v>
      </c>
      <c r="BY399" s="3">
        <f t="shared" ca="1" si="433"/>
        <v>36.382011116725614</v>
      </c>
      <c r="BZ399" s="3">
        <f t="shared" ca="1" si="498"/>
        <v>20.652647453083109</v>
      </c>
      <c r="CA399" s="3">
        <f t="shared" ca="1" si="499"/>
        <v>28.999999988399999</v>
      </c>
      <c r="CB399" s="3">
        <f t="shared" ca="1" si="434"/>
        <v>19.522900763358777</v>
      </c>
      <c r="CC399" s="926">
        <f t="shared" si="500"/>
        <v>0</v>
      </c>
      <c r="CD399" s="1018">
        <f t="shared" ca="1" si="501"/>
        <v>158.41759618792696</v>
      </c>
      <c r="CE399" s="1018">
        <f t="shared" ca="1" si="482"/>
        <v>62.113955326134437</v>
      </c>
      <c r="CF399" s="3">
        <f t="shared" ca="1" si="502"/>
        <v>6.615946545421842</v>
      </c>
      <c r="CG399" s="3">
        <f t="shared" ca="1" si="503"/>
        <v>11015.286360265549</v>
      </c>
    </row>
    <row r="400" spans="4:85" s="3" customFormat="1" x14ac:dyDescent="0.25">
      <c r="D400" s="599"/>
      <c r="E400" s="595"/>
      <c r="F400" s="599"/>
      <c r="G400" s="595"/>
      <c r="H400" s="599"/>
      <c r="I400" s="595"/>
      <c r="J400" s="599"/>
      <c r="K400" s="600"/>
      <c r="L400" s="599"/>
      <c r="M400" s="594" t="s">
        <v>16</v>
      </c>
      <c r="N400" s="596">
        <v>0.5</v>
      </c>
      <c r="O400" s="594" t="s">
        <v>19</v>
      </c>
      <c r="P400" s="596">
        <v>3.7878787999999997E-2</v>
      </c>
      <c r="Q400" s="594" t="s">
        <v>7</v>
      </c>
      <c r="R400" s="596">
        <v>0.1893</v>
      </c>
      <c r="S400" s="594"/>
      <c r="T400" s="605">
        <v>1.6253498478764039E-5</v>
      </c>
      <c r="U400" s="593"/>
      <c r="V400" s="176">
        <f t="shared" si="485"/>
        <v>1.6253498478764039E-5</v>
      </c>
      <c r="W400" s="176">
        <f t="shared" si="495"/>
        <v>1.6253498478764039E-5</v>
      </c>
      <c r="X400" s="176">
        <f t="shared" si="496"/>
        <v>1.6253498478764039E-5</v>
      </c>
      <c r="Y400" s="958">
        <f>X400/Calculation_sheet!M$67</f>
        <v>1.6253830804761137E-5</v>
      </c>
      <c r="Z400" s="176">
        <f ca="1">IF(AN400&gt;0,Y400*Calculation_sheet!C$87,0)</f>
        <v>0</v>
      </c>
      <c r="AA400" s="176">
        <f t="shared" ca="1" si="410"/>
        <v>1.6253830804761137E-5</v>
      </c>
      <c r="AB400" s="176">
        <f ca="1">IF(AP400&gt;0,AA400*Calculation_sheet!C$94,0)</f>
        <v>0</v>
      </c>
      <c r="AC400" s="176">
        <f t="shared" ca="1" si="486"/>
        <v>1.6253830804761137E-5</v>
      </c>
      <c r="AD400" s="958">
        <f ca="1">AC400*Calculation_sheet!C$99</f>
        <v>9.7522984828566823E-6</v>
      </c>
      <c r="AE400" s="176">
        <f t="shared" ca="1" si="486"/>
        <v>6.5015323219044543E-6</v>
      </c>
      <c r="AF400" s="176">
        <f t="shared" ca="1" si="487"/>
        <v>1.6253830804761137E-5</v>
      </c>
      <c r="AG400" s="958">
        <f ca="1">AF400*User_sheet!B$77/100</f>
        <v>0</v>
      </c>
      <c r="AH400" s="313"/>
      <c r="AI400" s="908">
        <v>204</v>
      </c>
      <c r="AJ400" s="313"/>
      <c r="AK400" s="1020">
        <f t="shared" ca="1" si="497"/>
        <v>158.41759618792696</v>
      </c>
      <c r="AL400" s="954">
        <f ca="1">AK400/'204'!I$24</f>
        <v>0.5782719335204487</v>
      </c>
      <c r="AM400" s="954">
        <f ca="1">0.8*(AK400*30+'204'!D$17*0.34*30*1)</f>
        <v>7387.1081085102478</v>
      </c>
      <c r="AN400" s="954">
        <f ca="1">IF(AM400&lt;User_sheet!B$50,Y400,0)</f>
        <v>1.6253830804761137E-5</v>
      </c>
      <c r="AO400" s="954">
        <f ca="1">20-(User_sheet!B$57/(AK400+'204'!D$17*1*0.34))</f>
        <v>1.4812511214773103</v>
      </c>
      <c r="AP400" s="954">
        <f ca="1">IF(AO400&lt;User_sheet!B$59,0,BC400*AA400)</f>
        <v>0</v>
      </c>
      <c r="AQ400" s="313"/>
      <c r="AR400" s="908">
        <v>0.24</v>
      </c>
      <c r="AS400" s="908">
        <v>0.32</v>
      </c>
      <c r="AT400" s="908">
        <v>0.83</v>
      </c>
      <c r="AU400" s="908">
        <v>2</v>
      </c>
      <c r="AV400" s="908">
        <v>3.3</v>
      </c>
      <c r="AW400" s="908">
        <v>14536.85461731979</v>
      </c>
      <c r="AX400" s="908">
        <v>73366.155837550017</v>
      </c>
      <c r="AY400" s="908">
        <v>69245.59826015502</v>
      </c>
      <c r="AZ400" s="910">
        <v>0</v>
      </c>
      <c r="BA400" s="910">
        <v>0</v>
      </c>
      <c r="BB400" s="908">
        <v>0.6</v>
      </c>
      <c r="BC400" s="899">
        <v>1</v>
      </c>
      <c r="BD400" s="900">
        <v>0</v>
      </c>
      <c r="BE400" s="900">
        <v>0</v>
      </c>
      <c r="BF400" s="901">
        <v>0</v>
      </c>
      <c r="BG400" s="910">
        <v>0</v>
      </c>
      <c r="BH400" s="910">
        <v>1</v>
      </c>
      <c r="BI400" s="901">
        <v>0</v>
      </c>
      <c r="BJ400" s="910">
        <v>0</v>
      </c>
      <c r="BK400" s="910">
        <v>0</v>
      </c>
      <c r="BL400" s="910">
        <v>1</v>
      </c>
      <c r="BM400" s="901">
        <v>0</v>
      </c>
      <c r="BN400" s="958">
        <v>0.08</v>
      </c>
      <c r="BO400" s="959">
        <v>6</v>
      </c>
      <c r="BP400" s="3">
        <f t="shared" ca="1" si="488"/>
        <v>150</v>
      </c>
      <c r="BQ400" s="3">
        <f t="shared" ca="1" si="489"/>
        <v>372.82075000000003</v>
      </c>
      <c r="BR400" s="3">
        <f t="shared" ca="1" si="490"/>
        <v>111</v>
      </c>
      <c r="BS400" s="3">
        <f t="shared" ca="1" si="491"/>
        <v>120</v>
      </c>
      <c r="BT400" s="3">
        <f t="shared" ca="1" si="492"/>
        <v>86.25</v>
      </c>
      <c r="BU400" s="3">
        <f t="shared" ca="1" si="493"/>
        <v>14.5</v>
      </c>
      <c r="BV400" s="3">
        <f t="shared" ca="1" si="494"/>
        <v>9.3000000000000007</v>
      </c>
      <c r="BW400" s="926">
        <v>0</v>
      </c>
      <c r="BX400" s="3">
        <f t="shared" ca="1" si="432"/>
        <v>25.576036866359445</v>
      </c>
      <c r="BY400" s="3">
        <f t="shared" ca="1" si="433"/>
        <v>36.382011116725614</v>
      </c>
      <c r="BZ400" s="3">
        <f t="shared" ca="1" si="498"/>
        <v>20.652647453083109</v>
      </c>
      <c r="CA400" s="3">
        <f t="shared" ca="1" si="499"/>
        <v>28.999999988399999</v>
      </c>
      <c r="CB400" s="3">
        <f t="shared" ca="1" si="434"/>
        <v>19.522900763358777</v>
      </c>
      <c r="CC400" s="926">
        <f t="shared" si="500"/>
        <v>0</v>
      </c>
      <c r="CD400" s="1018">
        <f t="shared" ca="1" si="501"/>
        <v>158.41759618792696</v>
      </c>
      <c r="CE400" s="1018">
        <f t="shared" ca="1" si="482"/>
        <v>62.113955326134437</v>
      </c>
      <c r="CF400" s="3">
        <f t="shared" ca="1" si="502"/>
        <v>6.615946545421842</v>
      </c>
      <c r="CG400" s="3">
        <f t="shared" ca="1" si="503"/>
        <v>11015.286360265549</v>
      </c>
    </row>
    <row r="401" spans="4:85" s="3" customFormat="1" x14ac:dyDescent="0.25">
      <c r="D401" s="599"/>
      <c r="E401" s="595"/>
      <c r="F401" s="599"/>
      <c r="G401" s="595"/>
      <c r="H401" s="599"/>
      <c r="I401" s="595"/>
      <c r="J401" s="599"/>
      <c r="K401" s="600"/>
      <c r="L401" s="599"/>
      <c r="M401" s="594"/>
      <c r="N401" s="594"/>
      <c r="O401" s="594"/>
      <c r="P401" s="594"/>
      <c r="Q401" s="594" t="s">
        <v>22</v>
      </c>
      <c r="R401" s="596">
        <v>0.81</v>
      </c>
      <c r="S401" s="594"/>
      <c r="T401" s="605">
        <v>1.3230381057450333E-3</v>
      </c>
      <c r="U401" s="593"/>
      <c r="V401" s="176">
        <f t="shared" si="485"/>
        <v>1.3230381057450333E-3</v>
      </c>
      <c r="W401" s="176">
        <f t="shared" si="495"/>
        <v>1.3230381057450333E-3</v>
      </c>
      <c r="X401" s="176">
        <f t="shared" si="496"/>
        <v>1.3230381057450333E-3</v>
      </c>
      <c r="Y401" s="958">
        <f>X401/Calculation_sheet!M$67</f>
        <v>1.3230651571492749E-3</v>
      </c>
      <c r="Z401" s="176">
        <f ca="1">IF(AN401&gt;0,Y401*Calculation_sheet!C$87,0)</f>
        <v>0</v>
      </c>
      <c r="AA401" s="176">
        <f ca="1">Y401-Z401</f>
        <v>1.3230651571492749E-3</v>
      </c>
      <c r="AB401" s="176">
        <f ca="1">IF(AP401&gt;0,AA401*Calculation_sheet!C$94,0)</f>
        <v>0</v>
      </c>
      <c r="AC401" s="176">
        <f t="shared" ca="1" si="486"/>
        <v>1.3230651571492749E-3</v>
      </c>
      <c r="AD401" s="958">
        <f ca="1">AC401*Calculation_sheet!C$99</f>
        <v>7.9383909428956494E-4</v>
      </c>
      <c r="AE401" s="176">
        <f t="shared" ca="1" si="486"/>
        <v>5.2922606285971E-4</v>
      </c>
      <c r="AF401" s="176">
        <f t="shared" ca="1" si="487"/>
        <v>1.3230651571492749E-3</v>
      </c>
      <c r="AG401" s="958">
        <f ca="1">AF401*User_sheet!B$77/100</f>
        <v>0</v>
      </c>
      <c r="AH401" s="313"/>
      <c r="AI401" s="908">
        <v>204</v>
      </c>
      <c r="AJ401" s="313"/>
      <c r="AK401" s="1020">
        <f t="shared" ca="1" si="497"/>
        <v>158.41759618792696</v>
      </c>
      <c r="AL401" s="954">
        <f ca="1">AK401/'204'!I$24</f>
        <v>0.5782719335204487</v>
      </c>
      <c r="AM401" s="954">
        <f ca="1">0.8*(AK401*30+'204'!D$17*0.34*30*1)</f>
        <v>7387.1081085102478</v>
      </c>
      <c r="AN401" s="954">
        <f ca="1">IF(AM401&lt;User_sheet!B$50,Y401,0)</f>
        <v>1.3230651571492749E-3</v>
      </c>
      <c r="AO401" s="954">
        <f ca="1">20-(User_sheet!B$57/(AK401+'204'!D$17*1*0.34))</f>
        <v>1.4812511214773103</v>
      </c>
      <c r="AP401" s="954">
        <f ca="1">IF(AO401&lt;User_sheet!B$59,0,BC401*AA401)</f>
        <v>0</v>
      </c>
      <c r="AQ401" s="313"/>
      <c r="AR401" s="908">
        <v>0.24</v>
      </c>
      <c r="AS401" s="908">
        <v>0.32</v>
      </c>
      <c r="AT401" s="908">
        <v>0.83</v>
      </c>
      <c r="AU401" s="908">
        <v>2</v>
      </c>
      <c r="AV401" s="908">
        <v>3.3</v>
      </c>
      <c r="AW401" s="908">
        <v>14536.85461731979</v>
      </c>
      <c r="AX401" s="908">
        <v>73366.155837550017</v>
      </c>
      <c r="AY401" s="908">
        <v>69245.59826015502</v>
      </c>
      <c r="AZ401" s="910">
        <v>0</v>
      </c>
      <c r="BA401" s="910">
        <v>0</v>
      </c>
      <c r="BB401" s="908">
        <v>0.6</v>
      </c>
      <c r="BC401" s="902">
        <v>0</v>
      </c>
      <c r="BD401" s="922">
        <v>1</v>
      </c>
      <c r="BE401" s="922">
        <v>0</v>
      </c>
      <c r="BF401" s="903">
        <v>0</v>
      </c>
      <c r="BG401" s="908">
        <v>1</v>
      </c>
      <c r="BH401" s="908">
        <v>0</v>
      </c>
      <c r="BI401" s="903">
        <v>0</v>
      </c>
      <c r="BJ401" s="908">
        <v>0</v>
      </c>
      <c r="BK401" s="908">
        <v>1</v>
      </c>
      <c r="BL401" s="908">
        <v>0</v>
      </c>
      <c r="BM401" s="903">
        <v>0</v>
      </c>
      <c r="BN401" s="958">
        <v>0.08</v>
      </c>
      <c r="BO401" s="959">
        <v>6</v>
      </c>
      <c r="BP401" s="3">
        <f t="shared" ca="1" si="488"/>
        <v>150</v>
      </c>
      <c r="BQ401" s="3">
        <f t="shared" ca="1" si="489"/>
        <v>372.82075000000003</v>
      </c>
      <c r="BR401" s="3">
        <f t="shared" ca="1" si="490"/>
        <v>111</v>
      </c>
      <c r="BS401" s="3">
        <f t="shared" ca="1" si="491"/>
        <v>120</v>
      </c>
      <c r="BT401" s="3">
        <f t="shared" ca="1" si="492"/>
        <v>86.25</v>
      </c>
      <c r="BU401" s="3">
        <f t="shared" ca="1" si="493"/>
        <v>14.5</v>
      </c>
      <c r="BV401" s="3">
        <f t="shared" ca="1" si="494"/>
        <v>9.3000000000000007</v>
      </c>
      <c r="BW401" s="926">
        <v>0</v>
      </c>
      <c r="BX401" s="3">
        <f t="shared" ca="1" si="432"/>
        <v>25.576036866359445</v>
      </c>
      <c r="BY401" s="3">
        <f t="shared" ca="1" si="433"/>
        <v>36.382011116725614</v>
      </c>
      <c r="BZ401" s="3">
        <f t="shared" ca="1" si="498"/>
        <v>20.652647453083109</v>
      </c>
      <c r="CA401" s="3">
        <f t="shared" ca="1" si="499"/>
        <v>28.999999988399999</v>
      </c>
      <c r="CB401" s="3">
        <f t="shared" ca="1" si="434"/>
        <v>19.522900763358777</v>
      </c>
      <c r="CC401" s="926">
        <f t="shared" si="500"/>
        <v>0</v>
      </c>
      <c r="CD401" s="1018">
        <f t="shared" ca="1" si="501"/>
        <v>158.41759618792696</v>
      </c>
      <c r="CE401" s="1018">
        <f t="shared" ca="1" si="482"/>
        <v>62.113955326134437</v>
      </c>
      <c r="CF401" s="3">
        <f t="shared" ca="1" si="502"/>
        <v>6.615946545421842</v>
      </c>
      <c r="CG401" s="3">
        <f t="shared" ca="1" si="503"/>
        <v>11015.286360265549</v>
      </c>
    </row>
    <row r="402" spans="4:85" s="3" customFormat="1" x14ac:dyDescent="0.25">
      <c r="D402" s="599"/>
      <c r="E402" s="595"/>
      <c r="F402" s="599"/>
      <c r="G402" s="595"/>
      <c r="H402" s="599"/>
      <c r="I402" s="595"/>
      <c r="J402" s="599"/>
      <c r="K402" s="600"/>
      <c r="L402" s="599"/>
      <c r="M402" s="594"/>
      <c r="N402" s="594"/>
      <c r="O402" s="594" t="s">
        <v>18</v>
      </c>
      <c r="P402" s="596">
        <v>0.96078431399999997</v>
      </c>
      <c r="Q402" s="594" t="s">
        <v>7</v>
      </c>
      <c r="R402" s="596">
        <v>0.19</v>
      </c>
      <c r="S402" s="594"/>
      <c r="T402" s="605">
        <v>3.1034227171797073E-4</v>
      </c>
      <c r="U402" s="593"/>
      <c r="V402" s="176">
        <f t="shared" si="485"/>
        <v>3.1034227171797073E-4</v>
      </c>
      <c r="W402" s="176">
        <f t="shared" si="495"/>
        <v>3.1034227171797073E-4</v>
      </c>
      <c r="X402" s="176">
        <f t="shared" si="496"/>
        <v>3.1034227171797073E-4</v>
      </c>
      <c r="Y402" s="958">
        <f>X402/Calculation_sheet!M$67</f>
        <v>3.1034861710908915E-4</v>
      </c>
      <c r="Z402" s="176">
        <f ca="1">IF(AN402&gt;0,Y402*Calculation_sheet!C$87,0)</f>
        <v>0</v>
      </c>
      <c r="AA402" s="176">
        <f ca="1">Y402-Z402</f>
        <v>3.1034861710908915E-4</v>
      </c>
      <c r="AB402" s="176">
        <f ca="1">IF(AP402&gt;0,AA402*Calculation_sheet!C$94,0)</f>
        <v>0</v>
      </c>
      <c r="AC402" s="176">
        <f t="shared" ca="1" si="486"/>
        <v>3.1034861710908915E-4</v>
      </c>
      <c r="AD402" s="958">
        <f ca="1">AC402*Calculation_sheet!C$99</f>
        <v>1.8620917026545349E-4</v>
      </c>
      <c r="AE402" s="176">
        <f t="shared" ca="1" si="486"/>
        <v>1.2413944684363566E-4</v>
      </c>
      <c r="AF402" s="176">
        <f t="shared" ca="1" si="487"/>
        <v>3.1034861710908915E-4</v>
      </c>
      <c r="AG402" s="958">
        <f ca="1">AF402*User_sheet!B$77/100</f>
        <v>0</v>
      </c>
      <c r="AH402" s="313"/>
      <c r="AI402" s="908">
        <v>204</v>
      </c>
      <c r="AJ402" s="313"/>
      <c r="AK402" s="1020">
        <f t="shared" ca="1" si="497"/>
        <v>158.41759618792696</v>
      </c>
      <c r="AL402" s="954">
        <f ca="1">AK402/'204'!I$24</f>
        <v>0.5782719335204487</v>
      </c>
      <c r="AM402" s="954">
        <f ca="1">0.8*(AK402*30+'204'!D$17*0.34*30*1)</f>
        <v>7387.1081085102478</v>
      </c>
      <c r="AN402" s="954">
        <f ca="1">IF(AM402&lt;User_sheet!B$50,Y402,0)</f>
        <v>3.1034861710908915E-4</v>
      </c>
      <c r="AO402" s="954">
        <f ca="1">20-(User_sheet!B$57/(AK402+'204'!D$17*1*0.34))</f>
        <v>1.4812511214773103</v>
      </c>
      <c r="AP402" s="954">
        <f ca="1">IF(AO402&lt;User_sheet!B$59,0,BC402*AA402)</f>
        <v>0</v>
      </c>
      <c r="AQ402" s="313"/>
      <c r="AR402" s="908">
        <v>0.24</v>
      </c>
      <c r="AS402" s="908">
        <v>0.32</v>
      </c>
      <c r="AT402" s="908">
        <v>0.83</v>
      </c>
      <c r="AU402" s="908">
        <v>2</v>
      </c>
      <c r="AV402" s="908">
        <v>3.3</v>
      </c>
      <c r="AW402" s="908">
        <v>14536.85461731979</v>
      </c>
      <c r="AX402" s="908">
        <v>73366.155837550017</v>
      </c>
      <c r="AY402" s="908">
        <v>69245.59826015502</v>
      </c>
      <c r="AZ402" s="910">
        <v>0</v>
      </c>
      <c r="BA402" s="910">
        <v>0</v>
      </c>
      <c r="BB402" s="908">
        <v>0.6</v>
      </c>
      <c r="BC402" s="902">
        <v>0</v>
      </c>
      <c r="BD402" s="922">
        <v>1</v>
      </c>
      <c r="BE402" s="922">
        <v>0</v>
      </c>
      <c r="BF402" s="903">
        <v>0</v>
      </c>
      <c r="BG402" s="908">
        <v>1</v>
      </c>
      <c r="BH402" s="908">
        <v>0</v>
      </c>
      <c r="BI402" s="903">
        <v>0</v>
      </c>
      <c r="BJ402" s="908">
        <v>0</v>
      </c>
      <c r="BK402" s="908">
        <v>0</v>
      </c>
      <c r="BL402" s="908">
        <v>1</v>
      </c>
      <c r="BM402" s="903">
        <v>0</v>
      </c>
      <c r="BN402" s="958">
        <v>0.08</v>
      </c>
      <c r="BO402" s="959">
        <v>6</v>
      </c>
      <c r="BP402" s="3">
        <f t="shared" ca="1" si="488"/>
        <v>150</v>
      </c>
      <c r="BQ402" s="3">
        <f t="shared" ca="1" si="489"/>
        <v>372.82075000000003</v>
      </c>
      <c r="BR402" s="3">
        <f t="shared" ca="1" si="490"/>
        <v>111</v>
      </c>
      <c r="BS402" s="3">
        <f t="shared" ca="1" si="491"/>
        <v>120</v>
      </c>
      <c r="BT402" s="3">
        <f t="shared" ca="1" si="492"/>
        <v>86.25</v>
      </c>
      <c r="BU402" s="3">
        <f t="shared" ca="1" si="493"/>
        <v>14.5</v>
      </c>
      <c r="BV402" s="3">
        <f t="shared" ca="1" si="494"/>
        <v>9.3000000000000007</v>
      </c>
      <c r="BW402" s="926">
        <v>0</v>
      </c>
      <c r="BX402" s="3">
        <f t="shared" ca="1" si="432"/>
        <v>25.576036866359445</v>
      </c>
      <c r="BY402" s="3">
        <f t="shared" ca="1" si="433"/>
        <v>36.382011116725614</v>
      </c>
      <c r="BZ402" s="3">
        <f t="shared" ca="1" si="498"/>
        <v>20.652647453083109</v>
      </c>
      <c r="CA402" s="3">
        <f t="shared" ca="1" si="499"/>
        <v>28.999999988399999</v>
      </c>
      <c r="CB402" s="3">
        <f t="shared" ca="1" si="434"/>
        <v>19.522900763358777</v>
      </c>
      <c r="CC402" s="926">
        <f t="shared" si="500"/>
        <v>0</v>
      </c>
      <c r="CD402" s="1018">
        <f t="shared" ca="1" si="501"/>
        <v>158.41759618792696</v>
      </c>
      <c r="CE402" s="1018">
        <f t="shared" ca="1" si="482"/>
        <v>62.113955326134437</v>
      </c>
      <c r="CF402" s="3">
        <f t="shared" ca="1" si="502"/>
        <v>6.615946545421842</v>
      </c>
      <c r="CG402" s="3">
        <f t="shared" ca="1" si="503"/>
        <v>11015.286360265549</v>
      </c>
    </row>
    <row r="403" spans="4:85" s="3" customFormat="1" x14ac:dyDescent="0.25">
      <c r="D403" s="599"/>
      <c r="E403" s="595"/>
      <c r="F403" s="599"/>
      <c r="G403" s="595"/>
      <c r="H403" s="599"/>
      <c r="I403" s="595"/>
      <c r="J403" s="599"/>
      <c r="K403" s="594"/>
      <c r="L403" s="594"/>
      <c r="M403" s="594"/>
      <c r="N403" s="594"/>
      <c r="O403" s="594"/>
      <c r="P403" s="594"/>
      <c r="Q403" s="594" t="s">
        <v>22</v>
      </c>
      <c r="R403" s="596">
        <v>0.81</v>
      </c>
      <c r="S403" s="594"/>
      <c r="T403" s="605">
        <v>5.4001554943092069E-5</v>
      </c>
      <c r="U403" s="593"/>
      <c r="V403" s="176">
        <f t="shared" si="485"/>
        <v>5.4001554943092069E-5</v>
      </c>
      <c r="W403" s="176">
        <f t="shared" si="495"/>
        <v>5.4001554943092069E-5</v>
      </c>
      <c r="X403" s="176">
        <f t="shared" si="496"/>
        <v>5.4001554943092069E-5</v>
      </c>
      <c r="Y403" s="958">
        <f>X403/Calculation_sheet!M$67</f>
        <v>5.4002659082032666E-5</v>
      </c>
      <c r="Z403" s="176">
        <f ca="1">IF(AN403&gt;0,Y403*Calculation_sheet!C$87,0)</f>
        <v>0</v>
      </c>
      <c r="AA403" s="176">
        <f ca="1">Y403-Z403</f>
        <v>5.4002659082032666E-5</v>
      </c>
      <c r="AB403" s="176">
        <f ca="1">IF(AP403&gt;0,AA403*Calculation_sheet!C$94,0)</f>
        <v>0</v>
      </c>
      <c r="AC403" s="176">
        <f t="shared" ca="1" si="486"/>
        <v>5.4002659082032666E-5</v>
      </c>
      <c r="AD403" s="958">
        <f ca="1">AC403*Calculation_sheet!C$99</f>
        <v>3.2401595449219598E-5</v>
      </c>
      <c r="AE403" s="176">
        <f t="shared" ca="1" si="486"/>
        <v>2.1601063632813068E-5</v>
      </c>
      <c r="AF403" s="176">
        <f t="shared" ca="1" si="487"/>
        <v>5.4002659082032666E-5</v>
      </c>
      <c r="AG403" s="958">
        <f ca="1">AF403*User_sheet!B$77/100</f>
        <v>0</v>
      </c>
      <c r="AH403" s="313"/>
      <c r="AI403" s="908">
        <v>204</v>
      </c>
      <c r="AJ403" s="313"/>
      <c r="AK403" s="1020">
        <f t="shared" ca="1" si="497"/>
        <v>158.41759618792696</v>
      </c>
      <c r="AL403" s="954">
        <f ca="1">AK403/'204'!I$24</f>
        <v>0.5782719335204487</v>
      </c>
      <c r="AM403" s="954">
        <f ca="1">0.8*(AK403*30+'204'!D$17*0.34*30*1)</f>
        <v>7387.1081085102478</v>
      </c>
      <c r="AN403" s="954">
        <f ca="1">IF(AM403&lt;User_sheet!B$50,Y403,0)</f>
        <v>5.4002659082032666E-5</v>
      </c>
      <c r="AO403" s="954">
        <f ca="1">20-(User_sheet!B$57/(AK403+'204'!D$17*1*0.34))</f>
        <v>1.4812511214773103</v>
      </c>
      <c r="AP403" s="954">
        <f ca="1">IF(AO403&lt;User_sheet!B$59,0,BC403*AA403)</f>
        <v>0</v>
      </c>
      <c r="AQ403" s="313"/>
      <c r="AR403" s="908">
        <v>0.24</v>
      </c>
      <c r="AS403" s="908">
        <v>0.32</v>
      </c>
      <c r="AT403" s="908">
        <v>0.83</v>
      </c>
      <c r="AU403" s="908">
        <v>2</v>
      </c>
      <c r="AV403" s="908">
        <v>3.3</v>
      </c>
      <c r="AW403" s="908">
        <v>14536.85461731979</v>
      </c>
      <c r="AX403" s="908">
        <v>73366.155837550017</v>
      </c>
      <c r="AY403" s="908">
        <v>69245.59826015502</v>
      </c>
      <c r="AZ403" s="910">
        <v>0</v>
      </c>
      <c r="BA403" s="910">
        <v>0</v>
      </c>
      <c r="BB403" s="908">
        <v>0.6</v>
      </c>
      <c r="BC403" s="902">
        <v>0</v>
      </c>
      <c r="BD403" s="922">
        <v>1</v>
      </c>
      <c r="BE403" s="922">
        <v>0</v>
      </c>
      <c r="BF403" s="903">
        <v>0</v>
      </c>
      <c r="BG403" s="908">
        <v>0</v>
      </c>
      <c r="BH403" s="908">
        <v>1</v>
      </c>
      <c r="BI403" s="903">
        <v>0</v>
      </c>
      <c r="BJ403" s="908">
        <v>0</v>
      </c>
      <c r="BK403" s="908">
        <v>1</v>
      </c>
      <c r="BL403" s="908">
        <v>0</v>
      </c>
      <c r="BM403" s="903">
        <v>0</v>
      </c>
      <c r="BN403" s="958">
        <v>0.08</v>
      </c>
      <c r="BO403" s="959">
        <v>6</v>
      </c>
      <c r="BP403" s="3">
        <f t="shared" ca="1" si="488"/>
        <v>150</v>
      </c>
      <c r="BQ403" s="3">
        <f t="shared" ca="1" si="489"/>
        <v>372.82075000000003</v>
      </c>
      <c r="BR403" s="3">
        <f t="shared" ca="1" si="490"/>
        <v>111</v>
      </c>
      <c r="BS403" s="3">
        <f t="shared" ca="1" si="491"/>
        <v>120</v>
      </c>
      <c r="BT403" s="3">
        <f t="shared" ca="1" si="492"/>
        <v>86.25</v>
      </c>
      <c r="BU403" s="3">
        <f t="shared" ca="1" si="493"/>
        <v>14.5</v>
      </c>
      <c r="BV403" s="3">
        <f t="shared" ca="1" si="494"/>
        <v>9.3000000000000007</v>
      </c>
      <c r="BW403" s="926">
        <v>0</v>
      </c>
      <c r="BX403" s="3">
        <f t="shared" ca="1" si="432"/>
        <v>25.576036866359445</v>
      </c>
      <c r="BY403" s="3">
        <f t="shared" ca="1" si="433"/>
        <v>36.382011116725614</v>
      </c>
      <c r="BZ403" s="3">
        <f t="shared" ca="1" si="498"/>
        <v>20.652647453083109</v>
      </c>
      <c r="CA403" s="3">
        <f t="shared" ca="1" si="499"/>
        <v>28.999999988399999</v>
      </c>
      <c r="CB403" s="3">
        <f t="shared" ca="1" si="434"/>
        <v>19.522900763358777</v>
      </c>
      <c r="CC403" s="926">
        <f t="shared" si="500"/>
        <v>0</v>
      </c>
      <c r="CD403" s="1018">
        <f t="shared" ca="1" si="501"/>
        <v>158.41759618792696</v>
      </c>
      <c r="CE403" s="1018">
        <f t="shared" ca="1" si="482"/>
        <v>62.113955326134437</v>
      </c>
      <c r="CF403" s="3">
        <f t="shared" ca="1" si="502"/>
        <v>6.615946545421842</v>
      </c>
      <c r="CG403" s="3">
        <f t="shared" ca="1" si="503"/>
        <v>11015.286360265549</v>
      </c>
    </row>
    <row r="404" spans="4:85" s="3" customFormat="1" x14ac:dyDescent="0.25">
      <c r="D404" s="599"/>
      <c r="E404" s="595"/>
      <c r="F404" s="599"/>
      <c r="G404" s="595"/>
      <c r="H404" s="599"/>
      <c r="I404" s="595"/>
      <c r="J404" s="599"/>
      <c r="K404" s="594"/>
      <c r="L404" s="594"/>
      <c r="M404" s="594" t="s">
        <v>22</v>
      </c>
      <c r="N404" s="596">
        <v>0.375</v>
      </c>
      <c r="O404" s="594" t="s">
        <v>20</v>
      </c>
      <c r="P404" s="596">
        <v>3.9215686E-2</v>
      </c>
      <c r="Q404" s="594" t="s">
        <v>7</v>
      </c>
      <c r="R404" s="596">
        <v>0.19</v>
      </c>
      <c r="S404" s="594"/>
      <c r="T404" s="605">
        <v>1.266703140640431E-5</v>
      </c>
      <c r="U404" s="593"/>
      <c r="V404" s="176">
        <f t="shared" si="485"/>
        <v>1.266703140640431E-5</v>
      </c>
      <c r="W404" s="176">
        <f t="shared" si="495"/>
        <v>1.266703140640431E-5</v>
      </c>
      <c r="X404" s="176">
        <f t="shared" si="496"/>
        <v>1.266703140640431E-5</v>
      </c>
      <c r="Y404" s="958">
        <f>X404/Calculation_sheet!M$67</f>
        <v>1.2667290401958276E-5</v>
      </c>
      <c r="Z404" s="176">
        <f ca="1">IF(AN404&gt;0,Y404*Calculation_sheet!C$87,0)</f>
        <v>0</v>
      </c>
      <c r="AA404" s="176">
        <f ca="1">Y404-Z404</f>
        <v>1.2667290401958276E-5</v>
      </c>
      <c r="AB404" s="176">
        <f ca="1">IF(AP404&gt;0,AA404*Calculation_sheet!C$94,0)</f>
        <v>0</v>
      </c>
      <c r="AC404" s="176">
        <f t="shared" ca="1" si="486"/>
        <v>1.2667290401958276E-5</v>
      </c>
      <c r="AD404" s="958">
        <f ca="1">AC404*Calculation_sheet!C$99</f>
        <v>7.6003742411749658E-6</v>
      </c>
      <c r="AE404" s="176">
        <f t="shared" ca="1" si="486"/>
        <v>5.0669161607833106E-6</v>
      </c>
      <c r="AF404" s="176">
        <f t="shared" ca="1" si="487"/>
        <v>1.2667290401958276E-5</v>
      </c>
      <c r="AG404" s="958">
        <f ca="1">AF404*User_sheet!B$77/100</f>
        <v>0</v>
      </c>
      <c r="AH404" s="313"/>
      <c r="AI404" s="908">
        <v>204</v>
      </c>
      <c r="AJ404" s="313"/>
      <c r="AK404" s="1020">
        <f t="shared" ca="1" si="497"/>
        <v>158.41759618792696</v>
      </c>
      <c r="AL404" s="954">
        <f ca="1">AK404/'204'!I$24</f>
        <v>0.5782719335204487</v>
      </c>
      <c r="AM404" s="954">
        <f ca="1">0.8*(AK404*30+'204'!D$17*0.34*30*1)</f>
        <v>7387.1081085102478</v>
      </c>
      <c r="AN404" s="954">
        <f ca="1">IF(AM404&lt;User_sheet!B$50,Y404,0)</f>
        <v>1.2667290401958276E-5</v>
      </c>
      <c r="AO404" s="954">
        <f ca="1">20-(User_sheet!B$57/(AK404+'204'!D$17*1*0.34))</f>
        <v>1.4812511214773103</v>
      </c>
      <c r="AP404" s="954">
        <f ca="1">IF(AO404&lt;User_sheet!B$59,0,BC404*AA404)</f>
        <v>0</v>
      </c>
      <c r="AQ404" s="313"/>
      <c r="AR404" s="908">
        <v>0.24</v>
      </c>
      <c r="AS404" s="908">
        <v>0.32</v>
      </c>
      <c r="AT404" s="908">
        <v>0.83</v>
      </c>
      <c r="AU404" s="908">
        <v>2</v>
      </c>
      <c r="AV404" s="908">
        <v>3.3</v>
      </c>
      <c r="AW404" s="908">
        <v>14536.85461731979</v>
      </c>
      <c r="AX404" s="908">
        <v>73366.155837550017</v>
      </c>
      <c r="AY404" s="908">
        <v>69245.59826015502</v>
      </c>
      <c r="AZ404" s="910">
        <v>0</v>
      </c>
      <c r="BA404" s="910">
        <v>0</v>
      </c>
      <c r="BB404" s="908">
        <v>0.6</v>
      </c>
      <c r="BC404" s="902">
        <v>0</v>
      </c>
      <c r="BD404" s="922">
        <v>1</v>
      </c>
      <c r="BE404" s="922">
        <v>0</v>
      </c>
      <c r="BF404" s="903">
        <v>0</v>
      </c>
      <c r="BG404" s="908">
        <v>0</v>
      </c>
      <c r="BH404" s="908">
        <v>1</v>
      </c>
      <c r="BI404" s="903">
        <v>0</v>
      </c>
      <c r="BJ404" s="908">
        <v>0</v>
      </c>
      <c r="BK404" s="908">
        <v>0</v>
      </c>
      <c r="BL404" s="908">
        <v>1</v>
      </c>
      <c r="BM404" s="903">
        <v>0</v>
      </c>
      <c r="BN404" s="958">
        <v>0.08</v>
      </c>
      <c r="BO404" s="959">
        <v>6</v>
      </c>
      <c r="BP404" s="3">
        <f t="shared" ca="1" si="488"/>
        <v>150</v>
      </c>
      <c r="BQ404" s="3">
        <f t="shared" ca="1" si="489"/>
        <v>372.82075000000003</v>
      </c>
      <c r="BR404" s="3">
        <f t="shared" ca="1" si="490"/>
        <v>111</v>
      </c>
      <c r="BS404" s="3">
        <f t="shared" ca="1" si="491"/>
        <v>120</v>
      </c>
      <c r="BT404" s="3">
        <f t="shared" ca="1" si="492"/>
        <v>86.25</v>
      </c>
      <c r="BU404" s="3">
        <f t="shared" ca="1" si="493"/>
        <v>14.5</v>
      </c>
      <c r="BV404" s="3">
        <f t="shared" ca="1" si="494"/>
        <v>9.3000000000000007</v>
      </c>
      <c r="BW404" s="926">
        <v>0</v>
      </c>
      <c r="BX404" s="3">
        <f t="shared" ca="1" si="432"/>
        <v>25.576036866359445</v>
      </c>
      <c r="BY404" s="3">
        <f t="shared" ca="1" si="433"/>
        <v>36.382011116725614</v>
      </c>
      <c r="BZ404" s="3">
        <f t="shared" ca="1" si="498"/>
        <v>20.652647453083109</v>
      </c>
      <c r="CA404" s="3">
        <f t="shared" ca="1" si="499"/>
        <v>28.999999988399999</v>
      </c>
      <c r="CB404" s="3">
        <f t="shared" ca="1" si="434"/>
        <v>19.522900763358777</v>
      </c>
      <c r="CC404" s="926">
        <f t="shared" si="500"/>
        <v>0</v>
      </c>
      <c r="CD404" s="1018">
        <f t="shared" ca="1" si="501"/>
        <v>158.41759618792696</v>
      </c>
      <c r="CE404" s="1018">
        <f t="shared" ca="1" si="482"/>
        <v>62.113955326134437</v>
      </c>
      <c r="CF404" s="3">
        <f t="shared" ca="1" si="502"/>
        <v>6.615946545421842</v>
      </c>
      <c r="CG404" s="3">
        <f t="shared" ca="1" si="503"/>
        <v>11015.286360265549</v>
      </c>
    </row>
    <row r="405" spans="4:85" s="3" customFormat="1" x14ac:dyDescent="0.25">
      <c r="D405" s="599"/>
      <c r="E405" s="595"/>
      <c r="F405" s="599"/>
      <c r="G405" s="595"/>
      <c r="H405" s="599"/>
      <c r="I405" s="595"/>
      <c r="J405" s="599"/>
      <c r="K405" s="597" t="s">
        <v>229</v>
      </c>
      <c r="L405" s="598">
        <v>0.26100000000000001</v>
      </c>
      <c r="M405" s="594" t="s">
        <v>7</v>
      </c>
      <c r="N405" s="596">
        <v>0.125</v>
      </c>
      <c r="O405" s="594" t="s">
        <v>23</v>
      </c>
      <c r="P405" s="596">
        <v>1</v>
      </c>
      <c r="Q405" s="594" t="s">
        <v>7</v>
      </c>
      <c r="R405" s="596">
        <v>1</v>
      </c>
      <c r="S405" s="594"/>
      <c r="T405" s="605">
        <v>5.6668298793750014E-4</v>
      </c>
      <c r="U405" s="593"/>
      <c r="V405" s="176">
        <f t="shared" si="485"/>
        <v>5.6668298793750014E-4</v>
      </c>
      <c r="W405" s="176">
        <f t="shared" si="495"/>
        <v>5.6668298793750014E-4</v>
      </c>
      <c r="X405" s="176">
        <f t="shared" si="496"/>
        <v>5.6668298793750014E-4</v>
      </c>
      <c r="Y405" s="958">
        <f>X405/Calculation_sheet!M$67</f>
        <v>5.6669457458078504E-4</v>
      </c>
      <c r="Z405" s="176">
        <f ca="1">IF(AN405&gt;0,Y405*Calculation_sheet!C$87,0)</f>
        <v>0</v>
      </c>
      <c r="AA405" s="176">
        <f ca="1">Y405-Z405</f>
        <v>5.6669457458078504E-4</v>
      </c>
      <c r="AB405" s="176">
        <f ca="1">IF(AP405&gt;0,AA405*Calculation_sheet!C$94,0)</f>
        <v>0</v>
      </c>
      <c r="AC405" s="176">
        <f t="shared" ca="1" si="486"/>
        <v>5.6669457458078504E-4</v>
      </c>
      <c r="AD405" s="958">
        <f ca="1">AC405*Calculation_sheet!C$99</f>
        <v>3.4001674474847101E-4</v>
      </c>
      <c r="AE405" s="176">
        <f t="shared" ca="1" si="486"/>
        <v>2.2667782983231403E-4</v>
      </c>
      <c r="AF405" s="176">
        <f t="shared" ca="1" si="487"/>
        <v>5.6669457458078504E-4</v>
      </c>
      <c r="AG405" s="958">
        <f ca="1">AF405*User_sheet!B$77/100</f>
        <v>0</v>
      </c>
      <c r="AH405" s="313"/>
      <c r="AI405" s="908">
        <v>204</v>
      </c>
      <c r="AJ405" s="313"/>
      <c r="AK405" s="1020">
        <f t="shared" ca="1" si="497"/>
        <v>158.41759618792696</v>
      </c>
      <c r="AL405" s="954">
        <f ca="1">AK405/'204'!I$24</f>
        <v>0.5782719335204487</v>
      </c>
      <c r="AM405" s="954">
        <f ca="1">0.8*(AK405*30+'204'!D$17*0.34*30*1)</f>
        <v>7387.1081085102478</v>
      </c>
      <c r="AN405" s="954">
        <f ca="1">IF(AM405&lt;User_sheet!B$50,Y405,0)</f>
        <v>5.6669457458078504E-4</v>
      </c>
      <c r="AO405" s="954">
        <f ca="1">20-(User_sheet!B$57/(AK405+'204'!D$17*1*0.34))</f>
        <v>1.4812511214773103</v>
      </c>
      <c r="AP405" s="954">
        <f ca="1">IF(AO405&lt;User_sheet!B$59,0,BC405*AA405)</f>
        <v>0</v>
      </c>
      <c r="AQ405" s="313"/>
      <c r="AR405" s="908">
        <v>0.24</v>
      </c>
      <c r="AS405" s="908">
        <v>0.32</v>
      </c>
      <c r="AT405" s="908">
        <v>0.83</v>
      </c>
      <c r="AU405" s="908">
        <v>2</v>
      </c>
      <c r="AV405" s="908">
        <v>3.3</v>
      </c>
      <c r="AW405" s="908">
        <v>14536.85461731979</v>
      </c>
      <c r="AX405" s="908">
        <v>73366.155837550017</v>
      </c>
      <c r="AY405" s="908">
        <v>69245.59826015502</v>
      </c>
      <c r="AZ405" s="910">
        <v>0</v>
      </c>
      <c r="BA405" s="910">
        <v>0</v>
      </c>
      <c r="BB405" s="908">
        <v>0.6</v>
      </c>
      <c r="BC405" s="902">
        <v>0</v>
      </c>
      <c r="BD405" s="922">
        <v>0</v>
      </c>
      <c r="BE405" s="922">
        <v>1</v>
      </c>
      <c r="BF405" s="903">
        <v>0</v>
      </c>
      <c r="BG405" s="908">
        <v>0</v>
      </c>
      <c r="BH405" s="908">
        <v>0</v>
      </c>
      <c r="BI405" s="903">
        <v>1</v>
      </c>
      <c r="BJ405" s="908">
        <v>0</v>
      </c>
      <c r="BK405" s="908">
        <v>0</v>
      </c>
      <c r="BL405" s="908">
        <v>1</v>
      </c>
      <c r="BM405" s="903">
        <v>0</v>
      </c>
      <c r="BN405" s="958">
        <v>0.08</v>
      </c>
      <c r="BO405" s="959">
        <v>6</v>
      </c>
      <c r="BP405" s="3">
        <f t="shared" ca="1" si="488"/>
        <v>150</v>
      </c>
      <c r="BQ405" s="3">
        <f t="shared" ca="1" si="489"/>
        <v>372.82075000000003</v>
      </c>
      <c r="BR405" s="3">
        <f t="shared" ca="1" si="490"/>
        <v>111</v>
      </c>
      <c r="BS405" s="3">
        <f t="shared" ca="1" si="491"/>
        <v>120</v>
      </c>
      <c r="BT405" s="3">
        <f t="shared" ca="1" si="492"/>
        <v>86.25</v>
      </c>
      <c r="BU405" s="3">
        <f t="shared" ca="1" si="493"/>
        <v>14.5</v>
      </c>
      <c r="BV405" s="3">
        <f t="shared" ca="1" si="494"/>
        <v>9.3000000000000007</v>
      </c>
      <c r="BW405" s="926">
        <v>0</v>
      </c>
      <c r="BX405" s="3">
        <f t="shared" ca="1" si="432"/>
        <v>25.576036866359445</v>
      </c>
      <c r="BY405" s="3">
        <f t="shared" ca="1" si="433"/>
        <v>36.382011116725614</v>
      </c>
      <c r="BZ405" s="3">
        <f t="shared" ca="1" si="498"/>
        <v>20.652647453083109</v>
      </c>
      <c r="CA405" s="3">
        <f t="shared" ca="1" si="499"/>
        <v>28.999999988399999</v>
      </c>
      <c r="CB405" s="3">
        <f t="shared" ca="1" si="434"/>
        <v>19.522900763358777</v>
      </c>
      <c r="CC405" s="926">
        <f t="shared" si="500"/>
        <v>0</v>
      </c>
      <c r="CD405" s="1018">
        <f t="shared" ca="1" si="501"/>
        <v>158.41759618792696</v>
      </c>
      <c r="CE405" s="1018">
        <f t="shared" ca="1" si="482"/>
        <v>62.113955326134437</v>
      </c>
      <c r="CF405" s="3">
        <f t="shared" ca="1" si="502"/>
        <v>6.615946545421842</v>
      </c>
      <c r="CG405" s="3">
        <f t="shared" ca="1" si="503"/>
        <v>11015.286360265549</v>
      </c>
    </row>
    <row r="406" spans="4:85" s="11" customFormat="1" x14ac:dyDescent="0.25">
      <c r="D406" s="602"/>
      <c r="E406" s="601"/>
      <c r="F406" s="602"/>
      <c r="G406" s="601"/>
      <c r="H406" s="602"/>
      <c r="I406" s="601"/>
      <c r="J406" s="602"/>
      <c r="K406" s="603"/>
      <c r="L406" s="602"/>
      <c r="M406" s="602"/>
      <c r="N406" s="602"/>
      <c r="O406" s="602"/>
      <c r="P406" s="602"/>
      <c r="Q406" s="602"/>
      <c r="R406" s="602"/>
      <c r="S406" s="602"/>
      <c r="T406" s="606"/>
      <c r="U406" s="601"/>
      <c r="V406" s="292"/>
      <c r="W406" s="292"/>
      <c r="X406" s="292"/>
      <c r="Y406" s="277"/>
      <c r="Z406" s="292"/>
      <c r="AA406" s="292"/>
      <c r="AB406" s="292"/>
      <c r="AC406" s="292"/>
      <c r="AD406" s="277"/>
      <c r="AE406" s="292"/>
      <c r="AF406" s="292"/>
      <c r="AG406" s="277"/>
      <c r="AH406" s="313"/>
      <c r="AI406" s="912"/>
      <c r="AJ406" s="313"/>
      <c r="AK406" s="1020">
        <f t="shared" si="497"/>
        <v>0</v>
      </c>
      <c r="AL406" s="941"/>
      <c r="AM406" s="941"/>
      <c r="AN406" s="955"/>
      <c r="AO406" s="955"/>
      <c r="AP406" s="955"/>
      <c r="AQ406" s="313"/>
      <c r="AR406" s="912"/>
      <c r="AS406" s="912"/>
      <c r="AT406" s="912"/>
      <c r="AU406" s="912"/>
      <c r="AV406" s="912"/>
      <c r="AW406" s="912"/>
      <c r="AX406" s="912"/>
      <c r="AY406" s="912"/>
      <c r="AZ406" s="912"/>
      <c r="BA406" s="912"/>
      <c r="BB406" s="912"/>
      <c r="BC406" s="904"/>
      <c r="BD406" s="905"/>
      <c r="BE406" s="905"/>
      <c r="BF406" s="906"/>
      <c r="BG406" s="912"/>
      <c r="BH406" s="912"/>
      <c r="BI406" s="906"/>
      <c r="BJ406" s="912"/>
      <c r="BK406" s="912"/>
      <c r="BL406" s="912"/>
      <c r="BM406" s="906"/>
      <c r="BN406" s="278"/>
      <c r="BO406" s="52"/>
      <c r="BW406" s="946"/>
      <c r="CC406" s="946"/>
      <c r="CD406" s="946"/>
      <c r="CE406" s="946"/>
    </row>
    <row r="407" spans="4:85" x14ac:dyDescent="0.25">
      <c r="D407" s="594"/>
      <c r="E407" s="593"/>
      <c r="F407" s="599"/>
      <c r="G407" s="595"/>
      <c r="H407" s="599"/>
      <c r="I407" s="595"/>
      <c r="J407" s="599"/>
      <c r="K407" s="600"/>
      <c r="L407" s="599"/>
      <c r="M407" s="594"/>
      <c r="N407" s="594"/>
      <c r="O407" s="594"/>
      <c r="P407" s="594"/>
      <c r="Q407" s="594" t="s">
        <v>16</v>
      </c>
      <c r="R407" s="596">
        <v>0.81069999999999998</v>
      </c>
      <c r="S407" s="594"/>
      <c r="T407" s="605">
        <v>0</v>
      </c>
      <c r="U407" s="593"/>
      <c r="V407" s="176">
        <f t="shared" si="472"/>
        <v>0</v>
      </c>
      <c r="W407" s="176">
        <f>V407</f>
        <v>0</v>
      </c>
      <c r="X407" s="176">
        <f>W407</f>
        <v>0</v>
      </c>
      <c r="Y407" s="34">
        <f>X407/Calculation_sheet!M$67</f>
        <v>0</v>
      </c>
      <c r="Z407" s="176">
        <f ca="1">IF(AN407&gt;0,Y407*Calculation_sheet!C$87,0)</f>
        <v>0</v>
      </c>
      <c r="AA407" s="176">
        <f t="shared" ref="AA407:AA415" ca="1" si="504">Y407-Z407</f>
        <v>0</v>
      </c>
      <c r="AB407" s="176">
        <f ca="1">IF(AP407&gt;0,AA407*Calculation_sheet!C$94,0)</f>
        <v>0</v>
      </c>
      <c r="AC407" s="176">
        <f t="shared" ref="AC407:AE415" ca="1" si="505">AA407-AB407</f>
        <v>0</v>
      </c>
      <c r="AD407" s="958">
        <f ca="1">AC407*Calculation_sheet!C$99</f>
        <v>0</v>
      </c>
      <c r="AE407" s="176">
        <f t="shared" ca="1" si="505"/>
        <v>0</v>
      </c>
      <c r="AF407" s="176">
        <f t="shared" ref="AF407:AF415" ca="1" si="506">Y407-AB407</f>
        <v>0</v>
      </c>
      <c r="AG407" s="958">
        <f ca="1">AF407*User_sheet!B$77/100</f>
        <v>0</v>
      </c>
      <c r="AH407" s="313"/>
      <c r="AI407" s="910">
        <v>204</v>
      </c>
      <c r="AJ407" s="313"/>
      <c r="AK407" s="1020">
        <f t="shared" ca="1" si="497"/>
        <v>172.51815569583943</v>
      </c>
      <c r="AL407" s="954">
        <f ca="1">AK407/'204'!I$24</f>
        <v>0.62974322210563749</v>
      </c>
      <c r="AM407" s="954">
        <f ca="1">0.8*(AK407*30+'204'!D$17*0.34*30*1)</f>
        <v>7725.5215367001456</v>
      </c>
      <c r="AN407" s="954">
        <f ca="1">IF(AM407&lt;User_sheet!B$50,Y407,0)</f>
        <v>0</v>
      </c>
      <c r="AO407" s="954">
        <f ca="1">20-(User_sheet!B$57/(AK407+'204'!D$17*1*0.34))</f>
        <v>2.2924576224232105</v>
      </c>
      <c r="AP407" s="954">
        <f ca="1">IF(AO407&lt;User_sheet!B$59,0,BC407*AA407)</f>
        <v>0</v>
      </c>
      <c r="AQ407" s="313"/>
      <c r="AR407" s="909">
        <v>0.24</v>
      </c>
      <c r="AS407" s="909">
        <v>0.54</v>
      </c>
      <c r="AT407" s="909">
        <v>0.45</v>
      </c>
      <c r="AU407" s="909">
        <v>2</v>
      </c>
      <c r="AV407" s="909">
        <v>3.3</v>
      </c>
      <c r="AW407" s="909">
        <v>14536.85461731979</v>
      </c>
      <c r="AX407" s="909">
        <v>75022.04959166942</v>
      </c>
      <c r="AY407" s="909">
        <v>65937.809199439725</v>
      </c>
      <c r="AZ407" s="917">
        <v>0</v>
      </c>
      <c r="BA407" s="917">
        <v>0</v>
      </c>
      <c r="BB407" s="909">
        <v>0.6</v>
      </c>
      <c r="BC407" s="919">
        <v>1</v>
      </c>
      <c r="BD407" s="920">
        <v>0</v>
      </c>
      <c r="BE407" s="920">
        <v>0</v>
      </c>
      <c r="BF407" s="921">
        <v>0</v>
      </c>
      <c r="BG407" s="909">
        <v>1</v>
      </c>
      <c r="BH407" s="909">
        <v>0</v>
      </c>
      <c r="BI407" s="921">
        <v>0</v>
      </c>
      <c r="BJ407" s="909">
        <v>1</v>
      </c>
      <c r="BK407" s="909">
        <v>0</v>
      </c>
      <c r="BL407" s="909">
        <v>0</v>
      </c>
      <c r="BM407" s="921">
        <v>0</v>
      </c>
      <c r="BN407" s="958">
        <v>0.08</v>
      </c>
      <c r="BO407" s="50">
        <v>12</v>
      </c>
      <c r="BP407">
        <f t="shared" ref="BP407:BP415" ca="1" si="507">INDIRECT("'"&amp;AI407&amp;"'!"&amp;"B2")</f>
        <v>150</v>
      </c>
      <c r="BQ407">
        <f t="shared" ref="BQ407:BQ415" ca="1" si="508">INDIRECT("'"&amp;AI407&amp;"'!"&amp;"C12")+INDIRECT("'"&amp;AI407&amp;"'!"&amp;"C13")+INDIRECT("'"&amp;AI407&amp;"'!"&amp;"C14")+INDIRECT("'"&amp;AI407&amp;"'!"&amp;"C15")+INDIRECT("'"&amp;AI407&amp;"'!"&amp;"C17")</f>
        <v>372.82075000000003</v>
      </c>
      <c r="BR407">
        <f t="shared" ref="BR407:BR415" ca="1" si="509">INDIRECT("'"&amp;AI407&amp;"'!"&amp;"G5")</f>
        <v>111</v>
      </c>
      <c r="BS407">
        <f t="shared" ref="BS407:BS415" ca="1" si="510">INDIRECT("'"&amp;AI407&amp;"'!"&amp;"G4")</f>
        <v>120</v>
      </c>
      <c r="BT407">
        <f t="shared" ref="BT407:BT415" ca="1" si="511">INDIRECT("'"&amp;AI407&amp;"'!"&amp;"G6")</f>
        <v>86.25</v>
      </c>
      <c r="BU407">
        <f t="shared" ref="BU407:BU415" ca="1" si="512">INDIRECT("'"&amp;AI407&amp;"'!"&amp;"G2")</f>
        <v>14.5</v>
      </c>
      <c r="BV407">
        <f t="shared" ref="BV407:BV415" ca="1" si="513">INDIRECT("'"&amp;AI407&amp;"'!"&amp;"G3")</f>
        <v>9.3000000000000007</v>
      </c>
      <c r="BW407" s="1018">
        <v>0</v>
      </c>
      <c r="BX407">
        <f t="shared" ca="1" si="432"/>
        <v>25.576036866359445</v>
      </c>
      <c r="BY407">
        <f t="shared" ca="1" si="433"/>
        <v>59.253840526700813</v>
      </c>
      <c r="BZ407">
        <f t="shared" ca="1" si="498"/>
        <v>11.881377551020408</v>
      </c>
      <c r="CA407">
        <f t="shared" ca="1" si="499"/>
        <v>28.999999988399999</v>
      </c>
      <c r="CB407">
        <f t="shared" ca="1" si="434"/>
        <v>19.522900763358777</v>
      </c>
      <c r="CC407" s="1018">
        <f t="shared" si="500"/>
        <v>0</v>
      </c>
      <c r="CD407" s="1018">
        <f ca="1">SUM(BX407:CC407)+(BR407+BS407+BT407+BU407+BV407)*BN407</f>
        <v>172.51815569583943</v>
      </c>
      <c r="CE407" s="1018">
        <f t="shared" ca="1" si="482"/>
        <v>124.22791065226887</v>
      </c>
      <c r="CF407">
        <f t="shared" ca="1" si="502"/>
        <v>8.9023819904432493</v>
      </c>
      <c r="CG407">
        <f t="shared" ca="1" si="503"/>
        <v>14822.10991880839</v>
      </c>
    </row>
    <row r="408" spans="4:85" x14ac:dyDescent="0.25">
      <c r="D408" s="594"/>
      <c r="E408" s="593"/>
      <c r="F408" s="599"/>
      <c r="G408" s="595"/>
      <c r="H408" s="599"/>
      <c r="I408" s="595"/>
      <c r="J408" s="599"/>
      <c r="K408" s="600"/>
      <c r="L408" s="599"/>
      <c r="M408" s="594"/>
      <c r="N408" s="594"/>
      <c r="O408" s="594" t="s">
        <v>18</v>
      </c>
      <c r="P408" s="596">
        <v>0.962121212</v>
      </c>
      <c r="Q408" s="594" t="s">
        <v>7</v>
      </c>
      <c r="R408" s="596">
        <v>0.1893</v>
      </c>
      <c r="S408" s="594"/>
      <c r="T408" s="605">
        <v>0</v>
      </c>
      <c r="U408" s="593"/>
      <c r="V408" s="176">
        <f t="shared" si="472"/>
        <v>0</v>
      </c>
      <c r="W408" s="176">
        <f t="shared" ref="W408:X415" si="514">V408</f>
        <v>0</v>
      </c>
      <c r="X408" s="176">
        <f t="shared" si="514"/>
        <v>0</v>
      </c>
      <c r="Y408" s="34">
        <f>X408/Calculation_sheet!M$67</f>
        <v>0</v>
      </c>
      <c r="Z408" s="176">
        <f ca="1">IF(AN408&gt;0,Y408*Calculation_sheet!C$87,0)</f>
        <v>0</v>
      </c>
      <c r="AA408" s="176">
        <f t="shared" ca="1" si="504"/>
        <v>0</v>
      </c>
      <c r="AB408" s="176">
        <f ca="1">IF(AP408&gt;0,AA408*Calculation_sheet!C$94,0)</f>
        <v>0</v>
      </c>
      <c r="AC408" s="176">
        <f t="shared" ca="1" si="505"/>
        <v>0</v>
      </c>
      <c r="AD408" s="958">
        <f ca="1">AC408*Calculation_sheet!C$99</f>
        <v>0</v>
      </c>
      <c r="AE408" s="176">
        <f t="shared" ca="1" si="505"/>
        <v>0</v>
      </c>
      <c r="AF408" s="176">
        <f t="shared" ca="1" si="506"/>
        <v>0</v>
      </c>
      <c r="AG408" s="958">
        <f ca="1">AF408*User_sheet!B$77/100</f>
        <v>0</v>
      </c>
      <c r="AH408" s="313"/>
      <c r="AI408" s="910">
        <v>204</v>
      </c>
      <c r="AJ408" s="313"/>
      <c r="AK408" s="1020">
        <f t="shared" ca="1" si="497"/>
        <v>172.51815569583943</v>
      </c>
      <c r="AL408" s="954">
        <f ca="1">AK408/'204'!I$24</f>
        <v>0.62974322210563749</v>
      </c>
      <c r="AM408" s="954">
        <f ca="1">0.8*(AK408*30+'204'!D$17*0.34*30*1)</f>
        <v>7725.5215367001456</v>
      </c>
      <c r="AN408" s="954">
        <f ca="1">IF(AM408&lt;User_sheet!B$50,Y408,0)</f>
        <v>0</v>
      </c>
      <c r="AO408" s="954">
        <f ca="1">20-(User_sheet!B$57/(AK408+'204'!D$17*1*0.34))</f>
        <v>2.2924576224232105</v>
      </c>
      <c r="AP408" s="954">
        <f ca="1">IF(AO408&lt;User_sheet!B$59,0,BC408*AA408)</f>
        <v>0</v>
      </c>
      <c r="AQ408" s="313"/>
      <c r="AR408" s="909">
        <v>0.24</v>
      </c>
      <c r="AS408" s="909">
        <v>0.54</v>
      </c>
      <c r="AT408" s="909">
        <v>0.45</v>
      </c>
      <c r="AU408" s="909">
        <v>2</v>
      </c>
      <c r="AV408" s="909">
        <v>3.3</v>
      </c>
      <c r="AW408" s="909">
        <v>14536.85461731979</v>
      </c>
      <c r="AX408" s="909">
        <v>75022.04959166942</v>
      </c>
      <c r="AY408" s="909">
        <v>65937.809199439725</v>
      </c>
      <c r="AZ408" s="917">
        <v>0</v>
      </c>
      <c r="BA408" s="917">
        <v>0</v>
      </c>
      <c r="BB408" s="909">
        <v>0.6</v>
      </c>
      <c r="BC408" s="919">
        <v>1</v>
      </c>
      <c r="BD408" s="920">
        <v>0</v>
      </c>
      <c r="BE408" s="920">
        <v>0</v>
      </c>
      <c r="BF408" s="921">
        <v>0</v>
      </c>
      <c r="BG408" s="909">
        <v>1</v>
      </c>
      <c r="BH408" s="909">
        <v>0</v>
      </c>
      <c r="BI408" s="921">
        <v>0</v>
      </c>
      <c r="BJ408" s="909">
        <v>0</v>
      </c>
      <c r="BK408" s="909">
        <v>0</v>
      </c>
      <c r="BL408" s="909">
        <v>1</v>
      </c>
      <c r="BM408" s="921">
        <v>0</v>
      </c>
      <c r="BN408" s="958">
        <v>0.08</v>
      </c>
      <c r="BO408" s="50">
        <v>12</v>
      </c>
      <c r="BP408">
        <f t="shared" ca="1" si="507"/>
        <v>150</v>
      </c>
      <c r="BQ408">
        <f t="shared" ca="1" si="508"/>
        <v>372.82075000000003</v>
      </c>
      <c r="BR408">
        <f t="shared" ca="1" si="509"/>
        <v>111</v>
      </c>
      <c r="BS408">
        <f t="shared" ca="1" si="510"/>
        <v>120</v>
      </c>
      <c r="BT408">
        <f t="shared" ca="1" si="511"/>
        <v>86.25</v>
      </c>
      <c r="BU408">
        <f t="shared" ca="1" si="512"/>
        <v>14.5</v>
      </c>
      <c r="BV408">
        <f t="shared" ca="1" si="513"/>
        <v>9.3000000000000007</v>
      </c>
      <c r="BW408" s="1018">
        <v>0</v>
      </c>
      <c r="BX408">
        <f t="shared" ca="1" si="432"/>
        <v>25.576036866359445</v>
      </c>
      <c r="BY408">
        <f t="shared" ca="1" si="433"/>
        <v>59.253840526700813</v>
      </c>
      <c r="BZ408">
        <f t="shared" ca="1" si="498"/>
        <v>11.881377551020408</v>
      </c>
      <c r="CA408">
        <f t="shared" ca="1" si="499"/>
        <v>28.999999988399999</v>
      </c>
      <c r="CB408">
        <f t="shared" ca="1" si="434"/>
        <v>19.522900763358777</v>
      </c>
      <c r="CC408" s="1018">
        <f t="shared" si="500"/>
        <v>0</v>
      </c>
      <c r="CD408" s="1018">
        <f t="shared" ref="CD408:CD415" ca="1" si="515">SUM(BX408:CC408)+(BR408+BS408+BT408+BU408+BV408)*BN408</f>
        <v>172.51815569583943</v>
      </c>
      <c r="CE408" s="1018">
        <f t="shared" ca="1" si="482"/>
        <v>124.22791065226887</v>
      </c>
      <c r="CF408">
        <f t="shared" ca="1" si="502"/>
        <v>8.9023819904432493</v>
      </c>
      <c r="CG408">
        <f t="shared" ca="1" si="503"/>
        <v>14822.10991880839</v>
      </c>
    </row>
    <row r="409" spans="4:85" x14ac:dyDescent="0.25">
      <c r="D409" s="594"/>
      <c r="E409" s="593"/>
      <c r="F409" s="599"/>
      <c r="G409" s="595"/>
      <c r="H409" s="599"/>
      <c r="I409" s="595"/>
      <c r="J409" s="599"/>
      <c r="K409" s="600"/>
      <c r="L409" s="599"/>
      <c r="M409" s="594"/>
      <c r="N409" s="594"/>
      <c r="O409" s="594"/>
      <c r="P409" s="594"/>
      <c r="Q409" s="594" t="s">
        <v>16</v>
      </c>
      <c r="R409" s="596">
        <v>0.81069999999999998</v>
      </c>
      <c r="S409" s="594"/>
      <c r="T409" s="605">
        <v>0</v>
      </c>
      <c r="U409" s="593"/>
      <c r="V409" s="176">
        <f t="shared" si="472"/>
        <v>0</v>
      </c>
      <c r="W409" s="176">
        <f t="shared" si="514"/>
        <v>0</v>
      </c>
      <c r="X409" s="176">
        <f t="shared" si="514"/>
        <v>0</v>
      </c>
      <c r="Y409" s="34">
        <f>X409/Calculation_sheet!M$67</f>
        <v>0</v>
      </c>
      <c r="Z409" s="176">
        <f ca="1">IF(AN409&gt;0,Y409*Calculation_sheet!C$87,0)</f>
        <v>0</v>
      </c>
      <c r="AA409" s="176">
        <f t="shared" ca="1" si="504"/>
        <v>0</v>
      </c>
      <c r="AB409" s="176">
        <f ca="1">IF(AP409&gt;0,AA409*Calculation_sheet!C$94,0)</f>
        <v>0</v>
      </c>
      <c r="AC409" s="176">
        <f t="shared" ca="1" si="505"/>
        <v>0</v>
      </c>
      <c r="AD409" s="958">
        <f ca="1">AC409*Calculation_sheet!C$99</f>
        <v>0</v>
      </c>
      <c r="AE409" s="176">
        <f t="shared" ca="1" si="505"/>
        <v>0</v>
      </c>
      <c r="AF409" s="176">
        <f t="shared" ca="1" si="506"/>
        <v>0</v>
      </c>
      <c r="AG409" s="958">
        <f ca="1">AF409*User_sheet!B$77/100</f>
        <v>0</v>
      </c>
      <c r="AH409" s="313"/>
      <c r="AI409" s="910">
        <v>204</v>
      </c>
      <c r="AJ409" s="313"/>
      <c r="AK409" s="1020">
        <f t="shared" ca="1" si="497"/>
        <v>172.51815569583943</v>
      </c>
      <c r="AL409" s="954">
        <f ca="1">AK409/'204'!I$24</f>
        <v>0.62974322210563749</v>
      </c>
      <c r="AM409" s="954">
        <f ca="1">0.8*(AK409*30+'204'!D$17*0.34*30*1)</f>
        <v>7725.5215367001456</v>
      </c>
      <c r="AN409" s="954">
        <f ca="1">IF(AM409&lt;User_sheet!B$50,Y409,0)</f>
        <v>0</v>
      </c>
      <c r="AO409" s="954">
        <f ca="1">20-(User_sheet!B$57/(AK409+'204'!D$17*1*0.34))</f>
        <v>2.2924576224232105</v>
      </c>
      <c r="AP409" s="954">
        <f ca="1">IF(AO409&lt;User_sheet!B$59,0,BC409*AA409)</f>
        <v>0</v>
      </c>
      <c r="AQ409" s="313"/>
      <c r="AR409" s="909">
        <v>0.24</v>
      </c>
      <c r="AS409" s="909">
        <v>0.54</v>
      </c>
      <c r="AT409" s="909">
        <v>0.45</v>
      </c>
      <c r="AU409" s="909">
        <v>2</v>
      </c>
      <c r="AV409" s="909">
        <v>3.3</v>
      </c>
      <c r="AW409" s="909">
        <v>14536.85461731979</v>
      </c>
      <c r="AX409" s="909">
        <v>75022.04959166942</v>
      </c>
      <c r="AY409" s="909">
        <v>65937.809199439725</v>
      </c>
      <c r="AZ409" s="917">
        <v>0</v>
      </c>
      <c r="BA409" s="917">
        <v>0</v>
      </c>
      <c r="BB409" s="909">
        <v>0.6</v>
      </c>
      <c r="BC409" s="919">
        <v>1</v>
      </c>
      <c r="BD409" s="920">
        <v>0</v>
      </c>
      <c r="BE409" s="920">
        <v>0</v>
      </c>
      <c r="BF409" s="921">
        <v>0</v>
      </c>
      <c r="BG409" s="909">
        <v>0</v>
      </c>
      <c r="BH409" s="909">
        <v>1</v>
      </c>
      <c r="BI409" s="921">
        <v>0</v>
      </c>
      <c r="BJ409" s="909">
        <v>1</v>
      </c>
      <c r="BK409" s="909">
        <v>0</v>
      </c>
      <c r="BL409" s="909">
        <v>0</v>
      </c>
      <c r="BM409" s="921">
        <v>0</v>
      </c>
      <c r="BN409" s="958">
        <v>0.08</v>
      </c>
      <c r="BO409" s="50">
        <v>12</v>
      </c>
      <c r="BP409">
        <f t="shared" ca="1" si="507"/>
        <v>150</v>
      </c>
      <c r="BQ409">
        <f t="shared" ca="1" si="508"/>
        <v>372.82075000000003</v>
      </c>
      <c r="BR409">
        <f t="shared" ca="1" si="509"/>
        <v>111</v>
      </c>
      <c r="BS409">
        <f t="shared" ca="1" si="510"/>
        <v>120</v>
      </c>
      <c r="BT409">
        <f t="shared" ca="1" si="511"/>
        <v>86.25</v>
      </c>
      <c r="BU409">
        <f t="shared" ca="1" si="512"/>
        <v>14.5</v>
      </c>
      <c r="BV409">
        <f t="shared" ca="1" si="513"/>
        <v>9.3000000000000007</v>
      </c>
      <c r="BW409" s="1018">
        <v>0</v>
      </c>
      <c r="BX409">
        <f t="shared" ca="1" si="432"/>
        <v>25.576036866359445</v>
      </c>
      <c r="BY409">
        <f t="shared" ca="1" si="433"/>
        <v>59.253840526700813</v>
      </c>
      <c r="BZ409">
        <f t="shared" ca="1" si="498"/>
        <v>11.881377551020408</v>
      </c>
      <c r="CA409">
        <f t="shared" ca="1" si="499"/>
        <v>28.999999988399999</v>
      </c>
      <c r="CB409">
        <f t="shared" ca="1" si="434"/>
        <v>19.522900763358777</v>
      </c>
      <c r="CC409" s="1018">
        <f t="shared" si="500"/>
        <v>0</v>
      </c>
      <c r="CD409" s="1018">
        <f t="shared" ca="1" si="515"/>
        <v>172.51815569583943</v>
      </c>
      <c r="CE409" s="1018">
        <f t="shared" ca="1" si="482"/>
        <v>124.22791065226887</v>
      </c>
      <c r="CF409">
        <f t="shared" ca="1" si="502"/>
        <v>8.9023819904432493</v>
      </c>
      <c r="CG409">
        <f t="shared" ca="1" si="503"/>
        <v>14822.10991880839</v>
      </c>
    </row>
    <row r="410" spans="4:85" x14ac:dyDescent="0.25">
      <c r="D410" s="594"/>
      <c r="E410" s="593"/>
      <c r="F410" s="599"/>
      <c r="G410" s="595"/>
      <c r="H410" s="599"/>
      <c r="I410" s="595"/>
      <c r="J410" s="599"/>
      <c r="K410" s="600"/>
      <c r="L410" s="599"/>
      <c r="M410" s="594" t="s">
        <v>16</v>
      </c>
      <c r="N410" s="596">
        <v>0.5</v>
      </c>
      <c r="O410" s="594" t="s">
        <v>19</v>
      </c>
      <c r="P410" s="596">
        <v>3.7878787999999997E-2</v>
      </c>
      <c r="Q410" s="594" t="s">
        <v>7</v>
      </c>
      <c r="R410" s="596">
        <v>0.1893</v>
      </c>
      <c r="S410" s="594"/>
      <c r="T410" s="605">
        <v>0</v>
      </c>
      <c r="U410" s="593"/>
      <c r="V410" s="176">
        <f t="shared" si="472"/>
        <v>0</v>
      </c>
      <c r="W410" s="176">
        <f t="shared" si="514"/>
        <v>0</v>
      </c>
      <c r="X410" s="176">
        <f t="shared" si="514"/>
        <v>0</v>
      </c>
      <c r="Y410" s="34">
        <f>X410/Calculation_sheet!M$67</f>
        <v>0</v>
      </c>
      <c r="Z410" s="176">
        <f ca="1">IF(AN410&gt;0,Y410*Calculation_sheet!C$87,0)</f>
        <v>0</v>
      </c>
      <c r="AA410" s="176">
        <f t="shared" ca="1" si="504"/>
        <v>0</v>
      </c>
      <c r="AB410" s="176">
        <f ca="1">IF(AP410&gt;0,AA410*Calculation_sheet!C$94,0)</f>
        <v>0</v>
      </c>
      <c r="AC410" s="176">
        <f t="shared" ca="1" si="505"/>
        <v>0</v>
      </c>
      <c r="AD410" s="958">
        <f ca="1">AC410*Calculation_sheet!C$99</f>
        <v>0</v>
      </c>
      <c r="AE410" s="176">
        <f t="shared" ca="1" si="505"/>
        <v>0</v>
      </c>
      <c r="AF410" s="176">
        <f t="shared" ca="1" si="506"/>
        <v>0</v>
      </c>
      <c r="AG410" s="958">
        <f ca="1">AF410*User_sheet!B$77/100</f>
        <v>0</v>
      </c>
      <c r="AH410" s="313"/>
      <c r="AI410" s="910">
        <v>204</v>
      </c>
      <c r="AJ410" s="313"/>
      <c r="AK410" s="1020">
        <f t="shared" ca="1" si="497"/>
        <v>172.51815569583943</v>
      </c>
      <c r="AL410" s="954">
        <f ca="1">AK410/'204'!I$24</f>
        <v>0.62974322210563749</v>
      </c>
      <c r="AM410" s="954">
        <f ca="1">0.8*(AK410*30+'204'!D$17*0.34*30*1)</f>
        <v>7725.5215367001456</v>
      </c>
      <c r="AN410" s="954">
        <f ca="1">IF(AM410&lt;User_sheet!B$50,Y410,0)</f>
        <v>0</v>
      </c>
      <c r="AO410" s="954">
        <f ca="1">20-(User_sheet!B$57/(AK410+'204'!D$17*1*0.34))</f>
        <v>2.2924576224232105</v>
      </c>
      <c r="AP410" s="954">
        <f ca="1">IF(AO410&lt;User_sheet!B$59,0,BC410*AA410)</f>
        <v>0</v>
      </c>
      <c r="AQ410" s="313"/>
      <c r="AR410" s="909">
        <v>0.24</v>
      </c>
      <c r="AS410" s="909">
        <v>0.54</v>
      </c>
      <c r="AT410" s="909">
        <v>0.45</v>
      </c>
      <c r="AU410" s="909">
        <v>2</v>
      </c>
      <c r="AV410" s="909">
        <v>3.3</v>
      </c>
      <c r="AW410" s="909">
        <v>14536.85461731979</v>
      </c>
      <c r="AX410" s="909">
        <v>75022.04959166942</v>
      </c>
      <c r="AY410" s="909">
        <v>65937.809199439725</v>
      </c>
      <c r="AZ410" s="917">
        <v>0</v>
      </c>
      <c r="BA410" s="917">
        <v>0</v>
      </c>
      <c r="BB410" s="909">
        <v>0.6</v>
      </c>
      <c r="BC410" s="919">
        <v>1</v>
      </c>
      <c r="BD410" s="920">
        <v>0</v>
      </c>
      <c r="BE410" s="920">
        <v>0</v>
      </c>
      <c r="BF410" s="921">
        <v>0</v>
      </c>
      <c r="BG410" s="909">
        <v>0</v>
      </c>
      <c r="BH410" s="909">
        <v>1</v>
      </c>
      <c r="BI410" s="921">
        <v>0</v>
      </c>
      <c r="BJ410" s="909">
        <v>0</v>
      </c>
      <c r="BK410" s="909">
        <v>0</v>
      </c>
      <c r="BL410" s="909">
        <v>1</v>
      </c>
      <c r="BM410" s="921">
        <v>0</v>
      </c>
      <c r="BN410" s="958">
        <v>0.08</v>
      </c>
      <c r="BO410" s="50">
        <v>12</v>
      </c>
      <c r="BP410">
        <f t="shared" ca="1" si="507"/>
        <v>150</v>
      </c>
      <c r="BQ410">
        <f t="shared" ca="1" si="508"/>
        <v>372.82075000000003</v>
      </c>
      <c r="BR410">
        <f t="shared" ca="1" si="509"/>
        <v>111</v>
      </c>
      <c r="BS410">
        <f t="shared" ca="1" si="510"/>
        <v>120</v>
      </c>
      <c r="BT410">
        <f t="shared" ca="1" si="511"/>
        <v>86.25</v>
      </c>
      <c r="BU410">
        <f t="shared" ca="1" si="512"/>
        <v>14.5</v>
      </c>
      <c r="BV410">
        <f t="shared" ca="1" si="513"/>
        <v>9.3000000000000007</v>
      </c>
      <c r="BW410" s="1018">
        <v>0</v>
      </c>
      <c r="BX410">
        <f t="shared" ca="1" si="432"/>
        <v>25.576036866359445</v>
      </c>
      <c r="BY410">
        <f t="shared" ca="1" si="433"/>
        <v>59.253840526700813</v>
      </c>
      <c r="BZ410">
        <f t="shared" ca="1" si="498"/>
        <v>11.881377551020408</v>
      </c>
      <c r="CA410">
        <f t="shared" ca="1" si="499"/>
        <v>28.999999988399999</v>
      </c>
      <c r="CB410">
        <f t="shared" ca="1" si="434"/>
        <v>19.522900763358777</v>
      </c>
      <c r="CC410" s="1018">
        <f t="shared" si="500"/>
        <v>0</v>
      </c>
      <c r="CD410" s="1018">
        <f t="shared" ca="1" si="515"/>
        <v>172.51815569583943</v>
      </c>
      <c r="CE410" s="1018">
        <f t="shared" ca="1" si="482"/>
        <v>124.22791065226887</v>
      </c>
      <c r="CF410">
        <f t="shared" ca="1" si="502"/>
        <v>8.9023819904432493</v>
      </c>
      <c r="CG410">
        <f t="shared" ca="1" si="503"/>
        <v>14822.10991880839</v>
      </c>
    </row>
    <row r="411" spans="4:85" x14ac:dyDescent="0.25">
      <c r="D411" s="594"/>
      <c r="E411" s="593"/>
      <c r="F411" s="599"/>
      <c r="G411" s="595"/>
      <c r="H411" s="599"/>
      <c r="I411" s="595"/>
      <c r="J411" s="599"/>
      <c r="K411" s="600"/>
      <c r="L411" s="599"/>
      <c r="M411" s="594"/>
      <c r="N411" s="594"/>
      <c r="O411" s="594"/>
      <c r="P411" s="594"/>
      <c r="Q411" s="594" t="s">
        <v>22</v>
      </c>
      <c r="R411" s="596">
        <v>0.81</v>
      </c>
      <c r="S411" s="594"/>
      <c r="T411" s="605">
        <v>0</v>
      </c>
      <c r="U411" s="593"/>
      <c r="V411" s="176">
        <f t="shared" si="472"/>
        <v>0</v>
      </c>
      <c r="W411" s="176">
        <f t="shared" si="514"/>
        <v>0</v>
      </c>
      <c r="X411" s="176">
        <f t="shared" si="514"/>
        <v>0</v>
      </c>
      <c r="Y411" s="34">
        <f>X411/Calculation_sheet!M$67</f>
        <v>0</v>
      </c>
      <c r="Z411" s="176">
        <f ca="1">IF(AN411&gt;0,Y411*Calculation_sheet!C$87,0)</f>
        <v>0</v>
      </c>
      <c r="AA411" s="176">
        <f t="shared" ca="1" si="504"/>
        <v>0</v>
      </c>
      <c r="AB411" s="176">
        <f ca="1">IF(AP411&gt;0,AA411*Calculation_sheet!C$94,0)</f>
        <v>0</v>
      </c>
      <c r="AC411" s="176">
        <f t="shared" ca="1" si="505"/>
        <v>0</v>
      </c>
      <c r="AD411" s="958">
        <f ca="1">AC411*Calculation_sheet!C$99</f>
        <v>0</v>
      </c>
      <c r="AE411" s="176">
        <f t="shared" ca="1" si="505"/>
        <v>0</v>
      </c>
      <c r="AF411" s="176">
        <f t="shared" ca="1" si="506"/>
        <v>0</v>
      </c>
      <c r="AG411" s="958">
        <f ca="1">AF411*User_sheet!B$77/100</f>
        <v>0</v>
      </c>
      <c r="AH411" s="313"/>
      <c r="AI411" s="910">
        <v>204</v>
      </c>
      <c r="AJ411" s="313"/>
      <c r="AK411" s="1020">
        <f t="shared" ca="1" si="497"/>
        <v>172.51815569583943</v>
      </c>
      <c r="AL411" s="954">
        <f ca="1">AK411/'204'!I$24</f>
        <v>0.62974322210563749</v>
      </c>
      <c r="AM411" s="954">
        <f ca="1">0.8*(AK411*30+'204'!D$17*0.34*30*1)</f>
        <v>7725.5215367001456</v>
      </c>
      <c r="AN411" s="954">
        <f ca="1">IF(AM411&lt;User_sheet!B$50,Y411,0)</f>
        <v>0</v>
      </c>
      <c r="AO411" s="954">
        <f ca="1">20-(User_sheet!B$57/(AK411+'204'!D$17*1*0.34))</f>
        <v>2.2924576224232105</v>
      </c>
      <c r="AP411" s="954">
        <f ca="1">IF(AO411&lt;User_sheet!B$59,0,BC411*AA411)</f>
        <v>0</v>
      </c>
      <c r="AQ411" s="313"/>
      <c r="AR411" s="909">
        <v>0.24</v>
      </c>
      <c r="AS411" s="909">
        <v>0.54</v>
      </c>
      <c r="AT411" s="909">
        <v>0.45</v>
      </c>
      <c r="AU411" s="909">
        <v>2</v>
      </c>
      <c r="AV411" s="909">
        <v>3.3</v>
      </c>
      <c r="AW411" s="909">
        <v>14536.85461731979</v>
      </c>
      <c r="AX411" s="909">
        <v>75022.04959166942</v>
      </c>
      <c r="AY411" s="909">
        <v>65937.809199439725</v>
      </c>
      <c r="AZ411" s="917">
        <v>0</v>
      </c>
      <c r="BA411" s="917">
        <v>0</v>
      </c>
      <c r="BB411" s="909">
        <v>0.6</v>
      </c>
      <c r="BC411" s="919">
        <v>0</v>
      </c>
      <c r="BD411" s="920">
        <v>1</v>
      </c>
      <c r="BE411" s="920">
        <v>0</v>
      </c>
      <c r="BF411" s="921">
        <v>0</v>
      </c>
      <c r="BG411" s="909">
        <v>1</v>
      </c>
      <c r="BH411" s="909">
        <v>0</v>
      </c>
      <c r="BI411" s="921">
        <v>0</v>
      </c>
      <c r="BJ411" s="909">
        <v>0</v>
      </c>
      <c r="BK411" s="909">
        <v>1</v>
      </c>
      <c r="BL411" s="909">
        <v>0</v>
      </c>
      <c r="BM411" s="921">
        <v>0</v>
      </c>
      <c r="BN411" s="958">
        <v>0.08</v>
      </c>
      <c r="BO411" s="50">
        <v>12</v>
      </c>
      <c r="BP411">
        <f t="shared" ca="1" si="507"/>
        <v>150</v>
      </c>
      <c r="BQ411">
        <f t="shared" ca="1" si="508"/>
        <v>372.82075000000003</v>
      </c>
      <c r="BR411">
        <f t="shared" ca="1" si="509"/>
        <v>111</v>
      </c>
      <c r="BS411">
        <f t="shared" ca="1" si="510"/>
        <v>120</v>
      </c>
      <c r="BT411">
        <f t="shared" ca="1" si="511"/>
        <v>86.25</v>
      </c>
      <c r="BU411">
        <f t="shared" ca="1" si="512"/>
        <v>14.5</v>
      </c>
      <c r="BV411">
        <f t="shared" ca="1" si="513"/>
        <v>9.3000000000000007</v>
      </c>
      <c r="BW411" s="1018">
        <v>0</v>
      </c>
      <c r="BX411">
        <f t="shared" ca="1" si="432"/>
        <v>25.576036866359445</v>
      </c>
      <c r="BY411">
        <f t="shared" ca="1" si="433"/>
        <v>59.253840526700813</v>
      </c>
      <c r="BZ411">
        <f t="shared" ca="1" si="498"/>
        <v>11.881377551020408</v>
      </c>
      <c r="CA411">
        <f t="shared" ca="1" si="499"/>
        <v>28.999999988399999</v>
      </c>
      <c r="CB411">
        <f t="shared" ca="1" si="434"/>
        <v>19.522900763358777</v>
      </c>
      <c r="CC411" s="1018">
        <f t="shared" si="500"/>
        <v>0</v>
      </c>
      <c r="CD411" s="1018">
        <f t="shared" ca="1" si="515"/>
        <v>172.51815569583943</v>
      </c>
      <c r="CE411" s="1018">
        <f t="shared" ca="1" si="482"/>
        <v>124.22791065226887</v>
      </c>
      <c r="CF411">
        <f t="shared" ca="1" si="502"/>
        <v>8.9023819904432493</v>
      </c>
      <c r="CG411">
        <f t="shared" ca="1" si="503"/>
        <v>14822.10991880839</v>
      </c>
    </row>
    <row r="412" spans="4:85" x14ac:dyDescent="0.25">
      <c r="D412" s="594"/>
      <c r="E412" s="593"/>
      <c r="F412" s="599"/>
      <c r="G412" s="595"/>
      <c r="H412" s="599"/>
      <c r="I412" s="595"/>
      <c r="J412" s="599"/>
      <c r="K412" s="600"/>
      <c r="L412" s="599"/>
      <c r="M412" s="594"/>
      <c r="N412" s="594"/>
      <c r="O412" s="594" t="s">
        <v>18</v>
      </c>
      <c r="P412" s="596">
        <v>0.96078431399999997</v>
      </c>
      <c r="Q412" s="594" t="s">
        <v>7</v>
      </c>
      <c r="R412" s="596">
        <v>0.19</v>
      </c>
      <c r="S412" s="594"/>
      <c r="T412" s="605">
        <v>0</v>
      </c>
      <c r="U412" s="593"/>
      <c r="V412" s="176">
        <f t="shared" si="472"/>
        <v>0</v>
      </c>
      <c r="W412" s="176">
        <f t="shared" si="514"/>
        <v>0</v>
      </c>
      <c r="X412" s="176">
        <f t="shared" si="514"/>
        <v>0</v>
      </c>
      <c r="Y412" s="34">
        <f>X412/Calculation_sheet!M$67</f>
        <v>0</v>
      </c>
      <c r="Z412" s="176">
        <f ca="1">IF(AN412&gt;0,Y412*Calculation_sheet!C$87,0)</f>
        <v>0</v>
      </c>
      <c r="AA412" s="176">
        <f t="shared" ca="1" si="504"/>
        <v>0</v>
      </c>
      <c r="AB412" s="176">
        <f ca="1">IF(AP412&gt;0,AA412*Calculation_sheet!C$94,0)</f>
        <v>0</v>
      </c>
      <c r="AC412" s="176">
        <f t="shared" ca="1" si="505"/>
        <v>0</v>
      </c>
      <c r="AD412" s="958">
        <f ca="1">AC412*Calculation_sheet!C$99</f>
        <v>0</v>
      </c>
      <c r="AE412" s="176">
        <f t="shared" ca="1" si="505"/>
        <v>0</v>
      </c>
      <c r="AF412" s="176">
        <f t="shared" ca="1" si="506"/>
        <v>0</v>
      </c>
      <c r="AG412" s="958">
        <f ca="1">AF412*User_sheet!B$77/100</f>
        <v>0</v>
      </c>
      <c r="AH412" s="313"/>
      <c r="AI412" s="910">
        <v>204</v>
      </c>
      <c r="AJ412" s="313"/>
      <c r="AK412" s="1020">
        <f t="shared" ca="1" si="497"/>
        <v>172.51815569583943</v>
      </c>
      <c r="AL412" s="954">
        <f ca="1">AK412/'204'!I$24</f>
        <v>0.62974322210563749</v>
      </c>
      <c r="AM412" s="954">
        <f ca="1">0.8*(AK412*30+'204'!D$17*0.34*30*1)</f>
        <v>7725.5215367001456</v>
      </c>
      <c r="AN412" s="954">
        <f ca="1">IF(AM412&lt;User_sheet!B$50,Y412,0)</f>
        <v>0</v>
      </c>
      <c r="AO412" s="954">
        <f ca="1">20-(User_sheet!B$57/(AK412+'204'!D$17*1*0.34))</f>
        <v>2.2924576224232105</v>
      </c>
      <c r="AP412" s="954">
        <f ca="1">IF(AO412&lt;User_sheet!B$59,0,BC412*AA412)</f>
        <v>0</v>
      </c>
      <c r="AQ412" s="313"/>
      <c r="AR412" s="909">
        <v>0.24</v>
      </c>
      <c r="AS412" s="909">
        <v>0.54</v>
      </c>
      <c r="AT412" s="909">
        <v>0.45</v>
      </c>
      <c r="AU412" s="909">
        <v>2</v>
      </c>
      <c r="AV412" s="909">
        <v>3.3</v>
      </c>
      <c r="AW412" s="909">
        <v>14536.85461731979</v>
      </c>
      <c r="AX412" s="909">
        <v>75022.04959166942</v>
      </c>
      <c r="AY412" s="909">
        <v>65937.809199439725</v>
      </c>
      <c r="AZ412" s="917">
        <v>0</v>
      </c>
      <c r="BA412" s="917">
        <v>0</v>
      </c>
      <c r="BB412" s="909">
        <v>0.6</v>
      </c>
      <c r="BC412" s="919">
        <v>0</v>
      </c>
      <c r="BD412" s="920">
        <v>1</v>
      </c>
      <c r="BE412" s="920">
        <v>0</v>
      </c>
      <c r="BF412" s="921">
        <v>0</v>
      </c>
      <c r="BG412" s="909">
        <v>1</v>
      </c>
      <c r="BH412" s="909">
        <v>0</v>
      </c>
      <c r="BI412" s="921">
        <v>0</v>
      </c>
      <c r="BJ412" s="909">
        <v>0</v>
      </c>
      <c r="BK412" s="909">
        <v>0</v>
      </c>
      <c r="BL412" s="909">
        <v>1</v>
      </c>
      <c r="BM412" s="921">
        <v>0</v>
      </c>
      <c r="BN412" s="958">
        <v>0.08</v>
      </c>
      <c r="BO412" s="50">
        <v>12</v>
      </c>
      <c r="BP412">
        <f t="shared" ca="1" si="507"/>
        <v>150</v>
      </c>
      <c r="BQ412">
        <f t="shared" ca="1" si="508"/>
        <v>372.82075000000003</v>
      </c>
      <c r="BR412">
        <f t="shared" ca="1" si="509"/>
        <v>111</v>
      </c>
      <c r="BS412">
        <f t="shared" ca="1" si="510"/>
        <v>120</v>
      </c>
      <c r="BT412">
        <f t="shared" ca="1" si="511"/>
        <v>86.25</v>
      </c>
      <c r="BU412">
        <f t="shared" ca="1" si="512"/>
        <v>14.5</v>
      </c>
      <c r="BV412">
        <f t="shared" ca="1" si="513"/>
        <v>9.3000000000000007</v>
      </c>
      <c r="BW412" s="1018">
        <v>0</v>
      </c>
      <c r="BX412">
        <f t="shared" ref="BX412:BX475" ca="1" si="516">IF(BR412=0,0,1/(1/(BR412*$BY$3)+1/(BR412*AR412)+1/(BR412*$BY$4)))</f>
        <v>25.576036866359445</v>
      </c>
      <c r="BY412">
        <f t="shared" ref="BY412:BY475" ca="1" si="517">IF(BS412=0,0,1/(1/(BS412*$BY$3)+1/(BS412*AS412)+1/(BS412*$BY$4)))</f>
        <v>59.253840526700813</v>
      </c>
      <c r="BZ412">
        <f t="shared" ca="1" si="498"/>
        <v>11.881377551020408</v>
      </c>
      <c r="CA412">
        <f t="shared" ca="1" si="499"/>
        <v>28.999999988399999</v>
      </c>
      <c r="CB412">
        <f t="shared" ref="CB412:CB475" ca="1" si="518">IF(BV412=0,0,1/(1/(BV412*$BY$3)+1/(BV412*AV412)+1/(BV412*$BY$4)))</f>
        <v>19.522900763358777</v>
      </c>
      <c r="CC412" s="1018">
        <f t="shared" si="500"/>
        <v>0</v>
      </c>
      <c r="CD412" s="1018">
        <f t="shared" ca="1" si="515"/>
        <v>172.51815569583943</v>
      </c>
      <c r="CE412" s="1018">
        <f t="shared" ca="1" si="482"/>
        <v>124.22791065226887</v>
      </c>
      <c r="CF412">
        <f t="shared" ca="1" si="502"/>
        <v>8.9023819904432493</v>
      </c>
      <c r="CG412">
        <f t="shared" ca="1" si="503"/>
        <v>14822.10991880839</v>
      </c>
    </row>
    <row r="413" spans="4:85" x14ac:dyDescent="0.25">
      <c r="D413" s="594"/>
      <c r="E413" s="593"/>
      <c r="F413" s="594"/>
      <c r="G413" s="593"/>
      <c r="H413" s="594"/>
      <c r="I413" s="593"/>
      <c r="J413" s="594"/>
      <c r="K413" s="594"/>
      <c r="L413" s="594"/>
      <c r="M413" s="594"/>
      <c r="N413" s="594"/>
      <c r="O413" s="594"/>
      <c r="P413" s="594"/>
      <c r="Q413" s="594" t="s">
        <v>22</v>
      </c>
      <c r="R413" s="596">
        <v>0.81</v>
      </c>
      <c r="S413" s="594"/>
      <c r="T413" s="605">
        <v>0</v>
      </c>
      <c r="U413" s="593"/>
      <c r="V413" s="176">
        <f t="shared" si="472"/>
        <v>0</v>
      </c>
      <c r="W413" s="176">
        <f t="shared" si="514"/>
        <v>0</v>
      </c>
      <c r="X413" s="176">
        <f t="shared" si="514"/>
        <v>0</v>
      </c>
      <c r="Y413" s="34">
        <f>X413/Calculation_sheet!M$67</f>
        <v>0</v>
      </c>
      <c r="Z413" s="176">
        <f ca="1">IF(AN413&gt;0,Y413*Calculation_sheet!C$87,0)</f>
        <v>0</v>
      </c>
      <c r="AA413" s="176">
        <f t="shared" ca="1" si="504"/>
        <v>0</v>
      </c>
      <c r="AB413" s="176">
        <f ca="1">IF(AP413&gt;0,AA413*Calculation_sheet!C$94,0)</f>
        <v>0</v>
      </c>
      <c r="AC413" s="176">
        <f t="shared" ca="1" si="505"/>
        <v>0</v>
      </c>
      <c r="AD413" s="958">
        <f ca="1">AC413*Calculation_sheet!C$99</f>
        <v>0</v>
      </c>
      <c r="AE413" s="176">
        <f t="shared" ca="1" si="505"/>
        <v>0</v>
      </c>
      <c r="AF413" s="176">
        <f t="shared" ca="1" si="506"/>
        <v>0</v>
      </c>
      <c r="AG413" s="958">
        <f ca="1">AF413*User_sheet!B$77/100</f>
        <v>0</v>
      </c>
      <c r="AH413" s="313"/>
      <c r="AI413" s="910">
        <v>204</v>
      </c>
      <c r="AJ413" s="313"/>
      <c r="AK413" s="1020">
        <f t="shared" ca="1" si="497"/>
        <v>172.51815569583943</v>
      </c>
      <c r="AL413" s="954">
        <f ca="1">AK413/'204'!I$24</f>
        <v>0.62974322210563749</v>
      </c>
      <c r="AM413" s="954">
        <f ca="1">0.8*(AK413*30+'204'!D$17*0.34*30*1)</f>
        <v>7725.5215367001456</v>
      </c>
      <c r="AN413" s="954">
        <f ca="1">IF(AM413&lt;User_sheet!B$50,Y413,0)</f>
        <v>0</v>
      </c>
      <c r="AO413" s="954">
        <f ca="1">20-(User_sheet!B$57/(AK413+'204'!D$17*1*0.34))</f>
        <v>2.2924576224232105</v>
      </c>
      <c r="AP413" s="954">
        <f ca="1">IF(AO413&lt;User_sheet!B$59,0,BC413*AA413)</f>
        <v>0</v>
      </c>
      <c r="AQ413" s="313"/>
      <c r="AR413" s="909">
        <v>0.24</v>
      </c>
      <c r="AS413" s="909">
        <v>0.54</v>
      </c>
      <c r="AT413" s="909">
        <v>0.45</v>
      </c>
      <c r="AU413" s="909">
        <v>2</v>
      </c>
      <c r="AV413" s="909">
        <v>3.3</v>
      </c>
      <c r="AW413" s="909">
        <v>14536.85461731979</v>
      </c>
      <c r="AX413" s="909">
        <v>75022.04959166942</v>
      </c>
      <c r="AY413" s="909">
        <v>65937.809199439725</v>
      </c>
      <c r="AZ413" s="917">
        <v>0</v>
      </c>
      <c r="BA413" s="917">
        <v>0</v>
      </c>
      <c r="BB413" s="909">
        <v>0.6</v>
      </c>
      <c r="BC413" s="919">
        <v>0</v>
      </c>
      <c r="BD413" s="920">
        <v>1</v>
      </c>
      <c r="BE413" s="920">
        <v>0</v>
      </c>
      <c r="BF413" s="921">
        <v>0</v>
      </c>
      <c r="BG413" s="909">
        <v>0</v>
      </c>
      <c r="BH413" s="909">
        <v>1</v>
      </c>
      <c r="BI413" s="921">
        <v>0</v>
      </c>
      <c r="BJ413" s="909">
        <v>0</v>
      </c>
      <c r="BK413" s="909">
        <v>1</v>
      </c>
      <c r="BL413" s="909">
        <v>0</v>
      </c>
      <c r="BM413" s="921">
        <v>0</v>
      </c>
      <c r="BN413" s="958">
        <v>0.08</v>
      </c>
      <c r="BO413" s="50">
        <v>12</v>
      </c>
      <c r="BP413">
        <f t="shared" ca="1" si="507"/>
        <v>150</v>
      </c>
      <c r="BQ413">
        <f t="shared" ca="1" si="508"/>
        <v>372.82075000000003</v>
      </c>
      <c r="BR413">
        <f t="shared" ca="1" si="509"/>
        <v>111</v>
      </c>
      <c r="BS413">
        <f t="shared" ca="1" si="510"/>
        <v>120</v>
      </c>
      <c r="BT413">
        <f t="shared" ca="1" si="511"/>
        <v>86.25</v>
      </c>
      <c r="BU413">
        <f t="shared" ca="1" si="512"/>
        <v>14.5</v>
      </c>
      <c r="BV413">
        <f t="shared" ca="1" si="513"/>
        <v>9.3000000000000007</v>
      </c>
      <c r="BW413" s="1018">
        <v>0</v>
      </c>
      <c r="BX413">
        <f t="shared" ca="1" si="516"/>
        <v>25.576036866359445</v>
      </c>
      <c r="BY413">
        <f t="shared" ca="1" si="517"/>
        <v>59.253840526700813</v>
      </c>
      <c r="BZ413">
        <f t="shared" ca="1" si="498"/>
        <v>11.881377551020408</v>
      </c>
      <c r="CA413">
        <f t="shared" ca="1" si="499"/>
        <v>28.999999988399999</v>
      </c>
      <c r="CB413">
        <f t="shared" ca="1" si="518"/>
        <v>19.522900763358777</v>
      </c>
      <c r="CC413" s="1018">
        <f t="shared" si="500"/>
        <v>0</v>
      </c>
      <c r="CD413" s="1018">
        <f t="shared" ca="1" si="515"/>
        <v>172.51815569583943</v>
      </c>
      <c r="CE413" s="1018">
        <f t="shared" ca="1" si="482"/>
        <v>124.22791065226887</v>
      </c>
      <c r="CF413">
        <f t="shared" ca="1" si="502"/>
        <v>8.9023819904432493</v>
      </c>
      <c r="CG413">
        <f t="shared" ca="1" si="503"/>
        <v>14822.10991880839</v>
      </c>
    </row>
    <row r="414" spans="4:85" x14ac:dyDescent="0.25">
      <c r="D414" s="594"/>
      <c r="E414" s="593"/>
      <c r="F414" s="594"/>
      <c r="G414" s="593"/>
      <c r="H414" s="593"/>
      <c r="I414" s="593"/>
      <c r="J414" s="594"/>
      <c r="K414" s="594"/>
      <c r="L414" s="594"/>
      <c r="M414" s="594" t="s">
        <v>22</v>
      </c>
      <c r="N414" s="596">
        <v>0.375</v>
      </c>
      <c r="O414" s="594" t="s">
        <v>20</v>
      </c>
      <c r="P414" s="596">
        <v>3.9215686E-2</v>
      </c>
      <c r="Q414" s="594" t="s">
        <v>7</v>
      </c>
      <c r="R414" s="596">
        <v>0.19</v>
      </c>
      <c r="S414" s="594"/>
      <c r="T414" s="605">
        <v>0</v>
      </c>
      <c r="U414" s="593"/>
      <c r="V414" s="176">
        <f t="shared" si="472"/>
        <v>0</v>
      </c>
      <c r="W414" s="176">
        <f t="shared" si="514"/>
        <v>0</v>
      </c>
      <c r="X414" s="176">
        <f t="shared" si="514"/>
        <v>0</v>
      </c>
      <c r="Y414" s="34">
        <f>X414/Calculation_sheet!M$67</f>
        <v>0</v>
      </c>
      <c r="Z414" s="176">
        <f ca="1">IF(AN414&gt;0,Y414*Calculation_sheet!C$87,0)</f>
        <v>0</v>
      </c>
      <c r="AA414" s="176">
        <f t="shared" ca="1" si="504"/>
        <v>0</v>
      </c>
      <c r="AB414" s="176">
        <f ca="1">IF(AP414&gt;0,AA414*Calculation_sheet!C$94,0)</f>
        <v>0</v>
      </c>
      <c r="AC414" s="176">
        <f t="shared" ca="1" si="505"/>
        <v>0</v>
      </c>
      <c r="AD414" s="958">
        <f ca="1">AC414*Calculation_sheet!C$99</f>
        <v>0</v>
      </c>
      <c r="AE414" s="176">
        <f t="shared" ca="1" si="505"/>
        <v>0</v>
      </c>
      <c r="AF414" s="176">
        <f t="shared" ca="1" si="506"/>
        <v>0</v>
      </c>
      <c r="AG414" s="958">
        <f ca="1">AF414*User_sheet!B$77/100</f>
        <v>0</v>
      </c>
      <c r="AH414" s="313"/>
      <c r="AI414" s="910">
        <v>204</v>
      </c>
      <c r="AJ414" s="313"/>
      <c r="AK414" s="1020">
        <f t="shared" ca="1" si="497"/>
        <v>172.51815569583943</v>
      </c>
      <c r="AL414" s="954">
        <f ca="1">AK414/'204'!I$24</f>
        <v>0.62974322210563749</v>
      </c>
      <c r="AM414" s="954">
        <f ca="1">0.8*(AK414*30+'204'!D$17*0.34*30*1)</f>
        <v>7725.5215367001456</v>
      </c>
      <c r="AN414" s="954">
        <f ca="1">IF(AM414&lt;User_sheet!B$50,Y414,0)</f>
        <v>0</v>
      </c>
      <c r="AO414" s="954">
        <f ca="1">20-(User_sheet!B$57/(AK414+'204'!D$17*1*0.34))</f>
        <v>2.2924576224232105</v>
      </c>
      <c r="AP414" s="954">
        <f ca="1">IF(AO414&lt;User_sheet!B$59,0,BC414*AA414)</f>
        <v>0</v>
      </c>
      <c r="AQ414" s="313"/>
      <c r="AR414" s="909">
        <v>0.24</v>
      </c>
      <c r="AS414" s="909">
        <v>0.54</v>
      </c>
      <c r="AT414" s="909">
        <v>0.45</v>
      </c>
      <c r="AU414" s="909">
        <v>2</v>
      </c>
      <c r="AV414" s="909">
        <v>3.3</v>
      </c>
      <c r="AW414" s="909">
        <v>14536.85461731979</v>
      </c>
      <c r="AX414" s="909">
        <v>75022.04959166942</v>
      </c>
      <c r="AY414" s="909">
        <v>65937.809199439725</v>
      </c>
      <c r="AZ414" s="917">
        <v>0</v>
      </c>
      <c r="BA414" s="917">
        <v>0</v>
      </c>
      <c r="BB414" s="909">
        <v>0.6</v>
      </c>
      <c r="BC414" s="919">
        <v>0</v>
      </c>
      <c r="BD414" s="920">
        <v>1</v>
      </c>
      <c r="BE414" s="920">
        <v>0</v>
      </c>
      <c r="BF414" s="921">
        <v>0</v>
      </c>
      <c r="BG414" s="909">
        <v>0</v>
      </c>
      <c r="BH414" s="909">
        <v>1</v>
      </c>
      <c r="BI414" s="921">
        <v>0</v>
      </c>
      <c r="BJ414" s="909">
        <v>0</v>
      </c>
      <c r="BK414" s="909">
        <v>0</v>
      </c>
      <c r="BL414" s="909">
        <v>1</v>
      </c>
      <c r="BM414" s="921">
        <v>0</v>
      </c>
      <c r="BN414" s="958">
        <v>0.08</v>
      </c>
      <c r="BO414" s="50">
        <v>12</v>
      </c>
      <c r="BP414">
        <f t="shared" ca="1" si="507"/>
        <v>150</v>
      </c>
      <c r="BQ414">
        <f t="shared" ca="1" si="508"/>
        <v>372.82075000000003</v>
      </c>
      <c r="BR414">
        <f t="shared" ca="1" si="509"/>
        <v>111</v>
      </c>
      <c r="BS414">
        <f t="shared" ca="1" si="510"/>
        <v>120</v>
      </c>
      <c r="BT414">
        <f t="shared" ca="1" si="511"/>
        <v>86.25</v>
      </c>
      <c r="BU414">
        <f t="shared" ca="1" si="512"/>
        <v>14.5</v>
      </c>
      <c r="BV414">
        <f t="shared" ca="1" si="513"/>
        <v>9.3000000000000007</v>
      </c>
      <c r="BW414" s="1018">
        <v>0</v>
      </c>
      <c r="BX414">
        <f t="shared" ca="1" si="516"/>
        <v>25.576036866359445</v>
      </c>
      <c r="BY414">
        <f t="shared" ca="1" si="517"/>
        <v>59.253840526700813</v>
      </c>
      <c r="BZ414">
        <f t="shared" ca="1" si="498"/>
        <v>11.881377551020408</v>
      </c>
      <c r="CA414">
        <f t="shared" ca="1" si="499"/>
        <v>28.999999988399999</v>
      </c>
      <c r="CB414">
        <f t="shared" ca="1" si="518"/>
        <v>19.522900763358777</v>
      </c>
      <c r="CC414" s="1018">
        <f t="shared" si="500"/>
        <v>0</v>
      </c>
      <c r="CD414" s="1018">
        <f t="shared" ca="1" si="515"/>
        <v>172.51815569583943</v>
      </c>
      <c r="CE414" s="1018">
        <f t="shared" ca="1" si="482"/>
        <v>124.22791065226887</v>
      </c>
      <c r="CF414">
        <f t="shared" ca="1" si="502"/>
        <v>8.9023819904432493</v>
      </c>
      <c r="CG414">
        <f t="shared" ca="1" si="503"/>
        <v>14822.10991880839</v>
      </c>
    </row>
    <row r="415" spans="4:85" x14ac:dyDescent="0.25">
      <c r="D415" s="594"/>
      <c r="E415" s="593"/>
      <c r="F415" s="594"/>
      <c r="G415" s="593"/>
      <c r="H415" s="593"/>
      <c r="I415" s="593"/>
      <c r="J415" s="594"/>
      <c r="K415" s="597" t="s">
        <v>12</v>
      </c>
      <c r="L415" s="598">
        <v>0</v>
      </c>
      <c r="M415" s="594" t="s">
        <v>7</v>
      </c>
      <c r="N415" s="596">
        <v>0.125</v>
      </c>
      <c r="O415" s="594" t="s">
        <v>23</v>
      </c>
      <c r="P415" s="596">
        <v>1</v>
      </c>
      <c r="Q415" s="594" t="s">
        <v>7</v>
      </c>
      <c r="R415" s="596">
        <v>1</v>
      </c>
      <c r="S415" s="594"/>
      <c r="T415" s="605">
        <v>0</v>
      </c>
      <c r="U415" s="593"/>
      <c r="V415" s="176">
        <f t="shared" si="472"/>
        <v>0</v>
      </c>
      <c r="W415" s="176">
        <f t="shared" si="514"/>
        <v>0</v>
      </c>
      <c r="X415" s="176">
        <f t="shared" si="514"/>
        <v>0</v>
      </c>
      <c r="Y415" s="34">
        <f>X415/Calculation_sheet!M$67</f>
        <v>0</v>
      </c>
      <c r="Z415" s="176">
        <f ca="1">IF(AN415&gt;0,Y415*Calculation_sheet!C$87,0)</f>
        <v>0</v>
      </c>
      <c r="AA415" s="176">
        <f t="shared" ca="1" si="504"/>
        <v>0</v>
      </c>
      <c r="AB415" s="176">
        <f ca="1">IF(AP415&gt;0,AA415*Calculation_sheet!C$94,0)</f>
        <v>0</v>
      </c>
      <c r="AC415" s="176">
        <f t="shared" ca="1" si="505"/>
        <v>0</v>
      </c>
      <c r="AD415" s="958">
        <f ca="1">AC415*Calculation_sheet!C$99</f>
        <v>0</v>
      </c>
      <c r="AE415" s="176">
        <f t="shared" ca="1" si="505"/>
        <v>0</v>
      </c>
      <c r="AF415" s="176">
        <f t="shared" ca="1" si="506"/>
        <v>0</v>
      </c>
      <c r="AG415" s="958">
        <f ca="1">AF415*User_sheet!B$77/100</f>
        <v>0</v>
      </c>
      <c r="AH415" s="313"/>
      <c r="AI415" s="910">
        <v>204</v>
      </c>
      <c r="AJ415" s="313"/>
      <c r="AK415" s="1020">
        <f t="shared" ca="1" si="497"/>
        <v>172.51815569583943</v>
      </c>
      <c r="AL415" s="954">
        <f ca="1">AK415/'204'!I$24</f>
        <v>0.62974322210563749</v>
      </c>
      <c r="AM415" s="954">
        <f ca="1">0.8*(AK415*30+'204'!D$17*0.34*30*1)</f>
        <v>7725.5215367001456</v>
      </c>
      <c r="AN415" s="954">
        <f ca="1">IF(AM415&lt;User_sheet!B$50,Y415,0)</f>
        <v>0</v>
      </c>
      <c r="AO415" s="954">
        <f ca="1">20-(User_sheet!B$57/(AK415+'204'!D$17*1*0.34))</f>
        <v>2.2924576224232105</v>
      </c>
      <c r="AP415" s="954">
        <f ca="1">IF(AO415&lt;User_sheet!B$59,0,BC415*AA415)</f>
        <v>0</v>
      </c>
      <c r="AQ415" s="313"/>
      <c r="AR415" s="909">
        <v>0.24</v>
      </c>
      <c r="AS415" s="909">
        <v>0.54</v>
      </c>
      <c r="AT415" s="909">
        <v>0.45</v>
      </c>
      <c r="AU415" s="909">
        <v>2</v>
      </c>
      <c r="AV415" s="909">
        <v>3.3</v>
      </c>
      <c r="AW415" s="909">
        <v>14536.85461731979</v>
      </c>
      <c r="AX415" s="909">
        <v>75022.04959166942</v>
      </c>
      <c r="AY415" s="909">
        <v>65937.809199439725</v>
      </c>
      <c r="AZ415" s="917">
        <v>0</v>
      </c>
      <c r="BA415" s="917">
        <v>0</v>
      </c>
      <c r="BB415" s="909">
        <v>0.6</v>
      </c>
      <c r="BC415" s="919">
        <v>0</v>
      </c>
      <c r="BD415" s="920">
        <v>0</v>
      </c>
      <c r="BE415" s="920">
        <v>1</v>
      </c>
      <c r="BF415" s="921">
        <v>0</v>
      </c>
      <c r="BG415" s="909">
        <v>0</v>
      </c>
      <c r="BH415" s="909">
        <v>0</v>
      </c>
      <c r="BI415" s="921">
        <v>1</v>
      </c>
      <c r="BJ415" s="909">
        <v>0</v>
      </c>
      <c r="BK415" s="909">
        <v>0</v>
      </c>
      <c r="BL415" s="909">
        <v>1</v>
      </c>
      <c r="BM415" s="921">
        <v>0</v>
      </c>
      <c r="BN415" s="958">
        <v>0.08</v>
      </c>
      <c r="BO415" s="50">
        <v>12</v>
      </c>
      <c r="BP415">
        <f t="shared" ca="1" si="507"/>
        <v>150</v>
      </c>
      <c r="BQ415">
        <f t="shared" ca="1" si="508"/>
        <v>372.82075000000003</v>
      </c>
      <c r="BR415">
        <f t="shared" ca="1" si="509"/>
        <v>111</v>
      </c>
      <c r="BS415">
        <f t="shared" ca="1" si="510"/>
        <v>120</v>
      </c>
      <c r="BT415">
        <f t="shared" ca="1" si="511"/>
        <v>86.25</v>
      </c>
      <c r="BU415">
        <f t="shared" ca="1" si="512"/>
        <v>14.5</v>
      </c>
      <c r="BV415">
        <f t="shared" ca="1" si="513"/>
        <v>9.3000000000000007</v>
      </c>
      <c r="BW415" s="1018">
        <v>0</v>
      </c>
      <c r="BX415">
        <f t="shared" ca="1" si="516"/>
        <v>25.576036866359445</v>
      </c>
      <c r="BY415">
        <f t="shared" ca="1" si="517"/>
        <v>59.253840526700813</v>
      </c>
      <c r="BZ415">
        <f t="shared" ca="1" si="498"/>
        <v>11.881377551020408</v>
      </c>
      <c r="CA415">
        <f t="shared" ca="1" si="499"/>
        <v>28.999999988399999</v>
      </c>
      <c r="CB415">
        <f t="shared" ca="1" si="518"/>
        <v>19.522900763358777</v>
      </c>
      <c r="CC415" s="1018">
        <f t="shared" si="500"/>
        <v>0</v>
      </c>
      <c r="CD415" s="1018">
        <f t="shared" ca="1" si="515"/>
        <v>172.51815569583943</v>
      </c>
      <c r="CE415" s="1018">
        <f t="shared" ca="1" si="482"/>
        <v>124.22791065226887</v>
      </c>
      <c r="CF415">
        <f t="shared" ca="1" si="502"/>
        <v>8.9023819904432493</v>
      </c>
      <c r="CG415">
        <f t="shared" ca="1" si="503"/>
        <v>14822.10991880839</v>
      </c>
    </row>
    <row r="416" spans="4:85" s="11" customFormat="1" x14ac:dyDescent="0.25">
      <c r="D416" s="602"/>
      <c r="E416" s="601"/>
      <c r="F416" s="602"/>
      <c r="G416" s="601"/>
      <c r="H416" s="601"/>
      <c r="I416" s="601"/>
      <c r="J416" s="602"/>
      <c r="K416" s="603"/>
      <c r="L416" s="602"/>
      <c r="M416" s="602"/>
      <c r="N416" s="602"/>
      <c r="O416" s="602"/>
      <c r="P416" s="602"/>
      <c r="Q416" s="602"/>
      <c r="R416" s="602"/>
      <c r="S416" s="602"/>
      <c r="T416" s="606"/>
      <c r="U416" s="601"/>
      <c r="V416" s="292"/>
      <c r="W416" s="292"/>
      <c r="X416" s="292"/>
      <c r="Y416" s="277"/>
      <c r="Z416" s="292"/>
      <c r="AA416" s="292"/>
      <c r="AB416" s="292"/>
      <c r="AC416" s="292"/>
      <c r="AD416" s="277"/>
      <c r="AE416" s="292"/>
      <c r="AF416" s="292"/>
      <c r="AG416" s="277"/>
      <c r="AH416" s="313"/>
      <c r="AI416" s="912"/>
      <c r="AJ416" s="313"/>
      <c r="AK416" s="1020">
        <f t="shared" si="497"/>
        <v>0</v>
      </c>
      <c r="AL416" s="941"/>
      <c r="AM416" s="941"/>
      <c r="AN416" s="955"/>
      <c r="AO416" s="955"/>
      <c r="AP416" s="955"/>
      <c r="AQ416" s="313"/>
      <c r="AR416" s="918"/>
      <c r="AS416" s="918"/>
      <c r="AT416" s="918"/>
      <c r="AU416" s="918"/>
      <c r="AV416" s="918"/>
      <c r="AW416" s="918"/>
      <c r="AX416" s="918"/>
      <c r="AY416" s="918"/>
      <c r="AZ416" s="918"/>
      <c r="BA416" s="918"/>
      <c r="BB416" s="918"/>
      <c r="BC416" s="45"/>
      <c r="BD416" s="277"/>
      <c r="BE416" s="277"/>
      <c r="BF416" s="49"/>
      <c r="BG416" s="918"/>
      <c r="BH416" s="918"/>
      <c r="BI416" s="49"/>
      <c r="BJ416" s="918"/>
      <c r="BK416" s="918"/>
      <c r="BL416" s="918"/>
      <c r="BM416" s="49"/>
      <c r="BN416" s="277"/>
      <c r="BO416" s="49"/>
      <c r="BW416" s="946"/>
      <c r="CC416" s="946"/>
      <c r="CD416" s="946"/>
      <c r="CE416" s="946"/>
    </row>
    <row r="417" spans="3:85" x14ac:dyDescent="0.25">
      <c r="D417" s="594"/>
      <c r="E417" s="593"/>
      <c r="F417" s="594"/>
      <c r="G417" s="593"/>
      <c r="H417" s="593"/>
      <c r="I417" s="593"/>
      <c r="J417" s="594"/>
      <c r="K417" s="597"/>
      <c r="L417" s="599"/>
      <c r="M417" s="594"/>
      <c r="N417" s="594"/>
      <c r="O417" s="594"/>
      <c r="P417" s="594"/>
      <c r="Q417" s="594" t="s">
        <v>16</v>
      </c>
      <c r="R417" s="596">
        <v>0.81069999999999998</v>
      </c>
      <c r="S417" s="594"/>
      <c r="T417" s="605">
        <v>3.6867134522076283E-4</v>
      </c>
      <c r="U417" s="593"/>
      <c r="V417" s="176">
        <f t="shared" si="472"/>
        <v>3.6867134522076283E-4</v>
      </c>
      <c r="W417" s="176">
        <f>V417</f>
        <v>3.6867134522076283E-4</v>
      </c>
      <c r="X417" s="176">
        <f>W417</f>
        <v>3.6867134522076283E-4</v>
      </c>
      <c r="Y417" s="34">
        <f>X417/Calculation_sheet!M$67</f>
        <v>3.6867888323312135E-4</v>
      </c>
      <c r="Z417" s="176">
        <f ca="1">IF(AN417&gt;0,Y417*Calculation_sheet!C$87,0)</f>
        <v>0</v>
      </c>
      <c r="AA417" s="176">
        <f t="shared" ref="AA417:AA425" ca="1" si="519">Y417-Z417</f>
        <v>3.6867888323312135E-4</v>
      </c>
      <c r="AB417" s="176">
        <f ca="1">IF(AP417&gt;0,AA417*Calculation_sheet!C$94,0)</f>
        <v>0</v>
      </c>
      <c r="AC417" s="176">
        <f t="shared" ref="AC417:AE425" ca="1" si="520">AA417-AB417</f>
        <v>3.6867888323312135E-4</v>
      </c>
      <c r="AD417" s="958">
        <f ca="1">AC417*Calculation_sheet!C$99</f>
        <v>2.212073299398728E-4</v>
      </c>
      <c r="AE417" s="176">
        <f t="shared" ca="1" si="520"/>
        <v>1.4747155329324855E-4</v>
      </c>
      <c r="AF417" s="176">
        <f t="shared" ref="AF417:AF425" ca="1" si="521">Y417-AB417</f>
        <v>3.6867888323312135E-4</v>
      </c>
      <c r="AG417" s="958">
        <f ca="1">AF417*User_sheet!B$77/100</f>
        <v>0</v>
      </c>
      <c r="AH417" s="313"/>
      <c r="AI417" s="910">
        <v>204</v>
      </c>
      <c r="AJ417" s="313"/>
      <c r="AK417" s="1020">
        <f t="shared" ca="1" si="497"/>
        <v>181.28942559790215</v>
      </c>
      <c r="AL417" s="954">
        <f ca="1">AK417/'204'!I$24</f>
        <v>0.6617609987147367</v>
      </c>
      <c r="AM417" s="954">
        <f ca="1">0.8*(AK417*30+'204'!D$17*0.34*30*1)</f>
        <v>7936.0320143496519</v>
      </c>
      <c r="AN417" s="954">
        <f ca="1">IF(AM417&lt;User_sheet!B$50,Y417,0)</f>
        <v>3.6867888323312135E-4</v>
      </c>
      <c r="AO417" s="954">
        <f ca="1">20-(User_sheet!B$57/(AK417+'204'!D$17*1*0.34))</f>
        <v>2.7621663127564133</v>
      </c>
      <c r="AP417" s="954">
        <f ca="1">IF(AO417&lt;User_sheet!B$59,0,BC417*AA417)</f>
        <v>0</v>
      </c>
      <c r="AQ417" s="313"/>
      <c r="AR417" s="909">
        <v>0.24</v>
      </c>
      <c r="AS417" s="909">
        <v>0.54</v>
      </c>
      <c r="AT417" s="909">
        <v>0.83</v>
      </c>
      <c r="AU417" s="909">
        <v>2</v>
      </c>
      <c r="AV417" s="909">
        <v>3.3</v>
      </c>
      <c r="AW417" s="909">
        <v>14536.85461731979</v>
      </c>
      <c r="AX417" s="909">
        <v>75022.04959166942</v>
      </c>
      <c r="AY417" s="909">
        <v>69245.59826015502</v>
      </c>
      <c r="AZ417" s="917">
        <v>0</v>
      </c>
      <c r="BA417" s="917">
        <v>0</v>
      </c>
      <c r="BB417" s="909">
        <v>0.6</v>
      </c>
      <c r="BC417" s="919">
        <v>1</v>
      </c>
      <c r="BD417" s="920">
        <v>0</v>
      </c>
      <c r="BE417" s="920">
        <v>0</v>
      </c>
      <c r="BF417" s="921">
        <v>0</v>
      </c>
      <c r="BG417" s="909">
        <v>1</v>
      </c>
      <c r="BH417" s="909">
        <v>0</v>
      </c>
      <c r="BI417" s="921">
        <v>0</v>
      </c>
      <c r="BJ417" s="909">
        <v>1</v>
      </c>
      <c r="BK417" s="909">
        <v>0</v>
      </c>
      <c r="BL417" s="909">
        <v>0</v>
      </c>
      <c r="BM417" s="921">
        <v>0</v>
      </c>
      <c r="BN417" s="958">
        <v>0.08</v>
      </c>
      <c r="BO417" s="50">
        <v>12</v>
      </c>
      <c r="BP417">
        <f t="shared" ref="BP417:BP425" ca="1" si="522">INDIRECT("'"&amp;AI417&amp;"'!"&amp;"B2")</f>
        <v>150</v>
      </c>
      <c r="BQ417">
        <f t="shared" ref="BQ417:BQ425" ca="1" si="523">INDIRECT("'"&amp;AI417&amp;"'!"&amp;"C12")+INDIRECT("'"&amp;AI417&amp;"'!"&amp;"C13")+INDIRECT("'"&amp;AI417&amp;"'!"&amp;"C14")+INDIRECT("'"&amp;AI417&amp;"'!"&amp;"C15")+INDIRECT("'"&amp;AI417&amp;"'!"&amp;"C17")</f>
        <v>372.82075000000003</v>
      </c>
      <c r="BR417">
        <f t="shared" ref="BR417:BR425" ca="1" si="524">INDIRECT("'"&amp;AI417&amp;"'!"&amp;"G5")</f>
        <v>111</v>
      </c>
      <c r="BS417">
        <f t="shared" ref="BS417:BS425" ca="1" si="525">INDIRECT("'"&amp;AI417&amp;"'!"&amp;"G4")</f>
        <v>120</v>
      </c>
      <c r="BT417">
        <f t="shared" ref="BT417:BT425" ca="1" si="526">INDIRECT("'"&amp;AI417&amp;"'!"&amp;"G6")</f>
        <v>86.25</v>
      </c>
      <c r="BU417">
        <f t="shared" ref="BU417:BU425" ca="1" si="527">INDIRECT("'"&amp;AI417&amp;"'!"&amp;"G2")</f>
        <v>14.5</v>
      </c>
      <c r="BV417">
        <f t="shared" ref="BV417:BV425" ca="1" si="528">INDIRECT("'"&amp;AI417&amp;"'!"&amp;"G3")</f>
        <v>9.3000000000000007</v>
      </c>
      <c r="BW417" s="1018">
        <v>0</v>
      </c>
      <c r="BX417">
        <f t="shared" ca="1" si="516"/>
        <v>25.576036866359445</v>
      </c>
      <c r="BY417">
        <f t="shared" ca="1" si="517"/>
        <v>59.253840526700813</v>
      </c>
      <c r="BZ417">
        <f t="shared" ca="1" si="498"/>
        <v>20.652647453083109</v>
      </c>
      <c r="CA417">
        <f t="shared" ca="1" si="499"/>
        <v>28.999999988399999</v>
      </c>
      <c r="CB417">
        <f t="shared" ca="1" si="518"/>
        <v>19.522900763358777</v>
      </c>
      <c r="CC417" s="1018">
        <f t="shared" si="500"/>
        <v>0</v>
      </c>
      <c r="CD417" s="1018">
        <f ca="1">SUM(BX417:CC417)+(BR417+BS417+BT417+BU417+BV417)*BN417</f>
        <v>181.28942559790215</v>
      </c>
      <c r="CE417" s="1018">
        <f t="shared" ca="1" si="482"/>
        <v>124.22791065226887</v>
      </c>
      <c r="CF417">
        <f t="shared" ca="1" si="502"/>
        <v>9.165520087505131</v>
      </c>
      <c r="CG417">
        <f t="shared" ca="1" si="503"/>
        <v>15260.224324892542</v>
      </c>
    </row>
    <row r="418" spans="3:85" x14ac:dyDescent="0.25">
      <c r="D418" s="594"/>
      <c r="E418" s="593"/>
      <c r="F418" s="594"/>
      <c r="G418" s="593"/>
      <c r="H418" s="593"/>
      <c r="I418" s="593"/>
      <c r="J418" s="594"/>
      <c r="K418" s="597"/>
      <c r="L418" s="599"/>
      <c r="M418" s="594"/>
      <c r="N418" s="594"/>
      <c r="O418" s="594" t="s">
        <v>18</v>
      </c>
      <c r="P418" s="596">
        <v>0.962121212</v>
      </c>
      <c r="Q418" s="594" t="s">
        <v>7</v>
      </c>
      <c r="R418" s="596">
        <v>0.1893</v>
      </c>
      <c r="S418" s="594"/>
      <c r="T418" s="605">
        <v>8.60854639821024E-5</v>
      </c>
      <c r="U418" s="593"/>
      <c r="V418" s="176">
        <f t="shared" si="472"/>
        <v>8.60854639821024E-5</v>
      </c>
      <c r="W418" s="176">
        <f t="shared" ref="W418:X425" si="529">V418</f>
        <v>8.60854639821024E-5</v>
      </c>
      <c r="X418" s="176">
        <f t="shared" si="529"/>
        <v>8.60854639821024E-5</v>
      </c>
      <c r="Y418" s="34">
        <f>X418/Calculation_sheet!M$67</f>
        <v>8.6087224122400249E-5</v>
      </c>
      <c r="Z418" s="176">
        <f ca="1">IF(AN418&gt;0,Y418*Calculation_sheet!C$87,0)</f>
        <v>0</v>
      </c>
      <c r="AA418" s="176">
        <f t="shared" ca="1" si="519"/>
        <v>8.6087224122400249E-5</v>
      </c>
      <c r="AB418" s="176">
        <f ca="1">IF(AP418&gt;0,AA418*Calculation_sheet!C$94,0)</f>
        <v>0</v>
      </c>
      <c r="AC418" s="176">
        <f t="shared" ca="1" si="520"/>
        <v>8.6087224122400249E-5</v>
      </c>
      <c r="AD418" s="958">
        <f ca="1">AC418*Calculation_sheet!C$99</f>
        <v>5.1652334473440148E-5</v>
      </c>
      <c r="AE418" s="176">
        <f t="shared" ca="1" si="520"/>
        <v>3.4434889648960101E-5</v>
      </c>
      <c r="AF418" s="176">
        <f t="shared" ca="1" si="521"/>
        <v>8.6087224122400249E-5</v>
      </c>
      <c r="AG418" s="958">
        <f ca="1">AF418*User_sheet!B$77/100</f>
        <v>0</v>
      </c>
      <c r="AH418" s="313"/>
      <c r="AI418" s="910">
        <v>204</v>
      </c>
      <c r="AJ418" s="313"/>
      <c r="AK418" s="1020">
        <f t="shared" ca="1" si="497"/>
        <v>181.28942559790215</v>
      </c>
      <c r="AL418" s="954">
        <f ca="1">AK418/'204'!I$24</f>
        <v>0.6617609987147367</v>
      </c>
      <c r="AM418" s="954">
        <f ca="1">0.8*(AK418*30+'204'!D$17*0.34*30*1)</f>
        <v>7936.0320143496519</v>
      </c>
      <c r="AN418" s="954">
        <f ca="1">IF(AM418&lt;User_sheet!B$50,Y418,0)</f>
        <v>8.6087224122400249E-5</v>
      </c>
      <c r="AO418" s="954">
        <f ca="1">20-(User_sheet!B$57/(AK418+'204'!D$17*1*0.34))</f>
        <v>2.7621663127564133</v>
      </c>
      <c r="AP418" s="954">
        <f ca="1">IF(AO418&lt;User_sheet!B$59,0,BC418*AA418)</f>
        <v>0</v>
      </c>
      <c r="AQ418" s="313"/>
      <c r="AR418" s="909">
        <v>0.24</v>
      </c>
      <c r="AS418" s="909">
        <v>0.54</v>
      </c>
      <c r="AT418" s="909">
        <v>0.83</v>
      </c>
      <c r="AU418" s="909">
        <v>2</v>
      </c>
      <c r="AV418" s="909">
        <v>3.3</v>
      </c>
      <c r="AW418" s="909">
        <v>14536.85461731979</v>
      </c>
      <c r="AX418" s="909">
        <v>75022.04959166942</v>
      </c>
      <c r="AY418" s="909">
        <v>69245.59826015502</v>
      </c>
      <c r="AZ418" s="917">
        <v>0</v>
      </c>
      <c r="BA418" s="917">
        <v>0</v>
      </c>
      <c r="BB418" s="909">
        <v>0.6</v>
      </c>
      <c r="BC418" s="919">
        <v>1</v>
      </c>
      <c r="BD418" s="920">
        <v>0</v>
      </c>
      <c r="BE418" s="920">
        <v>0</v>
      </c>
      <c r="BF418" s="921">
        <v>0</v>
      </c>
      <c r="BG418" s="909">
        <v>1</v>
      </c>
      <c r="BH418" s="909">
        <v>0</v>
      </c>
      <c r="BI418" s="921">
        <v>0</v>
      </c>
      <c r="BJ418" s="909">
        <v>0</v>
      </c>
      <c r="BK418" s="909">
        <v>0</v>
      </c>
      <c r="BL418" s="909">
        <v>1</v>
      </c>
      <c r="BM418" s="921">
        <v>0</v>
      </c>
      <c r="BN418" s="958">
        <v>0.08</v>
      </c>
      <c r="BO418" s="50">
        <v>12</v>
      </c>
      <c r="BP418">
        <f t="shared" ca="1" si="522"/>
        <v>150</v>
      </c>
      <c r="BQ418">
        <f t="shared" ca="1" si="523"/>
        <v>372.82075000000003</v>
      </c>
      <c r="BR418">
        <f t="shared" ca="1" si="524"/>
        <v>111</v>
      </c>
      <c r="BS418">
        <f t="shared" ca="1" si="525"/>
        <v>120</v>
      </c>
      <c r="BT418">
        <f t="shared" ca="1" si="526"/>
        <v>86.25</v>
      </c>
      <c r="BU418">
        <f t="shared" ca="1" si="527"/>
        <v>14.5</v>
      </c>
      <c r="BV418">
        <f t="shared" ca="1" si="528"/>
        <v>9.3000000000000007</v>
      </c>
      <c r="BW418" s="1018">
        <v>0</v>
      </c>
      <c r="BX418">
        <f t="shared" ca="1" si="516"/>
        <v>25.576036866359445</v>
      </c>
      <c r="BY418">
        <f t="shared" ca="1" si="517"/>
        <v>59.253840526700813</v>
      </c>
      <c r="BZ418">
        <f t="shared" ca="1" si="498"/>
        <v>20.652647453083109</v>
      </c>
      <c r="CA418">
        <f t="shared" ca="1" si="499"/>
        <v>28.999999988399999</v>
      </c>
      <c r="CB418">
        <f t="shared" ca="1" si="518"/>
        <v>19.522900763358777</v>
      </c>
      <c r="CC418" s="1018">
        <f t="shared" si="500"/>
        <v>0</v>
      </c>
      <c r="CD418" s="1018">
        <f t="shared" ref="CD418:CD425" ca="1" si="530">SUM(BX418:CC418)+(BR418+BS418+BT418+BU418+BV418)*BN418</f>
        <v>181.28942559790215</v>
      </c>
      <c r="CE418" s="1018">
        <f t="shared" ca="1" si="482"/>
        <v>124.22791065226887</v>
      </c>
      <c r="CF418">
        <f t="shared" ca="1" si="502"/>
        <v>9.165520087505131</v>
      </c>
      <c r="CG418">
        <f t="shared" ca="1" si="503"/>
        <v>15260.224324892542</v>
      </c>
    </row>
    <row r="419" spans="3:85" x14ac:dyDescent="0.25">
      <c r="D419" s="594"/>
      <c r="E419" s="593"/>
      <c r="F419" s="594"/>
      <c r="G419" s="593"/>
      <c r="H419" s="593"/>
      <c r="I419" s="593"/>
      <c r="J419" s="594"/>
      <c r="K419" s="597"/>
      <c r="L419" s="599"/>
      <c r="M419" s="594"/>
      <c r="N419" s="594"/>
      <c r="O419" s="594"/>
      <c r="P419" s="594"/>
      <c r="Q419" s="594" t="s">
        <v>16</v>
      </c>
      <c r="R419" s="596">
        <v>0.81069999999999998</v>
      </c>
      <c r="S419" s="594"/>
      <c r="T419" s="605">
        <v>1.4514619938856606E-5</v>
      </c>
      <c r="U419" s="593"/>
      <c r="V419" s="176">
        <f t="shared" si="472"/>
        <v>1.4514619938856606E-5</v>
      </c>
      <c r="W419" s="176">
        <f t="shared" si="529"/>
        <v>1.4514619938856606E-5</v>
      </c>
      <c r="X419" s="176">
        <f t="shared" si="529"/>
        <v>1.4514619938856606E-5</v>
      </c>
      <c r="Y419" s="34">
        <f>X419/Calculation_sheet!M$67</f>
        <v>1.4514916710997692E-5</v>
      </c>
      <c r="Z419" s="176">
        <f ca="1">IF(AN419&gt;0,Y419*Calculation_sheet!C$87,0)</f>
        <v>0</v>
      </c>
      <c r="AA419" s="176">
        <f t="shared" ca="1" si="519"/>
        <v>1.4514916710997692E-5</v>
      </c>
      <c r="AB419" s="176">
        <f ca="1">IF(AP419&gt;0,AA419*Calculation_sheet!C$94,0)</f>
        <v>0</v>
      </c>
      <c r="AC419" s="176">
        <f t="shared" ca="1" si="520"/>
        <v>1.4514916710997692E-5</v>
      </c>
      <c r="AD419" s="958">
        <f ca="1">AC419*Calculation_sheet!C$99</f>
        <v>8.708950026598614E-6</v>
      </c>
      <c r="AE419" s="176">
        <f t="shared" ca="1" si="520"/>
        <v>5.8059666843990777E-6</v>
      </c>
      <c r="AF419" s="176">
        <f t="shared" ca="1" si="521"/>
        <v>1.4514916710997692E-5</v>
      </c>
      <c r="AG419" s="958">
        <f ca="1">AF419*User_sheet!B$77/100</f>
        <v>0</v>
      </c>
      <c r="AH419" s="313"/>
      <c r="AI419" s="910">
        <v>204</v>
      </c>
      <c r="AJ419" s="313"/>
      <c r="AK419" s="1020">
        <f t="shared" ca="1" si="497"/>
        <v>181.28942559790215</v>
      </c>
      <c r="AL419" s="954">
        <f ca="1">AK419/'204'!I$24</f>
        <v>0.6617609987147367</v>
      </c>
      <c r="AM419" s="954">
        <f ca="1">0.8*(AK419*30+'204'!D$17*0.34*30*1)</f>
        <v>7936.0320143496519</v>
      </c>
      <c r="AN419" s="954">
        <f ca="1">IF(AM419&lt;User_sheet!B$50,Y419,0)</f>
        <v>1.4514916710997692E-5</v>
      </c>
      <c r="AO419" s="954">
        <f ca="1">20-(User_sheet!B$57/(AK419+'204'!D$17*1*0.34))</f>
        <v>2.7621663127564133</v>
      </c>
      <c r="AP419" s="954">
        <f ca="1">IF(AO419&lt;User_sheet!B$59,0,BC419*AA419)</f>
        <v>0</v>
      </c>
      <c r="AQ419" s="313"/>
      <c r="AR419" s="909">
        <v>0.24</v>
      </c>
      <c r="AS419" s="909">
        <v>0.54</v>
      </c>
      <c r="AT419" s="909">
        <v>0.83</v>
      </c>
      <c r="AU419" s="909">
        <v>2</v>
      </c>
      <c r="AV419" s="909">
        <v>3.3</v>
      </c>
      <c r="AW419" s="909">
        <v>14536.85461731979</v>
      </c>
      <c r="AX419" s="909">
        <v>75022.04959166942</v>
      </c>
      <c r="AY419" s="909">
        <v>69245.59826015502</v>
      </c>
      <c r="AZ419" s="917">
        <v>0</v>
      </c>
      <c r="BA419" s="917">
        <v>0</v>
      </c>
      <c r="BB419" s="909">
        <v>0.6</v>
      </c>
      <c r="BC419" s="919">
        <v>1</v>
      </c>
      <c r="BD419" s="920">
        <v>0</v>
      </c>
      <c r="BE419" s="920">
        <v>0</v>
      </c>
      <c r="BF419" s="921">
        <v>0</v>
      </c>
      <c r="BG419" s="909">
        <v>0</v>
      </c>
      <c r="BH419" s="909">
        <v>1</v>
      </c>
      <c r="BI419" s="921">
        <v>0</v>
      </c>
      <c r="BJ419" s="909">
        <v>1</v>
      </c>
      <c r="BK419" s="909">
        <v>0</v>
      </c>
      <c r="BL419" s="909">
        <v>0</v>
      </c>
      <c r="BM419" s="921">
        <v>0</v>
      </c>
      <c r="BN419" s="958">
        <v>0.08</v>
      </c>
      <c r="BO419" s="50">
        <v>12</v>
      </c>
      <c r="BP419">
        <f t="shared" ca="1" si="522"/>
        <v>150</v>
      </c>
      <c r="BQ419">
        <f t="shared" ca="1" si="523"/>
        <v>372.82075000000003</v>
      </c>
      <c r="BR419">
        <f t="shared" ca="1" si="524"/>
        <v>111</v>
      </c>
      <c r="BS419">
        <f t="shared" ca="1" si="525"/>
        <v>120</v>
      </c>
      <c r="BT419">
        <f t="shared" ca="1" si="526"/>
        <v>86.25</v>
      </c>
      <c r="BU419">
        <f t="shared" ca="1" si="527"/>
        <v>14.5</v>
      </c>
      <c r="BV419">
        <f t="shared" ca="1" si="528"/>
        <v>9.3000000000000007</v>
      </c>
      <c r="BW419" s="1018">
        <v>0</v>
      </c>
      <c r="BX419">
        <f t="shared" ca="1" si="516"/>
        <v>25.576036866359445</v>
      </c>
      <c r="BY419">
        <f t="shared" ca="1" si="517"/>
        <v>59.253840526700813</v>
      </c>
      <c r="BZ419">
        <f t="shared" ca="1" si="498"/>
        <v>20.652647453083109</v>
      </c>
      <c r="CA419">
        <f t="shared" ca="1" si="499"/>
        <v>28.999999988399999</v>
      </c>
      <c r="CB419">
        <f t="shared" ca="1" si="518"/>
        <v>19.522900763358777</v>
      </c>
      <c r="CC419" s="1018">
        <f t="shared" si="500"/>
        <v>0</v>
      </c>
      <c r="CD419" s="1018">
        <f t="shared" ca="1" si="530"/>
        <v>181.28942559790215</v>
      </c>
      <c r="CE419" s="1018">
        <f t="shared" ca="1" si="482"/>
        <v>124.22791065226887</v>
      </c>
      <c r="CF419">
        <f t="shared" ca="1" si="502"/>
        <v>9.165520087505131</v>
      </c>
      <c r="CG419">
        <f t="shared" ca="1" si="503"/>
        <v>15260.224324892542</v>
      </c>
    </row>
    <row r="420" spans="3:85" x14ac:dyDescent="0.25">
      <c r="D420" s="594"/>
      <c r="E420" s="593"/>
      <c r="F420" s="594"/>
      <c r="G420" s="593"/>
      <c r="H420" s="593"/>
      <c r="I420" s="593"/>
      <c r="J420" s="594"/>
      <c r="K420" s="597"/>
      <c r="L420" s="599"/>
      <c r="M420" s="594" t="s">
        <v>16</v>
      </c>
      <c r="N420" s="596">
        <v>0.5</v>
      </c>
      <c r="O420" s="594" t="s">
        <v>19</v>
      </c>
      <c r="P420" s="596">
        <v>3.7878787999999997E-2</v>
      </c>
      <c r="Q420" s="594" t="s">
        <v>7</v>
      </c>
      <c r="R420" s="596">
        <v>0.1893</v>
      </c>
      <c r="S420" s="594"/>
      <c r="T420" s="605">
        <v>3.3891915066307587E-6</v>
      </c>
      <c r="U420" s="593"/>
      <c r="V420" s="176">
        <f t="shared" si="472"/>
        <v>3.3891915066307587E-6</v>
      </c>
      <c r="W420" s="176">
        <f t="shared" si="529"/>
        <v>3.3891915066307587E-6</v>
      </c>
      <c r="X420" s="176">
        <f t="shared" si="529"/>
        <v>3.3891915066307587E-6</v>
      </c>
      <c r="Y420" s="34">
        <f>X420/Calculation_sheet!M$67</f>
        <v>3.3892608034931092E-6</v>
      </c>
      <c r="Z420" s="176">
        <f ca="1">IF(AN420&gt;0,Y420*Calculation_sheet!C$87,0)</f>
        <v>0</v>
      </c>
      <c r="AA420" s="176">
        <f t="shared" ca="1" si="519"/>
        <v>3.3892608034931092E-6</v>
      </c>
      <c r="AB420" s="176">
        <f ca="1">IF(AP420&gt;0,AA420*Calculation_sheet!C$94,0)</f>
        <v>0</v>
      </c>
      <c r="AC420" s="176">
        <f t="shared" ca="1" si="520"/>
        <v>3.3892608034931092E-6</v>
      </c>
      <c r="AD420" s="958">
        <f ca="1">AC420*Calculation_sheet!C$99</f>
        <v>2.0335564820958653E-6</v>
      </c>
      <c r="AE420" s="176">
        <f t="shared" ca="1" si="520"/>
        <v>1.3557043213972439E-6</v>
      </c>
      <c r="AF420" s="176">
        <f t="shared" ca="1" si="521"/>
        <v>3.3892608034931092E-6</v>
      </c>
      <c r="AG420" s="958">
        <f ca="1">AF420*User_sheet!B$77/100</f>
        <v>0</v>
      </c>
      <c r="AH420" s="313"/>
      <c r="AI420" s="910">
        <v>204</v>
      </c>
      <c r="AJ420" s="313"/>
      <c r="AK420" s="1020">
        <f t="shared" ca="1" si="497"/>
        <v>181.28942559790215</v>
      </c>
      <c r="AL420" s="954">
        <f ca="1">AK420/'204'!I$24</f>
        <v>0.6617609987147367</v>
      </c>
      <c r="AM420" s="954">
        <f ca="1">0.8*(AK420*30+'204'!D$17*0.34*30*1)</f>
        <v>7936.0320143496519</v>
      </c>
      <c r="AN420" s="954">
        <f ca="1">IF(AM420&lt;User_sheet!B$50,Y420,0)</f>
        <v>3.3892608034931092E-6</v>
      </c>
      <c r="AO420" s="954">
        <f ca="1">20-(User_sheet!B$57/(AK420+'204'!D$17*1*0.34))</f>
        <v>2.7621663127564133</v>
      </c>
      <c r="AP420" s="954">
        <f ca="1">IF(AO420&lt;User_sheet!B$59,0,BC420*AA420)</f>
        <v>0</v>
      </c>
      <c r="AQ420" s="313"/>
      <c r="AR420" s="909">
        <v>0.24</v>
      </c>
      <c r="AS420" s="909">
        <v>0.54</v>
      </c>
      <c r="AT420" s="909">
        <v>0.83</v>
      </c>
      <c r="AU420" s="909">
        <v>2</v>
      </c>
      <c r="AV420" s="909">
        <v>3.3</v>
      </c>
      <c r="AW420" s="909">
        <v>14536.85461731979</v>
      </c>
      <c r="AX420" s="909">
        <v>75022.04959166942</v>
      </c>
      <c r="AY420" s="909">
        <v>69245.59826015502</v>
      </c>
      <c r="AZ420" s="917">
        <v>0</v>
      </c>
      <c r="BA420" s="917">
        <v>0</v>
      </c>
      <c r="BB420" s="909">
        <v>0.6</v>
      </c>
      <c r="BC420" s="919">
        <v>1</v>
      </c>
      <c r="BD420" s="920">
        <v>0</v>
      </c>
      <c r="BE420" s="920">
        <v>0</v>
      </c>
      <c r="BF420" s="921">
        <v>0</v>
      </c>
      <c r="BG420" s="909">
        <v>0</v>
      </c>
      <c r="BH420" s="909">
        <v>1</v>
      </c>
      <c r="BI420" s="921">
        <v>0</v>
      </c>
      <c r="BJ420" s="909">
        <v>0</v>
      </c>
      <c r="BK420" s="909">
        <v>0</v>
      </c>
      <c r="BL420" s="909">
        <v>1</v>
      </c>
      <c r="BM420" s="921">
        <v>0</v>
      </c>
      <c r="BN420" s="958">
        <v>0.08</v>
      </c>
      <c r="BO420" s="50">
        <v>12</v>
      </c>
      <c r="BP420">
        <f t="shared" ca="1" si="522"/>
        <v>150</v>
      </c>
      <c r="BQ420">
        <f t="shared" ca="1" si="523"/>
        <v>372.82075000000003</v>
      </c>
      <c r="BR420">
        <f t="shared" ca="1" si="524"/>
        <v>111</v>
      </c>
      <c r="BS420">
        <f t="shared" ca="1" si="525"/>
        <v>120</v>
      </c>
      <c r="BT420">
        <f t="shared" ca="1" si="526"/>
        <v>86.25</v>
      </c>
      <c r="BU420">
        <f t="shared" ca="1" si="527"/>
        <v>14.5</v>
      </c>
      <c r="BV420">
        <f t="shared" ca="1" si="528"/>
        <v>9.3000000000000007</v>
      </c>
      <c r="BW420" s="1018">
        <v>0</v>
      </c>
      <c r="BX420">
        <f t="shared" ca="1" si="516"/>
        <v>25.576036866359445</v>
      </c>
      <c r="BY420">
        <f t="shared" ca="1" si="517"/>
        <v>59.253840526700813</v>
      </c>
      <c r="BZ420">
        <f t="shared" ca="1" si="498"/>
        <v>20.652647453083109</v>
      </c>
      <c r="CA420">
        <f t="shared" ca="1" si="499"/>
        <v>28.999999988399999</v>
      </c>
      <c r="CB420">
        <f t="shared" ca="1" si="518"/>
        <v>19.522900763358777</v>
      </c>
      <c r="CC420" s="1018">
        <f t="shared" si="500"/>
        <v>0</v>
      </c>
      <c r="CD420" s="1018">
        <f t="shared" ca="1" si="530"/>
        <v>181.28942559790215</v>
      </c>
      <c r="CE420" s="1018">
        <f t="shared" ca="1" si="482"/>
        <v>124.22791065226887</v>
      </c>
      <c r="CF420">
        <f t="shared" ca="1" si="502"/>
        <v>9.165520087505131</v>
      </c>
      <c r="CG420">
        <f t="shared" ca="1" si="503"/>
        <v>15260.224324892542</v>
      </c>
    </row>
    <row r="421" spans="3:85" x14ac:dyDescent="0.25">
      <c r="D421" s="594"/>
      <c r="E421" s="593"/>
      <c r="F421" s="594"/>
      <c r="G421" s="593"/>
      <c r="H421" s="593"/>
      <c r="I421" s="593"/>
      <c r="J421" s="594"/>
      <c r="K421" s="597"/>
      <c r="L421" s="599"/>
      <c r="M421" s="594"/>
      <c r="N421" s="594"/>
      <c r="O421" s="594"/>
      <c r="P421" s="594"/>
      <c r="Q421" s="594" t="s">
        <v>22</v>
      </c>
      <c r="R421" s="596">
        <v>0.81</v>
      </c>
      <c r="S421" s="594"/>
      <c r="T421" s="605">
        <v>2.7588088292489834E-4</v>
      </c>
      <c r="U421" s="593"/>
      <c r="V421" s="176">
        <f t="shared" si="472"/>
        <v>2.7588088292489834E-4</v>
      </c>
      <c r="W421" s="176">
        <f t="shared" si="529"/>
        <v>2.7588088292489834E-4</v>
      </c>
      <c r="X421" s="176">
        <f t="shared" si="529"/>
        <v>2.7588088292489834E-4</v>
      </c>
      <c r="Y421" s="34">
        <f>X421/Calculation_sheet!M$67</f>
        <v>2.7588652370368934E-4</v>
      </c>
      <c r="Z421" s="176">
        <f ca="1">IF(AN421&gt;0,Y421*Calculation_sheet!C$87,0)</f>
        <v>0</v>
      </c>
      <c r="AA421" s="176">
        <f t="shared" ca="1" si="519"/>
        <v>2.7588652370368934E-4</v>
      </c>
      <c r="AB421" s="176">
        <f ca="1">IF(AP421&gt;0,AA421*Calculation_sheet!C$94,0)</f>
        <v>0</v>
      </c>
      <c r="AC421" s="176">
        <f t="shared" ca="1" si="520"/>
        <v>2.7588652370368934E-4</v>
      </c>
      <c r="AD421" s="958">
        <f ca="1">AC421*Calculation_sheet!C$99</f>
        <v>1.655319142222136E-4</v>
      </c>
      <c r="AE421" s="176">
        <f t="shared" ca="1" si="520"/>
        <v>1.1035460948147574E-4</v>
      </c>
      <c r="AF421" s="176">
        <f t="shared" ca="1" si="521"/>
        <v>2.7588652370368934E-4</v>
      </c>
      <c r="AG421" s="958">
        <f ca="1">AF421*User_sheet!B$77/100</f>
        <v>0</v>
      </c>
      <c r="AH421" s="313"/>
      <c r="AI421" s="910">
        <v>204</v>
      </c>
      <c r="AJ421" s="313"/>
      <c r="AK421" s="1020">
        <f t="shared" ca="1" si="497"/>
        <v>181.28942559790215</v>
      </c>
      <c r="AL421" s="954">
        <f ca="1">AK421/'204'!I$24</f>
        <v>0.6617609987147367</v>
      </c>
      <c r="AM421" s="954">
        <f ca="1">0.8*(AK421*30+'204'!D$17*0.34*30*1)</f>
        <v>7936.0320143496519</v>
      </c>
      <c r="AN421" s="954">
        <f ca="1">IF(AM421&lt;User_sheet!B$50,Y421,0)</f>
        <v>2.7588652370368934E-4</v>
      </c>
      <c r="AO421" s="954">
        <f ca="1">20-(User_sheet!B$57/(AK421+'204'!D$17*1*0.34))</f>
        <v>2.7621663127564133</v>
      </c>
      <c r="AP421" s="954">
        <f ca="1">IF(AO421&lt;User_sheet!B$59,0,BC421*AA421)</f>
        <v>0</v>
      </c>
      <c r="AQ421" s="313"/>
      <c r="AR421" s="909">
        <v>0.24</v>
      </c>
      <c r="AS421" s="909">
        <v>0.54</v>
      </c>
      <c r="AT421" s="909">
        <v>0.83</v>
      </c>
      <c r="AU421" s="909">
        <v>2</v>
      </c>
      <c r="AV421" s="909">
        <v>3.3</v>
      </c>
      <c r="AW421" s="909">
        <v>14536.85461731979</v>
      </c>
      <c r="AX421" s="909">
        <v>75022.04959166942</v>
      </c>
      <c r="AY421" s="909">
        <v>69245.59826015502</v>
      </c>
      <c r="AZ421" s="917">
        <v>0</v>
      </c>
      <c r="BA421" s="917">
        <v>0</v>
      </c>
      <c r="BB421" s="909">
        <v>0.6</v>
      </c>
      <c r="BC421" s="919">
        <v>0</v>
      </c>
      <c r="BD421" s="920">
        <v>1</v>
      </c>
      <c r="BE421" s="920">
        <v>0</v>
      </c>
      <c r="BF421" s="921">
        <v>0</v>
      </c>
      <c r="BG421" s="909">
        <v>1</v>
      </c>
      <c r="BH421" s="909">
        <v>0</v>
      </c>
      <c r="BI421" s="921">
        <v>0</v>
      </c>
      <c r="BJ421" s="909">
        <v>0</v>
      </c>
      <c r="BK421" s="909">
        <v>1</v>
      </c>
      <c r="BL421" s="909">
        <v>0</v>
      </c>
      <c r="BM421" s="921">
        <v>0</v>
      </c>
      <c r="BN421" s="958">
        <v>0.08</v>
      </c>
      <c r="BO421" s="50">
        <v>12</v>
      </c>
      <c r="BP421">
        <f t="shared" ca="1" si="522"/>
        <v>150</v>
      </c>
      <c r="BQ421">
        <f t="shared" ca="1" si="523"/>
        <v>372.82075000000003</v>
      </c>
      <c r="BR421">
        <f t="shared" ca="1" si="524"/>
        <v>111</v>
      </c>
      <c r="BS421">
        <f t="shared" ca="1" si="525"/>
        <v>120</v>
      </c>
      <c r="BT421">
        <f t="shared" ca="1" si="526"/>
        <v>86.25</v>
      </c>
      <c r="BU421">
        <f t="shared" ca="1" si="527"/>
        <v>14.5</v>
      </c>
      <c r="BV421">
        <f t="shared" ca="1" si="528"/>
        <v>9.3000000000000007</v>
      </c>
      <c r="BW421" s="1018">
        <v>0</v>
      </c>
      <c r="BX421">
        <f t="shared" ca="1" si="516"/>
        <v>25.576036866359445</v>
      </c>
      <c r="BY421">
        <f t="shared" ca="1" si="517"/>
        <v>59.253840526700813</v>
      </c>
      <c r="BZ421">
        <f t="shared" ca="1" si="498"/>
        <v>20.652647453083109</v>
      </c>
      <c r="CA421">
        <f t="shared" ca="1" si="499"/>
        <v>28.999999988399999</v>
      </c>
      <c r="CB421">
        <f t="shared" ca="1" si="518"/>
        <v>19.522900763358777</v>
      </c>
      <c r="CC421" s="1018">
        <f t="shared" si="500"/>
        <v>0</v>
      </c>
      <c r="CD421" s="1018">
        <f t="shared" ca="1" si="530"/>
        <v>181.28942559790215</v>
      </c>
      <c r="CE421" s="1018">
        <f t="shared" ca="1" si="482"/>
        <v>124.22791065226887</v>
      </c>
      <c r="CF421">
        <f t="shared" ca="1" si="502"/>
        <v>9.165520087505131</v>
      </c>
      <c r="CG421">
        <f t="shared" ca="1" si="503"/>
        <v>15260.224324892542</v>
      </c>
    </row>
    <row r="422" spans="3:85" x14ac:dyDescent="0.25">
      <c r="D422" s="594"/>
      <c r="E422" s="593"/>
      <c r="F422" s="594"/>
      <c r="G422" s="593"/>
      <c r="H422" s="593"/>
      <c r="I422" s="593"/>
      <c r="J422" s="594"/>
      <c r="K422" s="594"/>
      <c r="L422" s="594"/>
      <c r="M422" s="594"/>
      <c r="N422" s="594"/>
      <c r="O422" s="594" t="s">
        <v>18</v>
      </c>
      <c r="P422" s="596">
        <v>0.96078431399999997</v>
      </c>
      <c r="Q422" s="594" t="s">
        <v>7</v>
      </c>
      <c r="R422" s="596">
        <v>0.19</v>
      </c>
      <c r="S422" s="594"/>
      <c r="T422" s="605">
        <v>6.4712799698432935E-5</v>
      </c>
      <c r="U422" s="593"/>
      <c r="V422" s="176">
        <f t="shared" si="472"/>
        <v>6.4712799698432935E-5</v>
      </c>
      <c r="W422" s="176">
        <f t="shared" si="529"/>
        <v>6.4712799698432935E-5</v>
      </c>
      <c r="X422" s="176">
        <f t="shared" si="529"/>
        <v>6.4712799698432935E-5</v>
      </c>
      <c r="Y422" s="34">
        <f>X422/Calculation_sheet!M$67</f>
        <v>6.4714122844075262E-5</v>
      </c>
      <c r="Z422" s="176">
        <f ca="1">IF(AN422&gt;0,Y422*Calculation_sheet!C$87,0)</f>
        <v>0</v>
      </c>
      <c r="AA422" s="176">
        <f t="shared" ca="1" si="519"/>
        <v>6.4714122844075262E-5</v>
      </c>
      <c r="AB422" s="176">
        <f ca="1">IF(AP422&gt;0,AA422*Calculation_sheet!C$94,0)</f>
        <v>0</v>
      </c>
      <c r="AC422" s="176">
        <f t="shared" ca="1" si="520"/>
        <v>6.4714122844075262E-5</v>
      </c>
      <c r="AD422" s="958">
        <f ca="1">AC422*Calculation_sheet!C$99</f>
        <v>3.8828473706445158E-5</v>
      </c>
      <c r="AE422" s="176">
        <f t="shared" ca="1" si="520"/>
        <v>2.5885649137630103E-5</v>
      </c>
      <c r="AF422" s="176">
        <f t="shared" ca="1" si="521"/>
        <v>6.4714122844075262E-5</v>
      </c>
      <c r="AG422" s="958">
        <f ca="1">AF422*User_sheet!B$77/100</f>
        <v>0</v>
      </c>
      <c r="AH422" s="313"/>
      <c r="AI422" s="910">
        <v>204</v>
      </c>
      <c r="AJ422" s="313"/>
      <c r="AK422" s="1020">
        <f t="shared" ca="1" si="497"/>
        <v>181.28942559790215</v>
      </c>
      <c r="AL422" s="954">
        <f ca="1">AK422/'204'!I$24</f>
        <v>0.6617609987147367</v>
      </c>
      <c r="AM422" s="954">
        <f ca="1">0.8*(AK422*30+'204'!D$17*0.34*30*1)</f>
        <v>7936.0320143496519</v>
      </c>
      <c r="AN422" s="954">
        <f ca="1">IF(AM422&lt;User_sheet!B$50,Y422,0)</f>
        <v>6.4714122844075262E-5</v>
      </c>
      <c r="AO422" s="954">
        <f ca="1">20-(User_sheet!B$57/(AK422+'204'!D$17*1*0.34))</f>
        <v>2.7621663127564133</v>
      </c>
      <c r="AP422" s="954">
        <f ca="1">IF(AO422&lt;User_sheet!B$59,0,BC422*AA422)</f>
        <v>0</v>
      </c>
      <c r="AQ422" s="313"/>
      <c r="AR422" s="909">
        <v>0.24</v>
      </c>
      <c r="AS422" s="909">
        <v>0.54</v>
      </c>
      <c r="AT422" s="909">
        <v>0.83</v>
      </c>
      <c r="AU422" s="909">
        <v>2</v>
      </c>
      <c r="AV422" s="909">
        <v>3.3</v>
      </c>
      <c r="AW422" s="909">
        <v>14536.85461731979</v>
      </c>
      <c r="AX422" s="909">
        <v>75022.04959166942</v>
      </c>
      <c r="AY422" s="909">
        <v>69245.59826015502</v>
      </c>
      <c r="AZ422" s="917">
        <v>0</v>
      </c>
      <c r="BA422" s="917">
        <v>0</v>
      </c>
      <c r="BB422" s="909">
        <v>0.6</v>
      </c>
      <c r="BC422" s="919">
        <v>0</v>
      </c>
      <c r="BD422" s="920">
        <v>1</v>
      </c>
      <c r="BE422" s="920">
        <v>0</v>
      </c>
      <c r="BF422" s="921">
        <v>0</v>
      </c>
      <c r="BG422" s="909">
        <v>1</v>
      </c>
      <c r="BH422" s="909">
        <v>0</v>
      </c>
      <c r="BI422" s="921">
        <v>0</v>
      </c>
      <c r="BJ422" s="909">
        <v>0</v>
      </c>
      <c r="BK422" s="909">
        <v>0</v>
      </c>
      <c r="BL422" s="909">
        <v>1</v>
      </c>
      <c r="BM422" s="921">
        <v>0</v>
      </c>
      <c r="BN422" s="958">
        <v>0.08</v>
      </c>
      <c r="BO422" s="50">
        <v>12</v>
      </c>
      <c r="BP422">
        <f t="shared" ca="1" si="522"/>
        <v>150</v>
      </c>
      <c r="BQ422">
        <f t="shared" ca="1" si="523"/>
        <v>372.82075000000003</v>
      </c>
      <c r="BR422">
        <f t="shared" ca="1" si="524"/>
        <v>111</v>
      </c>
      <c r="BS422">
        <f t="shared" ca="1" si="525"/>
        <v>120</v>
      </c>
      <c r="BT422">
        <f t="shared" ca="1" si="526"/>
        <v>86.25</v>
      </c>
      <c r="BU422">
        <f t="shared" ca="1" si="527"/>
        <v>14.5</v>
      </c>
      <c r="BV422">
        <f t="shared" ca="1" si="528"/>
        <v>9.3000000000000007</v>
      </c>
      <c r="BW422" s="1018">
        <v>0</v>
      </c>
      <c r="BX422">
        <f t="shared" ca="1" si="516"/>
        <v>25.576036866359445</v>
      </c>
      <c r="BY422">
        <f t="shared" ca="1" si="517"/>
        <v>59.253840526700813</v>
      </c>
      <c r="BZ422">
        <f t="shared" ca="1" si="498"/>
        <v>20.652647453083109</v>
      </c>
      <c r="CA422">
        <f t="shared" ca="1" si="499"/>
        <v>28.999999988399999</v>
      </c>
      <c r="CB422">
        <f t="shared" ca="1" si="518"/>
        <v>19.522900763358777</v>
      </c>
      <c r="CC422" s="1018">
        <f t="shared" si="500"/>
        <v>0</v>
      </c>
      <c r="CD422" s="1018">
        <f t="shared" ca="1" si="530"/>
        <v>181.28942559790215</v>
      </c>
      <c r="CE422" s="1018">
        <f t="shared" ca="1" si="482"/>
        <v>124.22791065226887</v>
      </c>
      <c r="CF422">
        <f t="shared" ca="1" si="502"/>
        <v>9.165520087505131</v>
      </c>
      <c r="CG422">
        <f t="shared" ca="1" si="503"/>
        <v>15260.224324892542</v>
      </c>
    </row>
    <row r="423" spans="3:85" x14ac:dyDescent="0.25">
      <c r="D423" s="594"/>
      <c r="E423" s="593"/>
      <c r="F423" s="594"/>
      <c r="G423" s="593"/>
      <c r="H423" s="594"/>
      <c r="I423" s="593" t="s">
        <v>6</v>
      </c>
      <c r="J423" s="598">
        <v>0.50990000000000002</v>
      </c>
      <c r="K423" s="594"/>
      <c r="L423" s="594"/>
      <c r="M423" s="594"/>
      <c r="N423" s="594"/>
      <c r="O423" s="594"/>
      <c r="P423" s="594"/>
      <c r="Q423" s="594" t="s">
        <v>22</v>
      </c>
      <c r="R423" s="596">
        <v>0.81</v>
      </c>
      <c r="S423" s="594"/>
      <c r="T423" s="605">
        <v>1.1260444118975879E-5</v>
      </c>
      <c r="U423" s="593"/>
      <c r="V423" s="176">
        <f t="shared" si="472"/>
        <v>1.1260444118975879E-5</v>
      </c>
      <c r="W423" s="176">
        <f t="shared" si="529"/>
        <v>1.1260444118975879E-5</v>
      </c>
      <c r="X423" s="176">
        <f t="shared" si="529"/>
        <v>1.1260444118975879E-5</v>
      </c>
      <c r="Y423" s="34">
        <f>X423/Calculation_sheet!M$67</f>
        <v>1.1260674354843223E-5</v>
      </c>
      <c r="Z423" s="176">
        <f ca="1">IF(AN423&gt;0,Y423*Calculation_sheet!C$87,0)</f>
        <v>0</v>
      </c>
      <c r="AA423" s="176">
        <f t="shared" ca="1" si="519"/>
        <v>1.1260674354843223E-5</v>
      </c>
      <c r="AB423" s="176">
        <f ca="1">IF(AP423&gt;0,AA423*Calculation_sheet!C$94,0)</f>
        <v>0</v>
      </c>
      <c r="AC423" s="176">
        <f t="shared" ca="1" si="520"/>
        <v>1.1260674354843223E-5</v>
      </c>
      <c r="AD423" s="958">
        <f ca="1">AC423*Calculation_sheet!C$99</f>
        <v>6.7564046129059335E-6</v>
      </c>
      <c r="AE423" s="176">
        <f t="shared" ca="1" si="520"/>
        <v>4.504269741937289E-6</v>
      </c>
      <c r="AF423" s="176">
        <f t="shared" ca="1" si="521"/>
        <v>1.1260674354843223E-5</v>
      </c>
      <c r="AG423" s="958">
        <f ca="1">AF423*User_sheet!B$77/100</f>
        <v>0</v>
      </c>
      <c r="AH423" s="313"/>
      <c r="AI423" s="910">
        <v>204</v>
      </c>
      <c r="AJ423" s="313"/>
      <c r="AK423" s="1020">
        <f t="shared" ca="1" si="497"/>
        <v>181.28942559790215</v>
      </c>
      <c r="AL423" s="954">
        <f ca="1">AK423/'204'!I$24</f>
        <v>0.6617609987147367</v>
      </c>
      <c r="AM423" s="954">
        <f ca="1">0.8*(AK423*30+'204'!D$17*0.34*30*1)</f>
        <v>7936.0320143496519</v>
      </c>
      <c r="AN423" s="954">
        <f ca="1">IF(AM423&lt;User_sheet!B$50,Y423,0)</f>
        <v>1.1260674354843223E-5</v>
      </c>
      <c r="AO423" s="954">
        <f ca="1">20-(User_sheet!B$57/(AK423+'204'!D$17*1*0.34))</f>
        <v>2.7621663127564133</v>
      </c>
      <c r="AP423" s="954">
        <f ca="1">IF(AO423&lt;User_sheet!B$59,0,BC423*AA423)</f>
        <v>0</v>
      </c>
      <c r="AQ423" s="313"/>
      <c r="AR423" s="909">
        <v>0.24</v>
      </c>
      <c r="AS423" s="909">
        <v>0.54</v>
      </c>
      <c r="AT423" s="909">
        <v>0.83</v>
      </c>
      <c r="AU423" s="909">
        <v>2</v>
      </c>
      <c r="AV423" s="909">
        <v>3.3</v>
      </c>
      <c r="AW423" s="909">
        <v>14536.85461731979</v>
      </c>
      <c r="AX423" s="909">
        <v>75022.04959166942</v>
      </c>
      <c r="AY423" s="909">
        <v>69245.59826015502</v>
      </c>
      <c r="AZ423" s="917">
        <v>0</v>
      </c>
      <c r="BA423" s="917">
        <v>0</v>
      </c>
      <c r="BB423" s="909">
        <v>0.6</v>
      </c>
      <c r="BC423" s="919">
        <v>0</v>
      </c>
      <c r="BD423" s="920">
        <v>1</v>
      </c>
      <c r="BE423" s="920">
        <v>0</v>
      </c>
      <c r="BF423" s="921">
        <v>0</v>
      </c>
      <c r="BG423" s="909">
        <v>0</v>
      </c>
      <c r="BH423" s="909">
        <v>1</v>
      </c>
      <c r="BI423" s="921">
        <v>0</v>
      </c>
      <c r="BJ423" s="909">
        <v>0</v>
      </c>
      <c r="BK423" s="909">
        <v>1</v>
      </c>
      <c r="BL423" s="909">
        <v>0</v>
      </c>
      <c r="BM423" s="921">
        <v>0</v>
      </c>
      <c r="BN423" s="958">
        <v>0.08</v>
      </c>
      <c r="BO423" s="50">
        <v>12</v>
      </c>
      <c r="BP423">
        <f t="shared" ca="1" si="522"/>
        <v>150</v>
      </c>
      <c r="BQ423">
        <f t="shared" ca="1" si="523"/>
        <v>372.82075000000003</v>
      </c>
      <c r="BR423">
        <f t="shared" ca="1" si="524"/>
        <v>111</v>
      </c>
      <c r="BS423">
        <f t="shared" ca="1" si="525"/>
        <v>120</v>
      </c>
      <c r="BT423">
        <f t="shared" ca="1" si="526"/>
        <v>86.25</v>
      </c>
      <c r="BU423">
        <f t="shared" ca="1" si="527"/>
        <v>14.5</v>
      </c>
      <c r="BV423">
        <f t="shared" ca="1" si="528"/>
        <v>9.3000000000000007</v>
      </c>
      <c r="BW423" s="1018">
        <v>0</v>
      </c>
      <c r="BX423">
        <f t="shared" ca="1" si="516"/>
        <v>25.576036866359445</v>
      </c>
      <c r="BY423">
        <f t="shared" ca="1" si="517"/>
        <v>59.253840526700813</v>
      </c>
      <c r="BZ423">
        <f t="shared" ca="1" si="498"/>
        <v>20.652647453083109</v>
      </c>
      <c r="CA423">
        <f t="shared" ca="1" si="499"/>
        <v>28.999999988399999</v>
      </c>
      <c r="CB423">
        <f t="shared" ca="1" si="518"/>
        <v>19.522900763358777</v>
      </c>
      <c r="CC423" s="1018">
        <f t="shared" si="500"/>
        <v>0</v>
      </c>
      <c r="CD423" s="1018">
        <f t="shared" ca="1" si="530"/>
        <v>181.28942559790215</v>
      </c>
      <c r="CE423" s="1018">
        <f t="shared" ca="1" si="482"/>
        <v>124.22791065226887</v>
      </c>
      <c r="CF423">
        <f t="shared" ca="1" si="502"/>
        <v>9.165520087505131</v>
      </c>
      <c r="CG423">
        <f t="shared" ca="1" si="503"/>
        <v>15260.224324892542</v>
      </c>
    </row>
    <row r="424" spans="3:85" x14ac:dyDescent="0.25">
      <c r="D424" s="594"/>
      <c r="E424" s="593"/>
      <c r="F424" s="594"/>
      <c r="G424" s="593"/>
      <c r="H424" s="594"/>
      <c r="I424" s="593"/>
      <c r="J424" s="594"/>
      <c r="K424" s="594"/>
      <c r="L424" s="594"/>
      <c r="M424" s="594" t="s">
        <v>22</v>
      </c>
      <c r="N424" s="596">
        <v>0.375</v>
      </c>
      <c r="O424" s="594" t="s">
        <v>20</v>
      </c>
      <c r="P424" s="596">
        <v>3.9215686E-2</v>
      </c>
      <c r="Q424" s="594" t="s">
        <v>7</v>
      </c>
      <c r="R424" s="596">
        <v>0.19</v>
      </c>
      <c r="S424" s="594"/>
      <c r="T424" s="605">
        <v>2.6413387439573044E-6</v>
      </c>
      <c r="U424" s="593"/>
      <c r="V424" s="176">
        <f t="shared" si="472"/>
        <v>2.6413387439573044E-6</v>
      </c>
      <c r="W424" s="176">
        <f t="shared" si="529"/>
        <v>2.6413387439573044E-6</v>
      </c>
      <c r="X424" s="176">
        <f t="shared" si="529"/>
        <v>2.6413387439573044E-6</v>
      </c>
      <c r="Y424" s="34">
        <f>X424/Calculation_sheet!M$67</f>
        <v>2.641392749901496E-6</v>
      </c>
      <c r="Z424" s="176">
        <f ca="1">IF(AN424&gt;0,Y424*Calculation_sheet!C$87,0)</f>
        <v>0</v>
      </c>
      <c r="AA424" s="176">
        <f t="shared" ca="1" si="519"/>
        <v>2.641392749901496E-6</v>
      </c>
      <c r="AB424" s="176">
        <f ca="1">IF(AP424&gt;0,AA424*Calculation_sheet!C$94,0)</f>
        <v>0</v>
      </c>
      <c r="AC424" s="176">
        <f t="shared" ca="1" si="520"/>
        <v>2.641392749901496E-6</v>
      </c>
      <c r="AD424" s="958">
        <f ca="1">AC424*Calculation_sheet!C$99</f>
        <v>1.5848356499408976E-6</v>
      </c>
      <c r="AE424" s="176">
        <f t="shared" ca="1" si="520"/>
        <v>1.0565570999605984E-6</v>
      </c>
      <c r="AF424" s="176">
        <f t="shared" ca="1" si="521"/>
        <v>2.641392749901496E-6</v>
      </c>
      <c r="AG424" s="958">
        <f ca="1">AF424*User_sheet!B$77/100</f>
        <v>0</v>
      </c>
      <c r="AH424" s="313"/>
      <c r="AI424" s="910">
        <v>204</v>
      </c>
      <c r="AJ424" s="313"/>
      <c r="AK424" s="1020">
        <f t="shared" ca="1" si="497"/>
        <v>181.28942559790215</v>
      </c>
      <c r="AL424" s="954">
        <f ca="1">AK424/'204'!I$24</f>
        <v>0.6617609987147367</v>
      </c>
      <c r="AM424" s="954">
        <f ca="1">0.8*(AK424*30+'204'!D$17*0.34*30*1)</f>
        <v>7936.0320143496519</v>
      </c>
      <c r="AN424" s="954">
        <f ca="1">IF(AM424&lt;User_sheet!B$50,Y424,0)</f>
        <v>2.641392749901496E-6</v>
      </c>
      <c r="AO424" s="954">
        <f ca="1">20-(User_sheet!B$57/(AK424+'204'!D$17*1*0.34))</f>
        <v>2.7621663127564133</v>
      </c>
      <c r="AP424" s="954">
        <f ca="1">IF(AO424&lt;User_sheet!B$59,0,BC424*AA424)</f>
        <v>0</v>
      </c>
      <c r="AQ424" s="313"/>
      <c r="AR424" s="909">
        <v>0.24</v>
      </c>
      <c r="AS424" s="909">
        <v>0.54</v>
      </c>
      <c r="AT424" s="909">
        <v>0.83</v>
      </c>
      <c r="AU424" s="909">
        <v>2</v>
      </c>
      <c r="AV424" s="909">
        <v>3.3</v>
      </c>
      <c r="AW424" s="909">
        <v>14536.85461731979</v>
      </c>
      <c r="AX424" s="909">
        <v>75022.04959166942</v>
      </c>
      <c r="AY424" s="909">
        <v>69245.59826015502</v>
      </c>
      <c r="AZ424" s="917">
        <v>0</v>
      </c>
      <c r="BA424" s="917">
        <v>0</v>
      </c>
      <c r="BB424" s="909">
        <v>0.6</v>
      </c>
      <c r="BC424" s="919">
        <v>0</v>
      </c>
      <c r="BD424" s="920">
        <v>1</v>
      </c>
      <c r="BE424" s="920">
        <v>0</v>
      </c>
      <c r="BF424" s="921">
        <v>0</v>
      </c>
      <c r="BG424" s="909">
        <v>0</v>
      </c>
      <c r="BH424" s="909">
        <v>1</v>
      </c>
      <c r="BI424" s="921">
        <v>0</v>
      </c>
      <c r="BJ424" s="909">
        <v>0</v>
      </c>
      <c r="BK424" s="909">
        <v>0</v>
      </c>
      <c r="BL424" s="909">
        <v>1</v>
      </c>
      <c r="BM424" s="921">
        <v>0</v>
      </c>
      <c r="BN424" s="958">
        <v>0.08</v>
      </c>
      <c r="BO424" s="50">
        <v>12</v>
      </c>
      <c r="BP424">
        <f t="shared" ca="1" si="522"/>
        <v>150</v>
      </c>
      <c r="BQ424">
        <f t="shared" ca="1" si="523"/>
        <v>372.82075000000003</v>
      </c>
      <c r="BR424">
        <f t="shared" ca="1" si="524"/>
        <v>111</v>
      </c>
      <c r="BS424">
        <f t="shared" ca="1" si="525"/>
        <v>120</v>
      </c>
      <c r="BT424">
        <f t="shared" ca="1" si="526"/>
        <v>86.25</v>
      </c>
      <c r="BU424">
        <f t="shared" ca="1" si="527"/>
        <v>14.5</v>
      </c>
      <c r="BV424">
        <f t="shared" ca="1" si="528"/>
        <v>9.3000000000000007</v>
      </c>
      <c r="BW424" s="1018">
        <v>0</v>
      </c>
      <c r="BX424">
        <f t="shared" ca="1" si="516"/>
        <v>25.576036866359445</v>
      </c>
      <c r="BY424">
        <f t="shared" ca="1" si="517"/>
        <v>59.253840526700813</v>
      </c>
      <c r="BZ424">
        <f t="shared" ca="1" si="498"/>
        <v>20.652647453083109</v>
      </c>
      <c r="CA424">
        <f t="shared" ca="1" si="499"/>
        <v>28.999999988399999</v>
      </c>
      <c r="CB424">
        <f t="shared" ca="1" si="518"/>
        <v>19.522900763358777</v>
      </c>
      <c r="CC424" s="1018">
        <f t="shared" si="500"/>
        <v>0</v>
      </c>
      <c r="CD424" s="1018">
        <f t="shared" ca="1" si="530"/>
        <v>181.28942559790215</v>
      </c>
      <c r="CE424" s="1018">
        <f t="shared" ca="1" si="482"/>
        <v>124.22791065226887</v>
      </c>
      <c r="CF424">
        <f t="shared" ca="1" si="502"/>
        <v>9.165520087505131</v>
      </c>
      <c r="CG424">
        <f t="shared" ca="1" si="503"/>
        <v>15260.224324892542</v>
      </c>
    </row>
    <row r="425" spans="3:85" x14ac:dyDescent="0.25">
      <c r="C425" s="594" t="s">
        <v>14</v>
      </c>
      <c r="D425" s="596">
        <v>0.10150000000000001</v>
      </c>
      <c r="E425" s="593"/>
      <c r="F425" s="594"/>
      <c r="G425" s="593"/>
      <c r="H425" s="594"/>
      <c r="I425" s="593"/>
      <c r="J425" s="594"/>
      <c r="K425" s="597" t="s">
        <v>13</v>
      </c>
      <c r="L425" s="598">
        <v>1</v>
      </c>
      <c r="M425" s="594" t="s">
        <v>7</v>
      </c>
      <c r="N425" s="596">
        <v>0.125</v>
      </c>
      <c r="O425" s="594" t="s">
        <v>23</v>
      </c>
      <c r="P425" s="596">
        <v>1</v>
      </c>
      <c r="Q425" s="594" t="s">
        <v>7</v>
      </c>
      <c r="R425" s="596">
        <v>1</v>
      </c>
      <c r="S425" s="594"/>
      <c r="T425" s="605">
        <v>1.1816515516208814E-4</v>
      </c>
      <c r="U425" s="593"/>
      <c r="V425" s="176">
        <f t="shared" si="472"/>
        <v>1.1816515516208814E-4</v>
      </c>
      <c r="W425" s="176">
        <f t="shared" si="529"/>
        <v>1.1816515516208814E-4</v>
      </c>
      <c r="X425" s="176">
        <f t="shared" si="529"/>
        <v>1.1816515516208814E-4</v>
      </c>
      <c r="Y425" s="34">
        <f>X425/Calculation_sheet!M$67</f>
        <v>1.1816757121750309E-4</v>
      </c>
      <c r="Z425" s="176">
        <f ca="1">IF(AN425&gt;0,Y425*Calculation_sheet!C$87,0)</f>
        <v>0</v>
      </c>
      <c r="AA425" s="176">
        <f t="shared" ca="1" si="519"/>
        <v>1.1816757121750309E-4</v>
      </c>
      <c r="AB425" s="176">
        <f ca="1">IF(AP425&gt;0,AA425*Calculation_sheet!C$94,0)</f>
        <v>0</v>
      </c>
      <c r="AC425" s="176">
        <f t="shared" ca="1" si="520"/>
        <v>1.1816757121750309E-4</v>
      </c>
      <c r="AD425" s="958">
        <f ca="1">AC425*Calculation_sheet!C$99</f>
        <v>7.0900542730501846E-5</v>
      </c>
      <c r="AE425" s="176">
        <f t="shared" ca="1" si="520"/>
        <v>4.7267028487001244E-5</v>
      </c>
      <c r="AF425" s="176">
        <f t="shared" ca="1" si="521"/>
        <v>1.1816757121750309E-4</v>
      </c>
      <c r="AG425" s="958">
        <f ca="1">AF425*User_sheet!B$77/100</f>
        <v>0</v>
      </c>
      <c r="AH425" s="313"/>
      <c r="AI425" s="910">
        <v>204</v>
      </c>
      <c r="AJ425" s="313"/>
      <c r="AK425" s="1020">
        <f t="shared" ca="1" si="497"/>
        <v>181.28942559790215</v>
      </c>
      <c r="AL425" s="954">
        <f ca="1">AK425/'204'!I$24</f>
        <v>0.6617609987147367</v>
      </c>
      <c r="AM425" s="954">
        <f ca="1">0.8*(AK425*30+'204'!D$17*0.34*30*1)</f>
        <v>7936.0320143496519</v>
      </c>
      <c r="AN425" s="954">
        <f ca="1">IF(AM425&lt;User_sheet!B$50,Y425,0)</f>
        <v>1.1816757121750309E-4</v>
      </c>
      <c r="AO425" s="954">
        <f ca="1">20-(User_sheet!B$57/(AK425+'204'!D$17*1*0.34))</f>
        <v>2.7621663127564133</v>
      </c>
      <c r="AP425" s="954">
        <f ca="1">IF(AO425&lt;User_sheet!B$59,0,BC425*AA425)</f>
        <v>0</v>
      </c>
      <c r="AQ425" s="313"/>
      <c r="AR425" s="909">
        <v>0.24</v>
      </c>
      <c r="AS425" s="909">
        <v>0.54</v>
      </c>
      <c r="AT425" s="909">
        <v>0.83</v>
      </c>
      <c r="AU425" s="909">
        <v>2</v>
      </c>
      <c r="AV425" s="909">
        <v>3.3</v>
      </c>
      <c r="AW425" s="909">
        <v>14536.85461731979</v>
      </c>
      <c r="AX425" s="909">
        <v>75022.04959166942</v>
      </c>
      <c r="AY425" s="909">
        <v>69245.59826015502</v>
      </c>
      <c r="AZ425" s="917">
        <v>0</v>
      </c>
      <c r="BA425" s="917">
        <v>0</v>
      </c>
      <c r="BB425" s="909">
        <v>0.6</v>
      </c>
      <c r="BC425" s="919">
        <v>0</v>
      </c>
      <c r="BD425" s="920">
        <v>0</v>
      </c>
      <c r="BE425" s="920">
        <v>1</v>
      </c>
      <c r="BF425" s="921">
        <v>0</v>
      </c>
      <c r="BG425" s="909">
        <v>0</v>
      </c>
      <c r="BH425" s="909">
        <v>0</v>
      </c>
      <c r="BI425" s="921">
        <v>1</v>
      </c>
      <c r="BJ425" s="909">
        <v>0</v>
      </c>
      <c r="BK425" s="909">
        <v>0</v>
      </c>
      <c r="BL425" s="909">
        <v>1</v>
      </c>
      <c r="BM425" s="921">
        <v>0</v>
      </c>
      <c r="BN425" s="958">
        <v>0.08</v>
      </c>
      <c r="BO425" s="50">
        <v>12</v>
      </c>
      <c r="BP425">
        <f t="shared" ca="1" si="522"/>
        <v>150</v>
      </c>
      <c r="BQ425">
        <f t="shared" ca="1" si="523"/>
        <v>372.82075000000003</v>
      </c>
      <c r="BR425">
        <f t="shared" ca="1" si="524"/>
        <v>111</v>
      </c>
      <c r="BS425">
        <f t="shared" ca="1" si="525"/>
        <v>120</v>
      </c>
      <c r="BT425">
        <f t="shared" ca="1" si="526"/>
        <v>86.25</v>
      </c>
      <c r="BU425">
        <f t="shared" ca="1" si="527"/>
        <v>14.5</v>
      </c>
      <c r="BV425">
        <f t="shared" ca="1" si="528"/>
        <v>9.3000000000000007</v>
      </c>
      <c r="BW425" s="1018">
        <v>0</v>
      </c>
      <c r="BX425">
        <f t="shared" ca="1" si="516"/>
        <v>25.576036866359445</v>
      </c>
      <c r="BY425">
        <f t="shared" ca="1" si="517"/>
        <v>59.253840526700813</v>
      </c>
      <c r="BZ425">
        <f t="shared" ca="1" si="498"/>
        <v>20.652647453083109</v>
      </c>
      <c r="CA425">
        <f t="shared" ca="1" si="499"/>
        <v>28.999999988399999</v>
      </c>
      <c r="CB425">
        <f t="shared" ca="1" si="518"/>
        <v>19.522900763358777</v>
      </c>
      <c r="CC425" s="1018">
        <f t="shared" si="500"/>
        <v>0</v>
      </c>
      <c r="CD425" s="1018">
        <f t="shared" ca="1" si="530"/>
        <v>181.28942559790215</v>
      </c>
      <c r="CE425" s="1018">
        <f t="shared" ca="1" si="482"/>
        <v>124.22791065226887</v>
      </c>
      <c r="CF425">
        <f t="shared" ca="1" si="502"/>
        <v>9.165520087505131</v>
      </c>
      <c r="CG425">
        <f t="shared" ca="1" si="503"/>
        <v>15260.224324892542</v>
      </c>
    </row>
    <row r="426" spans="3:85" s="11" customFormat="1" x14ac:dyDescent="0.25">
      <c r="C426" s="602"/>
      <c r="D426" s="602"/>
      <c r="E426" s="601"/>
      <c r="F426" s="602"/>
      <c r="G426" s="601"/>
      <c r="H426" s="602"/>
      <c r="I426" s="601"/>
      <c r="J426" s="602"/>
      <c r="K426" s="603"/>
      <c r="L426" s="602"/>
      <c r="M426" s="602"/>
      <c r="N426" s="602"/>
      <c r="O426" s="602"/>
      <c r="P426" s="602"/>
      <c r="Q426" s="602"/>
      <c r="R426" s="602"/>
      <c r="S426" s="602"/>
      <c r="T426" s="606"/>
      <c r="U426" s="601"/>
      <c r="V426" s="292"/>
      <c r="W426" s="292"/>
      <c r="X426" s="292"/>
      <c r="Y426" s="277"/>
      <c r="Z426" s="292"/>
      <c r="AA426" s="292"/>
      <c r="AB426" s="292"/>
      <c r="AC426" s="292"/>
      <c r="AD426" s="277"/>
      <c r="AE426" s="292"/>
      <c r="AF426" s="292"/>
      <c r="AG426" s="277"/>
      <c r="AH426" s="313"/>
      <c r="AI426" s="912"/>
      <c r="AJ426" s="313"/>
      <c r="AK426" s="1020">
        <f t="shared" si="497"/>
        <v>0</v>
      </c>
      <c r="AL426" s="941"/>
      <c r="AM426" s="941"/>
      <c r="AN426" s="955"/>
      <c r="AO426" s="955"/>
      <c r="AP426" s="955"/>
      <c r="AQ426" s="313"/>
      <c r="AR426" s="918"/>
      <c r="AS426" s="918"/>
      <c r="AT426" s="918"/>
      <c r="AU426" s="918"/>
      <c r="AV426" s="918"/>
      <c r="AW426" s="918"/>
      <c r="AX426" s="918"/>
      <c r="AY426" s="918"/>
      <c r="AZ426" s="918"/>
      <c r="BA426" s="918"/>
      <c r="BB426" s="918"/>
      <c r="BC426" s="45"/>
      <c r="BD426" s="277"/>
      <c r="BE426" s="277"/>
      <c r="BF426" s="49"/>
      <c r="BG426" s="918"/>
      <c r="BH426" s="918"/>
      <c r="BI426" s="49"/>
      <c r="BJ426" s="918"/>
      <c r="BK426" s="918"/>
      <c r="BL426" s="918"/>
      <c r="BM426" s="49"/>
      <c r="BN426" s="277"/>
      <c r="BO426" s="49"/>
      <c r="BW426" s="946"/>
      <c r="CC426" s="946"/>
      <c r="CD426" s="946"/>
      <c r="CE426" s="946"/>
    </row>
    <row r="427" spans="3:85" x14ac:dyDescent="0.25">
      <c r="C427" s="594"/>
      <c r="D427" s="599"/>
      <c r="E427" s="593"/>
      <c r="F427" s="594"/>
      <c r="G427" s="593"/>
      <c r="H427" s="594"/>
      <c r="I427" s="593"/>
      <c r="J427" s="594"/>
      <c r="K427" s="597"/>
      <c r="L427" s="599"/>
      <c r="M427" s="594"/>
      <c r="N427" s="594"/>
      <c r="O427" s="594"/>
      <c r="P427" s="594"/>
      <c r="Q427" s="594" t="s">
        <v>16</v>
      </c>
      <c r="R427" s="596">
        <v>0.81069999999999998</v>
      </c>
      <c r="S427" s="594"/>
      <c r="T427" s="605">
        <v>0</v>
      </c>
      <c r="U427" s="593"/>
      <c r="V427" s="176">
        <f t="shared" si="472"/>
        <v>0</v>
      </c>
      <c r="W427" s="176">
        <f>V427</f>
        <v>0</v>
      </c>
      <c r="X427" s="176">
        <f>W427-W427*Calculation_sheet!O$79</f>
        <v>0</v>
      </c>
      <c r="Y427" s="34">
        <f>X427/Calculation_sheet!M$67</f>
        <v>0</v>
      </c>
      <c r="Z427" s="176">
        <f ca="1">IF(AN427&gt;0,Y427*Calculation_sheet!C$87,0)</f>
        <v>0</v>
      </c>
      <c r="AA427" s="176">
        <f t="shared" ref="AA427:AA435" ca="1" si="531">Y427-Z427</f>
        <v>0</v>
      </c>
      <c r="AB427" s="176">
        <f ca="1">IF(AP427&gt;0,AA427*Calculation_sheet!C$94,0)</f>
        <v>0</v>
      </c>
      <c r="AC427" s="176">
        <f t="shared" ref="AC427:AE435" ca="1" si="532">AA427-AB427</f>
        <v>0</v>
      </c>
      <c r="AD427" s="958">
        <f ca="1">AC427*Calculation_sheet!C$99</f>
        <v>0</v>
      </c>
      <c r="AE427" s="176">
        <f t="shared" ca="1" si="532"/>
        <v>0</v>
      </c>
      <c r="AF427" s="176">
        <f t="shared" ref="AF427:AF435" ca="1" si="533">Y427-AB427</f>
        <v>0</v>
      </c>
      <c r="AG427" s="958">
        <f ca="1">AF427*User_sheet!B$77/100</f>
        <v>0</v>
      </c>
      <c r="AH427" s="313"/>
      <c r="AI427" s="910">
        <v>204</v>
      </c>
      <c r="AJ427" s="313"/>
      <c r="AK427" s="1020">
        <f t="shared" ca="1" si="497"/>
        <v>195.18216321364963</v>
      </c>
      <c r="AL427" s="954">
        <f ca="1">AK427/'204'!I$24</f>
        <v>0.71247367480799273</v>
      </c>
      <c r="AM427" s="954">
        <f ca="1">0.8*(AK427*30+'204'!D$17*0.34*30*1)</f>
        <v>8269.4577171275923</v>
      </c>
      <c r="AN427" s="954">
        <f ca="1">IF(AM427&lt;User_sheet!B$50,Y427,0)</f>
        <v>0</v>
      </c>
      <c r="AO427" s="954">
        <f ca="1">20-(User_sheet!B$57/(AK427+'204'!D$17*1*0.34))</f>
        <v>3.4571982009580076</v>
      </c>
      <c r="AP427" s="954">
        <f ca="1">IF(AO427&lt;User_sheet!B$59,0,BC427*AA427)</f>
        <v>0</v>
      </c>
      <c r="AQ427" s="313"/>
      <c r="AR427" s="909">
        <v>0.47</v>
      </c>
      <c r="AS427" s="909">
        <v>0.54</v>
      </c>
      <c r="AT427" s="909">
        <v>0.45</v>
      </c>
      <c r="AU427" s="909">
        <v>2</v>
      </c>
      <c r="AV427" s="909">
        <v>3.3</v>
      </c>
      <c r="AW427" s="909">
        <v>12848.541887298286</v>
      </c>
      <c r="AX427" s="909">
        <v>75022.04959166942</v>
      </c>
      <c r="AY427" s="909">
        <v>65937.809199439725</v>
      </c>
      <c r="AZ427" s="917">
        <v>0</v>
      </c>
      <c r="BA427" s="917">
        <v>0</v>
      </c>
      <c r="BB427" s="909">
        <v>0.6</v>
      </c>
      <c r="BC427" s="919">
        <v>1</v>
      </c>
      <c r="BD427" s="920">
        <v>0</v>
      </c>
      <c r="BE427" s="920">
        <v>0</v>
      </c>
      <c r="BF427" s="921">
        <v>0</v>
      </c>
      <c r="BG427" s="909">
        <v>1</v>
      </c>
      <c r="BH427" s="909">
        <v>0</v>
      </c>
      <c r="BI427" s="921">
        <v>0</v>
      </c>
      <c r="BJ427" s="909">
        <v>1</v>
      </c>
      <c r="BK427" s="909">
        <v>0</v>
      </c>
      <c r="BL427" s="909">
        <v>0</v>
      </c>
      <c r="BM427" s="921">
        <v>0</v>
      </c>
      <c r="BN427" s="958">
        <v>0.08</v>
      </c>
      <c r="BO427" s="50">
        <v>12</v>
      </c>
      <c r="BP427">
        <f t="shared" ref="BP427:BP435" ca="1" si="534">INDIRECT("'"&amp;AI427&amp;"'!"&amp;"B2")</f>
        <v>150</v>
      </c>
      <c r="BQ427">
        <f t="shared" ref="BQ427:BQ435" ca="1" si="535">INDIRECT("'"&amp;AI427&amp;"'!"&amp;"C12")+INDIRECT("'"&amp;AI427&amp;"'!"&amp;"C13")+INDIRECT("'"&amp;AI427&amp;"'!"&amp;"C14")+INDIRECT("'"&amp;AI427&amp;"'!"&amp;"C15")+INDIRECT("'"&amp;AI427&amp;"'!"&amp;"C17")</f>
        <v>372.82075000000003</v>
      </c>
      <c r="BR427">
        <f t="shared" ref="BR427:BR435" ca="1" si="536">INDIRECT("'"&amp;AI427&amp;"'!"&amp;"G5")</f>
        <v>111</v>
      </c>
      <c r="BS427">
        <f t="shared" ref="BS427:BS435" ca="1" si="537">INDIRECT("'"&amp;AI427&amp;"'!"&amp;"G4")</f>
        <v>120</v>
      </c>
      <c r="BT427">
        <f t="shared" ref="BT427:BT435" ca="1" si="538">INDIRECT("'"&amp;AI427&amp;"'!"&amp;"G6")</f>
        <v>86.25</v>
      </c>
      <c r="BU427">
        <f t="shared" ref="BU427:BU435" ca="1" si="539">INDIRECT("'"&amp;AI427&amp;"'!"&amp;"G2")</f>
        <v>14.5</v>
      </c>
      <c r="BV427">
        <f t="shared" ref="BV427:BV435" ca="1" si="540">INDIRECT("'"&amp;AI427&amp;"'!"&amp;"G3")</f>
        <v>9.3000000000000007</v>
      </c>
      <c r="BW427" s="1018">
        <v>0</v>
      </c>
      <c r="BX427">
        <f t="shared" ca="1" si="516"/>
        <v>48.240044384169643</v>
      </c>
      <c r="BY427">
        <f t="shared" ca="1" si="517"/>
        <v>59.253840526700813</v>
      </c>
      <c r="BZ427">
        <f t="shared" ca="1" si="498"/>
        <v>11.881377551020408</v>
      </c>
      <c r="CA427">
        <f t="shared" ca="1" si="499"/>
        <v>28.999999988399999</v>
      </c>
      <c r="CB427">
        <f t="shared" ca="1" si="518"/>
        <v>19.522900763358777</v>
      </c>
      <c r="CC427" s="1018">
        <f t="shared" si="500"/>
        <v>0</v>
      </c>
      <c r="CD427" s="1018">
        <f ca="1">SUM(BX427:CC427)+(BR427+BS427+BT427+BU427+BV427)*BN427</f>
        <v>195.18216321364963</v>
      </c>
      <c r="CE427" s="1018">
        <f t="shared" ca="1" si="482"/>
        <v>124.22791065226887</v>
      </c>
      <c r="CF427">
        <f t="shared" ca="1" si="502"/>
        <v>9.5823022159775562</v>
      </c>
      <c r="CG427">
        <f t="shared" ca="1" si="503"/>
        <v>15954.149897513989</v>
      </c>
    </row>
    <row r="428" spans="3:85" x14ac:dyDescent="0.25">
      <c r="C428" s="594"/>
      <c r="D428" s="599"/>
      <c r="E428" s="593"/>
      <c r="F428" s="594"/>
      <c r="G428" s="593"/>
      <c r="H428" s="594"/>
      <c r="I428" s="593"/>
      <c r="J428" s="594"/>
      <c r="K428" s="597"/>
      <c r="L428" s="599"/>
      <c r="M428" s="594"/>
      <c r="N428" s="594"/>
      <c r="O428" s="594" t="s">
        <v>18</v>
      </c>
      <c r="P428" s="596">
        <v>0.962121212</v>
      </c>
      <c r="Q428" s="594" t="s">
        <v>7</v>
      </c>
      <c r="R428" s="596">
        <v>0.1893</v>
      </c>
      <c r="S428" s="594"/>
      <c r="T428" s="605">
        <v>0</v>
      </c>
      <c r="U428" s="593"/>
      <c r="V428" s="176">
        <f t="shared" si="472"/>
        <v>0</v>
      </c>
      <c r="W428" s="176">
        <f t="shared" ref="W428:W435" si="541">V428</f>
        <v>0</v>
      </c>
      <c r="X428" s="176">
        <f>W428-W428*Calculation_sheet!O$79</f>
        <v>0</v>
      </c>
      <c r="Y428" s="34">
        <f>X428/Calculation_sheet!M$67</f>
        <v>0</v>
      </c>
      <c r="Z428" s="176">
        <f ca="1">IF(AN428&gt;0,Y428*Calculation_sheet!C$87,0)</f>
        <v>0</v>
      </c>
      <c r="AA428" s="176">
        <f t="shared" ca="1" si="531"/>
        <v>0</v>
      </c>
      <c r="AB428" s="176">
        <f ca="1">IF(AP428&gt;0,AA428*Calculation_sheet!C$94,0)</f>
        <v>0</v>
      </c>
      <c r="AC428" s="176">
        <f t="shared" ca="1" si="532"/>
        <v>0</v>
      </c>
      <c r="AD428" s="958">
        <f ca="1">AC428*Calculation_sheet!C$99</f>
        <v>0</v>
      </c>
      <c r="AE428" s="176">
        <f t="shared" ca="1" si="532"/>
        <v>0</v>
      </c>
      <c r="AF428" s="176">
        <f t="shared" ca="1" si="533"/>
        <v>0</v>
      </c>
      <c r="AG428" s="958">
        <f ca="1">AF428*User_sheet!B$77/100</f>
        <v>0</v>
      </c>
      <c r="AH428" s="313"/>
      <c r="AI428" s="910">
        <v>204</v>
      </c>
      <c r="AJ428" s="313"/>
      <c r="AK428" s="1020">
        <f t="shared" ca="1" si="497"/>
        <v>195.18216321364963</v>
      </c>
      <c r="AL428" s="954">
        <f ca="1">AK428/'204'!I$24</f>
        <v>0.71247367480799273</v>
      </c>
      <c r="AM428" s="954">
        <f ca="1">0.8*(AK428*30+'204'!D$17*0.34*30*1)</f>
        <v>8269.4577171275923</v>
      </c>
      <c r="AN428" s="954">
        <f ca="1">IF(AM428&lt;User_sheet!B$50,Y428,0)</f>
        <v>0</v>
      </c>
      <c r="AO428" s="954">
        <f ca="1">20-(User_sheet!B$57/(AK428+'204'!D$17*1*0.34))</f>
        <v>3.4571982009580076</v>
      </c>
      <c r="AP428" s="954">
        <f ca="1">IF(AO428&lt;User_sheet!B$59,0,BC428*AA428)</f>
        <v>0</v>
      </c>
      <c r="AQ428" s="313"/>
      <c r="AR428" s="909">
        <v>0.47</v>
      </c>
      <c r="AS428" s="909">
        <v>0.54</v>
      </c>
      <c r="AT428" s="909">
        <v>0.45</v>
      </c>
      <c r="AU428" s="909">
        <v>2</v>
      </c>
      <c r="AV428" s="909">
        <v>3.3</v>
      </c>
      <c r="AW428" s="909">
        <v>12848.541887298286</v>
      </c>
      <c r="AX428" s="909">
        <v>75022.04959166942</v>
      </c>
      <c r="AY428" s="909">
        <v>65937.809199439725</v>
      </c>
      <c r="AZ428" s="917">
        <v>0</v>
      </c>
      <c r="BA428" s="917">
        <v>0</v>
      </c>
      <c r="BB428" s="909">
        <v>0.6</v>
      </c>
      <c r="BC428" s="919">
        <v>1</v>
      </c>
      <c r="BD428" s="920">
        <v>0</v>
      </c>
      <c r="BE428" s="920">
        <v>0</v>
      </c>
      <c r="BF428" s="921">
        <v>0</v>
      </c>
      <c r="BG428" s="909">
        <v>1</v>
      </c>
      <c r="BH428" s="909">
        <v>0</v>
      </c>
      <c r="BI428" s="921">
        <v>0</v>
      </c>
      <c r="BJ428" s="909">
        <v>0</v>
      </c>
      <c r="BK428" s="909">
        <v>0</v>
      </c>
      <c r="BL428" s="909">
        <v>1</v>
      </c>
      <c r="BM428" s="921">
        <v>0</v>
      </c>
      <c r="BN428" s="958">
        <v>0.08</v>
      </c>
      <c r="BO428" s="50">
        <v>12</v>
      </c>
      <c r="BP428">
        <f t="shared" ca="1" si="534"/>
        <v>150</v>
      </c>
      <c r="BQ428">
        <f t="shared" ca="1" si="535"/>
        <v>372.82075000000003</v>
      </c>
      <c r="BR428">
        <f t="shared" ca="1" si="536"/>
        <v>111</v>
      </c>
      <c r="BS428">
        <f t="shared" ca="1" si="537"/>
        <v>120</v>
      </c>
      <c r="BT428">
        <f t="shared" ca="1" si="538"/>
        <v>86.25</v>
      </c>
      <c r="BU428">
        <f t="shared" ca="1" si="539"/>
        <v>14.5</v>
      </c>
      <c r="BV428">
        <f t="shared" ca="1" si="540"/>
        <v>9.3000000000000007</v>
      </c>
      <c r="BW428" s="1018">
        <v>0</v>
      </c>
      <c r="BX428">
        <f t="shared" ca="1" si="516"/>
        <v>48.240044384169643</v>
      </c>
      <c r="BY428">
        <f t="shared" ca="1" si="517"/>
        <v>59.253840526700813</v>
      </c>
      <c r="BZ428">
        <f t="shared" ca="1" si="498"/>
        <v>11.881377551020408</v>
      </c>
      <c r="CA428">
        <f t="shared" ca="1" si="499"/>
        <v>28.999999988399999</v>
      </c>
      <c r="CB428">
        <f t="shared" ca="1" si="518"/>
        <v>19.522900763358777</v>
      </c>
      <c r="CC428" s="1018">
        <f t="shared" si="500"/>
        <v>0</v>
      </c>
      <c r="CD428" s="1018">
        <f t="shared" ref="CD428:CD435" ca="1" si="542">SUM(BX428:CC428)+(BR428+BS428+BT428+BU428+BV428)*BN428</f>
        <v>195.18216321364963</v>
      </c>
      <c r="CE428" s="1018">
        <f t="shared" ca="1" si="482"/>
        <v>124.22791065226887</v>
      </c>
      <c r="CF428">
        <f t="shared" ca="1" si="502"/>
        <v>9.5823022159775562</v>
      </c>
      <c r="CG428">
        <f t="shared" ca="1" si="503"/>
        <v>15954.149897513989</v>
      </c>
    </row>
    <row r="429" spans="3:85" x14ac:dyDescent="0.25">
      <c r="C429" s="594"/>
      <c r="D429" s="599"/>
      <c r="E429" s="593"/>
      <c r="F429" s="594"/>
      <c r="G429" s="593"/>
      <c r="H429" s="594"/>
      <c r="I429" s="593"/>
      <c r="J429" s="594"/>
      <c r="K429" s="597"/>
      <c r="L429" s="599"/>
      <c r="M429" s="594"/>
      <c r="N429" s="594"/>
      <c r="O429" s="594"/>
      <c r="P429" s="594"/>
      <c r="Q429" s="594" t="s">
        <v>16</v>
      </c>
      <c r="R429" s="596">
        <v>0.81069999999999998</v>
      </c>
      <c r="S429" s="594"/>
      <c r="T429" s="605">
        <v>0</v>
      </c>
      <c r="U429" s="593"/>
      <c r="V429" s="176">
        <f t="shared" si="472"/>
        <v>0</v>
      </c>
      <c r="W429" s="176">
        <f t="shared" si="541"/>
        <v>0</v>
      </c>
      <c r="X429" s="176">
        <f>W429-W429*Calculation_sheet!O$79</f>
        <v>0</v>
      </c>
      <c r="Y429" s="34">
        <f>X429/Calculation_sheet!M$67</f>
        <v>0</v>
      </c>
      <c r="Z429" s="176">
        <f ca="1">IF(AN429&gt;0,Y429*Calculation_sheet!C$87,0)</f>
        <v>0</v>
      </c>
      <c r="AA429" s="176">
        <f t="shared" ca="1" si="531"/>
        <v>0</v>
      </c>
      <c r="AB429" s="176">
        <f ca="1">IF(AP429&gt;0,AA429*Calculation_sheet!C$94,0)</f>
        <v>0</v>
      </c>
      <c r="AC429" s="176">
        <f t="shared" ca="1" si="532"/>
        <v>0</v>
      </c>
      <c r="AD429" s="958">
        <f ca="1">AC429*Calculation_sheet!C$99</f>
        <v>0</v>
      </c>
      <c r="AE429" s="176">
        <f t="shared" ca="1" si="532"/>
        <v>0</v>
      </c>
      <c r="AF429" s="176">
        <f t="shared" ca="1" si="533"/>
        <v>0</v>
      </c>
      <c r="AG429" s="958">
        <f ca="1">AF429*User_sheet!B$77/100</f>
        <v>0</v>
      </c>
      <c r="AH429" s="313"/>
      <c r="AI429" s="910">
        <v>204</v>
      </c>
      <c r="AJ429" s="313"/>
      <c r="AK429" s="1020">
        <f t="shared" ca="1" si="497"/>
        <v>195.18216321364963</v>
      </c>
      <c r="AL429" s="954">
        <f ca="1">AK429/'204'!I$24</f>
        <v>0.71247367480799273</v>
      </c>
      <c r="AM429" s="954">
        <f ca="1">0.8*(AK429*30+'204'!D$17*0.34*30*1)</f>
        <v>8269.4577171275923</v>
      </c>
      <c r="AN429" s="954">
        <f ca="1">IF(AM429&lt;User_sheet!B$50,Y429,0)</f>
        <v>0</v>
      </c>
      <c r="AO429" s="954">
        <f ca="1">20-(User_sheet!B$57/(AK429+'204'!D$17*1*0.34))</f>
        <v>3.4571982009580076</v>
      </c>
      <c r="AP429" s="954">
        <f ca="1">IF(AO429&lt;User_sheet!B$59,0,BC429*AA429)</f>
        <v>0</v>
      </c>
      <c r="AQ429" s="313"/>
      <c r="AR429" s="909">
        <v>0.47</v>
      </c>
      <c r="AS429" s="909">
        <v>0.54</v>
      </c>
      <c r="AT429" s="909">
        <v>0.45</v>
      </c>
      <c r="AU429" s="909">
        <v>2</v>
      </c>
      <c r="AV429" s="909">
        <v>3.3</v>
      </c>
      <c r="AW429" s="909">
        <v>12848.541887298286</v>
      </c>
      <c r="AX429" s="909">
        <v>75022.04959166942</v>
      </c>
      <c r="AY429" s="909">
        <v>65937.809199439725</v>
      </c>
      <c r="AZ429" s="917">
        <v>0</v>
      </c>
      <c r="BA429" s="917">
        <v>0</v>
      </c>
      <c r="BB429" s="909">
        <v>0.6</v>
      </c>
      <c r="BC429" s="919">
        <v>1</v>
      </c>
      <c r="BD429" s="920">
        <v>0</v>
      </c>
      <c r="BE429" s="920">
        <v>0</v>
      </c>
      <c r="BF429" s="921">
        <v>0</v>
      </c>
      <c r="BG429" s="909">
        <v>0</v>
      </c>
      <c r="BH429" s="909">
        <v>1</v>
      </c>
      <c r="BI429" s="921">
        <v>0</v>
      </c>
      <c r="BJ429" s="909">
        <v>1</v>
      </c>
      <c r="BK429" s="909">
        <v>0</v>
      </c>
      <c r="BL429" s="909">
        <v>0</v>
      </c>
      <c r="BM429" s="921">
        <v>0</v>
      </c>
      <c r="BN429" s="958">
        <v>0.08</v>
      </c>
      <c r="BO429" s="50">
        <v>12</v>
      </c>
      <c r="BP429">
        <f t="shared" ca="1" si="534"/>
        <v>150</v>
      </c>
      <c r="BQ429">
        <f t="shared" ca="1" si="535"/>
        <v>372.82075000000003</v>
      </c>
      <c r="BR429">
        <f t="shared" ca="1" si="536"/>
        <v>111</v>
      </c>
      <c r="BS429">
        <f t="shared" ca="1" si="537"/>
        <v>120</v>
      </c>
      <c r="BT429">
        <f t="shared" ca="1" si="538"/>
        <v>86.25</v>
      </c>
      <c r="BU429">
        <f t="shared" ca="1" si="539"/>
        <v>14.5</v>
      </c>
      <c r="BV429">
        <f t="shared" ca="1" si="540"/>
        <v>9.3000000000000007</v>
      </c>
      <c r="BW429" s="1018">
        <v>0</v>
      </c>
      <c r="BX429">
        <f t="shared" ca="1" si="516"/>
        <v>48.240044384169643</v>
      </c>
      <c r="BY429">
        <f t="shared" ca="1" si="517"/>
        <v>59.253840526700813</v>
      </c>
      <c r="BZ429">
        <f t="shared" ca="1" si="498"/>
        <v>11.881377551020408</v>
      </c>
      <c r="CA429">
        <f t="shared" ca="1" si="499"/>
        <v>28.999999988399999</v>
      </c>
      <c r="CB429">
        <f t="shared" ca="1" si="518"/>
        <v>19.522900763358777</v>
      </c>
      <c r="CC429" s="1018">
        <f t="shared" si="500"/>
        <v>0</v>
      </c>
      <c r="CD429" s="1018">
        <f t="shared" ca="1" si="542"/>
        <v>195.18216321364963</v>
      </c>
      <c r="CE429" s="1018">
        <f t="shared" ca="1" si="482"/>
        <v>124.22791065226887</v>
      </c>
      <c r="CF429">
        <f t="shared" ca="1" si="502"/>
        <v>9.5823022159775562</v>
      </c>
      <c r="CG429">
        <f t="shared" ca="1" si="503"/>
        <v>15954.149897513989</v>
      </c>
    </row>
    <row r="430" spans="3:85" x14ac:dyDescent="0.25">
      <c r="C430" s="594"/>
      <c r="D430" s="599"/>
      <c r="E430" s="593"/>
      <c r="F430" s="594"/>
      <c r="G430" s="593"/>
      <c r="H430" s="594"/>
      <c r="I430" s="593"/>
      <c r="J430" s="594"/>
      <c r="K430" s="597"/>
      <c r="L430" s="599"/>
      <c r="M430" s="594" t="s">
        <v>16</v>
      </c>
      <c r="N430" s="596">
        <v>0.5</v>
      </c>
      <c r="O430" s="594" t="s">
        <v>19</v>
      </c>
      <c r="P430" s="596">
        <v>3.7878787999999997E-2</v>
      </c>
      <c r="Q430" s="594" t="s">
        <v>7</v>
      </c>
      <c r="R430" s="596">
        <v>0.1893</v>
      </c>
      <c r="S430" s="594"/>
      <c r="T430" s="605">
        <v>0</v>
      </c>
      <c r="U430" s="593"/>
      <c r="V430" s="176">
        <f t="shared" si="472"/>
        <v>0</v>
      </c>
      <c r="W430" s="176">
        <f t="shared" si="541"/>
        <v>0</v>
      </c>
      <c r="X430" s="176">
        <f>W430-W430*Calculation_sheet!O$79</f>
        <v>0</v>
      </c>
      <c r="Y430" s="34">
        <f>X430/Calculation_sheet!M$67</f>
        <v>0</v>
      </c>
      <c r="Z430" s="176">
        <f ca="1">IF(AN430&gt;0,Y430*Calculation_sheet!C$87,0)</f>
        <v>0</v>
      </c>
      <c r="AA430" s="176">
        <f t="shared" ca="1" si="531"/>
        <v>0</v>
      </c>
      <c r="AB430" s="176">
        <f ca="1">IF(AP430&gt;0,AA430*Calculation_sheet!C$94,0)</f>
        <v>0</v>
      </c>
      <c r="AC430" s="176">
        <f t="shared" ca="1" si="532"/>
        <v>0</v>
      </c>
      <c r="AD430" s="958">
        <f ca="1">AC430*Calculation_sheet!C$99</f>
        <v>0</v>
      </c>
      <c r="AE430" s="176">
        <f t="shared" ca="1" si="532"/>
        <v>0</v>
      </c>
      <c r="AF430" s="176">
        <f t="shared" ca="1" si="533"/>
        <v>0</v>
      </c>
      <c r="AG430" s="958">
        <f ca="1">AF430*User_sheet!B$77/100</f>
        <v>0</v>
      </c>
      <c r="AH430" s="313"/>
      <c r="AI430" s="910">
        <v>204</v>
      </c>
      <c r="AJ430" s="313"/>
      <c r="AK430" s="1020">
        <f t="shared" ca="1" si="497"/>
        <v>195.18216321364963</v>
      </c>
      <c r="AL430" s="954">
        <f ca="1">AK430/'204'!I$24</f>
        <v>0.71247367480799273</v>
      </c>
      <c r="AM430" s="954">
        <f ca="1">0.8*(AK430*30+'204'!D$17*0.34*30*1)</f>
        <v>8269.4577171275923</v>
      </c>
      <c r="AN430" s="954">
        <f ca="1">IF(AM430&lt;User_sheet!B$50,Y430,0)</f>
        <v>0</v>
      </c>
      <c r="AO430" s="954">
        <f ca="1">20-(User_sheet!B$57/(AK430+'204'!D$17*1*0.34))</f>
        <v>3.4571982009580076</v>
      </c>
      <c r="AP430" s="954">
        <f ca="1">IF(AO430&lt;User_sheet!B$59,0,BC430*AA430)</f>
        <v>0</v>
      </c>
      <c r="AQ430" s="313"/>
      <c r="AR430" s="909">
        <v>0.47</v>
      </c>
      <c r="AS430" s="909">
        <v>0.54</v>
      </c>
      <c r="AT430" s="909">
        <v>0.45</v>
      </c>
      <c r="AU430" s="909">
        <v>2</v>
      </c>
      <c r="AV430" s="909">
        <v>3.3</v>
      </c>
      <c r="AW430" s="909">
        <v>12848.541887298286</v>
      </c>
      <c r="AX430" s="909">
        <v>75022.04959166942</v>
      </c>
      <c r="AY430" s="909">
        <v>65937.809199439725</v>
      </c>
      <c r="AZ430" s="917">
        <v>0</v>
      </c>
      <c r="BA430" s="917">
        <v>0</v>
      </c>
      <c r="BB430" s="909">
        <v>0.6</v>
      </c>
      <c r="BC430" s="919">
        <v>1</v>
      </c>
      <c r="BD430" s="920">
        <v>0</v>
      </c>
      <c r="BE430" s="920">
        <v>0</v>
      </c>
      <c r="BF430" s="921">
        <v>0</v>
      </c>
      <c r="BG430" s="909">
        <v>0</v>
      </c>
      <c r="BH430" s="909">
        <v>1</v>
      </c>
      <c r="BI430" s="921">
        <v>0</v>
      </c>
      <c r="BJ430" s="909">
        <v>0</v>
      </c>
      <c r="BK430" s="909">
        <v>0</v>
      </c>
      <c r="BL430" s="909">
        <v>1</v>
      </c>
      <c r="BM430" s="921">
        <v>0</v>
      </c>
      <c r="BN430" s="958">
        <v>0.08</v>
      </c>
      <c r="BO430" s="50">
        <v>12</v>
      </c>
      <c r="BP430">
        <f t="shared" ca="1" si="534"/>
        <v>150</v>
      </c>
      <c r="BQ430">
        <f t="shared" ca="1" si="535"/>
        <v>372.82075000000003</v>
      </c>
      <c r="BR430">
        <f t="shared" ca="1" si="536"/>
        <v>111</v>
      </c>
      <c r="BS430">
        <f t="shared" ca="1" si="537"/>
        <v>120</v>
      </c>
      <c r="BT430">
        <f t="shared" ca="1" si="538"/>
        <v>86.25</v>
      </c>
      <c r="BU430">
        <f t="shared" ca="1" si="539"/>
        <v>14.5</v>
      </c>
      <c r="BV430">
        <f t="shared" ca="1" si="540"/>
        <v>9.3000000000000007</v>
      </c>
      <c r="BW430" s="1018">
        <v>0</v>
      </c>
      <c r="BX430">
        <f t="shared" ca="1" si="516"/>
        <v>48.240044384169643</v>
      </c>
      <c r="BY430">
        <f t="shared" ca="1" si="517"/>
        <v>59.253840526700813</v>
      </c>
      <c r="BZ430">
        <f t="shared" ca="1" si="498"/>
        <v>11.881377551020408</v>
      </c>
      <c r="CA430">
        <f t="shared" ca="1" si="499"/>
        <v>28.999999988399999</v>
      </c>
      <c r="CB430">
        <f t="shared" ca="1" si="518"/>
        <v>19.522900763358777</v>
      </c>
      <c r="CC430" s="1018">
        <f t="shared" si="500"/>
        <v>0</v>
      </c>
      <c r="CD430" s="1018">
        <f t="shared" ca="1" si="542"/>
        <v>195.18216321364963</v>
      </c>
      <c r="CE430" s="1018">
        <f t="shared" ca="1" si="482"/>
        <v>124.22791065226887</v>
      </c>
      <c r="CF430">
        <f t="shared" ca="1" si="502"/>
        <v>9.5823022159775562</v>
      </c>
      <c r="CG430">
        <f t="shared" ca="1" si="503"/>
        <v>15954.149897513989</v>
      </c>
    </row>
    <row r="431" spans="3:85" x14ac:dyDescent="0.25">
      <c r="C431" s="594"/>
      <c r="D431" s="599"/>
      <c r="E431" s="593"/>
      <c r="F431" s="594"/>
      <c r="G431" s="593"/>
      <c r="H431" s="594"/>
      <c r="I431" s="593"/>
      <c r="J431" s="594"/>
      <c r="K431" s="597"/>
      <c r="L431" s="599"/>
      <c r="M431" s="594"/>
      <c r="N431" s="594"/>
      <c r="O431" s="594"/>
      <c r="P431" s="594"/>
      <c r="Q431" s="594" t="s">
        <v>22</v>
      </c>
      <c r="R431" s="596">
        <v>0.81</v>
      </c>
      <c r="S431" s="594"/>
      <c r="T431" s="605">
        <v>0</v>
      </c>
      <c r="U431" s="593"/>
      <c r="V431" s="176">
        <f t="shared" si="472"/>
        <v>0</v>
      </c>
      <c r="W431" s="176">
        <f t="shared" si="541"/>
        <v>0</v>
      </c>
      <c r="X431" s="176">
        <f>W431-W431*Calculation_sheet!O$79</f>
        <v>0</v>
      </c>
      <c r="Y431" s="34">
        <f>X431/Calculation_sheet!M$67</f>
        <v>0</v>
      </c>
      <c r="Z431" s="176">
        <f ca="1">IF(AN431&gt;0,Y431*Calculation_sheet!C$87,0)</f>
        <v>0</v>
      </c>
      <c r="AA431" s="176">
        <f t="shared" ca="1" si="531"/>
        <v>0</v>
      </c>
      <c r="AB431" s="176">
        <f ca="1">IF(AP431&gt;0,AA431*Calculation_sheet!C$94,0)</f>
        <v>0</v>
      </c>
      <c r="AC431" s="176">
        <f t="shared" ca="1" si="532"/>
        <v>0</v>
      </c>
      <c r="AD431" s="958">
        <f ca="1">AC431*Calculation_sheet!C$99</f>
        <v>0</v>
      </c>
      <c r="AE431" s="176">
        <f t="shared" ca="1" si="532"/>
        <v>0</v>
      </c>
      <c r="AF431" s="176">
        <f t="shared" ca="1" si="533"/>
        <v>0</v>
      </c>
      <c r="AG431" s="958">
        <f ca="1">AF431*User_sheet!B$77/100</f>
        <v>0</v>
      </c>
      <c r="AH431" s="313"/>
      <c r="AI431" s="910">
        <v>204</v>
      </c>
      <c r="AJ431" s="313"/>
      <c r="AK431" s="1020">
        <f t="shared" ca="1" si="497"/>
        <v>195.18216321364963</v>
      </c>
      <c r="AL431" s="954">
        <f ca="1">AK431/'204'!I$24</f>
        <v>0.71247367480799273</v>
      </c>
      <c r="AM431" s="954">
        <f ca="1">0.8*(AK431*30+'204'!D$17*0.34*30*1)</f>
        <v>8269.4577171275923</v>
      </c>
      <c r="AN431" s="954">
        <f ca="1">IF(AM431&lt;User_sheet!B$50,Y431,0)</f>
        <v>0</v>
      </c>
      <c r="AO431" s="954">
        <f ca="1">20-(User_sheet!B$57/(AK431+'204'!D$17*1*0.34))</f>
        <v>3.4571982009580076</v>
      </c>
      <c r="AP431" s="954">
        <f ca="1">IF(AO431&lt;User_sheet!B$59,0,BC431*AA431)</f>
        <v>0</v>
      </c>
      <c r="AQ431" s="313"/>
      <c r="AR431" s="909">
        <v>0.47</v>
      </c>
      <c r="AS431" s="909">
        <v>0.54</v>
      </c>
      <c r="AT431" s="909">
        <v>0.45</v>
      </c>
      <c r="AU431" s="909">
        <v>2</v>
      </c>
      <c r="AV431" s="909">
        <v>3.3</v>
      </c>
      <c r="AW431" s="909">
        <v>12848.541887298286</v>
      </c>
      <c r="AX431" s="909">
        <v>75022.04959166942</v>
      </c>
      <c r="AY431" s="909">
        <v>65937.809199439725</v>
      </c>
      <c r="AZ431" s="917">
        <v>0</v>
      </c>
      <c r="BA431" s="917">
        <v>0</v>
      </c>
      <c r="BB431" s="909">
        <v>0.6</v>
      </c>
      <c r="BC431" s="919">
        <v>0</v>
      </c>
      <c r="BD431" s="920">
        <v>1</v>
      </c>
      <c r="BE431" s="920">
        <v>0</v>
      </c>
      <c r="BF431" s="921">
        <v>0</v>
      </c>
      <c r="BG431" s="909">
        <v>1</v>
      </c>
      <c r="BH431" s="909">
        <v>0</v>
      </c>
      <c r="BI431" s="921">
        <v>0</v>
      </c>
      <c r="BJ431" s="909">
        <v>0</v>
      </c>
      <c r="BK431" s="909">
        <v>1</v>
      </c>
      <c r="BL431" s="909">
        <v>0</v>
      </c>
      <c r="BM431" s="921">
        <v>0</v>
      </c>
      <c r="BN431" s="958">
        <v>0.08</v>
      </c>
      <c r="BO431" s="50">
        <v>12</v>
      </c>
      <c r="BP431">
        <f t="shared" ca="1" si="534"/>
        <v>150</v>
      </c>
      <c r="BQ431">
        <f t="shared" ca="1" si="535"/>
        <v>372.82075000000003</v>
      </c>
      <c r="BR431">
        <f t="shared" ca="1" si="536"/>
        <v>111</v>
      </c>
      <c r="BS431">
        <f t="shared" ca="1" si="537"/>
        <v>120</v>
      </c>
      <c r="BT431">
        <f t="shared" ca="1" si="538"/>
        <v>86.25</v>
      </c>
      <c r="BU431">
        <f t="shared" ca="1" si="539"/>
        <v>14.5</v>
      </c>
      <c r="BV431">
        <f t="shared" ca="1" si="540"/>
        <v>9.3000000000000007</v>
      </c>
      <c r="BW431" s="1018">
        <v>0</v>
      </c>
      <c r="BX431">
        <f t="shared" ca="1" si="516"/>
        <v>48.240044384169643</v>
      </c>
      <c r="BY431">
        <f t="shared" ca="1" si="517"/>
        <v>59.253840526700813</v>
      </c>
      <c r="BZ431">
        <f t="shared" ca="1" si="498"/>
        <v>11.881377551020408</v>
      </c>
      <c r="CA431">
        <f t="shared" ca="1" si="499"/>
        <v>28.999999988399999</v>
      </c>
      <c r="CB431">
        <f t="shared" ca="1" si="518"/>
        <v>19.522900763358777</v>
      </c>
      <c r="CC431" s="1018">
        <f t="shared" si="500"/>
        <v>0</v>
      </c>
      <c r="CD431" s="1018">
        <f t="shared" ca="1" si="542"/>
        <v>195.18216321364963</v>
      </c>
      <c r="CE431" s="1018">
        <f t="shared" ca="1" si="482"/>
        <v>124.22791065226887</v>
      </c>
      <c r="CF431">
        <f t="shared" ca="1" si="502"/>
        <v>9.5823022159775562</v>
      </c>
      <c r="CG431">
        <f t="shared" ca="1" si="503"/>
        <v>15954.149897513989</v>
      </c>
    </row>
    <row r="432" spans="3:85" x14ac:dyDescent="0.25">
      <c r="C432" s="594"/>
      <c r="D432" s="599"/>
      <c r="E432" s="593"/>
      <c r="F432" s="594"/>
      <c r="G432" s="593"/>
      <c r="H432" s="594"/>
      <c r="I432" s="593"/>
      <c r="J432" s="594"/>
      <c r="K432" s="597"/>
      <c r="L432" s="599"/>
      <c r="M432" s="594"/>
      <c r="N432" s="594"/>
      <c r="O432" s="594" t="s">
        <v>18</v>
      </c>
      <c r="P432" s="596">
        <v>0.96078431399999997</v>
      </c>
      <c r="Q432" s="594" t="s">
        <v>7</v>
      </c>
      <c r="R432" s="596">
        <v>0.19</v>
      </c>
      <c r="S432" s="594"/>
      <c r="T432" s="605">
        <v>0</v>
      </c>
      <c r="U432" s="593"/>
      <c r="V432" s="176">
        <f t="shared" si="472"/>
        <v>0</v>
      </c>
      <c r="W432" s="176">
        <f t="shared" si="541"/>
        <v>0</v>
      </c>
      <c r="X432" s="176">
        <f>W432-W432*Calculation_sheet!O$79</f>
        <v>0</v>
      </c>
      <c r="Y432" s="34">
        <f>X432/Calculation_sheet!M$67</f>
        <v>0</v>
      </c>
      <c r="Z432" s="176">
        <f ca="1">IF(AN432&gt;0,Y432*Calculation_sheet!C$87,0)</f>
        <v>0</v>
      </c>
      <c r="AA432" s="176">
        <f t="shared" ca="1" si="531"/>
        <v>0</v>
      </c>
      <c r="AB432" s="176">
        <f ca="1">IF(AP432&gt;0,AA432*Calculation_sheet!C$94,0)</f>
        <v>0</v>
      </c>
      <c r="AC432" s="176">
        <f t="shared" ca="1" si="532"/>
        <v>0</v>
      </c>
      <c r="AD432" s="958">
        <f ca="1">AC432*Calculation_sheet!C$99</f>
        <v>0</v>
      </c>
      <c r="AE432" s="176">
        <f t="shared" ca="1" si="532"/>
        <v>0</v>
      </c>
      <c r="AF432" s="176">
        <f t="shared" ca="1" si="533"/>
        <v>0</v>
      </c>
      <c r="AG432" s="958">
        <f ca="1">AF432*User_sheet!B$77/100</f>
        <v>0</v>
      </c>
      <c r="AH432" s="313"/>
      <c r="AI432" s="910">
        <v>204</v>
      </c>
      <c r="AJ432" s="313"/>
      <c r="AK432" s="1020">
        <f t="shared" ca="1" si="497"/>
        <v>195.18216321364963</v>
      </c>
      <c r="AL432" s="954">
        <f ca="1">AK432/'204'!I$24</f>
        <v>0.71247367480799273</v>
      </c>
      <c r="AM432" s="954">
        <f ca="1">0.8*(AK432*30+'204'!D$17*0.34*30*1)</f>
        <v>8269.4577171275923</v>
      </c>
      <c r="AN432" s="954">
        <f ca="1">IF(AM432&lt;User_sheet!B$50,Y432,0)</f>
        <v>0</v>
      </c>
      <c r="AO432" s="954">
        <f ca="1">20-(User_sheet!B$57/(AK432+'204'!D$17*1*0.34))</f>
        <v>3.4571982009580076</v>
      </c>
      <c r="AP432" s="954">
        <f ca="1">IF(AO432&lt;User_sheet!B$59,0,BC432*AA432)</f>
        <v>0</v>
      </c>
      <c r="AQ432" s="313"/>
      <c r="AR432" s="909">
        <v>0.47</v>
      </c>
      <c r="AS432" s="909">
        <v>0.54</v>
      </c>
      <c r="AT432" s="909">
        <v>0.45</v>
      </c>
      <c r="AU432" s="909">
        <v>2</v>
      </c>
      <c r="AV432" s="909">
        <v>3.3</v>
      </c>
      <c r="AW432" s="909">
        <v>12848.541887298286</v>
      </c>
      <c r="AX432" s="909">
        <v>75022.04959166942</v>
      </c>
      <c r="AY432" s="909">
        <v>65937.809199439725</v>
      </c>
      <c r="AZ432" s="917">
        <v>0</v>
      </c>
      <c r="BA432" s="917">
        <v>0</v>
      </c>
      <c r="BB432" s="909">
        <v>0.6</v>
      </c>
      <c r="BC432" s="919">
        <v>0</v>
      </c>
      <c r="BD432" s="920">
        <v>1</v>
      </c>
      <c r="BE432" s="920">
        <v>0</v>
      </c>
      <c r="BF432" s="921">
        <v>0</v>
      </c>
      <c r="BG432" s="909">
        <v>1</v>
      </c>
      <c r="BH432" s="909">
        <v>0</v>
      </c>
      <c r="BI432" s="921">
        <v>0</v>
      </c>
      <c r="BJ432" s="909">
        <v>0</v>
      </c>
      <c r="BK432" s="909">
        <v>0</v>
      </c>
      <c r="BL432" s="909">
        <v>1</v>
      </c>
      <c r="BM432" s="921">
        <v>0</v>
      </c>
      <c r="BN432" s="958">
        <v>0.08</v>
      </c>
      <c r="BO432" s="50">
        <v>12</v>
      </c>
      <c r="BP432">
        <f t="shared" ca="1" si="534"/>
        <v>150</v>
      </c>
      <c r="BQ432">
        <f t="shared" ca="1" si="535"/>
        <v>372.82075000000003</v>
      </c>
      <c r="BR432">
        <f t="shared" ca="1" si="536"/>
        <v>111</v>
      </c>
      <c r="BS432">
        <f t="shared" ca="1" si="537"/>
        <v>120</v>
      </c>
      <c r="BT432">
        <f t="shared" ca="1" si="538"/>
        <v>86.25</v>
      </c>
      <c r="BU432">
        <f t="shared" ca="1" si="539"/>
        <v>14.5</v>
      </c>
      <c r="BV432">
        <f t="shared" ca="1" si="540"/>
        <v>9.3000000000000007</v>
      </c>
      <c r="BW432" s="1018">
        <v>0</v>
      </c>
      <c r="BX432">
        <f t="shared" ca="1" si="516"/>
        <v>48.240044384169643</v>
      </c>
      <c r="BY432">
        <f t="shared" ca="1" si="517"/>
        <v>59.253840526700813</v>
      </c>
      <c r="BZ432">
        <f t="shared" ca="1" si="498"/>
        <v>11.881377551020408</v>
      </c>
      <c r="CA432">
        <f t="shared" ca="1" si="499"/>
        <v>28.999999988399999</v>
      </c>
      <c r="CB432">
        <f t="shared" ca="1" si="518"/>
        <v>19.522900763358777</v>
      </c>
      <c r="CC432" s="1018">
        <f t="shared" si="500"/>
        <v>0</v>
      </c>
      <c r="CD432" s="1018">
        <f t="shared" ca="1" si="542"/>
        <v>195.18216321364963</v>
      </c>
      <c r="CE432" s="1018">
        <f t="shared" ca="1" si="482"/>
        <v>124.22791065226887</v>
      </c>
      <c r="CF432">
        <f t="shared" ca="1" si="502"/>
        <v>9.5823022159775562</v>
      </c>
      <c r="CG432">
        <f t="shared" ca="1" si="503"/>
        <v>15954.149897513989</v>
      </c>
    </row>
    <row r="433" spans="3:85" x14ac:dyDescent="0.25">
      <c r="C433" s="594"/>
      <c r="D433" s="594"/>
      <c r="E433" s="593"/>
      <c r="F433" s="594"/>
      <c r="G433" s="593" t="s">
        <v>9</v>
      </c>
      <c r="H433" s="598">
        <v>0.71429999999999993</v>
      </c>
      <c r="I433" s="593"/>
      <c r="J433" s="594"/>
      <c r="K433" s="593"/>
      <c r="L433" s="593"/>
      <c r="M433" s="594"/>
      <c r="N433" s="594"/>
      <c r="O433" s="594"/>
      <c r="P433" s="594"/>
      <c r="Q433" s="594" t="s">
        <v>22</v>
      </c>
      <c r="R433" s="596">
        <v>0.81</v>
      </c>
      <c r="S433" s="594"/>
      <c r="T433" s="605">
        <v>0</v>
      </c>
      <c r="U433" s="593"/>
      <c r="V433" s="176">
        <f t="shared" si="472"/>
        <v>0</v>
      </c>
      <c r="W433" s="176">
        <f t="shared" si="541"/>
        <v>0</v>
      </c>
      <c r="X433" s="176">
        <f>W433-W433*Calculation_sheet!O$79</f>
        <v>0</v>
      </c>
      <c r="Y433" s="34">
        <f>X433/Calculation_sheet!M$67</f>
        <v>0</v>
      </c>
      <c r="Z433" s="176">
        <f ca="1">IF(AN433&gt;0,Y433*Calculation_sheet!C$87,0)</f>
        <v>0</v>
      </c>
      <c r="AA433" s="176">
        <f t="shared" ca="1" si="531"/>
        <v>0</v>
      </c>
      <c r="AB433" s="176">
        <f ca="1">IF(AP433&gt;0,AA433*Calculation_sheet!C$94,0)</f>
        <v>0</v>
      </c>
      <c r="AC433" s="176">
        <f t="shared" ca="1" si="532"/>
        <v>0</v>
      </c>
      <c r="AD433" s="958">
        <f ca="1">AC433*Calculation_sheet!C$99</f>
        <v>0</v>
      </c>
      <c r="AE433" s="176">
        <f t="shared" ca="1" si="532"/>
        <v>0</v>
      </c>
      <c r="AF433" s="176">
        <f t="shared" ca="1" si="533"/>
        <v>0</v>
      </c>
      <c r="AG433" s="958">
        <f ca="1">AF433*User_sheet!B$77/100</f>
        <v>0</v>
      </c>
      <c r="AH433" s="313"/>
      <c r="AI433" s="910">
        <v>204</v>
      </c>
      <c r="AJ433" s="313"/>
      <c r="AK433" s="1020">
        <f t="shared" ca="1" si="497"/>
        <v>195.18216321364963</v>
      </c>
      <c r="AL433" s="954">
        <f ca="1">AK433/'204'!I$24</f>
        <v>0.71247367480799273</v>
      </c>
      <c r="AM433" s="954">
        <f ca="1">0.8*(AK433*30+'204'!D$17*0.34*30*1)</f>
        <v>8269.4577171275923</v>
      </c>
      <c r="AN433" s="954">
        <f ca="1">IF(AM433&lt;User_sheet!B$50,Y433,0)</f>
        <v>0</v>
      </c>
      <c r="AO433" s="954">
        <f ca="1">20-(User_sheet!B$57/(AK433+'204'!D$17*1*0.34))</f>
        <v>3.4571982009580076</v>
      </c>
      <c r="AP433" s="954">
        <f ca="1">IF(AO433&lt;User_sheet!B$59,0,BC433*AA433)</f>
        <v>0</v>
      </c>
      <c r="AQ433" s="313"/>
      <c r="AR433" s="909">
        <v>0.47</v>
      </c>
      <c r="AS433" s="909">
        <v>0.54</v>
      </c>
      <c r="AT433" s="909">
        <v>0.45</v>
      </c>
      <c r="AU433" s="909">
        <v>2</v>
      </c>
      <c r="AV433" s="909">
        <v>3.3</v>
      </c>
      <c r="AW433" s="909">
        <v>12848.541887298286</v>
      </c>
      <c r="AX433" s="909">
        <v>75022.04959166942</v>
      </c>
      <c r="AY433" s="909">
        <v>65937.809199439725</v>
      </c>
      <c r="AZ433" s="917">
        <v>0</v>
      </c>
      <c r="BA433" s="917">
        <v>0</v>
      </c>
      <c r="BB433" s="909">
        <v>0.6</v>
      </c>
      <c r="BC433" s="919">
        <v>0</v>
      </c>
      <c r="BD433" s="920">
        <v>1</v>
      </c>
      <c r="BE433" s="920">
        <v>0</v>
      </c>
      <c r="BF433" s="921">
        <v>0</v>
      </c>
      <c r="BG433" s="909">
        <v>0</v>
      </c>
      <c r="BH433" s="909">
        <v>1</v>
      </c>
      <c r="BI433" s="921">
        <v>0</v>
      </c>
      <c r="BJ433" s="909">
        <v>0</v>
      </c>
      <c r="BK433" s="909">
        <v>1</v>
      </c>
      <c r="BL433" s="909">
        <v>0</v>
      </c>
      <c r="BM433" s="921">
        <v>0</v>
      </c>
      <c r="BN433" s="958">
        <v>0.08</v>
      </c>
      <c r="BO433" s="50">
        <v>12</v>
      </c>
      <c r="BP433">
        <f t="shared" ca="1" si="534"/>
        <v>150</v>
      </c>
      <c r="BQ433">
        <f t="shared" ca="1" si="535"/>
        <v>372.82075000000003</v>
      </c>
      <c r="BR433">
        <f t="shared" ca="1" si="536"/>
        <v>111</v>
      </c>
      <c r="BS433">
        <f t="shared" ca="1" si="537"/>
        <v>120</v>
      </c>
      <c r="BT433">
        <f t="shared" ca="1" si="538"/>
        <v>86.25</v>
      </c>
      <c r="BU433">
        <f t="shared" ca="1" si="539"/>
        <v>14.5</v>
      </c>
      <c r="BV433">
        <f t="shared" ca="1" si="540"/>
        <v>9.3000000000000007</v>
      </c>
      <c r="BW433" s="1018">
        <v>0</v>
      </c>
      <c r="BX433">
        <f t="shared" ca="1" si="516"/>
        <v>48.240044384169643</v>
      </c>
      <c r="BY433">
        <f t="shared" ca="1" si="517"/>
        <v>59.253840526700813</v>
      </c>
      <c r="BZ433">
        <f t="shared" ca="1" si="498"/>
        <v>11.881377551020408</v>
      </c>
      <c r="CA433">
        <f t="shared" ca="1" si="499"/>
        <v>28.999999988399999</v>
      </c>
      <c r="CB433">
        <f t="shared" ca="1" si="518"/>
        <v>19.522900763358777</v>
      </c>
      <c r="CC433" s="1018">
        <f t="shared" si="500"/>
        <v>0</v>
      </c>
      <c r="CD433" s="1018">
        <f t="shared" ca="1" si="542"/>
        <v>195.18216321364963</v>
      </c>
      <c r="CE433" s="1018">
        <f t="shared" ca="1" si="482"/>
        <v>124.22791065226887</v>
      </c>
      <c r="CF433">
        <f t="shared" ca="1" si="502"/>
        <v>9.5823022159775562</v>
      </c>
      <c r="CG433">
        <f t="shared" ca="1" si="503"/>
        <v>15954.149897513989</v>
      </c>
    </row>
    <row r="434" spans="3:85" x14ac:dyDescent="0.25">
      <c r="C434" s="594"/>
      <c r="D434" s="594"/>
      <c r="E434" s="593"/>
      <c r="F434" s="594"/>
      <c r="G434" s="593"/>
      <c r="H434" s="594"/>
      <c r="I434" s="593"/>
      <c r="J434" s="594"/>
      <c r="K434" s="597"/>
      <c r="L434" s="599"/>
      <c r="M434" s="594" t="s">
        <v>22</v>
      </c>
      <c r="N434" s="596">
        <v>0.375</v>
      </c>
      <c r="O434" s="594" t="s">
        <v>20</v>
      </c>
      <c r="P434" s="596">
        <v>3.9215686E-2</v>
      </c>
      <c r="Q434" s="594" t="s">
        <v>7</v>
      </c>
      <c r="R434" s="596">
        <v>0.19</v>
      </c>
      <c r="S434" s="594"/>
      <c r="T434" s="605">
        <v>0</v>
      </c>
      <c r="U434" s="593"/>
      <c r="V434" s="176">
        <f t="shared" si="472"/>
        <v>0</v>
      </c>
      <c r="W434" s="176">
        <f t="shared" si="541"/>
        <v>0</v>
      </c>
      <c r="X434" s="176">
        <f>W434-W434*Calculation_sheet!O$79</f>
        <v>0</v>
      </c>
      <c r="Y434" s="34">
        <f>X434/Calculation_sheet!M$67</f>
        <v>0</v>
      </c>
      <c r="Z434" s="176">
        <f ca="1">IF(AN434&gt;0,Y434*Calculation_sheet!C$87,0)</f>
        <v>0</v>
      </c>
      <c r="AA434" s="176">
        <f t="shared" ca="1" si="531"/>
        <v>0</v>
      </c>
      <c r="AB434" s="176">
        <f ca="1">IF(AP434&gt;0,AA434*Calculation_sheet!C$94,0)</f>
        <v>0</v>
      </c>
      <c r="AC434" s="176">
        <f t="shared" ca="1" si="532"/>
        <v>0</v>
      </c>
      <c r="AD434" s="958">
        <f ca="1">AC434*Calculation_sheet!C$99</f>
        <v>0</v>
      </c>
      <c r="AE434" s="176">
        <f t="shared" ca="1" si="532"/>
        <v>0</v>
      </c>
      <c r="AF434" s="176">
        <f t="shared" ca="1" si="533"/>
        <v>0</v>
      </c>
      <c r="AG434" s="958">
        <f ca="1">AF434*User_sheet!B$77/100</f>
        <v>0</v>
      </c>
      <c r="AH434" s="313"/>
      <c r="AI434" s="910">
        <v>204</v>
      </c>
      <c r="AJ434" s="313"/>
      <c r="AK434" s="1020">
        <f t="shared" ca="1" si="497"/>
        <v>195.18216321364963</v>
      </c>
      <c r="AL434" s="954">
        <f ca="1">AK434/'204'!I$24</f>
        <v>0.71247367480799273</v>
      </c>
      <c r="AM434" s="954">
        <f ca="1">0.8*(AK434*30+'204'!D$17*0.34*30*1)</f>
        <v>8269.4577171275923</v>
      </c>
      <c r="AN434" s="954">
        <f ca="1">IF(AM434&lt;User_sheet!B$50,Y434,0)</f>
        <v>0</v>
      </c>
      <c r="AO434" s="954">
        <f ca="1">20-(User_sheet!B$57/(AK434+'204'!D$17*1*0.34))</f>
        <v>3.4571982009580076</v>
      </c>
      <c r="AP434" s="954">
        <f ca="1">IF(AO434&lt;User_sheet!B$59,0,BC434*AA434)</f>
        <v>0</v>
      </c>
      <c r="AQ434" s="313"/>
      <c r="AR434" s="909">
        <v>0.47</v>
      </c>
      <c r="AS434" s="909">
        <v>0.54</v>
      </c>
      <c r="AT434" s="909">
        <v>0.45</v>
      </c>
      <c r="AU434" s="909">
        <v>2</v>
      </c>
      <c r="AV434" s="909">
        <v>3.3</v>
      </c>
      <c r="AW434" s="909">
        <v>12848.541887298286</v>
      </c>
      <c r="AX434" s="909">
        <v>75022.04959166942</v>
      </c>
      <c r="AY434" s="909">
        <v>65937.809199439725</v>
      </c>
      <c r="AZ434" s="917">
        <v>0</v>
      </c>
      <c r="BA434" s="917">
        <v>0</v>
      </c>
      <c r="BB434" s="909">
        <v>0.6</v>
      </c>
      <c r="BC434" s="919">
        <v>0</v>
      </c>
      <c r="BD434" s="920">
        <v>1</v>
      </c>
      <c r="BE434" s="920">
        <v>0</v>
      </c>
      <c r="BF434" s="921">
        <v>0</v>
      </c>
      <c r="BG434" s="909">
        <v>0</v>
      </c>
      <c r="BH434" s="909">
        <v>1</v>
      </c>
      <c r="BI434" s="921">
        <v>0</v>
      </c>
      <c r="BJ434" s="909">
        <v>0</v>
      </c>
      <c r="BK434" s="909">
        <v>0</v>
      </c>
      <c r="BL434" s="909">
        <v>1</v>
      </c>
      <c r="BM434" s="921">
        <v>0</v>
      </c>
      <c r="BN434" s="958">
        <v>0.08</v>
      </c>
      <c r="BO434" s="50">
        <v>12</v>
      </c>
      <c r="BP434">
        <f t="shared" ca="1" si="534"/>
        <v>150</v>
      </c>
      <c r="BQ434">
        <f t="shared" ca="1" si="535"/>
        <v>372.82075000000003</v>
      </c>
      <c r="BR434">
        <f t="shared" ca="1" si="536"/>
        <v>111</v>
      </c>
      <c r="BS434">
        <f t="shared" ca="1" si="537"/>
        <v>120</v>
      </c>
      <c r="BT434">
        <f t="shared" ca="1" si="538"/>
        <v>86.25</v>
      </c>
      <c r="BU434">
        <f t="shared" ca="1" si="539"/>
        <v>14.5</v>
      </c>
      <c r="BV434">
        <f t="shared" ca="1" si="540"/>
        <v>9.3000000000000007</v>
      </c>
      <c r="BW434" s="1018">
        <v>0</v>
      </c>
      <c r="BX434">
        <f t="shared" ca="1" si="516"/>
        <v>48.240044384169643</v>
      </c>
      <c r="BY434">
        <f t="shared" ca="1" si="517"/>
        <v>59.253840526700813</v>
      </c>
      <c r="BZ434">
        <f t="shared" ca="1" si="498"/>
        <v>11.881377551020408</v>
      </c>
      <c r="CA434">
        <f t="shared" ca="1" si="499"/>
        <v>28.999999988399999</v>
      </c>
      <c r="CB434">
        <f t="shared" ca="1" si="518"/>
        <v>19.522900763358777</v>
      </c>
      <c r="CC434" s="1018">
        <f t="shared" si="500"/>
        <v>0</v>
      </c>
      <c r="CD434" s="1018">
        <f t="shared" ca="1" si="542"/>
        <v>195.18216321364963</v>
      </c>
      <c r="CE434" s="1018">
        <f t="shared" ca="1" si="482"/>
        <v>124.22791065226887</v>
      </c>
      <c r="CF434">
        <f t="shared" ca="1" si="502"/>
        <v>9.5823022159775562</v>
      </c>
      <c r="CG434">
        <f t="shared" ca="1" si="503"/>
        <v>15954.149897513989</v>
      </c>
    </row>
    <row r="435" spans="3:85" x14ac:dyDescent="0.25">
      <c r="C435" s="593"/>
      <c r="D435" s="594"/>
      <c r="E435" s="593" t="s">
        <v>8</v>
      </c>
      <c r="F435" s="598">
        <v>0.13</v>
      </c>
      <c r="G435" s="593"/>
      <c r="H435" s="594"/>
      <c r="I435" s="593"/>
      <c r="J435" s="594"/>
      <c r="K435" s="593" t="s">
        <v>12</v>
      </c>
      <c r="L435" s="604">
        <v>0</v>
      </c>
      <c r="M435" s="594" t="s">
        <v>7</v>
      </c>
      <c r="N435" s="596">
        <v>0.125</v>
      </c>
      <c r="O435" s="594" t="s">
        <v>23</v>
      </c>
      <c r="P435" s="596">
        <v>1</v>
      </c>
      <c r="Q435" s="594" t="s">
        <v>7</v>
      </c>
      <c r="R435" s="596">
        <v>1</v>
      </c>
      <c r="S435" s="594"/>
      <c r="T435" s="605">
        <v>0</v>
      </c>
      <c r="U435" s="593"/>
      <c r="V435" s="176">
        <f t="shared" si="472"/>
        <v>0</v>
      </c>
      <c r="W435" s="176">
        <f t="shared" si="541"/>
        <v>0</v>
      </c>
      <c r="X435" s="176">
        <f>W435-W435*Calculation_sheet!O$79</f>
        <v>0</v>
      </c>
      <c r="Y435" s="34">
        <f>X435/Calculation_sheet!M$67</f>
        <v>0</v>
      </c>
      <c r="Z435" s="176">
        <f ca="1">IF(AN435&gt;0,Y435*Calculation_sheet!C$87,0)</f>
        <v>0</v>
      </c>
      <c r="AA435" s="176">
        <f t="shared" ca="1" si="531"/>
        <v>0</v>
      </c>
      <c r="AB435" s="176">
        <f ca="1">IF(AP435&gt;0,AA435*Calculation_sheet!C$94,0)</f>
        <v>0</v>
      </c>
      <c r="AC435" s="176">
        <f t="shared" ca="1" si="532"/>
        <v>0</v>
      </c>
      <c r="AD435" s="958">
        <f ca="1">AC435*Calculation_sheet!C$99</f>
        <v>0</v>
      </c>
      <c r="AE435" s="176">
        <f t="shared" ca="1" si="532"/>
        <v>0</v>
      </c>
      <c r="AF435" s="176">
        <f t="shared" ca="1" si="533"/>
        <v>0</v>
      </c>
      <c r="AG435" s="958">
        <f ca="1">AF435*User_sheet!B$77/100</f>
        <v>0</v>
      </c>
      <c r="AH435" s="313"/>
      <c r="AI435" s="910">
        <v>204</v>
      </c>
      <c r="AJ435" s="313"/>
      <c r="AK435" s="1020">
        <f t="shared" ca="1" si="497"/>
        <v>195.18216321364963</v>
      </c>
      <c r="AL435" s="954">
        <f ca="1">AK435/'204'!I$24</f>
        <v>0.71247367480799273</v>
      </c>
      <c r="AM435" s="954">
        <f ca="1">0.8*(AK435*30+'204'!D$17*0.34*30*1)</f>
        <v>8269.4577171275923</v>
      </c>
      <c r="AN435" s="954">
        <f ca="1">IF(AM435&lt;User_sheet!B$50,Y435,0)</f>
        <v>0</v>
      </c>
      <c r="AO435" s="954">
        <f ca="1">20-(User_sheet!B$57/(AK435+'204'!D$17*1*0.34))</f>
        <v>3.4571982009580076</v>
      </c>
      <c r="AP435" s="954">
        <f ca="1">IF(AO435&lt;User_sheet!B$59,0,BC435*AA435)</f>
        <v>0</v>
      </c>
      <c r="AQ435" s="313"/>
      <c r="AR435" s="909">
        <v>0.47</v>
      </c>
      <c r="AS435" s="909">
        <v>0.54</v>
      </c>
      <c r="AT435" s="909">
        <v>0.45</v>
      </c>
      <c r="AU435" s="909">
        <v>2</v>
      </c>
      <c r="AV435" s="909">
        <v>3.3</v>
      </c>
      <c r="AW435" s="909">
        <v>12848.541887298286</v>
      </c>
      <c r="AX435" s="909">
        <v>75022.04959166942</v>
      </c>
      <c r="AY435" s="909">
        <v>65937.809199439725</v>
      </c>
      <c r="AZ435" s="917">
        <v>0</v>
      </c>
      <c r="BA435" s="917">
        <v>0</v>
      </c>
      <c r="BB435" s="909">
        <v>0.6</v>
      </c>
      <c r="BC435" s="919">
        <v>0</v>
      </c>
      <c r="BD435" s="920">
        <v>0</v>
      </c>
      <c r="BE435" s="920">
        <v>1</v>
      </c>
      <c r="BF435" s="921">
        <v>0</v>
      </c>
      <c r="BG435" s="909">
        <v>0</v>
      </c>
      <c r="BH435" s="909">
        <v>0</v>
      </c>
      <c r="BI435" s="921">
        <v>1</v>
      </c>
      <c r="BJ435" s="909">
        <v>0</v>
      </c>
      <c r="BK435" s="909">
        <v>0</v>
      </c>
      <c r="BL435" s="909">
        <v>1</v>
      </c>
      <c r="BM435" s="921">
        <v>0</v>
      </c>
      <c r="BN435" s="958">
        <v>0.08</v>
      </c>
      <c r="BO435" s="50">
        <v>12</v>
      </c>
      <c r="BP435">
        <f t="shared" ca="1" si="534"/>
        <v>150</v>
      </c>
      <c r="BQ435">
        <f t="shared" ca="1" si="535"/>
        <v>372.82075000000003</v>
      </c>
      <c r="BR435">
        <f t="shared" ca="1" si="536"/>
        <v>111</v>
      </c>
      <c r="BS435">
        <f t="shared" ca="1" si="537"/>
        <v>120</v>
      </c>
      <c r="BT435">
        <f t="shared" ca="1" si="538"/>
        <v>86.25</v>
      </c>
      <c r="BU435">
        <f t="shared" ca="1" si="539"/>
        <v>14.5</v>
      </c>
      <c r="BV435">
        <f t="shared" ca="1" si="540"/>
        <v>9.3000000000000007</v>
      </c>
      <c r="BW435" s="1018">
        <v>0</v>
      </c>
      <c r="BX435">
        <f t="shared" ca="1" si="516"/>
        <v>48.240044384169643</v>
      </c>
      <c r="BY435">
        <f t="shared" ca="1" si="517"/>
        <v>59.253840526700813</v>
      </c>
      <c r="BZ435">
        <f t="shared" ca="1" si="498"/>
        <v>11.881377551020408</v>
      </c>
      <c r="CA435">
        <f t="shared" ca="1" si="499"/>
        <v>28.999999988399999</v>
      </c>
      <c r="CB435">
        <f t="shared" ca="1" si="518"/>
        <v>19.522900763358777</v>
      </c>
      <c r="CC435" s="1018">
        <f t="shared" si="500"/>
        <v>0</v>
      </c>
      <c r="CD435" s="1018">
        <f t="shared" ca="1" si="542"/>
        <v>195.18216321364963</v>
      </c>
      <c r="CE435" s="1018">
        <f t="shared" ca="1" si="482"/>
        <v>124.22791065226887</v>
      </c>
      <c r="CF435">
        <f t="shared" ca="1" si="502"/>
        <v>9.5823022159775562</v>
      </c>
      <c r="CG435">
        <f t="shared" ca="1" si="503"/>
        <v>15954.149897513989</v>
      </c>
    </row>
    <row r="436" spans="3:85" s="11" customFormat="1" x14ac:dyDescent="0.25">
      <c r="C436" s="601"/>
      <c r="D436" s="602"/>
      <c r="E436" s="601"/>
      <c r="F436" s="602"/>
      <c r="G436" s="601"/>
      <c r="H436" s="602"/>
      <c r="I436" s="601"/>
      <c r="J436" s="602"/>
      <c r="K436" s="601"/>
      <c r="L436" s="601"/>
      <c r="M436" s="602"/>
      <c r="N436" s="602"/>
      <c r="O436" s="602"/>
      <c r="P436" s="602"/>
      <c r="Q436" s="602"/>
      <c r="R436" s="602"/>
      <c r="S436" s="602"/>
      <c r="T436" s="606"/>
      <c r="U436" s="601"/>
      <c r="V436" s="293"/>
      <c r="W436" s="292"/>
      <c r="X436" s="292"/>
      <c r="Y436" s="277"/>
      <c r="Z436" s="292"/>
      <c r="AA436" s="292"/>
      <c r="AB436" s="292"/>
      <c r="AC436" s="292"/>
      <c r="AD436" s="277"/>
      <c r="AE436" s="292"/>
      <c r="AF436" s="292"/>
      <c r="AG436" s="277"/>
      <c r="AH436" s="313"/>
      <c r="AI436" s="912"/>
      <c r="AJ436" s="313"/>
      <c r="AK436" s="1020">
        <f t="shared" si="497"/>
        <v>0</v>
      </c>
      <c r="AL436" s="941"/>
      <c r="AM436" s="941"/>
      <c r="AN436" s="955"/>
      <c r="AO436" s="955"/>
      <c r="AP436" s="955"/>
      <c r="AQ436" s="313"/>
      <c r="AR436" s="918"/>
      <c r="AS436" s="918"/>
      <c r="AT436" s="918"/>
      <c r="AU436" s="918"/>
      <c r="AV436" s="918"/>
      <c r="AW436" s="918"/>
      <c r="AX436" s="918"/>
      <c r="AY436" s="918"/>
      <c r="AZ436" s="918"/>
      <c r="BA436" s="918"/>
      <c r="BB436" s="918"/>
      <c r="BC436" s="45"/>
      <c r="BD436" s="277"/>
      <c r="BE436" s="277"/>
      <c r="BF436" s="49"/>
      <c r="BG436" s="918"/>
      <c r="BH436" s="918"/>
      <c r="BI436" s="49"/>
      <c r="BJ436" s="918"/>
      <c r="BK436" s="918"/>
      <c r="BL436" s="918"/>
      <c r="BM436" s="49"/>
      <c r="BN436" s="277"/>
      <c r="BO436" s="49"/>
      <c r="BW436" s="946"/>
      <c r="CC436" s="946"/>
      <c r="CD436" s="946"/>
      <c r="CE436" s="946"/>
    </row>
    <row r="437" spans="3:85" x14ac:dyDescent="0.25">
      <c r="D437" s="1"/>
      <c r="F437" s="1"/>
      <c r="G437" s="3"/>
      <c r="H437" s="6"/>
      <c r="I437" s="3"/>
      <c r="J437" s="6"/>
      <c r="K437" s="8"/>
      <c r="L437" s="6"/>
      <c r="M437" s="6"/>
      <c r="N437" s="6"/>
      <c r="O437" s="6"/>
      <c r="P437" s="6"/>
      <c r="Q437" s="6" t="s">
        <v>16</v>
      </c>
      <c r="R437" s="4"/>
      <c r="S437" s="1"/>
      <c r="T437" s="77"/>
      <c r="X437" s="176">
        <f>W427-X427</f>
        <v>0</v>
      </c>
      <c r="Y437" s="34">
        <f>X437/Calculation_sheet!M$67</f>
        <v>0</v>
      </c>
      <c r="Z437" s="176">
        <f ca="1">IF(AN437&gt;0,Y437*Calculation_sheet!C$87,0)</f>
        <v>0</v>
      </c>
      <c r="AA437" s="176">
        <f t="shared" ref="AA437:AA445" ca="1" si="543">Y437-Z437</f>
        <v>0</v>
      </c>
      <c r="AB437" s="176">
        <f ca="1">IF(AP437&gt;0,AA437*Calculation_sheet!C$94,0)</f>
        <v>0</v>
      </c>
      <c r="AC437" s="176">
        <f t="shared" ref="AC437:AE445" ca="1" si="544">AA437-AB437</f>
        <v>0</v>
      </c>
      <c r="AD437" s="958">
        <f ca="1">AC437*Calculation_sheet!C$99</f>
        <v>0</v>
      </c>
      <c r="AE437" s="176">
        <f t="shared" ca="1" si="544"/>
        <v>0</v>
      </c>
      <c r="AF437" s="176">
        <f t="shared" ref="AF437:AF445" ca="1" si="545">Y437-AB437</f>
        <v>0</v>
      </c>
      <c r="AG437" s="958">
        <f ca="1">AF437*User_sheet!B$77/100</f>
        <v>0</v>
      </c>
      <c r="AH437" s="313"/>
      <c r="AI437" s="910">
        <v>204</v>
      </c>
      <c r="AJ437" s="313"/>
      <c r="AK437" s="1020">
        <f t="shared" ca="1" si="497"/>
        <v>180.59547911245119</v>
      </c>
      <c r="AL437" s="954">
        <f ca="1">AK437/'204'!I$24</f>
        <v>0.6592278850609643</v>
      </c>
      <c r="AM437" s="954">
        <f ca="1">0.8*(AK437*30+'204'!D$17*0.34*30*1)</f>
        <v>7919.3772986988279</v>
      </c>
      <c r="AN437" s="954">
        <f ca="1">IF(AM437&lt;User_sheet!B$50,Y437,0)</f>
        <v>0</v>
      </c>
      <c r="AO437" s="954">
        <f ca="1">20-(User_sheet!B$57/(AK437+'204'!D$17*1*0.34))</f>
        <v>2.7259145712786612</v>
      </c>
      <c r="AP437" s="954">
        <f ca="1">IF(AO437&lt;User_sheet!B$59,0,BC437*AA437)</f>
        <v>0</v>
      </c>
      <c r="AQ437" s="313"/>
      <c r="AR437" s="909">
        <v>0.32</v>
      </c>
      <c r="AS437" s="909">
        <v>0.54</v>
      </c>
      <c r="AT437" s="909">
        <v>0.45</v>
      </c>
      <c r="AU437" s="909">
        <v>2</v>
      </c>
      <c r="AV437" s="909">
        <v>3.3</v>
      </c>
      <c r="AW437" s="909">
        <v>14356</v>
      </c>
      <c r="AX437" s="909">
        <v>75022.04959166942</v>
      </c>
      <c r="AY437" s="909">
        <v>65937.809199439725</v>
      </c>
      <c r="AZ437" s="917">
        <v>0</v>
      </c>
      <c r="BA437" s="917">
        <v>0</v>
      </c>
      <c r="BB437" s="909">
        <v>0.6</v>
      </c>
      <c r="BC437" s="919">
        <v>1</v>
      </c>
      <c r="BD437" s="920">
        <v>0</v>
      </c>
      <c r="BE437" s="920">
        <v>0</v>
      </c>
      <c r="BF437" s="921">
        <v>0</v>
      </c>
      <c r="BG437" s="909">
        <v>1</v>
      </c>
      <c r="BH437" s="909">
        <v>0</v>
      </c>
      <c r="BI437" s="921">
        <v>0</v>
      </c>
      <c r="BJ437" s="909">
        <v>1</v>
      </c>
      <c r="BK437" s="909">
        <v>0</v>
      </c>
      <c r="BL437" s="909">
        <v>0</v>
      </c>
      <c r="BM437" s="921">
        <v>0</v>
      </c>
      <c r="BN437" s="958">
        <v>0.08</v>
      </c>
      <c r="BO437" s="50">
        <v>12</v>
      </c>
      <c r="BP437">
        <f t="shared" ref="BP437:BP445" ca="1" si="546">INDIRECT("'"&amp;AI437&amp;"'!"&amp;"B2")</f>
        <v>150</v>
      </c>
      <c r="BQ437">
        <f t="shared" ref="BQ437:BQ445" ca="1" si="547">INDIRECT("'"&amp;AI437&amp;"'!"&amp;"C12")+INDIRECT("'"&amp;AI437&amp;"'!"&amp;"C13")+INDIRECT("'"&amp;AI437&amp;"'!"&amp;"C14")+INDIRECT("'"&amp;AI437&amp;"'!"&amp;"C15")+INDIRECT("'"&amp;AI437&amp;"'!"&amp;"C17")</f>
        <v>372.82075000000003</v>
      </c>
      <c r="BR437">
        <f t="shared" ref="BR437:BR445" ca="1" si="548">INDIRECT("'"&amp;AI437&amp;"'!"&amp;"G5")</f>
        <v>111</v>
      </c>
      <c r="BS437">
        <f t="shared" ref="BS437:BS445" ca="1" si="549">INDIRECT("'"&amp;AI437&amp;"'!"&amp;"G4")</f>
        <v>120</v>
      </c>
      <c r="BT437">
        <f t="shared" ref="BT437:BT445" ca="1" si="550">INDIRECT("'"&amp;AI437&amp;"'!"&amp;"G6")</f>
        <v>86.25</v>
      </c>
      <c r="BU437">
        <f t="shared" ref="BU437:BU445" ca="1" si="551">INDIRECT("'"&amp;AI437&amp;"'!"&amp;"G2")</f>
        <v>14.5</v>
      </c>
      <c r="BV437">
        <f t="shared" ref="BV437:BV445" ca="1" si="552">INDIRECT("'"&amp;AI437&amp;"'!"&amp;"G3")</f>
        <v>9.3000000000000007</v>
      </c>
      <c r="BW437" s="1018">
        <v>0</v>
      </c>
      <c r="BX437">
        <f t="shared" ca="1" si="516"/>
        <v>33.6533602829712</v>
      </c>
      <c r="BY437">
        <f t="shared" ca="1" si="517"/>
        <v>59.253840526700813</v>
      </c>
      <c r="BZ437">
        <f t="shared" ca="1" si="498"/>
        <v>11.881377551020408</v>
      </c>
      <c r="CA437">
        <f t="shared" ca="1" si="499"/>
        <v>28.999999988399999</v>
      </c>
      <c r="CB437">
        <f t="shared" ca="1" si="518"/>
        <v>19.522900763358777</v>
      </c>
      <c r="CC437" s="1018">
        <f t="shared" si="500"/>
        <v>0</v>
      </c>
      <c r="CD437" s="1018">
        <f ca="1">SUM(BX437:CC437)+(BR437+BS437+BT437+BU437+BV437)*BN437</f>
        <v>180.59547911245119</v>
      </c>
      <c r="CE437" s="1018">
        <f t="shared" ca="1" si="482"/>
        <v>124.22791065226887</v>
      </c>
      <c r="CF437">
        <f t="shared" ca="1" si="502"/>
        <v>9.1447016929416023</v>
      </c>
      <c r="CG437">
        <f t="shared" ca="1" si="503"/>
        <v>15225.562530680048</v>
      </c>
    </row>
    <row r="438" spans="3:85" x14ac:dyDescent="0.25">
      <c r="D438" s="1"/>
      <c r="F438" s="1"/>
      <c r="G438" s="3"/>
      <c r="H438" s="6"/>
      <c r="I438" s="3"/>
      <c r="J438" s="6"/>
      <c r="K438" s="8"/>
      <c r="L438" s="6"/>
      <c r="M438" s="6"/>
      <c r="N438" s="6"/>
      <c r="O438" s="6" t="s">
        <v>18</v>
      </c>
      <c r="P438" s="4"/>
      <c r="Q438" s="6" t="s">
        <v>7</v>
      </c>
      <c r="R438" s="4"/>
      <c r="S438" s="1"/>
      <c r="T438" s="77"/>
      <c r="X438" s="176">
        <f t="shared" ref="X438:X445" si="553">W428-X428</f>
        <v>0</v>
      </c>
      <c r="Y438" s="34">
        <f>X438/Calculation_sheet!M$67</f>
        <v>0</v>
      </c>
      <c r="Z438" s="176">
        <f ca="1">IF(AN438&gt;0,Y438*Calculation_sheet!C$87,0)</f>
        <v>0</v>
      </c>
      <c r="AA438" s="176">
        <f t="shared" ca="1" si="543"/>
        <v>0</v>
      </c>
      <c r="AB438" s="176">
        <f ca="1">IF(AP438&gt;0,AA438*Calculation_sheet!C$94,0)</f>
        <v>0</v>
      </c>
      <c r="AC438" s="176">
        <f t="shared" ca="1" si="544"/>
        <v>0</v>
      </c>
      <c r="AD438" s="958">
        <f ca="1">AC438*Calculation_sheet!C$99</f>
        <v>0</v>
      </c>
      <c r="AE438" s="176">
        <f t="shared" ca="1" si="544"/>
        <v>0</v>
      </c>
      <c r="AF438" s="176">
        <f t="shared" ca="1" si="545"/>
        <v>0</v>
      </c>
      <c r="AG438" s="958">
        <f ca="1">AF438*User_sheet!B$77/100</f>
        <v>0</v>
      </c>
      <c r="AH438" s="313"/>
      <c r="AI438" s="910">
        <v>204</v>
      </c>
      <c r="AJ438" s="313"/>
      <c r="AK438" s="1020">
        <f t="shared" ca="1" si="497"/>
        <v>180.59547911245119</v>
      </c>
      <c r="AL438" s="954">
        <f ca="1">AK438/'204'!I$24</f>
        <v>0.6592278850609643</v>
      </c>
      <c r="AM438" s="954">
        <f ca="1">0.8*(AK438*30+'204'!D$17*0.34*30*1)</f>
        <v>7919.3772986988279</v>
      </c>
      <c r="AN438" s="954">
        <f ca="1">IF(AM438&lt;User_sheet!B$50,Y438,0)</f>
        <v>0</v>
      </c>
      <c r="AO438" s="954">
        <f ca="1">20-(User_sheet!B$57/(AK438+'204'!D$17*1*0.34))</f>
        <v>2.7259145712786612</v>
      </c>
      <c r="AP438" s="954">
        <f ca="1">IF(AO438&lt;User_sheet!B$59,0,BC438*AA438)</f>
        <v>0</v>
      </c>
      <c r="AQ438" s="313"/>
      <c r="AR438" s="909">
        <v>0.32</v>
      </c>
      <c r="AS438" s="909">
        <v>0.54</v>
      </c>
      <c r="AT438" s="909">
        <v>0.45</v>
      </c>
      <c r="AU438" s="909">
        <v>2</v>
      </c>
      <c r="AV438" s="909">
        <v>3.3</v>
      </c>
      <c r="AW438" s="909">
        <v>14356</v>
      </c>
      <c r="AX438" s="909">
        <v>75022.04959166942</v>
      </c>
      <c r="AY438" s="909">
        <v>65937.809199439725</v>
      </c>
      <c r="AZ438" s="917">
        <v>0</v>
      </c>
      <c r="BA438" s="917">
        <v>0</v>
      </c>
      <c r="BB438" s="909">
        <v>0.6</v>
      </c>
      <c r="BC438" s="919">
        <v>1</v>
      </c>
      <c r="BD438" s="920">
        <v>0</v>
      </c>
      <c r="BE438" s="920">
        <v>0</v>
      </c>
      <c r="BF438" s="921">
        <v>0</v>
      </c>
      <c r="BG438" s="909">
        <v>1</v>
      </c>
      <c r="BH438" s="909">
        <v>0</v>
      </c>
      <c r="BI438" s="921">
        <v>0</v>
      </c>
      <c r="BJ438" s="909">
        <v>0</v>
      </c>
      <c r="BK438" s="909">
        <v>0</v>
      </c>
      <c r="BL438" s="909">
        <v>1</v>
      </c>
      <c r="BM438" s="921">
        <v>0</v>
      </c>
      <c r="BN438" s="958">
        <v>0.08</v>
      </c>
      <c r="BO438" s="50">
        <v>12</v>
      </c>
      <c r="BP438">
        <f t="shared" ca="1" si="546"/>
        <v>150</v>
      </c>
      <c r="BQ438">
        <f t="shared" ca="1" si="547"/>
        <v>372.82075000000003</v>
      </c>
      <c r="BR438">
        <f t="shared" ca="1" si="548"/>
        <v>111</v>
      </c>
      <c r="BS438">
        <f t="shared" ca="1" si="549"/>
        <v>120</v>
      </c>
      <c r="BT438">
        <f t="shared" ca="1" si="550"/>
        <v>86.25</v>
      </c>
      <c r="BU438">
        <f t="shared" ca="1" si="551"/>
        <v>14.5</v>
      </c>
      <c r="BV438">
        <f t="shared" ca="1" si="552"/>
        <v>9.3000000000000007</v>
      </c>
      <c r="BW438" s="1018">
        <v>0</v>
      </c>
      <c r="BX438">
        <f t="shared" ca="1" si="516"/>
        <v>33.6533602829712</v>
      </c>
      <c r="BY438">
        <f t="shared" ca="1" si="517"/>
        <v>59.253840526700813</v>
      </c>
      <c r="BZ438">
        <f t="shared" ca="1" si="498"/>
        <v>11.881377551020408</v>
      </c>
      <c r="CA438">
        <f t="shared" ca="1" si="499"/>
        <v>28.999999988399999</v>
      </c>
      <c r="CB438">
        <f t="shared" ca="1" si="518"/>
        <v>19.522900763358777</v>
      </c>
      <c r="CC438" s="1018">
        <f t="shared" si="500"/>
        <v>0</v>
      </c>
      <c r="CD438" s="1018">
        <f t="shared" ref="CD438:CD445" ca="1" si="554">SUM(BX438:CC438)+(BR438+BS438+BT438+BU438+BV438)*BN438</f>
        <v>180.59547911245119</v>
      </c>
      <c r="CE438" s="1018">
        <f t="shared" ca="1" si="482"/>
        <v>124.22791065226887</v>
      </c>
      <c r="CF438">
        <f t="shared" ca="1" si="502"/>
        <v>9.1447016929416023</v>
      </c>
      <c r="CG438">
        <f t="shared" ca="1" si="503"/>
        <v>15225.562530680048</v>
      </c>
    </row>
    <row r="439" spans="3:85" x14ac:dyDescent="0.25">
      <c r="D439" s="1"/>
      <c r="F439" s="1"/>
      <c r="G439" s="3"/>
      <c r="H439" s="6"/>
      <c r="I439" s="3"/>
      <c r="J439" s="6"/>
      <c r="K439" s="8"/>
      <c r="L439" s="6"/>
      <c r="M439" s="6"/>
      <c r="N439" s="6"/>
      <c r="O439" s="6"/>
      <c r="P439" s="6"/>
      <c r="Q439" s="6" t="s">
        <v>16</v>
      </c>
      <c r="R439" s="4"/>
      <c r="S439" s="1"/>
      <c r="T439" s="77"/>
      <c r="X439" s="176">
        <f t="shared" si="553"/>
        <v>0</v>
      </c>
      <c r="Y439" s="34">
        <f>X439/Calculation_sheet!M$67</f>
        <v>0</v>
      </c>
      <c r="Z439" s="176">
        <f ca="1">IF(AN439&gt;0,Y439*Calculation_sheet!C$87,0)</f>
        <v>0</v>
      </c>
      <c r="AA439" s="176">
        <f t="shared" ca="1" si="543"/>
        <v>0</v>
      </c>
      <c r="AB439" s="176">
        <f ca="1">IF(AP439&gt;0,AA439*Calculation_sheet!C$94,0)</f>
        <v>0</v>
      </c>
      <c r="AC439" s="176">
        <f t="shared" ca="1" si="544"/>
        <v>0</v>
      </c>
      <c r="AD439" s="958">
        <f ca="1">AC439*Calculation_sheet!C$99</f>
        <v>0</v>
      </c>
      <c r="AE439" s="176">
        <f t="shared" ca="1" si="544"/>
        <v>0</v>
      </c>
      <c r="AF439" s="176">
        <f t="shared" ca="1" si="545"/>
        <v>0</v>
      </c>
      <c r="AG439" s="958">
        <f ca="1">AF439*User_sheet!B$77/100</f>
        <v>0</v>
      </c>
      <c r="AH439" s="313"/>
      <c r="AI439" s="910">
        <v>204</v>
      </c>
      <c r="AJ439" s="313"/>
      <c r="AK439" s="1020">
        <f t="shared" ca="1" si="497"/>
        <v>180.59547911245119</v>
      </c>
      <c r="AL439" s="954">
        <f ca="1">AK439/'204'!I$24</f>
        <v>0.6592278850609643</v>
      </c>
      <c r="AM439" s="954">
        <f ca="1">0.8*(AK439*30+'204'!D$17*0.34*30*1)</f>
        <v>7919.3772986988279</v>
      </c>
      <c r="AN439" s="954">
        <f ca="1">IF(AM439&lt;User_sheet!B$50,Y439,0)</f>
        <v>0</v>
      </c>
      <c r="AO439" s="954">
        <f ca="1">20-(User_sheet!B$57/(AK439+'204'!D$17*1*0.34))</f>
        <v>2.7259145712786612</v>
      </c>
      <c r="AP439" s="954">
        <f ca="1">IF(AO439&lt;User_sheet!B$59,0,BC439*AA439)</f>
        <v>0</v>
      </c>
      <c r="AQ439" s="313"/>
      <c r="AR439" s="909">
        <v>0.32</v>
      </c>
      <c r="AS439" s="909">
        <v>0.54</v>
      </c>
      <c r="AT439" s="909">
        <v>0.45</v>
      </c>
      <c r="AU439" s="909">
        <v>2</v>
      </c>
      <c r="AV439" s="909">
        <v>3.3</v>
      </c>
      <c r="AW439" s="909">
        <v>14356</v>
      </c>
      <c r="AX439" s="909">
        <v>75022.04959166942</v>
      </c>
      <c r="AY439" s="909">
        <v>65937.809199439725</v>
      </c>
      <c r="AZ439" s="917">
        <v>0</v>
      </c>
      <c r="BA439" s="917">
        <v>0</v>
      </c>
      <c r="BB439" s="909">
        <v>0.6</v>
      </c>
      <c r="BC439" s="919">
        <v>1</v>
      </c>
      <c r="BD439" s="920">
        <v>0</v>
      </c>
      <c r="BE439" s="920">
        <v>0</v>
      </c>
      <c r="BF439" s="921">
        <v>0</v>
      </c>
      <c r="BG439" s="909">
        <v>0</v>
      </c>
      <c r="BH439" s="909">
        <v>1</v>
      </c>
      <c r="BI439" s="921">
        <v>0</v>
      </c>
      <c r="BJ439" s="909">
        <v>1</v>
      </c>
      <c r="BK439" s="909">
        <v>0</v>
      </c>
      <c r="BL439" s="909">
        <v>0</v>
      </c>
      <c r="BM439" s="921">
        <v>0</v>
      </c>
      <c r="BN439" s="958">
        <v>0.08</v>
      </c>
      <c r="BO439" s="50">
        <v>12</v>
      </c>
      <c r="BP439">
        <f t="shared" ca="1" si="546"/>
        <v>150</v>
      </c>
      <c r="BQ439">
        <f t="shared" ca="1" si="547"/>
        <v>372.82075000000003</v>
      </c>
      <c r="BR439">
        <f t="shared" ca="1" si="548"/>
        <v>111</v>
      </c>
      <c r="BS439">
        <f t="shared" ca="1" si="549"/>
        <v>120</v>
      </c>
      <c r="BT439">
        <f t="shared" ca="1" si="550"/>
        <v>86.25</v>
      </c>
      <c r="BU439">
        <f t="shared" ca="1" si="551"/>
        <v>14.5</v>
      </c>
      <c r="BV439">
        <f t="shared" ca="1" si="552"/>
        <v>9.3000000000000007</v>
      </c>
      <c r="BW439" s="1018">
        <v>0</v>
      </c>
      <c r="BX439">
        <f t="shared" ca="1" si="516"/>
        <v>33.6533602829712</v>
      </c>
      <c r="BY439">
        <f t="shared" ca="1" si="517"/>
        <v>59.253840526700813</v>
      </c>
      <c r="BZ439">
        <f t="shared" ca="1" si="498"/>
        <v>11.881377551020408</v>
      </c>
      <c r="CA439">
        <f t="shared" ca="1" si="499"/>
        <v>28.999999988399999</v>
      </c>
      <c r="CB439">
        <f t="shared" ca="1" si="518"/>
        <v>19.522900763358777</v>
      </c>
      <c r="CC439" s="1018">
        <f t="shared" si="500"/>
        <v>0</v>
      </c>
      <c r="CD439" s="1018">
        <f t="shared" ca="1" si="554"/>
        <v>180.59547911245119</v>
      </c>
      <c r="CE439" s="1018">
        <f t="shared" ca="1" si="482"/>
        <v>124.22791065226887</v>
      </c>
      <c r="CF439">
        <f t="shared" ca="1" si="502"/>
        <v>9.1447016929416023</v>
      </c>
      <c r="CG439">
        <f t="shared" ca="1" si="503"/>
        <v>15225.562530680048</v>
      </c>
    </row>
    <row r="440" spans="3:85" x14ac:dyDescent="0.25">
      <c r="D440" s="1"/>
      <c r="F440" s="1"/>
      <c r="G440" s="3"/>
      <c r="H440" s="6"/>
      <c r="I440" s="3"/>
      <c r="J440" s="3" t="s">
        <v>144</v>
      </c>
      <c r="K440" s="8"/>
      <c r="L440" s="6"/>
      <c r="M440" s="6" t="s">
        <v>16</v>
      </c>
      <c r="N440" s="4"/>
      <c r="O440" s="6" t="s">
        <v>19</v>
      </c>
      <c r="P440" s="4"/>
      <c r="Q440" s="6" t="s">
        <v>7</v>
      </c>
      <c r="R440" s="4"/>
      <c r="S440" s="1"/>
      <c r="T440" s="77"/>
      <c r="X440" s="176">
        <f t="shared" si="553"/>
        <v>0</v>
      </c>
      <c r="Y440" s="34">
        <f>X440/Calculation_sheet!M$67</f>
        <v>0</v>
      </c>
      <c r="Z440" s="176">
        <f ca="1">IF(AN440&gt;0,Y440*Calculation_sheet!C$87,0)</f>
        <v>0</v>
      </c>
      <c r="AA440" s="176">
        <f t="shared" ca="1" si="543"/>
        <v>0</v>
      </c>
      <c r="AB440" s="176">
        <f ca="1">IF(AP440&gt;0,AA440*Calculation_sheet!C$94,0)</f>
        <v>0</v>
      </c>
      <c r="AC440" s="176">
        <f t="shared" ca="1" si="544"/>
        <v>0</v>
      </c>
      <c r="AD440" s="958">
        <f ca="1">AC440*Calculation_sheet!C$99</f>
        <v>0</v>
      </c>
      <c r="AE440" s="176">
        <f t="shared" ca="1" si="544"/>
        <v>0</v>
      </c>
      <c r="AF440" s="176">
        <f t="shared" ca="1" si="545"/>
        <v>0</v>
      </c>
      <c r="AG440" s="958">
        <f ca="1">AF440*User_sheet!B$77/100</f>
        <v>0</v>
      </c>
      <c r="AH440" s="313"/>
      <c r="AI440" s="910">
        <v>204</v>
      </c>
      <c r="AJ440" s="313"/>
      <c r="AK440" s="1020">
        <f t="shared" ca="1" si="497"/>
        <v>180.59547911245119</v>
      </c>
      <c r="AL440" s="954">
        <f ca="1">AK440/'204'!I$24</f>
        <v>0.6592278850609643</v>
      </c>
      <c r="AM440" s="954">
        <f ca="1">0.8*(AK440*30+'204'!D$17*0.34*30*1)</f>
        <v>7919.3772986988279</v>
      </c>
      <c r="AN440" s="954">
        <f ca="1">IF(AM440&lt;User_sheet!B$50,Y440,0)</f>
        <v>0</v>
      </c>
      <c r="AO440" s="954">
        <f ca="1">20-(User_sheet!B$57/(AK440+'204'!D$17*1*0.34))</f>
        <v>2.7259145712786612</v>
      </c>
      <c r="AP440" s="954">
        <f ca="1">IF(AO440&lt;User_sheet!B$59,0,BC440*AA440)</f>
        <v>0</v>
      </c>
      <c r="AQ440" s="313"/>
      <c r="AR440" s="909">
        <v>0.32</v>
      </c>
      <c r="AS440" s="909">
        <v>0.54</v>
      </c>
      <c r="AT440" s="909">
        <v>0.45</v>
      </c>
      <c r="AU440" s="909">
        <v>2</v>
      </c>
      <c r="AV440" s="909">
        <v>3.3</v>
      </c>
      <c r="AW440" s="909">
        <v>14356</v>
      </c>
      <c r="AX440" s="909">
        <v>75022.04959166942</v>
      </c>
      <c r="AY440" s="909">
        <v>65937.809199439725</v>
      </c>
      <c r="AZ440" s="917">
        <v>0</v>
      </c>
      <c r="BA440" s="917">
        <v>0</v>
      </c>
      <c r="BB440" s="909">
        <v>0.6</v>
      </c>
      <c r="BC440" s="919">
        <v>1</v>
      </c>
      <c r="BD440" s="920">
        <v>0</v>
      </c>
      <c r="BE440" s="920">
        <v>0</v>
      </c>
      <c r="BF440" s="921">
        <v>0</v>
      </c>
      <c r="BG440" s="909">
        <v>0</v>
      </c>
      <c r="BH440" s="909">
        <v>1</v>
      </c>
      <c r="BI440" s="921">
        <v>0</v>
      </c>
      <c r="BJ440" s="909">
        <v>0</v>
      </c>
      <c r="BK440" s="909">
        <v>0</v>
      </c>
      <c r="BL440" s="909">
        <v>1</v>
      </c>
      <c r="BM440" s="921">
        <v>0</v>
      </c>
      <c r="BN440" s="958">
        <v>0.08</v>
      </c>
      <c r="BO440" s="50">
        <v>12</v>
      </c>
      <c r="BP440">
        <f t="shared" ca="1" si="546"/>
        <v>150</v>
      </c>
      <c r="BQ440">
        <f t="shared" ca="1" si="547"/>
        <v>372.82075000000003</v>
      </c>
      <c r="BR440">
        <f t="shared" ca="1" si="548"/>
        <v>111</v>
      </c>
      <c r="BS440">
        <f t="shared" ca="1" si="549"/>
        <v>120</v>
      </c>
      <c r="BT440">
        <f t="shared" ca="1" si="550"/>
        <v>86.25</v>
      </c>
      <c r="BU440">
        <f t="shared" ca="1" si="551"/>
        <v>14.5</v>
      </c>
      <c r="BV440">
        <f t="shared" ca="1" si="552"/>
        <v>9.3000000000000007</v>
      </c>
      <c r="BW440" s="1018">
        <v>0</v>
      </c>
      <c r="BX440">
        <f t="shared" ca="1" si="516"/>
        <v>33.6533602829712</v>
      </c>
      <c r="BY440">
        <f t="shared" ca="1" si="517"/>
        <v>59.253840526700813</v>
      </c>
      <c r="BZ440">
        <f t="shared" ca="1" si="498"/>
        <v>11.881377551020408</v>
      </c>
      <c r="CA440">
        <f t="shared" ca="1" si="499"/>
        <v>28.999999988399999</v>
      </c>
      <c r="CB440">
        <f t="shared" ca="1" si="518"/>
        <v>19.522900763358777</v>
      </c>
      <c r="CC440" s="1018">
        <f t="shared" si="500"/>
        <v>0</v>
      </c>
      <c r="CD440" s="1018">
        <f t="shared" ca="1" si="554"/>
        <v>180.59547911245119</v>
      </c>
      <c r="CE440" s="1018">
        <f t="shared" ca="1" si="482"/>
        <v>124.22791065226887</v>
      </c>
      <c r="CF440">
        <f t="shared" ca="1" si="502"/>
        <v>9.1447016929416023</v>
      </c>
      <c r="CG440">
        <f t="shared" ca="1" si="503"/>
        <v>15225.562530680048</v>
      </c>
    </row>
    <row r="441" spans="3:85" x14ac:dyDescent="0.25">
      <c r="D441" s="1"/>
      <c r="F441" s="1"/>
      <c r="G441" s="3"/>
      <c r="H441" s="6"/>
      <c r="I441" s="3"/>
      <c r="J441" s="6" t="s">
        <v>190</v>
      </c>
      <c r="K441" s="8"/>
      <c r="L441" s="6"/>
      <c r="M441" s="6"/>
      <c r="N441" s="1"/>
      <c r="O441" s="6"/>
      <c r="P441" s="6"/>
      <c r="Q441" s="6" t="s">
        <v>22</v>
      </c>
      <c r="R441" s="4"/>
      <c r="S441" s="1"/>
      <c r="T441" s="77"/>
      <c r="X441" s="176">
        <f t="shared" si="553"/>
        <v>0</v>
      </c>
      <c r="Y441" s="34">
        <f>X441/Calculation_sheet!M$67</f>
        <v>0</v>
      </c>
      <c r="Z441" s="176">
        <f ca="1">IF(AN441&gt;0,Y441*Calculation_sheet!C$87,0)</f>
        <v>0</v>
      </c>
      <c r="AA441" s="176">
        <f t="shared" ca="1" si="543"/>
        <v>0</v>
      </c>
      <c r="AB441" s="176">
        <f ca="1">IF(AP441&gt;0,AA441*Calculation_sheet!C$94,0)</f>
        <v>0</v>
      </c>
      <c r="AC441" s="176">
        <f t="shared" ca="1" si="544"/>
        <v>0</v>
      </c>
      <c r="AD441" s="958">
        <f ca="1">AC441*Calculation_sheet!C$99</f>
        <v>0</v>
      </c>
      <c r="AE441" s="176">
        <f t="shared" ca="1" si="544"/>
        <v>0</v>
      </c>
      <c r="AF441" s="176">
        <f t="shared" ca="1" si="545"/>
        <v>0</v>
      </c>
      <c r="AG441" s="958">
        <f ca="1">AF441*User_sheet!B$77/100</f>
        <v>0</v>
      </c>
      <c r="AH441" s="313"/>
      <c r="AI441" s="910">
        <v>204</v>
      </c>
      <c r="AJ441" s="313"/>
      <c r="AK441" s="1020">
        <f t="shared" ca="1" si="497"/>
        <v>180.59547911245119</v>
      </c>
      <c r="AL441" s="954">
        <f ca="1">AK441/'204'!I$24</f>
        <v>0.6592278850609643</v>
      </c>
      <c r="AM441" s="954">
        <f ca="1">0.8*(AK441*30+'204'!D$17*0.34*30*1)</f>
        <v>7919.3772986988279</v>
      </c>
      <c r="AN441" s="954">
        <f ca="1">IF(AM441&lt;User_sheet!B$50,Y441,0)</f>
        <v>0</v>
      </c>
      <c r="AO441" s="954">
        <f ca="1">20-(User_sheet!B$57/(AK441+'204'!D$17*1*0.34))</f>
        <v>2.7259145712786612</v>
      </c>
      <c r="AP441" s="954">
        <f ca="1">IF(AO441&lt;User_sheet!B$59,0,BC441*AA441)</f>
        <v>0</v>
      </c>
      <c r="AQ441" s="313"/>
      <c r="AR441" s="909">
        <v>0.32</v>
      </c>
      <c r="AS441" s="909">
        <v>0.54</v>
      </c>
      <c r="AT441" s="909">
        <v>0.45</v>
      </c>
      <c r="AU441" s="909">
        <v>2</v>
      </c>
      <c r="AV441" s="909">
        <v>3.3</v>
      </c>
      <c r="AW441" s="909">
        <v>14356</v>
      </c>
      <c r="AX441" s="909">
        <v>75022.04959166942</v>
      </c>
      <c r="AY441" s="909">
        <v>65937.809199439725</v>
      </c>
      <c r="AZ441" s="917">
        <v>0</v>
      </c>
      <c r="BA441" s="917">
        <v>0</v>
      </c>
      <c r="BB441" s="909">
        <v>0.6</v>
      </c>
      <c r="BC441" s="919">
        <v>0</v>
      </c>
      <c r="BD441" s="920">
        <v>1</v>
      </c>
      <c r="BE441" s="920">
        <v>0</v>
      </c>
      <c r="BF441" s="921">
        <v>0</v>
      </c>
      <c r="BG441" s="909">
        <v>1</v>
      </c>
      <c r="BH441" s="909">
        <v>0</v>
      </c>
      <c r="BI441" s="921">
        <v>0</v>
      </c>
      <c r="BJ441" s="909">
        <v>0</v>
      </c>
      <c r="BK441" s="909">
        <v>1</v>
      </c>
      <c r="BL441" s="909">
        <v>0</v>
      </c>
      <c r="BM441" s="921">
        <v>0</v>
      </c>
      <c r="BN441" s="958">
        <v>0.08</v>
      </c>
      <c r="BO441" s="50">
        <v>12</v>
      </c>
      <c r="BP441">
        <f t="shared" ca="1" si="546"/>
        <v>150</v>
      </c>
      <c r="BQ441">
        <f t="shared" ca="1" si="547"/>
        <v>372.82075000000003</v>
      </c>
      <c r="BR441">
        <f t="shared" ca="1" si="548"/>
        <v>111</v>
      </c>
      <c r="BS441">
        <f t="shared" ca="1" si="549"/>
        <v>120</v>
      </c>
      <c r="BT441">
        <f t="shared" ca="1" si="550"/>
        <v>86.25</v>
      </c>
      <c r="BU441">
        <f t="shared" ca="1" si="551"/>
        <v>14.5</v>
      </c>
      <c r="BV441">
        <f t="shared" ca="1" si="552"/>
        <v>9.3000000000000007</v>
      </c>
      <c r="BW441" s="1018">
        <v>0</v>
      </c>
      <c r="BX441">
        <f t="shared" ca="1" si="516"/>
        <v>33.6533602829712</v>
      </c>
      <c r="BY441">
        <f t="shared" ca="1" si="517"/>
        <v>59.253840526700813</v>
      </c>
      <c r="BZ441">
        <f t="shared" ca="1" si="498"/>
        <v>11.881377551020408</v>
      </c>
      <c r="CA441">
        <f t="shared" ca="1" si="499"/>
        <v>28.999999988399999</v>
      </c>
      <c r="CB441">
        <f t="shared" ca="1" si="518"/>
        <v>19.522900763358777</v>
      </c>
      <c r="CC441" s="1018">
        <f t="shared" si="500"/>
        <v>0</v>
      </c>
      <c r="CD441" s="1018">
        <f t="shared" ca="1" si="554"/>
        <v>180.59547911245119</v>
      </c>
      <c r="CE441" s="1018">
        <f t="shared" ca="1" si="482"/>
        <v>124.22791065226887</v>
      </c>
      <c r="CF441">
        <f t="shared" ca="1" si="502"/>
        <v>9.1447016929416023</v>
      </c>
      <c r="CG441">
        <f t="shared" ca="1" si="503"/>
        <v>15225.562530680048</v>
      </c>
    </row>
    <row r="442" spans="3:85" x14ac:dyDescent="0.25">
      <c r="D442" s="1"/>
      <c r="F442" s="1"/>
      <c r="G442" s="3"/>
      <c r="H442" s="6"/>
      <c r="I442" s="3"/>
      <c r="K442" s="8"/>
      <c r="L442" s="6"/>
      <c r="M442" s="1"/>
      <c r="N442" s="1"/>
      <c r="O442" s="1" t="s">
        <v>18</v>
      </c>
      <c r="P442" s="4"/>
      <c r="Q442" s="1" t="s">
        <v>7</v>
      </c>
      <c r="R442" s="4"/>
      <c r="S442" s="1"/>
      <c r="T442" s="77"/>
      <c r="X442" s="176">
        <f t="shared" si="553"/>
        <v>0</v>
      </c>
      <c r="Y442" s="34">
        <f>X442/Calculation_sheet!M$67</f>
        <v>0</v>
      </c>
      <c r="Z442" s="176">
        <f ca="1">IF(AN442&gt;0,Y442*Calculation_sheet!C$87,0)</f>
        <v>0</v>
      </c>
      <c r="AA442" s="176">
        <f t="shared" ca="1" si="543"/>
        <v>0</v>
      </c>
      <c r="AB442" s="176">
        <f ca="1">IF(AP442&gt;0,AA442*Calculation_sheet!C$94,0)</f>
        <v>0</v>
      </c>
      <c r="AC442" s="176">
        <f t="shared" ca="1" si="544"/>
        <v>0</v>
      </c>
      <c r="AD442" s="958">
        <f ca="1">AC442*Calculation_sheet!C$99</f>
        <v>0</v>
      </c>
      <c r="AE442" s="176">
        <f t="shared" ca="1" si="544"/>
        <v>0</v>
      </c>
      <c r="AF442" s="176">
        <f t="shared" ca="1" si="545"/>
        <v>0</v>
      </c>
      <c r="AG442" s="958">
        <f ca="1">AF442*User_sheet!B$77/100</f>
        <v>0</v>
      </c>
      <c r="AH442" s="313"/>
      <c r="AI442" s="910">
        <v>204</v>
      </c>
      <c r="AJ442" s="313"/>
      <c r="AK442" s="1020">
        <f t="shared" ca="1" si="497"/>
        <v>180.59547911245119</v>
      </c>
      <c r="AL442" s="954">
        <f ca="1">AK442/'204'!I$24</f>
        <v>0.6592278850609643</v>
      </c>
      <c r="AM442" s="954">
        <f ca="1">0.8*(AK442*30+'204'!D$17*0.34*30*1)</f>
        <v>7919.3772986988279</v>
      </c>
      <c r="AN442" s="954">
        <f ca="1">IF(AM442&lt;User_sheet!B$50,Y442,0)</f>
        <v>0</v>
      </c>
      <c r="AO442" s="954">
        <f ca="1">20-(User_sheet!B$57/(AK442+'204'!D$17*1*0.34))</f>
        <v>2.7259145712786612</v>
      </c>
      <c r="AP442" s="954">
        <f ca="1">IF(AO442&lt;User_sheet!B$59,0,BC442*AA442)</f>
        <v>0</v>
      </c>
      <c r="AQ442" s="313"/>
      <c r="AR442" s="909">
        <v>0.32</v>
      </c>
      <c r="AS442" s="909">
        <v>0.54</v>
      </c>
      <c r="AT442" s="909">
        <v>0.45</v>
      </c>
      <c r="AU442" s="909">
        <v>2</v>
      </c>
      <c r="AV442" s="909">
        <v>3.3</v>
      </c>
      <c r="AW442" s="909">
        <v>14356</v>
      </c>
      <c r="AX442" s="909">
        <v>75022.04959166942</v>
      </c>
      <c r="AY442" s="909">
        <v>65937.809199439725</v>
      </c>
      <c r="AZ442" s="917">
        <v>0</v>
      </c>
      <c r="BA442" s="917">
        <v>0</v>
      </c>
      <c r="BB442" s="909">
        <v>0.6</v>
      </c>
      <c r="BC442" s="919">
        <v>0</v>
      </c>
      <c r="BD442" s="920">
        <v>1</v>
      </c>
      <c r="BE442" s="920">
        <v>0</v>
      </c>
      <c r="BF442" s="921">
        <v>0</v>
      </c>
      <c r="BG442" s="909">
        <v>1</v>
      </c>
      <c r="BH442" s="909">
        <v>0</v>
      </c>
      <c r="BI442" s="921">
        <v>0</v>
      </c>
      <c r="BJ442" s="909">
        <v>0</v>
      </c>
      <c r="BK442" s="909">
        <v>0</v>
      </c>
      <c r="BL442" s="909">
        <v>1</v>
      </c>
      <c r="BM442" s="921">
        <v>0</v>
      </c>
      <c r="BN442" s="958">
        <v>0.08</v>
      </c>
      <c r="BO442" s="50">
        <v>12</v>
      </c>
      <c r="BP442">
        <f t="shared" ca="1" si="546"/>
        <v>150</v>
      </c>
      <c r="BQ442">
        <f t="shared" ca="1" si="547"/>
        <v>372.82075000000003</v>
      </c>
      <c r="BR442">
        <f t="shared" ca="1" si="548"/>
        <v>111</v>
      </c>
      <c r="BS442">
        <f t="shared" ca="1" si="549"/>
        <v>120</v>
      </c>
      <c r="BT442">
        <f t="shared" ca="1" si="550"/>
        <v>86.25</v>
      </c>
      <c r="BU442">
        <f t="shared" ca="1" si="551"/>
        <v>14.5</v>
      </c>
      <c r="BV442">
        <f t="shared" ca="1" si="552"/>
        <v>9.3000000000000007</v>
      </c>
      <c r="BW442" s="1018">
        <v>0</v>
      </c>
      <c r="BX442">
        <f t="shared" ca="1" si="516"/>
        <v>33.6533602829712</v>
      </c>
      <c r="BY442">
        <f t="shared" ca="1" si="517"/>
        <v>59.253840526700813</v>
      </c>
      <c r="BZ442">
        <f t="shared" ca="1" si="498"/>
        <v>11.881377551020408</v>
      </c>
      <c r="CA442">
        <f t="shared" ca="1" si="499"/>
        <v>28.999999988399999</v>
      </c>
      <c r="CB442">
        <f t="shared" ca="1" si="518"/>
        <v>19.522900763358777</v>
      </c>
      <c r="CC442" s="1018">
        <f t="shared" si="500"/>
        <v>0</v>
      </c>
      <c r="CD442" s="1018">
        <f t="shared" ca="1" si="554"/>
        <v>180.59547911245119</v>
      </c>
      <c r="CE442" s="1018">
        <f t="shared" ca="1" si="482"/>
        <v>124.22791065226887</v>
      </c>
      <c r="CF442">
        <f t="shared" ca="1" si="502"/>
        <v>9.1447016929416023</v>
      </c>
      <c r="CG442">
        <f t="shared" ca="1" si="503"/>
        <v>15225.562530680048</v>
      </c>
    </row>
    <row r="443" spans="3:85" x14ac:dyDescent="0.25">
      <c r="D443" s="1"/>
      <c r="F443" s="1"/>
      <c r="G443" s="3"/>
      <c r="H443" s="6"/>
      <c r="I443" s="3"/>
      <c r="K443" s="8"/>
      <c r="L443" s="6"/>
      <c r="M443" s="1"/>
      <c r="N443" s="1"/>
      <c r="O443" s="1"/>
      <c r="P443" s="1"/>
      <c r="Q443" s="1" t="s">
        <v>22</v>
      </c>
      <c r="R443" s="4"/>
      <c r="S443" s="1"/>
      <c r="T443" s="77"/>
      <c r="X443" s="176">
        <f t="shared" si="553"/>
        <v>0</v>
      </c>
      <c r="Y443" s="34">
        <f>X443/Calculation_sheet!M$67</f>
        <v>0</v>
      </c>
      <c r="Z443" s="176">
        <f ca="1">IF(AN443&gt;0,Y443*Calculation_sheet!C$87,0)</f>
        <v>0</v>
      </c>
      <c r="AA443" s="176">
        <f t="shared" ca="1" si="543"/>
        <v>0</v>
      </c>
      <c r="AB443" s="176">
        <f ca="1">IF(AP443&gt;0,AA443*Calculation_sheet!C$94,0)</f>
        <v>0</v>
      </c>
      <c r="AC443" s="176">
        <f t="shared" ca="1" si="544"/>
        <v>0</v>
      </c>
      <c r="AD443" s="958">
        <f ca="1">AC443*Calculation_sheet!C$99</f>
        <v>0</v>
      </c>
      <c r="AE443" s="176">
        <f t="shared" ca="1" si="544"/>
        <v>0</v>
      </c>
      <c r="AF443" s="176">
        <f t="shared" ca="1" si="545"/>
        <v>0</v>
      </c>
      <c r="AG443" s="958">
        <f ca="1">AF443*User_sheet!B$77/100</f>
        <v>0</v>
      </c>
      <c r="AH443" s="313"/>
      <c r="AI443" s="910">
        <v>204</v>
      </c>
      <c r="AJ443" s="313"/>
      <c r="AK443" s="1020">
        <f t="shared" ca="1" si="497"/>
        <v>180.59547911245119</v>
      </c>
      <c r="AL443" s="954">
        <f ca="1">AK443/'204'!I$24</f>
        <v>0.6592278850609643</v>
      </c>
      <c r="AM443" s="954">
        <f ca="1">0.8*(AK443*30+'204'!D$17*0.34*30*1)</f>
        <v>7919.3772986988279</v>
      </c>
      <c r="AN443" s="954">
        <f ca="1">IF(AM443&lt;User_sheet!B$50,Y443,0)</f>
        <v>0</v>
      </c>
      <c r="AO443" s="954">
        <f ca="1">20-(User_sheet!B$57/(AK443+'204'!D$17*1*0.34))</f>
        <v>2.7259145712786612</v>
      </c>
      <c r="AP443" s="954">
        <f ca="1">IF(AO443&lt;User_sheet!B$59,0,BC443*AA443)</f>
        <v>0</v>
      </c>
      <c r="AQ443" s="313"/>
      <c r="AR443" s="909">
        <v>0.32</v>
      </c>
      <c r="AS443" s="909">
        <v>0.54</v>
      </c>
      <c r="AT443" s="909">
        <v>0.45</v>
      </c>
      <c r="AU443" s="909">
        <v>2</v>
      </c>
      <c r="AV443" s="909">
        <v>3.3</v>
      </c>
      <c r="AW443" s="909">
        <v>14356</v>
      </c>
      <c r="AX443" s="909">
        <v>75022.04959166942</v>
      </c>
      <c r="AY443" s="909">
        <v>65937.809199439725</v>
      </c>
      <c r="AZ443" s="917">
        <v>0</v>
      </c>
      <c r="BA443" s="917">
        <v>0</v>
      </c>
      <c r="BB443" s="909">
        <v>0.6</v>
      </c>
      <c r="BC443" s="919">
        <v>0</v>
      </c>
      <c r="BD443" s="920">
        <v>1</v>
      </c>
      <c r="BE443" s="920">
        <v>0</v>
      </c>
      <c r="BF443" s="921">
        <v>0</v>
      </c>
      <c r="BG443" s="909">
        <v>0</v>
      </c>
      <c r="BH443" s="909">
        <v>1</v>
      </c>
      <c r="BI443" s="921">
        <v>0</v>
      </c>
      <c r="BJ443" s="909">
        <v>0</v>
      </c>
      <c r="BK443" s="909">
        <v>1</v>
      </c>
      <c r="BL443" s="909">
        <v>0</v>
      </c>
      <c r="BM443" s="921">
        <v>0</v>
      </c>
      <c r="BN443" s="958">
        <v>0.08</v>
      </c>
      <c r="BO443" s="50">
        <v>12</v>
      </c>
      <c r="BP443">
        <f t="shared" ca="1" si="546"/>
        <v>150</v>
      </c>
      <c r="BQ443">
        <f t="shared" ca="1" si="547"/>
        <v>372.82075000000003</v>
      </c>
      <c r="BR443">
        <f t="shared" ca="1" si="548"/>
        <v>111</v>
      </c>
      <c r="BS443">
        <f t="shared" ca="1" si="549"/>
        <v>120</v>
      </c>
      <c r="BT443">
        <f t="shared" ca="1" si="550"/>
        <v>86.25</v>
      </c>
      <c r="BU443">
        <f t="shared" ca="1" si="551"/>
        <v>14.5</v>
      </c>
      <c r="BV443">
        <f t="shared" ca="1" si="552"/>
        <v>9.3000000000000007</v>
      </c>
      <c r="BW443" s="1018">
        <v>0</v>
      </c>
      <c r="BX443">
        <f t="shared" ca="1" si="516"/>
        <v>33.6533602829712</v>
      </c>
      <c r="BY443">
        <f t="shared" ca="1" si="517"/>
        <v>59.253840526700813</v>
      </c>
      <c r="BZ443">
        <f t="shared" ca="1" si="498"/>
        <v>11.881377551020408</v>
      </c>
      <c r="CA443">
        <f t="shared" ca="1" si="499"/>
        <v>28.999999988399999</v>
      </c>
      <c r="CB443">
        <f t="shared" ca="1" si="518"/>
        <v>19.522900763358777</v>
      </c>
      <c r="CC443" s="1018">
        <f t="shared" si="500"/>
        <v>0</v>
      </c>
      <c r="CD443" s="1018">
        <f t="shared" ca="1" si="554"/>
        <v>180.59547911245119</v>
      </c>
      <c r="CE443" s="1018">
        <f t="shared" ca="1" si="482"/>
        <v>124.22791065226887</v>
      </c>
      <c r="CF443">
        <f t="shared" ca="1" si="502"/>
        <v>9.1447016929416023</v>
      </c>
      <c r="CG443">
        <f t="shared" ca="1" si="503"/>
        <v>15225.562530680048</v>
      </c>
    </row>
    <row r="444" spans="3:85" x14ac:dyDescent="0.25">
      <c r="D444" s="1"/>
      <c r="F444" s="1"/>
      <c r="G444" s="3"/>
      <c r="H444" s="6"/>
      <c r="I444" s="3"/>
      <c r="J444" s="6"/>
      <c r="K444" s="8"/>
      <c r="L444" s="6"/>
      <c r="M444" s="1" t="s">
        <v>22</v>
      </c>
      <c r="N444" s="4"/>
      <c r="O444" s="1" t="s">
        <v>20</v>
      </c>
      <c r="P444" s="4"/>
      <c r="Q444" s="1" t="s">
        <v>7</v>
      </c>
      <c r="R444" s="4"/>
      <c r="S444" s="1"/>
      <c r="T444" s="77"/>
      <c r="X444" s="176">
        <f t="shared" si="553"/>
        <v>0</v>
      </c>
      <c r="Y444" s="34">
        <f>X444/Calculation_sheet!M$67</f>
        <v>0</v>
      </c>
      <c r="Z444" s="176">
        <f ca="1">IF(AN444&gt;0,Y444*Calculation_sheet!C$87,0)</f>
        <v>0</v>
      </c>
      <c r="AA444" s="176">
        <f t="shared" ca="1" si="543"/>
        <v>0</v>
      </c>
      <c r="AB444" s="176">
        <f ca="1">IF(AP444&gt;0,AA444*Calculation_sheet!C$94,0)</f>
        <v>0</v>
      </c>
      <c r="AC444" s="176">
        <f t="shared" ca="1" si="544"/>
        <v>0</v>
      </c>
      <c r="AD444" s="958">
        <f ca="1">AC444*Calculation_sheet!C$99</f>
        <v>0</v>
      </c>
      <c r="AE444" s="176">
        <f t="shared" ca="1" si="544"/>
        <v>0</v>
      </c>
      <c r="AF444" s="176">
        <f t="shared" ca="1" si="545"/>
        <v>0</v>
      </c>
      <c r="AG444" s="958">
        <f ca="1">AF444*User_sheet!B$77/100</f>
        <v>0</v>
      </c>
      <c r="AH444" s="313"/>
      <c r="AI444" s="910">
        <v>204</v>
      </c>
      <c r="AJ444" s="313"/>
      <c r="AK444" s="1020">
        <f t="shared" ca="1" si="497"/>
        <v>180.59547911245119</v>
      </c>
      <c r="AL444" s="954">
        <f ca="1">AK444/'204'!I$24</f>
        <v>0.6592278850609643</v>
      </c>
      <c r="AM444" s="954">
        <f ca="1">0.8*(AK444*30+'204'!D$17*0.34*30*1)</f>
        <v>7919.3772986988279</v>
      </c>
      <c r="AN444" s="954">
        <f ca="1">IF(AM444&lt;User_sheet!B$50,Y444,0)</f>
        <v>0</v>
      </c>
      <c r="AO444" s="954">
        <f ca="1">20-(User_sheet!B$57/(AK444+'204'!D$17*1*0.34))</f>
        <v>2.7259145712786612</v>
      </c>
      <c r="AP444" s="954">
        <f ca="1">IF(AO444&lt;User_sheet!B$59,0,BC444*AA444)</f>
        <v>0</v>
      </c>
      <c r="AQ444" s="313"/>
      <c r="AR444" s="909">
        <v>0.32</v>
      </c>
      <c r="AS444" s="909">
        <v>0.54</v>
      </c>
      <c r="AT444" s="909">
        <v>0.45</v>
      </c>
      <c r="AU444" s="909">
        <v>2</v>
      </c>
      <c r="AV444" s="909">
        <v>3.3</v>
      </c>
      <c r="AW444" s="909">
        <v>14356</v>
      </c>
      <c r="AX444" s="909">
        <v>75022.04959166942</v>
      </c>
      <c r="AY444" s="909">
        <v>65937.809199439725</v>
      </c>
      <c r="AZ444" s="917">
        <v>0</v>
      </c>
      <c r="BA444" s="917">
        <v>0</v>
      </c>
      <c r="BB444" s="909">
        <v>0.6</v>
      </c>
      <c r="BC444" s="919">
        <v>0</v>
      </c>
      <c r="BD444" s="920">
        <v>1</v>
      </c>
      <c r="BE444" s="920">
        <v>0</v>
      </c>
      <c r="BF444" s="921">
        <v>0</v>
      </c>
      <c r="BG444" s="909">
        <v>0</v>
      </c>
      <c r="BH444" s="909">
        <v>1</v>
      </c>
      <c r="BI444" s="921">
        <v>0</v>
      </c>
      <c r="BJ444" s="909">
        <v>0</v>
      </c>
      <c r="BK444" s="909">
        <v>0</v>
      </c>
      <c r="BL444" s="909">
        <v>1</v>
      </c>
      <c r="BM444" s="921">
        <v>0</v>
      </c>
      <c r="BN444" s="958">
        <v>0.08</v>
      </c>
      <c r="BO444" s="50">
        <v>12</v>
      </c>
      <c r="BP444">
        <f t="shared" ca="1" si="546"/>
        <v>150</v>
      </c>
      <c r="BQ444">
        <f t="shared" ca="1" si="547"/>
        <v>372.82075000000003</v>
      </c>
      <c r="BR444">
        <f t="shared" ca="1" si="548"/>
        <v>111</v>
      </c>
      <c r="BS444">
        <f t="shared" ca="1" si="549"/>
        <v>120</v>
      </c>
      <c r="BT444">
        <f t="shared" ca="1" si="550"/>
        <v>86.25</v>
      </c>
      <c r="BU444">
        <f t="shared" ca="1" si="551"/>
        <v>14.5</v>
      </c>
      <c r="BV444">
        <f t="shared" ca="1" si="552"/>
        <v>9.3000000000000007</v>
      </c>
      <c r="BW444" s="1018">
        <v>0</v>
      </c>
      <c r="BX444">
        <f t="shared" ca="1" si="516"/>
        <v>33.6533602829712</v>
      </c>
      <c r="BY444">
        <f t="shared" ca="1" si="517"/>
        <v>59.253840526700813</v>
      </c>
      <c r="BZ444">
        <f t="shared" ca="1" si="498"/>
        <v>11.881377551020408</v>
      </c>
      <c r="CA444">
        <f t="shared" ca="1" si="499"/>
        <v>28.999999988399999</v>
      </c>
      <c r="CB444">
        <f t="shared" ca="1" si="518"/>
        <v>19.522900763358777</v>
      </c>
      <c r="CC444" s="1018">
        <f t="shared" si="500"/>
        <v>0</v>
      </c>
      <c r="CD444" s="1018">
        <f t="shared" ca="1" si="554"/>
        <v>180.59547911245119</v>
      </c>
      <c r="CE444" s="1018">
        <f t="shared" ca="1" si="482"/>
        <v>124.22791065226887</v>
      </c>
      <c r="CF444">
        <f t="shared" ca="1" si="502"/>
        <v>9.1447016929416023</v>
      </c>
      <c r="CG444">
        <f t="shared" ca="1" si="503"/>
        <v>15225.562530680048</v>
      </c>
    </row>
    <row r="445" spans="3:85" x14ac:dyDescent="0.25">
      <c r="D445" s="1"/>
      <c r="F445" s="1"/>
      <c r="G445" s="3"/>
      <c r="H445" s="6"/>
      <c r="I445" s="3"/>
      <c r="J445" s="6"/>
      <c r="K445" s="8"/>
      <c r="L445" s="6"/>
      <c r="M445" s="1" t="s">
        <v>7</v>
      </c>
      <c r="N445" s="4"/>
      <c r="O445" s="1" t="s">
        <v>23</v>
      </c>
      <c r="P445" s="4"/>
      <c r="Q445" s="1" t="s">
        <v>7</v>
      </c>
      <c r="R445" s="4"/>
      <c r="S445" s="1"/>
      <c r="T445" s="77"/>
      <c r="X445" s="176">
        <f t="shared" si="553"/>
        <v>0</v>
      </c>
      <c r="Y445" s="34">
        <f>X445/Calculation_sheet!M$67</f>
        <v>0</v>
      </c>
      <c r="Z445" s="176">
        <f ca="1">IF(AN445&gt;0,Y445*Calculation_sheet!C$87,0)</f>
        <v>0</v>
      </c>
      <c r="AA445" s="176">
        <f t="shared" ca="1" si="543"/>
        <v>0</v>
      </c>
      <c r="AB445" s="176">
        <f ca="1">IF(AP445&gt;0,AA445*Calculation_sheet!C$94,0)</f>
        <v>0</v>
      </c>
      <c r="AC445" s="176">
        <f t="shared" ca="1" si="544"/>
        <v>0</v>
      </c>
      <c r="AD445" s="958">
        <f ca="1">AC445*Calculation_sheet!C$99</f>
        <v>0</v>
      </c>
      <c r="AE445" s="176">
        <f t="shared" ca="1" si="544"/>
        <v>0</v>
      </c>
      <c r="AF445" s="176">
        <f t="shared" ca="1" si="545"/>
        <v>0</v>
      </c>
      <c r="AG445" s="958">
        <f ca="1">AF445*User_sheet!B$77/100</f>
        <v>0</v>
      </c>
      <c r="AH445" s="313"/>
      <c r="AI445" s="910">
        <v>204</v>
      </c>
      <c r="AJ445" s="313"/>
      <c r="AK445" s="1020">
        <f t="shared" ca="1" si="497"/>
        <v>180.59547911245119</v>
      </c>
      <c r="AL445" s="954">
        <f ca="1">AK445/'204'!I$24</f>
        <v>0.6592278850609643</v>
      </c>
      <c r="AM445" s="954">
        <f ca="1">0.8*(AK445*30+'204'!D$17*0.34*30*1)</f>
        <v>7919.3772986988279</v>
      </c>
      <c r="AN445" s="954">
        <f ca="1">IF(AM445&lt;User_sheet!B$50,Y445,0)</f>
        <v>0</v>
      </c>
      <c r="AO445" s="954">
        <f ca="1">20-(User_sheet!B$57/(AK445+'204'!D$17*1*0.34))</f>
        <v>2.7259145712786612</v>
      </c>
      <c r="AP445" s="954">
        <f ca="1">IF(AO445&lt;User_sheet!B$59,0,BC445*AA445)</f>
        <v>0</v>
      </c>
      <c r="AQ445" s="313"/>
      <c r="AR445" s="909">
        <v>0.32</v>
      </c>
      <c r="AS445" s="909">
        <v>0.54</v>
      </c>
      <c r="AT445" s="909">
        <v>0.45</v>
      </c>
      <c r="AU445" s="909">
        <v>2</v>
      </c>
      <c r="AV445" s="909">
        <v>3.3</v>
      </c>
      <c r="AW445" s="909">
        <v>14356</v>
      </c>
      <c r="AX445" s="909">
        <v>75022.04959166942</v>
      </c>
      <c r="AY445" s="909">
        <v>65937.809199439725</v>
      </c>
      <c r="AZ445" s="917">
        <v>0</v>
      </c>
      <c r="BA445" s="917">
        <v>0</v>
      </c>
      <c r="BB445" s="909">
        <v>0.6</v>
      </c>
      <c r="BC445" s="919">
        <v>0</v>
      </c>
      <c r="BD445" s="920">
        <v>0</v>
      </c>
      <c r="BE445" s="920">
        <v>1</v>
      </c>
      <c r="BF445" s="921">
        <v>0</v>
      </c>
      <c r="BG445" s="909">
        <v>0</v>
      </c>
      <c r="BH445" s="909">
        <v>0</v>
      </c>
      <c r="BI445" s="921">
        <v>1</v>
      </c>
      <c r="BJ445" s="909">
        <v>0</v>
      </c>
      <c r="BK445" s="909">
        <v>0</v>
      </c>
      <c r="BL445" s="909">
        <v>1</v>
      </c>
      <c r="BM445" s="921">
        <v>0</v>
      </c>
      <c r="BN445" s="958">
        <v>0.08</v>
      </c>
      <c r="BO445" s="50">
        <v>12</v>
      </c>
      <c r="BP445">
        <f t="shared" ca="1" si="546"/>
        <v>150</v>
      </c>
      <c r="BQ445">
        <f t="shared" ca="1" si="547"/>
        <v>372.82075000000003</v>
      </c>
      <c r="BR445">
        <f t="shared" ca="1" si="548"/>
        <v>111</v>
      </c>
      <c r="BS445">
        <f t="shared" ca="1" si="549"/>
        <v>120</v>
      </c>
      <c r="BT445">
        <f t="shared" ca="1" si="550"/>
        <v>86.25</v>
      </c>
      <c r="BU445">
        <f t="shared" ca="1" si="551"/>
        <v>14.5</v>
      </c>
      <c r="BV445">
        <f t="shared" ca="1" si="552"/>
        <v>9.3000000000000007</v>
      </c>
      <c r="BW445" s="1018">
        <v>0</v>
      </c>
      <c r="BX445">
        <f t="shared" ca="1" si="516"/>
        <v>33.6533602829712</v>
      </c>
      <c r="BY445">
        <f t="shared" ca="1" si="517"/>
        <v>59.253840526700813</v>
      </c>
      <c r="BZ445">
        <f t="shared" ca="1" si="498"/>
        <v>11.881377551020408</v>
      </c>
      <c r="CA445">
        <f t="shared" ca="1" si="499"/>
        <v>28.999999988399999</v>
      </c>
      <c r="CB445">
        <f t="shared" ca="1" si="518"/>
        <v>19.522900763358777</v>
      </c>
      <c r="CC445" s="1018">
        <f t="shared" si="500"/>
        <v>0</v>
      </c>
      <c r="CD445" s="1018">
        <f t="shared" ca="1" si="554"/>
        <v>180.59547911245119</v>
      </c>
      <c r="CE445" s="1018">
        <f t="shared" ca="1" si="482"/>
        <v>124.22791065226887</v>
      </c>
      <c r="CF445">
        <f t="shared" ca="1" si="502"/>
        <v>9.1447016929416023</v>
      </c>
      <c r="CG445">
        <f t="shared" ca="1" si="503"/>
        <v>15225.562530680048</v>
      </c>
    </row>
    <row r="446" spans="3:85" s="11" customFormat="1" x14ac:dyDescent="0.25">
      <c r="D446" s="12"/>
      <c r="F446" s="12"/>
      <c r="H446" s="12"/>
      <c r="J446" s="12"/>
      <c r="M446" s="12"/>
      <c r="N446" s="12"/>
      <c r="O446" s="12"/>
      <c r="P446" s="12"/>
      <c r="Q446" s="12"/>
      <c r="R446" s="12"/>
      <c r="S446" s="12"/>
      <c r="T446" s="82"/>
      <c r="V446" s="292"/>
      <c r="W446" s="292"/>
      <c r="X446" s="292"/>
      <c r="Y446" s="277"/>
      <c r="Z446" s="292"/>
      <c r="AA446" s="292"/>
      <c r="AB446" s="292"/>
      <c r="AC446" s="292"/>
      <c r="AD446" s="277"/>
      <c r="AE446" s="292"/>
      <c r="AF446" s="292"/>
      <c r="AG446" s="277"/>
      <c r="AH446" s="313"/>
      <c r="AI446" s="912"/>
      <c r="AJ446" s="313"/>
      <c r="AK446" s="1020">
        <f t="shared" si="497"/>
        <v>0</v>
      </c>
      <c r="AL446" s="941"/>
      <c r="AM446" s="941"/>
      <c r="AN446" s="955"/>
      <c r="AO446" s="955"/>
      <c r="AP446" s="955"/>
      <c r="AQ446" s="313"/>
      <c r="AR446" s="918"/>
      <c r="AS446" s="918"/>
      <c r="AT446" s="918"/>
      <c r="AU446" s="918"/>
      <c r="AV446" s="918"/>
      <c r="AW446" s="918"/>
      <c r="AX446" s="918"/>
      <c r="AY446" s="918"/>
      <c r="AZ446" s="918"/>
      <c r="BA446" s="918"/>
      <c r="BB446" s="918"/>
      <c r="BC446" s="45"/>
      <c r="BD446" s="277"/>
      <c r="BE446" s="277"/>
      <c r="BF446" s="49"/>
      <c r="BG446" s="918"/>
      <c r="BH446" s="918"/>
      <c r="BI446" s="49"/>
      <c r="BJ446" s="918"/>
      <c r="BK446" s="918"/>
      <c r="BL446" s="918"/>
      <c r="BM446" s="49"/>
      <c r="BN446" s="277"/>
      <c r="BO446" s="49"/>
      <c r="BW446" s="946"/>
      <c r="CC446" s="946"/>
      <c r="CD446" s="946"/>
      <c r="CE446" s="946"/>
    </row>
    <row r="447" spans="3:85" x14ac:dyDescent="0.25">
      <c r="C447" s="611"/>
      <c r="D447" s="612"/>
      <c r="E447" s="617" t="s">
        <v>15</v>
      </c>
      <c r="F447" s="618">
        <v>0.32521700000000003</v>
      </c>
      <c r="G447" s="611"/>
      <c r="H447" s="611"/>
      <c r="I447" s="611" t="s">
        <v>10</v>
      </c>
      <c r="J447" s="615">
        <v>0.49009999999999998</v>
      </c>
      <c r="K447" s="612"/>
      <c r="L447" s="612"/>
      <c r="M447" s="612"/>
      <c r="N447" s="612"/>
      <c r="O447" s="612"/>
      <c r="P447" s="612"/>
      <c r="Q447" s="612" t="s">
        <v>16</v>
      </c>
      <c r="R447" s="613">
        <v>0.81069999999999998</v>
      </c>
      <c r="S447" s="612"/>
      <c r="T447" s="620">
        <v>3.5435541536123916E-4</v>
      </c>
      <c r="U447" s="611"/>
      <c r="V447" s="176">
        <f t="shared" si="472"/>
        <v>3.5435541536123916E-4</v>
      </c>
      <c r="W447" s="176">
        <f>V447-V447*Calculation_sheet!J$69</f>
        <v>3.5435541536123916E-4</v>
      </c>
      <c r="X447" s="176">
        <f>W447-W447*Calculation_sheet!J$79</f>
        <v>3.5435541536123916E-4</v>
      </c>
      <c r="Y447" s="34">
        <f>X447/Calculation_sheet!M$67</f>
        <v>3.5436266066395913E-4</v>
      </c>
      <c r="Z447" s="176">
        <f ca="1">IF(AN447&gt;0,Y447*Calculation_sheet!C$87,0)</f>
        <v>0</v>
      </c>
      <c r="AA447" s="176">
        <f t="shared" ref="AA447:AA455" ca="1" si="555">Y447-Z447</f>
        <v>3.5436266066395913E-4</v>
      </c>
      <c r="AB447" s="176">
        <f ca="1">IF(AP447&gt;0,AA447*Calculation_sheet!C$94,0)</f>
        <v>0</v>
      </c>
      <c r="AC447" s="176">
        <f t="shared" ref="AC447:AE455" ca="1" si="556">AA447-AB447</f>
        <v>3.5436266066395913E-4</v>
      </c>
      <c r="AD447" s="958">
        <f ca="1">AC447*Calculation_sheet!C$99</f>
        <v>2.1261759639837547E-4</v>
      </c>
      <c r="AE447" s="176">
        <f t="shared" ca="1" si="556"/>
        <v>1.4174506426558366E-4</v>
      </c>
      <c r="AF447" s="176">
        <f t="shared" ref="AF447:AF455" ca="1" si="557">Y447-AB447</f>
        <v>3.5436266066395913E-4</v>
      </c>
      <c r="AG447" s="958">
        <f ca="1">AF447*User_sheet!B$77/100</f>
        <v>0</v>
      </c>
      <c r="AH447" s="313"/>
      <c r="AI447" s="910">
        <v>204</v>
      </c>
      <c r="AJ447" s="313"/>
      <c r="AK447" s="1020">
        <f t="shared" ca="1" si="497"/>
        <v>203.95343311571236</v>
      </c>
      <c r="AL447" s="954">
        <f ca="1">AK447/'204'!I$24</f>
        <v>0.74449145141709194</v>
      </c>
      <c r="AM447" s="954">
        <f ca="1">0.8*(AK447*30+'204'!D$17*0.34*30*1)</f>
        <v>8479.9681947770969</v>
      </c>
      <c r="AN447" s="954">
        <f ca="1">IF(AM447&lt;User_sheet!B$50,Y447,0)</f>
        <v>3.5436266066395913E-4</v>
      </c>
      <c r="AO447" s="954">
        <f ca="1">20-(User_sheet!B$57/(AK447+'204'!D$17*1*0.34))</f>
        <v>3.8678640228560539</v>
      </c>
      <c r="AP447" s="954">
        <f ca="1">IF(AO447&lt;User_sheet!B$59,0,BC447*AA447)</f>
        <v>0</v>
      </c>
      <c r="AQ447" s="313"/>
      <c r="AR447" s="909">
        <v>0.47</v>
      </c>
      <c r="AS447" s="909">
        <v>0.54</v>
      </c>
      <c r="AT447" s="909">
        <v>0.83</v>
      </c>
      <c r="AU447" s="909">
        <v>2</v>
      </c>
      <c r="AV447" s="909">
        <v>3.3</v>
      </c>
      <c r="AW447" s="909">
        <v>12848.541887298286</v>
      </c>
      <c r="AX447" s="909">
        <v>75022.04959166942</v>
      </c>
      <c r="AY447" s="909">
        <v>69245.59826015502</v>
      </c>
      <c r="AZ447" s="917">
        <v>0</v>
      </c>
      <c r="BA447" s="917">
        <v>0</v>
      </c>
      <c r="BB447" s="909">
        <v>0.6</v>
      </c>
      <c r="BC447" s="919">
        <v>1</v>
      </c>
      <c r="BD447" s="920">
        <v>0</v>
      </c>
      <c r="BE447" s="920">
        <v>0</v>
      </c>
      <c r="BF447" s="921">
        <v>0</v>
      </c>
      <c r="BG447" s="909">
        <v>1</v>
      </c>
      <c r="BH447" s="909">
        <v>0</v>
      </c>
      <c r="BI447" s="921">
        <v>0</v>
      </c>
      <c r="BJ447" s="909">
        <v>1</v>
      </c>
      <c r="BK447" s="909">
        <v>0</v>
      </c>
      <c r="BL447" s="909">
        <v>0</v>
      </c>
      <c r="BM447" s="921">
        <v>0</v>
      </c>
      <c r="BN447" s="958">
        <v>0.08</v>
      </c>
      <c r="BO447" s="50">
        <v>12</v>
      </c>
      <c r="BP447">
        <f t="shared" ref="BP447:BP455" ca="1" si="558">INDIRECT("'"&amp;AI447&amp;"'!"&amp;"B2")</f>
        <v>150</v>
      </c>
      <c r="BQ447">
        <f t="shared" ref="BQ447:BQ455" ca="1" si="559">INDIRECT("'"&amp;AI447&amp;"'!"&amp;"C12")+INDIRECT("'"&amp;AI447&amp;"'!"&amp;"C13")+INDIRECT("'"&amp;AI447&amp;"'!"&amp;"C14")+INDIRECT("'"&amp;AI447&amp;"'!"&amp;"C15")+INDIRECT("'"&amp;AI447&amp;"'!"&amp;"C17")</f>
        <v>372.82075000000003</v>
      </c>
      <c r="BR447">
        <f t="shared" ref="BR447:BR455" ca="1" si="560">INDIRECT("'"&amp;AI447&amp;"'!"&amp;"G5")</f>
        <v>111</v>
      </c>
      <c r="BS447">
        <f t="shared" ref="BS447:BS455" ca="1" si="561">INDIRECT("'"&amp;AI447&amp;"'!"&amp;"G4")</f>
        <v>120</v>
      </c>
      <c r="BT447">
        <f t="shared" ref="BT447:BT455" ca="1" si="562">INDIRECT("'"&amp;AI447&amp;"'!"&amp;"G6")</f>
        <v>86.25</v>
      </c>
      <c r="BU447">
        <f t="shared" ref="BU447:BU455" ca="1" si="563">INDIRECT("'"&amp;AI447&amp;"'!"&amp;"G2")</f>
        <v>14.5</v>
      </c>
      <c r="BV447">
        <f t="shared" ref="BV447:BV455" ca="1" si="564">INDIRECT("'"&amp;AI447&amp;"'!"&amp;"G3")</f>
        <v>9.3000000000000007</v>
      </c>
      <c r="BW447" s="1018">
        <v>0</v>
      </c>
      <c r="BX447">
        <f t="shared" ca="1" si="516"/>
        <v>48.240044384169643</v>
      </c>
      <c r="BY447">
        <f t="shared" ca="1" si="517"/>
        <v>59.253840526700813</v>
      </c>
      <c r="BZ447">
        <f t="shared" ca="1" si="498"/>
        <v>20.652647453083109</v>
      </c>
      <c r="CA447">
        <f t="shared" ca="1" si="499"/>
        <v>28.999999988399999</v>
      </c>
      <c r="CB447">
        <f t="shared" ca="1" si="518"/>
        <v>19.522900763358777</v>
      </c>
      <c r="CC447" s="1018">
        <f t="shared" si="500"/>
        <v>0</v>
      </c>
      <c r="CD447" s="1018">
        <f ca="1">SUM(BX447:CC447)+(BR447+BS447+BT447+BU447+BV447)*BN447</f>
        <v>203.95343311571236</v>
      </c>
      <c r="CE447" s="1018">
        <f t="shared" ref="CE447:CE455" ca="1" si="565">0.34*BO447*(1/25)^0.66*(BR447+BS447+BU447+BV447)</f>
        <v>124.22791065226887</v>
      </c>
      <c r="CF447">
        <f t="shared" ca="1" si="502"/>
        <v>9.8454403130394361</v>
      </c>
      <c r="CG447">
        <f t="shared" ca="1" si="503"/>
        <v>16392.264303598138</v>
      </c>
    </row>
    <row r="448" spans="3:85" x14ac:dyDescent="0.25">
      <c r="C448" s="611"/>
      <c r="D448" s="612"/>
      <c r="E448" s="611"/>
      <c r="F448" s="612"/>
      <c r="G448" s="611"/>
      <c r="H448" s="612"/>
      <c r="I448" s="611"/>
      <c r="J448" s="612"/>
      <c r="K448" s="612"/>
      <c r="L448" s="616"/>
      <c r="M448" s="612"/>
      <c r="N448" s="612"/>
      <c r="O448" s="612" t="s">
        <v>18</v>
      </c>
      <c r="P448" s="613">
        <v>0.962121212</v>
      </c>
      <c r="Q448" s="612" t="s">
        <v>7</v>
      </c>
      <c r="R448" s="613">
        <v>0.1893</v>
      </c>
      <c r="S448" s="612"/>
      <c r="T448" s="620">
        <v>8.2742666988876973E-5</v>
      </c>
      <c r="U448" s="611"/>
      <c r="V448" s="176">
        <f t="shared" si="472"/>
        <v>8.2742666988876973E-5</v>
      </c>
      <c r="W448" s="176">
        <f>V448-V448*Calculation_sheet!J$69</f>
        <v>8.2742666988876973E-5</v>
      </c>
      <c r="X448" s="176">
        <f>W448-W448*Calculation_sheet!J$79</f>
        <v>8.2742666988876973E-5</v>
      </c>
      <c r="Y448" s="34">
        <f>X448/Calculation_sheet!M$67</f>
        <v>8.2744358780914584E-5</v>
      </c>
      <c r="Z448" s="176">
        <f ca="1">IF(AN448&gt;0,Y448*Calculation_sheet!C$87,0)</f>
        <v>0</v>
      </c>
      <c r="AA448" s="176">
        <f t="shared" ca="1" si="555"/>
        <v>8.2744358780914584E-5</v>
      </c>
      <c r="AB448" s="176">
        <f ca="1">IF(AP448&gt;0,AA448*Calculation_sheet!C$94,0)</f>
        <v>0</v>
      </c>
      <c r="AC448" s="176">
        <f t="shared" ca="1" si="556"/>
        <v>8.2744358780914584E-5</v>
      </c>
      <c r="AD448" s="958">
        <f ca="1">AC448*Calculation_sheet!C$99</f>
        <v>4.9646615268548748E-5</v>
      </c>
      <c r="AE448" s="176">
        <f t="shared" ca="1" si="556"/>
        <v>3.3097743512365836E-5</v>
      </c>
      <c r="AF448" s="176">
        <f t="shared" ca="1" si="557"/>
        <v>8.2744358780914584E-5</v>
      </c>
      <c r="AG448" s="958">
        <f ca="1">AF448*User_sheet!B$77/100</f>
        <v>0</v>
      </c>
      <c r="AH448" s="313"/>
      <c r="AI448" s="910">
        <v>204</v>
      </c>
      <c r="AJ448" s="313"/>
      <c r="AK448" s="1020">
        <f t="shared" ca="1" si="497"/>
        <v>203.95343311571236</v>
      </c>
      <c r="AL448" s="954">
        <f ca="1">AK448/'204'!I$24</f>
        <v>0.74449145141709194</v>
      </c>
      <c r="AM448" s="954">
        <f ca="1">0.8*(AK448*30+'204'!D$17*0.34*30*1)</f>
        <v>8479.9681947770969</v>
      </c>
      <c r="AN448" s="954">
        <f ca="1">IF(AM448&lt;User_sheet!B$50,Y448,0)</f>
        <v>8.2744358780914584E-5</v>
      </c>
      <c r="AO448" s="954">
        <f ca="1">20-(User_sheet!B$57/(AK448+'204'!D$17*1*0.34))</f>
        <v>3.8678640228560539</v>
      </c>
      <c r="AP448" s="954">
        <f ca="1">IF(AO448&lt;User_sheet!B$59,0,BC448*AA448)</f>
        <v>0</v>
      </c>
      <c r="AQ448" s="313"/>
      <c r="AR448" s="909">
        <v>0.47</v>
      </c>
      <c r="AS448" s="909">
        <v>0.54</v>
      </c>
      <c r="AT448" s="909">
        <v>0.83</v>
      </c>
      <c r="AU448" s="909">
        <v>2</v>
      </c>
      <c r="AV448" s="909">
        <v>3.3</v>
      </c>
      <c r="AW448" s="909">
        <v>12848.541887298286</v>
      </c>
      <c r="AX448" s="909">
        <v>75022.04959166942</v>
      </c>
      <c r="AY448" s="909">
        <v>69245.59826015502</v>
      </c>
      <c r="AZ448" s="917">
        <v>0</v>
      </c>
      <c r="BA448" s="917">
        <v>0</v>
      </c>
      <c r="BB448" s="909">
        <v>0.6</v>
      </c>
      <c r="BC448" s="919">
        <v>1</v>
      </c>
      <c r="BD448" s="920">
        <v>0</v>
      </c>
      <c r="BE448" s="920">
        <v>0</v>
      </c>
      <c r="BF448" s="921">
        <v>0</v>
      </c>
      <c r="BG448" s="909">
        <v>1</v>
      </c>
      <c r="BH448" s="909">
        <v>0</v>
      </c>
      <c r="BI448" s="921">
        <v>0</v>
      </c>
      <c r="BJ448" s="909">
        <v>0</v>
      </c>
      <c r="BK448" s="909">
        <v>0</v>
      </c>
      <c r="BL448" s="909">
        <v>1</v>
      </c>
      <c r="BM448" s="921">
        <v>0</v>
      </c>
      <c r="BN448" s="958">
        <v>0.08</v>
      </c>
      <c r="BO448" s="50">
        <v>12</v>
      </c>
      <c r="BP448">
        <f t="shared" ca="1" si="558"/>
        <v>150</v>
      </c>
      <c r="BQ448">
        <f t="shared" ca="1" si="559"/>
        <v>372.82075000000003</v>
      </c>
      <c r="BR448">
        <f t="shared" ca="1" si="560"/>
        <v>111</v>
      </c>
      <c r="BS448">
        <f t="shared" ca="1" si="561"/>
        <v>120</v>
      </c>
      <c r="BT448">
        <f t="shared" ca="1" si="562"/>
        <v>86.25</v>
      </c>
      <c r="BU448">
        <f t="shared" ca="1" si="563"/>
        <v>14.5</v>
      </c>
      <c r="BV448">
        <f t="shared" ca="1" si="564"/>
        <v>9.3000000000000007</v>
      </c>
      <c r="BW448" s="1018">
        <v>0</v>
      </c>
      <c r="BX448">
        <f t="shared" ca="1" si="516"/>
        <v>48.240044384169643</v>
      </c>
      <c r="BY448">
        <f t="shared" ca="1" si="517"/>
        <v>59.253840526700813</v>
      </c>
      <c r="BZ448">
        <f t="shared" ca="1" si="498"/>
        <v>20.652647453083109</v>
      </c>
      <c r="CA448">
        <f t="shared" ca="1" si="499"/>
        <v>28.999999988399999</v>
      </c>
      <c r="CB448">
        <f t="shared" ca="1" si="518"/>
        <v>19.522900763358777</v>
      </c>
      <c r="CC448" s="1018">
        <f t="shared" si="500"/>
        <v>0</v>
      </c>
      <c r="CD448" s="1018">
        <f t="shared" ref="CD448:CD455" ca="1" si="566">SUM(BX448:CC448)+(BR448+BS448+BT448+BU448+BV448)*BN448</f>
        <v>203.95343311571236</v>
      </c>
      <c r="CE448" s="1018">
        <f t="shared" ca="1" si="565"/>
        <v>124.22791065226887</v>
      </c>
      <c r="CF448">
        <f t="shared" ca="1" si="502"/>
        <v>9.8454403130394361</v>
      </c>
      <c r="CG448">
        <f t="shared" ca="1" si="503"/>
        <v>16392.264303598138</v>
      </c>
    </row>
    <row r="449" spans="3:85" x14ac:dyDescent="0.25">
      <c r="C449" s="611"/>
      <c r="D449" s="612"/>
      <c r="E449" s="611"/>
      <c r="F449" s="612"/>
      <c r="G449" s="611"/>
      <c r="H449" s="612"/>
      <c r="I449" s="611"/>
      <c r="J449" s="612"/>
      <c r="K449" s="612"/>
      <c r="L449" s="616"/>
      <c r="M449" s="612"/>
      <c r="N449" s="612"/>
      <c r="O449" s="612"/>
      <c r="P449" s="612"/>
      <c r="Q449" s="612" t="s">
        <v>16</v>
      </c>
      <c r="R449" s="613">
        <v>0.81069999999999998</v>
      </c>
      <c r="S449" s="612"/>
      <c r="T449" s="620">
        <v>1.3951000651174001E-5</v>
      </c>
      <c r="U449" s="611"/>
      <c r="V449" s="176">
        <f t="shared" si="472"/>
        <v>1.3951000651174001E-5</v>
      </c>
      <c r="W449" s="176">
        <f>V449-V449*Calculation_sheet!J$69</f>
        <v>1.3951000651174001E-5</v>
      </c>
      <c r="X449" s="176">
        <f>W449-W449*Calculation_sheet!J$79</f>
        <v>1.3951000651174001E-5</v>
      </c>
      <c r="Y449" s="34">
        <f>X449/Calculation_sheet!M$67</f>
        <v>1.395128589931353E-5</v>
      </c>
      <c r="Z449" s="176">
        <f ca="1">IF(AN449&gt;0,Y449*Calculation_sheet!C$87,0)</f>
        <v>0</v>
      </c>
      <c r="AA449" s="176">
        <f t="shared" ca="1" si="555"/>
        <v>1.395128589931353E-5</v>
      </c>
      <c r="AB449" s="176">
        <f ca="1">IF(AP449&gt;0,AA449*Calculation_sheet!C$94,0)</f>
        <v>0</v>
      </c>
      <c r="AC449" s="176">
        <f t="shared" ca="1" si="556"/>
        <v>1.395128589931353E-5</v>
      </c>
      <c r="AD449" s="958">
        <f ca="1">AC449*Calculation_sheet!C$99</f>
        <v>8.3707715395881176E-6</v>
      </c>
      <c r="AE449" s="176">
        <f t="shared" ca="1" si="556"/>
        <v>5.5805143597254129E-6</v>
      </c>
      <c r="AF449" s="176">
        <f t="shared" ca="1" si="557"/>
        <v>1.395128589931353E-5</v>
      </c>
      <c r="AG449" s="958">
        <f ca="1">AF449*User_sheet!B$77/100</f>
        <v>0</v>
      </c>
      <c r="AH449" s="313"/>
      <c r="AI449" s="910">
        <v>204</v>
      </c>
      <c r="AJ449" s="313"/>
      <c r="AK449" s="1020">
        <f t="shared" ca="1" si="497"/>
        <v>203.95343311571236</v>
      </c>
      <c r="AL449" s="954">
        <f ca="1">AK449/'204'!I$24</f>
        <v>0.74449145141709194</v>
      </c>
      <c r="AM449" s="954">
        <f ca="1">0.8*(AK449*30+'204'!D$17*0.34*30*1)</f>
        <v>8479.9681947770969</v>
      </c>
      <c r="AN449" s="954">
        <f ca="1">IF(AM449&lt;User_sheet!B$50,Y449,0)</f>
        <v>1.395128589931353E-5</v>
      </c>
      <c r="AO449" s="954">
        <f ca="1">20-(User_sheet!B$57/(AK449+'204'!D$17*1*0.34))</f>
        <v>3.8678640228560539</v>
      </c>
      <c r="AP449" s="954">
        <f ca="1">IF(AO449&lt;User_sheet!B$59,0,BC449*AA449)</f>
        <v>0</v>
      </c>
      <c r="AQ449" s="313"/>
      <c r="AR449" s="909">
        <v>0.47</v>
      </c>
      <c r="AS449" s="909">
        <v>0.54</v>
      </c>
      <c r="AT449" s="909">
        <v>0.83</v>
      </c>
      <c r="AU449" s="909">
        <v>2</v>
      </c>
      <c r="AV449" s="909">
        <v>3.3</v>
      </c>
      <c r="AW449" s="909">
        <v>12848.541887298286</v>
      </c>
      <c r="AX449" s="909">
        <v>75022.04959166942</v>
      </c>
      <c r="AY449" s="909">
        <v>69245.59826015502</v>
      </c>
      <c r="AZ449" s="917">
        <v>0</v>
      </c>
      <c r="BA449" s="917">
        <v>0</v>
      </c>
      <c r="BB449" s="909">
        <v>0.6</v>
      </c>
      <c r="BC449" s="919">
        <v>1</v>
      </c>
      <c r="BD449" s="920">
        <v>0</v>
      </c>
      <c r="BE449" s="920">
        <v>0</v>
      </c>
      <c r="BF449" s="921">
        <v>0</v>
      </c>
      <c r="BG449" s="909">
        <v>0</v>
      </c>
      <c r="BH449" s="909">
        <v>1</v>
      </c>
      <c r="BI449" s="921">
        <v>0</v>
      </c>
      <c r="BJ449" s="909">
        <v>1</v>
      </c>
      <c r="BK449" s="909">
        <v>0</v>
      </c>
      <c r="BL449" s="909">
        <v>0</v>
      </c>
      <c r="BM449" s="921">
        <v>0</v>
      </c>
      <c r="BN449" s="958">
        <v>0.08</v>
      </c>
      <c r="BO449" s="50">
        <v>12</v>
      </c>
      <c r="BP449">
        <f t="shared" ca="1" si="558"/>
        <v>150</v>
      </c>
      <c r="BQ449">
        <f t="shared" ca="1" si="559"/>
        <v>372.82075000000003</v>
      </c>
      <c r="BR449">
        <f t="shared" ca="1" si="560"/>
        <v>111</v>
      </c>
      <c r="BS449">
        <f t="shared" ca="1" si="561"/>
        <v>120</v>
      </c>
      <c r="BT449">
        <f t="shared" ca="1" si="562"/>
        <v>86.25</v>
      </c>
      <c r="BU449">
        <f t="shared" ca="1" si="563"/>
        <v>14.5</v>
      </c>
      <c r="BV449">
        <f t="shared" ca="1" si="564"/>
        <v>9.3000000000000007</v>
      </c>
      <c r="BW449" s="1018">
        <v>0</v>
      </c>
      <c r="BX449">
        <f t="shared" ca="1" si="516"/>
        <v>48.240044384169643</v>
      </c>
      <c r="BY449">
        <f t="shared" ca="1" si="517"/>
        <v>59.253840526700813</v>
      </c>
      <c r="BZ449">
        <f t="shared" ca="1" si="498"/>
        <v>20.652647453083109</v>
      </c>
      <c r="CA449">
        <f t="shared" ca="1" si="499"/>
        <v>28.999999988399999</v>
      </c>
      <c r="CB449">
        <f t="shared" ca="1" si="518"/>
        <v>19.522900763358777</v>
      </c>
      <c r="CC449" s="1018">
        <f t="shared" si="500"/>
        <v>0</v>
      </c>
      <c r="CD449" s="1018">
        <f t="shared" ca="1" si="566"/>
        <v>203.95343311571236</v>
      </c>
      <c r="CE449" s="1018">
        <f t="shared" ca="1" si="565"/>
        <v>124.22791065226887</v>
      </c>
      <c r="CF449">
        <f t="shared" ca="1" si="502"/>
        <v>9.8454403130394361</v>
      </c>
      <c r="CG449">
        <f t="shared" ca="1" si="503"/>
        <v>16392.264303598138</v>
      </c>
    </row>
    <row r="450" spans="3:85" x14ac:dyDescent="0.25">
      <c r="C450" s="611"/>
      <c r="D450" s="612"/>
      <c r="E450" s="611"/>
      <c r="F450" s="612"/>
      <c r="G450" s="611"/>
      <c r="H450" s="612"/>
      <c r="I450" s="611"/>
      <c r="J450" s="612"/>
      <c r="K450" s="612"/>
      <c r="L450" s="616"/>
      <c r="M450" s="612" t="s">
        <v>16</v>
      </c>
      <c r="N450" s="613">
        <v>0.5</v>
      </c>
      <c r="O450" s="612" t="s">
        <v>19</v>
      </c>
      <c r="P450" s="613">
        <v>3.7878787999999997E-2</v>
      </c>
      <c r="Q450" s="612" t="s">
        <v>7</v>
      </c>
      <c r="R450" s="613">
        <v>0.1893</v>
      </c>
      <c r="S450" s="612"/>
      <c r="T450" s="620">
        <v>3.2575853253573924E-6</v>
      </c>
      <c r="U450" s="611"/>
      <c r="V450" s="176">
        <f t="shared" si="472"/>
        <v>3.2575853253573924E-6</v>
      </c>
      <c r="W450" s="176">
        <f>V450-V450*Calculation_sheet!J$69</f>
        <v>3.2575853253573924E-6</v>
      </c>
      <c r="X450" s="176">
        <f>W450-W450*Calculation_sheet!J$79</f>
        <v>3.2575853253573924E-6</v>
      </c>
      <c r="Y450" s="34">
        <f>X450/Calculation_sheet!M$67</f>
        <v>3.2576519313433465E-6</v>
      </c>
      <c r="Z450" s="176">
        <f ca="1">IF(AN450&gt;0,Y450*Calculation_sheet!C$87,0)</f>
        <v>0</v>
      </c>
      <c r="AA450" s="176">
        <f t="shared" ca="1" si="555"/>
        <v>3.2576519313433465E-6</v>
      </c>
      <c r="AB450" s="176">
        <f ca="1">IF(AP450&gt;0,AA450*Calculation_sheet!C$94,0)</f>
        <v>0</v>
      </c>
      <c r="AC450" s="176">
        <f t="shared" ca="1" si="556"/>
        <v>3.2576519313433465E-6</v>
      </c>
      <c r="AD450" s="958">
        <f ca="1">AC450*Calculation_sheet!C$99</f>
        <v>1.954591158806008E-6</v>
      </c>
      <c r="AE450" s="176">
        <f t="shared" ca="1" si="556"/>
        <v>1.3030607725373385E-6</v>
      </c>
      <c r="AF450" s="176">
        <f t="shared" ca="1" si="557"/>
        <v>3.2576519313433465E-6</v>
      </c>
      <c r="AG450" s="958">
        <f ca="1">AF450*User_sheet!B$77/100</f>
        <v>0</v>
      </c>
      <c r="AH450" s="313"/>
      <c r="AI450" s="910">
        <v>204</v>
      </c>
      <c r="AJ450" s="313"/>
      <c r="AK450" s="1020">
        <f t="shared" ca="1" si="497"/>
        <v>203.95343311571236</v>
      </c>
      <c r="AL450" s="954">
        <f ca="1">AK450/'204'!I$24</f>
        <v>0.74449145141709194</v>
      </c>
      <c r="AM450" s="954">
        <f ca="1">0.8*(AK450*30+'204'!D$17*0.34*30*1)</f>
        <v>8479.9681947770969</v>
      </c>
      <c r="AN450" s="954">
        <f ca="1">IF(AM450&lt;User_sheet!B$50,Y450,0)</f>
        <v>3.2576519313433465E-6</v>
      </c>
      <c r="AO450" s="954">
        <f ca="1">20-(User_sheet!B$57/(AK450+'204'!D$17*1*0.34))</f>
        <v>3.8678640228560539</v>
      </c>
      <c r="AP450" s="954">
        <f ca="1">IF(AO450&lt;User_sheet!B$59,0,BC450*AA450)</f>
        <v>0</v>
      </c>
      <c r="AQ450" s="313"/>
      <c r="AR450" s="909">
        <v>0.47</v>
      </c>
      <c r="AS450" s="909">
        <v>0.54</v>
      </c>
      <c r="AT450" s="909">
        <v>0.83</v>
      </c>
      <c r="AU450" s="909">
        <v>2</v>
      </c>
      <c r="AV450" s="909">
        <v>3.3</v>
      </c>
      <c r="AW450" s="909">
        <v>12848.541887298286</v>
      </c>
      <c r="AX450" s="909">
        <v>75022.04959166942</v>
      </c>
      <c r="AY450" s="909">
        <v>69245.59826015502</v>
      </c>
      <c r="AZ450" s="917">
        <v>0</v>
      </c>
      <c r="BA450" s="917">
        <v>0</v>
      </c>
      <c r="BB450" s="909">
        <v>0.6</v>
      </c>
      <c r="BC450" s="919">
        <v>1</v>
      </c>
      <c r="BD450" s="920">
        <v>0</v>
      </c>
      <c r="BE450" s="920">
        <v>0</v>
      </c>
      <c r="BF450" s="921">
        <v>0</v>
      </c>
      <c r="BG450" s="909">
        <v>0</v>
      </c>
      <c r="BH450" s="909">
        <v>1</v>
      </c>
      <c r="BI450" s="921">
        <v>0</v>
      </c>
      <c r="BJ450" s="909">
        <v>0</v>
      </c>
      <c r="BK450" s="909">
        <v>0</v>
      </c>
      <c r="BL450" s="909">
        <v>1</v>
      </c>
      <c r="BM450" s="921">
        <v>0</v>
      </c>
      <c r="BN450" s="958">
        <v>0.08</v>
      </c>
      <c r="BO450" s="50">
        <v>12</v>
      </c>
      <c r="BP450">
        <f t="shared" ca="1" si="558"/>
        <v>150</v>
      </c>
      <c r="BQ450">
        <f t="shared" ca="1" si="559"/>
        <v>372.82075000000003</v>
      </c>
      <c r="BR450">
        <f t="shared" ca="1" si="560"/>
        <v>111</v>
      </c>
      <c r="BS450">
        <f t="shared" ca="1" si="561"/>
        <v>120</v>
      </c>
      <c r="BT450">
        <f t="shared" ca="1" si="562"/>
        <v>86.25</v>
      </c>
      <c r="BU450">
        <f t="shared" ca="1" si="563"/>
        <v>14.5</v>
      </c>
      <c r="BV450">
        <f t="shared" ca="1" si="564"/>
        <v>9.3000000000000007</v>
      </c>
      <c r="BW450" s="1018">
        <v>0</v>
      </c>
      <c r="BX450">
        <f t="shared" ca="1" si="516"/>
        <v>48.240044384169643</v>
      </c>
      <c r="BY450">
        <f t="shared" ca="1" si="517"/>
        <v>59.253840526700813</v>
      </c>
      <c r="BZ450">
        <f t="shared" ca="1" si="498"/>
        <v>20.652647453083109</v>
      </c>
      <c r="CA450">
        <f t="shared" ca="1" si="499"/>
        <v>28.999999988399999</v>
      </c>
      <c r="CB450">
        <f t="shared" ca="1" si="518"/>
        <v>19.522900763358777</v>
      </c>
      <c r="CC450" s="1018">
        <f t="shared" si="500"/>
        <v>0</v>
      </c>
      <c r="CD450" s="1018">
        <f t="shared" ca="1" si="566"/>
        <v>203.95343311571236</v>
      </c>
      <c r="CE450" s="1018">
        <f t="shared" ca="1" si="565"/>
        <v>124.22791065226887</v>
      </c>
      <c r="CF450">
        <f t="shared" ca="1" si="502"/>
        <v>9.8454403130394361</v>
      </c>
      <c r="CG450">
        <f t="shared" ca="1" si="503"/>
        <v>16392.264303598138</v>
      </c>
    </row>
    <row r="451" spans="3:85" x14ac:dyDescent="0.25">
      <c r="D451" s="612"/>
      <c r="E451" s="611"/>
      <c r="F451" s="612"/>
      <c r="G451" s="611"/>
      <c r="H451" s="612"/>
      <c r="I451" s="611"/>
      <c r="J451" s="612"/>
      <c r="K451" s="612"/>
      <c r="L451" s="616"/>
      <c r="M451" s="612"/>
      <c r="N451" s="612"/>
      <c r="O451" s="612"/>
      <c r="P451" s="612"/>
      <c r="Q451" s="612" t="s">
        <v>22</v>
      </c>
      <c r="R451" s="613">
        <v>0.81</v>
      </c>
      <c r="S451" s="612"/>
      <c r="T451" s="620">
        <v>2.6516811280936003E-4</v>
      </c>
      <c r="U451" s="611"/>
      <c r="V451" s="176">
        <f t="shared" si="472"/>
        <v>2.6516811280936003E-4</v>
      </c>
      <c r="W451" s="176">
        <f>V451-V451*Calculation_sheet!J$69</f>
        <v>2.6516811280936003E-4</v>
      </c>
      <c r="X451" s="176">
        <f>W451-W451*Calculation_sheet!J$79</f>
        <v>2.6516811280936003E-4</v>
      </c>
      <c r="Y451" s="34">
        <f>X451/Calculation_sheet!M$67</f>
        <v>2.651735345502611E-4</v>
      </c>
      <c r="Z451" s="176">
        <f ca="1">IF(AN451&gt;0,Y451*Calculation_sheet!C$87,0)</f>
        <v>0</v>
      </c>
      <c r="AA451" s="176">
        <f t="shared" ca="1" si="555"/>
        <v>2.651735345502611E-4</v>
      </c>
      <c r="AB451" s="176">
        <f ca="1">IF(AP451&gt;0,AA451*Calculation_sheet!C$94,0)</f>
        <v>0</v>
      </c>
      <c r="AC451" s="176">
        <f t="shared" ca="1" si="556"/>
        <v>2.651735345502611E-4</v>
      </c>
      <c r="AD451" s="958">
        <f ca="1">AC451*Calculation_sheet!C$99</f>
        <v>1.5910412073015667E-4</v>
      </c>
      <c r="AE451" s="176">
        <f t="shared" ca="1" si="556"/>
        <v>1.0606941382010444E-4</v>
      </c>
      <c r="AF451" s="176">
        <f t="shared" ca="1" si="557"/>
        <v>2.651735345502611E-4</v>
      </c>
      <c r="AG451" s="958">
        <f ca="1">AF451*User_sheet!B$77/100</f>
        <v>0</v>
      </c>
      <c r="AH451" s="313"/>
      <c r="AI451" s="910">
        <v>204</v>
      </c>
      <c r="AJ451" s="313"/>
      <c r="AK451" s="1020">
        <f t="shared" ca="1" si="497"/>
        <v>203.95343311571236</v>
      </c>
      <c r="AL451" s="954">
        <f ca="1">AK451/'204'!I$24</f>
        <v>0.74449145141709194</v>
      </c>
      <c r="AM451" s="954">
        <f ca="1">0.8*(AK451*30+'204'!D$17*0.34*30*1)</f>
        <v>8479.9681947770969</v>
      </c>
      <c r="AN451" s="954">
        <f ca="1">IF(AM451&lt;User_sheet!B$50,Y451,0)</f>
        <v>2.651735345502611E-4</v>
      </c>
      <c r="AO451" s="954">
        <f ca="1">20-(User_sheet!B$57/(AK451+'204'!D$17*1*0.34))</f>
        <v>3.8678640228560539</v>
      </c>
      <c r="AP451" s="954">
        <f ca="1">IF(AO451&lt;User_sheet!B$59,0,BC451*AA451)</f>
        <v>0</v>
      </c>
      <c r="AQ451" s="313"/>
      <c r="AR451" s="909">
        <v>0.47</v>
      </c>
      <c r="AS451" s="909">
        <v>0.54</v>
      </c>
      <c r="AT451" s="909">
        <v>0.83</v>
      </c>
      <c r="AU451" s="909">
        <v>2</v>
      </c>
      <c r="AV451" s="909">
        <v>3.3</v>
      </c>
      <c r="AW451" s="909">
        <v>12848.541887298286</v>
      </c>
      <c r="AX451" s="909">
        <v>75022.04959166942</v>
      </c>
      <c r="AY451" s="909">
        <v>69245.59826015502</v>
      </c>
      <c r="AZ451" s="917">
        <v>0</v>
      </c>
      <c r="BA451" s="917">
        <v>0</v>
      </c>
      <c r="BB451" s="909">
        <v>0.6</v>
      </c>
      <c r="BC451" s="919">
        <v>0</v>
      </c>
      <c r="BD451" s="920">
        <v>1</v>
      </c>
      <c r="BE451" s="920">
        <v>0</v>
      </c>
      <c r="BF451" s="921">
        <v>0</v>
      </c>
      <c r="BG451" s="909">
        <v>1</v>
      </c>
      <c r="BH451" s="909">
        <v>0</v>
      </c>
      <c r="BI451" s="921">
        <v>0</v>
      </c>
      <c r="BJ451" s="909">
        <v>0</v>
      </c>
      <c r="BK451" s="909">
        <v>1</v>
      </c>
      <c r="BL451" s="909">
        <v>0</v>
      </c>
      <c r="BM451" s="921">
        <v>0</v>
      </c>
      <c r="BN451" s="958">
        <v>0.08</v>
      </c>
      <c r="BO451" s="50">
        <v>12</v>
      </c>
      <c r="BP451">
        <f t="shared" ca="1" si="558"/>
        <v>150</v>
      </c>
      <c r="BQ451">
        <f t="shared" ca="1" si="559"/>
        <v>372.82075000000003</v>
      </c>
      <c r="BR451">
        <f t="shared" ca="1" si="560"/>
        <v>111</v>
      </c>
      <c r="BS451">
        <f t="shared" ca="1" si="561"/>
        <v>120</v>
      </c>
      <c r="BT451">
        <f t="shared" ca="1" si="562"/>
        <v>86.25</v>
      </c>
      <c r="BU451">
        <f t="shared" ca="1" si="563"/>
        <v>14.5</v>
      </c>
      <c r="BV451">
        <f t="shared" ca="1" si="564"/>
        <v>9.3000000000000007</v>
      </c>
      <c r="BW451" s="1018">
        <v>0</v>
      </c>
      <c r="BX451">
        <f t="shared" ca="1" si="516"/>
        <v>48.240044384169643</v>
      </c>
      <c r="BY451">
        <f t="shared" ca="1" si="517"/>
        <v>59.253840526700813</v>
      </c>
      <c r="BZ451">
        <f t="shared" ca="1" si="498"/>
        <v>20.652647453083109</v>
      </c>
      <c r="CA451">
        <f t="shared" ca="1" si="499"/>
        <v>28.999999988399999</v>
      </c>
      <c r="CB451">
        <f t="shared" ca="1" si="518"/>
        <v>19.522900763358777</v>
      </c>
      <c r="CC451" s="1018">
        <f t="shared" si="500"/>
        <v>0</v>
      </c>
      <c r="CD451" s="1018">
        <f t="shared" ca="1" si="566"/>
        <v>203.95343311571236</v>
      </c>
      <c r="CE451" s="1018">
        <f t="shared" ca="1" si="565"/>
        <v>124.22791065226887</v>
      </c>
      <c r="CF451">
        <f t="shared" ca="1" si="502"/>
        <v>9.8454403130394361</v>
      </c>
      <c r="CG451">
        <f t="shared" ca="1" si="503"/>
        <v>16392.264303598138</v>
      </c>
    </row>
    <row r="452" spans="3:85" x14ac:dyDescent="0.25">
      <c r="D452" s="612"/>
      <c r="E452" s="611"/>
      <c r="F452" s="612"/>
      <c r="G452" s="611"/>
      <c r="H452" s="612"/>
      <c r="I452" s="611"/>
      <c r="J452" s="612"/>
      <c r="K452" s="612"/>
      <c r="L452" s="616"/>
      <c r="M452" s="612"/>
      <c r="N452" s="612"/>
      <c r="O452" s="612" t="s">
        <v>18</v>
      </c>
      <c r="P452" s="613">
        <v>0.96078431399999997</v>
      </c>
      <c r="Q452" s="612" t="s">
        <v>7</v>
      </c>
      <c r="R452" s="613">
        <v>0.19</v>
      </c>
      <c r="S452" s="612"/>
      <c r="T452" s="620">
        <v>6.2199927696022708E-5</v>
      </c>
      <c r="U452" s="611"/>
      <c r="V452" s="176">
        <f t="shared" si="472"/>
        <v>6.2199927696022708E-5</v>
      </c>
      <c r="W452" s="176">
        <f>V452-V452*Calculation_sheet!J$69</f>
        <v>6.2199927696022708E-5</v>
      </c>
      <c r="X452" s="176">
        <f>W452-W452*Calculation_sheet!J$79</f>
        <v>6.2199927696022708E-5</v>
      </c>
      <c r="Y452" s="34">
        <f>X452/Calculation_sheet!M$67</f>
        <v>6.2201199462406915E-5</v>
      </c>
      <c r="Z452" s="176">
        <f ca="1">IF(AN452&gt;0,Y452*Calculation_sheet!C$87,0)</f>
        <v>0</v>
      </c>
      <c r="AA452" s="176">
        <f t="shared" ca="1" si="555"/>
        <v>6.2201199462406915E-5</v>
      </c>
      <c r="AB452" s="176">
        <f ca="1">IF(AP452&gt;0,AA452*Calculation_sheet!C$94,0)</f>
        <v>0</v>
      </c>
      <c r="AC452" s="176">
        <f t="shared" ca="1" si="556"/>
        <v>6.2201199462406915E-5</v>
      </c>
      <c r="AD452" s="958">
        <f ca="1">AC452*Calculation_sheet!C$99</f>
        <v>3.7320719677444146E-5</v>
      </c>
      <c r="AE452" s="176">
        <f t="shared" ca="1" si="556"/>
        <v>2.4880479784962769E-5</v>
      </c>
      <c r="AF452" s="176">
        <f t="shared" ca="1" si="557"/>
        <v>6.2201199462406915E-5</v>
      </c>
      <c r="AG452" s="958">
        <f ca="1">AF452*User_sheet!B$77/100</f>
        <v>0</v>
      </c>
      <c r="AH452" s="313"/>
      <c r="AI452" s="910">
        <v>204</v>
      </c>
      <c r="AJ452" s="313"/>
      <c r="AK452" s="1020">
        <f t="shared" ca="1" si="497"/>
        <v>203.95343311571236</v>
      </c>
      <c r="AL452" s="954">
        <f ca="1">AK452/'204'!I$24</f>
        <v>0.74449145141709194</v>
      </c>
      <c r="AM452" s="954">
        <f ca="1">0.8*(AK452*30+'204'!D$17*0.34*30*1)</f>
        <v>8479.9681947770969</v>
      </c>
      <c r="AN452" s="954">
        <f ca="1">IF(AM452&lt;User_sheet!B$50,Y452,0)</f>
        <v>6.2201199462406915E-5</v>
      </c>
      <c r="AO452" s="954">
        <f ca="1">20-(User_sheet!B$57/(AK452+'204'!D$17*1*0.34))</f>
        <v>3.8678640228560539</v>
      </c>
      <c r="AP452" s="954">
        <f ca="1">IF(AO452&lt;User_sheet!B$59,0,BC452*AA452)</f>
        <v>0</v>
      </c>
      <c r="AQ452" s="313"/>
      <c r="AR452" s="909">
        <v>0.47</v>
      </c>
      <c r="AS452" s="909">
        <v>0.54</v>
      </c>
      <c r="AT452" s="909">
        <v>0.83</v>
      </c>
      <c r="AU452" s="909">
        <v>2</v>
      </c>
      <c r="AV452" s="909">
        <v>3.3</v>
      </c>
      <c r="AW452" s="909">
        <v>12848.541887298286</v>
      </c>
      <c r="AX452" s="909">
        <v>75022.04959166942</v>
      </c>
      <c r="AY452" s="909">
        <v>69245.59826015502</v>
      </c>
      <c r="AZ452" s="917">
        <v>0</v>
      </c>
      <c r="BA452" s="917">
        <v>0</v>
      </c>
      <c r="BB452" s="909">
        <v>0.6</v>
      </c>
      <c r="BC452" s="919">
        <v>0</v>
      </c>
      <c r="BD452" s="920">
        <v>1</v>
      </c>
      <c r="BE452" s="920">
        <v>0</v>
      </c>
      <c r="BF452" s="921">
        <v>0</v>
      </c>
      <c r="BG452" s="909">
        <v>1</v>
      </c>
      <c r="BH452" s="909">
        <v>0</v>
      </c>
      <c r="BI452" s="921">
        <v>0</v>
      </c>
      <c r="BJ452" s="909">
        <v>0</v>
      </c>
      <c r="BK452" s="909">
        <v>0</v>
      </c>
      <c r="BL452" s="909">
        <v>1</v>
      </c>
      <c r="BM452" s="921">
        <v>0</v>
      </c>
      <c r="BN452" s="958">
        <v>0.08</v>
      </c>
      <c r="BO452" s="50">
        <v>12</v>
      </c>
      <c r="BP452">
        <f t="shared" ca="1" si="558"/>
        <v>150</v>
      </c>
      <c r="BQ452">
        <f t="shared" ca="1" si="559"/>
        <v>372.82075000000003</v>
      </c>
      <c r="BR452">
        <f t="shared" ca="1" si="560"/>
        <v>111</v>
      </c>
      <c r="BS452">
        <f t="shared" ca="1" si="561"/>
        <v>120</v>
      </c>
      <c r="BT452">
        <f t="shared" ca="1" si="562"/>
        <v>86.25</v>
      </c>
      <c r="BU452">
        <f t="shared" ca="1" si="563"/>
        <v>14.5</v>
      </c>
      <c r="BV452">
        <f t="shared" ca="1" si="564"/>
        <v>9.3000000000000007</v>
      </c>
      <c r="BW452" s="1018">
        <v>0</v>
      </c>
      <c r="BX452">
        <f t="shared" ca="1" si="516"/>
        <v>48.240044384169643</v>
      </c>
      <c r="BY452">
        <f t="shared" ca="1" si="517"/>
        <v>59.253840526700813</v>
      </c>
      <c r="BZ452">
        <f t="shared" ca="1" si="498"/>
        <v>20.652647453083109</v>
      </c>
      <c r="CA452">
        <f t="shared" ca="1" si="499"/>
        <v>28.999999988399999</v>
      </c>
      <c r="CB452">
        <f t="shared" ca="1" si="518"/>
        <v>19.522900763358777</v>
      </c>
      <c r="CC452" s="1018">
        <f t="shared" si="500"/>
        <v>0</v>
      </c>
      <c r="CD452" s="1018">
        <f t="shared" ca="1" si="566"/>
        <v>203.95343311571236</v>
      </c>
      <c r="CE452" s="1018">
        <f t="shared" ca="1" si="565"/>
        <v>124.22791065226887</v>
      </c>
      <c r="CF452">
        <f t="shared" ca="1" si="502"/>
        <v>9.8454403130394361</v>
      </c>
      <c r="CG452">
        <f t="shared" ca="1" si="503"/>
        <v>16392.264303598138</v>
      </c>
    </row>
    <row r="453" spans="3:85" x14ac:dyDescent="0.25">
      <c r="D453" s="612"/>
      <c r="E453" s="611"/>
      <c r="F453" s="612"/>
      <c r="G453" s="611"/>
      <c r="H453" s="612"/>
      <c r="I453" s="611"/>
      <c r="J453" s="612"/>
      <c r="K453" s="612"/>
      <c r="L453" s="616"/>
      <c r="M453" s="612"/>
      <c r="N453" s="612"/>
      <c r="O453" s="612"/>
      <c r="P453" s="612"/>
      <c r="Q453" s="612" t="s">
        <v>22</v>
      </c>
      <c r="R453" s="613">
        <v>0.81</v>
      </c>
      <c r="S453" s="612"/>
      <c r="T453" s="620">
        <v>1.0823188199078403E-5</v>
      </c>
      <c r="U453" s="611"/>
      <c r="V453" s="176">
        <f t="shared" si="472"/>
        <v>1.0823188199078403E-5</v>
      </c>
      <c r="W453" s="176">
        <f>V453-V453*Calculation_sheet!J$69</f>
        <v>1.0823188199078403E-5</v>
      </c>
      <c r="X453" s="176">
        <f>W453-W453*Calculation_sheet!J$79</f>
        <v>1.0823188199078403E-5</v>
      </c>
      <c r="Y453" s="34">
        <f>X453/Calculation_sheet!M$67</f>
        <v>1.0823409494623773E-5</v>
      </c>
      <c r="Z453" s="176">
        <f ca="1">IF(AN453&gt;0,Y453*Calculation_sheet!C$87,0)</f>
        <v>0</v>
      </c>
      <c r="AA453" s="176">
        <f t="shared" ca="1" si="555"/>
        <v>1.0823409494623773E-5</v>
      </c>
      <c r="AB453" s="176">
        <f ca="1">IF(AP453&gt;0,AA453*Calculation_sheet!C$94,0)</f>
        <v>0</v>
      </c>
      <c r="AC453" s="176">
        <f t="shared" ca="1" si="556"/>
        <v>1.0823409494623773E-5</v>
      </c>
      <c r="AD453" s="958">
        <f ca="1">AC453*Calculation_sheet!C$99</f>
        <v>6.4940456967742641E-6</v>
      </c>
      <c r="AE453" s="176">
        <f t="shared" ca="1" si="556"/>
        <v>4.3293637978495091E-6</v>
      </c>
      <c r="AF453" s="176">
        <f t="shared" ca="1" si="557"/>
        <v>1.0823409494623773E-5</v>
      </c>
      <c r="AG453" s="958">
        <f ca="1">AF453*User_sheet!B$77/100</f>
        <v>0</v>
      </c>
      <c r="AH453" s="313"/>
      <c r="AI453" s="910">
        <v>204</v>
      </c>
      <c r="AJ453" s="313"/>
      <c r="AK453" s="1020">
        <f t="shared" ca="1" si="497"/>
        <v>203.95343311571236</v>
      </c>
      <c r="AL453" s="954">
        <f ca="1">AK453/'204'!I$24</f>
        <v>0.74449145141709194</v>
      </c>
      <c r="AM453" s="954">
        <f ca="1">0.8*(AK453*30+'204'!D$17*0.34*30*1)</f>
        <v>8479.9681947770969</v>
      </c>
      <c r="AN453" s="954">
        <f ca="1">IF(AM453&lt;User_sheet!B$50,Y453,0)</f>
        <v>1.0823409494623773E-5</v>
      </c>
      <c r="AO453" s="954">
        <f ca="1">20-(User_sheet!B$57/(AK453+'204'!D$17*1*0.34))</f>
        <v>3.8678640228560539</v>
      </c>
      <c r="AP453" s="954">
        <f ca="1">IF(AO453&lt;User_sheet!B$59,0,BC453*AA453)</f>
        <v>0</v>
      </c>
      <c r="AQ453" s="313"/>
      <c r="AR453" s="909">
        <v>0.47</v>
      </c>
      <c r="AS453" s="909">
        <v>0.54</v>
      </c>
      <c r="AT453" s="909">
        <v>0.83</v>
      </c>
      <c r="AU453" s="909">
        <v>2</v>
      </c>
      <c r="AV453" s="909">
        <v>3.3</v>
      </c>
      <c r="AW453" s="909">
        <v>12848.541887298286</v>
      </c>
      <c r="AX453" s="909">
        <v>75022.04959166942</v>
      </c>
      <c r="AY453" s="909">
        <v>69245.59826015502</v>
      </c>
      <c r="AZ453" s="917">
        <v>0</v>
      </c>
      <c r="BA453" s="917">
        <v>0</v>
      </c>
      <c r="BB453" s="909">
        <v>0.6</v>
      </c>
      <c r="BC453" s="919">
        <v>0</v>
      </c>
      <c r="BD453" s="920">
        <v>1</v>
      </c>
      <c r="BE453" s="920">
        <v>0</v>
      </c>
      <c r="BF453" s="921">
        <v>0</v>
      </c>
      <c r="BG453" s="909">
        <v>0</v>
      </c>
      <c r="BH453" s="909">
        <v>1</v>
      </c>
      <c r="BI453" s="921">
        <v>0</v>
      </c>
      <c r="BJ453" s="909">
        <v>0</v>
      </c>
      <c r="BK453" s="909">
        <v>1</v>
      </c>
      <c r="BL453" s="909">
        <v>0</v>
      </c>
      <c r="BM453" s="921">
        <v>0</v>
      </c>
      <c r="BN453" s="958">
        <v>0.08</v>
      </c>
      <c r="BO453" s="50">
        <v>12</v>
      </c>
      <c r="BP453">
        <f t="shared" ca="1" si="558"/>
        <v>150</v>
      </c>
      <c r="BQ453">
        <f t="shared" ca="1" si="559"/>
        <v>372.82075000000003</v>
      </c>
      <c r="BR453">
        <f t="shared" ca="1" si="560"/>
        <v>111</v>
      </c>
      <c r="BS453">
        <f t="shared" ca="1" si="561"/>
        <v>120</v>
      </c>
      <c r="BT453">
        <f t="shared" ca="1" si="562"/>
        <v>86.25</v>
      </c>
      <c r="BU453">
        <f t="shared" ca="1" si="563"/>
        <v>14.5</v>
      </c>
      <c r="BV453">
        <f t="shared" ca="1" si="564"/>
        <v>9.3000000000000007</v>
      </c>
      <c r="BW453" s="1018">
        <v>0</v>
      </c>
      <c r="BX453">
        <f t="shared" ca="1" si="516"/>
        <v>48.240044384169643</v>
      </c>
      <c r="BY453">
        <f t="shared" ca="1" si="517"/>
        <v>59.253840526700813</v>
      </c>
      <c r="BZ453">
        <f t="shared" ca="1" si="498"/>
        <v>20.652647453083109</v>
      </c>
      <c r="CA453">
        <f t="shared" ca="1" si="499"/>
        <v>28.999999988399999</v>
      </c>
      <c r="CB453">
        <f t="shared" ca="1" si="518"/>
        <v>19.522900763358777</v>
      </c>
      <c r="CC453" s="1018">
        <f t="shared" si="500"/>
        <v>0</v>
      </c>
      <c r="CD453" s="1018">
        <f t="shared" ca="1" si="566"/>
        <v>203.95343311571236</v>
      </c>
      <c r="CE453" s="1018">
        <f t="shared" ca="1" si="565"/>
        <v>124.22791065226887</v>
      </c>
      <c r="CF453">
        <f t="shared" ca="1" si="502"/>
        <v>9.8454403130394361</v>
      </c>
      <c r="CG453">
        <f t="shared" ca="1" si="503"/>
        <v>16392.264303598138</v>
      </c>
    </row>
    <row r="454" spans="3:85" x14ac:dyDescent="0.25">
      <c r="D454" s="612"/>
      <c r="E454" s="611"/>
      <c r="F454" s="612"/>
      <c r="G454" s="611"/>
      <c r="H454" s="612"/>
      <c r="I454" s="611"/>
      <c r="J454" s="612"/>
      <c r="K454" s="612"/>
      <c r="L454" s="616"/>
      <c r="M454" s="612" t="s">
        <v>22</v>
      </c>
      <c r="N454" s="613">
        <v>0.375</v>
      </c>
      <c r="O454" s="612" t="s">
        <v>20</v>
      </c>
      <c r="P454" s="613">
        <v>3.9215686E-2</v>
      </c>
      <c r="Q454" s="612" t="s">
        <v>7</v>
      </c>
      <c r="R454" s="613">
        <v>0.19</v>
      </c>
      <c r="S454" s="612"/>
      <c r="T454" s="620">
        <v>2.5387725405245638E-6</v>
      </c>
      <c r="U454" s="611"/>
      <c r="V454" s="176">
        <f t="shared" si="472"/>
        <v>2.5387725405245638E-6</v>
      </c>
      <c r="W454" s="176">
        <f>V454-V454*Calculation_sheet!J$69</f>
        <v>2.5387725405245638E-6</v>
      </c>
      <c r="X454" s="176">
        <f>W454-W454*Calculation_sheet!J$79</f>
        <v>2.5387725405245638E-6</v>
      </c>
      <c r="Y454" s="34">
        <f>X454/Calculation_sheet!M$67</f>
        <v>2.5388244493561941E-6</v>
      </c>
      <c r="Z454" s="176">
        <f ca="1">IF(AN454&gt;0,Y454*Calculation_sheet!C$87,0)</f>
        <v>0</v>
      </c>
      <c r="AA454" s="176">
        <f t="shared" ca="1" si="555"/>
        <v>2.5388244493561941E-6</v>
      </c>
      <c r="AB454" s="176">
        <f ca="1">IF(AP454&gt;0,AA454*Calculation_sheet!C$94,0)</f>
        <v>0</v>
      </c>
      <c r="AC454" s="176">
        <f t="shared" ca="1" si="556"/>
        <v>2.5388244493561941E-6</v>
      </c>
      <c r="AD454" s="958">
        <f ca="1">AC454*Calculation_sheet!C$99</f>
        <v>1.5232946696137164E-6</v>
      </c>
      <c r="AE454" s="176">
        <f t="shared" ca="1" si="556"/>
        <v>1.0155297797424777E-6</v>
      </c>
      <c r="AF454" s="176">
        <f t="shared" ca="1" si="557"/>
        <v>2.5388244493561941E-6</v>
      </c>
      <c r="AG454" s="958">
        <f ca="1">AF454*User_sheet!B$77/100</f>
        <v>0</v>
      </c>
      <c r="AH454" s="313"/>
      <c r="AI454" s="910">
        <v>204</v>
      </c>
      <c r="AJ454" s="313"/>
      <c r="AK454" s="1020">
        <f t="shared" ca="1" si="497"/>
        <v>203.95343311571236</v>
      </c>
      <c r="AL454" s="954">
        <f ca="1">AK454/'204'!I$24</f>
        <v>0.74449145141709194</v>
      </c>
      <c r="AM454" s="954">
        <f ca="1">0.8*(AK454*30+'204'!D$17*0.34*30*1)</f>
        <v>8479.9681947770969</v>
      </c>
      <c r="AN454" s="954">
        <f ca="1">IF(AM454&lt;User_sheet!B$50,Y454,0)</f>
        <v>2.5388244493561941E-6</v>
      </c>
      <c r="AO454" s="954">
        <f ca="1">20-(User_sheet!B$57/(AK454+'204'!D$17*1*0.34))</f>
        <v>3.8678640228560539</v>
      </c>
      <c r="AP454" s="954">
        <f ca="1">IF(AO454&lt;User_sheet!B$59,0,BC454*AA454)</f>
        <v>0</v>
      </c>
      <c r="AQ454" s="313"/>
      <c r="AR454" s="909">
        <v>0.47</v>
      </c>
      <c r="AS454" s="909">
        <v>0.54</v>
      </c>
      <c r="AT454" s="909">
        <v>0.83</v>
      </c>
      <c r="AU454" s="909">
        <v>2</v>
      </c>
      <c r="AV454" s="909">
        <v>3.3</v>
      </c>
      <c r="AW454" s="909">
        <v>12848.541887298286</v>
      </c>
      <c r="AX454" s="909">
        <v>75022.04959166942</v>
      </c>
      <c r="AY454" s="909">
        <v>69245.59826015502</v>
      </c>
      <c r="AZ454" s="917">
        <v>0</v>
      </c>
      <c r="BA454" s="917">
        <v>0</v>
      </c>
      <c r="BB454" s="909">
        <v>0.6</v>
      </c>
      <c r="BC454" s="919">
        <v>0</v>
      </c>
      <c r="BD454" s="920">
        <v>1</v>
      </c>
      <c r="BE454" s="920">
        <v>0</v>
      </c>
      <c r="BF454" s="921">
        <v>0</v>
      </c>
      <c r="BG454" s="909">
        <v>0</v>
      </c>
      <c r="BH454" s="909">
        <v>1</v>
      </c>
      <c r="BI454" s="921">
        <v>0</v>
      </c>
      <c r="BJ454" s="909">
        <v>0</v>
      </c>
      <c r="BK454" s="909">
        <v>0</v>
      </c>
      <c r="BL454" s="909">
        <v>1</v>
      </c>
      <c r="BM454" s="921">
        <v>0</v>
      </c>
      <c r="BN454" s="958">
        <v>0.08</v>
      </c>
      <c r="BO454" s="50">
        <v>12</v>
      </c>
      <c r="BP454">
        <f t="shared" ca="1" si="558"/>
        <v>150</v>
      </c>
      <c r="BQ454">
        <f t="shared" ca="1" si="559"/>
        <v>372.82075000000003</v>
      </c>
      <c r="BR454">
        <f t="shared" ca="1" si="560"/>
        <v>111</v>
      </c>
      <c r="BS454">
        <f t="shared" ca="1" si="561"/>
        <v>120</v>
      </c>
      <c r="BT454">
        <f t="shared" ca="1" si="562"/>
        <v>86.25</v>
      </c>
      <c r="BU454">
        <f t="shared" ca="1" si="563"/>
        <v>14.5</v>
      </c>
      <c r="BV454">
        <f t="shared" ca="1" si="564"/>
        <v>9.3000000000000007</v>
      </c>
      <c r="BW454" s="1018">
        <v>0</v>
      </c>
      <c r="BX454">
        <f t="shared" ca="1" si="516"/>
        <v>48.240044384169643</v>
      </c>
      <c r="BY454">
        <f t="shared" ca="1" si="517"/>
        <v>59.253840526700813</v>
      </c>
      <c r="BZ454">
        <f t="shared" ca="1" si="498"/>
        <v>20.652647453083109</v>
      </c>
      <c r="CA454">
        <f t="shared" ca="1" si="499"/>
        <v>28.999999988399999</v>
      </c>
      <c r="CB454">
        <f t="shared" ca="1" si="518"/>
        <v>19.522900763358777</v>
      </c>
      <c r="CC454" s="1018">
        <f t="shared" si="500"/>
        <v>0</v>
      </c>
      <c r="CD454" s="1018">
        <f t="shared" ca="1" si="566"/>
        <v>203.95343311571236</v>
      </c>
      <c r="CE454" s="1018">
        <f t="shared" ca="1" si="565"/>
        <v>124.22791065226887</v>
      </c>
      <c r="CF454">
        <f t="shared" ca="1" si="502"/>
        <v>9.8454403130394361</v>
      </c>
      <c r="CG454">
        <f t="shared" ca="1" si="503"/>
        <v>16392.264303598138</v>
      </c>
    </row>
    <row r="455" spans="3:85" x14ac:dyDescent="0.25">
      <c r="D455" s="612"/>
      <c r="E455" s="611"/>
      <c r="F455" s="612"/>
      <c r="G455" s="611"/>
      <c r="H455" s="612"/>
      <c r="I455" s="611"/>
      <c r="J455" s="612"/>
      <c r="K455" s="614" t="s">
        <v>13</v>
      </c>
      <c r="L455" s="615">
        <v>1</v>
      </c>
      <c r="M455" s="612" t="s">
        <v>7</v>
      </c>
      <c r="N455" s="613">
        <v>0.125</v>
      </c>
      <c r="O455" s="612" t="s">
        <v>23</v>
      </c>
      <c r="P455" s="613">
        <v>1</v>
      </c>
      <c r="Q455" s="612" t="s">
        <v>7</v>
      </c>
      <c r="R455" s="613">
        <v>1</v>
      </c>
      <c r="S455" s="612"/>
      <c r="T455" s="620">
        <v>1.1357666708166188E-4</v>
      </c>
      <c r="U455" s="619"/>
      <c r="V455" s="176">
        <f t="shared" si="472"/>
        <v>1.1357666708166188E-4</v>
      </c>
      <c r="W455" s="176">
        <f>V455-V455*Calculation_sheet!J$69</f>
        <v>1.1357666708166188E-4</v>
      </c>
      <c r="X455" s="176">
        <f>W455-W455*Calculation_sheet!J$79</f>
        <v>1.1357666708166188E-4</v>
      </c>
      <c r="Y455" s="34">
        <f>X455/Calculation_sheet!M$67</f>
        <v>1.1357898931888265E-4</v>
      </c>
      <c r="Z455" s="176">
        <f ca="1">IF(AN455&gt;0,Y455*Calculation_sheet!C$87,0)</f>
        <v>0</v>
      </c>
      <c r="AA455" s="176">
        <f t="shared" ca="1" si="555"/>
        <v>1.1357898931888265E-4</v>
      </c>
      <c r="AB455" s="176">
        <f ca="1">IF(AP455&gt;0,AA455*Calculation_sheet!C$94,0)</f>
        <v>0</v>
      </c>
      <c r="AC455" s="176">
        <f t="shared" ca="1" si="556"/>
        <v>1.1357898931888265E-4</v>
      </c>
      <c r="AD455" s="958">
        <f ca="1">AC455*Calculation_sheet!C$99</f>
        <v>6.8147393591329582E-5</v>
      </c>
      <c r="AE455" s="176">
        <f t="shared" ca="1" si="556"/>
        <v>4.5431595727553068E-5</v>
      </c>
      <c r="AF455" s="176">
        <f t="shared" ca="1" si="557"/>
        <v>1.1357898931888265E-4</v>
      </c>
      <c r="AG455" s="958">
        <f ca="1">AF455*User_sheet!B$77/100</f>
        <v>0</v>
      </c>
      <c r="AH455" s="313"/>
      <c r="AI455" s="910">
        <v>204</v>
      </c>
      <c r="AJ455" s="313"/>
      <c r="AK455" s="1020">
        <f t="shared" ca="1" si="497"/>
        <v>203.95343311571236</v>
      </c>
      <c r="AL455" s="954">
        <f ca="1">AK455/'204'!I$24</f>
        <v>0.74449145141709194</v>
      </c>
      <c r="AM455" s="954">
        <f ca="1">0.8*(AK455*30+'204'!D$17*0.34*30*1)</f>
        <v>8479.9681947770969</v>
      </c>
      <c r="AN455" s="954">
        <f ca="1">IF(AM455&lt;User_sheet!B$50,Y455,0)</f>
        <v>1.1357898931888265E-4</v>
      </c>
      <c r="AO455" s="954">
        <f ca="1">20-(User_sheet!B$57/(AK455+'204'!D$17*1*0.34))</f>
        <v>3.8678640228560539</v>
      </c>
      <c r="AP455" s="954">
        <f ca="1">IF(AO455&lt;User_sheet!B$59,0,BC455*AA455)</f>
        <v>0</v>
      </c>
      <c r="AQ455" s="313"/>
      <c r="AR455" s="909">
        <v>0.47</v>
      </c>
      <c r="AS455" s="909">
        <v>0.54</v>
      </c>
      <c r="AT455" s="909">
        <v>0.83</v>
      </c>
      <c r="AU455" s="909">
        <v>2</v>
      </c>
      <c r="AV455" s="909">
        <v>3.3</v>
      </c>
      <c r="AW455" s="909">
        <v>12848.541887298286</v>
      </c>
      <c r="AX455" s="909">
        <v>75022.04959166942</v>
      </c>
      <c r="AY455" s="909">
        <v>69245.59826015502</v>
      </c>
      <c r="AZ455" s="917">
        <v>0</v>
      </c>
      <c r="BA455" s="917">
        <v>0</v>
      </c>
      <c r="BB455" s="909">
        <v>0.6</v>
      </c>
      <c r="BC455" s="919">
        <v>0</v>
      </c>
      <c r="BD455" s="920">
        <v>0</v>
      </c>
      <c r="BE455" s="920">
        <v>1</v>
      </c>
      <c r="BF455" s="921">
        <v>0</v>
      </c>
      <c r="BG455" s="909">
        <v>0</v>
      </c>
      <c r="BH455" s="909">
        <v>0</v>
      </c>
      <c r="BI455" s="921">
        <v>1</v>
      </c>
      <c r="BJ455" s="909">
        <v>0</v>
      </c>
      <c r="BK455" s="909">
        <v>0</v>
      </c>
      <c r="BL455" s="909">
        <v>1</v>
      </c>
      <c r="BM455" s="921">
        <v>0</v>
      </c>
      <c r="BN455" s="958">
        <v>0.08</v>
      </c>
      <c r="BO455" s="50">
        <v>12</v>
      </c>
      <c r="BP455">
        <f t="shared" ca="1" si="558"/>
        <v>150</v>
      </c>
      <c r="BQ455">
        <f t="shared" ca="1" si="559"/>
        <v>372.82075000000003</v>
      </c>
      <c r="BR455">
        <f t="shared" ca="1" si="560"/>
        <v>111</v>
      </c>
      <c r="BS455">
        <f t="shared" ca="1" si="561"/>
        <v>120</v>
      </c>
      <c r="BT455">
        <f t="shared" ca="1" si="562"/>
        <v>86.25</v>
      </c>
      <c r="BU455">
        <f t="shared" ca="1" si="563"/>
        <v>14.5</v>
      </c>
      <c r="BV455">
        <f t="shared" ca="1" si="564"/>
        <v>9.3000000000000007</v>
      </c>
      <c r="BW455" s="1018">
        <v>0</v>
      </c>
      <c r="BX455">
        <f t="shared" ca="1" si="516"/>
        <v>48.240044384169643</v>
      </c>
      <c r="BY455">
        <f t="shared" ca="1" si="517"/>
        <v>59.253840526700813</v>
      </c>
      <c r="BZ455">
        <f t="shared" ca="1" si="498"/>
        <v>20.652647453083109</v>
      </c>
      <c r="CA455">
        <f t="shared" ca="1" si="499"/>
        <v>28.999999988399999</v>
      </c>
      <c r="CB455">
        <f t="shared" ca="1" si="518"/>
        <v>19.522900763358777</v>
      </c>
      <c r="CC455" s="1018">
        <f t="shared" si="500"/>
        <v>0</v>
      </c>
      <c r="CD455" s="1018">
        <f t="shared" ca="1" si="566"/>
        <v>203.95343311571236</v>
      </c>
      <c r="CE455" s="1018">
        <f t="shared" ca="1" si="565"/>
        <v>124.22791065226887</v>
      </c>
      <c r="CF455">
        <f t="shared" ca="1" si="502"/>
        <v>9.8454403130394361</v>
      </c>
      <c r="CG455">
        <f t="shared" ca="1" si="503"/>
        <v>16392.264303598138</v>
      </c>
    </row>
    <row r="456" spans="3:85" s="11" customFormat="1" x14ac:dyDescent="0.25">
      <c r="D456" s="12"/>
      <c r="F456" s="12"/>
      <c r="H456" s="12"/>
      <c r="J456" s="12"/>
      <c r="K456" s="13"/>
      <c r="L456" s="12"/>
      <c r="M456" s="12"/>
      <c r="N456" s="12"/>
      <c r="O456" s="12"/>
      <c r="P456" s="12"/>
      <c r="Q456" s="12"/>
      <c r="R456" s="12"/>
      <c r="S456" s="12"/>
      <c r="T456" s="82"/>
      <c r="V456" s="293"/>
      <c r="W456" s="292"/>
      <c r="X456" s="292"/>
      <c r="Y456" s="277"/>
      <c r="Z456" s="292"/>
      <c r="AA456" s="292"/>
      <c r="AB456" s="292"/>
      <c r="AC456" s="292"/>
      <c r="AD456" s="277"/>
      <c r="AE456" s="292"/>
      <c r="AF456" s="292"/>
      <c r="AG456" s="277"/>
      <c r="AH456" s="313"/>
      <c r="AI456" s="912"/>
      <c r="AJ456" s="313"/>
      <c r="AK456" s="1020">
        <f t="shared" si="497"/>
        <v>0</v>
      </c>
      <c r="AL456" s="941"/>
      <c r="AM456" s="941"/>
      <c r="AN456" s="955"/>
      <c r="AO456" s="955"/>
      <c r="AP456" s="955"/>
      <c r="AQ456" s="313"/>
      <c r="AR456" s="918"/>
      <c r="AS456" s="918"/>
      <c r="AT456" s="918"/>
      <c r="AU456" s="918"/>
      <c r="AV456" s="918"/>
      <c r="AW456" s="918"/>
      <c r="AX456" s="918"/>
      <c r="AY456" s="918"/>
      <c r="AZ456" s="918"/>
      <c r="BA456" s="918"/>
      <c r="BB456" s="918"/>
      <c r="BC456" s="45"/>
      <c r="BD456" s="277"/>
      <c r="BE456" s="277"/>
      <c r="BF456" s="49"/>
      <c r="BG456" s="918"/>
      <c r="BH456" s="918"/>
      <c r="BI456" s="49"/>
      <c r="BJ456" s="918"/>
      <c r="BK456" s="918"/>
      <c r="BL456" s="918"/>
      <c r="BM456" s="49"/>
      <c r="BN456" s="277"/>
      <c r="BO456" s="49"/>
      <c r="BW456" s="946"/>
      <c r="CC456" s="946"/>
      <c r="CD456" s="946"/>
      <c r="CE456" s="946"/>
    </row>
    <row r="457" spans="3:85" x14ac:dyDescent="0.25">
      <c r="D457" s="1"/>
      <c r="F457" s="1"/>
      <c r="G457" s="3"/>
      <c r="H457" s="6"/>
      <c r="I457" s="3"/>
      <c r="J457" s="6"/>
      <c r="K457" s="8"/>
      <c r="L457" s="6"/>
      <c r="M457" s="6"/>
      <c r="N457" s="6"/>
      <c r="O457" s="6"/>
      <c r="P457" s="6"/>
      <c r="Q457" s="6" t="s">
        <v>16</v>
      </c>
      <c r="R457" s="4"/>
      <c r="S457" s="1"/>
      <c r="T457" s="77"/>
      <c r="X457" s="176">
        <f>W447-X447</f>
        <v>0</v>
      </c>
      <c r="Y457" s="34">
        <f>X457/Calculation_sheet!M$67</f>
        <v>0</v>
      </c>
      <c r="Z457" s="176">
        <f ca="1">IF(AN457&gt;0,Y457*Calculation_sheet!C$87,0)</f>
        <v>0</v>
      </c>
      <c r="AA457" s="176">
        <f t="shared" ref="AA457:AA465" ca="1" si="567">Y457-Z457</f>
        <v>0</v>
      </c>
      <c r="AB457" s="176">
        <f ca="1">IF(AP457&gt;0,AA457*Calculation_sheet!C$94,0)</f>
        <v>0</v>
      </c>
      <c r="AC457" s="176">
        <f t="shared" ref="AC457:AE465" ca="1" si="568">AA457-AB457</f>
        <v>0</v>
      </c>
      <c r="AD457" s="958">
        <f ca="1">AC457*Calculation_sheet!C$99</f>
        <v>0</v>
      </c>
      <c r="AE457" s="176">
        <f t="shared" ca="1" si="568"/>
        <v>0</v>
      </c>
      <c r="AF457" s="176">
        <f t="shared" ref="AF457:AF465" ca="1" si="569">Y457-AB457</f>
        <v>0</v>
      </c>
      <c r="AG457" s="958">
        <f ca="1">AF457*User_sheet!B$77/100</f>
        <v>0</v>
      </c>
      <c r="AH457" s="313"/>
      <c r="AI457" s="910">
        <v>204</v>
      </c>
      <c r="AJ457" s="313"/>
      <c r="AK457" s="1020">
        <f t="shared" ca="1" si="497"/>
        <v>189.36674901451391</v>
      </c>
      <c r="AL457" s="954">
        <f ca="1">AK457/'204'!I$24</f>
        <v>0.6912456616700634</v>
      </c>
      <c r="AM457" s="954">
        <f ca="1">0.8*(AK457*30+'204'!D$17*0.34*30*1)</f>
        <v>8129.8877763483342</v>
      </c>
      <c r="AN457" s="954">
        <f ca="1">IF(AM457&lt;User_sheet!B$50,Y457,0)</f>
        <v>0</v>
      </c>
      <c r="AO457" s="954">
        <f ca="1">20-(User_sheet!B$57/(AK457+'204'!D$17*1*0.34))</f>
        <v>3.1731994630993725</v>
      </c>
      <c r="AP457" s="954">
        <f ca="1">IF(AO457&lt;User_sheet!B$59,0,BC457*AA457)</f>
        <v>0</v>
      </c>
      <c r="AQ457" s="313"/>
      <c r="AR457" s="909">
        <v>0.32</v>
      </c>
      <c r="AS457" s="909">
        <v>0.54</v>
      </c>
      <c r="AT457" s="909">
        <v>0.83</v>
      </c>
      <c r="AU457" s="909">
        <v>2</v>
      </c>
      <c r="AV457" s="909">
        <v>3.3</v>
      </c>
      <c r="AW457" s="909">
        <v>14356</v>
      </c>
      <c r="AX457" s="909">
        <v>75022.04959166942</v>
      </c>
      <c r="AY457" s="909">
        <v>69245.59826015502</v>
      </c>
      <c r="AZ457" s="917">
        <v>0</v>
      </c>
      <c r="BA457" s="917">
        <v>0</v>
      </c>
      <c r="BB457" s="909">
        <v>0.6</v>
      </c>
      <c r="BC457" s="919">
        <v>1</v>
      </c>
      <c r="BD457" s="920">
        <v>0</v>
      </c>
      <c r="BE457" s="920">
        <v>0</v>
      </c>
      <c r="BF457" s="921">
        <v>0</v>
      </c>
      <c r="BG457" s="909">
        <v>1</v>
      </c>
      <c r="BH457" s="909">
        <v>0</v>
      </c>
      <c r="BI457" s="921">
        <v>0</v>
      </c>
      <c r="BJ457" s="909">
        <v>1</v>
      </c>
      <c r="BK457" s="909">
        <v>0</v>
      </c>
      <c r="BL457" s="909">
        <v>0</v>
      </c>
      <c r="BM457" s="921">
        <v>0</v>
      </c>
      <c r="BN457" s="958">
        <v>0.08</v>
      </c>
      <c r="BO457" s="50">
        <v>12</v>
      </c>
      <c r="BP457">
        <f t="shared" ref="BP457:BP465" ca="1" si="570">INDIRECT("'"&amp;AI457&amp;"'!"&amp;"B2")</f>
        <v>150</v>
      </c>
      <c r="BQ457">
        <f t="shared" ref="BQ457:BQ465" ca="1" si="571">INDIRECT("'"&amp;AI457&amp;"'!"&amp;"C12")+INDIRECT("'"&amp;AI457&amp;"'!"&amp;"C13")+INDIRECT("'"&amp;AI457&amp;"'!"&amp;"C14")+INDIRECT("'"&amp;AI457&amp;"'!"&amp;"C15")+INDIRECT("'"&amp;AI457&amp;"'!"&amp;"C17")</f>
        <v>372.82075000000003</v>
      </c>
      <c r="BR457">
        <f t="shared" ref="BR457:BR465" ca="1" si="572">INDIRECT("'"&amp;AI457&amp;"'!"&amp;"G5")</f>
        <v>111</v>
      </c>
      <c r="BS457">
        <f t="shared" ref="BS457:BS465" ca="1" si="573">INDIRECT("'"&amp;AI457&amp;"'!"&amp;"G4")</f>
        <v>120</v>
      </c>
      <c r="BT457">
        <f t="shared" ref="BT457:BT465" ca="1" si="574">INDIRECT("'"&amp;AI457&amp;"'!"&amp;"G6")</f>
        <v>86.25</v>
      </c>
      <c r="BU457">
        <f t="shared" ref="BU457:BU465" ca="1" si="575">INDIRECT("'"&amp;AI457&amp;"'!"&amp;"G2")</f>
        <v>14.5</v>
      </c>
      <c r="BV457">
        <f t="shared" ref="BV457:BV465" ca="1" si="576">INDIRECT("'"&amp;AI457&amp;"'!"&amp;"G3")</f>
        <v>9.3000000000000007</v>
      </c>
      <c r="BW457" s="1018">
        <v>0</v>
      </c>
      <c r="BX457">
        <f t="shared" ca="1" si="516"/>
        <v>33.6533602829712</v>
      </c>
      <c r="BY457">
        <f t="shared" ca="1" si="517"/>
        <v>59.253840526700813</v>
      </c>
      <c r="BZ457">
        <f t="shared" ca="1" si="498"/>
        <v>20.652647453083109</v>
      </c>
      <c r="CA457">
        <f t="shared" ca="1" si="499"/>
        <v>28.999999988399999</v>
      </c>
      <c r="CB457">
        <f t="shared" ca="1" si="518"/>
        <v>19.522900763358777</v>
      </c>
      <c r="CC457" s="1018">
        <f t="shared" si="500"/>
        <v>0</v>
      </c>
      <c r="CD457" s="1018">
        <f ca="1">SUM(BX457:CC457)+(BR457+BS457+BT457+BU457+BV457)*BN457</f>
        <v>189.36674901451391</v>
      </c>
      <c r="CE457" s="1018">
        <f t="shared" ref="CE457:CE465" ca="1" si="577">0.34*BO457*(1/25)^0.66*(BR457+BS457+BU457+BV457)</f>
        <v>124.22791065226887</v>
      </c>
      <c r="CF457">
        <f t="shared" ca="1" si="502"/>
        <v>9.407839790003484</v>
      </c>
      <c r="CG457">
        <f t="shared" ca="1" si="503"/>
        <v>15663.676936764199</v>
      </c>
    </row>
    <row r="458" spans="3:85" x14ac:dyDescent="0.25">
      <c r="D458" s="1"/>
      <c r="F458" s="1"/>
      <c r="G458" s="3"/>
      <c r="H458" s="6"/>
      <c r="I458" s="3"/>
      <c r="J458" s="6"/>
      <c r="K458" s="8"/>
      <c r="L458" s="6"/>
      <c r="M458" s="6"/>
      <c r="N458" s="6"/>
      <c r="O458" s="6" t="s">
        <v>18</v>
      </c>
      <c r="P458" s="4"/>
      <c r="Q458" s="6" t="s">
        <v>7</v>
      </c>
      <c r="R458" s="4"/>
      <c r="S458" s="1"/>
      <c r="T458" s="77"/>
      <c r="X458" s="176">
        <f t="shared" ref="X458:X465" si="578">W448-X448</f>
        <v>0</v>
      </c>
      <c r="Y458" s="34">
        <f>X458/Calculation_sheet!M$67</f>
        <v>0</v>
      </c>
      <c r="Z458" s="176">
        <f ca="1">IF(AN458&gt;0,Y458*Calculation_sheet!C$87,0)</f>
        <v>0</v>
      </c>
      <c r="AA458" s="176">
        <f t="shared" ca="1" si="567"/>
        <v>0</v>
      </c>
      <c r="AB458" s="176">
        <f ca="1">IF(AP458&gt;0,AA458*Calculation_sheet!C$94,0)</f>
        <v>0</v>
      </c>
      <c r="AC458" s="176">
        <f t="shared" ca="1" si="568"/>
        <v>0</v>
      </c>
      <c r="AD458" s="958">
        <f ca="1">AC458*Calculation_sheet!C$99</f>
        <v>0</v>
      </c>
      <c r="AE458" s="176">
        <f t="shared" ca="1" si="568"/>
        <v>0</v>
      </c>
      <c r="AF458" s="176">
        <f t="shared" ca="1" si="569"/>
        <v>0</v>
      </c>
      <c r="AG458" s="958">
        <f ca="1">AF458*User_sheet!B$77/100</f>
        <v>0</v>
      </c>
      <c r="AH458" s="313"/>
      <c r="AI458" s="910">
        <v>204</v>
      </c>
      <c r="AJ458" s="313"/>
      <c r="AK458" s="1020">
        <f t="shared" ca="1" si="497"/>
        <v>189.36674901451391</v>
      </c>
      <c r="AL458" s="954">
        <f ca="1">AK458/'204'!I$24</f>
        <v>0.6912456616700634</v>
      </c>
      <c r="AM458" s="954">
        <f ca="1">0.8*(AK458*30+'204'!D$17*0.34*30*1)</f>
        <v>8129.8877763483342</v>
      </c>
      <c r="AN458" s="954">
        <f ca="1">IF(AM458&lt;User_sheet!B$50,Y458,0)</f>
        <v>0</v>
      </c>
      <c r="AO458" s="954">
        <f ca="1">20-(User_sheet!B$57/(AK458+'204'!D$17*1*0.34))</f>
        <v>3.1731994630993725</v>
      </c>
      <c r="AP458" s="954">
        <f ca="1">IF(AO458&lt;User_sheet!B$59,0,BC458*AA458)</f>
        <v>0</v>
      </c>
      <c r="AQ458" s="313"/>
      <c r="AR458" s="909">
        <v>0.32</v>
      </c>
      <c r="AS458" s="909">
        <v>0.54</v>
      </c>
      <c r="AT458" s="909">
        <v>0.83</v>
      </c>
      <c r="AU458" s="909">
        <v>2</v>
      </c>
      <c r="AV458" s="909">
        <v>3.3</v>
      </c>
      <c r="AW458" s="909">
        <v>14356</v>
      </c>
      <c r="AX458" s="909">
        <v>75022.04959166942</v>
      </c>
      <c r="AY458" s="909">
        <v>69245.59826015502</v>
      </c>
      <c r="AZ458" s="917">
        <v>0</v>
      </c>
      <c r="BA458" s="917">
        <v>0</v>
      </c>
      <c r="BB458" s="909">
        <v>0.6</v>
      </c>
      <c r="BC458" s="919">
        <v>1</v>
      </c>
      <c r="BD458" s="920">
        <v>0</v>
      </c>
      <c r="BE458" s="920">
        <v>0</v>
      </c>
      <c r="BF458" s="921">
        <v>0</v>
      </c>
      <c r="BG458" s="909">
        <v>1</v>
      </c>
      <c r="BH458" s="909">
        <v>0</v>
      </c>
      <c r="BI458" s="921">
        <v>0</v>
      </c>
      <c r="BJ458" s="909">
        <v>0</v>
      </c>
      <c r="BK458" s="909">
        <v>0</v>
      </c>
      <c r="BL458" s="909">
        <v>1</v>
      </c>
      <c r="BM458" s="921">
        <v>0</v>
      </c>
      <c r="BN458" s="958">
        <v>0.08</v>
      </c>
      <c r="BO458" s="50">
        <v>12</v>
      </c>
      <c r="BP458">
        <f t="shared" ca="1" si="570"/>
        <v>150</v>
      </c>
      <c r="BQ458">
        <f t="shared" ca="1" si="571"/>
        <v>372.82075000000003</v>
      </c>
      <c r="BR458">
        <f t="shared" ca="1" si="572"/>
        <v>111</v>
      </c>
      <c r="BS458">
        <f t="shared" ca="1" si="573"/>
        <v>120</v>
      </c>
      <c r="BT458">
        <f t="shared" ca="1" si="574"/>
        <v>86.25</v>
      </c>
      <c r="BU458">
        <f t="shared" ca="1" si="575"/>
        <v>14.5</v>
      </c>
      <c r="BV458">
        <f t="shared" ca="1" si="576"/>
        <v>9.3000000000000007</v>
      </c>
      <c r="BW458" s="1018">
        <v>0</v>
      </c>
      <c r="BX458">
        <f t="shared" ca="1" si="516"/>
        <v>33.6533602829712</v>
      </c>
      <c r="BY458">
        <f t="shared" ca="1" si="517"/>
        <v>59.253840526700813</v>
      </c>
      <c r="BZ458">
        <f t="shared" ca="1" si="498"/>
        <v>20.652647453083109</v>
      </c>
      <c r="CA458">
        <f t="shared" ca="1" si="499"/>
        <v>28.999999988399999</v>
      </c>
      <c r="CB458">
        <f t="shared" ca="1" si="518"/>
        <v>19.522900763358777</v>
      </c>
      <c r="CC458" s="1018">
        <f t="shared" si="500"/>
        <v>0</v>
      </c>
      <c r="CD458" s="1018">
        <f t="shared" ref="CD458:CD465" ca="1" si="579">SUM(BX458:CC458)+(BR458+BS458+BT458+BU458+BV458)*BN458</f>
        <v>189.36674901451391</v>
      </c>
      <c r="CE458" s="1018">
        <f t="shared" ca="1" si="577"/>
        <v>124.22791065226887</v>
      </c>
      <c r="CF458">
        <f t="shared" ca="1" si="502"/>
        <v>9.407839790003484</v>
      </c>
      <c r="CG458">
        <f t="shared" ca="1" si="503"/>
        <v>15663.676936764199</v>
      </c>
    </row>
    <row r="459" spans="3:85" x14ac:dyDescent="0.25">
      <c r="D459" s="1"/>
      <c r="F459" s="1"/>
      <c r="G459" s="3"/>
      <c r="H459" s="6"/>
      <c r="I459" s="3"/>
      <c r="J459" s="6"/>
      <c r="K459" s="8"/>
      <c r="L459" s="6"/>
      <c r="M459" s="6"/>
      <c r="N459" s="6"/>
      <c r="O459" s="6"/>
      <c r="P459" s="6"/>
      <c r="Q459" s="6" t="s">
        <v>16</v>
      </c>
      <c r="R459" s="4"/>
      <c r="S459" s="1"/>
      <c r="T459" s="77"/>
      <c r="X459" s="176">
        <f t="shared" si="578"/>
        <v>0</v>
      </c>
      <c r="Y459" s="34">
        <f>X459/Calculation_sheet!M$67</f>
        <v>0</v>
      </c>
      <c r="Z459" s="176">
        <f ca="1">IF(AN459&gt;0,Y459*Calculation_sheet!C$87,0)</f>
        <v>0</v>
      </c>
      <c r="AA459" s="176">
        <f t="shared" ca="1" si="567"/>
        <v>0</v>
      </c>
      <c r="AB459" s="176">
        <f ca="1">IF(AP459&gt;0,AA459*Calculation_sheet!C$94,0)</f>
        <v>0</v>
      </c>
      <c r="AC459" s="176">
        <f t="shared" ca="1" si="568"/>
        <v>0</v>
      </c>
      <c r="AD459" s="958">
        <f ca="1">AC459*Calculation_sheet!C$99</f>
        <v>0</v>
      </c>
      <c r="AE459" s="176">
        <f t="shared" ca="1" si="568"/>
        <v>0</v>
      </c>
      <c r="AF459" s="176">
        <f t="shared" ca="1" si="569"/>
        <v>0</v>
      </c>
      <c r="AG459" s="958">
        <f ca="1">AF459*User_sheet!B$77/100</f>
        <v>0</v>
      </c>
      <c r="AH459" s="313"/>
      <c r="AI459" s="910">
        <v>204</v>
      </c>
      <c r="AJ459" s="313"/>
      <c r="AK459" s="1020">
        <f t="shared" ca="1" si="497"/>
        <v>189.36674901451391</v>
      </c>
      <c r="AL459" s="954">
        <f ca="1">AK459/'204'!I$24</f>
        <v>0.6912456616700634</v>
      </c>
      <c r="AM459" s="954">
        <f ca="1">0.8*(AK459*30+'204'!D$17*0.34*30*1)</f>
        <v>8129.8877763483342</v>
      </c>
      <c r="AN459" s="954">
        <f ca="1">IF(AM459&lt;User_sheet!B$50,Y459,0)</f>
        <v>0</v>
      </c>
      <c r="AO459" s="954">
        <f ca="1">20-(User_sheet!B$57/(AK459+'204'!D$17*1*0.34))</f>
        <v>3.1731994630993725</v>
      </c>
      <c r="AP459" s="954">
        <f ca="1">IF(AO459&lt;User_sheet!B$59,0,BC459*AA459)</f>
        <v>0</v>
      </c>
      <c r="AQ459" s="313"/>
      <c r="AR459" s="909">
        <v>0.32</v>
      </c>
      <c r="AS459" s="909">
        <v>0.54</v>
      </c>
      <c r="AT459" s="909">
        <v>0.83</v>
      </c>
      <c r="AU459" s="909">
        <v>2</v>
      </c>
      <c r="AV459" s="909">
        <v>3.3</v>
      </c>
      <c r="AW459" s="909">
        <v>14356</v>
      </c>
      <c r="AX459" s="909">
        <v>75022.04959166942</v>
      </c>
      <c r="AY459" s="909">
        <v>69245.59826015502</v>
      </c>
      <c r="AZ459" s="917">
        <v>0</v>
      </c>
      <c r="BA459" s="917">
        <v>0</v>
      </c>
      <c r="BB459" s="909">
        <v>0.6</v>
      </c>
      <c r="BC459" s="919">
        <v>1</v>
      </c>
      <c r="BD459" s="920">
        <v>0</v>
      </c>
      <c r="BE459" s="920">
        <v>0</v>
      </c>
      <c r="BF459" s="921">
        <v>0</v>
      </c>
      <c r="BG459" s="909">
        <v>0</v>
      </c>
      <c r="BH459" s="909">
        <v>1</v>
      </c>
      <c r="BI459" s="921">
        <v>0</v>
      </c>
      <c r="BJ459" s="909">
        <v>1</v>
      </c>
      <c r="BK459" s="909">
        <v>0</v>
      </c>
      <c r="BL459" s="909">
        <v>0</v>
      </c>
      <c r="BM459" s="921">
        <v>0</v>
      </c>
      <c r="BN459" s="958">
        <v>0.08</v>
      </c>
      <c r="BO459" s="50">
        <v>12</v>
      </c>
      <c r="BP459">
        <f t="shared" ca="1" si="570"/>
        <v>150</v>
      </c>
      <c r="BQ459">
        <f t="shared" ca="1" si="571"/>
        <v>372.82075000000003</v>
      </c>
      <c r="BR459">
        <f t="shared" ca="1" si="572"/>
        <v>111</v>
      </c>
      <c r="BS459">
        <f t="shared" ca="1" si="573"/>
        <v>120</v>
      </c>
      <c r="BT459">
        <f t="shared" ca="1" si="574"/>
        <v>86.25</v>
      </c>
      <c r="BU459">
        <f t="shared" ca="1" si="575"/>
        <v>14.5</v>
      </c>
      <c r="BV459">
        <f t="shared" ca="1" si="576"/>
        <v>9.3000000000000007</v>
      </c>
      <c r="BW459" s="1018">
        <v>0</v>
      </c>
      <c r="BX459">
        <f t="shared" ca="1" si="516"/>
        <v>33.6533602829712</v>
      </c>
      <c r="BY459">
        <f t="shared" ca="1" si="517"/>
        <v>59.253840526700813</v>
      </c>
      <c r="BZ459">
        <f t="shared" ca="1" si="498"/>
        <v>20.652647453083109</v>
      </c>
      <c r="CA459">
        <f t="shared" ca="1" si="499"/>
        <v>28.999999988399999</v>
      </c>
      <c r="CB459">
        <f t="shared" ca="1" si="518"/>
        <v>19.522900763358777</v>
      </c>
      <c r="CC459" s="1018">
        <f t="shared" si="500"/>
        <v>0</v>
      </c>
      <c r="CD459" s="1018">
        <f t="shared" ca="1" si="579"/>
        <v>189.36674901451391</v>
      </c>
      <c r="CE459" s="1018">
        <f t="shared" ca="1" si="577"/>
        <v>124.22791065226887</v>
      </c>
      <c r="CF459">
        <f t="shared" ca="1" si="502"/>
        <v>9.407839790003484</v>
      </c>
      <c r="CG459">
        <f t="shared" ca="1" si="503"/>
        <v>15663.676936764199</v>
      </c>
    </row>
    <row r="460" spans="3:85" x14ac:dyDescent="0.25">
      <c r="D460" s="1"/>
      <c r="F460" s="1"/>
      <c r="G460" s="3"/>
      <c r="H460" s="6"/>
      <c r="I460" s="3"/>
      <c r="J460" s="3" t="s">
        <v>144</v>
      </c>
      <c r="K460" s="8"/>
      <c r="L460" s="6"/>
      <c r="M460" s="6" t="s">
        <v>16</v>
      </c>
      <c r="N460" s="4"/>
      <c r="O460" s="6" t="s">
        <v>19</v>
      </c>
      <c r="P460" s="4"/>
      <c r="Q460" s="6" t="s">
        <v>7</v>
      </c>
      <c r="R460" s="4"/>
      <c r="S460" s="1"/>
      <c r="T460" s="77"/>
      <c r="X460" s="176">
        <f t="shared" si="578"/>
        <v>0</v>
      </c>
      <c r="Y460" s="34">
        <f>X460/Calculation_sheet!M$67</f>
        <v>0</v>
      </c>
      <c r="Z460" s="176">
        <f ca="1">IF(AN460&gt;0,Y460*Calculation_sheet!C$87,0)</f>
        <v>0</v>
      </c>
      <c r="AA460" s="176">
        <f t="shared" ca="1" si="567"/>
        <v>0</v>
      </c>
      <c r="AB460" s="176">
        <f ca="1">IF(AP460&gt;0,AA460*Calculation_sheet!C$94,0)</f>
        <v>0</v>
      </c>
      <c r="AC460" s="176">
        <f t="shared" ca="1" si="568"/>
        <v>0</v>
      </c>
      <c r="AD460" s="958">
        <f ca="1">AC460*Calculation_sheet!C$99</f>
        <v>0</v>
      </c>
      <c r="AE460" s="176">
        <f t="shared" ca="1" si="568"/>
        <v>0</v>
      </c>
      <c r="AF460" s="176">
        <f t="shared" ca="1" si="569"/>
        <v>0</v>
      </c>
      <c r="AG460" s="958">
        <f ca="1">AF460*User_sheet!B$77/100</f>
        <v>0</v>
      </c>
      <c r="AH460" s="313"/>
      <c r="AI460" s="910">
        <v>204</v>
      </c>
      <c r="AJ460" s="313"/>
      <c r="AK460" s="1020">
        <f t="shared" ca="1" si="497"/>
        <v>189.36674901451391</v>
      </c>
      <c r="AL460" s="954">
        <f ca="1">AK460/'204'!I$24</f>
        <v>0.6912456616700634</v>
      </c>
      <c r="AM460" s="954">
        <f ca="1">0.8*(AK460*30+'204'!D$17*0.34*30*1)</f>
        <v>8129.8877763483342</v>
      </c>
      <c r="AN460" s="954">
        <f ca="1">IF(AM460&lt;User_sheet!B$50,Y460,0)</f>
        <v>0</v>
      </c>
      <c r="AO460" s="954">
        <f ca="1">20-(User_sheet!B$57/(AK460+'204'!D$17*1*0.34))</f>
        <v>3.1731994630993725</v>
      </c>
      <c r="AP460" s="954">
        <f ca="1">IF(AO460&lt;User_sheet!B$59,0,BC460*AA460)</f>
        <v>0</v>
      </c>
      <c r="AQ460" s="313"/>
      <c r="AR460" s="909">
        <v>0.32</v>
      </c>
      <c r="AS460" s="909">
        <v>0.54</v>
      </c>
      <c r="AT460" s="909">
        <v>0.83</v>
      </c>
      <c r="AU460" s="909">
        <v>2</v>
      </c>
      <c r="AV460" s="909">
        <v>3.3</v>
      </c>
      <c r="AW460" s="909">
        <v>14356</v>
      </c>
      <c r="AX460" s="909">
        <v>75022.04959166942</v>
      </c>
      <c r="AY460" s="909">
        <v>69245.59826015502</v>
      </c>
      <c r="AZ460" s="917">
        <v>0</v>
      </c>
      <c r="BA460" s="917">
        <v>0</v>
      </c>
      <c r="BB460" s="909">
        <v>0.6</v>
      </c>
      <c r="BC460" s="919">
        <v>1</v>
      </c>
      <c r="BD460" s="920">
        <v>0</v>
      </c>
      <c r="BE460" s="920">
        <v>0</v>
      </c>
      <c r="BF460" s="921">
        <v>0</v>
      </c>
      <c r="BG460" s="909">
        <v>0</v>
      </c>
      <c r="BH460" s="909">
        <v>1</v>
      </c>
      <c r="BI460" s="921">
        <v>0</v>
      </c>
      <c r="BJ460" s="909">
        <v>0</v>
      </c>
      <c r="BK460" s="909">
        <v>0</v>
      </c>
      <c r="BL460" s="909">
        <v>1</v>
      </c>
      <c r="BM460" s="921">
        <v>0</v>
      </c>
      <c r="BN460" s="958">
        <v>0.08</v>
      </c>
      <c r="BO460" s="50">
        <v>12</v>
      </c>
      <c r="BP460">
        <f t="shared" ca="1" si="570"/>
        <v>150</v>
      </c>
      <c r="BQ460">
        <f t="shared" ca="1" si="571"/>
        <v>372.82075000000003</v>
      </c>
      <c r="BR460">
        <f t="shared" ca="1" si="572"/>
        <v>111</v>
      </c>
      <c r="BS460">
        <f t="shared" ca="1" si="573"/>
        <v>120</v>
      </c>
      <c r="BT460">
        <f t="shared" ca="1" si="574"/>
        <v>86.25</v>
      </c>
      <c r="BU460">
        <f t="shared" ca="1" si="575"/>
        <v>14.5</v>
      </c>
      <c r="BV460">
        <f t="shared" ca="1" si="576"/>
        <v>9.3000000000000007</v>
      </c>
      <c r="BW460" s="1018">
        <v>0</v>
      </c>
      <c r="BX460">
        <f t="shared" ca="1" si="516"/>
        <v>33.6533602829712</v>
      </c>
      <c r="BY460">
        <f t="shared" ca="1" si="517"/>
        <v>59.253840526700813</v>
      </c>
      <c r="BZ460">
        <f t="shared" ca="1" si="498"/>
        <v>20.652647453083109</v>
      </c>
      <c r="CA460">
        <f t="shared" ca="1" si="499"/>
        <v>28.999999988399999</v>
      </c>
      <c r="CB460">
        <f t="shared" ca="1" si="518"/>
        <v>19.522900763358777</v>
      </c>
      <c r="CC460" s="1018">
        <f t="shared" si="500"/>
        <v>0</v>
      </c>
      <c r="CD460" s="1018">
        <f t="shared" ca="1" si="579"/>
        <v>189.36674901451391</v>
      </c>
      <c r="CE460" s="1018">
        <f t="shared" ca="1" si="577"/>
        <v>124.22791065226887</v>
      </c>
      <c r="CF460">
        <f t="shared" ca="1" si="502"/>
        <v>9.407839790003484</v>
      </c>
      <c r="CG460">
        <f t="shared" ca="1" si="503"/>
        <v>15663.676936764199</v>
      </c>
    </row>
    <row r="461" spans="3:85" x14ac:dyDescent="0.25">
      <c r="D461" s="1"/>
      <c r="F461" s="1"/>
      <c r="G461" s="3"/>
      <c r="H461" s="6"/>
      <c r="I461" s="3"/>
      <c r="J461" s="6" t="s">
        <v>190</v>
      </c>
      <c r="K461" s="8"/>
      <c r="L461" s="6"/>
      <c r="M461" s="6"/>
      <c r="N461" s="1"/>
      <c r="O461" s="6"/>
      <c r="P461" s="6"/>
      <c r="Q461" s="6" t="s">
        <v>22</v>
      </c>
      <c r="R461" s="4"/>
      <c r="S461" s="1"/>
      <c r="T461" s="77"/>
      <c r="X461" s="176">
        <f t="shared" si="578"/>
        <v>0</v>
      </c>
      <c r="Y461" s="34">
        <f>X461/Calculation_sheet!M$67</f>
        <v>0</v>
      </c>
      <c r="Z461" s="176">
        <f ca="1">IF(AN461&gt;0,Y461*Calculation_sheet!C$87,0)</f>
        <v>0</v>
      </c>
      <c r="AA461" s="176">
        <f t="shared" ca="1" si="567"/>
        <v>0</v>
      </c>
      <c r="AB461" s="176">
        <f ca="1">IF(AP461&gt;0,AA461*Calculation_sheet!C$94,0)</f>
        <v>0</v>
      </c>
      <c r="AC461" s="176">
        <f t="shared" ca="1" si="568"/>
        <v>0</v>
      </c>
      <c r="AD461" s="958">
        <f ca="1">AC461*Calculation_sheet!C$99</f>
        <v>0</v>
      </c>
      <c r="AE461" s="176">
        <f t="shared" ca="1" si="568"/>
        <v>0</v>
      </c>
      <c r="AF461" s="176">
        <f t="shared" ca="1" si="569"/>
        <v>0</v>
      </c>
      <c r="AG461" s="958">
        <f ca="1">AF461*User_sheet!B$77/100</f>
        <v>0</v>
      </c>
      <c r="AH461" s="313"/>
      <c r="AI461" s="910">
        <v>204</v>
      </c>
      <c r="AJ461" s="313"/>
      <c r="AK461" s="1020">
        <f t="shared" ca="1" si="497"/>
        <v>189.36674901451391</v>
      </c>
      <c r="AL461" s="954">
        <f ca="1">AK461/'204'!I$24</f>
        <v>0.6912456616700634</v>
      </c>
      <c r="AM461" s="954">
        <f ca="1">0.8*(AK461*30+'204'!D$17*0.34*30*1)</f>
        <v>8129.8877763483342</v>
      </c>
      <c r="AN461" s="954">
        <f ca="1">IF(AM461&lt;User_sheet!B$50,Y461,0)</f>
        <v>0</v>
      </c>
      <c r="AO461" s="954">
        <f ca="1">20-(User_sheet!B$57/(AK461+'204'!D$17*1*0.34))</f>
        <v>3.1731994630993725</v>
      </c>
      <c r="AP461" s="954">
        <f ca="1">IF(AO461&lt;User_sheet!B$59,0,BC461*AA461)</f>
        <v>0</v>
      </c>
      <c r="AQ461" s="313"/>
      <c r="AR461" s="909">
        <v>0.32</v>
      </c>
      <c r="AS461" s="909">
        <v>0.54</v>
      </c>
      <c r="AT461" s="909">
        <v>0.83</v>
      </c>
      <c r="AU461" s="909">
        <v>2</v>
      </c>
      <c r="AV461" s="909">
        <v>3.3</v>
      </c>
      <c r="AW461" s="909">
        <v>14356</v>
      </c>
      <c r="AX461" s="909">
        <v>75022.04959166942</v>
      </c>
      <c r="AY461" s="909">
        <v>69245.59826015502</v>
      </c>
      <c r="AZ461" s="917">
        <v>0</v>
      </c>
      <c r="BA461" s="917">
        <v>0</v>
      </c>
      <c r="BB461" s="909">
        <v>0.6</v>
      </c>
      <c r="BC461" s="919">
        <v>0</v>
      </c>
      <c r="BD461" s="920">
        <v>1</v>
      </c>
      <c r="BE461" s="920">
        <v>0</v>
      </c>
      <c r="BF461" s="921">
        <v>0</v>
      </c>
      <c r="BG461" s="909">
        <v>1</v>
      </c>
      <c r="BH461" s="909">
        <v>0</v>
      </c>
      <c r="BI461" s="921">
        <v>0</v>
      </c>
      <c r="BJ461" s="909">
        <v>0</v>
      </c>
      <c r="BK461" s="909">
        <v>1</v>
      </c>
      <c r="BL461" s="909">
        <v>0</v>
      </c>
      <c r="BM461" s="921">
        <v>0</v>
      </c>
      <c r="BN461" s="958">
        <v>0.08</v>
      </c>
      <c r="BO461" s="50">
        <v>12</v>
      </c>
      <c r="BP461">
        <f t="shared" ca="1" si="570"/>
        <v>150</v>
      </c>
      <c r="BQ461">
        <f t="shared" ca="1" si="571"/>
        <v>372.82075000000003</v>
      </c>
      <c r="BR461">
        <f t="shared" ca="1" si="572"/>
        <v>111</v>
      </c>
      <c r="BS461">
        <f t="shared" ca="1" si="573"/>
        <v>120</v>
      </c>
      <c r="BT461">
        <f t="shared" ca="1" si="574"/>
        <v>86.25</v>
      </c>
      <c r="BU461">
        <f t="shared" ca="1" si="575"/>
        <v>14.5</v>
      </c>
      <c r="BV461">
        <f t="shared" ca="1" si="576"/>
        <v>9.3000000000000007</v>
      </c>
      <c r="BW461" s="1018">
        <v>0</v>
      </c>
      <c r="BX461">
        <f t="shared" ca="1" si="516"/>
        <v>33.6533602829712</v>
      </c>
      <c r="BY461">
        <f t="shared" ca="1" si="517"/>
        <v>59.253840526700813</v>
      </c>
      <c r="BZ461">
        <f t="shared" ca="1" si="498"/>
        <v>20.652647453083109</v>
      </c>
      <c r="CA461">
        <f t="shared" ca="1" si="499"/>
        <v>28.999999988399999</v>
      </c>
      <c r="CB461">
        <f t="shared" ca="1" si="518"/>
        <v>19.522900763358777</v>
      </c>
      <c r="CC461" s="1018">
        <f t="shared" si="500"/>
        <v>0</v>
      </c>
      <c r="CD461" s="1018">
        <f t="shared" ca="1" si="579"/>
        <v>189.36674901451391</v>
      </c>
      <c r="CE461" s="1018">
        <f t="shared" ca="1" si="577"/>
        <v>124.22791065226887</v>
      </c>
      <c r="CF461">
        <f t="shared" ca="1" si="502"/>
        <v>9.407839790003484</v>
      </c>
      <c r="CG461">
        <f t="shared" ca="1" si="503"/>
        <v>15663.676936764199</v>
      </c>
    </row>
    <row r="462" spans="3:85" x14ac:dyDescent="0.25">
      <c r="D462" s="1"/>
      <c r="F462" s="1"/>
      <c r="G462" s="3"/>
      <c r="H462" s="6"/>
      <c r="I462" s="3"/>
      <c r="K462" s="8"/>
      <c r="L462" s="6"/>
      <c r="M462" s="1"/>
      <c r="N462" s="1"/>
      <c r="O462" s="1" t="s">
        <v>18</v>
      </c>
      <c r="P462" s="4"/>
      <c r="Q462" s="1" t="s">
        <v>7</v>
      </c>
      <c r="R462" s="4"/>
      <c r="S462" s="1"/>
      <c r="T462" s="77"/>
      <c r="X462" s="176">
        <f t="shared" si="578"/>
        <v>0</v>
      </c>
      <c r="Y462" s="34">
        <f>X462/Calculation_sheet!M$67</f>
        <v>0</v>
      </c>
      <c r="Z462" s="176">
        <f ca="1">IF(AN462&gt;0,Y462*Calculation_sheet!C$87,0)</f>
        <v>0</v>
      </c>
      <c r="AA462" s="176">
        <f t="shared" ca="1" si="567"/>
        <v>0</v>
      </c>
      <c r="AB462" s="176">
        <f ca="1">IF(AP462&gt;0,AA462*Calculation_sheet!C$94,0)</f>
        <v>0</v>
      </c>
      <c r="AC462" s="176">
        <f t="shared" ca="1" si="568"/>
        <v>0</v>
      </c>
      <c r="AD462" s="958">
        <f ca="1">AC462*Calculation_sheet!C$99</f>
        <v>0</v>
      </c>
      <c r="AE462" s="176">
        <f t="shared" ca="1" si="568"/>
        <v>0</v>
      </c>
      <c r="AF462" s="176">
        <f t="shared" ca="1" si="569"/>
        <v>0</v>
      </c>
      <c r="AG462" s="958">
        <f ca="1">AF462*User_sheet!B$77/100</f>
        <v>0</v>
      </c>
      <c r="AH462" s="313"/>
      <c r="AI462" s="910">
        <v>204</v>
      </c>
      <c r="AJ462" s="313"/>
      <c r="AK462" s="1020">
        <f t="shared" ref="AK462:AK502" ca="1" si="580">CD462</f>
        <v>189.36674901451391</v>
      </c>
      <c r="AL462" s="954">
        <f ca="1">AK462/'204'!I$24</f>
        <v>0.6912456616700634</v>
      </c>
      <c r="AM462" s="954">
        <f ca="1">0.8*(AK462*30+'204'!D$17*0.34*30*1)</f>
        <v>8129.8877763483342</v>
      </c>
      <c r="AN462" s="954">
        <f ca="1">IF(AM462&lt;User_sheet!B$50,Y462,0)</f>
        <v>0</v>
      </c>
      <c r="AO462" s="954">
        <f ca="1">20-(User_sheet!B$57/(AK462+'204'!D$17*1*0.34))</f>
        <v>3.1731994630993725</v>
      </c>
      <c r="AP462" s="954">
        <f ca="1">IF(AO462&lt;User_sheet!B$59,0,BC462*AA462)</f>
        <v>0</v>
      </c>
      <c r="AQ462" s="313"/>
      <c r="AR462" s="909">
        <v>0.32</v>
      </c>
      <c r="AS462" s="909">
        <v>0.54</v>
      </c>
      <c r="AT462" s="909">
        <v>0.83</v>
      </c>
      <c r="AU462" s="909">
        <v>2</v>
      </c>
      <c r="AV462" s="909">
        <v>3.3</v>
      </c>
      <c r="AW462" s="909">
        <v>14356</v>
      </c>
      <c r="AX462" s="909">
        <v>75022.04959166942</v>
      </c>
      <c r="AY462" s="909">
        <v>69245.59826015502</v>
      </c>
      <c r="AZ462" s="917">
        <v>0</v>
      </c>
      <c r="BA462" s="917">
        <v>0</v>
      </c>
      <c r="BB462" s="909">
        <v>0.6</v>
      </c>
      <c r="BC462" s="919">
        <v>0</v>
      </c>
      <c r="BD462" s="920">
        <v>1</v>
      </c>
      <c r="BE462" s="920">
        <v>0</v>
      </c>
      <c r="BF462" s="921">
        <v>0</v>
      </c>
      <c r="BG462" s="909">
        <v>1</v>
      </c>
      <c r="BH462" s="909">
        <v>0</v>
      </c>
      <c r="BI462" s="921">
        <v>0</v>
      </c>
      <c r="BJ462" s="909">
        <v>0</v>
      </c>
      <c r="BK462" s="909">
        <v>0</v>
      </c>
      <c r="BL462" s="909">
        <v>1</v>
      </c>
      <c r="BM462" s="921">
        <v>0</v>
      </c>
      <c r="BN462" s="958">
        <v>0.08</v>
      </c>
      <c r="BO462" s="50">
        <v>12</v>
      </c>
      <c r="BP462">
        <f t="shared" ca="1" si="570"/>
        <v>150</v>
      </c>
      <c r="BQ462">
        <f t="shared" ca="1" si="571"/>
        <v>372.82075000000003</v>
      </c>
      <c r="BR462">
        <f t="shared" ca="1" si="572"/>
        <v>111</v>
      </c>
      <c r="BS462">
        <f t="shared" ca="1" si="573"/>
        <v>120</v>
      </c>
      <c r="BT462">
        <f t="shared" ca="1" si="574"/>
        <v>86.25</v>
      </c>
      <c r="BU462">
        <f t="shared" ca="1" si="575"/>
        <v>14.5</v>
      </c>
      <c r="BV462">
        <f t="shared" ca="1" si="576"/>
        <v>9.3000000000000007</v>
      </c>
      <c r="BW462" s="1018">
        <v>0</v>
      </c>
      <c r="BX462">
        <f t="shared" ca="1" si="516"/>
        <v>33.6533602829712</v>
      </c>
      <c r="BY462">
        <f t="shared" ca="1" si="517"/>
        <v>59.253840526700813</v>
      </c>
      <c r="BZ462">
        <f t="shared" ref="BZ462:BZ502" ca="1" si="581">IF(BT462=0,0,1/(1/(BT462*$BY$3)+1/(BT462*AT462)+1/(BT462*$BY$4)))*0.33</f>
        <v>20.652647453083109</v>
      </c>
      <c r="CA462">
        <f t="shared" ref="CA462:CA502" ca="1" si="582">IF(BU462=0,0,1/(1/(BU462*$BY$5)+1/(BU462*AU462)+1/(BU462*$BY$6)))</f>
        <v>28.999999988399999</v>
      </c>
      <c r="CB462">
        <f t="shared" ca="1" si="518"/>
        <v>19.522900763358777</v>
      </c>
      <c r="CC462" s="1018">
        <f t="shared" ref="CC462:CC502" si="583">0.67*IF(BW462=0,0,1/(1/(BW462*$BY$3)+1/(BW462*AS462)+1/(BW462*$BY$4)))</f>
        <v>0</v>
      </c>
      <c r="CD462" s="1018">
        <f t="shared" ca="1" si="579"/>
        <v>189.36674901451391</v>
      </c>
      <c r="CE462" s="1018">
        <f t="shared" ca="1" si="577"/>
        <v>124.22791065226887</v>
      </c>
      <c r="CF462">
        <f t="shared" ref="CF462:CF502" ca="1" si="584">(CD462+CE462)*($BY$7-$BV$5)/1000</f>
        <v>9.407839790003484</v>
      </c>
      <c r="CG462">
        <f t="shared" ref="CG462:CG502" ca="1" si="585">$BV$8*(CD462+CE462)*($BY$10-$BV$7)*24/1000</f>
        <v>15663.676936764199</v>
      </c>
    </row>
    <row r="463" spans="3:85" x14ac:dyDescent="0.25">
      <c r="D463" s="1"/>
      <c r="F463" s="1"/>
      <c r="G463" s="3"/>
      <c r="H463" s="6"/>
      <c r="I463" s="3"/>
      <c r="K463" s="8"/>
      <c r="L463" s="6"/>
      <c r="M463" s="1"/>
      <c r="N463" s="1"/>
      <c r="O463" s="1"/>
      <c r="P463" s="1"/>
      <c r="Q463" s="1" t="s">
        <v>22</v>
      </c>
      <c r="R463" s="4"/>
      <c r="S463" s="1"/>
      <c r="T463" s="77"/>
      <c r="X463" s="176">
        <f t="shared" si="578"/>
        <v>0</v>
      </c>
      <c r="Y463" s="34">
        <f>X463/Calculation_sheet!M$67</f>
        <v>0</v>
      </c>
      <c r="Z463" s="176">
        <f ca="1">IF(AN463&gt;0,Y463*Calculation_sheet!C$87,0)</f>
        <v>0</v>
      </c>
      <c r="AA463" s="176">
        <f t="shared" ca="1" si="567"/>
        <v>0</v>
      </c>
      <c r="AB463" s="176">
        <f ca="1">IF(AP463&gt;0,AA463*Calculation_sheet!C$94,0)</f>
        <v>0</v>
      </c>
      <c r="AC463" s="176">
        <f t="shared" ca="1" si="568"/>
        <v>0</v>
      </c>
      <c r="AD463" s="958">
        <f ca="1">AC463*Calculation_sheet!C$99</f>
        <v>0</v>
      </c>
      <c r="AE463" s="176">
        <f t="shared" ca="1" si="568"/>
        <v>0</v>
      </c>
      <c r="AF463" s="176">
        <f t="shared" ca="1" si="569"/>
        <v>0</v>
      </c>
      <c r="AG463" s="958">
        <f ca="1">AF463*User_sheet!B$77/100</f>
        <v>0</v>
      </c>
      <c r="AH463" s="313"/>
      <c r="AI463" s="910">
        <v>204</v>
      </c>
      <c r="AJ463" s="313"/>
      <c r="AK463" s="1020">
        <f t="shared" ca="1" si="580"/>
        <v>189.36674901451391</v>
      </c>
      <c r="AL463" s="954">
        <f ca="1">AK463/'204'!I$24</f>
        <v>0.6912456616700634</v>
      </c>
      <c r="AM463" s="954">
        <f ca="1">0.8*(AK463*30+'204'!D$17*0.34*30*1)</f>
        <v>8129.8877763483342</v>
      </c>
      <c r="AN463" s="954">
        <f ca="1">IF(AM463&lt;User_sheet!B$50,Y463,0)</f>
        <v>0</v>
      </c>
      <c r="AO463" s="954">
        <f ca="1">20-(User_sheet!B$57/(AK463+'204'!D$17*1*0.34))</f>
        <v>3.1731994630993725</v>
      </c>
      <c r="AP463" s="954">
        <f ca="1">IF(AO463&lt;User_sheet!B$59,0,BC463*AA463)</f>
        <v>0</v>
      </c>
      <c r="AQ463" s="313"/>
      <c r="AR463" s="909">
        <v>0.32</v>
      </c>
      <c r="AS463" s="909">
        <v>0.54</v>
      </c>
      <c r="AT463" s="909">
        <v>0.83</v>
      </c>
      <c r="AU463" s="909">
        <v>2</v>
      </c>
      <c r="AV463" s="909">
        <v>3.3</v>
      </c>
      <c r="AW463" s="909">
        <v>14356</v>
      </c>
      <c r="AX463" s="909">
        <v>75022.04959166942</v>
      </c>
      <c r="AY463" s="909">
        <v>69245.59826015502</v>
      </c>
      <c r="AZ463" s="917">
        <v>0</v>
      </c>
      <c r="BA463" s="917">
        <v>0</v>
      </c>
      <c r="BB463" s="909">
        <v>0.6</v>
      </c>
      <c r="BC463" s="919">
        <v>0</v>
      </c>
      <c r="BD463" s="920">
        <v>1</v>
      </c>
      <c r="BE463" s="920">
        <v>0</v>
      </c>
      <c r="BF463" s="921">
        <v>0</v>
      </c>
      <c r="BG463" s="909">
        <v>0</v>
      </c>
      <c r="BH463" s="909">
        <v>1</v>
      </c>
      <c r="BI463" s="921">
        <v>0</v>
      </c>
      <c r="BJ463" s="909">
        <v>0</v>
      </c>
      <c r="BK463" s="909">
        <v>1</v>
      </c>
      <c r="BL463" s="909">
        <v>0</v>
      </c>
      <c r="BM463" s="921">
        <v>0</v>
      </c>
      <c r="BN463" s="958">
        <v>0.08</v>
      </c>
      <c r="BO463" s="50">
        <v>12</v>
      </c>
      <c r="BP463">
        <f t="shared" ca="1" si="570"/>
        <v>150</v>
      </c>
      <c r="BQ463">
        <f t="shared" ca="1" si="571"/>
        <v>372.82075000000003</v>
      </c>
      <c r="BR463">
        <f t="shared" ca="1" si="572"/>
        <v>111</v>
      </c>
      <c r="BS463">
        <f t="shared" ca="1" si="573"/>
        <v>120</v>
      </c>
      <c r="BT463">
        <f t="shared" ca="1" si="574"/>
        <v>86.25</v>
      </c>
      <c r="BU463">
        <f t="shared" ca="1" si="575"/>
        <v>14.5</v>
      </c>
      <c r="BV463">
        <f t="shared" ca="1" si="576"/>
        <v>9.3000000000000007</v>
      </c>
      <c r="BW463" s="1018">
        <v>0</v>
      </c>
      <c r="BX463">
        <f t="shared" ca="1" si="516"/>
        <v>33.6533602829712</v>
      </c>
      <c r="BY463">
        <f t="shared" ca="1" si="517"/>
        <v>59.253840526700813</v>
      </c>
      <c r="BZ463">
        <f t="shared" ca="1" si="581"/>
        <v>20.652647453083109</v>
      </c>
      <c r="CA463">
        <f t="shared" ca="1" si="582"/>
        <v>28.999999988399999</v>
      </c>
      <c r="CB463">
        <f t="shared" ca="1" si="518"/>
        <v>19.522900763358777</v>
      </c>
      <c r="CC463" s="1018">
        <f t="shared" si="583"/>
        <v>0</v>
      </c>
      <c r="CD463" s="1018">
        <f t="shared" ca="1" si="579"/>
        <v>189.36674901451391</v>
      </c>
      <c r="CE463" s="1018">
        <f t="shared" ca="1" si="577"/>
        <v>124.22791065226887</v>
      </c>
      <c r="CF463">
        <f t="shared" ca="1" si="584"/>
        <v>9.407839790003484</v>
      </c>
      <c r="CG463">
        <f t="shared" ca="1" si="585"/>
        <v>15663.676936764199</v>
      </c>
    </row>
    <row r="464" spans="3:85" x14ac:dyDescent="0.25">
      <c r="D464" s="1"/>
      <c r="F464" s="1"/>
      <c r="G464" s="3"/>
      <c r="H464" s="6"/>
      <c r="I464" s="3"/>
      <c r="J464" s="6"/>
      <c r="K464" s="8"/>
      <c r="L464" s="6"/>
      <c r="M464" s="1" t="s">
        <v>22</v>
      </c>
      <c r="N464" s="4"/>
      <c r="O464" s="1" t="s">
        <v>20</v>
      </c>
      <c r="P464" s="4"/>
      <c r="Q464" s="1" t="s">
        <v>7</v>
      </c>
      <c r="R464" s="4"/>
      <c r="S464" s="1"/>
      <c r="T464" s="77"/>
      <c r="X464" s="176">
        <f t="shared" si="578"/>
        <v>0</v>
      </c>
      <c r="Y464" s="34">
        <f>X464/Calculation_sheet!M$67</f>
        <v>0</v>
      </c>
      <c r="Z464" s="176">
        <f ca="1">IF(AN464&gt;0,Y464*Calculation_sheet!C$87,0)</f>
        <v>0</v>
      </c>
      <c r="AA464" s="176">
        <f t="shared" ca="1" si="567"/>
        <v>0</v>
      </c>
      <c r="AB464" s="176">
        <f ca="1">IF(AP464&gt;0,AA464*Calculation_sheet!C$94,0)</f>
        <v>0</v>
      </c>
      <c r="AC464" s="176">
        <f t="shared" ca="1" si="568"/>
        <v>0</v>
      </c>
      <c r="AD464" s="958">
        <f ca="1">AC464*Calculation_sheet!C$99</f>
        <v>0</v>
      </c>
      <c r="AE464" s="176">
        <f t="shared" ca="1" si="568"/>
        <v>0</v>
      </c>
      <c r="AF464" s="176">
        <f t="shared" ca="1" si="569"/>
        <v>0</v>
      </c>
      <c r="AG464" s="958">
        <f ca="1">AF464*User_sheet!B$77/100</f>
        <v>0</v>
      </c>
      <c r="AH464" s="313"/>
      <c r="AI464" s="910">
        <v>204</v>
      </c>
      <c r="AJ464" s="313"/>
      <c r="AK464" s="1020">
        <f t="shared" ca="1" si="580"/>
        <v>189.36674901451391</v>
      </c>
      <c r="AL464" s="954">
        <f ca="1">AK464/'204'!I$24</f>
        <v>0.6912456616700634</v>
      </c>
      <c r="AM464" s="954">
        <f ca="1">0.8*(AK464*30+'204'!D$17*0.34*30*1)</f>
        <v>8129.8877763483342</v>
      </c>
      <c r="AN464" s="954">
        <f ca="1">IF(AM464&lt;User_sheet!B$50,Y464,0)</f>
        <v>0</v>
      </c>
      <c r="AO464" s="954">
        <f ca="1">20-(User_sheet!B$57/(AK464+'204'!D$17*1*0.34))</f>
        <v>3.1731994630993725</v>
      </c>
      <c r="AP464" s="954">
        <f ca="1">IF(AO464&lt;User_sheet!B$59,0,BC464*AA464)</f>
        <v>0</v>
      </c>
      <c r="AQ464" s="313"/>
      <c r="AR464" s="909">
        <v>0.32</v>
      </c>
      <c r="AS464" s="909">
        <v>0.54</v>
      </c>
      <c r="AT464" s="909">
        <v>0.83</v>
      </c>
      <c r="AU464" s="909">
        <v>2</v>
      </c>
      <c r="AV464" s="909">
        <v>3.3</v>
      </c>
      <c r="AW464" s="909">
        <v>14356</v>
      </c>
      <c r="AX464" s="909">
        <v>75022.04959166942</v>
      </c>
      <c r="AY464" s="909">
        <v>69245.59826015502</v>
      </c>
      <c r="AZ464" s="917">
        <v>0</v>
      </c>
      <c r="BA464" s="917">
        <v>0</v>
      </c>
      <c r="BB464" s="909">
        <v>0.6</v>
      </c>
      <c r="BC464" s="919">
        <v>0</v>
      </c>
      <c r="BD464" s="920">
        <v>1</v>
      </c>
      <c r="BE464" s="920">
        <v>0</v>
      </c>
      <c r="BF464" s="921">
        <v>0</v>
      </c>
      <c r="BG464" s="909">
        <v>0</v>
      </c>
      <c r="BH464" s="909">
        <v>1</v>
      </c>
      <c r="BI464" s="921">
        <v>0</v>
      </c>
      <c r="BJ464" s="909">
        <v>0</v>
      </c>
      <c r="BK464" s="909">
        <v>0</v>
      </c>
      <c r="BL464" s="909">
        <v>1</v>
      </c>
      <c r="BM464" s="921">
        <v>0</v>
      </c>
      <c r="BN464" s="958">
        <v>0.08</v>
      </c>
      <c r="BO464" s="50">
        <v>12</v>
      </c>
      <c r="BP464">
        <f t="shared" ca="1" si="570"/>
        <v>150</v>
      </c>
      <c r="BQ464">
        <f t="shared" ca="1" si="571"/>
        <v>372.82075000000003</v>
      </c>
      <c r="BR464">
        <f t="shared" ca="1" si="572"/>
        <v>111</v>
      </c>
      <c r="BS464">
        <f t="shared" ca="1" si="573"/>
        <v>120</v>
      </c>
      <c r="BT464">
        <f t="shared" ca="1" si="574"/>
        <v>86.25</v>
      </c>
      <c r="BU464">
        <f t="shared" ca="1" si="575"/>
        <v>14.5</v>
      </c>
      <c r="BV464">
        <f t="shared" ca="1" si="576"/>
        <v>9.3000000000000007</v>
      </c>
      <c r="BW464" s="1018">
        <v>0</v>
      </c>
      <c r="BX464">
        <f t="shared" ca="1" si="516"/>
        <v>33.6533602829712</v>
      </c>
      <c r="BY464">
        <f t="shared" ca="1" si="517"/>
        <v>59.253840526700813</v>
      </c>
      <c r="BZ464">
        <f t="shared" ca="1" si="581"/>
        <v>20.652647453083109</v>
      </c>
      <c r="CA464">
        <f t="shared" ca="1" si="582"/>
        <v>28.999999988399999</v>
      </c>
      <c r="CB464">
        <f t="shared" ca="1" si="518"/>
        <v>19.522900763358777</v>
      </c>
      <c r="CC464" s="1018">
        <f t="shared" si="583"/>
        <v>0</v>
      </c>
      <c r="CD464" s="1018">
        <f t="shared" ca="1" si="579"/>
        <v>189.36674901451391</v>
      </c>
      <c r="CE464" s="1018">
        <f t="shared" ca="1" si="577"/>
        <v>124.22791065226887</v>
      </c>
      <c r="CF464">
        <f t="shared" ca="1" si="584"/>
        <v>9.407839790003484</v>
      </c>
      <c r="CG464">
        <f t="shared" ca="1" si="585"/>
        <v>15663.676936764199</v>
      </c>
    </row>
    <row r="465" spans="4:85" x14ac:dyDescent="0.25">
      <c r="D465" s="1"/>
      <c r="F465" s="1"/>
      <c r="G465" s="3"/>
      <c r="H465" s="6"/>
      <c r="I465" s="3"/>
      <c r="J465" s="6"/>
      <c r="K465" s="8"/>
      <c r="L465" s="6"/>
      <c r="M465" s="1" t="s">
        <v>7</v>
      </c>
      <c r="N465" s="4"/>
      <c r="O465" s="1" t="s">
        <v>23</v>
      </c>
      <c r="P465" s="4"/>
      <c r="Q465" s="1" t="s">
        <v>7</v>
      </c>
      <c r="R465" s="4"/>
      <c r="S465" s="1"/>
      <c r="T465" s="77"/>
      <c r="X465" s="176">
        <f t="shared" si="578"/>
        <v>0</v>
      </c>
      <c r="Y465" s="34">
        <f>X465/Calculation_sheet!M$67</f>
        <v>0</v>
      </c>
      <c r="Z465" s="176">
        <f ca="1">IF(AN465&gt;0,Y465*Calculation_sheet!C$87,0)</f>
        <v>0</v>
      </c>
      <c r="AA465" s="176">
        <f t="shared" ca="1" si="567"/>
        <v>0</v>
      </c>
      <c r="AB465" s="176">
        <f ca="1">IF(AP465&gt;0,AA465*Calculation_sheet!C$94,0)</f>
        <v>0</v>
      </c>
      <c r="AC465" s="176">
        <f t="shared" ca="1" si="568"/>
        <v>0</v>
      </c>
      <c r="AD465" s="958">
        <f ca="1">AC465*Calculation_sheet!C$99</f>
        <v>0</v>
      </c>
      <c r="AE465" s="176">
        <f t="shared" ca="1" si="568"/>
        <v>0</v>
      </c>
      <c r="AF465" s="176">
        <f t="shared" ca="1" si="569"/>
        <v>0</v>
      </c>
      <c r="AG465" s="958">
        <f ca="1">AF465*User_sheet!B$77/100</f>
        <v>0</v>
      </c>
      <c r="AH465" s="313"/>
      <c r="AI465" s="910">
        <v>204</v>
      </c>
      <c r="AJ465" s="313"/>
      <c r="AK465" s="1020">
        <f t="shared" ca="1" si="580"/>
        <v>189.36674901451391</v>
      </c>
      <c r="AL465" s="954">
        <f ca="1">AK465/'204'!I$24</f>
        <v>0.6912456616700634</v>
      </c>
      <c r="AM465" s="954">
        <f ca="1">0.8*(AK465*30+'204'!D$17*0.34*30*1)</f>
        <v>8129.8877763483342</v>
      </c>
      <c r="AN465" s="954">
        <f ca="1">IF(AM465&lt;User_sheet!B$50,Y465,0)</f>
        <v>0</v>
      </c>
      <c r="AO465" s="954">
        <f ca="1">20-(User_sheet!B$57/(AK465+'204'!D$17*1*0.34))</f>
        <v>3.1731994630993725</v>
      </c>
      <c r="AP465" s="954">
        <f ca="1">IF(AO465&lt;User_sheet!B$59,0,BC465*AA465)</f>
        <v>0</v>
      </c>
      <c r="AQ465" s="313"/>
      <c r="AR465" s="909">
        <v>0.32</v>
      </c>
      <c r="AS465" s="909">
        <v>0.54</v>
      </c>
      <c r="AT465" s="909">
        <v>0.83</v>
      </c>
      <c r="AU465" s="909">
        <v>2</v>
      </c>
      <c r="AV465" s="909">
        <v>3.3</v>
      </c>
      <c r="AW465" s="909">
        <v>14356</v>
      </c>
      <c r="AX465" s="909">
        <v>75022.04959166942</v>
      </c>
      <c r="AY465" s="909">
        <v>69245.59826015502</v>
      </c>
      <c r="AZ465" s="917">
        <v>0</v>
      </c>
      <c r="BA465" s="917">
        <v>0</v>
      </c>
      <c r="BB465" s="909">
        <v>0.6</v>
      </c>
      <c r="BC465" s="919">
        <v>0</v>
      </c>
      <c r="BD465" s="920">
        <v>0</v>
      </c>
      <c r="BE465" s="920">
        <v>1</v>
      </c>
      <c r="BF465" s="921">
        <v>0</v>
      </c>
      <c r="BG465" s="909">
        <v>0</v>
      </c>
      <c r="BH465" s="909">
        <v>0</v>
      </c>
      <c r="BI465" s="921">
        <v>1</v>
      </c>
      <c r="BJ465" s="909">
        <v>0</v>
      </c>
      <c r="BK465" s="909">
        <v>0</v>
      </c>
      <c r="BL465" s="909">
        <v>1</v>
      </c>
      <c r="BM465" s="921">
        <v>0</v>
      </c>
      <c r="BN465" s="958">
        <v>0.08</v>
      </c>
      <c r="BO465" s="50">
        <v>12</v>
      </c>
      <c r="BP465">
        <f t="shared" ca="1" si="570"/>
        <v>150</v>
      </c>
      <c r="BQ465">
        <f t="shared" ca="1" si="571"/>
        <v>372.82075000000003</v>
      </c>
      <c r="BR465">
        <f t="shared" ca="1" si="572"/>
        <v>111</v>
      </c>
      <c r="BS465">
        <f t="shared" ca="1" si="573"/>
        <v>120</v>
      </c>
      <c r="BT465">
        <f t="shared" ca="1" si="574"/>
        <v>86.25</v>
      </c>
      <c r="BU465">
        <f t="shared" ca="1" si="575"/>
        <v>14.5</v>
      </c>
      <c r="BV465">
        <f t="shared" ca="1" si="576"/>
        <v>9.3000000000000007</v>
      </c>
      <c r="BW465" s="1018">
        <v>0</v>
      </c>
      <c r="BX465">
        <f t="shared" ca="1" si="516"/>
        <v>33.6533602829712</v>
      </c>
      <c r="BY465">
        <f t="shared" ca="1" si="517"/>
        <v>59.253840526700813</v>
      </c>
      <c r="BZ465">
        <f t="shared" ca="1" si="581"/>
        <v>20.652647453083109</v>
      </c>
      <c r="CA465">
        <f t="shared" ca="1" si="582"/>
        <v>28.999999988399999</v>
      </c>
      <c r="CB465">
        <f t="shared" ca="1" si="518"/>
        <v>19.522900763358777</v>
      </c>
      <c r="CC465" s="1018">
        <f t="shared" si="583"/>
        <v>0</v>
      </c>
      <c r="CD465" s="1018">
        <f t="shared" ca="1" si="579"/>
        <v>189.36674901451391</v>
      </c>
      <c r="CE465" s="1018">
        <f t="shared" ca="1" si="577"/>
        <v>124.22791065226887</v>
      </c>
      <c r="CF465">
        <f t="shared" ca="1" si="584"/>
        <v>9.407839790003484</v>
      </c>
      <c r="CG465">
        <f t="shared" ca="1" si="585"/>
        <v>15663.676936764199</v>
      </c>
    </row>
    <row r="466" spans="4:85" s="11" customFormat="1" x14ac:dyDescent="0.25">
      <c r="D466" s="12"/>
      <c r="F466" s="12"/>
      <c r="H466" s="12"/>
      <c r="J466" s="12"/>
      <c r="K466" s="13"/>
      <c r="L466" s="12"/>
      <c r="M466" s="12"/>
      <c r="N466" s="12"/>
      <c r="O466" s="12"/>
      <c r="P466" s="12"/>
      <c r="Q466" s="12"/>
      <c r="R466" s="12"/>
      <c r="S466" s="12"/>
      <c r="T466" s="82"/>
      <c r="U466" s="25"/>
      <c r="V466" s="292"/>
      <c r="W466" s="292"/>
      <c r="X466" s="292"/>
      <c r="Y466" s="277"/>
      <c r="Z466" s="292"/>
      <c r="AA466" s="292"/>
      <c r="AB466" s="292"/>
      <c r="AC466" s="292"/>
      <c r="AD466" s="277"/>
      <c r="AE466" s="292"/>
      <c r="AF466" s="292"/>
      <c r="AG466" s="277"/>
      <c r="AH466" s="313"/>
      <c r="AI466" s="912"/>
      <c r="AJ466" s="313"/>
      <c r="AK466" s="1020">
        <f t="shared" si="580"/>
        <v>0</v>
      </c>
      <c r="AL466" s="941"/>
      <c r="AM466" s="941"/>
      <c r="AN466" s="955"/>
      <c r="AO466" s="955"/>
      <c r="AP466" s="955"/>
      <c r="AQ466" s="313"/>
      <c r="AR466" s="918"/>
      <c r="AS466" s="918"/>
      <c r="AT466" s="918"/>
      <c r="AU466" s="918"/>
      <c r="AV466" s="918"/>
      <c r="AW466" s="918"/>
      <c r="AX466" s="918"/>
      <c r="AY466" s="918"/>
      <c r="AZ466" s="918"/>
      <c r="BA466" s="918"/>
      <c r="BB466" s="918"/>
      <c r="BC466" s="45"/>
      <c r="BD466" s="277"/>
      <c r="BE466" s="277"/>
      <c r="BF466" s="49"/>
      <c r="BG466" s="918"/>
      <c r="BH466" s="918"/>
      <c r="BI466" s="49"/>
      <c r="BJ466" s="918"/>
      <c r="BK466" s="918"/>
      <c r="BL466" s="918"/>
      <c r="BM466" s="49"/>
      <c r="BN466" s="277"/>
      <c r="BO466" s="49"/>
      <c r="BW466" s="946"/>
      <c r="CC466" s="946"/>
      <c r="CD466" s="946"/>
      <c r="CE466" s="946"/>
    </row>
    <row r="467" spans="4:85" s="3" customFormat="1" x14ac:dyDescent="0.25">
      <c r="D467" s="627"/>
      <c r="E467" s="623"/>
      <c r="F467" s="627"/>
      <c r="G467" s="623"/>
      <c r="H467" s="627"/>
      <c r="I467" s="623"/>
      <c r="J467" s="627"/>
      <c r="K467" s="628"/>
      <c r="L467" s="627"/>
      <c r="M467" s="627"/>
      <c r="N467" s="627"/>
      <c r="O467" s="627"/>
      <c r="P467" s="627"/>
      <c r="Q467" s="627" t="s">
        <v>16</v>
      </c>
      <c r="R467" s="624">
        <v>0.81069999999999998</v>
      </c>
      <c r="S467" s="627"/>
      <c r="T467" s="631">
        <v>2.8919045988839141E-4</v>
      </c>
      <c r="U467" s="623"/>
      <c r="V467" s="176">
        <f t="shared" si="472"/>
        <v>2.8919045988839141E-4</v>
      </c>
      <c r="W467" s="176">
        <f>V467-V467*Calculation_sheet!E$69</f>
        <v>2.8919045988839141E-4</v>
      </c>
      <c r="X467" s="176">
        <f>W467-W467*Calculation_sheet!E$79</f>
        <v>2.8919045988839141E-4</v>
      </c>
      <c r="Y467" s="34">
        <f>X467/Calculation_sheet!M$67</f>
        <v>2.8919637280049824E-4</v>
      </c>
      <c r="Z467" s="176">
        <f ca="1">IF(AN467&gt;0,Y467*Calculation_sheet!C$87,0)</f>
        <v>0</v>
      </c>
      <c r="AA467" s="176">
        <f t="shared" ref="AA467:AA475" ca="1" si="586">Y467-Z467</f>
        <v>2.8919637280049824E-4</v>
      </c>
      <c r="AB467" s="176">
        <f ca="1">IF(AP467&gt;0,AA467*Calculation_sheet!C$94,0)</f>
        <v>0</v>
      </c>
      <c r="AC467" s="176">
        <f t="shared" ref="AC467:AE475" ca="1" si="587">AA467-AB467</f>
        <v>2.8919637280049824E-4</v>
      </c>
      <c r="AD467" s="958">
        <f ca="1">AC467*Calculation_sheet!C$99</f>
        <v>1.7351782368029895E-4</v>
      </c>
      <c r="AE467" s="176">
        <f t="shared" ca="1" si="587"/>
        <v>1.1567854912019929E-4</v>
      </c>
      <c r="AF467" s="176">
        <f t="shared" ref="AF467:AF475" ca="1" si="588">Y467-AB467</f>
        <v>2.8919637280049824E-4</v>
      </c>
      <c r="AG467" s="958">
        <f ca="1">AF467*User_sheet!B$77/100</f>
        <v>0</v>
      </c>
      <c r="AH467" s="313"/>
      <c r="AI467" s="910">
        <v>204</v>
      </c>
      <c r="AJ467" s="313"/>
      <c r="AK467" s="1020">
        <f t="shared" ca="1" si="580"/>
        <v>225.70343309178736</v>
      </c>
      <c r="AL467" s="954">
        <f ca="1">AK467/'204'!I$24</f>
        <v>0.82388550133888416</v>
      </c>
      <c r="AM467" s="954">
        <f ca="1">0.8*(AK467*30+'204'!D$17*0.34*30*1)</f>
        <v>9001.9681942028965</v>
      </c>
      <c r="AN467" s="954">
        <f ca="1">IF(AM467&lt;User_sheet!B$50,Y467,0)</f>
        <v>2.8919637280049824E-4</v>
      </c>
      <c r="AO467" s="954">
        <f ca="1">20-(User_sheet!B$57/(AK467+'204'!D$17*1*0.34))</f>
        <v>4.8033233345462492</v>
      </c>
      <c r="AP467" s="954">
        <f ca="1">IF(AO467&lt;User_sheet!B$59,0,BC467*AA467)</f>
        <v>0</v>
      </c>
      <c r="AQ467" s="313"/>
      <c r="AR467" s="909">
        <v>0.47</v>
      </c>
      <c r="AS467" s="909">
        <v>0.54</v>
      </c>
      <c r="AT467" s="909">
        <v>0.83</v>
      </c>
      <c r="AU467" s="909">
        <v>3.5</v>
      </c>
      <c r="AV467" s="909">
        <v>3.3</v>
      </c>
      <c r="AW467" s="909">
        <v>12848.541887298286</v>
      </c>
      <c r="AX467" s="909">
        <v>75022.04959166942</v>
      </c>
      <c r="AY467" s="909">
        <v>69245.59826015502</v>
      </c>
      <c r="AZ467" s="917">
        <v>0</v>
      </c>
      <c r="BA467" s="917">
        <v>0</v>
      </c>
      <c r="BB467" s="909">
        <v>0.75</v>
      </c>
      <c r="BC467" s="46">
        <v>1</v>
      </c>
      <c r="BD467" s="199">
        <v>0</v>
      </c>
      <c r="BE467" s="199">
        <v>0</v>
      </c>
      <c r="BF467" s="50">
        <v>0</v>
      </c>
      <c r="BG467" s="917">
        <v>1</v>
      </c>
      <c r="BH467" s="917">
        <v>0</v>
      </c>
      <c r="BI467" s="50">
        <v>0</v>
      </c>
      <c r="BJ467" s="917">
        <v>1</v>
      </c>
      <c r="BK467" s="917">
        <v>0</v>
      </c>
      <c r="BL467" s="917">
        <v>0</v>
      </c>
      <c r="BM467" s="50">
        <v>0</v>
      </c>
      <c r="BN467" s="958">
        <v>0.08</v>
      </c>
      <c r="BO467" s="50">
        <v>12</v>
      </c>
      <c r="BP467" s="3">
        <f t="shared" ref="BP467:BP475" ca="1" si="589">INDIRECT("'"&amp;AI467&amp;"'!"&amp;"B2")</f>
        <v>150</v>
      </c>
      <c r="BQ467" s="3">
        <f t="shared" ref="BQ467:BQ475" ca="1" si="590">INDIRECT("'"&amp;AI467&amp;"'!"&amp;"C12")+INDIRECT("'"&amp;AI467&amp;"'!"&amp;"C13")+INDIRECT("'"&amp;AI467&amp;"'!"&amp;"C14")+INDIRECT("'"&amp;AI467&amp;"'!"&amp;"C15")+INDIRECT("'"&amp;AI467&amp;"'!"&amp;"C17")</f>
        <v>372.82075000000003</v>
      </c>
      <c r="BR467" s="3">
        <f t="shared" ref="BR467:BR475" ca="1" si="591">INDIRECT("'"&amp;AI467&amp;"'!"&amp;"G5")</f>
        <v>111</v>
      </c>
      <c r="BS467" s="3">
        <f t="shared" ref="BS467:BS475" ca="1" si="592">INDIRECT("'"&amp;AI467&amp;"'!"&amp;"G4")</f>
        <v>120</v>
      </c>
      <c r="BT467" s="3">
        <f t="shared" ref="BT467:BT475" ca="1" si="593">INDIRECT("'"&amp;AI467&amp;"'!"&amp;"G6")</f>
        <v>86.25</v>
      </c>
      <c r="BU467" s="3">
        <f t="shared" ref="BU467:BU475" ca="1" si="594">INDIRECT("'"&amp;AI467&amp;"'!"&amp;"G2")</f>
        <v>14.5</v>
      </c>
      <c r="BV467" s="3">
        <f t="shared" ref="BV467:BV475" ca="1" si="595">INDIRECT("'"&amp;AI467&amp;"'!"&amp;"G3")</f>
        <v>9.3000000000000007</v>
      </c>
      <c r="BW467" s="926">
        <v>0</v>
      </c>
      <c r="BX467" s="3">
        <f t="shared" ca="1" si="516"/>
        <v>48.240044384169643</v>
      </c>
      <c r="BY467" s="3">
        <f t="shared" ca="1" si="517"/>
        <v>59.253840526700813</v>
      </c>
      <c r="BZ467" s="3">
        <f t="shared" ca="1" si="581"/>
        <v>20.652647453083109</v>
      </c>
      <c r="CA467" s="3">
        <f t="shared" ca="1" si="582"/>
        <v>50.749999964474995</v>
      </c>
      <c r="CB467" s="3">
        <f t="shared" ca="1" si="518"/>
        <v>19.522900763358777</v>
      </c>
      <c r="CC467" s="926">
        <f t="shared" si="583"/>
        <v>0</v>
      </c>
      <c r="CD467" s="1018">
        <f ca="1">SUM(BX467:CC467)+(BR467+BS467+BT467+BU467+BV467)*BN467</f>
        <v>225.70343309178736</v>
      </c>
      <c r="CE467" s="1018">
        <f t="shared" ref="CE467:CE475" ca="1" si="596">0.34*BO467*(1/25)^0.66*(BR467+BS467+BU467+BV467)</f>
        <v>124.22791065226887</v>
      </c>
      <c r="CF467" s="3">
        <f t="shared" ca="1" si="584"/>
        <v>10.497940312321687</v>
      </c>
      <c r="CG467" s="3">
        <f t="shared" ca="1" si="585"/>
        <v>17478.650702403113</v>
      </c>
    </row>
    <row r="468" spans="4:85" s="3" customFormat="1" x14ac:dyDescent="0.25">
      <c r="D468" s="627"/>
      <c r="E468" s="623"/>
      <c r="F468" s="627"/>
      <c r="G468" s="623"/>
      <c r="H468" s="627"/>
      <c r="I468" s="623"/>
      <c r="J468" s="627"/>
      <c r="K468" s="628"/>
      <c r="L468" s="627"/>
      <c r="M468" s="627"/>
      <c r="N468" s="627"/>
      <c r="O468" s="627" t="s">
        <v>18</v>
      </c>
      <c r="P468" s="624">
        <v>0.962121212</v>
      </c>
      <c r="Q468" s="627" t="s">
        <v>7</v>
      </c>
      <c r="R468" s="624">
        <v>0.1893</v>
      </c>
      <c r="S468" s="627"/>
      <c r="T468" s="631">
        <v>6.7526525295266436E-5</v>
      </c>
      <c r="U468" s="623"/>
      <c r="V468" s="176">
        <f t="shared" si="472"/>
        <v>6.7526525295266436E-5</v>
      </c>
      <c r="W468" s="176">
        <f>V468-V468*Calculation_sheet!E$69</f>
        <v>6.7526525295266436E-5</v>
      </c>
      <c r="X468" s="176">
        <f>W468-W468*Calculation_sheet!E$79</f>
        <v>6.7526525295266436E-5</v>
      </c>
      <c r="Y468" s="34">
        <f>X468/Calculation_sheet!M$67</f>
        <v>6.7527905971548452E-5</v>
      </c>
      <c r="Z468" s="176">
        <f ca="1">IF(AN468&gt;0,Y468*Calculation_sheet!C$87,0)</f>
        <v>0</v>
      </c>
      <c r="AA468" s="176">
        <f t="shared" ca="1" si="586"/>
        <v>6.7527905971548452E-5</v>
      </c>
      <c r="AB468" s="176">
        <f ca="1">IF(AP468&gt;0,AA468*Calculation_sheet!C$94,0)</f>
        <v>0</v>
      </c>
      <c r="AC468" s="176">
        <f t="shared" ca="1" si="587"/>
        <v>6.7527905971548452E-5</v>
      </c>
      <c r="AD468" s="958">
        <f ca="1">AC468*Calculation_sheet!C$99</f>
        <v>4.0516743582929073E-5</v>
      </c>
      <c r="AE468" s="176">
        <f t="shared" ca="1" si="587"/>
        <v>2.7011162388619379E-5</v>
      </c>
      <c r="AF468" s="176">
        <f t="shared" ca="1" si="588"/>
        <v>6.7527905971548452E-5</v>
      </c>
      <c r="AG468" s="958">
        <f ca="1">AF468*User_sheet!B$77/100</f>
        <v>0</v>
      </c>
      <c r="AH468" s="313"/>
      <c r="AI468" s="910">
        <v>204</v>
      </c>
      <c r="AJ468" s="313"/>
      <c r="AK468" s="1020">
        <f t="shared" ca="1" si="580"/>
        <v>225.70343309178736</v>
      </c>
      <c r="AL468" s="954">
        <f ca="1">AK468/'204'!I$24</f>
        <v>0.82388550133888416</v>
      </c>
      <c r="AM468" s="954">
        <f ca="1">0.8*(AK468*30+'204'!D$17*0.34*30*1)</f>
        <v>9001.9681942028965</v>
      </c>
      <c r="AN468" s="954">
        <f ca="1">IF(AM468&lt;User_sheet!B$50,Y468,0)</f>
        <v>6.7527905971548452E-5</v>
      </c>
      <c r="AO468" s="954">
        <f ca="1">20-(User_sheet!B$57/(AK468+'204'!D$17*1*0.34))</f>
        <v>4.8033233345462492</v>
      </c>
      <c r="AP468" s="954">
        <f ca="1">IF(AO468&lt;User_sheet!B$59,0,BC468*AA468)</f>
        <v>0</v>
      </c>
      <c r="AQ468" s="313"/>
      <c r="AR468" s="909">
        <v>0.47</v>
      </c>
      <c r="AS468" s="909">
        <v>0.54</v>
      </c>
      <c r="AT468" s="909">
        <v>0.83</v>
      </c>
      <c r="AU468" s="909">
        <v>3.5</v>
      </c>
      <c r="AV468" s="909">
        <v>3.3</v>
      </c>
      <c r="AW468" s="909">
        <v>12848.541887298286</v>
      </c>
      <c r="AX468" s="909">
        <v>75022.04959166942</v>
      </c>
      <c r="AY468" s="909">
        <v>69245.59826015502</v>
      </c>
      <c r="AZ468" s="917">
        <v>0</v>
      </c>
      <c r="BA468" s="917">
        <v>0</v>
      </c>
      <c r="BB468" s="909">
        <v>0.75</v>
      </c>
      <c r="BC468" s="46">
        <v>1</v>
      </c>
      <c r="BD468" s="199">
        <v>0</v>
      </c>
      <c r="BE468" s="199">
        <v>0</v>
      </c>
      <c r="BF468" s="50">
        <v>0</v>
      </c>
      <c r="BG468" s="917">
        <v>1</v>
      </c>
      <c r="BH468" s="917">
        <v>0</v>
      </c>
      <c r="BI468" s="50">
        <v>0</v>
      </c>
      <c r="BJ468" s="917">
        <v>0</v>
      </c>
      <c r="BK468" s="917">
        <v>0</v>
      </c>
      <c r="BL468" s="917">
        <v>1</v>
      </c>
      <c r="BM468" s="50">
        <v>0</v>
      </c>
      <c r="BN468" s="958">
        <v>0.08</v>
      </c>
      <c r="BO468" s="50">
        <v>12</v>
      </c>
      <c r="BP468" s="3">
        <f t="shared" ca="1" si="589"/>
        <v>150</v>
      </c>
      <c r="BQ468" s="3">
        <f t="shared" ca="1" si="590"/>
        <v>372.82075000000003</v>
      </c>
      <c r="BR468" s="3">
        <f t="shared" ca="1" si="591"/>
        <v>111</v>
      </c>
      <c r="BS468" s="3">
        <f t="shared" ca="1" si="592"/>
        <v>120</v>
      </c>
      <c r="BT468" s="3">
        <f t="shared" ca="1" si="593"/>
        <v>86.25</v>
      </c>
      <c r="BU468" s="3">
        <f t="shared" ca="1" si="594"/>
        <v>14.5</v>
      </c>
      <c r="BV468" s="3">
        <f t="shared" ca="1" si="595"/>
        <v>9.3000000000000007</v>
      </c>
      <c r="BW468" s="926">
        <v>0</v>
      </c>
      <c r="BX468" s="3">
        <f t="shared" ca="1" si="516"/>
        <v>48.240044384169643</v>
      </c>
      <c r="BY468" s="3">
        <f t="shared" ca="1" si="517"/>
        <v>59.253840526700813</v>
      </c>
      <c r="BZ468" s="3">
        <f t="shared" ca="1" si="581"/>
        <v>20.652647453083109</v>
      </c>
      <c r="CA468" s="3">
        <f t="shared" ca="1" si="582"/>
        <v>50.749999964474995</v>
      </c>
      <c r="CB468" s="3">
        <f t="shared" ca="1" si="518"/>
        <v>19.522900763358777</v>
      </c>
      <c r="CC468" s="926">
        <f t="shared" si="583"/>
        <v>0</v>
      </c>
      <c r="CD468" s="1018">
        <f t="shared" ref="CD468:CD475" ca="1" si="597">SUM(BX468:CC468)+(BR468+BS468+BT468+BU468+BV468)*BN468</f>
        <v>225.70343309178736</v>
      </c>
      <c r="CE468" s="1018">
        <f t="shared" ca="1" si="596"/>
        <v>124.22791065226887</v>
      </c>
      <c r="CF468" s="3">
        <f t="shared" ca="1" si="584"/>
        <v>10.497940312321687</v>
      </c>
      <c r="CG468" s="3">
        <f t="shared" ca="1" si="585"/>
        <v>17478.650702403113</v>
      </c>
    </row>
    <row r="469" spans="4:85" s="3" customFormat="1" x14ac:dyDescent="0.25">
      <c r="D469" s="627"/>
      <c r="E469" s="623"/>
      <c r="F469" s="627"/>
      <c r="G469" s="623"/>
      <c r="H469" s="627"/>
      <c r="I469" s="623"/>
      <c r="J469" s="627"/>
      <c r="K469" s="628"/>
      <c r="L469" s="627"/>
      <c r="M469" s="627"/>
      <c r="N469" s="627"/>
      <c r="O469" s="627"/>
      <c r="P469" s="627"/>
      <c r="Q469" s="627" t="s">
        <v>16</v>
      </c>
      <c r="R469" s="624">
        <v>0.81069999999999998</v>
      </c>
      <c r="S469" s="627"/>
      <c r="T469" s="631">
        <v>1.1385451214576153E-5</v>
      </c>
      <c r="U469" s="623"/>
      <c r="V469" s="176">
        <f t="shared" si="472"/>
        <v>1.1385451214576153E-5</v>
      </c>
      <c r="W469" s="176">
        <f>V469-V469*Calculation_sheet!E$69</f>
        <v>1.1385451214576153E-5</v>
      </c>
      <c r="X469" s="176">
        <f>W469-W469*Calculation_sheet!E$79</f>
        <v>1.1385451214576153E-5</v>
      </c>
      <c r="Y469" s="34">
        <f>X469/Calculation_sheet!M$67</f>
        <v>1.1385684006392158E-5</v>
      </c>
      <c r="Z469" s="176">
        <f ca="1">IF(AN469&gt;0,Y469*Calculation_sheet!C$87,0)</f>
        <v>0</v>
      </c>
      <c r="AA469" s="176">
        <f t="shared" ca="1" si="586"/>
        <v>1.1385684006392158E-5</v>
      </c>
      <c r="AB469" s="176">
        <f ca="1">IF(AP469&gt;0,AA469*Calculation_sheet!C$94,0)</f>
        <v>0</v>
      </c>
      <c r="AC469" s="176">
        <f t="shared" ca="1" si="587"/>
        <v>1.1385684006392158E-5</v>
      </c>
      <c r="AD469" s="958">
        <f ca="1">AC469*Calculation_sheet!C$99</f>
        <v>6.831410403835294E-6</v>
      </c>
      <c r="AE469" s="176">
        <f t="shared" ca="1" si="587"/>
        <v>4.5542736025568635E-6</v>
      </c>
      <c r="AF469" s="176">
        <f t="shared" ca="1" si="588"/>
        <v>1.1385684006392158E-5</v>
      </c>
      <c r="AG469" s="958">
        <f ca="1">AF469*User_sheet!B$77/100</f>
        <v>0</v>
      </c>
      <c r="AH469" s="313"/>
      <c r="AI469" s="910">
        <v>204</v>
      </c>
      <c r="AJ469" s="313"/>
      <c r="AK469" s="1020">
        <f t="shared" ca="1" si="580"/>
        <v>225.70343309178736</v>
      </c>
      <c r="AL469" s="954">
        <f ca="1">AK469/'204'!I$24</f>
        <v>0.82388550133888416</v>
      </c>
      <c r="AM469" s="954">
        <f ca="1">0.8*(AK469*30+'204'!D$17*0.34*30*1)</f>
        <v>9001.9681942028965</v>
      </c>
      <c r="AN469" s="954">
        <f ca="1">IF(AM469&lt;User_sheet!B$50,Y469,0)</f>
        <v>1.1385684006392158E-5</v>
      </c>
      <c r="AO469" s="954">
        <f ca="1">20-(User_sheet!B$57/(AK469+'204'!D$17*1*0.34))</f>
        <v>4.8033233345462492</v>
      </c>
      <c r="AP469" s="954">
        <f ca="1">IF(AO469&lt;User_sheet!B$59,0,BC469*AA469)</f>
        <v>0</v>
      </c>
      <c r="AQ469" s="313"/>
      <c r="AR469" s="909">
        <v>0.47</v>
      </c>
      <c r="AS469" s="909">
        <v>0.54</v>
      </c>
      <c r="AT469" s="909">
        <v>0.83</v>
      </c>
      <c r="AU469" s="909">
        <v>3.5</v>
      </c>
      <c r="AV469" s="909">
        <v>3.3</v>
      </c>
      <c r="AW469" s="909">
        <v>12848.541887298286</v>
      </c>
      <c r="AX469" s="909">
        <v>75022.04959166942</v>
      </c>
      <c r="AY469" s="909">
        <v>69245.59826015502</v>
      </c>
      <c r="AZ469" s="917">
        <v>0</v>
      </c>
      <c r="BA469" s="917">
        <v>0</v>
      </c>
      <c r="BB469" s="909">
        <v>0.75</v>
      </c>
      <c r="BC469" s="46">
        <v>1</v>
      </c>
      <c r="BD469" s="199">
        <v>0</v>
      </c>
      <c r="BE469" s="199">
        <v>0</v>
      </c>
      <c r="BF469" s="50">
        <v>0</v>
      </c>
      <c r="BG469" s="917">
        <v>0</v>
      </c>
      <c r="BH469" s="917">
        <v>1</v>
      </c>
      <c r="BI469" s="50">
        <v>0</v>
      </c>
      <c r="BJ469" s="917">
        <v>1</v>
      </c>
      <c r="BK469" s="917">
        <v>0</v>
      </c>
      <c r="BL469" s="917">
        <v>0</v>
      </c>
      <c r="BM469" s="50">
        <v>0</v>
      </c>
      <c r="BN469" s="958">
        <v>0.08</v>
      </c>
      <c r="BO469" s="50">
        <v>12</v>
      </c>
      <c r="BP469" s="3">
        <f t="shared" ca="1" si="589"/>
        <v>150</v>
      </c>
      <c r="BQ469" s="3">
        <f t="shared" ca="1" si="590"/>
        <v>372.82075000000003</v>
      </c>
      <c r="BR469" s="3">
        <f t="shared" ca="1" si="591"/>
        <v>111</v>
      </c>
      <c r="BS469" s="3">
        <f t="shared" ca="1" si="592"/>
        <v>120</v>
      </c>
      <c r="BT469" s="3">
        <f t="shared" ca="1" si="593"/>
        <v>86.25</v>
      </c>
      <c r="BU469" s="3">
        <f t="shared" ca="1" si="594"/>
        <v>14.5</v>
      </c>
      <c r="BV469" s="3">
        <f t="shared" ca="1" si="595"/>
        <v>9.3000000000000007</v>
      </c>
      <c r="BW469" s="926">
        <v>0</v>
      </c>
      <c r="BX469" s="3">
        <f t="shared" ca="1" si="516"/>
        <v>48.240044384169643</v>
      </c>
      <c r="BY469" s="3">
        <f t="shared" ca="1" si="517"/>
        <v>59.253840526700813</v>
      </c>
      <c r="BZ469" s="3">
        <f t="shared" ca="1" si="581"/>
        <v>20.652647453083109</v>
      </c>
      <c r="CA469" s="3">
        <f t="shared" ca="1" si="582"/>
        <v>50.749999964474995</v>
      </c>
      <c r="CB469" s="3">
        <f t="shared" ca="1" si="518"/>
        <v>19.522900763358777</v>
      </c>
      <c r="CC469" s="926">
        <f t="shared" si="583"/>
        <v>0</v>
      </c>
      <c r="CD469" s="1018">
        <f t="shared" ca="1" si="597"/>
        <v>225.70343309178736</v>
      </c>
      <c r="CE469" s="1018">
        <f t="shared" ca="1" si="596"/>
        <v>124.22791065226887</v>
      </c>
      <c r="CF469" s="3">
        <f t="shared" ca="1" si="584"/>
        <v>10.497940312321687</v>
      </c>
      <c r="CG469" s="3">
        <f t="shared" ca="1" si="585"/>
        <v>17478.650702403113</v>
      </c>
    </row>
    <row r="470" spans="4:85" s="3" customFormat="1" x14ac:dyDescent="0.25">
      <c r="D470" s="627"/>
      <c r="E470" s="623"/>
      <c r="F470" s="627"/>
      <c r="G470" s="623"/>
      <c r="H470" s="627"/>
      <c r="I470" s="623"/>
      <c r="J470" s="627"/>
      <c r="K470" s="628"/>
      <c r="L470" s="627"/>
      <c r="M470" s="627" t="s">
        <v>16</v>
      </c>
      <c r="N470" s="624">
        <v>0.5</v>
      </c>
      <c r="O470" s="627" t="s">
        <v>19</v>
      </c>
      <c r="P470" s="624">
        <v>3.7878787999999997E-2</v>
      </c>
      <c r="Q470" s="627" t="s">
        <v>7</v>
      </c>
      <c r="R470" s="624">
        <v>0.1893</v>
      </c>
      <c r="S470" s="627"/>
      <c r="T470" s="631">
        <v>2.658524626766086E-6</v>
      </c>
      <c r="U470" s="623"/>
      <c r="V470" s="176">
        <f t="shared" si="472"/>
        <v>2.658524626766086E-6</v>
      </c>
      <c r="W470" s="176">
        <f>V470-V470*Calculation_sheet!E$69</f>
        <v>2.658524626766086E-6</v>
      </c>
      <c r="X470" s="176">
        <f>W470-W470*Calculation_sheet!E$79</f>
        <v>2.658524626766086E-6</v>
      </c>
      <c r="Y470" s="34">
        <f>X470/Calculation_sheet!M$67</f>
        <v>2.6585789841002043E-6</v>
      </c>
      <c r="Z470" s="176">
        <f ca="1">IF(AN470&gt;0,Y470*Calculation_sheet!C$87,0)</f>
        <v>0</v>
      </c>
      <c r="AA470" s="176">
        <f t="shared" ca="1" si="586"/>
        <v>2.6585789841002043E-6</v>
      </c>
      <c r="AB470" s="176">
        <f ca="1">IF(AP470&gt;0,AA470*Calculation_sheet!C$94,0)</f>
        <v>0</v>
      </c>
      <c r="AC470" s="176">
        <f t="shared" ca="1" si="587"/>
        <v>2.6585789841002043E-6</v>
      </c>
      <c r="AD470" s="958">
        <f ca="1">AC470*Calculation_sheet!C$99</f>
        <v>1.5951473904601224E-6</v>
      </c>
      <c r="AE470" s="176">
        <f t="shared" ca="1" si="587"/>
        <v>1.0634315936400818E-6</v>
      </c>
      <c r="AF470" s="176">
        <f t="shared" ca="1" si="588"/>
        <v>2.6585789841002043E-6</v>
      </c>
      <c r="AG470" s="958">
        <f ca="1">AF470*User_sheet!B$77/100</f>
        <v>0</v>
      </c>
      <c r="AH470" s="313"/>
      <c r="AI470" s="910">
        <v>204</v>
      </c>
      <c r="AJ470" s="313"/>
      <c r="AK470" s="1020">
        <f t="shared" ca="1" si="580"/>
        <v>225.70343309178736</v>
      </c>
      <c r="AL470" s="954">
        <f ca="1">AK470/'204'!I$24</f>
        <v>0.82388550133888416</v>
      </c>
      <c r="AM470" s="954">
        <f ca="1">0.8*(AK470*30+'204'!D$17*0.34*30*1)</f>
        <v>9001.9681942028965</v>
      </c>
      <c r="AN470" s="954">
        <f ca="1">IF(AM470&lt;User_sheet!B$50,Y470,0)</f>
        <v>2.6585789841002043E-6</v>
      </c>
      <c r="AO470" s="954">
        <f ca="1">20-(User_sheet!B$57/(AK470+'204'!D$17*1*0.34))</f>
        <v>4.8033233345462492</v>
      </c>
      <c r="AP470" s="954">
        <f ca="1">IF(AO470&lt;User_sheet!B$59,0,BC470*AA470)</f>
        <v>0</v>
      </c>
      <c r="AQ470" s="313"/>
      <c r="AR470" s="909">
        <v>0.47</v>
      </c>
      <c r="AS470" s="909">
        <v>0.54</v>
      </c>
      <c r="AT470" s="909">
        <v>0.83</v>
      </c>
      <c r="AU470" s="909">
        <v>3.5</v>
      </c>
      <c r="AV470" s="909">
        <v>3.3</v>
      </c>
      <c r="AW470" s="909">
        <v>12848.541887298286</v>
      </c>
      <c r="AX470" s="909">
        <v>75022.04959166942</v>
      </c>
      <c r="AY470" s="909">
        <v>69245.59826015502</v>
      </c>
      <c r="AZ470" s="917">
        <v>0</v>
      </c>
      <c r="BA470" s="917">
        <v>0</v>
      </c>
      <c r="BB470" s="909">
        <v>0.75</v>
      </c>
      <c r="BC470" s="46">
        <v>1</v>
      </c>
      <c r="BD470" s="199">
        <v>0</v>
      </c>
      <c r="BE470" s="199">
        <v>0</v>
      </c>
      <c r="BF470" s="50">
        <v>0</v>
      </c>
      <c r="BG470" s="917">
        <v>0</v>
      </c>
      <c r="BH470" s="917">
        <v>1</v>
      </c>
      <c r="BI470" s="50">
        <v>0</v>
      </c>
      <c r="BJ470" s="917">
        <v>0</v>
      </c>
      <c r="BK470" s="917">
        <v>0</v>
      </c>
      <c r="BL470" s="917">
        <v>1</v>
      </c>
      <c r="BM470" s="50">
        <v>0</v>
      </c>
      <c r="BN470" s="958">
        <v>0.08</v>
      </c>
      <c r="BO470" s="50">
        <v>12</v>
      </c>
      <c r="BP470" s="3">
        <f t="shared" ca="1" si="589"/>
        <v>150</v>
      </c>
      <c r="BQ470" s="3">
        <f t="shared" ca="1" si="590"/>
        <v>372.82075000000003</v>
      </c>
      <c r="BR470" s="3">
        <f t="shared" ca="1" si="591"/>
        <v>111</v>
      </c>
      <c r="BS470" s="3">
        <f t="shared" ca="1" si="592"/>
        <v>120</v>
      </c>
      <c r="BT470" s="3">
        <f t="shared" ca="1" si="593"/>
        <v>86.25</v>
      </c>
      <c r="BU470" s="3">
        <f t="shared" ca="1" si="594"/>
        <v>14.5</v>
      </c>
      <c r="BV470" s="3">
        <f t="shared" ca="1" si="595"/>
        <v>9.3000000000000007</v>
      </c>
      <c r="BW470" s="926">
        <v>0</v>
      </c>
      <c r="BX470" s="3">
        <f t="shared" ca="1" si="516"/>
        <v>48.240044384169643</v>
      </c>
      <c r="BY470" s="3">
        <f t="shared" ca="1" si="517"/>
        <v>59.253840526700813</v>
      </c>
      <c r="BZ470" s="3">
        <f t="shared" ca="1" si="581"/>
        <v>20.652647453083109</v>
      </c>
      <c r="CA470" s="3">
        <f t="shared" ca="1" si="582"/>
        <v>50.749999964474995</v>
      </c>
      <c r="CB470" s="3">
        <f t="shared" ca="1" si="518"/>
        <v>19.522900763358777</v>
      </c>
      <c r="CC470" s="926">
        <f t="shared" si="583"/>
        <v>0</v>
      </c>
      <c r="CD470" s="1018">
        <f t="shared" ca="1" si="597"/>
        <v>225.70343309178736</v>
      </c>
      <c r="CE470" s="1018">
        <f t="shared" ca="1" si="596"/>
        <v>124.22791065226887</v>
      </c>
      <c r="CF470" s="3">
        <f t="shared" ca="1" si="584"/>
        <v>10.497940312321687</v>
      </c>
      <c r="CG470" s="3">
        <f t="shared" ca="1" si="585"/>
        <v>17478.650702403113</v>
      </c>
    </row>
    <row r="471" spans="4:85" s="3" customFormat="1" x14ac:dyDescent="0.25">
      <c r="D471" s="627"/>
      <c r="E471" s="623"/>
      <c r="F471" s="627"/>
      <c r="G471" s="623"/>
      <c r="H471" s="627"/>
      <c r="I471" s="623"/>
      <c r="J471" s="627"/>
      <c r="K471" s="628"/>
      <c r="L471" s="627"/>
      <c r="M471" s="627"/>
      <c r="N471" s="622"/>
      <c r="O471" s="627"/>
      <c r="P471" s="627"/>
      <c r="Q471" s="627" t="s">
        <v>22</v>
      </c>
      <c r="R471" s="624">
        <v>0.81</v>
      </c>
      <c r="S471" s="627"/>
      <c r="T471" s="631">
        <v>2.164044492248042E-4</v>
      </c>
      <c r="U471" s="623"/>
      <c r="V471" s="176">
        <f t="shared" si="472"/>
        <v>2.164044492248042E-4</v>
      </c>
      <c r="W471" s="176">
        <f>V471-V471*Calculation_sheet!E$69</f>
        <v>2.164044492248042E-4</v>
      </c>
      <c r="X471" s="176">
        <f>W471-W471*Calculation_sheet!E$79</f>
        <v>2.164044492248042E-4</v>
      </c>
      <c r="Y471" s="34">
        <f>X471/Calculation_sheet!M$67</f>
        <v>2.1640887392293667E-4</v>
      </c>
      <c r="Z471" s="176">
        <f ca="1">IF(AN471&gt;0,Y471*Calculation_sheet!C$87,0)</f>
        <v>0</v>
      </c>
      <c r="AA471" s="176">
        <f t="shared" ca="1" si="586"/>
        <v>2.1640887392293667E-4</v>
      </c>
      <c r="AB471" s="176">
        <f ca="1">IF(AP471&gt;0,AA471*Calculation_sheet!C$94,0)</f>
        <v>0</v>
      </c>
      <c r="AC471" s="176">
        <f t="shared" ca="1" si="587"/>
        <v>2.1640887392293667E-4</v>
      </c>
      <c r="AD471" s="958">
        <f ca="1">AC471*Calculation_sheet!C$99</f>
        <v>1.2984532435376199E-4</v>
      </c>
      <c r="AE471" s="176">
        <f t="shared" ca="1" si="587"/>
        <v>8.6563549569174678E-5</v>
      </c>
      <c r="AF471" s="176">
        <f t="shared" ca="1" si="588"/>
        <v>2.1640887392293667E-4</v>
      </c>
      <c r="AG471" s="958">
        <f ca="1">AF471*User_sheet!B$77/100</f>
        <v>0</v>
      </c>
      <c r="AH471" s="313"/>
      <c r="AI471" s="910">
        <v>204</v>
      </c>
      <c r="AJ471" s="313"/>
      <c r="AK471" s="1020">
        <f t="shared" ca="1" si="580"/>
        <v>225.70343309178736</v>
      </c>
      <c r="AL471" s="954">
        <f ca="1">AK471/'204'!I$24</f>
        <v>0.82388550133888416</v>
      </c>
      <c r="AM471" s="954">
        <f ca="1">0.8*(AK471*30+'204'!D$17*0.34*30*1)</f>
        <v>9001.9681942028965</v>
      </c>
      <c r="AN471" s="954">
        <f ca="1">IF(AM471&lt;User_sheet!B$50,Y471,0)</f>
        <v>2.1640887392293667E-4</v>
      </c>
      <c r="AO471" s="954">
        <f ca="1">20-(User_sheet!B$57/(AK471+'204'!D$17*1*0.34))</f>
        <v>4.8033233345462492</v>
      </c>
      <c r="AP471" s="954">
        <f ca="1">IF(AO471&lt;User_sheet!B$59,0,BC471*AA471)</f>
        <v>0</v>
      </c>
      <c r="AQ471" s="313"/>
      <c r="AR471" s="909">
        <v>0.47</v>
      </c>
      <c r="AS471" s="909">
        <v>0.54</v>
      </c>
      <c r="AT471" s="909">
        <v>0.83</v>
      </c>
      <c r="AU471" s="909">
        <v>3.5</v>
      </c>
      <c r="AV471" s="909">
        <v>3.3</v>
      </c>
      <c r="AW471" s="909">
        <v>12848.541887298286</v>
      </c>
      <c r="AX471" s="909">
        <v>75022.04959166942</v>
      </c>
      <c r="AY471" s="909">
        <v>69245.59826015502</v>
      </c>
      <c r="AZ471" s="917">
        <v>0</v>
      </c>
      <c r="BA471" s="917">
        <v>0</v>
      </c>
      <c r="BB471" s="909">
        <v>0.75</v>
      </c>
      <c r="BC471" s="46">
        <v>0</v>
      </c>
      <c r="BD471" s="199">
        <v>1</v>
      </c>
      <c r="BE471" s="199">
        <v>0</v>
      </c>
      <c r="BF471" s="50">
        <v>0</v>
      </c>
      <c r="BG471" s="917">
        <v>1</v>
      </c>
      <c r="BH471" s="917">
        <v>0</v>
      </c>
      <c r="BI471" s="50">
        <v>0</v>
      </c>
      <c r="BJ471" s="917">
        <v>0</v>
      </c>
      <c r="BK471" s="917">
        <v>1</v>
      </c>
      <c r="BL471" s="917">
        <v>0</v>
      </c>
      <c r="BM471" s="50">
        <v>0</v>
      </c>
      <c r="BN471" s="958">
        <v>0.08</v>
      </c>
      <c r="BO471" s="50">
        <v>12</v>
      </c>
      <c r="BP471" s="3">
        <f t="shared" ca="1" si="589"/>
        <v>150</v>
      </c>
      <c r="BQ471" s="3">
        <f t="shared" ca="1" si="590"/>
        <v>372.82075000000003</v>
      </c>
      <c r="BR471" s="3">
        <f t="shared" ca="1" si="591"/>
        <v>111</v>
      </c>
      <c r="BS471" s="3">
        <f t="shared" ca="1" si="592"/>
        <v>120</v>
      </c>
      <c r="BT471" s="3">
        <f t="shared" ca="1" si="593"/>
        <v>86.25</v>
      </c>
      <c r="BU471" s="3">
        <f t="shared" ca="1" si="594"/>
        <v>14.5</v>
      </c>
      <c r="BV471" s="3">
        <f t="shared" ca="1" si="595"/>
        <v>9.3000000000000007</v>
      </c>
      <c r="BW471" s="926">
        <v>0</v>
      </c>
      <c r="BX471" s="3">
        <f t="shared" ca="1" si="516"/>
        <v>48.240044384169643</v>
      </c>
      <c r="BY471" s="3">
        <f t="shared" ca="1" si="517"/>
        <v>59.253840526700813</v>
      </c>
      <c r="BZ471" s="3">
        <f t="shared" ca="1" si="581"/>
        <v>20.652647453083109</v>
      </c>
      <c r="CA471" s="3">
        <f t="shared" ca="1" si="582"/>
        <v>50.749999964474995</v>
      </c>
      <c r="CB471" s="3">
        <f t="shared" ca="1" si="518"/>
        <v>19.522900763358777</v>
      </c>
      <c r="CC471" s="926">
        <f t="shared" si="583"/>
        <v>0</v>
      </c>
      <c r="CD471" s="1018">
        <f t="shared" ca="1" si="597"/>
        <v>225.70343309178736</v>
      </c>
      <c r="CE471" s="1018">
        <f t="shared" ca="1" si="596"/>
        <v>124.22791065226887</v>
      </c>
      <c r="CF471" s="3">
        <f t="shared" ca="1" si="584"/>
        <v>10.497940312321687</v>
      </c>
      <c r="CG471" s="3">
        <f t="shared" ca="1" si="585"/>
        <v>17478.650702403113</v>
      </c>
    </row>
    <row r="472" spans="4:85" x14ac:dyDescent="0.25">
      <c r="D472" s="622"/>
      <c r="E472" s="621"/>
      <c r="F472" s="622"/>
      <c r="G472" s="621"/>
      <c r="H472" s="622"/>
      <c r="I472" s="621"/>
      <c r="J472" s="622"/>
      <c r="K472" s="625"/>
      <c r="L472" s="627"/>
      <c r="M472" s="622"/>
      <c r="N472" s="622"/>
      <c r="O472" s="622" t="s">
        <v>18</v>
      </c>
      <c r="P472" s="624">
        <v>0.96078431399999997</v>
      </c>
      <c r="Q472" s="622" t="s">
        <v>7</v>
      </c>
      <c r="R472" s="624">
        <v>0.19</v>
      </c>
      <c r="S472" s="622"/>
      <c r="T472" s="631">
        <v>5.0761537472484932E-5</v>
      </c>
      <c r="U472" s="621"/>
      <c r="V472" s="176">
        <f t="shared" si="472"/>
        <v>5.0761537472484932E-5</v>
      </c>
      <c r="W472" s="176">
        <f>V472-V472*Calculation_sheet!E$69</f>
        <v>5.0761537472484932E-5</v>
      </c>
      <c r="X472" s="176">
        <f>W472-W472*Calculation_sheet!E$79</f>
        <v>5.0761537472484932E-5</v>
      </c>
      <c r="Y472" s="34">
        <f>X472/Calculation_sheet!M$67</f>
        <v>5.0762575364639463E-5</v>
      </c>
      <c r="Z472" s="176">
        <f ca="1">IF(AN472&gt;0,Y472*Calculation_sheet!C$87,0)</f>
        <v>0</v>
      </c>
      <c r="AA472" s="176">
        <f t="shared" ca="1" si="586"/>
        <v>5.0762575364639463E-5</v>
      </c>
      <c r="AB472" s="176">
        <f ca="1">IF(AP472&gt;0,AA472*Calculation_sheet!C$94,0)</f>
        <v>0</v>
      </c>
      <c r="AC472" s="176">
        <f t="shared" ca="1" si="587"/>
        <v>5.0762575364639463E-5</v>
      </c>
      <c r="AD472" s="958">
        <f ca="1">AC472*Calculation_sheet!C$99</f>
        <v>3.0457545218783678E-5</v>
      </c>
      <c r="AE472" s="176">
        <f t="shared" ca="1" si="587"/>
        <v>2.0305030145855785E-5</v>
      </c>
      <c r="AF472" s="176">
        <f t="shared" ca="1" si="588"/>
        <v>5.0762575364639463E-5</v>
      </c>
      <c r="AG472" s="958">
        <f ca="1">AF472*User_sheet!B$77/100</f>
        <v>0</v>
      </c>
      <c r="AH472" s="313"/>
      <c r="AI472" s="910">
        <v>204</v>
      </c>
      <c r="AJ472" s="313"/>
      <c r="AK472" s="1020">
        <f t="shared" ca="1" si="580"/>
        <v>225.70343309178736</v>
      </c>
      <c r="AL472" s="954">
        <f ca="1">AK472/'204'!I$24</f>
        <v>0.82388550133888416</v>
      </c>
      <c r="AM472" s="954">
        <f ca="1">0.8*(AK472*30+'204'!D$17*0.34*30*1)</f>
        <v>9001.9681942028965</v>
      </c>
      <c r="AN472" s="954">
        <f ca="1">IF(AM472&lt;User_sheet!B$50,Y472,0)</f>
        <v>5.0762575364639463E-5</v>
      </c>
      <c r="AO472" s="954">
        <f ca="1">20-(User_sheet!B$57/(AK472+'204'!D$17*1*0.34))</f>
        <v>4.8033233345462492</v>
      </c>
      <c r="AP472" s="954">
        <f ca="1">IF(AO472&lt;User_sheet!B$59,0,BC472*AA472)</f>
        <v>0</v>
      </c>
      <c r="AQ472" s="313"/>
      <c r="AR472" s="909">
        <v>0.47</v>
      </c>
      <c r="AS472" s="909">
        <v>0.54</v>
      </c>
      <c r="AT472" s="909">
        <v>0.83</v>
      </c>
      <c r="AU472" s="909">
        <v>3.5</v>
      </c>
      <c r="AV472" s="909">
        <v>3.3</v>
      </c>
      <c r="AW472" s="909">
        <v>12848.541887298286</v>
      </c>
      <c r="AX472" s="909">
        <v>75022.04959166942</v>
      </c>
      <c r="AY472" s="909">
        <v>69245.59826015502</v>
      </c>
      <c r="AZ472" s="917">
        <v>0</v>
      </c>
      <c r="BA472" s="917">
        <v>0</v>
      </c>
      <c r="BB472" s="909">
        <v>0.75</v>
      </c>
      <c r="BC472" s="919">
        <v>0</v>
      </c>
      <c r="BD472" s="920">
        <v>1</v>
      </c>
      <c r="BE472" s="920">
        <v>0</v>
      </c>
      <c r="BF472" s="921">
        <v>0</v>
      </c>
      <c r="BG472" s="909">
        <v>1</v>
      </c>
      <c r="BH472" s="909">
        <v>0</v>
      </c>
      <c r="BI472" s="921">
        <v>0</v>
      </c>
      <c r="BJ472" s="909">
        <v>0</v>
      </c>
      <c r="BK472" s="909">
        <v>0</v>
      </c>
      <c r="BL472" s="909">
        <v>1</v>
      </c>
      <c r="BM472" s="921">
        <v>0</v>
      </c>
      <c r="BN472" s="958">
        <v>0.08</v>
      </c>
      <c r="BO472" s="50">
        <v>12</v>
      </c>
      <c r="BP472">
        <f t="shared" ca="1" si="589"/>
        <v>150</v>
      </c>
      <c r="BQ472">
        <f t="shared" ca="1" si="590"/>
        <v>372.82075000000003</v>
      </c>
      <c r="BR472">
        <f t="shared" ca="1" si="591"/>
        <v>111</v>
      </c>
      <c r="BS472">
        <f t="shared" ca="1" si="592"/>
        <v>120</v>
      </c>
      <c r="BT472">
        <f t="shared" ca="1" si="593"/>
        <v>86.25</v>
      </c>
      <c r="BU472">
        <f t="shared" ca="1" si="594"/>
        <v>14.5</v>
      </c>
      <c r="BV472">
        <f t="shared" ca="1" si="595"/>
        <v>9.3000000000000007</v>
      </c>
      <c r="BW472" s="1018">
        <v>0</v>
      </c>
      <c r="BX472">
        <f t="shared" ca="1" si="516"/>
        <v>48.240044384169643</v>
      </c>
      <c r="BY472">
        <f t="shared" ca="1" si="517"/>
        <v>59.253840526700813</v>
      </c>
      <c r="BZ472">
        <f t="shared" ca="1" si="581"/>
        <v>20.652647453083109</v>
      </c>
      <c r="CA472">
        <f t="shared" ca="1" si="582"/>
        <v>50.749999964474995</v>
      </c>
      <c r="CB472">
        <f t="shared" ca="1" si="518"/>
        <v>19.522900763358777</v>
      </c>
      <c r="CC472" s="1018">
        <f t="shared" si="583"/>
        <v>0</v>
      </c>
      <c r="CD472" s="1018">
        <f t="shared" ca="1" si="597"/>
        <v>225.70343309178736</v>
      </c>
      <c r="CE472" s="1018">
        <f t="shared" ca="1" si="596"/>
        <v>124.22791065226887</v>
      </c>
      <c r="CF472">
        <f t="shared" ca="1" si="584"/>
        <v>10.497940312321687</v>
      </c>
      <c r="CG472">
        <f t="shared" ca="1" si="585"/>
        <v>17478.650702403113</v>
      </c>
    </row>
    <row r="473" spans="4:85" x14ac:dyDescent="0.25">
      <c r="D473" s="622"/>
      <c r="E473" s="621"/>
      <c r="F473" s="622"/>
      <c r="G473" s="621"/>
      <c r="H473" s="622"/>
      <c r="I473" s="621"/>
      <c r="J473" s="622"/>
      <c r="K473" s="625"/>
      <c r="L473" s="627"/>
      <c r="M473" s="622"/>
      <c r="N473" s="622"/>
      <c r="O473" s="622"/>
      <c r="P473" s="622"/>
      <c r="Q473" s="622" t="s">
        <v>22</v>
      </c>
      <c r="R473" s="624">
        <v>0.81</v>
      </c>
      <c r="S473" s="622"/>
      <c r="T473" s="631">
        <v>8.8328345978833956E-6</v>
      </c>
      <c r="U473" s="621"/>
      <c r="V473" s="176">
        <f t="shared" si="472"/>
        <v>8.8328345978833956E-6</v>
      </c>
      <c r="W473" s="176">
        <f>V473-V473*Calculation_sheet!E$69</f>
        <v>8.8328345978833956E-6</v>
      </c>
      <c r="X473" s="176">
        <f>W473-W473*Calculation_sheet!E$79</f>
        <v>8.8328345978833956E-6</v>
      </c>
      <c r="Y473" s="34">
        <f>X473/Calculation_sheet!M$67</f>
        <v>8.8330151978058535E-6</v>
      </c>
      <c r="Z473" s="176">
        <f ca="1">IF(AN473&gt;0,Y473*Calculation_sheet!C$87,0)</f>
        <v>0</v>
      </c>
      <c r="AA473" s="176">
        <f t="shared" ca="1" si="586"/>
        <v>8.8330151978058535E-6</v>
      </c>
      <c r="AB473" s="176">
        <f ca="1">IF(AP473&gt;0,AA473*Calculation_sheet!C$94,0)</f>
        <v>0</v>
      </c>
      <c r="AC473" s="176">
        <f t="shared" ca="1" si="587"/>
        <v>8.8330151978058535E-6</v>
      </c>
      <c r="AD473" s="958">
        <f ca="1">AC473*Calculation_sheet!C$99</f>
        <v>5.2998091186835123E-6</v>
      </c>
      <c r="AE473" s="176">
        <f t="shared" ca="1" si="587"/>
        <v>3.5332060791223412E-6</v>
      </c>
      <c r="AF473" s="176">
        <f t="shared" ca="1" si="588"/>
        <v>8.8330151978058535E-6</v>
      </c>
      <c r="AG473" s="958">
        <f ca="1">AF473*User_sheet!B$77/100</f>
        <v>0</v>
      </c>
      <c r="AH473" s="313"/>
      <c r="AI473" s="910">
        <v>204</v>
      </c>
      <c r="AJ473" s="313"/>
      <c r="AK473" s="1020">
        <f t="shared" ca="1" si="580"/>
        <v>225.70343309178736</v>
      </c>
      <c r="AL473" s="954">
        <f ca="1">AK473/'204'!I$24</f>
        <v>0.82388550133888416</v>
      </c>
      <c r="AM473" s="954">
        <f ca="1">0.8*(AK473*30+'204'!D$17*0.34*30*1)</f>
        <v>9001.9681942028965</v>
      </c>
      <c r="AN473" s="954">
        <f ca="1">IF(AM473&lt;User_sheet!B$50,Y473,0)</f>
        <v>8.8330151978058535E-6</v>
      </c>
      <c r="AO473" s="954">
        <f ca="1">20-(User_sheet!B$57/(AK473+'204'!D$17*1*0.34))</f>
        <v>4.8033233345462492</v>
      </c>
      <c r="AP473" s="954">
        <f ca="1">IF(AO473&lt;User_sheet!B$59,0,BC473*AA473)</f>
        <v>0</v>
      </c>
      <c r="AQ473" s="313"/>
      <c r="AR473" s="909">
        <v>0.47</v>
      </c>
      <c r="AS473" s="909">
        <v>0.54</v>
      </c>
      <c r="AT473" s="909">
        <v>0.83</v>
      </c>
      <c r="AU473" s="909">
        <v>3.5</v>
      </c>
      <c r="AV473" s="909">
        <v>3.3</v>
      </c>
      <c r="AW473" s="909">
        <v>12848.541887298286</v>
      </c>
      <c r="AX473" s="909">
        <v>75022.04959166942</v>
      </c>
      <c r="AY473" s="909">
        <v>69245.59826015502</v>
      </c>
      <c r="AZ473" s="917">
        <v>0</v>
      </c>
      <c r="BA473" s="917">
        <v>0</v>
      </c>
      <c r="BB473" s="909">
        <v>0.75</v>
      </c>
      <c r="BC473" s="919">
        <v>0</v>
      </c>
      <c r="BD473" s="920">
        <v>1</v>
      </c>
      <c r="BE473" s="920">
        <v>0</v>
      </c>
      <c r="BF473" s="921">
        <v>0</v>
      </c>
      <c r="BG473" s="909">
        <v>0</v>
      </c>
      <c r="BH473" s="909">
        <v>1</v>
      </c>
      <c r="BI473" s="921">
        <v>0</v>
      </c>
      <c r="BJ473" s="909">
        <v>0</v>
      </c>
      <c r="BK473" s="909">
        <v>1</v>
      </c>
      <c r="BL473" s="909">
        <v>0</v>
      </c>
      <c r="BM473" s="921">
        <v>0</v>
      </c>
      <c r="BN473" s="958">
        <v>0.08</v>
      </c>
      <c r="BO473" s="50">
        <v>12</v>
      </c>
      <c r="BP473">
        <f t="shared" ca="1" si="589"/>
        <v>150</v>
      </c>
      <c r="BQ473">
        <f t="shared" ca="1" si="590"/>
        <v>372.82075000000003</v>
      </c>
      <c r="BR473">
        <f t="shared" ca="1" si="591"/>
        <v>111</v>
      </c>
      <c r="BS473">
        <f t="shared" ca="1" si="592"/>
        <v>120</v>
      </c>
      <c r="BT473">
        <f t="shared" ca="1" si="593"/>
        <v>86.25</v>
      </c>
      <c r="BU473">
        <f t="shared" ca="1" si="594"/>
        <v>14.5</v>
      </c>
      <c r="BV473">
        <f t="shared" ca="1" si="595"/>
        <v>9.3000000000000007</v>
      </c>
      <c r="BW473" s="1018">
        <v>0</v>
      </c>
      <c r="BX473">
        <f t="shared" ca="1" si="516"/>
        <v>48.240044384169643</v>
      </c>
      <c r="BY473">
        <f t="shared" ca="1" si="517"/>
        <v>59.253840526700813</v>
      </c>
      <c r="BZ473">
        <f t="shared" ca="1" si="581"/>
        <v>20.652647453083109</v>
      </c>
      <c r="CA473">
        <f t="shared" ca="1" si="582"/>
        <v>50.749999964474995</v>
      </c>
      <c r="CB473">
        <f t="shared" ca="1" si="518"/>
        <v>19.522900763358777</v>
      </c>
      <c r="CC473" s="1018">
        <f t="shared" si="583"/>
        <v>0</v>
      </c>
      <c r="CD473" s="1018">
        <f t="shared" ca="1" si="597"/>
        <v>225.70343309178736</v>
      </c>
      <c r="CE473" s="1018">
        <f t="shared" ca="1" si="596"/>
        <v>124.22791065226887</v>
      </c>
      <c r="CF473">
        <f t="shared" ca="1" si="584"/>
        <v>10.497940312321687</v>
      </c>
      <c r="CG473">
        <f t="shared" ca="1" si="585"/>
        <v>17478.650702403113</v>
      </c>
    </row>
    <row r="474" spans="4:85" x14ac:dyDescent="0.25">
      <c r="D474" s="622"/>
      <c r="E474" s="621"/>
      <c r="F474" s="622"/>
      <c r="G474" s="621"/>
      <c r="H474" s="622"/>
      <c r="I474" s="621"/>
      <c r="J474" s="622"/>
      <c r="K474" s="625"/>
      <c r="L474" s="627"/>
      <c r="M474" s="622" t="s">
        <v>22</v>
      </c>
      <c r="N474" s="624">
        <v>0.375</v>
      </c>
      <c r="O474" s="622" t="s">
        <v>20</v>
      </c>
      <c r="P474" s="624">
        <v>3.9215686E-2</v>
      </c>
      <c r="Q474" s="622" t="s">
        <v>7</v>
      </c>
      <c r="R474" s="624">
        <v>0.19</v>
      </c>
      <c r="S474" s="622"/>
      <c r="T474" s="631">
        <v>2.0718994735775864E-6</v>
      </c>
      <c r="U474" s="621"/>
      <c r="V474" s="176">
        <f t="shared" si="472"/>
        <v>2.0718994735775864E-6</v>
      </c>
      <c r="W474" s="176">
        <f>V474-V474*Calculation_sheet!E$69</f>
        <v>2.0718994735775864E-6</v>
      </c>
      <c r="X474" s="176">
        <f>W474-W474*Calculation_sheet!E$79</f>
        <v>2.0718994735775864E-6</v>
      </c>
      <c r="Y474" s="34">
        <f>X474/Calculation_sheet!M$67</f>
        <v>2.0719418365223607E-6</v>
      </c>
      <c r="Z474" s="176">
        <f ca="1">IF(AN474&gt;0,Y474*Calculation_sheet!C$87,0)</f>
        <v>0</v>
      </c>
      <c r="AA474" s="176">
        <f t="shared" ca="1" si="586"/>
        <v>2.0719418365223607E-6</v>
      </c>
      <c r="AB474" s="176">
        <f ca="1">IF(AP474&gt;0,AA474*Calculation_sheet!C$94,0)</f>
        <v>0</v>
      </c>
      <c r="AC474" s="176">
        <f t="shared" ca="1" si="587"/>
        <v>2.0719418365223607E-6</v>
      </c>
      <c r="AD474" s="958">
        <f ca="1">AC474*Calculation_sheet!C$99</f>
        <v>1.2431651019134163E-6</v>
      </c>
      <c r="AE474" s="176">
        <f t="shared" ca="1" si="587"/>
        <v>8.2877673460894437E-7</v>
      </c>
      <c r="AF474" s="176">
        <f t="shared" ca="1" si="588"/>
        <v>2.0719418365223607E-6</v>
      </c>
      <c r="AG474" s="958">
        <f ca="1">AF474*User_sheet!B$77/100</f>
        <v>0</v>
      </c>
      <c r="AH474" s="313"/>
      <c r="AI474" s="910">
        <v>204</v>
      </c>
      <c r="AJ474" s="313"/>
      <c r="AK474" s="1020">
        <f t="shared" ca="1" si="580"/>
        <v>225.70343309178736</v>
      </c>
      <c r="AL474" s="954">
        <f ca="1">AK474/'204'!I$24</f>
        <v>0.82388550133888416</v>
      </c>
      <c r="AM474" s="954">
        <f ca="1">0.8*(AK474*30+'204'!D$17*0.34*30*1)</f>
        <v>9001.9681942028965</v>
      </c>
      <c r="AN474" s="954">
        <f ca="1">IF(AM474&lt;User_sheet!B$50,Y474,0)</f>
        <v>2.0719418365223607E-6</v>
      </c>
      <c r="AO474" s="954">
        <f ca="1">20-(User_sheet!B$57/(AK474+'204'!D$17*1*0.34))</f>
        <v>4.8033233345462492</v>
      </c>
      <c r="AP474" s="954">
        <f ca="1">IF(AO474&lt;User_sheet!B$59,0,BC474*AA474)</f>
        <v>0</v>
      </c>
      <c r="AQ474" s="313"/>
      <c r="AR474" s="909">
        <v>0.47</v>
      </c>
      <c r="AS474" s="909">
        <v>0.54</v>
      </c>
      <c r="AT474" s="909">
        <v>0.83</v>
      </c>
      <c r="AU474" s="909">
        <v>3.5</v>
      </c>
      <c r="AV474" s="909">
        <v>3.3</v>
      </c>
      <c r="AW474" s="909">
        <v>12848.541887298286</v>
      </c>
      <c r="AX474" s="909">
        <v>75022.04959166942</v>
      </c>
      <c r="AY474" s="909">
        <v>69245.59826015502</v>
      </c>
      <c r="AZ474" s="917">
        <v>0</v>
      </c>
      <c r="BA474" s="917">
        <v>0</v>
      </c>
      <c r="BB474" s="909">
        <v>0.75</v>
      </c>
      <c r="BC474" s="919">
        <v>0</v>
      </c>
      <c r="BD474" s="920">
        <v>1</v>
      </c>
      <c r="BE474" s="920">
        <v>0</v>
      </c>
      <c r="BF474" s="921">
        <v>0</v>
      </c>
      <c r="BG474" s="909">
        <v>0</v>
      </c>
      <c r="BH474" s="909">
        <v>1</v>
      </c>
      <c r="BI474" s="921">
        <v>0</v>
      </c>
      <c r="BJ474" s="909">
        <v>0</v>
      </c>
      <c r="BK474" s="909">
        <v>0</v>
      </c>
      <c r="BL474" s="909">
        <v>1</v>
      </c>
      <c r="BM474" s="921">
        <v>0</v>
      </c>
      <c r="BN474" s="958">
        <v>0.08</v>
      </c>
      <c r="BO474" s="50">
        <v>12</v>
      </c>
      <c r="BP474">
        <f t="shared" ca="1" si="589"/>
        <v>150</v>
      </c>
      <c r="BQ474">
        <f t="shared" ca="1" si="590"/>
        <v>372.82075000000003</v>
      </c>
      <c r="BR474">
        <f t="shared" ca="1" si="591"/>
        <v>111</v>
      </c>
      <c r="BS474">
        <f t="shared" ca="1" si="592"/>
        <v>120</v>
      </c>
      <c r="BT474">
        <f t="shared" ca="1" si="593"/>
        <v>86.25</v>
      </c>
      <c r="BU474">
        <f t="shared" ca="1" si="594"/>
        <v>14.5</v>
      </c>
      <c r="BV474">
        <f t="shared" ca="1" si="595"/>
        <v>9.3000000000000007</v>
      </c>
      <c r="BW474" s="1018">
        <v>0</v>
      </c>
      <c r="BX474">
        <f t="shared" ca="1" si="516"/>
        <v>48.240044384169643</v>
      </c>
      <c r="BY474">
        <f t="shared" ca="1" si="517"/>
        <v>59.253840526700813</v>
      </c>
      <c r="BZ474">
        <f t="shared" ca="1" si="581"/>
        <v>20.652647453083109</v>
      </c>
      <c r="CA474">
        <f t="shared" ca="1" si="582"/>
        <v>50.749999964474995</v>
      </c>
      <c r="CB474">
        <f t="shared" ca="1" si="518"/>
        <v>19.522900763358777</v>
      </c>
      <c r="CC474" s="1018">
        <f t="shared" si="583"/>
        <v>0</v>
      </c>
      <c r="CD474" s="1018">
        <f t="shared" ca="1" si="597"/>
        <v>225.70343309178736</v>
      </c>
      <c r="CE474" s="1018">
        <f t="shared" ca="1" si="596"/>
        <v>124.22791065226887</v>
      </c>
      <c r="CF474">
        <f t="shared" ca="1" si="584"/>
        <v>10.497940312321687</v>
      </c>
      <c r="CG474">
        <f t="shared" ca="1" si="585"/>
        <v>17478.650702403113</v>
      </c>
    </row>
    <row r="475" spans="4:85" x14ac:dyDescent="0.25">
      <c r="D475" s="622"/>
      <c r="E475" s="621"/>
      <c r="F475" s="622"/>
      <c r="G475" s="621" t="s">
        <v>11</v>
      </c>
      <c r="H475" s="626">
        <v>0.28570000000000001</v>
      </c>
      <c r="I475" s="621" t="s">
        <v>10</v>
      </c>
      <c r="J475" s="626">
        <v>1</v>
      </c>
      <c r="K475" s="625" t="s">
        <v>13</v>
      </c>
      <c r="L475" s="626">
        <v>1</v>
      </c>
      <c r="M475" s="622" t="s">
        <v>7</v>
      </c>
      <c r="N475" s="624">
        <v>0.125</v>
      </c>
      <c r="O475" s="622" t="s">
        <v>23</v>
      </c>
      <c r="P475" s="624">
        <v>1</v>
      </c>
      <c r="Q475" s="622" t="s">
        <v>7</v>
      </c>
      <c r="R475" s="624">
        <v>1</v>
      </c>
      <c r="S475" s="622"/>
      <c r="T475" s="631">
        <v>9.2690240256250016E-5</v>
      </c>
      <c r="U475" s="621" t="s">
        <v>49</v>
      </c>
      <c r="V475" s="176">
        <f t="shared" si="472"/>
        <v>9.2690240256250016E-5</v>
      </c>
      <c r="W475" s="176">
        <f>V475-V475*Calculation_sheet!E$69</f>
        <v>9.2690240256250016E-5</v>
      </c>
      <c r="X475" s="176">
        <f>W475-W475*Calculation_sheet!E$79</f>
        <v>9.2690240256250016E-5</v>
      </c>
      <c r="Y475" s="34">
        <f>X475/Calculation_sheet!M$67</f>
        <v>9.2692135440634768E-5</v>
      </c>
      <c r="Z475" s="176">
        <f ca="1">IF(AN475&gt;0,Y475*Calculation_sheet!C$87,0)</f>
        <v>0</v>
      </c>
      <c r="AA475" s="176">
        <f t="shared" ca="1" si="586"/>
        <v>9.2692135440634768E-5</v>
      </c>
      <c r="AB475" s="176">
        <f ca="1">IF(AP475&gt;0,AA475*Calculation_sheet!C$94,0)</f>
        <v>0</v>
      </c>
      <c r="AC475" s="176">
        <f t="shared" ca="1" si="587"/>
        <v>9.2692135440634768E-5</v>
      </c>
      <c r="AD475" s="958">
        <f ca="1">AC475*Calculation_sheet!C$99</f>
        <v>5.5615281264380861E-5</v>
      </c>
      <c r="AE475" s="176">
        <f t="shared" ca="1" si="587"/>
        <v>3.7076854176253907E-5</v>
      </c>
      <c r="AF475" s="176">
        <f t="shared" ca="1" si="588"/>
        <v>9.2692135440634768E-5</v>
      </c>
      <c r="AG475" s="958">
        <f ca="1">AF475*User_sheet!B$77/100</f>
        <v>0</v>
      </c>
      <c r="AH475" s="313"/>
      <c r="AI475" s="910">
        <v>204</v>
      </c>
      <c r="AJ475" s="313"/>
      <c r="AK475" s="1020">
        <f t="shared" ca="1" si="580"/>
        <v>225.70343309178736</v>
      </c>
      <c r="AL475" s="954">
        <f ca="1">AK475/'204'!I$24</f>
        <v>0.82388550133888416</v>
      </c>
      <c r="AM475" s="954">
        <f ca="1">0.8*(AK475*30+'204'!D$17*0.34*30*1)</f>
        <v>9001.9681942028965</v>
      </c>
      <c r="AN475" s="954">
        <f ca="1">IF(AM475&lt;User_sheet!B$50,Y475,0)</f>
        <v>9.2692135440634768E-5</v>
      </c>
      <c r="AO475" s="954">
        <f ca="1">20-(User_sheet!B$57/(AK475+'204'!D$17*1*0.34))</f>
        <v>4.8033233345462492</v>
      </c>
      <c r="AP475" s="954">
        <f ca="1">IF(AO475&lt;User_sheet!B$59,0,BC475*AA475)</f>
        <v>0</v>
      </c>
      <c r="AQ475" s="313"/>
      <c r="AR475" s="909">
        <v>0.47</v>
      </c>
      <c r="AS475" s="909">
        <v>0.54</v>
      </c>
      <c r="AT475" s="909">
        <v>0.83</v>
      </c>
      <c r="AU475" s="909">
        <v>3.5</v>
      </c>
      <c r="AV475" s="909">
        <v>3.3</v>
      </c>
      <c r="AW475" s="909">
        <v>12848.541887298286</v>
      </c>
      <c r="AX475" s="909">
        <v>75022.04959166942</v>
      </c>
      <c r="AY475" s="909">
        <v>69245.59826015502</v>
      </c>
      <c r="AZ475" s="917">
        <v>0</v>
      </c>
      <c r="BA475" s="917">
        <v>0</v>
      </c>
      <c r="BB475" s="909">
        <v>0.75</v>
      </c>
      <c r="BC475" s="919">
        <v>0</v>
      </c>
      <c r="BD475" s="920">
        <v>0</v>
      </c>
      <c r="BE475" s="920">
        <v>1</v>
      </c>
      <c r="BF475" s="921">
        <v>0</v>
      </c>
      <c r="BG475" s="909">
        <v>0</v>
      </c>
      <c r="BH475" s="909">
        <v>0</v>
      </c>
      <c r="BI475" s="921">
        <v>1</v>
      </c>
      <c r="BJ475" s="909">
        <v>0</v>
      </c>
      <c r="BK475" s="909">
        <v>0</v>
      </c>
      <c r="BL475" s="909">
        <v>1</v>
      </c>
      <c r="BM475" s="921">
        <v>0</v>
      </c>
      <c r="BN475" s="958">
        <v>0.08</v>
      </c>
      <c r="BO475" s="50">
        <v>12</v>
      </c>
      <c r="BP475">
        <f t="shared" ca="1" si="589"/>
        <v>150</v>
      </c>
      <c r="BQ475">
        <f t="shared" ca="1" si="590"/>
        <v>372.82075000000003</v>
      </c>
      <c r="BR475">
        <f t="shared" ca="1" si="591"/>
        <v>111</v>
      </c>
      <c r="BS475">
        <f t="shared" ca="1" si="592"/>
        <v>120</v>
      </c>
      <c r="BT475">
        <f t="shared" ca="1" si="593"/>
        <v>86.25</v>
      </c>
      <c r="BU475">
        <f t="shared" ca="1" si="594"/>
        <v>14.5</v>
      </c>
      <c r="BV475">
        <f t="shared" ca="1" si="595"/>
        <v>9.3000000000000007</v>
      </c>
      <c r="BW475" s="1018">
        <v>0</v>
      </c>
      <c r="BX475">
        <f t="shared" ca="1" si="516"/>
        <v>48.240044384169643</v>
      </c>
      <c r="BY475">
        <f t="shared" ca="1" si="517"/>
        <v>59.253840526700813</v>
      </c>
      <c r="BZ475">
        <f t="shared" ca="1" si="581"/>
        <v>20.652647453083109</v>
      </c>
      <c r="CA475">
        <f t="shared" ca="1" si="582"/>
        <v>50.749999964474995</v>
      </c>
      <c r="CB475">
        <f t="shared" ca="1" si="518"/>
        <v>19.522900763358777</v>
      </c>
      <c r="CC475" s="1018">
        <f t="shared" si="583"/>
        <v>0</v>
      </c>
      <c r="CD475" s="1018">
        <f t="shared" ca="1" si="597"/>
        <v>225.70343309178736</v>
      </c>
      <c r="CE475" s="1018">
        <f t="shared" ca="1" si="596"/>
        <v>124.22791065226887</v>
      </c>
      <c r="CF475">
        <f t="shared" ca="1" si="584"/>
        <v>10.497940312321687</v>
      </c>
      <c r="CG475">
        <f t="shared" ca="1" si="585"/>
        <v>17478.650702403113</v>
      </c>
    </row>
    <row r="476" spans="4:85" s="629" customFormat="1" x14ac:dyDescent="0.25">
      <c r="D476" s="630"/>
      <c r="F476" s="630"/>
      <c r="H476" s="630"/>
      <c r="J476" s="630"/>
      <c r="M476" s="630"/>
      <c r="N476" s="630"/>
      <c r="O476" s="630"/>
      <c r="P476" s="630"/>
      <c r="Q476" s="630"/>
      <c r="R476" s="630"/>
      <c r="S476" s="630"/>
      <c r="T476" s="632"/>
      <c r="V476" s="292"/>
      <c r="W476" s="292"/>
      <c r="X476" s="292"/>
      <c r="Y476" s="277"/>
      <c r="Z476" s="292"/>
      <c r="AA476" s="292"/>
      <c r="AB476" s="292"/>
      <c r="AC476" s="292"/>
      <c r="AD476" s="277"/>
      <c r="AE476" s="292"/>
      <c r="AF476" s="292"/>
      <c r="AG476" s="277"/>
      <c r="AH476" s="313"/>
      <c r="AI476" s="913"/>
      <c r="AJ476" s="313"/>
      <c r="AK476" s="1020">
        <f t="shared" si="580"/>
        <v>0</v>
      </c>
      <c r="AL476" s="941"/>
      <c r="AM476" s="941"/>
      <c r="AN476" s="955"/>
      <c r="AO476" s="955"/>
      <c r="AP476" s="955"/>
      <c r="AQ476" s="313"/>
      <c r="AR476" s="918"/>
      <c r="AS476" s="918"/>
      <c r="AT476" s="918"/>
      <c r="AU476" s="918"/>
      <c r="AV476" s="918"/>
      <c r="AW476" s="918"/>
      <c r="AX476" s="918"/>
      <c r="AY476" s="918"/>
      <c r="AZ476" s="918"/>
      <c r="BA476" s="918"/>
      <c r="BB476" s="918"/>
      <c r="BC476" s="45"/>
      <c r="BD476" s="277"/>
      <c r="BE476" s="277"/>
      <c r="BF476" s="49"/>
      <c r="BG476" s="918"/>
      <c r="BH476" s="918"/>
      <c r="BI476" s="49"/>
      <c r="BJ476" s="918"/>
      <c r="BK476" s="918"/>
      <c r="BL476" s="918"/>
      <c r="BM476" s="49"/>
      <c r="BN476" s="277"/>
      <c r="BO476" s="49"/>
      <c r="BW476" s="928"/>
      <c r="CC476" s="928"/>
      <c r="CD476" s="928"/>
      <c r="CE476" s="928"/>
    </row>
    <row r="477" spans="4:85" x14ac:dyDescent="0.25">
      <c r="D477" s="1"/>
      <c r="F477" s="1"/>
      <c r="G477" s="3"/>
      <c r="H477" s="6"/>
      <c r="I477" s="3"/>
      <c r="J477" s="6"/>
      <c r="K477" s="8"/>
      <c r="L477" s="6"/>
      <c r="M477" s="6"/>
      <c r="N477" s="6"/>
      <c r="O477" s="6"/>
      <c r="P477" s="6"/>
      <c r="Q477" s="6" t="s">
        <v>16</v>
      </c>
      <c r="R477" s="4"/>
      <c r="S477" s="1"/>
      <c r="T477" s="77"/>
      <c r="X477" s="176">
        <f>W467-X467</f>
        <v>0</v>
      </c>
      <c r="Y477" s="34">
        <f>X477/Calculation_sheet!M$67</f>
        <v>0</v>
      </c>
      <c r="Z477" s="176">
        <f ca="1">IF(AN477&gt;0,Y477*Calculation_sheet!C$87,0)</f>
        <v>0</v>
      </c>
      <c r="AA477" s="176">
        <f t="shared" ref="AA477:AA485" ca="1" si="598">Y477-Z477</f>
        <v>0</v>
      </c>
      <c r="AB477" s="176">
        <f ca="1">IF(AP477&gt;0,AA477*Calculation_sheet!C$94,0)</f>
        <v>0</v>
      </c>
      <c r="AC477" s="176">
        <f t="shared" ref="AC477:AE485" ca="1" si="599">AA477-AB477</f>
        <v>0</v>
      </c>
      <c r="AD477" s="958">
        <f ca="1">AC477*Calculation_sheet!C$99</f>
        <v>0</v>
      </c>
      <c r="AE477" s="176">
        <f t="shared" ca="1" si="599"/>
        <v>0</v>
      </c>
      <c r="AF477" s="176">
        <f t="shared" ref="AF477:AF485" ca="1" si="600">Y477-AB477</f>
        <v>0</v>
      </c>
      <c r="AG477" s="958">
        <f ca="1">AF477*User_sheet!B$77/100</f>
        <v>0</v>
      </c>
      <c r="AH477" s="313"/>
      <c r="AI477" s="910">
        <v>204</v>
      </c>
      <c r="AJ477" s="313"/>
      <c r="AK477" s="1020">
        <f t="shared" ca="1" si="580"/>
        <v>189.36674901451391</v>
      </c>
      <c r="AL477" s="954">
        <f ca="1">AK477/'204'!I$24</f>
        <v>0.6912456616700634</v>
      </c>
      <c r="AM477" s="954">
        <f ca="1">0.8*(AK477*30+'204'!D$17*0.34*30*1)</f>
        <v>8129.8877763483342</v>
      </c>
      <c r="AN477" s="954">
        <f ca="1">IF(AM477&lt;User_sheet!B$50,Y477,0)</f>
        <v>0</v>
      </c>
      <c r="AO477" s="954">
        <f ca="1">20-(User_sheet!B$57/(AK477+'204'!D$17*1*0.34))</f>
        <v>3.1731994630993725</v>
      </c>
      <c r="AP477" s="954">
        <f ca="1">IF(AO477&lt;User_sheet!B$59,0,BC477*AA477)</f>
        <v>0</v>
      </c>
      <c r="AQ477" s="313"/>
      <c r="AR477" s="909">
        <v>0.32</v>
      </c>
      <c r="AS477" s="909">
        <v>0.54</v>
      </c>
      <c r="AT477" s="909">
        <v>0.83</v>
      </c>
      <c r="AU477" s="909">
        <v>2</v>
      </c>
      <c r="AV477" s="909">
        <v>3.3</v>
      </c>
      <c r="AW477" s="909">
        <v>14356</v>
      </c>
      <c r="AX477" s="909">
        <v>75022.04959166942</v>
      </c>
      <c r="AY477" s="909">
        <v>69245.59826015502</v>
      </c>
      <c r="AZ477" s="917">
        <v>0</v>
      </c>
      <c r="BA477" s="917">
        <v>0</v>
      </c>
      <c r="BB477" s="909">
        <v>0.6</v>
      </c>
      <c r="BC477" s="919">
        <v>1</v>
      </c>
      <c r="BD477" s="920">
        <v>0</v>
      </c>
      <c r="BE477" s="920">
        <v>0</v>
      </c>
      <c r="BF477" s="921">
        <v>0</v>
      </c>
      <c r="BG477" s="909">
        <v>1</v>
      </c>
      <c r="BH477" s="909">
        <v>0</v>
      </c>
      <c r="BI477" s="921">
        <v>0</v>
      </c>
      <c r="BJ477" s="909">
        <v>1</v>
      </c>
      <c r="BK477" s="909">
        <v>0</v>
      </c>
      <c r="BL477" s="909">
        <v>0</v>
      </c>
      <c r="BM477" s="921">
        <v>0</v>
      </c>
      <c r="BN477" s="958">
        <v>0.08</v>
      </c>
      <c r="BO477" s="50">
        <v>12</v>
      </c>
      <c r="BP477">
        <f t="shared" ref="BP477:BP485" ca="1" si="601">INDIRECT("'"&amp;AI477&amp;"'!"&amp;"B2")</f>
        <v>150</v>
      </c>
      <c r="BQ477">
        <f t="shared" ref="BQ477:BQ485" ca="1" si="602">INDIRECT("'"&amp;AI477&amp;"'!"&amp;"C12")+INDIRECT("'"&amp;AI477&amp;"'!"&amp;"C13")+INDIRECT("'"&amp;AI477&amp;"'!"&amp;"C14")+INDIRECT("'"&amp;AI477&amp;"'!"&amp;"C15")+INDIRECT("'"&amp;AI477&amp;"'!"&amp;"C17")</f>
        <v>372.82075000000003</v>
      </c>
      <c r="BR477">
        <f t="shared" ref="BR477:BR485" ca="1" si="603">INDIRECT("'"&amp;AI477&amp;"'!"&amp;"G5")</f>
        <v>111</v>
      </c>
      <c r="BS477">
        <f t="shared" ref="BS477:BS485" ca="1" si="604">INDIRECT("'"&amp;AI477&amp;"'!"&amp;"G4")</f>
        <v>120</v>
      </c>
      <c r="BT477">
        <f t="shared" ref="BT477:BT485" ca="1" si="605">INDIRECT("'"&amp;AI477&amp;"'!"&amp;"G6")</f>
        <v>86.25</v>
      </c>
      <c r="BU477">
        <f t="shared" ref="BU477:BU485" ca="1" si="606">INDIRECT("'"&amp;AI477&amp;"'!"&amp;"G2")</f>
        <v>14.5</v>
      </c>
      <c r="BV477">
        <f t="shared" ref="BV477:BV485" ca="1" si="607">INDIRECT("'"&amp;AI477&amp;"'!"&amp;"G3")</f>
        <v>9.3000000000000007</v>
      </c>
      <c r="BW477" s="1018">
        <v>0</v>
      </c>
      <c r="BX477">
        <f t="shared" ref="BX477:BX502" ca="1" si="608">IF(BR477=0,0,1/(1/(BR477*$BY$3)+1/(BR477*AR477)+1/(BR477*$BY$4)))</f>
        <v>33.6533602829712</v>
      </c>
      <c r="BY477">
        <f t="shared" ref="BY477:BY502" ca="1" si="609">IF(BS477=0,0,1/(1/(BS477*$BY$3)+1/(BS477*AS477)+1/(BS477*$BY$4)))</f>
        <v>59.253840526700813</v>
      </c>
      <c r="BZ477">
        <f t="shared" ca="1" si="581"/>
        <v>20.652647453083109</v>
      </c>
      <c r="CA477">
        <f t="shared" ca="1" si="582"/>
        <v>28.999999988399999</v>
      </c>
      <c r="CB477">
        <f t="shared" ref="CB477:CB502" ca="1" si="610">IF(BV477=0,0,1/(1/(BV477*$BY$3)+1/(BV477*AV477)+1/(BV477*$BY$4)))</f>
        <v>19.522900763358777</v>
      </c>
      <c r="CC477" s="1018">
        <f t="shared" si="583"/>
        <v>0</v>
      </c>
      <c r="CD477" s="1018">
        <f ca="1">SUM(BX477:CC477)+(BR477+BS477+BT477+BU477+BV477)*BN477</f>
        <v>189.36674901451391</v>
      </c>
      <c r="CE477" s="1018">
        <f t="shared" ref="CE477:CE485" ca="1" si="611">0.34*BO477*(1/25)^0.66*(BR477+BS477+BU477+BV477)</f>
        <v>124.22791065226887</v>
      </c>
      <c r="CF477">
        <f t="shared" ca="1" si="584"/>
        <v>9.407839790003484</v>
      </c>
      <c r="CG477">
        <f t="shared" ca="1" si="585"/>
        <v>15663.676936764199</v>
      </c>
    </row>
    <row r="478" spans="4:85" x14ac:dyDescent="0.25">
      <c r="D478" s="1"/>
      <c r="F478" s="1"/>
      <c r="G478" s="3"/>
      <c r="H478" s="6"/>
      <c r="I478" s="3"/>
      <c r="J478" s="6"/>
      <c r="K478" s="8"/>
      <c r="L478" s="6"/>
      <c r="M478" s="6"/>
      <c r="N478" s="6"/>
      <c r="O478" s="6" t="s">
        <v>18</v>
      </c>
      <c r="P478" s="4"/>
      <c r="Q478" s="6" t="s">
        <v>7</v>
      </c>
      <c r="R478" s="4"/>
      <c r="S478" s="1"/>
      <c r="T478" s="77"/>
      <c r="X478" s="176">
        <f t="shared" ref="X478:X485" si="612">W468-X468</f>
        <v>0</v>
      </c>
      <c r="Y478" s="34">
        <f>X478/Calculation_sheet!M$67</f>
        <v>0</v>
      </c>
      <c r="Z478" s="176">
        <f ca="1">IF(AN478&gt;0,Y478*Calculation_sheet!C$87,0)</f>
        <v>0</v>
      </c>
      <c r="AA478" s="176">
        <f t="shared" ca="1" si="598"/>
        <v>0</v>
      </c>
      <c r="AB478" s="176">
        <f ca="1">IF(AP478&gt;0,AA478*Calculation_sheet!C$94,0)</f>
        <v>0</v>
      </c>
      <c r="AC478" s="176">
        <f t="shared" ca="1" si="599"/>
        <v>0</v>
      </c>
      <c r="AD478" s="958">
        <f ca="1">AC478*Calculation_sheet!C$99</f>
        <v>0</v>
      </c>
      <c r="AE478" s="176">
        <f t="shared" ca="1" si="599"/>
        <v>0</v>
      </c>
      <c r="AF478" s="176">
        <f t="shared" ca="1" si="600"/>
        <v>0</v>
      </c>
      <c r="AG478" s="958">
        <f ca="1">AF478*User_sheet!B$77/100</f>
        <v>0</v>
      </c>
      <c r="AH478" s="313"/>
      <c r="AI478" s="910">
        <v>204</v>
      </c>
      <c r="AJ478" s="313"/>
      <c r="AK478" s="1020">
        <f t="shared" ca="1" si="580"/>
        <v>189.36674901451391</v>
      </c>
      <c r="AL478" s="954">
        <f ca="1">AK478/'204'!I$24</f>
        <v>0.6912456616700634</v>
      </c>
      <c r="AM478" s="954">
        <f ca="1">0.8*(AK478*30+'204'!D$17*0.34*30*1)</f>
        <v>8129.8877763483342</v>
      </c>
      <c r="AN478" s="954">
        <f ca="1">IF(AM478&lt;User_sheet!B$50,Y478,0)</f>
        <v>0</v>
      </c>
      <c r="AO478" s="954">
        <f ca="1">20-(User_sheet!B$57/(AK478+'204'!D$17*1*0.34))</f>
        <v>3.1731994630993725</v>
      </c>
      <c r="AP478" s="954">
        <f ca="1">IF(AO478&lt;User_sheet!B$59,0,BC478*AA478)</f>
        <v>0</v>
      </c>
      <c r="AQ478" s="313"/>
      <c r="AR478" s="909">
        <v>0.32</v>
      </c>
      <c r="AS478" s="909">
        <v>0.54</v>
      </c>
      <c r="AT478" s="909">
        <v>0.83</v>
      </c>
      <c r="AU478" s="909">
        <v>2</v>
      </c>
      <c r="AV478" s="909">
        <v>3.3</v>
      </c>
      <c r="AW478" s="909">
        <v>14356</v>
      </c>
      <c r="AX478" s="909">
        <v>75022.04959166942</v>
      </c>
      <c r="AY478" s="909">
        <v>69245.59826015502</v>
      </c>
      <c r="AZ478" s="917">
        <v>0</v>
      </c>
      <c r="BA478" s="917">
        <v>0</v>
      </c>
      <c r="BB478" s="909">
        <v>0.6</v>
      </c>
      <c r="BC478" s="919">
        <v>1</v>
      </c>
      <c r="BD478" s="920">
        <v>0</v>
      </c>
      <c r="BE478" s="920">
        <v>0</v>
      </c>
      <c r="BF478" s="921">
        <v>0</v>
      </c>
      <c r="BG478" s="909">
        <v>1</v>
      </c>
      <c r="BH478" s="909">
        <v>0</v>
      </c>
      <c r="BI478" s="921">
        <v>0</v>
      </c>
      <c r="BJ478" s="909">
        <v>0</v>
      </c>
      <c r="BK478" s="909">
        <v>0</v>
      </c>
      <c r="BL478" s="909">
        <v>1</v>
      </c>
      <c r="BM478" s="921">
        <v>0</v>
      </c>
      <c r="BN478" s="958">
        <v>0.08</v>
      </c>
      <c r="BO478" s="50">
        <v>12</v>
      </c>
      <c r="BP478">
        <f t="shared" ca="1" si="601"/>
        <v>150</v>
      </c>
      <c r="BQ478">
        <f t="shared" ca="1" si="602"/>
        <v>372.82075000000003</v>
      </c>
      <c r="BR478">
        <f t="shared" ca="1" si="603"/>
        <v>111</v>
      </c>
      <c r="BS478">
        <f t="shared" ca="1" si="604"/>
        <v>120</v>
      </c>
      <c r="BT478">
        <f t="shared" ca="1" si="605"/>
        <v>86.25</v>
      </c>
      <c r="BU478">
        <f t="shared" ca="1" si="606"/>
        <v>14.5</v>
      </c>
      <c r="BV478">
        <f t="shared" ca="1" si="607"/>
        <v>9.3000000000000007</v>
      </c>
      <c r="BW478" s="1018">
        <v>0</v>
      </c>
      <c r="BX478">
        <f t="shared" ca="1" si="608"/>
        <v>33.6533602829712</v>
      </c>
      <c r="BY478">
        <f t="shared" ca="1" si="609"/>
        <v>59.253840526700813</v>
      </c>
      <c r="BZ478">
        <f t="shared" ca="1" si="581"/>
        <v>20.652647453083109</v>
      </c>
      <c r="CA478">
        <f t="shared" ca="1" si="582"/>
        <v>28.999999988399999</v>
      </c>
      <c r="CB478">
        <f t="shared" ca="1" si="610"/>
        <v>19.522900763358777</v>
      </c>
      <c r="CC478" s="1018">
        <f t="shared" si="583"/>
        <v>0</v>
      </c>
      <c r="CD478" s="1018">
        <f t="shared" ref="CD478:CD485" ca="1" si="613">SUM(BX478:CC478)+(BR478+BS478+BT478+BU478+BV478)*BN478</f>
        <v>189.36674901451391</v>
      </c>
      <c r="CE478" s="1018">
        <f t="shared" ca="1" si="611"/>
        <v>124.22791065226887</v>
      </c>
      <c r="CF478">
        <f t="shared" ca="1" si="584"/>
        <v>9.407839790003484</v>
      </c>
      <c r="CG478">
        <f t="shared" ca="1" si="585"/>
        <v>15663.676936764199</v>
      </c>
    </row>
    <row r="479" spans="4:85" x14ac:dyDescent="0.25">
      <c r="D479" s="1"/>
      <c r="F479" s="1"/>
      <c r="G479" s="3"/>
      <c r="H479" s="6"/>
      <c r="I479" s="3"/>
      <c r="J479" s="6"/>
      <c r="K479" s="8"/>
      <c r="L479" s="6"/>
      <c r="M479" s="6"/>
      <c r="N479" s="6"/>
      <c r="O479" s="6"/>
      <c r="P479" s="6"/>
      <c r="Q479" s="6" t="s">
        <v>16</v>
      </c>
      <c r="R479" s="4"/>
      <c r="S479" s="1"/>
      <c r="T479" s="77"/>
      <c r="X479" s="176">
        <f t="shared" si="612"/>
        <v>0</v>
      </c>
      <c r="Y479" s="34">
        <f>X479/Calculation_sheet!M$67</f>
        <v>0</v>
      </c>
      <c r="Z479" s="176">
        <f ca="1">IF(AN479&gt;0,Y479*Calculation_sheet!C$87,0)</f>
        <v>0</v>
      </c>
      <c r="AA479" s="176">
        <f t="shared" ca="1" si="598"/>
        <v>0</v>
      </c>
      <c r="AB479" s="176">
        <f ca="1">IF(AP479&gt;0,AA479*Calculation_sheet!C$94,0)</f>
        <v>0</v>
      </c>
      <c r="AC479" s="176">
        <f t="shared" ca="1" si="599"/>
        <v>0</v>
      </c>
      <c r="AD479" s="958">
        <f ca="1">AC479*Calculation_sheet!C$99</f>
        <v>0</v>
      </c>
      <c r="AE479" s="176">
        <f t="shared" ca="1" si="599"/>
        <v>0</v>
      </c>
      <c r="AF479" s="176">
        <f t="shared" ca="1" si="600"/>
        <v>0</v>
      </c>
      <c r="AG479" s="958">
        <f ca="1">AF479*User_sheet!B$77/100</f>
        <v>0</v>
      </c>
      <c r="AH479" s="313"/>
      <c r="AI479" s="910">
        <v>204</v>
      </c>
      <c r="AJ479" s="313"/>
      <c r="AK479" s="1020">
        <f t="shared" ca="1" si="580"/>
        <v>189.36674901451391</v>
      </c>
      <c r="AL479" s="954">
        <f ca="1">AK479/'204'!I$24</f>
        <v>0.6912456616700634</v>
      </c>
      <c r="AM479" s="954">
        <f ca="1">0.8*(AK479*30+'204'!D$17*0.34*30*1)</f>
        <v>8129.8877763483342</v>
      </c>
      <c r="AN479" s="954">
        <f ca="1">IF(AM479&lt;User_sheet!B$50,Y479,0)</f>
        <v>0</v>
      </c>
      <c r="AO479" s="954">
        <f ca="1">20-(User_sheet!B$57/(AK479+'204'!D$17*1*0.34))</f>
        <v>3.1731994630993725</v>
      </c>
      <c r="AP479" s="954">
        <f ca="1">IF(AO479&lt;User_sheet!B$59,0,BC479*AA479)</f>
        <v>0</v>
      </c>
      <c r="AQ479" s="313"/>
      <c r="AR479" s="909">
        <v>0.32</v>
      </c>
      <c r="AS479" s="909">
        <v>0.54</v>
      </c>
      <c r="AT479" s="909">
        <v>0.83</v>
      </c>
      <c r="AU479" s="909">
        <v>2</v>
      </c>
      <c r="AV479" s="909">
        <v>3.3</v>
      </c>
      <c r="AW479" s="909">
        <v>14356</v>
      </c>
      <c r="AX479" s="909">
        <v>75022.04959166942</v>
      </c>
      <c r="AY479" s="909">
        <v>69245.59826015502</v>
      </c>
      <c r="AZ479" s="917">
        <v>0</v>
      </c>
      <c r="BA479" s="917">
        <v>0</v>
      </c>
      <c r="BB479" s="909">
        <v>0.6</v>
      </c>
      <c r="BC479" s="919">
        <v>1</v>
      </c>
      <c r="BD479" s="920">
        <v>0</v>
      </c>
      <c r="BE479" s="920">
        <v>0</v>
      </c>
      <c r="BF479" s="921">
        <v>0</v>
      </c>
      <c r="BG479" s="909">
        <v>0</v>
      </c>
      <c r="BH479" s="909">
        <v>1</v>
      </c>
      <c r="BI479" s="921">
        <v>0</v>
      </c>
      <c r="BJ479" s="909">
        <v>1</v>
      </c>
      <c r="BK479" s="909">
        <v>0</v>
      </c>
      <c r="BL479" s="909">
        <v>0</v>
      </c>
      <c r="BM479" s="921">
        <v>0</v>
      </c>
      <c r="BN479" s="958">
        <v>0.08</v>
      </c>
      <c r="BO479" s="50">
        <v>12</v>
      </c>
      <c r="BP479">
        <f t="shared" ca="1" si="601"/>
        <v>150</v>
      </c>
      <c r="BQ479">
        <f t="shared" ca="1" si="602"/>
        <v>372.82075000000003</v>
      </c>
      <c r="BR479">
        <f t="shared" ca="1" si="603"/>
        <v>111</v>
      </c>
      <c r="BS479">
        <f t="shared" ca="1" si="604"/>
        <v>120</v>
      </c>
      <c r="BT479">
        <f t="shared" ca="1" si="605"/>
        <v>86.25</v>
      </c>
      <c r="BU479">
        <f t="shared" ca="1" si="606"/>
        <v>14.5</v>
      </c>
      <c r="BV479">
        <f t="shared" ca="1" si="607"/>
        <v>9.3000000000000007</v>
      </c>
      <c r="BW479" s="1018">
        <v>0</v>
      </c>
      <c r="BX479">
        <f t="shared" ca="1" si="608"/>
        <v>33.6533602829712</v>
      </c>
      <c r="BY479">
        <f t="shared" ca="1" si="609"/>
        <v>59.253840526700813</v>
      </c>
      <c r="BZ479">
        <f t="shared" ca="1" si="581"/>
        <v>20.652647453083109</v>
      </c>
      <c r="CA479">
        <f t="shared" ca="1" si="582"/>
        <v>28.999999988399999</v>
      </c>
      <c r="CB479">
        <f t="shared" ca="1" si="610"/>
        <v>19.522900763358777</v>
      </c>
      <c r="CC479" s="1018">
        <f t="shared" si="583"/>
        <v>0</v>
      </c>
      <c r="CD479" s="1018">
        <f t="shared" ca="1" si="613"/>
        <v>189.36674901451391</v>
      </c>
      <c r="CE479" s="1018">
        <f t="shared" ca="1" si="611"/>
        <v>124.22791065226887</v>
      </c>
      <c r="CF479">
        <f t="shared" ca="1" si="584"/>
        <v>9.407839790003484</v>
      </c>
      <c r="CG479">
        <f t="shared" ca="1" si="585"/>
        <v>15663.676936764199</v>
      </c>
    </row>
    <row r="480" spans="4:85" x14ac:dyDescent="0.25">
      <c r="D480" s="1"/>
      <c r="F480" s="1"/>
      <c r="G480" s="3"/>
      <c r="H480" s="6"/>
      <c r="I480" s="3"/>
      <c r="J480" s="3" t="s">
        <v>144</v>
      </c>
      <c r="K480" s="8"/>
      <c r="L480" s="6"/>
      <c r="M480" s="6" t="s">
        <v>16</v>
      </c>
      <c r="N480" s="4"/>
      <c r="O480" s="6" t="s">
        <v>19</v>
      </c>
      <c r="P480" s="4"/>
      <c r="Q480" s="6" t="s">
        <v>7</v>
      </c>
      <c r="R480" s="4"/>
      <c r="S480" s="1"/>
      <c r="T480" s="77"/>
      <c r="X480" s="176">
        <f t="shared" si="612"/>
        <v>0</v>
      </c>
      <c r="Y480" s="34">
        <f>X480/Calculation_sheet!M$67</f>
        <v>0</v>
      </c>
      <c r="Z480" s="176">
        <f ca="1">IF(AN480&gt;0,Y480*Calculation_sheet!C$87,0)</f>
        <v>0</v>
      </c>
      <c r="AA480" s="176">
        <f t="shared" ca="1" si="598"/>
        <v>0</v>
      </c>
      <c r="AB480" s="176">
        <f ca="1">IF(AP480&gt;0,AA480*Calculation_sheet!C$94,0)</f>
        <v>0</v>
      </c>
      <c r="AC480" s="176">
        <f t="shared" ca="1" si="599"/>
        <v>0</v>
      </c>
      <c r="AD480" s="958">
        <f ca="1">AC480*Calculation_sheet!C$99</f>
        <v>0</v>
      </c>
      <c r="AE480" s="176">
        <f t="shared" ca="1" si="599"/>
        <v>0</v>
      </c>
      <c r="AF480" s="176">
        <f t="shared" ca="1" si="600"/>
        <v>0</v>
      </c>
      <c r="AG480" s="958">
        <f ca="1">AF480*User_sheet!B$77/100</f>
        <v>0</v>
      </c>
      <c r="AH480" s="313"/>
      <c r="AI480" s="910">
        <v>204</v>
      </c>
      <c r="AJ480" s="313"/>
      <c r="AK480" s="1020">
        <f t="shared" ca="1" si="580"/>
        <v>189.36674901451391</v>
      </c>
      <c r="AL480" s="954">
        <f ca="1">AK480/'204'!I$24</f>
        <v>0.6912456616700634</v>
      </c>
      <c r="AM480" s="954">
        <f ca="1">0.8*(AK480*30+'204'!D$17*0.34*30*1)</f>
        <v>8129.8877763483342</v>
      </c>
      <c r="AN480" s="954">
        <f ca="1">IF(AM480&lt;User_sheet!B$50,Y480,0)</f>
        <v>0</v>
      </c>
      <c r="AO480" s="954">
        <f ca="1">20-(User_sheet!B$57/(AK480+'204'!D$17*1*0.34))</f>
        <v>3.1731994630993725</v>
      </c>
      <c r="AP480" s="954">
        <f ca="1">IF(AO480&lt;User_sheet!B$59,0,BC480*AA480)</f>
        <v>0</v>
      </c>
      <c r="AQ480" s="313"/>
      <c r="AR480" s="909">
        <v>0.32</v>
      </c>
      <c r="AS480" s="909">
        <v>0.54</v>
      </c>
      <c r="AT480" s="909">
        <v>0.83</v>
      </c>
      <c r="AU480" s="909">
        <v>2</v>
      </c>
      <c r="AV480" s="909">
        <v>3.3</v>
      </c>
      <c r="AW480" s="909">
        <v>14356</v>
      </c>
      <c r="AX480" s="909">
        <v>75022.04959166942</v>
      </c>
      <c r="AY480" s="909">
        <v>69245.59826015502</v>
      </c>
      <c r="AZ480" s="917">
        <v>0</v>
      </c>
      <c r="BA480" s="917">
        <v>0</v>
      </c>
      <c r="BB480" s="909">
        <v>0.6</v>
      </c>
      <c r="BC480" s="919">
        <v>1</v>
      </c>
      <c r="BD480" s="920">
        <v>0</v>
      </c>
      <c r="BE480" s="920">
        <v>0</v>
      </c>
      <c r="BF480" s="921">
        <v>0</v>
      </c>
      <c r="BG480" s="909">
        <v>0</v>
      </c>
      <c r="BH480" s="909">
        <v>1</v>
      </c>
      <c r="BI480" s="921">
        <v>0</v>
      </c>
      <c r="BJ480" s="909">
        <v>0</v>
      </c>
      <c r="BK480" s="909">
        <v>0</v>
      </c>
      <c r="BL480" s="909">
        <v>1</v>
      </c>
      <c r="BM480" s="921">
        <v>0</v>
      </c>
      <c r="BN480" s="958">
        <v>0.08</v>
      </c>
      <c r="BO480" s="50">
        <v>12</v>
      </c>
      <c r="BP480">
        <f t="shared" ca="1" si="601"/>
        <v>150</v>
      </c>
      <c r="BQ480">
        <f t="shared" ca="1" si="602"/>
        <v>372.82075000000003</v>
      </c>
      <c r="BR480">
        <f t="shared" ca="1" si="603"/>
        <v>111</v>
      </c>
      <c r="BS480">
        <f t="shared" ca="1" si="604"/>
        <v>120</v>
      </c>
      <c r="BT480">
        <f t="shared" ca="1" si="605"/>
        <v>86.25</v>
      </c>
      <c r="BU480">
        <f t="shared" ca="1" si="606"/>
        <v>14.5</v>
      </c>
      <c r="BV480">
        <f t="shared" ca="1" si="607"/>
        <v>9.3000000000000007</v>
      </c>
      <c r="BW480" s="1018">
        <v>0</v>
      </c>
      <c r="BX480">
        <f t="shared" ca="1" si="608"/>
        <v>33.6533602829712</v>
      </c>
      <c r="BY480">
        <f t="shared" ca="1" si="609"/>
        <v>59.253840526700813</v>
      </c>
      <c r="BZ480">
        <f t="shared" ca="1" si="581"/>
        <v>20.652647453083109</v>
      </c>
      <c r="CA480">
        <f t="shared" ca="1" si="582"/>
        <v>28.999999988399999</v>
      </c>
      <c r="CB480">
        <f t="shared" ca="1" si="610"/>
        <v>19.522900763358777</v>
      </c>
      <c r="CC480" s="1018">
        <f t="shared" si="583"/>
        <v>0</v>
      </c>
      <c r="CD480" s="1018">
        <f t="shared" ca="1" si="613"/>
        <v>189.36674901451391</v>
      </c>
      <c r="CE480" s="1018">
        <f t="shared" ca="1" si="611"/>
        <v>124.22791065226887</v>
      </c>
      <c r="CF480">
        <f t="shared" ca="1" si="584"/>
        <v>9.407839790003484</v>
      </c>
      <c r="CG480">
        <f t="shared" ca="1" si="585"/>
        <v>15663.676936764199</v>
      </c>
    </row>
    <row r="481" spans="4:85" x14ac:dyDescent="0.25">
      <c r="D481" s="1"/>
      <c r="F481" s="1"/>
      <c r="G481" s="3"/>
      <c r="H481" s="6"/>
      <c r="I481" s="3"/>
      <c r="J481" s="6" t="s">
        <v>190</v>
      </c>
      <c r="K481" s="8"/>
      <c r="L481" s="6"/>
      <c r="M481" s="6"/>
      <c r="N481" s="1"/>
      <c r="O481" s="6"/>
      <c r="P481" s="6"/>
      <c r="Q481" s="6" t="s">
        <v>22</v>
      </c>
      <c r="R481" s="4"/>
      <c r="S481" s="1"/>
      <c r="T481" s="77"/>
      <c r="X481" s="176">
        <f t="shared" si="612"/>
        <v>0</v>
      </c>
      <c r="Y481" s="34">
        <f>X481/Calculation_sheet!M$67</f>
        <v>0</v>
      </c>
      <c r="Z481" s="176">
        <f ca="1">IF(AN481&gt;0,Y481*Calculation_sheet!C$87,0)</f>
        <v>0</v>
      </c>
      <c r="AA481" s="176">
        <f t="shared" ca="1" si="598"/>
        <v>0</v>
      </c>
      <c r="AB481" s="176">
        <f ca="1">IF(AP481&gt;0,AA481*Calculation_sheet!C$94,0)</f>
        <v>0</v>
      </c>
      <c r="AC481" s="176">
        <f t="shared" ca="1" si="599"/>
        <v>0</v>
      </c>
      <c r="AD481" s="958">
        <f ca="1">AC481*Calculation_sheet!C$99</f>
        <v>0</v>
      </c>
      <c r="AE481" s="176">
        <f t="shared" ca="1" si="599"/>
        <v>0</v>
      </c>
      <c r="AF481" s="176">
        <f t="shared" ca="1" si="600"/>
        <v>0</v>
      </c>
      <c r="AG481" s="958">
        <f ca="1">AF481*User_sheet!B$77/100</f>
        <v>0</v>
      </c>
      <c r="AH481" s="313"/>
      <c r="AI481" s="910">
        <v>204</v>
      </c>
      <c r="AJ481" s="313"/>
      <c r="AK481" s="1020">
        <f t="shared" ca="1" si="580"/>
        <v>189.36674901451391</v>
      </c>
      <c r="AL481" s="954">
        <f ca="1">AK481/'204'!I$24</f>
        <v>0.6912456616700634</v>
      </c>
      <c r="AM481" s="954">
        <f ca="1">0.8*(AK481*30+'204'!D$17*0.34*30*1)</f>
        <v>8129.8877763483342</v>
      </c>
      <c r="AN481" s="954">
        <f ca="1">IF(AM481&lt;User_sheet!B$50,Y481,0)</f>
        <v>0</v>
      </c>
      <c r="AO481" s="954">
        <f ca="1">20-(User_sheet!B$57/(AK481+'204'!D$17*1*0.34))</f>
        <v>3.1731994630993725</v>
      </c>
      <c r="AP481" s="954">
        <f ca="1">IF(AO481&lt;User_sheet!B$59,0,BC481*AA481)</f>
        <v>0</v>
      </c>
      <c r="AQ481" s="313"/>
      <c r="AR481" s="909">
        <v>0.32</v>
      </c>
      <c r="AS481" s="909">
        <v>0.54</v>
      </c>
      <c r="AT481" s="909">
        <v>0.83</v>
      </c>
      <c r="AU481" s="909">
        <v>2</v>
      </c>
      <c r="AV481" s="909">
        <v>3.3</v>
      </c>
      <c r="AW481" s="909">
        <v>14356</v>
      </c>
      <c r="AX481" s="909">
        <v>75022.04959166942</v>
      </c>
      <c r="AY481" s="909">
        <v>69245.59826015502</v>
      </c>
      <c r="AZ481" s="917">
        <v>0</v>
      </c>
      <c r="BA481" s="917">
        <v>0</v>
      </c>
      <c r="BB481" s="909">
        <v>0.6</v>
      </c>
      <c r="BC481" s="919">
        <v>0</v>
      </c>
      <c r="BD481" s="920">
        <v>1</v>
      </c>
      <c r="BE481" s="920">
        <v>0</v>
      </c>
      <c r="BF481" s="921">
        <v>0</v>
      </c>
      <c r="BG481" s="909">
        <v>1</v>
      </c>
      <c r="BH481" s="909">
        <v>0</v>
      </c>
      <c r="BI481" s="921">
        <v>0</v>
      </c>
      <c r="BJ481" s="909">
        <v>0</v>
      </c>
      <c r="BK481" s="909">
        <v>1</v>
      </c>
      <c r="BL481" s="909">
        <v>0</v>
      </c>
      <c r="BM481" s="921">
        <v>0</v>
      </c>
      <c r="BN481" s="958">
        <v>0.08</v>
      </c>
      <c r="BO481" s="50">
        <v>12</v>
      </c>
      <c r="BP481">
        <f t="shared" ca="1" si="601"/>
        <v>150</v>
      </c>
      <c r="BQ481">
        <f t="shared" ca="1" si="602"/>
        <v>372.82075000000003</v>
      </c>
      <c r="BR481">
        <f t="shared" ca="1" si="603"/>
        <v>111</v>
      </c>
      <c r="BS481">
        <f t="shared" ca="1" si="604"/>
        <v>120</v>
      </c>
      <c r="BT481">
        <f t="shared" ca="1" si="605"/>
        <v>86.25</v>
      </c>
      <c r="BU481">
        <f t="shared" ca="1" si="606"/>
        <v>14.5</v>
      </c>
      <c r="BV481">
        <f t="shared" ca="1" si="607"/>
        <v>9.3000000000000007</v>
      </c>
      <c r="BW481" s="1018">
        <v>0</v>
      </c>
      <c r="BX481">
        <f t="shared" ca="1" si="608"/>
        <v>33.6533602829712</v>
      </c>
      <c r="BY481">
        <f t="shared" ca="1" si="609"/>
        <v>59.253840526700813</v>
      </c>
      <c r="BZ481">
        <f t="shared" ca="1" si="581"/>
        <v>20.652647453083109</v>
      </c>
      <c r="CA481">
        <f t="shared" ca="1" si="582"/>
        <v>28.999999988399999</v>
      </c>
      <c r="CB481">
        <f t="shared" ca="1" si="610"/>
        <v>19.522900763358777</v>
      </c>
      <c r="CC481" s="1018">
        <f t="shared" si="583"/>
        <v>0</v>
      </c>
      <c r="CD481" s="1018">
        <f t="shared" ca="1" si="613"/>
        <v>189.36674901451391</v>
      </c>
      <c r="CE481" s="1018">
        <f t="shared" ca="1" si="611"/>
        <v>124.22791065226887</v>
      </c>
      <c r="CF481">
        <f t="shared" ca="1" si="584"/>
        <v>9.407839790003484</v>
      </c>
      <c r="CG481">
        <f t="shared" ca="1" si="585"/>
        <v>15663.676936764199</v>
      </c>
    </row>
    <row r="482" spans="4:85" x14ac:dyDescent="0.25">
      <c r="D482" s="1"/>
      <c r="F482" s="1"/>
      <c r="G482" s="3"/>
      <c r="H482" s="6"/>
      <c r="I482" s="3"/>
      <c r="K482" s="8"/>
      <c r="L482" s="6"/>
      <c r="M482" s="1"/>
      <c r="N482" s="1"/>
      <c r="O482" s="1" t="s">
        <v>18</v>
      </c>
      <c r="P482" s="4"/>
      <c r="Q482" s="1" t="s">
        <v>7</v>
      </c>
      <c r="R482" s="4"/>
      <c r="S482" s="1"/>
      <c r="T482" s="77"/>
      <c r="X482" s="176">
        <f t="shared" si="612"/>
        <v>0</v>
      </c>
      <c r="Y482" s="34">
        <f>X482/Calculation_sheet!M$67</f>
        <v>0</v>
      </c>
      <c r="Z482" s="176">
        <f ca="1">IF(AN482&gt;0,Y482*Calculation_sheet!C$87,0)</f>
        <v>0</v>
      </c>
      <c r="AA482" s="176">
        <f t="shared" ca="1" si="598"/>
        <v>0</v>
      </c>
      <c r="AB482" s="176">
        <f ca="1">IF(AP482&gt;0,AA482*Calculation_sheet!C$94,0)</f>
        <v>0</v>
      </c>
      <c r="AC482" s="176">
        <f t="shared" ca="1" si="599"/>
        <v>0</v>
      </c>
      <c r="AD482" s="958">
        <f ca="1">AC482*Calculation_sheet!C$99</f>
        <v>0</v>
      </c>
      <c r="AE482" s="176">
        <f t="shared" ca="1" si="599"/>
        <v>0</v>
      </c>
      <c r="AF482" s="176">
        <f t="shared" ca="1" si="600"/>
        <v>0</v>
      </c>
      <c r="AG482" s="958">
        <f ca="1">AF482*User_sheet!B$77/100</f>
        <v>0</v>
      </c>
      <c r="AH482" s="313"/>
      <c r="AI482" s="910">
        <v>204</v>
      </c>
      <c r="AJ482" s="313"/>
      <c r="AK482" s="1020">
        <f t="shared" ca="1" si="580"/>
        <v>189.36674901451391</v>
      </c>
      <c r="AL482" s="954">
        <f ca="1">AK482/'204'!I$24</f>
        <v>0.6912456616700634</v>
      </c>
      <c r="AM482" s="954">
        <f ca="1">0.8*(AK482*30+'204'!D$17*0.34*30*1)</f>
        <v>8129.8877763483342</v>
      </c>
      <c r="AN482" s="954">
        <f ca="1">IF(AM482&lt;User_sheet!B$50,Y482,0)</f>
        <v>0</v>
      </c>
      <c r="AO482" s="954">
        <f ca="1">20-(User_sheet!B$57/(AK482+'204'!D$17*1*0.34))</f>
        <v>3.1731994630993725</v>
      </c>
      <c r="AP482" s="954">
        <f ca="1">IF(AO482&lt;User_sheet!B$59,0,BC482*AA482)</f>
        <v>0</v>
      </c>
      <c r="AQ482" s="313"/>
      <c r="AR482" s="909">
        <v>0.32</v>
      </c>
      <c r="AS482" s="909">
        <v>0.54</v>
      </c>
      <c r="AT482" s="909">
        <v>0.83</v>
      </c>
      <c r="AU482" s="909">
        <v>2</v>
      </c>
      <c r="AV482" s="909">
        <v>3.3</v>
      </c>
      <c r="AW482" s="909">
        <v>14356</v>
      </c>
      <c r="AX482" s="909">
        <v>75022.04959166942</v>
      </c>
      <c r="AY482" s="909">
        <v>69245.59826015502</v>
      </c>
      <c r="AZ482" s="917">
        <v>0</v>
      </c>
      <c r="BA482" s="917">
        <v>0</v>
      </c>
      <c r="BB482" s="909">
        <v>0.6</v>
      </c>
      <c r="BC482" s="919">
        <v>0</v>
      </c>
      <c r="BD482" s="920">
        <v>1</v>
      </c>
      <c r="BE482" s="920">
        <v>0</v>
      </c>
      <c r="BF482" s="921">
        <v>0</v>
      </c>
      <c r="BG482" s="909">
        <v>1</v>
      </c>
      <c r="BH482" s="909">
        <v>0</v>
      </c>
      <c r="BI482" s="921">
        <v>0</v>
      </c>
      <c r="BJ482" s="909">
        <v>0</v>
      </c>
      <c r="BK482" s="909">
        <v>0</v>
      </c>
      <c r="BL482" s="909">
        <v>1</v>
      </c>
      <c r="BM482" s="921">
        <v>0</v>
      </c>
      <c r="BN482" s="958">
        <v>0.08</v>
      </c>
      <c r="BO482" s="50">
        <v>12</v>
      </c>
      <c r="BP482">
        <f t="shared" ca="1" si="601"/>
        <v>150</v>
      </c>
      <c r="BQ482">
        <f t="shared" ca="1" si="602"/>
        <v>372.82075000000003</v>
      </c>
      <c r="BR482">
        <f t="shared" ca="1" si="603"/>
        <v>111</v>
      </c>
      <c r="BS482">
        <f t="shared" ca="1" si="604"/>
        <v>120</v>
      </c>
      <c r="BT482">
        <f t="shared" ca="1" si="605"/>
        <v>86.25</v>
      </c>
      <c r="BU482">
        <f t="shared" ca="1" si="606"/>
        <v>14.5</v>
      </c>
      <c r="BV482">
        <f t="shared" ca="1" si="607"/>
        <v>9.3000000000000007</v>
      </c>
      <c r="BW482" s="1018">
        <v>0</v>
      </c>
      <c r="BX482">
        <f t="shared" ca="1" si="608"/>
        <v>33.6533602829712</v>
      </c>
      <c r="BY482">
        <f t="shared" ca="1" si="609"/>
        <v>59.253840526700813</v>
      </c>
      <c r="BZ482">
        <f t="shared" ca="1" si="581"/>
        <v>20.652647453083109</v>
      </c>
      <c r="CA482">
        <f t="shared" ca="1" si="582"/>
        <v>28.999999988399999</v>
      </c>
      <c r="CB482">
        <f t="shared" ca="1" si="610"/>
        <v>19.522900763358777</v>
      </c>
      <c r="CC482" s="1018">
        <f t="shared" si="583"/>
        <v>0</v>
      </c>
      <c r="CD482" s="1018">
        <f t="shared" ca="1" si="613"/>
        <v>189.36674901451391</v>
      </c>
      <c r="CE482" s="1018">
        <f t="shared" ca="1" si="611"/>
        <v>124.22791065226887</v>
      </c>
      <c r="CF482">
        <f t="shared" ca="1" si="584"/>
        <v>9.407839790003484</v>
      </c>
      <c r="CG482">
        <f t="shared" ca="1" si="585"/>
        <v>15663.676936764199</v>
      </c>
    </row>
    <row r="483" spans="4:85" x14ac:dyDescent="0.25">
      <c r="D483" s="1"/>
      <c r="F483" s="1"/>
      <c r="G483" s="3"/>
      <c r="H483" s="6"/>
      <c r="I483" s="3"/>
      <c r="K483" s="8"/>
      <c r="L483" s="6"/>
      <c r="M483" s="1"/>
      <c r="N483" s="1"/>
      <c r="O483" s="1"/>
      <c r="P483" s="1"/>
      <c r="Q483" s="1" t="s">
        <v>22</v>
      </c>
      <c r="R483" s="4"/>
      <c r="S483" s="1"/>
      <c r="T483" s="77"/>
      <c r="X483" s="176">
        <f t="shared" si="612"/>
        <v>0</v>
      </c>
      <c r="Y483" s="34">
        <f>X483/Calculation_sheet!M$67</f>
        <v>0</v>
      </c>
      <c r="Z483" s="176">
        <f ca="1">IF(AN483&gt;0,Y483*Calculation_sheet!C$87,0)</f>
        <v>0</v>
      </c>
      <c r="AA483" s="176">
        <f t="shared" ca="1" si="598"/>
        <v>0</v>
      </c>
      <c r="AB483" s="176">
        <f ca="1">IF(AP483&gt;0,AA483*Calculation_sheet!C$94,0)</f>
        <v>0</v>
      </c>
      <c r="AC483" s="176">
        <f t="shared" ca="1" si="599"/>
        <v>0</v>
      </c>
      <c r="AD483" s="958">
        <f ca="1">AC483*Calculation_sheet!C$99</f>
        <v>0</v>
      </c>
      <c r="AE483" s="176">
        <f t="shared" ca="1" si="599"/>
        <v>0</v>
      </c>
      <c r="AF483" s="176">
        <f t="shared" ca="1" si="600"/>
        <v>0</v>
      </c>
      <c r="AG483" s="958">
        <f ca="1">AF483*User_sheet!B$77/100</f>
        <v>0</v>
      </c>
      <c r="AH483" s="313"/>
      <c r="AI483" s="910">
        <v>204</v>
      </c>
      <c r="AJ483" s="313"/>
      <c r="AK483" s="1020">
        <f t="shared" ca="1" si="580"/>
        <v>189.36674901451391</v>
      </c>
      <c r="AL483" s="954">
        <f ca="1">AK483/'204'!I$24</f>
        <v>0.6912456616700634</v>
      </c>
      <c r="AM483" s="954">
        <f ca="1">0.8*(AK483*30+'204'!D$17*0.34*30*1)</f>
        <v>8129.8877763483342</v>
      </c>
      <c r="AN483" s="954">
        <f ca="1">IF(AM483&lt;User_sheet!B$50,Y483,0)</f>
        <v>0</v>
      </c>
      <c r="AO483" s="954">
        <f ca="1">20-(User_sheet!B$57/(AK483+'204'!D$17*1*0.34))</f>
        <v>3.1731994630993725</v>
      </c>
      <c r="AP483" s="954">
        <f ca="1">IF(AO483&lt;User_sheet!B$59,0,BC483*AA483)</f>
        <v>0</v>
      </c>
      <c r="AQ483" s="313"/>
      <c r="AR483" s="909">
        <v>0.32</v>
      </c>
      <c r="AS483" s="909">
        <v>0.54</v>
      </c>
      <c r="AT483" s="909">
        <v>0.83</v>
      </c>
      <c r="AU483" s="909">
        <v>2</v>
      </c>
      <c r="AV483" s="909">
        <v>3.3</v>
      </c>
      <c r="AW483" s="909">
        <v>14356</v>
      </c>
      <c r="AX483" s="909">
        <v>75022.04959166942</v>
      </c>
      <c r="AY483" s="909">
        <v>69245.59826015502</v>
      </c>
      <c r="AZ483" s="917">
        <v>0</v>
      </c>
      <c r="BA483" s="917">
        <v>0</v>
      </c>
      <c r="BB483" s="909">
        <v>0.6</v>
      </c>
      <c r="BC483" s="919">
        <v>0</v>
      </c>
      <c r="BD483" s="920">
        <v>1</v>
      </c>
      <c r="BE483" s="920">
        <v>0</v>
      </c>
      <c r="BF483" s="921">
        <v>0</v>
      </c>
      <c r="BG483" s="909">
        <v>0</v>
      </c>
      <c r="BH483" s="909">
        <v>1</v>
      </c>
      <c r="BI483" s="921">
        <v>0</v>
      </c>
      <c r="BJ483" s="909">
        <v>0</v>
      </c>
      <c r="BK483" s="909">
        <v>1</v>
      </c>
      <c r="BL483" s="909">
        <v>0</v>
      </c>
      <c r="BM483" s="921">
        <v>0</v>
      </c>
      <c r="BN483" s="958">
        <v>0.08</v>
      </c>
      <c r="BO483" s="50">
        <v>12</v>
      </c>
      <c r="BP483">
        <f t="shared" ca="1" si="601"/>
        <v>150</v>
      </c>
      <c r="BQ483">
        <f t="shared" ca="1" si="602"/>
        <v>372.82075000000003</v>
      </c>
      <c r="BR483">
        <f t="shared" ca="1" si="603"/>
        <v>111</v>
      </c>
      <c r="BS483">
        <f t="shared" ca="1" si="604"/>
        <v>120</v>
      </c>
      <c r="BT483">
        <f t="shared" ca="1" si="605"/>
        <v>86.25</v>
      </c>
      <c r="BU483">
        <f t="shared" ca="1" si="606"/>
        <v>14.5</v>
      </c>
      <c r="BV483">
        <f t="shared" ca="1" si="607"/>
        <v>9.3000000000000007</v>
      </c>
      <c r="BW483" s="1018">
        <v>0</v>
      </c>
      <c r="BX483">
        <f t="shared" ca="1" si="608"/>
        <v>33.6533602829712</v>
      </c>
      <c r="BY483">
        <f t="shared" ca="1" si="609"/>
        <v>59.253840526700813</v>
      </c>
      <c r="BZ483">
        <f t="shared" ca="1" si="581"/>
        <v>20.652647453083109</v>
      </c>
      <c r="CA483">
        <f t="shared" ca="1" si="582"/>
        <v>28.999999988399999</v>
      </c>
      <c r="CB483">
        <f t="shared" ca="1" si="610"/>
        <v>19.522900763358777</v>
      </c>
      <c r="CC483" s="1018">
        <f t="shared" si="583"/>
        <v>0</v>
      </c>
      <c r="CD483" s="1018">
        <f t="shared" ca="1" si="613"/>
        <v>189.36674901451391</v>
      </c>
      <c r="CE483" s="1018">
        <f t="shared" ca="1" si="611"/>
        <v>124.22791065226887</v>
      </c>
      <c r="CF483">
        <f t="shared" ca="1" si="584"/>
        <v>9.407839790003484</v>
      </c>
      <c r="CG483">
        <f t="shared" ca="1" si="585"/>
        <v>15663.676936764199</v>
      </c>
    </row>
    <row r="484" spans="4:85" x14ac:dyDescent="0.25">
      <c r="D484" s="1"/>
      <c r="F484" s="1"/>
      <c r="G484" s="3"/>
      <c r="H484" s="6"/>
      <c r="I484" s="3"/>
      <c r="J484" s="6"/>
      <c r="K484" s="8"/>
      <c r="L484" s="6"/>
      <c r="M484" s="1" t="s">
        <v>22</v>
      </c>
      <c r="N484" s="4"/>
      <c r="O484" s="1" t="s">
        <v>20</v>
      </c>
      <c r="P484" s="4"/>
      <c r="Q484" s="1" t="s">
        <v>7</v>
      </c>
      <c r="R484" s="4"/>
      <c r="S484" s="1"/>
      <c r="T484" s="77"/>
      <c r="X484" s="176">
        <f t="shared" si="612"/>
        <v>0</v>
      </c>
      <c r="Y484" s="34">
        <f>X484/Calculation_sheet!M$67</f>
        <v>0</v>
      </c>
      <c r="Z484" s="176">
        <f ca="1">IF(AN484&gt;0,Y484*Calculation_sheet!C$87,0)</f>
        <v>0</v>
      </c>
      <c r="AA484" s="176">
        <f t="shared" ca="1" si="598"/>
        <v>0</v>
      </c>
      <c r="AB484" s="176">
        <f ca="1">IF(AP484&gt;0,AA484*Calculation_sheet!C$94,0)</f>
        <v>0</v>
      </c>
      <c r="AC484" s="176">
        <f t="shared" ca="1" si="599"/>
        <v>0</v>
      </c>
      <c r="AD484" s="958">
        <f ca="1">AC484*Calculation_sheet!C$99</f>
        <v>0</v>
      </c>
      <c r="AE484" s="176">
        <f t="shared" ca="1" si="599"/>
        <v>0</v>
      </c>
      <c r="AF484" s="176">
        <f t="shared" ca="1" si="600"/>
        <v>0</v>
      </c>
      <c r="AG484" s="958">
        <f ca="1">AF484*User_sheet!B$77/100</f>
        <v>0</v>
      </c>
      <c r="AH484" s="313"/>
      <c r="AI484" s="910">
        <v>204</v>
      </c>
      <c r="AJ484" s="313"/>
      <c r="AK484" s="1020">
        <f t="shared" ca="1" si="580"/>
        <v>189.36674901451391</v>
      </c>
      <c r="AL484" s="954">
        <f ca="1">AK484/'204'!I$24</f>
        <v>0.6912456616700634</v>
      </c>
      <c r="AM484" s="954">
        <f ca="1">0.8*(AK484*30+'204'!D$17*0.34*30*1)</f>
        <v>8129.8877763483342</v>
      </c>
      <c r="AN484" s="954">
        <f ca="1">IF(AM484&lt;User_sheet!B$50,Y484,0)</f>
        <v>0</v>
      </c>
      <c r="AO484" s="954">
        <f ca="1">20-(User_sheet!B$57/(AK484+'204'!D$17*1*0.34))</f>
        <v>3.1731994630993725</v>
      </c>
      <c r="AP484" s="954">
        <f ca="1">IF(AO484&lt;User_sheet!B$59,0,BC484*AA484)</f>
        <v>0</v>
      </c>
      <c r="AQ484" s="313"/>
      <c r="AR484" s="909">
        <v>0.32</v>
      </c>
      <c r="AS484" s="909">
        <v>0.54</v>
      </c>
      <c r="AT484" s="909">
        <v>0.83</v>
      </c>
      <c r="AU484" s="909">
        <v>2</v>
      </c>
      <c r="AV484" s="909">
        <v>3.3</v>
      </c>
      <c r="AW484" s="909">
        <v>14356</v>
      </c>
      <c r="AX484" s="909">
        <v>75022.04959166942</v>
      </c>
      <c r="AY484" s="909">
        <v>69245.59826015502</v>
      </c>
      <c r="AZ484" s="917">
        <v>0</v>
      </c>
      <c r="BA484" s="917">
        <v>0</v>
      </c>
      <c r="BB484" s="909">
        <v>0.6</v>
      </c>
      <c r="BC484" s="919">
        <v>0</v>
      </c>
      <c r="BD484" s="920">
        <v>1</v>
      </c>
      <c r="BE484" s="920">
        <v>0</v>
      </c>
      <c r="BF484" s="921">
        <v>0</v>
      </c>
      <c r="BG484" s="909">
        <v>0</v>
      </c>
      <c r="BH484" s="909">
        <v>1</v>
      </c>
      <c r="BI484" s="921">
        <v>0</v>
      </c>
      <c r="BJ484" s="909">
        <v>0</v>
      </c>
      <c r="BK484" s="909">
        <v>0</v>
      </c>
      <c r="BL484" s="909">
        <v>1</v>
      </c>
      <c r="BM484" s="921">
        <v>0</v>
      </c>
      <c r="BN484" s="958">
        <v>0.08</v>
      </c>
      <c r="BO484" s="50">
        <v>12</v>
      </c>
      <c r="BP484">
        <f t="shared" ca="1" si="601"/>
        <v>150</v>
      </c>
      <c r="BQ484">
        <f t="shared" ca="1" si="602"/>
        <v>372.82075000000003</v>
      </c>
      <c r="BR484">
        <f t="shared" ca="1" si="603"/>
        <v>111</v>
      </c>
      <c r="BS484">
        <f t="shared" ca="1" si="604"/>
        <v>120</v>
      </c>
      <c r="BT484">
        <f t="shared" ca="1" si="605"/>
        <v>86.25</v>
      </c>
      <c r="BU484">
        <f t="shared" ca="1" si="606"/>
        <v>14.5</v>
      </c>
      <c r="BV484">
        <f t="shared" ca="1" si="607"/>
        <v>9.3000000000000007</v>
      </c>
      <c r="BW484" s="1018">
        <v>0</v>
      </c>
      <c r="BX484">
        <f t="shared" ca="1" si="608"/>
        <v>33.6533602829712</v>
      </c>
      <c r="BY484">
        <f t="shared" ca="1" si="609"/>
        <v>59.253840526700813</v>
      </c>
      <c r="BZ484">
        <f t="shared" ca="1" si="581"/>
        <v>20.652647453083109</v>
      </c>
      <c r="CA484">
        <f t="shared" ca="1" si="582"/>
        <v>28.999999988399999</v>
      </c>
      <c r="CB484">
        <f t="shared" ca="1" si="610"/>
        <v>19.522900763358777</v>
      </c>
      <c r="CC484" s="1018">
        <f t="shared" si="583"/>
        <v>0</v>
      </c>
      <c r="CD484" s="1018">
        <f t="shared" ca="1" si="613"/>
        <v>189.36674901451391</v>
      </c>
      <c r="CE484" s="1018">
        <f t="shared" ca="1" si="611"/>
        <v>124.22791065226887</v>
      </c>
      <c r="CF484">
        <f t="shared" ca="1" si="584"/>
        <v>9.407839790003484</v>
      </c>
      <c r="CG484">
        <f t="shared" ca="1" si="585"/>
        <v>15663.676936764199</v>
      </c>
    </row>
    <row r="485" spans="4:85" x14ac:dyDescent="0.25">
      <c r="D485" s="1"/>
      <c r="F485" s="1"/>
      <c r="G485" s="3"/>
      <c r="H485" s="6"/>
      <c r="I485" s="3"/>
      <c r="J485" s="6"/>
      <c r="K485" s="8"/>
      <c r="L485" s="6"/>
      <c r="M485" s="1" t="s">
        <v>7</v>
      </c>
      <c r="N485" s="4"/>
      <c r="O485" s="1" t="s">
        <v>23</v>
      </c>
      <c r="P485" s="4"/>
      <c r="Q485" s="1" t="s">
        <v>7</v>
      </c>
      <c r="R485" s="4"/>
      <c r="S485" s="1"/>
      <c r="T485" s="77"/>
      <c r="X485" s="176">
        <f t="shared" si="612"/>
        <v>0</v>
      </c>
      <c r="Y485" s="34">
        <f>X485/Calculation_sheet!M$67</f>
        <v>0</v>
      </c>
      <c r="Z485" s="176">
        <f ca="1">IF(AN485&gt;0,Y485*Calculation_sheet!C$87,0)</f>
        <v>0</v>
      </c>
      <c r="AA485" s="176">
        <f t="shared" ca="1" si="598"/>
        <v>0</v>
      </c>
      <c r="AB485" s="176">
        <f ca="1">IF(AP485&gt;0,AA485*Calculation_sheet!C$94,0)</f>
        <v>0</v>
      </c>
      <c r="AC485" s="176">
        <f t="shared" ca="1" si="599"/>
        <v>0</v>
      </c>
      <c r="AD485" s="958">
        <f ca="1">AC485*Calculation_sheet!C$99</f>
        <v>0</v>
      </c>
      <c r="AE485" s="176">
        <f t="shared" ca="1" si="599"/>
        <v>0</v>
      </c>
      <c r="AF485" s="176">
        <f t="shared" ca="1" si="600"/>
        <v>0</v>
      </c>
      <c r="AG485" s="958">
        <f ca="1">AF485*User_sheet!B$77/100</f>
        <v>0</v>
      </c>
      <c r="AH485" s="313"/>
      <c r="AI485" s="910">
        <v>204</v>
      </c>
      <c r="AJ485" s="313"/>
      <c r="AK485" s="1020">
        <f t="shared" ca="1" si="580"/>
        <v>189.36674901451391</v>
      </c>
      <c r="AL485" s="954">
        <f ca="1">AK485/'204'!I$24</f>
        <v>0.6912456616700634</v>
      </c>
      <c r="AM485" s="954">
        <f ca="1">0.8*(AK485*30+'204'!D$17*0.34*30*1)</f>
        <v>8129.8877763483342</v>
      </c>
      <c r="AN485" s="954">
        <f ca="1">IF(AM485&lt;User_sheet!B$50,Y485,0)</f>
        <v>0</v>
      </c>
      <c r="AO485" s="954">
        <f ca="1">20-(User_sheet!B$57/(AK485+'204'!D$17*1*0.34))</f>
        <v>3.1731994630993725</v>
      </c>
      <c r="AP485" s="954">
        <f ca="1">IF(AO485&lt;User_sheet!B$59,0,BC485*AA485)</f>
        <v>0</v>
      </c>
      <c r="AQ485" s="313"/>
      <c r="AR485" s="909">
        <v>0.32</v>
      </c>
      <c r="AS485" s="909">
        <v>0.54</v>
      </c>
      <c r="AT485" s="909">
        <v>0.83</v>
      </c>
      <c r="AU485" s="909">
        <v>2</v>
      </c>
      <c r="AV485" s="909">
        <v>3.3</v>
      </c>
      <c r="AW485" s="909">
        <v>14356</v>
      </c>
      <c r="AX485" s="909">
        <v>75022.04959166942</v>
      </c>
      <c r="AY485" s="909">
        <v>69245.59826015502</v>
      </c>
      <c r="AZ485" s="917">
        <v>0</v>
      </c>
      <c r="BA485" s="917">
        <v>0</v>
      </c>
      <c r="BB485" s="909">
        <v>0.6</v>
      </c>
      <c r="BC485" s="919">
        <v>0</v>
      </c>
      <c r="BD485" s="920">
        <v>0</v>
      </c>
      <c r="BE485" s="920">
        <v>1</v>
      </c>
      <c r="BF485" s="921">
        <v>0</v>
      </c>
      <c r="BG485" s="909">
        <v>0</v>
      </c>
      <c r="BH485" s="909">
        <v>0</v>
      </c>
      <c r="BI485" s="921">
        <v>1</v>
      </c>
      <c r="BJ485" s="909">
        <v>0</v>
      </c>
      <c r="BK485" s="909">
        <v>0</v>
      </c>
      <c r="BL485" s="909">
        <v>1</v>
      </c>
      <c r="BM485" s="921">
        <v>0</v>
      </c>
      <c r="BN485" s="958">
        <v>0.08</v>
      </c>
      <c r="BO485" s="50">
        <v>12</v>
      </c>
      <c r="BP485">
        <f t="shared" ca="1" si="601"/>
        <v>150</v>
      </c>
      <c r="BQ485">
        <f t="shared" ca="1" si="602"/>
        <v>372.82075000000003</v>
      </c>
      <c r="BR485">
        <f t="shared" ca="1" si="603"/>
        <v>111</v>
      </c>
      <c r="BS485">
        <f t="shared" ca="1" si="604"/>
        <v>120</v>
      </c>
      <c r="BT485">
        <f t="shared" ca="1" si="605"/>
        <v>86.25</v>
      </c>
      <c r="BU485">
        <f t="shared" ca="1" si="606"/>
        <v>14.5</v>
      </c>
      <c r="BV485">
        <f t="shared" ca="1" si="607"/>
        <v>9.3000000000000007</v>
      </c>
      <c r="BW485" s="1018">
        <v>0</v>
      </c>
      <c r="BX485">
        <f t="shared" ca="1" si="608"/>
        <v>33.6533602829712</v>
      </c>
      <c r="BY485">
        <f t="shared" ca="1" si="609"/>
        <v>59.253840526700813</v>
      </c>
      <c r="BZ485">
        <f t="shared" ca="1" si="581"/>
        <v>20.652647453083109</v>
      </c>
      <c r="CA485">
        <f t="shared" ca="1" si="582"/>
        <v>28.999999988399999</v>
      </c>
      <c r="CB485">
        <f t="shared" ca="1" si="610"/>
        <v>19.522900763358777</v>
      </c>
      <c r="CC485" s="1018">
        <f t="shared" si="583"/>
        <v>0</v>
      </c>
      <c r="CD485" s="1018">
        <f t="shared" ca="1" si="613"/>
        <v>189.36674901451391</v>
      </c>
      <c r="CE485" s="1018">
        <f t="shared" ca="1" si="611"/>
        <v>124.22791065226887</v>
      </c>
      <c r="CF485">
        <f t="shared" ca="1" si="584"/>
        <v>9.407839790003484</v>
      </c>
      <c r="CG485">
        <f t="shared" ca="1" si="585"/>
        <v>15663.676936764199</v>
      </c>
    </row>
    <row r="486" spans="4:85" s="11" customFormat="1" x14ac:dyDescent="0.25">
      <c r="D486" s="12"/>
      <c r="F486" s="12"/>
      <c r="H486" s="12"/>
      <c r="J486" s="12"/>
      <c r="K486" s="13"/>
      <c r="L486" s="12"/>
      <c r="M486" s="12"/>
      <c r="N486" s="12"/>
      <c r="O486" s="12"/>
      <c r="P486" s="12"/>
      <c r="Q486" s="12"/>
      <c r="R486" s="12"/>
      <c r="S486" s="12"/>
      <c r="T486" s="82"/>
      <c r="V486" s="293"/>
      <c r="W486" s="292"/>
      <c r="X486" s="292"/>
      <c r="Y486" s="277"/>
      <c r="Z486" s="292"/>
      <c r="AA486" s="292"/>
      <c r="AB486" s="292"/>
      <c r="AC486" s="292"/>
      <c r="AD486" s="277"/>
      <c r="AE486" s="292"/>
      <c r="AF486" s="292"/>
      <c r="AG486" s="277"/>
      <c r="AH486" s="313"/>
      <c r="AI486" s="912"/>
      <c r="AJ486" s="313"/>
      <c r="AK486" s="1020">
        <f t="shared" si="580"/>
        <v>0</v>
      </c>
      <c r="AL486" s="941"/>
      <c r="AM486" s="941"/>
      <c r="AN486" s="955"/>
      <c r="AO486" s="955"/>
      <c r="AP486" s="955"/>
      <c r="AQ486" s="313"/>
      <c r="AR486" s="918"/>
      <c r="AS486" s="918"/>
      <c r="AT486" s="918"/>
      <c r="AU486" s="918"/>
      <c r="AV486" s="918"/>
      <c r="AW486" s="918"/>
      <c r="AX486" s="918"/>
      <c r="AY486" s="918"/>
      <c r="AZ486" s="918"/>
      <c r="BA486" s="918"/>
      <c r="BB486" s="918"/>
      <c r="BC486" s="45"/>
      <c r="BD486" s="277"/>
      <c r="BE486" s="277"/>
      <c r="BF486" s="49"/>
      <c r="BG486" s="918"/>
      <c r="BH486" s="918"/>
      <c r="BI486" s="49"/>
      <c r="BJ486" s="918"/>
      <c r="BK486" s="918"/>
      <c r="BL486" s="918"/>
      <c r="BM486" s="49"/>
      <c r="BN486" s="277"/>
      <c r="BO486" s="49"/>
      <c r="BW486" s="946"/>
      <c r="CC486" s="946"/>
      <c r="CD486" s="946"/>
      <c r="CE486" s="946"/>
    </row>
    <row r="487" spans="4:85" x14ac:dyDescent="0.25">
      <c r="D487" s="1"/>
      <c r="F487" s="1"/>
      <c r="G487" s="3"/>
      <c r="H487" s="6"/>
      <c r="I487" s="3"/>
      <c r="J487" s="6"/>
      <c r="K487" s="8"/>
      <c r="L487" s="6"/>
      <c r="M487" s="6"/>
      <c r="N487" s="6"/>
      <c r="O487" s="6"/>
      <c r="P487" s="6"/>
      <c r="Q487" s="6" t="s">
        <v>16</v>
      </c>
      <c r="R487" s="4"/>
      <c r="S487" s="1"/>
      <c r="T487" s="77"/>
      <c r="W487" s="176">
        <f t="shared" ref="W487:W495" si="614">V467-W467+V447-W447</f>
        <v>0</v>
      </c>
      <c r="X487" s="176">
        <f>W487</f>
        <v>0</v>
      </c>
      <c r="Y487" s="34">
        <f>X487/Calculation_sheet!M$67</f>
        <v>0</v>
      </c>
      <c r="Z487" s="176">
        <f ca="1">IF(AN487&gt;0,Y487*Calculation_sheet!C$87,0)</f>
        <v>0</v>
      </c>
      <c r="AA487" s="176">
        <f t="shared" ref="AA487:AA495" ca="1" si="615">Y487-Z487</f>
        <v>0</v>
      </c>
      <c r="AB487" s="176">
        <f ca="1">IF(AP487&gt;0,AA487*Calculation_sheet!C$94,0)</f>
        <v>0</v>
      </c>
      <c r="AC487" s="176">
        <f t="shared" ref="AC487:AE495" ca="1" si="616">AA487-AB487</f>
        <v>0</v>
      </c>
      <c r="AD487" s="958">
        <f ca="1">AC487*Calculation_sheet!C$99</f>
        <v>0</v>
      </c>
      <c r="AE487" s="176">
        <f t="shared" ca="1" si="616"/>
        <v>0</v>
      </c>
      <c r="AF487" s="176">
        <f t="shared" ref="AF487:AF502" ca="1" si="617">Y487-AB487</f>
        <v>0</v>
      </c>
      <c r="AG487" s="958">
        <f ca="1">AF487*User_sheet!B$77/100</f>
        <v>0</v>
      </c>
      <c r="AH487" s="313"/>
      <c r="AI487" s="910">
        <v>204</v>
      </c>
      <c r="AJ487" s="313"/>
      <c r="AK487" s="1020">
        <f t="shared" ca="1" si="580"/>
        <v>144.99755176558989</v>
      </c>
      <c r="AL487" s="954">
        <f ca="1">AK487/'204'!I$24</f>
        <v>0.52928472993462261</v>
      </c>
      <c r="AM487" s="954">
        <f ca="1">0.8*(AK487*30+'204'!D$17*0.34*30*1)</f>
        <v>7065.0270423741576</v>
      </c>
      <c r="AN487" s="954">
        <f ca="1">IF(AM487&lt;User_sheet!B$50,Y487,0)</f>
        <v>0</v>
      </c>
      <c r="AO487" s="954">
        <f ca="1">20-(User_sheet!B$57/(AK487+'204'!D$17*1*0.34))</f>
        <v>0.63701678995566624</v>
      </c>
      <c r="AP487" s="954">
        <f ca="1">IF(AO487&lt;User_sheet!B$59,0,BC487*AA487)</f>
        <v>0</v>
      </c>
      <c r="AQ487" s="313"/>
      <c r="AR487" s="909">
        <v>0.32</v>
      </c>
      <c r="AS487" s="909">
        <v>0.43</v>
      </c>
      <c r="AT487" s="909">
        <v>0.43</v>
      </c>
      <c r="AU487" s="909">
        <v>2</v>
      </c>
      <c r="AV487" s="909">
        <v>3.3</v>
      </c>
      <c r="AW487" s="909">
        <v>14356</v>
      </c>
      <c r="AX487" s="909">
        <v>74834</v>
      </c>
      <c r="AY487" s="909">
        <v>69246</v>
      </c>
      <c r="AZ487" s="917">
        <v>0</v>
      </c>
      <c r="BA487" s="917">
        <v>0</v>
      </c>
      <c r="BB487" s="909">
        <v>0.6</v>
      </c>
      <c r="BC487" s="919">
        <v>1</v>
      </c>
      <c r="BD487" s="920">
        <v>0</v>
      </c>
      <c r="BE487" s="920">
        <v>0</v>
      </c>
      <c r="BF487" s="921">
        <v>0</v>
      </c>
      <c r="BG487" s="909">
        <v>1</v>
      </c>
      <c r="BH487" s="909">
        <v>0</v>
      </c>
      <c r="BI487" s="921">
        <v>0</v>
      </c>
      <c r="BJ487" s="909">
        <v>1</v>
      </c>
      <c r="BK487" s="909">
        <v>0</v>
      </c>
      <c r="BL487" s="909">
        <v>0</v>
      </c>
      <c r="BM487" s="921">
        <v>0</v>
      </c>
      <c r="BN487" s="958">
        <v>0.01</v>
      </c>
      <c r="BO487" s="959">
        <v>2.5</v>
      </c>
      <c r="BP487">
        <f t="shared" ref="BP487:BP495" ca="1" si="618">INDIRECT("'"&amp;AI487&amp;"'!"&amp;"B2")</f>
        <v>150</v>
      </c>
      <c r="BQ487">
        <f t="shared" ref="BQ487:BQ495" ca="1" si="619">INDIRECT("'"&amp;AI487&amp;"'!"&amp;"C12")+INDIRECT("'"&amp;AI487&amp;"'!"&amp;"C13")+INDIRECT("'"&amp;AI487&amp;"'!"&amp;"C14")+INDIRECT("'"&amp;AI487&amp;"'!"&amp;"C15")+INDIRECT("'"&amp;AI487&amp;"'!"&amp;"C17")</f>
        <v>372.82075000000003</v>
      </c>
      <c r="BR487">
        <f t="shared" ref="BR487:BR495" ca="1" si="620">INDIRECT("'"&amp;AI487&amp;"'!"&amp;"G5")</f>
        <v>111</v>
      </c>
      <c r="BS487">
        <f t="shared" ref="BS487:BS495" ca="1" si="621">INDIRECT("'"&amp;AI487&amp;"'!"&amp;"G4")</f>
        <v>120</v>
      </c>
      <c r="BT487">
        <f t="shared" ref="BT487:BT495" ca="1" si="622">INDIRECT("'"&amp;AI487&amp;"'!"&amp;"G6")</f>
        <v>86.25</v>
      </c>
      <c r="BU487">
        <f t="shared" ref="BU487:BU495" ca="1" si="623">INDIRECT("'"&amp;AI487&amp;"'!"&amp;"G2")</f>
        <v>14.5</v>
      </c>
      <c r="BV487">
        <f t="shared" ref="BV487:BV495" ca="1" si="624">INDIRECT("'"&amp;AI487&amp;"'!"&amp;"G3")</f>
        <v>9.3000000000000007</v>
      </c>
      <c r="BW487" s="1018">
        <v>0</v>
      </c>
      <c r="BX487">
        <f t="shared" ca="1" si="608"/>
        <v>33.6533602829712</v>
      </c>
      <c r="BY487">
        <f t="shared" ca="1" si="609"/>
        <v>48.020846258841047</v>
      </c>
      <c r="BZ487">
        <f t="shared" ca="1" si="581"/>
        <v>11.389944472018861</v>
      </c>
      <c r="CA487">
        <f t="shared" ca="1" si="582"/>
        <v>28.999999988399999</v>
      </c>
      <c r="CB487">
        <f t="shared" ca="1" si="610"/>
        <v>19.522900763358777</v>
      </c>
      <c r="CC487" s="1018">
        <f t="shared" si="583"/>
        <v>0</v>
      </c>
      <c r="CD487" s="1018">
        <f ca="1">SUM(BX487:CC487)+(BR487+BS487+BT487+BU487+BV487)*BN487</f>
        <v>144.99755176558989</v>
      </c>
      <c r="CE487" s="1018">
        <f t="shared" ref="CE487:CE495" ca="1" si="625">0.34*BO487*(1/25)^0.66*(BR487+BS487+BU487+BV487)+0.6*BQ487*0.34</f>
        <v>101.93624771922269</v>
      </c>
      <c r="CF487">
        <f t="shared" ca="1" si="584"/>
        <v>7.408013984544378</v>
      </c>
      <c r="CG487">
        <f t="shared" ca="1" si="585"/>
        <v>12334.046963707005</v>
      </c>
    </row>
    <row r="488" spans="4:85" x14ac:dyDescent="0.25">
      <c r="D488" s="1"/>
      <c r="F488" s="1"/>
      <c r="G488" s="3"/>
      <c r="H488" s="6"/>
      <c r="I488" s="3"/>
      <c r="J488" s="6"/>
      <c r="K488" s="8"/>
      <c r="L488" s="6"/>
      <c r="M488" s="6"/>
      <c r="N488" s="6"/>
      <c r="O488" s="6" t="s">
        <v>18</v>
      </c>
      <c r="P488" s="4"/>
      <c r="Q488" s="6" t="s">
        <v>7</v>
      </c>
      <c r="R488" s="4"/>
      <c r="S488" s="1"/>
      <c r="T488" s="77"/>
      <c r="W488" s="176">
        <f t="shared" si="614"/>
        <v>0</v>
      </c>
      <c r="X488" s="176">
        <f t="shared" ref="X488:X495" si="626">W488</f>
        <v>0</v>
      </c>
      <c r="Y488" s="34">
        <f>X488/Calculation_sheet!M$67</f>
        <v>0</v>
      </c>
      <c r="Z488" s="176">
        <f ca="1">IF(AN488&gt;0,Y488*Calculation_sheet!C$87,0)</f>
        <v>0</v>
      </c>
      <c r="AA488" s="176">
        <f t="shared" ca="1" si="615"/>
        <v>0</v>
      </c>
      <c r="AB488" s="176">
        <f ca="1">IF(AP488&gt;0,AA488*Calculation_sheet!C$94,0)</f>
        <v>0</v>
      </c>
      <c r="AC488" s="176">
        <f t="shared" ca="1" si="616"/>
        <v>0</v>
      </c>
      <c r="AD488" s="958">
        <f ca="1">AC488*Calculation_sheet!C$99</f>
        <v>0</v>
      </c>
      <c r="AE488" s="176">
        <f t="shared" ca="1" si="616"/>
        <v>0</v>
      </c>
      <c r="AF488" s="176">
        <f t="shared" ca="1" si="617"/>
        <v>0</v>
      </c>
      <c r="AG488" s="958">
        <f ca="1">AF488*User_sheet!B$77/100</f>
        <v>0</v>
      </c>
      <c r="AH488" s="313"/>
      <c r="AI488" s="910">
        <v>204</v>
      </c>
      <c r="AJ488" s="313"/>
      <c r="AK488" s="1020">
        <f t="shared" ca="1" si="580"/>
        <v>144.99755176558989</v>
      </c>
      <c r="AL488" s="954">
        <f ca="1">AK488/'204'!I$24</f>
        <v>0.52928472993462261</v>
      </c>
      <c r="AM488" s="954">
        <f ca="1">0.8*(AK488*30+'204'!D$17*0.34*30*1)</f>
        <v>7065.0270423741576</v>
      </c>
      <c r="AN488" s="954">
        <f ca="1">IF(AM488&lt;User_sheet!B$50,Y488,0)</f>
        <v>0</v>
      </c>
      <c r="AO488" s="954">
        <f ca="1">20-(User_sheet!B$57/(AK488+'204'!D$17*1*0.34))</f>
        <v>0.63701678995566624</v>
      </c>
      <c r="AP488" s="954">
        <f ca="1">IF(AO488&lt;User_sheet!B$59,0,BC488*AA488)</f>
        <v>0</v>
      </c>
      <c r="AQ488" s="313"/>
      <c r="AR488" s="909">
        <v>0.32</v>
      </c>
      <c r="AS488" s="909">
        <v>0.43</v>
      </c>
      <c r="AT488" s="909">
        <v>0.43</v>
      </c>
      <c r="AU488" s="909">
        <v>2</v>
      </c>
      <c r="AV488" s="909">
        <v>3.3</v>
      </c>
      <c r="AW488" s="909">
        <v>14356</v>
      </c>
      <c r="AX488" s="909">
        <v>74834</v>
      </c>
      <c r="AY488" s="909">
        <v>69246</v>
      </c>
      <c r="AZ488" s="917">
        <v>0</v>
      </c>
      <c r="BA488" s="917">
        <v>0</v>
      </c>
      <c r="BB488" s="909">
        <v>0.6</v>
      </c>
      <c r="BC488" s="919">
        <v>1</v>
      </c>
      <c r="BD488" s="920">
        <v>0</v>
      </c>
      <c r="BE488" s="920">
        <v>0</v>
      </c>
      <c r="BF488" s="921">
        <v>0</v>
      </c>
      <c r="BG488" s="909">
        <v>1</v>
      </c>
      <c r="BH488" s="909">
        <v>0</v>
      </c>
      <c r="BI488" s="921">
        <v>0</v>
      </c>
      <c r="BJ488" s="909">
        <v>0</v>
      </c>
      <c r="BK488" s="909">
        <v>0</v>
      </c>
      <c r="BL488" s="909">
        <v>1</v>
      </c>
      <c r="BM488" s="921">
        <v>0</v>
      </c>
      <c r="BN488" s="958">
        <v>0.01</v>
      </c>
      <c r="BO488" s="959">
        <v>2.5</v>
      </c>
      <c r="BP488">
        <f t="shared" ca="1" si="618"/>
        <v>150</v>
      </c>
      <c r="BQ488">
        <f t="shared" ca="1" si="619"/>
        <v>372.82075000000003</v>
      </c>
      <c r="BR488">
        <f t="shared" ca="1" si="620"/>
        <v>111</v>
      </c>
      <c r="BS488">
        <f t="shared" ca="1" si="621"/>
        <v>120</v>
      </c>
      <c r="BT488">
        <f t="shared" ca="1" si="622"/>
        <v>86.25</v>
      </c>
      <c r="BU488">
        <f t="shared" ca="1" si="623"/>
        <v>14.5</v>
      </c>
      <c r="BV488">
        <f t="shared" ca="1" si="624"/>
        <v>9.3000000000000007</v>
      </c>
      <c r="BW488" s="1018">
        <v>0</v>
      </c>
      <c r="BX488">
        <f t="shared" ca="1" si="608"/>
        <v>33.6533602829712</v>
      </c>
      <c r="BY488">
        <f t="shared" ca="1" si="609"/>
        <v>48.020846258841047</v>
      </c>
      <c r="BZ488">
        <f t="shared" ca="1" si="581"/>
        <v>11.389944472018861</v>
      </c>
      <c r="CA488">
        <f t="shared" ca="1" si="582"/>
        <v>28.999999988399999</v>
      </c>
      <c r="CB488">
        <f t="shared" ca="1" si="610"/>
        <v>19.522900763358777</v>
      </c>
      <c r="CC488" s="1018">
        <f t="shared" si="583"/>
        <v>0</v>
      </c>
      <c r="CD488" s="1018">
        <f t="shared" ref="CD488:CD495" ca="1" si="627">SUM(BX488:CC488)+(BR488+BS488+BT488+BU488+BV488)*BN488</f>
        <v>144.99755176558989</v>
      </c>
      <c r="CE488" s="1018">
        <f t="shared" ca="1" si="625"/>
        <v>101.93624771922269</v>
      </c>
      <c r="CF488">
        <f t="shared" ca="1" si="584"/>
        <v>7.408013984544378</v>
      </c>
      <c r="CG488">
        <f t="shared" ca="1" si="585"/>
        <v>12334.046963707005</v>
      </c>
    </row>
    <row r="489" spans="4:85" x14ac:dyDescent="0.25">
      <c r="D489" s="1"/>
      <c r="F489" s="1"/>
      <c r="G489" s="3"/>
      <c r="H489" s="6"/>
      <c r="I489" s="3"/>
      <c r="J489" s="6"/>
      <c r="K489" s="8"/>
      <c r="L489" s="6"/>
      <c r="M489" s="6"/>
      <c r="N489" s="6"/>
      <c r="O489" s="6"/>
      <c r="P489" s="6"/>
      <c r="Q489" s="6" t="s">
        <v>16</v>
      </c>
      <c r="R489" s="4"/>
      <c r="S489" s="1"/>
      <c r="T489" s="77"/>
      <c r="W489" s="176">
        <f t="shared" si="614"/>
        <v>0</v>
      </c>
      <c r="X489" s="176">
        <f t="shared" si="626"/>
        <v>0</v>
      </c>
      <c r="Y489" s="34">
        <f>X489/Calculation_sheet!M$67</f>
        <v>0</v>
      </c>
      <c r="Z489" s="176">
        <f ca="1">IF(AN489&gt;0,Y489*Calculation_sheet!C$87,0)</f>
        <v>0</v>
      </c>
      <c r="AA489" s="176">
        <f t="shared" ca="1" si="615"/>
        <v>0</v>
      </c>
      <c r="AB489" s="176">
        <f ca="1">IF(AP489&gt;0,AA489*Calculation_sheet!C$94,0)</f>
        <v>0</v>
      </c>
      <c r="AC489" s="176">
        <f t="shared" ca="1" si="616"/>
        <v>0</v>
      </c>
      <c r="AD489" s="958">
        <f ca="1">AC489*Calculation_sheet!C$99</f>
        <v>0</v>
      </c>
      <c r="AE489" s="176">
        <f t="shared" ca="1" si="616"/>
        <v>0</v>
      </c>
      <c r="AF489" s="176">
        <f t="shared" ca="1" si="617"/>
        <v>0</v>
      </c>
      <c r="AG489" s="958">
        <f ca="1">AF489*User_sheet!B$77/100</f>
        <v>0</v>
      </c>
      <c r="AH489" s="313"/>
      <c r="AI489" s="910">
        <v>204</v>
      </c>
      <c r="AJ489" s="313"/>
      <c r="AK489" s="1020">
        <f t="shared" ca="1" si="580"/>
        <v>144.99755176558989</v>
      </c>
      <c r="AL489" s="954">
        <f ca="1">AK489/'204'!I$24</f>
        <v>0.52928472993462261</v>
      </c>
      <c r="AM489" s="954">
        <f ca="1">0.8*(AK489*30+'204'!D$17*0.34*30*1)</f>
        <v>7065.0270423741576</v>
      </c>
      <c r="AN489" s="954">
        <f ca="1">IF(AM489&lt;User_sheet!B$50,Y489,0)</f>
        <v>0</v>
      </c>
      <c r="AO489" s="954">
        <f ca="1">20-(User_sheet!B$57/(AK489+'204'!D$17*1*0.34))</f>
        <v>0.63701678995566624</v>
      </c>
      <c r="AP489" s="954">
        <f ca="1">IF(AO489&lt;User_sheet!B$59,0,BC489*AA489)</f>
        <v>0</v>
      </c>
      <c r="AQ489" s="313"/>
      <c r="AR489" s="909">
        <v>0.32</v>
      </c>
      <c r="AS489" s="909">
        <v>0.43</v>
      </c>
      <c r="AT489" s="909">
        <v>0.43</v>
      </c>
      <c r="AU489" s="909">
        <v>2</v>
      </c>
      <c r="AV489" s="909">
        <v>3.3</v>
      </c>
      <c r="AW489" s="909">
        <v>14356</v>
      </c>
      <c r="AX489" s="909">
        <v>74834</v>
      </c>
      <c r="AY489" s="909">
        <v>69246</v>
      </c>
      <c r="AZ489" s="917">
        <v>0</v>
      </c>
      <c r="BA489" s="917">
        <v>0</v>
      </c>
      <c r="BB489" s="909">
        <v>0.6</v>
      </c>
      <c r="BC489" s="919">
        <v>1</v>
      </c>
      <c r="BD489" s="920">
        <v>0</v>
      </c>
      <c r="BE489" s="920">
        <v>0</v>
      </c>
      <c r="BF489" s="921">
        <v>0</v>
      </c>
      <c r="BG489" s="909">
        <v>0</v>
      </c>
      <c r="BH489" s="909">
        <v>1</v>
      </c>
      <c r="BI489" s="921">
        <v>0</v>
      </c>
      <c r="BJ489" s="909">
        <v>1</v>
      </c>
      <c r="BK489" s="909">
        <v>0</v>
      </c>
      <c r="BL489" s="909">
        <v>0</v>
      </c>
      <c r="BM489" s="921">
        <v>0</v>
      </c>
      <c r="BN489" s="958">
        <v>0.01</v>
      </c>
      <c r="BO489" s="959">
        <v>2.5</v>
      </c>
      <c r="BP489">
        <f t="shared" ca="1" si="618"/>
        <v>150</v>
      </c>
      <c r="BQ489">
        <f t="shared" ca="1" si="619"/>
        <v>372.82075000000003</v>
      </c>
      <c r="BR489">
        <f t="shared" ca="1" si="620"/>
        <v>111</v>
      </c>
      <c r="BS489">
        <f t="shared" ca="1" si="621"/>
        <v>120</v>
      </c>
      <c r="BT489">
        <f t="shared" ca="1" si="622"/>
        <v>86.25</v>
      </c>
      <c r="BU489">
        <f t="shared" ca="1" si="623"/>
        <v>14.5</v>
      </c>
      <c r="BV489">
        <f t="shared" ca="1" si="624"/>
        <v>9.3000000000000007</v>
      </c>
      <c r="BW489" s="1018">
        <v>0</v>
      </c>
      <c r="BX489">
        <f t="shared" ca="1" si="608"/>
        <v>33.6533602829712</v>
      </c>
      <c r="BY489">
        <f t="shared" ca="1" si="609"/>
        <v>48.020846258841047</v>
      </c>
      <c r="BZ489">
        <f t="shared" ca="1" si="581"/>
        <v>11.389944472018861</v>
      </c>
      <c r="CA489">
        <f t="shared" ca="1" si="582"/>
        <v>28.999999988399999</v>
      </c>
      <c r="CB489">
        <f t="shared" ca="1" si="610"/>
        <v>19.522900763358777</v>
      </c>
      <c r="CC489" s="1018">
        <f t="shared" si="583"/>
        <v>0</v>
      </c>
      <c r="CD489" s="1018">
        <f t="shared" ca="1" si="627"/>
        <v>144.99755176558989</v>
      </c>
      <c r="CE489" s="1018">
        <f t="shared" ca="1" si="625"/>
        <v>101.93624771922269</v>
      </c>
      <c r="CF489">
        <f t="shared" ca="1" si="584"/>
        <v>7.408013984544378</v>
      </c>
      <c r="CG489">
        <f t="shared" ca="1" si="585"/>
        <v>12334.046963707005</v>
      </c>
    </row>
    <row r="490" spans="4:85" x14ac:dyDescent="0.25">
      <c r="D490" s="1"/>
      <c r="F490" s="1"/>
      <c r="G490" s="3"/>
      <c r="H490" s="6"/>
      <c r="I490" s="3"/>
      <c r="J490" s="3" t="s">
        <v>143</v>
      </c>
      <c r="K490" s="8"/>
      <c r="L490" s="6"/>
      <c r="M490" s="6" t="s">
        <v>16</v>
      </c>
      <c r="N490" s="4"/>
      <c r="O490" s="6" t="s">
        <v>19</v>
      </c>
      <c r="P490" s="4"/>
      <c r="Q490" s="6" t="s">
        <v>7</v>
      </c>
      <c r="R490" s="4"/>
      <c r="S490" s="1"/>
      <c r="T490" s="77"/>
      <c r="W490" s="176">
        <f t="shared" si="614"/>
        <v>0</v>
      </c>
      <c r="X490" s="176">
        <f t="shared" si="626"/>
        <v>0</v>
      </c>
      <c r="Y490" s="34">
        <f>X490/Calculation_sheet!M$67</f>
        <v>0</v>
      </c>
      <c r="Z490" s="176">
        <f ca="1">IF(AN490&gt;0,Y490*Calculation_sheet!C$87,0)</f>
        <v>0</v>
      </c>
      <c r="AA490" s="176">
        <f t="shared" ca="1" si="615"/>
        <v>0</v>
      </c>
      <c r="AB490" s="176">
        <f ca="1">IF(AP490&gt;0,AA490*Calculation_sheet!C$94,0)</f>
        <v>0</v>
      </c>
      <c r="AC490" s="176">
        <f t="shared" ca="1" si="616"/>
        <v>0</v>
      </c>
      <c r="AD490" s="958">
        <f ca="1">AC490*Calculation_sheet!C$99</f>
        <v>0</v>
      </c>
      <c r="AE490" s="176">
        <f t="shared" ca="1" si="616"/>
        <v>0</v>
      </c>
      <c r="AF490" s="176">
        <f t="shared" ca="1" si="617"/>
        <v>0</v>
      </c>
      <c r="AG490" s="958">
        <f ca="1">AF490*User_sheet!B$77/100</f>
        <v>0</v>
      </c>
      <c r="AH490" s="313"/>
      <c r="AI490" s="910">
        <v>204</v>
      </c>
      <c r="AJ490" s="313"/>
      <c r="AK490" s="1020">
        <f t="shared" ca="1" si="580"/>
        <v>144.99755176558989</v>
      </c>
      <c r="AL490" s="954">
        <f ca="1">AK490/'204'!I$24</f>
        <v>0.52928472993462261</v>
      </c>
      <c r="AM490" s="954">
        <f ca="1">0.8*(AK490*30+'204'!D$17*0.34*30*1)</f>
        <v>7065.0270423741576</v>
      </c>
      <c r="AN490" s="954">
        <f ca="1">IF(AM490&lt;User_sheet!B$50,Y490,0)</f>
        <v>0</v>
      </c>
      <c r="AO490" s="954">
        <f ca="1">20-(User_sheet!B$57/(AK490+'204'!D$17*1*0.34))</f>
        <v>0.63701678995566624</v>
      </c>
      <c r="AP490" s="954">
        <f ca="1">IF(AO490&lt;User_sheet!B$59,0,BC490*AA490)</f>
        <v>0</v>
      </c>
      <c r="AQ490" s="313"/>
      <c r="AR490" s="909">
        <v>0.32</v>
      </c>
      <c r="AS490" s="909">
        <v>0.43</v>
      </c>
      <c r="AT490" s="909">
        <v>0.43</v>
      </c>
      <c r="AU490" s="909">
        <v>2</v>
      </c>
      <c r="AV490" s="909">
        <v>3.3</v>
      </c>
      <c r="AW490" s="909">
        <v>14356</v>
      </c>
      <c r="AX490" s="909">
        <v>74834</v>
      </c>
      <c r="AY490" s="909">
        <v>69246</v>
      </c>
      <c r="AZ490" s="917">
        <v>0</v>
      </c>
      <c r="BA490" s="917">
        <v>0</v>
      </c>
      <c r="BB490" s="909">
        <v>0.6</v>
      </c>
      <c r="BC490" s="919">
        <v>1</v>
      </c>
      <c r="BD490" s="920">
        <v>0</v>
      </c>
      <c r="BE490" s="920">
        <v>0</v>
      </c>
      <c r="BF490" s="921">
        <v>0</v>
      </c>
      <c r="BG490" s="909">
        <v>0</v>
      </c>
      <c r="BH490" s="909">
        <v>1</v>
      </c>
      <c r="BI490" s="921">
        <v>0</v>
      </c>
      <c r="BJ490" s="909">
        <v>0</v>
      </c>
      <c r="BK490" s="909">
        <v>0</v>
      </c>
      <c r="BL490" s="909">
        <v>1</v>
      </c>
      <c r="BM490" s="921">
        <v>0</v>
      </c>
      <c r="BN490" s="958">
        <v>0.01</v>
      </c>
      <c r="BO490" s="959">
        <v>2.5</v>
      </c>
      <c r="BP490">
        <f t="shared" ca="1" si="618"/>
        <v>150</v>
      </c>
      <c r="BQ490">
        <f t="shared" ca="1" si="619"/>
        <v>372.82075000000003</v>
      </c>
      <c r="BR490">
        <f t="shared" ca="1" si="620"/>
        <v>111</v>
      </c>
      <c r="BS490">
        <f t="shared" ca="1" si="621"/>
        <v>120</v>
      </c>
      <c r="BT490">
        <f t="shared" ca="1" si="622"/>
        <v>86.25</v>
      </c>
      <c r="BU490">
        <f t="shared" ca="1" si="623"/>
        <v>14.5</v>
      </c>
      <c r="BV490">
        <f t="shared" ca="1" si="624"/>
        <v>9.3000000000000007</v>
      </c>
      <c r="BW490" s="1018">
        <v>0</v>
      </c>
      <c r="BX490">
        <f t="shared" ca="1" si="608"/>
        <v>33.6533602829712</v>
      </c>
      <c r="BY490">
        <f t="shared" ca="1" si="609"/>
        <v>48.020846258841047</v>
      </c>
      <c r="BZ490">
        <f t="shared" ca="1" si="581"/>
        <v>11.389944472018861</v>
      </c>
      <c r="CA490">
        <f t="shared" ca="1" si="582"/>
        <v>28.999999988399999</v>
      </c>
      <c r="CB490">
        <f t="shared" ca="1" si="610"/>
        <v>19.522900763358777</v>
      </c>
      <c r="CC490" s="1018">
        <f t="shared" si="583"/>
        <v>0</v>
      </c>
      <c r="CD490" s="1018">
        <f t="shared" ca="1" si="627"/>
        <v>144.99755176558989</v>
      </c>
      <c r="CE490" s="1018">
        <f t="shared" ca="1" si="625"/>
        <v>101.93624771922269</v>
      </c>
      <c r="CF490">
        <f t="shared" ca="1" si="584"/>
        <v>7.408013984544378</v>
      </c>
      <c r="CG490">
        <f t="shared" ca="1" si="585"/>
        <v>12334.046963707005</v>
      </c>
    </row>
    <row r="491" spans="4:85" x14ac:dyDescent="0.25">
      <c r="D491" s="1"/>
      <c r="F491" s="1"/>
      <c r="G491" s="3"/>
      <c r="H491" s="6"/>
      <c r="I491" s="3"/>
      <c r="J491" s="6" t="s">
        <v>190</v>
      </c>
      <c r="K491" s="8"/>
      <c r="L491" s="6"/>
      <c r="M491" s="6"/>
      <c r="N491" s="1"/>
      <c r="O491" s="6"/>
      <c r="P491" s="6"/>
      <c r="Q491" s="6" t="s">
        <v>22</v>
      </c>
      <c r="R491" s="4"/>
      <c r="S491" s="1"/>
      <c r="T491" s="77"/>
      <c r="W491" s="176">
        <f t="shared" si="614"/>
        <v>0</v>
      </c>
      <c r="X491" s="176">
        <f t="shared" si="626"/>
        <v>0</v>
      </c>
      <c r="Y491" s="34">
        <f>X491/Calculation_sheet!M$67</f>
        <v>0</v>
      </c>
      <c r="Z491" s="176">
        <f ca="1">IF(AN491&gt;0,Y491*Calculation_sheet!C$87,0)</f>
        <v>0</v>
      </c>
      <c r="AA491" s="176">
        <f t="shared" ca="1" si="615"/>
        <v>0</v>
      </c>
      <c r="AB491" s="176">
        <f ca="1">IF(AP491&gt;0,AA491*Calculation_sheet!C$94,0)</f>
        <v>0</v>
      </c>
      <c r="AC491" s="176">
        <f t="shared" ca="1" si="616"/>
        <v>0</v>
      </c>
      <c r="AD491" s="958">
        <f ca="1">AC491*Calculation_sheet!C$99</f>
        <v>0</v>
      </c>
      <c r="AE491" s="176">
        <f t="shared" ca="1" si="616"/>
        <v>0</v>
      </c>
      <c r="AF491" s="176">
        <f t="shared" ca="1" si="617"/>
        <v>0</v>
      </c>
      <c r="AG491" s="958">
        <f ca="1">AF491*User_sheet!B$77/100</f>
        <v>0</v>
      </c>
      <c r="AH491" s="313"/>
      <c r="AI491" s="910">
        <v>204</v>
      </c>
      <c r="AJ491" s="313"/>
      <c r="AK491" s="1020">
        <f t="shared" ca="1" si="580"/>
        <v>144.99755176558989</v>
      </c>
      <c r="AL491" s="954">
        <f ca="1">AK491/'204'!I$24</f>
        <v>0.52928472993462261</v>
      </c>
      <c r="AM491" s="954">
        <f ca="1">0.8*(AK491*30+'204'!D$17*0.34*30*1)</f>
        <v>7065.0270423741576</v>
      </c>
      <c r="AN491" s="954">
        <f ca="1">IF(AM491&lt;User_sheet!B$50,Y491,0)</f>
        <v>0</v>
      </c>
      <c r="AO491" s="954">
        <f ca="1">20-(User_sheet!B$57/(AK491+'204'!D$17*1*0.34))</f>
        <v>0.63701678995566624</v>
      </c>
      <c r="AP491" s="954">
        <f ca="1">IF(AO491&lt;User_sheet!B$59,0,BC491*AA491)</f>
        <v>0</v>
      </c>
      <c r="AQ491" s="313"/>
      <c r="AR491" s="909">
        <v>0.32</v>
      </c>
      <c r="AS491" s="909">
        <v>0.43</v>
      </c>
      <c r="AT491" s="909">
        <v>0.43</v>
      </c>
      <c r="AU491" s="909">
        <v>2</v>
      </c>
      <c r="AV491" s="909">
        <v>3.3</v>
      </c>
      <c r="AW491" s="909">
        <v>14356</v>
      </c>
      <c r="AX491" s="909">
        <v>74834</v>
      </c>
      <c r="AY491" s="909">
        <v>69246</v>
      </c>
      <c r="AZ491" s="917">
        <v>0</v>
      </c>
      <c r="BA491" s="917">
        <v>0</v>
      </c>
      <c r="BB491" s="909">
        <v>0.6</v>
      </c>
      <c r="BC491" s="919">
        <v>0</v>
      </c>
      <c r="BD491" s="920">
        <v>1</v>
      </c>
      <c r="BE491" s="920">
        <v>0</v>
      </c>
      <c r="BF491" s="921">
        <v>0</v>
      </c>
      <c r="BG491" s="909">
        <v>1</v>
      </c>
      <c r="BH491" s="909">
        <v>0</v>
      </c>
      <c r="BI491" s="921">
        <v>0</v>
      </c>
      <c r="BJ491" s="909">
        <v>0</v>
      </c>
      <c r="BK491" s="909">
        <v>1</v>
      </c>
      <c r="BL491" s="909">
        <v>0</v>
      </c>
      <c r="BM491" s="921">
        <v>0</v>
      </c>
      <c r="BN491" s="958">
        <v>0.01</v>
      </c>
      <c r="BO491" s="959">
        <v>2.5</v>
      </c>
      <c r="BP491">
        <f t="shared" ca="1" si="618"/>
        <v>150</v>
      </c>
      <c r="BQ491">
        <f t="shared" ca="1" si="619"/>
        <v>372.82075000000003</v>
      </c>
      <c r="BR491">
        <f t="shared" ca="1" si="620"/>
        <v>111</v>
      </c>
      <c r="BS491">
        <f t="shared" ca="1" si="621"/>
        <v>120</v>
      </c>
      <c r="BT491">
        <f t="shared" ca="1" si="622"/>
        <v>86.25</v>
      </c>
      <c r="BU491">
        <f t="shared" ca="1" si="623"/>
        <v>14.5</v>
      </c>
      <c r="BV491">
        <f t="shared" ca="1" si="624"/>
        <v>9.3000000000000007</v>
      </c>
      <c r="BW491" s="1018">
        <v>0</v>
      </c>
      <c r="BX491">
        <f t="shared" ca="1" si="608"/>
        <v>33.6533602829712</v>
      </c>
      <c r="BY491">
        <f t="shared" ca="1" si="609"/>
        <v>48.020846258841047</v>
      </c>
      <c r="BZ491">
        <f t="shared" ca="1" si="581"/>
        <v>11.389944472018861</v>
      </c>
      <c r="CA491">
        <f t="shared" ca="1" si="582"/>
        <v>28.999999988399999</v>
      </c>
      <c r="CB491">
        <f t="shared" ca="1" si="610"/>
        <v>19.522900763358777</v>
      </c>
      <c r="CC491" s="1018">
        <f t="shared" si="583"/>
        <v>0</v>
      </c>
      <c r="CD491" s="1018">
        <f t="shared" ca="1" si="627"/>
        <v>144.99755176558989</v>
      </c>
      <c r="CE491" s="1018">
        <f t="shared" ca="1" si="625"/>
        <v>101.93624771922269</v>
      </c>
      <c r="CF491">
        <f t="shared" ca="1" si="584"/>
        <v>7.408013984544378</v>
      </c>
      <c r="CG491">
        <f t="shared" ca="1" si="585"/>
        <v>12334.046963707005</v>
      </c>
    </row>
    <row r="492" spans="4:85" x14ac:dyDescent="0.25">
      <c r="D492" s="1"/>
      <c r="F492" s="1"/>
      <c r="G492" s="3"/>
      <c r="H492" s="6"/>
      <c r="I492" s="3"/>
      <c r="K492" s="8"/>
      <c r="L492" s="6"/>
      <c r="M492" s="1"/>
      <c r="N492" s="1"/>
      <c r="O492" s="1" t="s">
        <v>18</v>
      </c>
      <c r="P492" s="4"/>
      <c r="Q492" s="1" t="s">
        <v>7</v>
      </c>
      <c r="R492" s="4"/>
      <c r="S492" s="1"/>
      <c r="T492" s="77"/>
      <c r="W492" s="176">
        <f t="shared" si="614"/>
        <v>0</v>
      </c>
      <c r="X492" s="176">
        <f t="shared" si="626"/>
        <v>0</v>
      </c>
      <c r="Y492" s="34">
        <f>X492/Calculation_sheet!M$67</f>
        <v>0</v>
      </c>
      <c r="Z492" s="176">
        <f ca="1">IF(AN492&gt;0,Y492*Calculation_sheet!C$87,0)</f>
        <v>0</v>
      </c>
      <c r="AA492" s="176">
        <f t="shared" ca="1" si="615"/>
        <v>0</v>
      </c>
      <c r="AB492" s="176">
        <f ca="1">IF(AP492&gt;0,AA492*Calculation_sheet!C$94,0)</f>
        <v>0</v>
      </c>
      <c r="AC492" s="176">
        <f t="shared" ca="1" si="616"/>
        <v>0</v>
      </c>
      <c r="AD492" s="958">
        <f ca="1">AC492*Calculation_sheet!C$99</f>
        <v>0</v>
      </c>
      <c r="AE492" s="176">
        <f t="shared" ca="1" si="616"/>
        <v>0</v>
      </c>
      <c r="AF492" s="176">
        <f t="shared" ca="1" si="617"/>
        <v>0</v>
      </c>
      <c r="AG492" s="958">
        <f ca="1">AF492*User_sheet!B$77/100</f>
        <v>0</v>
      </c>
      <c r="AH492" s="313"/>
      <c r="AI492" s="910">
        <v>204</v>
      </c>
      <c r="AJ492" s="313"/>
      <c r="AK492" s="1020">
        <f t="shared" ca="1" si="580"/>
        <v>144.99755176558989</v>
      </c>
      <c r="AL492" s="954">
        <f ca="1">AK492/'204'!I$24</f>
        <v>0.52928472993462261</v>
      </c>
      <c r="AM492" s="954">
        <f ca="1">0.8*(AK492*30+'204'!D$17*0.34*30*1)</f>
        <v>7065.0270423741576</v>
      </c>
      <c r="AN492" s="954">
        <f ca="1">IF(AM492&lt;User_sheet!B$50,Y492,0)</f>
        <v>0</v>
      </c>
      <c r="AO492" s="954">
        <f ca="1">20-(User_sheet!B$57/(AK492+'204'!D$17*1*0.34))</f>
        <v>0.63701678995566624</v>
      </c>
      <c r="AP492" s="954">
        <f ca="1">IF(AO492&lt;User_sheet!B$59,0,BC492*AA492)</f>
        <v>0</v>
      </c>
      <c r="AQ492" s="313"/>
      <c r="AR492" s="909">
        <v>0.32</v>
      </c>
      <c r="AS492" s="909">
        <v>0.43</v>
      </c>
      <c r="AT492" s="909">
        <v>0.43</v>
      </c>
      <c r="AU492" s="909">
        <v>2</v>
      </c>
      <c r="AV492" s="909">
        <v>3.3</v>
      </c>
      <c r="AW492" s="909">
        <v>14356</v>
      </c>
      <c r="AX492" s="909">
        <v>74834</v>
      </c>
      <c r="AY492" s="909">
        <v>69246</v>
      </c>
      <c r="AZ492" s="917">
        <v>0</v>
      </c>
      <c r="BA492" s="917">
        <v>0</v>
      </c>
      <c r="BB492" s="909">
        <v>0.6</v>
      </c>
      <c r="BC492" s="919">
        <v>0</v>
      </c>
      <c r="BD492" s="920">
        <v>1</v>
      </c>
      <c r="BE492" s="920">
        <v>0</v>
      </c>
      <c r="BF492" s="921">
        <v>0</v>
      </c>
      <c r="BG492" s="909">
        <v>1</v>
      </c>
      <c r="BH492" s="909">
        <v>0</v>
      </c>
      <c r="BI492" s="921">
        <v>0</v>
      </c>
      <c r="BJ492" s="909">
        <v>0</v>
      </c>
      <c r="BK492" s="909">
        <v>0</v>
      </c>
      <c r="BL492" s="909">
        <v>1</v>
      </c>
      <c r="BM492" s="921">
        <v>0</v>
      </c>
      <c r="BN492" s="958">
        <v>0.01</v>
      </c>
      <c r="BO492" s="959">
        <v>2.5</v>
      </c>
      <c r="BP492">
        <f t="shared" ca="1" si="618"/>
        <v>150</v>
      </c>
      <c r="BQ492">
        <f t="shared" ca="1" si="619"/>
        <v>372.82075000000003</v>
      </c>
      <c r="BR492">
        <f t="shared" ca="1" si="620"/>
        <v>111</v>
      </c>
      <c r="BS492">
        <f t="shared" ca="1" si="621"/>
        <v>120</v>
      </c>
      <c r="BT492">
        <f t="shared" ca="1" si="622"/>
        <v>86.25</v>
      </c>
      <c r="BU492">
        <f t="shared" ca="1" si="623"/>
        <v>14.5</v>
      </c>
      <c r="BV492">
        <f t="shared" ca="1" si="624"/>
        <v>9.3000000000000007</v>
      </c>
      <c r="BW492" s="1018">
        <v>0</v>
      </c>
      <c r="BX492">
        <f t="shared" ca="1" si="608"/>
        <v>33.6533602829712</v>
      </c>
      <c r="BY492">
        <f t="shared" ca="1" si="609"/>
        <v>48.020846258841047</v>
      </c>
      <c r="BZ492">
        <f t="shared" ca="1" si="581"/>
        <v>11.389944472018861</v>
      </c>
      <c r="CA492">
        <f t="shared" ca="1" si="582"/>
        <v>28.999999988399999</v>
      </c>
      <c r="CB492">
        <f t="shared" ca="1" si="610"/>
        <v>19.522900763358777</v>
      </c>
      <c r="CC492" s="1018">
        <f t="shared" si="583"/>
        <v>0</v>
      </c>
      <c r="CD492" s="1018">
        <f t="shared" ca="1" si="627"/>
        <v>144.99755176558989</v>
      </c>
      <c r="CE492" s="1018">
        <f t="shared" ca="1" si="625"/>
        <v>101.93624771922269</v>
      </c>
      <c r="CF492">
        <f t="shared" ca="1" si="584"/>
        <v>7.408013984544378</v>
      </c>
      <c r="CG492">
        <f t="shared" ca="1" si="585"/>
        <v>12334.046963707005</v>
      </c>
    </row>
    <row r="493" spans="4:85" x14ac:dyDescent="0.25">
      <c r="D493" s="1"/>
      <c r="F493" s="1"/>
      <c r="G493" s="3"/>
      <c r="H493" s="6"/>
      <c r="I493" s="3"/>
      <c r="K493" s="8"/>
      <c r="L493" s="6"/>
      <c r="M493" s="1"/>
      <c r="N493" s="1"/>
      <c r="O493" s="1"/>
      <c r="P493" s="1"/>
      <c r="Q493" s="1" t="s">
        <v>22</v>
      </c>
      <c r="R493" s="4"/>
      <c r="S493" s="1"/>
      <c r="T493" s="77"/>
      <c r="W493" s="176">
        <f t="shared" si="614"/>
        <v>0</v>
      </c>
      <c r="X493" s="176">
        <f t="shared" si="626"/>
        <v>0</v>
      </c>
      <c r="Y493" s="34">
        <f>X493/Calculation_sheet!M$67</f>
        <v>0</v>
      </c>
      <c r="Z493" s="176">
        <f ca="1">IF(AN493&gt;0,Y493*Calculation_sheet!C$87,0)</f>
        <v>0</v>
      </c>
      <c r="AA493" s="176">
        <f t="shared" ca="1" si="615"/>
        <v>0</v>
      </c>
      <c r="AB493" s="176">
        <f ca="1">IF(AP493&gt;0,AA493*Calculation_sheet!C$94,0)</f>
        <v>0</v>
      </c>
      <c r="AC493" s="176">
        <f t="shared" ca="1" si="616"/>
        <v>0</v>
      </c>
      <c r="AD493" s="958">
        <f ca="1">AC493*Calculation_sheet!C$99</f>
        <v>0</v>
      </c>
      <c r="AE493" s="176">
        <f t="shared" ca="1" si="616"/>
        <v>0</v>
      </c>
      <c r="AF493" s="176">
        <f t="shared" ca="1" si="617"/>
        <v>0</v>
      </c>
      <c r="AG493" s="958">
        <f ca="1">AF493*User_sheet!B$77/100</f>
        <v>0</v>
      </c>
      <c r="AH493" s="313"/>
      <c r="AI493" s="910">
        <v>204</v>
      </c>
      <c r="AJ493" s="313"/>
      <c r="AK493" s="1020">
        <f t="shared" ca="1" si="580"/>
        <v>144.99755176558989</v>
      </c>
      <c r="AL493" s="954">
        <f ca="1">AK493/'204'!I$24</f>
        <v>0.52928472993462261</v>
      </c>
      <c r="AM493" s="954">
        <f ca="1">0.8*(AK493*30+'204'!D$17*0.34*30*1)</f>
        <v>7065.0270423741576</v>
      </c>
      <c r="AN493" s="954">
        <f ca="1">IF(AM493&lt;User_sheet!B$50,Y493,0)</f>
        <v>0</v>
      </c>
      <c r="AO493" s="954">
        <f ca="1">20-(User_sheet!B$57/(AK493+'204'!D$17*1*0.34))</f>
        <v>0.63701678995566624</v>
      </c>
      <c r="AP493" s="954">
        <f ca="1">IF(AO493&lt;User_sheet!B$59,0,BC493*AA493)</f>
        <v>0</v>
      </c>
      <c r="AQ493" s="313"/>
      <c r="AR493" s="909">
        <v>0.32</v>
      </c>
      <c r="AS493" s="909">
        <v>0.43</v>
      </c>
      <c r="AT493" s="909">
        <v>0.43</v>
      </c>
      <c r="AU493" s="909">
        <v>2</v>
      </c>
      <c r="AV493" s="909">
        <v>3.3</v>
      </c>
      <c r="AW493" s="909">
        <v>14356</v>
      </c>
      <c r="AX493" s="909">
        <v>74834</v>
      </c>
      <c r="AY493" s="909">
        <v>69246</v>
      </c>
      <c r="AZ493" s="917">
        <v>0</v>
      </c>
      <c r="BA493" s="917">
        <v>0</v>
      </c>
      <c r="BB493" s="909">
        <v>0.6</v>
      </c>
      <c r="BC493" s="919">
        <v>0</v>
      </c>
      <c r="BD493" s="920">
        <v>1</v>
      </c>
      <c r="BE493" s="920">
        <v>0</v>
      </c>
      <c r="BF493" s="921">
        <v>0</v>
      </c>
      <c r="BG493" s="909">
        <v>0</v>
      </c>
      <c r="BH493" s="909">
        <v>1</v>
      </c>
      <c r="BI493" s="921">
        <v>0</v>
      </c>
      <c r="BJ493" s="909">
        <v>0</v>
      </c>
      <c r="BK493" s="909">
        <v>1</v>
      </c>
      <c r="BL493" s="909">
        <v>0</v>
      </c>
      <c r="BM493" s="921">
        <v>0</v>
      </c>
      <c r="BN493" s="958">
        <v>0.01</v>
      </c>
      <c r="BO493" s="959">
        <v>2.5</v>
      </c>
      <c r="BP493">
        <f t="shared" ca="1" si="618"/>
        <v>150</v>
      </c>
      <c r="BQ493">
        <f t="shared" ca="1" si="619"/>
        <v>372.82075000000003</v>
      </c>
      <c r="BR493">
        <f t="shared" ca="1" si="620"/>
        <v>111</v>
      </c>
      <c r="BS493">
        <f t="shared" ca="1" si="621"/>
        <v>120</v>
      </c>
      <c r="BT493">
        <f t="shared" ca="1" si="622"/>
        <v>86.25</v>
      </c>
      <c r="BU493">
        <f t="shared" ca="1" si="623"/>
        <v>14.5</v>
      </c>
      <c r="BV493">
        <f t="shared" ca="1" si="624"/>
        <v>9.3000000000000007</v>
      </c>
      <c r="BW493" s="1018">
        <v>0</v>
      </c>
      <c r="BX493">
        <f t="shared" ca="1" si="608"/>
        <v>33.6533602829712</v>
      </c>
      <c r="BY493">
        <f t="shared" ca="1" si="609"/>
        <v>48.020846258841047</v>
      </c>
      <c r="BZ493">
        <f t="shared" ca="1" si="581"/>
        <v>11.389944472018861</v>
      </c>
      <c r="CA493">
        <f t="shared" ca="1" si="582"/>
        <v>28.999999988399999</v>
      </c>
      <c r="CB493">
        <f t="shared" ca="1" si="610"/>
        <v>19.522900763358777</v>
      </c>
      <c r="CC493" s="1018">
        <f t="shared" si="583"/>
        <v>0</v>
      </c>
      <c r="CD493" s="1018">
        <f t="shared" ca="1" si="627"/>
        <v>144.99755176558989</v>
      </c>
      <c r="CE493" s="1018">
        <f t="shared" ca="1" si="625"/>
        <v>101.93624771922269</v>
      </c>
      <c r="CF493">
        <f t="shared" ca="1" si="584"/>
        <v>7.408013984544378</v>
      </c>
      <c r="CG493">
        <f t="shared" ca="1" si="585"/>
        <v>12334.046963707005</v>
      </c>
    </row>
    <row r="494" spans="4:85" x14ac:dyDescent="0.25">
      <c r="D494" s="1"/>
      <c r="F494" s="1"/>
      <c r="G494" s="3"/>
      <c r="H494" s="6"/>
      <c r="I494" s="3"/>
      <c r="J494" s="6"/>
      <c r="K494" s="8"/>
      <c r="L494" s="6"/>
      <c r="M494" s="1" t="s">
        <v>22</v>
      </c>
      <c r="N494" s="4"/>
      <c r="O494" s="1" t="s">
        <v>20</v>
      </c>
      <c r="P494" s="4"/>
      <c r="Q494" s="1" t="s">
        <v>7</v>
      </c>
      <c r="R494" s="4"/>
      <c r="S494" s="1"/>
      <c r="T494" s="77"/>
      <c r="W494" s="176">
        <f t="shared" si="614"/>
        <v>0</v>
      </c>
      <c r="X494" s="176">
        <f t="shared" si="626"/>
        <v>0</v>
      </c>
      <c r="Y494" s="34">
        <f>X494/Calculation_sheet!M$67</f>
        <v>0</v>
      </c>
      <c r="Z494" s="176">
        <f ca="1">IF(AN494&gt;0,Y494*Calculation_sheet!C$87,0)</f>
        <v>0</v>
      </c>
      <c r="AA494" s="176">
        <f t="shared" ca="1" si="615"/>
        <v>0</v>
      </c>
      <c r="AB494" s="176">
        <f ca="1">IF(AP494&gt;0,AA494*Calculation_sheet!C$94,0)</f>
        <v>0</v>
      </c>
      <c r="AC494" s="176">
        <f t="shared" ca="1" si="616"/>
        <v>0</v>
      </c>
      <c r="AD494" s="958">
        <f ca="1">AC494*Calculation_sheet!C$99</f>
        <v>0</v>
      </c>
      <c r="AE494" s="176">
        <f t="shared" ca="1" si="616"/>
        <v>0</v>
      </c>
      <c r="AF494" s="176">
        <f t="shared" ca="1" si="617"/>
        <v>0</v>
      </c>
      <c r="AG494" s="958">
        <f ca="1">AF494*User_sheet!B$77/100</f>
        <v>0</v>
      </c>
      <c r="AH494" s="313"/>
      <c r="AI494" s="910">
        <v>204</v>
      </c>
      <c r="AJ494" s="313"/>
      <c r="AK494" s="1020">
        <f t="shared" ca="1" si="580"/>
        <v>144.99755176558989</v>
      </c>
      <c r="AL494" s="954">
        <f ca="1">AK494/'204'!I$24</f>
        <v>0.52928472993462261</v>
      </c>
      <c r="AM494" s="954">
        <f ca="1">0.8*(AK494*30+'204'!D$17*0.34*30*1)</f>
        <v>7065.0270423741576</v>
      </c>
      <c r="AN494" s="954">
        <f ca="1">IF(AM494&lt;User_sheet!B$50,Y494,0)</f>
        <v>0</v>
      </c>
      <c r="AO494" s="954">
        <f ca="1">20-(User_sheet!B$57/(AK494+'204'!D$17*1*0.34))</f>
        <v>0.63701678995566624</v>
      </c>
      <c r="AP494" s="954">
        <f ca="1">IF(AO494&lt;User_sheet!B$59,0,BC494*AA494)</f>
        <v>0</v>
      </c>
      <c r="AQ494" s="313"/>
      <c r="AR494" s="909">
        <v>0.32</v>
      </c>
      <c r="AS494" s="909">
        <v>0.43</v>
      </c>
      <c r="AT494" s="909">
        <v>0.43</v>
      </c>
      <c r="AU494" s="909">
        <v>2</v>
      </c>
      <c r="AV494" s="909">
        <v>3.3</v>
      </c>
      <c r="AW494" s="909">
        <v>14356</v>
      </c>
      <c r="AX494" s="909">
        <v>74834</v>
      </c>
      <c r="AY494" s="909">
        <v>69246</v>
      </c>
      <c r="AZ494" s="917">
        <v>0</v>
      </c>
      <c r="BA494" s="917">
        <v>0</v>
      </c>
      <c r="BB494" s="909">
        <v>0.6</v>
      </c>
      <c r="BC494" s="919">
        <v>0</v>
      </c>
      <c r="BD494" s="920">
        <v>1</v>
      </c>
      <c r="BE494" s="920">
        <v>0</v>
      </c>
      <c r="BF494" s="921">
        <v>0</v>
      </c>
      <c r="BG494" s="909">
        <v>0</v>
      </c>
      <c r="BH494" s="909">
        <v>1</v>
      </c>
      <c r="BI494" s="921">
        <v>0</v>
      </c>
      <c r="BJ494" s="909">
        <v>0</v>
      </c>
      <c r="BK494" s="909">
        <v>0</v>
      </c>
      <c r="BL494" s="909">
        <v>1</v>
      </c>
      <c r="BM494" s="921">
        <v>0</v>
      </c>
      <c r="BN494" s="958">
        <v>0.01</v>
      </c>
      <c r="BO494" s="959">
        <v>2.5</v>
      </c>
      <c r="BP494">
        <f t="shared" ca="1" si="618"/>
        <v>150</v>
      </c>
      <c r="BQ494">
        <f t="shared" ca="1" si="619"/>
        <v>372.82075000000003</v>
      </c>
      <c r="BR494">
        <f t="shared" ca="1" si="620"/>
        <v>111</v>
      </c>
      <c r="BS494">
        <f t="shared" ca="1" si="621"/>
        <v>120</v>
      </c>
      <c r="BT494">
        <f t="shared" ca="1" si="622"/>
        <v>86.25</v>
      </c>
      <c r="BU494">
        <f t="shared" ca="1" si="623"/>
        <v>14.5</v>
      </c>
      <c r="BV494">
        <f t="shared" ca="1" si="624"/>
        <v>9.3000000000000007</v>
      </c>
      <c r="BW494" s="1018">
        <v>0</v>
      </c>
      <c r="BX494">
        <f t="shared" ca="1" si="608"/>
        <v>33.6533602829712</v>
      </c>
      <c r="BY494">
        <f t="shared" ca="1" si="609"/>
        <v>48.020846258841047</v>
      </c>
      <c r="BZ494">
        <f t="shared" ca="1" si="581"/>
        <v>11.389944472018861</v>
      </c>
      <c r="CA494">
        <f t="shared" ca="1" si="582"/>
        <v>28.999999988399999</v>
      </c>
      <c r="CB494">
        <f t="shared" ca="1" si="610"/>
        <v>19.522900763358777</v>
      </c>
      <c r="CC494" s="1018">
        <f t="shared" si="583"/>
        <v>0</v>
      </c>
      <c r="CD494" s="1018">
        <f t="shared" ca="1" si="627"/>
        <v>144.99755176558989</v>
      </c>
      <c r="CE494" s="1018">
        <f t="shared" ca="1" si="625"/>
        <v>101.93624771922269</v>
      </c>
      <c r="CF494">
        <f t="shared" ca="1" si="584"/>
        <v>7.408013984544378</v>
      </c>
      <c r="CG494">
        <f t="shared" ca="1" si="585"/>
        <v>12334.046963707005</v>
      </c>
    </row>
    <row r="495" spans="4:85" x14ac:dyDescent="0.25">
      <c r="D495" s="1"/>
      <c r="F495" s="1"/>
      <c r="G495" s="3"/>
      <c r="H495" s="6"/>
      <c r="I495" s="3"/>
      <c r="J495" s="6"/>
      <c r="K495" s="8"/>
      <c r="L495" s="6"/>
      <c r="M495" s="1" t="s">
        <v>7</v>
      </c>
      <c r="N495" s="4"/>
      <c r="O495" s="1" t="s">
        <v>23</v>
      </c>
      <c r="P495" s="4"/>
      <c r="Q495" s="1" t="s">
        <v>7</v>
      </c>
      <c r="R495" s="4"/>
      <c r="S495" s="1"/>
      <c r="T495" s="77"/>
      <c r="U495" t="s">
        <v>49</v>
      </c>
      <c r="W495" s="176">
        <f t="shared" si="614"/>
        <v>0</v>
      </c>
      <c r="X495" s="176">
        <f t="shared" si="626"/>
        <v>0</v>
      </c>
      <c r="Y495" s="34">
        <f>X495/Calculation_sheet!M$67</f>
        <v>0</v>
      </c>
      <c r="Z495" s="176">
        <f ca="1">IF(AN495&gt;0,Y495*Calculation_sheet!C$87,0)</f>
        <v>0</v>
      </c>
      <c r="AA495" s="176">
        <f t="shared" ca="1" si="615"/>
        <v>0</v>
      </c>
      <c r="AB495" s="176">
        <f ca="1">IF(AP495&gt;0,AA495*Calculation_sheet!C$94,0)</f>
        <v>0</v>
      </c>
      <c r="AC495" s="176">
        <f t="shared" ca="1" si="616"/>
        <v>0</v>
      </c>
      <c r="AD495" s="958">
        <f ca="1">AC495*Calculation_sheet!C$99</f>
        <v>0</v>
      </c>
      <c r="AE495" s="176">
        <f t="shared" ca="1" si="616"/>
        <v>0</v>
      </c>
      <c r="AF495" s="176">
        <f t="shared" ca="1" si="617"/>
        <v>0</v>
      </c>
      <c r="AG495" s="958">
        <f ca="1">AF495*User_sheet!B$77/100</f>
        <v>0</v>
      </c>
      <c r="AH495" s="313"/>
      <c r="AI495" s="910">
        <v>204</v>
      </c>
      <c r="AJ495" s="313"/>
      <c r="AK495" s="1020">
        <f t="shared" ca="1" si="580"/>
        <v>144.99755176558989</v>
      </c>
      <c r="AL495" s="954">
        <f ca="1">AK495/'204'!I$24</f>
        <v>0.52928472993462261</v>
      </c>
      <c r="AM495" s="954">
        <f ca="1">0.8*(AK495*30+'204'!D$17*0.34*30*1)</f>
        <v>7065.0270423741576</v>
      </c>
      <c r="AN495" s="954">
        <f ca="1">IF(AM495&lt;User_sheet!B$50,Y495,0)</f>
        <v>0</v>
      </c>
      <c r="AO495" s="954">
        <f ca="1">20-(User_sheet!B$57/(AK495+'204'!D$17*1*0.34))</f>
        <v>0.63701678995566624</v>
      </c>
      <c r="AP495" s="954">
        <f ca="1">IF(AO495&lt;User_sheet!B$59,0,BC495*AA495)</f>
        <v>0</v>
      </c>
      <c r="AQ495" s="313"/>
      <c r="AR495" s="909">
        <v>0.32</v>
      </c>
      <c r="AS495" s="909">
        <v>0.43</v>
      </c>
      <c r="AT495" s="909">
        <v>0.43</v>
      </c>
      <c r="AU495" s="909">
        <v>2</v>
      </c>
      <c r="AV495" s="909">
        <v>3.3</v>
      </c>
      <c r="AW495" s="909">
        <v>14356</v>
      </c>
      <c r="AX495" s="909">
        <v>74834</v>
      </c>
      <c r="AY495" s="909">
        <v>69246</v>
      </c>
      <c r="AZ495" s="917">
        <v>0</v>
      </c>
      <c r="BA495" s="917">
        <v>0</v>
      </c>
      <c r="BB495" s="909">
        <v>0.6</v>
      </c>
      <c r="BC495" s="919">
        <v>0</v>
      </c>
      <c r="BD495" s="920">
        <v>0</v>
      </c>
      <c r="BE495" s="920">
        <v>1</v>
      </c>
      <c r="BF495" s="921">
        <v>0</v>
      </c>
      <c r="BG495" s="909">
        <v>0</v>
      </c>
      <c r="BH495" s="909">
        <v>0</v>
      </c>
      <c r="BI495" s="921">
        <v>1</v>
      </c>
      <c r="BJ495" s="909">
        <v>0</v>
      </c>
      <c r="BK495" s="909">
        <v>0</v>
      </c>
      <c r="BL495" s="909">
        <v>1</v>
      </c>
      <c r="BM495" s="921">
        <v>0</v>
      </c>
      <c r="BN495" s="958">
        <v>0.01</v>
      </c>
      <c r="BO495" s="959">
        <v>2.5</v>
      </c>
      <c r="BP495">
        <f t="shared" ca="1" si="618"/>
        <v>150</v>
      </c>
      <c r="BQ495">
        <f t="shared" ca="1" si="619"/>
        <v>372.82075000000003</v>
      </c>
      <c r="BR495">
        <f t="shared" ca="1" si="620"/>
        <v>111</v>
      </c>
      <c r="BS495">
        <f t="shared" ca="1" si="621"/>
        <v>120</v>
      </c>
      <c r="BT495">
        <f t="shared" ca="1" si="622"/>
        <v>86.25</v>
      </c>
      <c r="BU495">
        <f t="shared" ca="1" si="623"/>
        <v>14.5</v>
      </c>
      <c r="BV495">
        <f t="shared" ca="1" si="624"/>
        <v>9.3000000000000007</v>
      </c>
      <c r="BW495" s="1018">
        <v>0</v>
      </c>
      <c r="BX495">
        <f t="shared" ca="1" si="608"/>
        <v>33.6533602829712</v>
      </c>
      <c r="BY495">
        <f t="shared" ca="1" si="609"/>
        <v>48.020846258841047</v>
      </c>
      <c r="BZ495">
        <f t="shared" ca="1" si="581"/>
        <v>11.389944472018861</v>
      </c>
      <c r="CA495">
        <f t="shared" ca="1" si="582"/>
        <v>28.999999988399999</v>
      </c>
      <c r="CB495">
        <f t="shared" ca="1" si="610"/>
        <v>19.522900763358777</v>
      </c>
      <c r="CC495" s="1018">
        <f t="shared" si="583"/>
        <v>0</v>
      </c>
      <c r="CD495" s="1018">
        <f t="shared" ca="1" si="627"/>
        <v>144.99755176558989</v>
      </c>
      <c r="CE495" s="1018">
        <f t="shared" ca="1" si="625"/>
        <v>101.93624771922269</v>
      </c>
      <c r="CF495">
        <f t="shared" ca="1" si="584"/>
        <v>7.408013984544378</v>
      </c>
      <c r="CG495">
        <f t="shared" ca="1" si="585"/>
        <v>12334.046963707005</v>
      </c>
    </row>
    <row r="496" spans="4:85" s="9" customFormat="1" x14ac:dyDescent="0.25">
      <c r="D496" s="10"/>
      <c r="F496" s="10"/>
      <c r="H496" s="10"/>
      <c r="J496" s="10"/>
      <c r="M496" s="10"/>
      <c r="N496" s="10"/>
      <c r="O496" s="10"/>
      <c r="P496" s="10"/>
      <c r="Q496" s="10"/>
      <c r="R496" s="10"/>
      <c r="S496" s="10"/>
      <c r="T496" s="81"/>
      <c r="V496" s="283"/>
      <c r="W496" s="283"/>
      <c r="X496" s="283"/>
      <c r="Y496" s="279"/>
      <c r="Z496" s="283"/>
      <c r="AA496" s="283"/>
      <c r="AB496" s="283"/>
      <c r="AC496" s="283"/>
      <c r="AD496" s="283"/>
      <c r="AE496" s="283"/>
      <c r="AF496" s="283"/>
      <c r="AG496" s="279"/>
      <c r="AH496" s="313"/>
      <c r="AI496" s="911"/>
      <c r="AJ496" s="313"/>
      <c r="AK496" s="1020">
        <f t="shared" si="580"/>
        <v>0</v>
      </c>
      <c r="AL496" s="916"/>
      <c r="AM496" s="916"/>
      <c r="AN496" s="916"/>
      <c r="AO496" s="916"/>
      <c r="AP496" s="916"/>
      <c r="AQ496" s="313"/>
      <c r="AR496" s="916"/>
      <c r="AS496" s="916"/>
      <c r="AT496" s="916"/>
      <c r="AU496" s="916"/>
      <c r="AV496" s="916"/>
      <c r="AW496" s="916"/>
      <c r="AX496" s="916"/>
      <c r="AY496" s="916"/>
      <c r="AZ496" s="916"/>
      <c r="BA496" s="916"/>
      <c r="BB496" s="916"/>
      <c r="BC496" s="47"/>
      <c r="BD496" s="279"/>
      <c r="BE496" s="279"/>
      <c r="BF496" s="51"/>
      <c r="BG496" s="916"/>
      <c r="BH496" s="916"/>
      <c r="BI496" s="51"/>
      <c r="BJ496" s="916"/>
      <c r="BK496" s="916"/>
      <c r="BL496" s="916"/>
      <c r="BM496" s="51"/>
      <c r="BN496" s="279"/>
      <c r="BO496" s="51"/>
    </row>
    <row r="497" spans="3:85" x14ac:dyDescent="0.25">
      <c r="F497" s="1"/>
      <c r="H497" s="1"/>
      <c r="J497" s="1"/>
      <c r="M497" s="2" t="s">
        <v>16</v>
      </c>
      <c r="N497" s="26">
        <v>0.5</v>
      </c>
      <c r="O497" s="2" t="s">
        <v>18</v>
      </c>
      <c r="P497" s="26">
        <v>1</v>
      </c>
      <c r="Q497" s="2" t="s">
        <v>16</v>
      </c>
      <c r="R497" s="26">
        <v>1</v>
      </c>
      <c r="T497" s="960">
        <v>1.8588150000000002E-3</v>
      </c>
      <c r="V497" s="176">
        <f t="shared" si="472"/>
        <v>1.8588150000000002E-3</v>
      </c>
      <c r="W497" s="176">
        <f>V497</f>
        <v>1.8588150000000002E-3</v>
      </c>
      <c r="X497" s="176">
        <f>W497</f>
        <v>1.8588150000000002E-3</v>
      </c>
      <c r="Y497" s="34">
        <f>X497/Calculation_sheet!M$67</f>
        <v>1.8588530061282873E-3</v>
      </c>
      <c r="Z497" s="176">
        <f ca="1">IF(AN497&gt;0,Y497*Calculation_sheet!C$87,0)</f>
        <v>0</v>
      </c>
      <c r="AA497" s="176">
        <f ca="1">Y497-Z497</f>
        <v>1.8588530061282873E-3</v>
      </c>
      <c r="AB497" s="176">
        <f ca="1">IF(AP497&gt;0,AA497*Calculation_sheet!C$94,0)</f>
        <v>0</v>
      </c>
      <c r="AC497" s="176">
        <f ca="1">AA497-AB497</f>
        <v>1.8588530061282873E-3</v>
      </c>
      <c r="AD497" s="958">
        <f ca="1">AC497*Calculation_sheet!C$99</f>
        <v>1.1153118036769723E-3</v>
      </c>
      <c r="AE497" s="176">
        <f ca="1">AC497-AD497</f>
        <v>7.4354120245131495E-4</v>
      </c>
      <c r="AF497" s="176">
        <f t="shared" ca="1" si="617"/>
        <v>1.8588530061282873E-3</v>
      </c>
      <c r="AG497" s="958">
        <f ca="1">AF497*User_sheet!B$77/100</f>
        <v>0</v>
      </c>
      <c r="AI497" s="908">
        <v>204</v>
      </c>
      <c r="AJ497" s="313"/>
      <c r="AK497" s="1020">
        <f t="shared" ca="1" si="580"/>
        <v>168.87105176558987</v>
      </c>
      <c r="AL497" s="954">
        <f ca="1">AK497/'204'!I$24</f>
        <v>0.61643019443544389</v>
      </c>
      <c r="AM497" s="954">
        <f ca="1">0.8*(AK497*30+'204'!D$17*0.34*30*1)</f>
        <v>7637.9910423741567</v>
      </c>
      <c r="AN497" s="954">
        <f ca="1">IF(AM497&lt;User_sheet!B$50,Y497,0)</f>
        <v>1.8588530061282873E-3</v>
      </c>
      <c r="AO497" s="954">
        <f ca="1">20-(User_sheet!B$57/(AK497+'204'!D$17*1*0.34))</f>
        <v>2.0895312339253884</v>
      </c>
      <c r="AP497" s="954">
        <f ca="1">IF(AO497&lt;User_sheet!B$59,0,BC497*AA497)</f>
        <v>0</v>
      </c>
      <c r="AQ497" s="313"/>
      <c r="AR497" s="909">
        <v>0.32</v>
      </c>
      <c r="AS497" s="909">
        <v>0.43</v>
      </c>
      <c r="AT497" s="909">
        <v>0.43</v>
      </c>
      <c r="AU497" s="909">
        <v>2</v>
      </c>
      <c r="AV497" s="909">
        <v>3.3</v>
      </c>
      <c r="AW497" s="909">
        <v>14356</v>
      </c>
      <c r="AX497" s="909">
        <v>74834</v>
      </c>
      <c r="AY497" s="909">
        <v>69246</v>
      </c>
      <c r="AZ497" s="917">
        <v>0</v>
      </c>
      <c r="BA497" s="917">
        <v>0</v>
      </c>
      <c r="BB497" s="909">
        <v>0.6</v>
      </c>
      <c r="BC497" s="919">
        <v>1</v>
      </c>
      <c r="BD497" s="920">
        <v>0</v>
      </c>
      <c r="BE497" s="920">
        <v>0</v>
      </c>
      <c r="BF497" s="921">
        <v>0</v>
      </c>
      <c r="BG497" s="909">
        <v>1</v>
      </c>
      <c r="BH497" s="909">
        <v>0</v>
      </c>
      <c r="BI497" s="921">
        <v>0</v>
      </c>
      <c r="BJ497" s="909">
        <v>1</v>
      </c>
      <c r="BK497" s="909">
        <v>0</v>
      </c>
      <c r="BL497" s="909">
        <v>0</v>
      </c>
      <c r="BM497" s="921">
        <v>0</v>
      </c>
      <c r="BN497" s="199">
        <v>0.08</v>
      </c>
      <c r="BO497" s="959">
        <v>6.3</v>
      </c>
      <c r="BP497">
        <f ca="1">INDIRECT("'"&amp;AI497&amp;"'!"&amp;"B2")</f>
        <v>150</v>
      </c>
      <c r="BQ497">
        <f ca="1">INDIRECT("'"&amp;AI497&amp;"'!"&amp;"C12")+INDIRECT("'"&amp;AI497&amp;"'!"&amp;"C13")+INDIRECT("'"&amp;AI497&amp;"'!"&amp;"C14")+INDIRECT("'"&amp;AI497&amp;"'!"&amp;"C15")+INDIRECT("'"&amp;AI497&amp;"'!"&amp;"C17")</f>
        <v>372.82075000000003</v>
      </c>
      <c r="BR497">
        <f ca="1">INDIRECT("'"&amp;AI497&amp;"'!"&amp;"G5")</f>
        <v>111</v>
      </c>
      <c r="BS497">
        <f ca="1">INDIRECT("'"&amp;AI497&amp;"'!"&amp;"G4")</f>
        <v>120</v>
      </c>
      <c r="BT497">
        <f ca="1">INDIRECT("'"&amp;AI497&amp;"'!"&amp;"G6")</f>
        <v>86.25</v>
      </c>
      <c r="BU497">
        <f ca="1">INDIRECT("'"&amp;AI497&amp;"'!"&amp;"G2")</f>
        <v>14.5</v>
      </c>
      <c r="BV497">
        <f ca="1">INDIRECT("'"&amp;AI497&amp;"'!"&amp;"G3")</f>
        <v>9.3000000000000007</v>
      </c>
      <c r="BW497" s="1018">
        <v>0</v>
      </c>
      <c r="BX497">
        <f t="shared" ca="1" si="608"/>
        <v>33.6533602829712</v>
      </c>
      <c r="BY497">
        <f t="shared" ca="1" si="609"/>
        <v>48.020846258841047</v>
      </c>
      <c r="BZ497">
        <f t="shared" ca="1" si="581"/>
        <v>11.389944472018861</v>
      </c>
      <c r="CA497">
        <f t="shared" ca="1" si="582"/>
        <v>28.999999988399999</v>
      </c>
      <c r="CB497">
        <f t="shared" ca="1" si="610"/>
        <v>19.522900763358777</v>
      </c>
      <c r="CC497" s="1018">
        <f t="shared" si="583"/>
        <v>0</v>
      </c>
      <c r="CD497" s="1018">
        <f ca="1">SUM(BX497:CC497)+(BR497+BS497+BT497+BU497+BV497)*BN497</f>
        <v>168.87105176558987</v>
      </c>
      <c r="CE497" s="1018">
        <f ca="1">0.34*BO497*(1/25)^0.66*(BR497+BS497+BU497+BV497)+0.6*BQ497*0.34*0.2</f>
        <v>80.430739692441151</v>
      </c>
      <c r="CF497">
        <f t="shared" ca="1" si="584"/>
        <v>7.4790537437409306</v>
      </c>
      <c r="CG497">
        <f t="shared" ca="1" si="585"/>
        <v>12452.325321178898</v>
      </c>
    </row>
    <row r="498" spans="3:85" x14ac:dyDescent="0.25">
      <c r="C498" s="1" t="s">
        <v>132</v>
      </c>
      <c r="D498" s="5">
        <v>2.6499999999999999E-2</v>
      </c>
      <c r="E498" t="s">
        <v>4</v>
      </c>
      <c r="F498" s="5">
        <v>1</v>
      </c>
      <c r="G498" t="s">
        <v>5</v>
      </c>
      <c r="H498" s="5">
        <v>1</v>
      </c>
      <c r="I498" t="s">
        <v>6</v>
      </c>
      <c r="J498" s="5">
        <v>1</v>
      </c>
      <c r="K498" t="s">
        <v>12</v>
      </c>
      <c r="L498" s="5">
        <v>1</v>
      </c>
      <c r="M498" s="2" t="s">
        <v>22</v>
      </c>
      <c r="N498" s="26">
        <v>0.5</v>
      </c>
      <c r="O498" s="2" t="s">
        <v>18</v>
      </c>
      <c r="P498" s="26">
        <v>1</v>
      </c>
      <c r="Q498" s="2" t="s">
        <v>22</v>
      </c>
      <c r="R498" s="26">
        <v>1</v>
      </c>
      <c r="T498" s="960">
        <v>1.8588150000000002E-3</v>
      </c>
      <c r="U498" s="23" t="s">
        <v>49</v>
      </c>
      <c r="V498" s="176">
        <f t="shared" si="472"/>
        <v>1.8588150000000002E-3</v>
      </c>
      <c r="W498" s="176">
        <f>V498</f>
        <v>1.8588150000000002E-3</v>
      </c>
      <c r="X498" s="176">
        <f>W498</f>
        <v>1.8588150000000002E-3</v>
      </c>
      <c r="Y498" s="34">
        <f>X498/Calculation_sheet!M$67</f>
        <v>1.8588530061282873E-3</v>
      </c>
      <c r="Z498" s="176">
        <f ca="1">IF(AN498&gt;0,Y498*Calculation_sheet!C$87,0)</f>
        <v>0</v>
      </c>
      <c r="AA498" s="176">
        <f ca="1">Y498-Z498</f>
        <v>1.8588530061282873E-3</v>
      </c>
      <c r="AB498" s="176">
        <f ca="1">IF(AP498&gt;0,AA498*Calculation_sheet!C$94,0)</f>
        <v>0</v>
      </c>
      <c r="AC498" s="176">
        <f ca="1">AA498-AB498</f>
        <v>1.8588530061282873E-3</v>
      </c>
      <c r="AD498" s="958">
        <f ca="1">AC498*Calculation_sheet!C$99</f>
        <v>1.1153118036769723E-3</v>
      </c>
      <c r="AE498" s="176">
        <f ca="1">AC498-AD498</f>
        <v>7.4354120245131495E-4</v>
      </c>
      <c r="AF498" s="176">
        <f t="shared" ca="1" si="617"/>
        <v>1.8588530061282873E-3</v>
      </c>
      <c r="AG498" s="958">
        <f ca="1">AF498*User_sheet!B$77/100</f>
        <v>0</v>
      </c>
      <c r="AI498" s="908">
        <v>204</v>
      </c>
      <c r="AJ498" s="313"/>
      <c r="AK498" s="1020">
        <f t="shared" ca="1" si="580"/>
        <v>168.87105176558987</v>
      </c>
      <c r="AL498" s="954">
        <f ca="1">AK498/'204'!I$24</f>
        <v>0.61643019443544389</v>
      </c>
      <c r="AM498" s="954">
        <f ca="1">0.8*(AK498*30+'204'!D$17*0.34*30*1)</f>
        <v>7637.9910423741567</v>
      </c>
      <c r="AN498" s="954">
        <f ca="1">IF(AM498&lt;User_sheet!B$50,Y498,0)</f>
        <v>1.8588530061282873E-3</v>
      </c>
      <c r="AO498" s="954">
        <f ca="1">20-(User_sheet!B$57/(AK498+'204'!D$17*1*0.34))</f>
        <v>2.0895312339253884</v>
      </c>
      <c r="AP498" s="954">
        <f ca="1">IF(AO498&lt;User_sheet!B$59,0,BC498*AA498)</f>
        <v>0</v>
      </c>
      <c r="AQ498" s="313"/>
      <c r="AR498" s="909">
        <v>0.32</v>
      </c>
      <c r="AS498" s="909">
        <v>0.43</v>
      </c>
      <c r="AT498" s="909">
        <v>0.43</v>
      </c>
      <c r="AU498" s="909">
        <v>2</v>
      </c>
      <c r="AV498" s="909">
        <v>3.3</v>
      </c>
      <c r="AW498" s="909">
        <v>14356</v>
      </c>
      <c r="AX498" s="909">
        <v>74834</v>
      </c>
      <c r="AY498" s="909">
        <v>69246</v>
      </c>
      <c r="AZ498" s="917">
        <v>0</v>
      </c>
      <c r="BA498" s="917">
        <v>0</v>
      </c>
      <c r="BB498" s="909">
        <v>0.6</v>
      </c>
      <c r="BC498" s="919">
        <v>0</v>
      </c>
      <c r="BD498" s="920">
        <v>1</v>
      </c>
      <c r="BE498" s="920">
        <v>0</v>
      </c>
      <c r="BF498" s="921">
        <v>0</v>
      </c>
      <c r="BG498" s="909">
        <v>1</v>
      </c>
      <c r="BH498" s="909">
        <v>0</v>
      </c>
      <c r="BI498" s="921">
        <v>0</v>
      </c>
      <c r="BJ498" s="909">
        <v>0</v>
      </c>
      <c r="BK498" s="909">
        <v>1</v>
      </c>
      <c r="BL498" s="909">
        <v>0</v>
      </c>
      <c r="BM498" s="921">
        <v>0</v>
      </c>
      <c r="BN498" s="199">
        <v>0.08</v>
      </c>
      <c r="BO498" s="959">
        <v>6.3</v>
      </c>
      <c r="BP498">
        <f ca="1">INDIRECT("'"&amp;AI498&amp;"'!"&amp;"B2")</f>
        <v>150</v>
      </c>
      <c r="BQ498">
        <f ca="1">INDIRECT("'"&amp;AI498&amp;"'!"&amp;"C12")+INDIRECT("'"&amp;AI498&amp;"'!"&amp;"C13")+INDIRECT("'"&amp;AI498&amp;"'!"&amp;"C14")+INDIRECT("'"&amp;AI498&amp;"'!"&amp;"C15")+INDIRECT("'"&amp;AI498&amp;"'!"&amp;"C17")</f>
        <v>372.82075000000003</v>
      </c>
      <c r="BR498">
        <f ca="1">INDIRECT("'"&amp;AI498&amp;"'!"&amp;"G5")</f>
        <v>111</v>
      </c>
      <c r="BS498">
        <f ca="1">INDIRECT("'"&amp;AI498&amp;"'!"&amp;"G4")</f>
        <v>120</v>
      </c>
      <c r="BT498">
        <f ca="1">INDIRECT("'"&amp;AI498&amp;"'!"&amp;"G6")</f>
        <v>86.25</v>
      </c>
      <c r="BU498">
        <f ca="1">INDIRECT("'"&amp;AI498&amp;"'!"&amp;"G2")</f>
        <v>14.5</v>
      </c>
      <c r="BV498">
        <f ca="1">INDIRECT("'"&amp;AI498&amp;"'!"&amp;"G3")</f>
        <v>9.3000000000000007</v>
      </c>
      <c r="BW498" s="1018">
        <v>0</v>
      </c>
      <c r="BX498">
        <f t="shared" ca="1" si="608"/>
        <v>33.6533602829712</v>
      </c>
      <c r="BY498">
        <f t="shared" ca="1" si="609"/>
        <v>48.020846258841047</v>
      </c>
      <c r="BZ498">
        <f t="shared" ca="1" si="581"/>
        <v>11.389944472018861</v>
      </c>
      <c r="CA498">
        <f t="shared" ca="1" si="582"/>
        <v>28.999999988399999</v>
      </c>
      <c r="CB498">
        <f t="shared" ca="1" si="610"/>
        <v>19.522900763358777</v>
      </c>
      <c r="CC498" s="1018">
        <f t="shared" si="583"/>
        <v>0</v>
      </c>
      <c r="CD498" s="1018">
        <f ca="1">SUM(BX498:CC498)+(BR498+BS498+BT498+BU498+BV498)*BN498</f>
        <v>168.87105176558987</v>
      </c>
      <c r="CE498" s="1018">
        <f ca="1">0.34*BO498*(1/25)^0.66*(BR498+BS498+BU498+BV498)+0.6*BQ498*0.34*0.2</f>
        <v>80.430739692441151</v>
      </c>
      <c r="CF498">
        <f t="shared" ca="1" si="584"/>
        <v>7.4790537437409306</v>
      </c>
      <c r="CG498">
        <f t="shared" ca="1" si="585"/>
        <v>12452.325321178898</v>
      </c>
    </row>
    <row r="499" spans="3:85" s="9" customFormat="1" x14ac:dyDescent="0.25">
      <c r="T499" s="84"/>
      <c r="U499" s="24"/>
      <c r="V499" s="283"/>
      <c r="W499" s="283"/>
      <c r="X499" s="283"/>
      <c r="Y499" s="279"/>
      <c r="Z499" s="279"/>
      <c r="AA499" s="283"/>
      <c r="AB499" s="283"/>
      <c r="AC499" s="283"/>
      <c r="AD499" s="283"/>
      <c r="AE499" s="283"/>
      <c r="AF499" s="283"/>
      <c r="AG499" s="279"/>
      <c r="AH499" s="314"/>
      <c r="AI499" s="911"/>
      <c r="AJ499" s="313"/>
      <c r="AK499" s="1020">
        <f t="shared" si="580"/>
        <v>0</v>
      </c>
      <c r="AL499" s="916"/>
      <c r="AM499" s="916"/>
      <c r="AN499" s="916"/>
      <c r="AO499" s="916"/>
      <c r="AP499" s="916"/>
      <c r="AQ499" s="313"/>
      <c r="AR499" s="916"/>
      <c r="AS499" s="916"/>
      <c r="AT499" s="916"/>
      <c r="AU499" s="916"/>
      <c r="AV499" s="916"/>
      <c r="AW499" s="916"/>
      <c r="AX499" s="916"/>
      <c r="AY499" s="916"/>
      <c r="AZ499" s="916"/>
      <c r="BA499" s="916"/>
      <c r="BB499" s="916"/>
      <c r="BC499" s="47"/>
      <c r="BD499" s="279"/>
      <c r="BE499" s="279"/>
      <c r="BF499" s="51"/>
      <c r="BG499" s="916"/>
      <c r="BH499" s="916"/>
      <c r="BI499" s="51"/>
      <c r="BJ499" s="916"/>
      <c r="BK499" s="916"/>
      <c r="BL499" s="916"/>
      <c r="BM499" s="51"/>
      <c r="BN499" s="279"/>
      <c r="BO499" s="51"/>
    </row>
    <row r="500" spans="3:85" x14ac:dyDescent="0.25">
      <c r="F500" s="1"/>
      <c r="H500" s="1"/>
      <c r="J500" s="1"/>
      <c r="M500" s="2" t="s">
        <v>16</v>
      </c>
      <c r="N500" s="26" t="s">
        <v>191</v>
      </c>
      <c r="O500" s="2" t="s">
        <v>18</v>
      </c>
      <c r="P500" s="26" t="s">
        <v>191</v>
      </c>
      <c r="Q500" s="2" t="s">
        <v>16</v>
      </c>
      <c r="R500" s="26" t="s">
        <v>191</v>
      </c>
      <c r="V500" s="176">
        <f>Calculation_sheet!D42</f>
        <v>0</v>
      </c>
      <c r="W500" s="176">
        <f t="shared" ref="W500:X502" si="628">V500</f>
        <v>0</v>
      </c>
      <c r="X500" s="176">
        <f t="shared" si="628"/>
        <v>0</v>
      </c>
      <c r="Y500" s="34">
        <f>X500/Calculation_sheet!M$67</f>
        <v>0</v>
      </c>
      <c r="Z500" s="176">
        <f ca="1">IF(AN500&gt;0,Y500*Calculation_sheet!C$87,0)</f>
        <v>0</v>
      </c>
      <c r="AA500" s="176">
        <f ca="1">Y500-Z500</f>
        <v>0</v>
      </c>
      <c r="AB500" s="176">
        <f ca="1">IF(AP500&gt;0,AA500*Calculation_sheet!C$94,0)</f>
        <v>0</v>
      </c>
      <c r="AC500" s="176">
        <f ca="1">AA500-AB500</f>
        <v>0</v>
      </c>
      <c r="AD500" s="958">
        <f ca="1">AC500*Calculation_sheet!C$99</f>
        <v>0</v>
      </c>
      <c r="AE500" s="176">
        <f ca="1">AC500-AD500</f>
        <v>0</v>
      </c>
      <c r="AF500" s="176">
        <f t="shared" ca="1" si="617"/>
        <v>0</v>
      </c>
      <c r="AG500" s="958">
        <f ca="1">AF500*User_sheet!B$77/100</f>
        <v>0</v>
      </c>
      <c r="AI500" s="908">
        <v>204</v>
      </c>
      <c r="AJ500" s="313"/>
      <c r="AK500" s="1020">
        <f t="shared" ca="1" si="580"/>
        <v>144.99755176558989</v>
      </c>
      <c r="AL500" s="954">
        <f ca="1">AK500/'204'!I$24</f>
        <v>0.52928472993462261</v>
      </c>
      <c r="AM500" s="954">
        <f ca="1">0.8*(AK500*30+'204'!D$17*0.34*30*1)</f>
        <v>7065.0270423741576</v>
      </c>
      <c r="AN500" s="954">
        <f ca="1">IF(AM500&lt;User_sheet!B$50,Y500,0)</f>
        <v>0</v>
      </c>
      <c r="AO500" s="954">
        <f ca="1">20-(User_sheet!B$57/(AK500+'204'!D$17*1*0.34))</f>
        <v>0.63701678995566624</v>
      </c>
      <c r="AP500" s="954">
        <f ca="1">IF(AO500&lt;User_sheet!B$59,0,BC500*AA500)</f>
        <v>0</v>
      </c>
      <c r="AQ500" s="313"/>
      <c r="AR500" s="909">
        <v>0.32</v>
      </c>
      <c r="AS500" s="909">
        <v>0.43</v>
      </c>
      <c r="AT500" s="909">
        <v>0.43</v>
      </c>
      <c r="AU500" s="909">
        <v>2</v>
      </c>
      <c r="AV500" s="909">
        <v>3.3</v>
      </c>
      <c r="AW500" s="909">
        <v>14356</v>
      </c>
      <c r="AX500" s="909">
        <v>74834</v>
      </c>
      <c r="AY500" s="909">
        <v>69246</v>
      </c>
      <c r="AZ500" s="917">
        <v>0</v>
      </c>
      <c r="BA500" s="917">
        <v>0</v>
      </c>
      <c r="BB500" s="909">
        <v>0.6</v>
      </c>
      <c r="BC500" s="919">
        <v>1</v>
      </c>
      <c r="BD500" s="920">
        <v>0</v>
      </c>
      <c r="BE500" s="920">
        <v>0</v>
      </c>
      <c r="BF500" s="921">
        <v>0</v>
      </c>
      <c r="BG500" s="909">
        <v>1</v>
      </c>
      <c r="BH500" s="909">
        <v>0</v>
      </c>
      <c r="BI500" s="921">
        <v>0</v>
      </c>
      <c r="BJ500" s="909">
        <v>1</v>
      </c>
      <c r="BK500" s="909">
        <v>0</v>
      </c>
      <c r="BL500" s="909">
        <v>0</v>
      </c>
      <c r="BM500" s="921">
        <v>0</v>
      </c>
      <c r="BN500" s="958">
        <v>0.01</v>
      </c>
      <c r="BO500" s="959">
        <v>2.5</v>
      </c>
      <c r="BP500">
        <f ca="1">INDIRECT("'"&amp;AI500&amp;"'!"&amp;"B2")</f>
        <v>150</v>
      </c>
      <c r="BQ500">
        <f ca="1">INDIRECT("'"&amp;AI500&amp;"'!"&amp;"C12")+INDIRECT("'"&amp;AI500&amp;"'!"&amp;"C13")+INDIRECT("'"&amp;AI500&amp;"'!"&amp;"C14")+INDIRECT("'"&amp;AI500&amp;"'!"&amp;"C15")+INDIRECT("'"&amp;AI500&amp;"'!"&amp;"C17")</f>
        <v>372.82075000000003</v>
      </c>
      <c r="BR500">
        <f ca="1">INDIRECT("'"&amp;AI500&amp;"'!"&amp;"G5")</f>
        <v>111</v>
      </c>
      <c r="BS500">
        <f ca="1">INDIRECT("'"&amp;AI500&amp;"'!"&amp;"G4")</f>
        <v>120</v>
      </c>
      <c r="BT500">
        <f ca="1">INDIRECT("'"&amp;AI500&amp;"'!"&amp;"G6")</f>
        <v>86.25</v>
      </c>
      <c r="BU500">
        <f ca="1">INDIRECT("'"&amp;AI500&amp;"'!"&amp;"G2")</f>
        <v>14.5</v>
      </c>
      <c r="BV500">
        <f ca="1">INDIRECT("'"&amp;AI500&amp;"'!"&amp;"G3")</f>
        <v>9.3000000000000007</v>
      </c>
      <c r="BW500" s="1018">
        <v>0</v>
      </c>
      <c r="BX500">
        <f t="shared" ca="1" si="608"/>
        <v>33.6533602829712</v>
      </c>
      <c r="BY500">
        <f t="shared" ca="1" si="609"/>
        <v>48.020846258841047</v>
      </c>
      <c r="BZ500">
        <f t="shared" ca="1" si="581"/>
        <v>11.389944472018861</v>
      </c>
      <c r="CA500">
        <f t="shared" ca="1" si="582"/>
        <v>28.999999988399999</v>
      </c>
      <c r="CB500">
        <f t="shared" ca="1" si="610"/>
        <v>19.522900763358777</v>
      </c>
      <c r="CC500" s="1018">
        <f t="shared" si="583"/>
        <v>0</v>
      </c>
      <c r="CD500" s="1018">
        <f ca="1">SUM(BX500:CC500)+(BR500+BS500+BT500+BU500+BV500)*BN500</f>
        <v>144.99755176558989</v>
      </c>
      <c r="CE500" s="1018">
        <f ca="1">0.34*BO500*(1/25)^0.66*(BR500+BS500+BU500+BV500)+0.6*BQ500*0.34*0.2</f>
        <v>41.091901319222686</v>
      </c>
      <c r="CF500">
        <f t="shared" ca="1" si="584"/>
        <v>5.5826835925443774</v>
      </c>
      <c r="CG500">
        <f t="shared" ca="1" si="585"/>
        <v>9294.9448742426866</v>
      </c>
    </row>
    <row r="501" spans="3:85" x14ac:dyDescent="0.25">
      <c r="F501" s="1"/>
      <c r="H501" s="1"/>
      <c r="J501" s="1"/>
      <c r="M501" s="2" t="s">
        <v>22</v>
      </c>
      <c r="N501" s="26" t="s">
        <v>191</v>
      </c>
      <c r="O501" s="2" t="s">
        <v>18</v>
      </c>
      <c r="P501" s="26" t="s">
        <v>191</v>
      </c>
      <c r="Q501" s="2" t="s">
        <v>22</v>
      </c>
      <c r="R501" s="26" t="s">
        <v>191</v>
      </c>
      <c r="V501" s="176">
        <f>Calculation_sheet!D43</f>
        <v>0</v>
      </c>
      <c r="W501" s="176">
        <f t="shared" si="628"/>
        <v>0</v>
      </c>
      <c r="X501" s="176">
        <f t="shared" si="628"/>
        <v>0</v>
      </c>
      <c r="Y501" s="34">
        <f>X501/Calculation_sheet!M$67</f>
        <v>0</v>
      </c>
      <c r="Z501" s="176">
        <f ca="1">IF(AN501&gt;0,Y501*Calculation_sheet!C$87,0)</f>
        <v>0</v>
      </c>
      <c r="AA501" s="176">
        <f ca="1">Y501-Z501</f>
        <v>0</v>
      </c>
      <c r="AB501" s="176">
        <f ca="1">IF(AP501&gt;0,AA501*Calculation_sheet!C$94,0)</f>
        <v>0</v>
      </c>
      <c r="AC501" s="176">
        <f ca="1">AA501-AB501</f>
        <v>0</v>
      </c>
      <c r="AD501" s="958">
        <f ca="1">AC501*Calculation_sheet!C$99</f>
        <v>0</v>
      </c>
      <c r="AE501" s="176">
        <f ca="1">AC501-AD501</f>
        <v>0</v>
      </c>
      <c r="AF501" s="176">
        <f t="shared" ca="1" si="617"/>
        <v>0</v>
      </c>
      <c r="AG501" s="958">
        <f ca="1">AF501*User_sheet!B$77/100</f>
        <v>0</v>
      </c>
      <c r="AI501" s="908">
        <v>204</v>
      </c>
      <c r="AJ501" s="313"/>
      <c r="AK501" s="1020">
        <f t="shared" ca="1" si="580"/>
        <v>144.99755176558989</v>
      </c>
      <c r="AL501" s="954">
        <f ca="1">AK501/'204'!I$24</f>
        <v>0.52928472993462261</v>
      </c>
      <c r="AM501" s="954">
        <f ca="1">0.8*(AK501*30+'204'!D$17*0.34*30*1)</f>
        <v>7065.0270423741576</v>
      </c>
      <c r="AN501" s="954">
        <f ca="1">IF(AM501&lt;User_sheet!B$50,Y501,0)</f>
        <v>0</v>
      </c>
      <c r="AO501" s="954">
        <f ca="1">20-(User_sheet!B$57/(AK501+'204'!D$17*1*0.34))</f>
        <v>0.63701678995566624</v>
      </c>
      <c r="AP501" s="954">
        <f ca="1">IF(AO501&lt;User_sheet!B$59,0,BC501*AA501)</f>
        <v>0</v>
      </c>
      <c r="AQ501" s="313"/>
      <c r="AR501" s="909">
        <v>0.32</v>
      </c>
      <c r="AS501" s="909">
        <v>0.43</v>
      </c>
      <c r="AT501" s="909">
        <v>0.43</v>
      </c>
      <c r="AU501" s="909">
        <v>2</v>
      </c>
      <c r="AV501" s="909">
        <v>3.3</v>
      </c>
      <c r="AW501" s="909">
        <v>14356</v>
      </c>
      <c r="AX501" s="909">
        <v>74834</v>
      </c>
      <c r="AY501" s="909">
        <v>69246</v>
      </c>
      <c r="AZ501" s="917">
        <v>0</v>
      </c>
      <c r="BA501" s="917">
        <v>0</v>
      </c>
      <c r="BB501" s="909">
        <v>0.6</v>
      </c>
      <c r="BC501" s="919">
        <v>0</v>
      </c>
      <c r="BD501" s="920">
        <v>1</v>
      </c>
      <c r="BE501" s="920">
        <v>0</v>
      </c>
      <c r="BF501" s="921">
        <v>0</v>
      </c>
      <c r="BG501" s="909">
        <v>1</v>
      </c>
      <c r="BH501" s="909">
        <v>0</v>
      </c>
      <c r="BI501" s="921">
        <v>0</v>
      </c>
      <c r="BJ501" s="909">
        <v>0</v>
      </c>
      <c r="BK501" s="909">
        <v>1</v>
      </c>
      <c r="BL501" s="909">
        <v>0</v>
      </c>
      <c r="BM501" s="921">
        <v>0</v>
      </c>
      <c r="BN501" s="958">
        <v>0.01</v>
      </c>
      <c r="BO501" s="959">
        <v>2.5</v>
      </c>
      <c r="BP501">
        <f ca="1">INDIRECT("'"&amp;AI501&amp;"'!"&amp;"B2")</f>
        <v>150</v>
      </c>
      <c r="BQ501">
        <f ca="1">INDIRECT("'"&amp;AI501&amp;"'!"&amp;"C12")+INDIRECT("'"&amp;AI501&amp;"'!"&amp;"C13")+INDIRECT("'"&amp;AI501&amp;"'!"&amp;"C14")+INDIRECT("'"&amp;AI501&amp;"'!"&amp;"C15")+INDIRECT("'"&amp;AI501&amp;"'!"&amp;"C17")</f>
        <v>372.82075000000003</v>
      </c>
      <c r="BR501">
        <f ca="1">INDIRECT("'"&amp;AI501&amp;"'!"&amp;"G5")</f>
        <v>111</v>
      </c>
      <c r="BS501">
        <f ca="1">INDIRECT("'"&amp;AI501&amp;"'!"&amp;"G4")</f>
        <v>120</v>
      </c>
      <c r="BT501">
        <f ca="1">INDIRECT("'"&amp;AI501&amp;"'!"&amp;"G6")</f>
        <v>86.25</v>
      </c>
      <c r="BU501">
        <f ca="1">INDIRECT("'"&amp;AI501&amp;"'!"&amp;"G2")</f>
        <v>14.5</v>
      </c>
      <c r="BV501">
        <f ca="1">INDIRECT("'"&amp;AI501&amp;"'!"&amp;"G3")</f>
        <v>9.3000000000000007</v>
      </c>
      <c r="BW501" s="1018">
        <v>0</v>
      </c>
      <c r="BX501">
        <f t="shared" ca="1" si="608"/>
        <v>33.6533602829712</v>
      </c>
      <c r="BY501">
        <f t="shared" ca="1" si="609"/>
        <v>48.020846258841047</v>
      </c>
      <c r="BZ501">
        <f t="shared" ca="1" si="581"/>
        <v>11.389944472018861</v>
      </c>
      <c r="CA501">
        <f t="shared" ca="1" si="582"/>
        <v>28.999999988399999</v>
      </c>
      <c r="CB501">
        <f t="shared" ca="1" si="610"/>
        <v>19.522900763358777</v>
      </c>
      <c r="CC501" s="1018">
        <f t="shared" si="583"/>
        <v>0</v>
      </c>
      <c r="CD501" s="1018">
        <f ca="1">SUM(BX501:CC501)+(BR501+BS501+BT501+BU501+BV501)*BN501</f>
        <v>144.99755176558989</v>
      </c>
      <c r="CE501" s="1018">
        <f t="shared" ref="CE501:CE502" ca="1" si="629">0.34*BO501*(1/25)^0.66*(BR501+BS501+BU501+BV501)+0.6*BQ501*0.34*0.2</f>
        <v>41.091901319222686</v>
      </c>
      <c r="CF501">
        <f t="shared" ca="1" si="584"/>
        <v>5.5826835925443774</v>
      </c>
      <c r="CG501">
        <f t="shared" ca="1" si="585"/>
        <v>9294.9448742426866</v>
      </c>
    </row>
    <row r="502" spans="3:85" x14ac:dyDescent="0.25">
      <c r="C502" s="1" t="s">
        <v>190</v>
      </c>
      <c r="D502" s="5" t="s">
        <v>191</v>
      </c>
      <c r="E502" t="s">
        <v>4</v>
      </c>
      <c r="F502" s="5" t="s">
        <v>191</v>
      </c>
      <c r="G502" t="s">
        <v>5</v>
      </c>
      <c r="H502" s="5" t="s">
        <v>191</v>
      </c>
      <c r="I502" t="s">
        <v>6</v>
      </c>
      <c r="J502" s="5" t="s">
        <v>191</v>
      </c>
      <c r="K502" t="s">
        <v>12</v>
      </c>
      <c r="L502" s="5" t="s">
        <v>191</v>
      </c>
      <c r="M502" s="1" t="s">
        <v>7</v>
      </c>
      <c r="N502" s="26" t="s">
        <v>191</v>
      </c>
      <c r="O502" s="1" t="s">
        <v>23</v>
      </c>
      <c r="P502" s="26" t="s">
        <v>191</v>
      </c>
      <c r="Q502" s="1" t="s">
        <v>7</v>
      </c>
      <c r="R502" s="26" t="s">
        <v>191</v>
      </c>
      <c r="V502" s="176">
        <f>Calculation_sheet!D44</f>
        <v>0</v>
      </c>
      <c r="W502" s="176">
        <f t="shared" si="628"/>
        <v>0</v>
      </c>
      <c r="X502" s="176">
        <f t="shared" si="628"/>
        <v>0</v>
      </c>
      <c r="Y502" s="34">
        <f>X502/Calculation_sheet!M$67</f>
        <v>0</v>
      </c>
      <c r="Z502" s="176">
        <f ca="1">IF(AN502&gt;0,Y502*Calculation_sheet!C$87,0)</f>
        <v>0</v>
      </c>
      <c r="AA502" s="176">
        <f ca="1">Y502-Z502</f>
        <v>0</v>
      </c>
      <c r="AB502" s="176">
        <f ca="1">IF(AP502&gt;0,AA502*Calculation_sheet!C$94,0)</f>
        <v>0</v>
      </c>
      <c r="AC502" s="176">
        <f ca="1">AA502-AB502</f>
        <v>0</v>
      </c>
      <c r="AD502" s="958">
        <f ca="1">AC502*Calculation_sheet!C$99</f>
        <v>0</v>
      </c>
      <c r="AE502" s="176">
        <f ca="1">AC502-AD502</f>
        <v>0</v>
      </c>
      <c r="AF502" s="176">
        <f t="shared" ca="1" si="617"/>
        <v>0</v>
      </c>
      <c r="AG502" s="958">
        <f ca="1">AF502*User_sheet!B$77/100</f>
        <v>0</v>
      </c>
      <c r="AI502" s="908">
        <v>204</v>
      </c>
      <c r="AJ502" s="313"/>
      <c r="AK502" s="1020">
        <f t="shared" ca="1" si="580"/>
        <v>144.99755176558989</v>
      </c>
      <c r="AL502" s="954">
        <f ca="1">AK502/'204'!I$24</f>
        <v>0.52928472993462261</v>
      </c>
      <c r="AM502" s="954">
        <f ca="1">0.8*(AK502*30+'204'!D$17*0.34*30*1)</f>
        <v>7065.0270423741576</v>
      </c>
      <c r="AN502" s="954">
        <f ca="1">IF(AM502&lt;User_sheet!B$50,Y502,0)</f>
        <v>0</v>
      </c>
      <c r="AO502" s="954">
        <f ca="1">20-(User_sheet!B$57/(AK502+'204'!D$17*1*0.34))</f>
        <v>0.63701678995566624</v>
      </c>
      <c r="AP502" s="954">
        <f ca="1">IF(AO502&lt;User_sheet!B$59,0,BC502*AA502)</f>
        <v>0</v>
      </c>
      <c r="AQ502" s="313"/>
      <c r="AR502" s="909">
        <v>0.32</v>
      </c>
      <c r="AS502" s="909">
        <v>0.43</v>
      </c>
      <c r="AT502" s="909">
        <v>0.43</v>
      </c>
      <c r="AU502" s="909">
        <v>2</v>
      </c>
      <c r="AV502" s="909">
        <v>3.3</v>
      </c>
      <c r="AW502" s="909">
        <v>14356</v>
      </c>
      <c r="AX502" s="909">
        <v>74834</v>
      </c>
      <c r="AY502" s="909">
        <v>69246</v>
      </c>
      <c r="AZ502" s="917">
        <v>0</v>
      </c>
      <c r="BA502" s="917">
        <v>0</v>
      </c>
      <c r="BB502" s="909">
        <v>0.6</v>
      </c>
      <c r="BC502" s="919">
        <v>0</v>
      </c>
      <c r="BD502" s="199">
        <v>0</v>
      </c>
      <c r="BE502" s="199">
        <v>1</v>
      </c>
      <c r="BF502" s="921">
        <v>0</v>
      </c>
      <c r="BG502" s="199">
        <v>0</v>
      </c>
      <c r="BH502" s="199">
        <v>0</v>
      </c>
      <c r="BI502" s="921">
        <v>1</v>
      </c>
      <c r="BJ502" s="199">
        <v>0</v>
      </c>
      <c r="BK502" s="199">
        <v>0</v>
      </c>
      <c r="BL502" s="199">
        <v>1</v>
      </c>
      <c r="BM502" s="921">
        <v>0</v>
      </c>
      <c r="BN502" s="958">
        <v>0.01</v>
      </c>
      <c r="BO502" s="959">
        <v>2.5</v>
      </c>
      <c r="BP502">
        <f ca="1">INDIRECT("'"&amp;AI502&amp;"'!"&amp;"B2")</f>
        <v>150</v>
      </c>
      <c r="BQ502">
        <f ca="1">INDIRECT("'"&amp;AI502&amp;"'!"&amp;"C12")+INDIRECT("'"&amp;AI502&amp;"'!"&amp;"C13")+INDIRECT("'"&amp;AI502&amp;"'!"&amp;"C14")+INDIRECT("'"&amp;AI502&amp;"'!"&amp;"C15")+INDIRECT("'"&amp;AI502&amp;"'!"&amp;"C17")</f>
        <v>372.82075000000003</v>
      </c>
      <c r="BR502">
        <f ca="1">INDIRECT("'"&amp;AI502&amp;"'!"&amp;"G5")</f>
        <v>111</v>
      </c>
      <c r="BS502">
        <f ca="1">INDIRECT("'"&amp;AI502&amp;"'!"&amp;"G4")</f>
        <v>120</v>
      </c>
      <c r="BT502">
        <f ca="1">INDIRECT("'"&amp;AI502&amp;"'!"&amp;"G6")</f>
        <v>86.25</v>
      </c>
      <c r="BU502">
        <f ca="1">INDIRECT("'"&amp;AI502&amp;"'!"&amp;"G2")</f>
        <v>14.5</v>
      </c>
      <c r="BV502">
        <f ca="1">INDIRECT("'"&amp;AI502&amp;"'!"&amp;"G3")</f>
        <v>9.3000000000000007</v>
      </c>
      <c r="BW502" s="1018">
        <v>0</v>
      </c>
      <c r="BX502">
        <f t="shared" ca="1" si="608"/>
        <v>33.6533602829712</v>
      </c>
      <c r="BY502">
        <f t="shared" ca="1" si="609"/>
        <v>48.020846258841047</v>
      </c>
      <c r="BZ502">
        <f t="shared" ca="1" si="581"/>
        <v>11.389944472018861</v>
      </c>
      <c r="CA502">
        <f t="shared" ca="1" si="582"/>
        <v>28.999999988399999</v>
      </c>
      <c r="CB502">
        <f t="shared" ca="1" si="610"/>
        <v>19.522900763358777</v>
      </c>
      <c r="CC502" s="1018">
        <f t="shared" si="583"/>
        <v>0</v>
      </c>
      <c r="CD502" s="1018">
        <f ca="1">SUM(BX502:CC502)+(BR502+BS502+BT502+BU502+BV502)*BN502</f>
        <v>144.99755176558989</v>
      </c>
      <c r="CE502" s="1018">
        <f t="shared" ca="1" si="629"/>
        <v>41.091901319222686</v>
      </c>
      <c r="CF502">
        <f t="shared" ca="1" si="584"/>
        <v>5.5826835925443774</v>
      </c>
      <c r="CG502">
        <f t="shared" ca="1" si="585"/>
        <v>9294.9448742426866</v>
      </c>
    </row>
    <row r="503" spans="3:85" s="9" customFormat="1" x14ac:dyDescent="0.25">
      <c r="T503" s="84"/>
      <c r="V503" s="283"/>
      <c r="W503" s="283"/>
      <c r="X503" s="283"/>
      <c r="Y503" s="279"/>
      <c r="Z503" s="279"/>
      <c r="AA503" s="283"/>
      <c r="AB503" s="283"/>
      <c r="AC503" s="283"/>
      <c r="AD503" s="279"/>
      <c r="AE503" s="283"/>
      <c r="AF503" s="283"/>
      <c r="AG503" s="279"/>
      <c r="AH503" s="314"/>
      <c r="AI503" s="911"/>
      <c r="AJ503" s="313"/>
      <c r="AK503" s="911"/>
      <c r="AL503" s="911"/>
      <c r="AM503" s="911"/>
      <c r="AN503" s="916"/>
      <c r="AO503" s="916"/>
      <c r="AP503" s="916"/>
      <c r="AQ503" s="313"/>
      <c r="AR503" s="916"/>
      <c r="AS503" s="916"/>
      <c r="AT503" s="916"/>
      <c r="AU503" s="916"/>
      <c r="AV503" s="916"/>
      <c r="AW503" s="916"/>
      <c r="AX503" s="916"/>
      <c r="AY503" s="916"/>
      <c r="AZ503" s="916"/>
      <c r="BA503" s="916"/>
      <c r="BB503" s="916"/>
      <c r="BC503" s="47"/>
      <c r="BD503" s="916"/>
      <c r="BE503" s="916"/>
      <c r="BF503" s="51"/>
      <c r="BG503" s="916"/>
      <c r="BH503" s="916"/>
      <c r="BI503" s="51"/>
      <c r="BJ503" s="916"/>
      <c r="BK503" s="916"/>
      <c r="BL503" s="916"/>
      <c r="BM503" s="51"/>
      <c r="BN503" s="279"/>
      <c r="BO503" s="51"/>
    </row>
    <row r="504" spans="3:85" x14ac:dyDescent="0.25">
      <c r="T504" s="85">
        <f>SUM(T13:T503)</f>
        <v>0.19668033013918487</v>
      </c>
      <c r="Y504" s="958">
        <f>SUM(Y12:Y503)</f>
        <v>0.19668435154952363</v>
      </c>
      <c r="AB504" s="176"/>
      <c r="AM504" s="954"/>
      <c r="AN504" s="924">
        <f ca="1">SUM(AN12:AN503)</f>
        <v>7.0284707467849497E-2</v>
      </c>
      <c r="AO504" s="954"/>
      <c r="AP504" s="924">
        <f ca="1">SUM(AP12:AP503)</f>
        <v>3.2160386605493745E-2</v>
      </c>
    </row>
    <row r="505" spans="3:85" x14ac:dyDescent="0.25">
      <c r="AB505" s="176"/>
      <c r="AM505" s="954"/>
      <c r="AO505" s="954"/>
    </row>
  </sheetData>
  <hyperlinks>
    <hyperlink ref="K4" r:id="rId1"/>
    <hyperlink ref="M4" r:id="rId2"/>
    <hyperlink ref="O4" r:id="rId3"/>
    <hyperlink ref="A3" r:id="rId4"/>
    <hyperlink ref="Q4" r:id="rId5"/>
    <hyperlink ref="A4" r:id="rId6"/>
    <hyperlink ref="G4" r:id="rId7"/>
    <hyperlink ref="E4" r:id="rId8"/>
  </hyperlinks>
  <pageMargins left="0.7" right="0.7" top="0.75" bottom="0.75" header="0.3" footer="0.3"/>
  <pageSetup orientation="portrait"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05"/>
  <sheetViews>
    <sheetView topLeftCell="AI3" zoomScale="85" zoomScaleNormal="85" workbookViewId="0">
      <pane ySplit="810" topLeftCell="A382" activePane="bottomLeft"/>
      <selection activeCell="BN1" sqref="BN1:BO3"/>
      <selection pane="bottomLeft" activeCell="AS277" sqref="AS277:AS385"/>
    </sheetView>
  </sheetViews>
  <sheetFormatPr defaultColWidth="11.42578125" defaultRowHeight="15" x14ac:dyDescent="0.25"/>
  <cols>
    <col min="5" max="5" width="20.7109375" customWidth="1"/>
    <col min="7" max="7" width="20.7109375" customWidth="1"/>
    <col min="9" max="9" width="16.140625" customWidth="1"/>
    <col min="10" max="10" width="14" customWidth="1"/>
    <col min="11" max="11" width="19.5703125" customWidth="1"/>
    <col min="17" max="17" width="12.28515625" customWidth="1"/>
    <col min="18" max="18" width="19.140625" customWidth="1"/>
    <col min="19" max="19" width="9.7109375" customWidth="1"/>
    <col min="20" max="20" width="17.5703125" style="85" customWidth="1"/>
    <col min="21" max="21" width="14" style="85" customWidth="1"/>
    <col min="22" max="24" width="22" style="176" customWidth="1"/>
    <col min="25" max="25" width="22" style="34" customWidth="1"/>
    <col min="26" max="27" width="22" style="176" customWidth="1"/>
    <col min="28" max="28" width="22" style="958" customWidth="1"/>
    <col min="29" max="29" width="22" style="176" customWidth="1"/>
    <col min="30" max="30" width="22" style="958" customWidth="1"/>
    <col min="31" max="32" width="22" style="176" customWidth="1"/>
    <col min="33" max="33" width="22" style="958" customWidth="1"/>
    <col min="34" max="34" width="11.42578125" style="314"/>
    <col min="36" max="36" width="11.42578125" style="314"/>
    <col min="37" max="38" width="11.42578125" style="924"/>
    <col min="39" max="39" width="14" style="924" customWidth="1"/>
    <col min="40" max="42" width="16" style="924" customWidth="1"/>
    <col min="43" max="43" width="11.42578125" style="314"/>
    <col min="55" max="55" width="11.42578125" style="31"/>
    <col min="59" max="59" width="11.42578125" style="31"/>
    <col min="62" max="62" width="11.42578125" style="31"/>
    <col min="65" max="65" width="16.5703125" style="39" customWidth="1"/>
    <col min="66" max="66" width="14" style="931" customWidth="1"/>
    <col min="67" max="67" width="14" style="936" customWidth="1"/>
    <col min="68" max="85" width="11.42578125" style="1018"/>
  </cols>
  <sheetData>
    <row r="1" spans="1:85" ht="19.5" customHeight="1" thickBot="1" x14ac:dyDescent="0.3">
      <c r="A1" s="241" t="s">
        <v>25</v>
      </c>
      <c r="B1" s="197"/>
      <c r="C1" s="197" t="s">
        <v>27</v>
      </c>
      <c r="D1" s="242"/>
      <c r="E1" s="241" t="s">
        <v>26</v>
      </c>
      <c r="F1" s="242"/>
      <c r="G1" s="241" t="s">
        <v>28</v>
      </c>
      <c r="H1" s="242"/>
      <c r="I1" s="241" t="s">
        <v>29</v>
      </c>
      <c r="J1" s="242"/>
      <c r="K1" s="241" t="s">
        <v>30</v>
      </c>
      <c r="L1" s="242"/>
      <c r="M1" s="241" t="s">
        <v>21</v>
      </c>
      <c r="N1" s="242"/>
      <c r="O1" s="241" t="s">
        <v>48</v>
      </c>
      <c r="P1" s="242"/>
      <c r="Q1" s="241" t="s">
        <v>24</v>
      </c>
      <c r="R1" s="242"/>
      <c r="S1" s="1"/>
      <c r="T1" s="286" t="s">
        <v>47</v>
      </c>
      <c r="U1" s="297" t="s">
        <v>49</v>
      </c>
      <c r="V1" s="285" t="s">
        <v>185</v>
      </c>
      <c r="W1" s="285" t="s">
        <v>204</v>
      </c>
      <c r="X1" s="285" t="s">
        <v>224</v>
      </c>
      <c r="Y1" s="307" t="s">
        <v>270</v>
      </c>
      <c r="Z1" s="989" t="s">
        <v>269</v>
      </c>
      <c r="AA1" s="990" t="s">
        <v>278</v>
      </c>
      <c r="AB1" s="307" t="s">
        <v>282</v>
      </c>
      <c r="AC1" s="999" t="s">
        <v>292</v>
      </c>
      <c r="AD1" s="307" t="s">
        <v>296</v>
      </c>
      <c r="AE1" s="999" t="s">
        <v>294</v>
      </c>
      <c r="AF1" s="1006" t="s">
        <v>306</v>
      </c>
      <c r="AG1" s="307" t="s">
        <v>307</v>
      </c>
      <c r="AH1" s="313"/>
      <c r="AI1" s="29" t="s">
        <v>94</v>
      </c>
      <c r="AJ1" s="987"/>
      <c r="AK1" s="87" t="s">
        <v>266</v>
      </c>
      <c r="AL1" s="87" t="s">
        <v>267</v>
      </c>
      <c r="AM1" s="87" t="s">
        <v>271</v>
      </c>
      <c r="AN1" s="87" t="s">
        <v>274</v>
      </c>
      <c r="AO1" s="87" t="s">
        <v>283</v>
      </c>
      <c r="AP1" s="87" t="s">
        <v>287</v>
      </c>
      <c r="AQ1" s="987"/>
      <c r="AR1" s="2" t="s">
        <v>99</v>
      </c>
      <c r="AS1" s="2" t="s">
        <v>100</v>
      </c>
      <c r="AT1" s="2" t="s">
        <v>101</v>
      </c>
      <c r="AU1" s="2" t="s">
        <v>102</v>
      </c>
      <c r="AV1" s="2" t="s">
        <v>103</v>
      </c>
      <c r="AW1" s="2" t="s">
        <v>104</v>
      </c>
      <c r="AX1" s="2" t="s">
        <v>105</v>
      </c>
      <c r="AY1" s="2" t="s">
        <v>106</v>
      </c>
      <c r="AZ1" s="2" t="s">
        <v>107</v>
      </c>
      <c r="BA1" s="2" t="s">
        <v>108</v>
      </c>
      <c r="BB1" s="87" t="s">
        <v>63</v>
      </c>
      <c r="BC1" s="30" t="s">
        <v>70</v>
      </c>
      <c r="BD1" s="34" t="s">
        <v>71</v>
      </c>
      <c r="BE1" s="34" t="s">
        <v>72</v>
      </c>
      <c r="BF1" s="40" t="s">
        <v>73</v>
      </c>
      <c r="BG1" s="2" t="s">
        <v>58</v>
      </c>
      <c r="BH1" s="2" t="s">
        <v>75</v>
      </c>
      <c r="BI1" s="40" t="s">
        <v>23</v>
      </c>
      <c r="BJ1" s="2" t="s">
        <v>76</v>
      </c>
      <c r="BK1" s="2" t="s">
        <v>77</v>
      </c>
      <c r="BL1" s="2" t="s">
        <v>78</v>
      </c>
      <c r="BM1" s="40" t="s">
        <v>79</v>
      </c>
      <c r="BN1" s="958" t="s">
        <v>356</v>
      </c>
      <c r="BO1" s="959" t="s">
        <v>359</v>
      </c>
      <c r="BP1" s="1021" t="s">
        <v>310</v>
      </c>
      <c r="BQ1" s="1021" t="s">
        <v>311</v>
      </c>
      <c r="BR1" s="1021" t="s">
        <v>312</v>
      </c>
      <c r="BS1" s="1021" t="s">
        <v>313</v>
      </c>
      <c r="BT1" s="1021" t="s">
        <v>314</v>
      </c>
      <c r="BU1" s="1021" t="s">
        <v>315</v>
      </c>
      <c r="BV1" s="1021" t="s">
        <v>316</v>
      </c>
      <c r="BW1" s="1021" t="s">
        <v>339</v>
      </c>
      <c r="BX1" s="1021" t="s">
        <v>321</v>
      </c>
      <c r="BY1" s="1021" t="s">
        <v>322</v>
      </c>
      <c r="BZ1" s="1021" t="s">
        <v>323</v>
      </c>
      <c r="CA1" s="1021" t="s">
        <v>324</v>
      </c>
      <c r="CB1" s="1021" t="s">
        <v>325</v>
      </c>
      <c r="CC1" s="1021" t="s">
        <v>340</v>
      </c>
      <c r="CD1" s="1022" t="s">
        <v>326</v>
      </c>
      <c r="CE1" s="1023" t="s">
        <v>327</v>
      </c>
      <c r="CF1" s="1021" t="s">
        <v>336</v>
      </c>
      <c r="CG1" s="1021" t="s">
        <v>338</v>
      </c>
    </row>
    <row r="2" spans="1:85" ht="18" customHeight="1" x14ac:dyDescent="0.25">
      <c r="A2" s="53" t="s">
        <v>32</v>
      </c>
      <c r="B2" s="32"/>
      <c r="C2" s="32"/>
      <c r="D2" s="56"/>
      <c r="E2" s="53" t="s">
        <v>31</v>
      </c>
      <c r="F2" s="56"/>
      <c r="G2" s="53" t="s">
        <v>31</v>
      </c>
      <c r="H2" s="56"/>
      <c r="I2" s="53" t="s">
        <v>31</v>
      </c>
      <c r="J2" s="56"/>
      <c r="K2" s="63" t="s">
        <v>31</v>
      </c>
      <c r="L2" s="56"/>
      <c r="M2" s="63" t="s">
        <v>42</v>
      </c>
      <c r="N2" s="56"/>
      <c r="O2" s="63" t="s">
        <v>42</v>
      </c>
      <c r="P2" s="56"/>
      <c r="Q2" s="243" t="s">
        <v>31</v>
      </c>
      <c r="R2" s="244"/>
      <c r="S2" s="1"/>
      <c r="T2" s="77"/>
      <c r="U2" s="176" t="s">
        <v>56</v>
      </c>
      <c r="V2" s="288" t="s">
        <v>135</v>
      </c>
      <c r="W2" s="288"/>
      <c r="X2" s="288"/>
      <c r="Y2" s="276"/>
      <c r="Z2" s="288"/>
      <c r="AA2" s="288"/>
      <c r="AB2" s="276"/>
      <c r="AC2" s="288"/>
      <c r="AD2" s="276"/>
      <c r="AE2" s="288"/>
      <c r="AF2" s="288"/>
      <c r="AG2" s="276"/>
      <c r="AH2" s="313"/>
      <c r="AI2" s="29" t="s">
        <v>97</v>
      </c>
      <c r="AJ2" s="987"/>
      <c r="AK2" s="87" t="s">
        <v>266</v>
      </c>
      <c r="AL2" s="87" t="s">
        <v>268</v>
      </c>
      <c r="AM2" s="87" t="s">
        <v>273</v>
      </c>
      <c r="AN2" s="87"/>
      <c r="AO2" s="87" t="s">
        <v>285</v>
      </c>
      <c r="AP2" s="87"/>
      <c r="AQ2" s="987"/>
      <c r="AR2" s="2" t="s">
        <v>64</v>
      </c>
      <c r="AS2" s="2" t="s">
        <v>64</v>
      </c>
      <c r="AT2" s="2" t="s">
        <v>64</v>
      </c>
      <c r="AU2" s="2" t="s">
        <v>64</v>
      </c>
      <c r="AV2" s="2" t="s">
        <v>64</v>
      </c>
      <c r="AW2" s="2" t="s">
        <v>65</v>
      </c>
      <c r="AX2" s="2" t="s">
        <v>65</v>
      </c>
      <c r="AY2" s="2" t="s">
        <v>65</v>
      </c>
      <c r="AZ2" s="2" t="s">
        <v>65</v>
      </c>
      <c r="BA2" s="2" t="s">
        <v>65</v>
      </c>
      <c r="BB2" s="87" t="s">
        <v>66</v>
      </c>
      <c r="BC2" s="30" t="s">
        <v>74</v>
      </c>
      <c r="BD2" s="34" t="s">
        <v>74</v>
      </c>
      <c r="BE2" s="34" t="s">
        <v>74</v>
      </c>
      <c r="BF2" s="40" t="s">
        <v>74</v>
      </c>
      <c r="BG2" s="2" t="s">
        <v>74</v>
      </c>
      <c r="BH2" s="2" t="s">
        <v>74</v>
      </c>
      <c r="BI2" s="40" t="s">
        <v>74</v>
      </c>
      <c r="BJ2" s="2" t="s">
        <v>74</v>
      </c>
      <c r="BK2" s="2" t="s">
        <v>74</v>
      </c>
      <c r="BL2" s="2" t="s">
        <v>74</v>
      </c>
      <c r="BM2" s="40" t="s">
        <v>74</v>
      </c>
      <c r="BN2" s="958" t="s">
        <v>357</v>
      </c>
      <c r="BO2" s="959" t="s">
        <v>360</v>
      </c>
      <c r="BP2" s="1021" t="s">
        <v>317</v>
      </c>
      <c r="BQ2" s="1021" t="s">
        <v>317</v>
      </c>
      <c r="BR2" s="1021" t="s">
        <v>317</v>
      </c>
      <c r="BS2" s="1021" t="s">
        <v>317</v>
      </c>
      <c r="BT2" s="1021" t="s">
        <v>317</v>
      </c>
      <c r="BU2" s="1021" t="s">
        <v>317</v>
      </c>
      <c r="BV2" s="1021" t="s">
        <v>317</v>
      </c>
      <c r="BW2" s="1021"/>
      <c r="BX2" s="1020" t="s">
        <v>265</v>
      </c>
      <c r="BY2" s="1020" t="s">
        <v>265</v>
      </c>
      <c r="BZ2" s="1020" t="s">
        <v>265</v>
      </c>
      <c r="CA2" s="1020" t="s">
        <v>265</v>
      </c>
      <c r="CB2" s="1020" t="s">
        <v>265</v>
      </c>
      <c r="CC2" s="1020" t="s">
        <v>265</v>
      </c>
      <c r="CD2" s="1020" t="s">
        <v>265</v>
      </c>
      <c r="CE2" s="1020" t="s">
        <v>265</v>
      </c>
      <c r="CF2" s="1020" t="s">
        <v>337</v>
      </c>
    </row>
    <row r="3" spans="1:85" ht="19.5" customHeight="1" x14ac:dyDescent="0.25">
      <c r="A3" s="57" t="s">
        <v>51</v>
      </c>
      <c r="B3" s="32"/>
      <c r="C3" s="32"/>
      <c r="D3" s="56"/>
      <c r="E3" s="53" t="s">
        <v>33</v>
      </c>
      <c r="F3" s="56"/>
      <c r="G3" s="53" t="s">
        <v>34</v>
      </c>
      <c r="H3" s="56"/>
      <c r="I3" s="53" t="s">
        <v>34</v>
      </c>
      <c r="J3" s="56"/>
      <c r="K3" s="63" t="s">
        <v>34</v>
      </c>
      <c r="L3" s="56"/>
      <c r="M3" s="64"/>
      <c r="N3" s="56" t="s">
        <v>41</v>
      </c>
      <c r="O3" s="64"/>
      <c r="P3" s="56" t="s">
        <v>41</v>
      </c>
      <c r="Q3" s="63" t="s">
        <v>34</v>
      </c>
      <c r="R3" s="56"/>
      <c r="S3" s="1"/>
      <c r="T3" s="77"/>
      <c r="V3" s="288" t="s">
        <v>134</v>
      </c>
      <c r="W3" s="288" t="s">
        <v>205</v>
      </c>
      <c r="X3" s="288" t="s">
        <v>205</v>
      </c>
      <c r="Y3" s="276"/>
      <c r="Z3" s="288"/>
      <c r="AA3" s="288"/>
      <c r="AB3" s="276"/>
      <c r="AC3" s="288"/>
      <c r="AD3" s="276"/>
      <c r="AE3" s="288"/>
      <c r="AF3" s="288"/>
      <c r="AG3" s="276"/>
      <c r="AH3" s="313"/>
      <c r="AI3" s="29"/>
      <c r="AJ3" s="987"/>
      <c r="AK3" s="954"/>
      <c r="AL3" s="954"/>
      <c r="AM3" s="954"/>
      <c r="AN3" s="954"/>
      <c r="AO3" s="954"/>
      <c r="AP3" s="954"/>
      <c r="AQ3" s="987"/>
      <c r="AR3" s="87" t="s">
        <v>111</v>
      </c>
      <c r="AS3" s="87" t="s">
        <v>112</v>
      </c>
      <c r="AT3" s="87" t="s">
        <v>113</v>
      </c>
      <c r="AU3" s="87" t="s">
        <v>114</v>
      </c>
      <c r="AV3" s="87" t="s">
        <v>115</v>
      </c>
      <c r="AW3" s="87" t="s">
        <v>111</v>
      </c>
      <c r="AX3" s="87" t="s">
        <v>112</v>
      </c>
      <c r="AY3" s="87" t="s">
        <v>113</v>
      </c>
      <c r="AZ3" s="87" t="s">
        <v>114</v>
      </c>
      <c r="BA3" s="87" t="s">
        <v>115</v>
      </c>
      <c r="BB3" s="87" t="s">
        <v>67</v>
      </c>
      <c r="BC3" s="30"/>
      <c r="BD3" s="34"/>
      <c r="BE3" s="34"/>
      <c r="BF3" s="40"/>
      <c r="BG3" s="2"/>
      <c r="BH3" s="2"/>
      <c r="BI3" s="40"/>
      <c r="BJ3" s="2"/>
      <c r="BK3" s="2"/>
      <c r="BL3" s="2"/>
      <c r="BM3" s="40"/>
      <c r="BN3" s="958" t="s">
        <v>358</v>
      </c>
      <c r="BO3" s="959" t="s">
        <v>361</v>
      </c>
      <c r="BU3" s="1016"/>
      <c r="BV3" s="1015" t="s">
        <v>335</v>
      </c>
      <c r="BW3" s="1015"/>
      <c r="BX3" s="1014" t="s">
        <v>318</v>
      </c>
      <c r="BY3" s="1018">
        <v>7.5</v>
      </c>
      <c r="BZ3" s="1018" t="s">
        <v>320</v>
      </c>
    </row>
    <row r="4" spans="1:85" x14ac:dyDescent="0.25">
      <c r="A4" s="57" t="s">
        <v>52</v>
      </c>
      <c r="B4" s="32"/>
      <c r="C4" s="32"/>
      <c r="D4" s="56"/>
      <c r="E4" s="57" t="s">
        <v>50</v>
      </c>
      <c r="F4" s="56" t="s">
        <v>41</v>
      </c>
      <c r="G4" s="57" t="s">
        <v>50</v>
      </c>
      <c r="H4" s="56" t="s">
        <v>41</v>
      </c>
      <c r="I4" s="64" t="s">
        <v>50</v>
      </c>
      <c r="J4" s="56" t="s">
        <v>41</v>
      </c>
      <c r="K4" s="57" t="s">
        <v>50</v>
      </c>
      <c r="L4" s="56" t="s">
        <v>41</v>
      </c>
      <c r="M4" s="64" t="s">
        <v>40</v>
      </c>
      <c r="N4" s="56" t="s">
        <v>41</v>
      </c>
      <c r="O4" s="64" t="s">
        <v>40</v>
      </c>
      <c r="P4" s="56" t="s">
        <v>41</v>
      </c>
      <c r="Q4" s="64" t="s">
        <v>50</v>
      </c>
      <c r="R4" s="56" t="s">
        <v>41</v>
      </c>
      <c r="S4" s="1" t="s">
        <v>41</v>
      </c>
      <c r="T4" s="77"/>
      <c r="AH4" s="313"/>
      <c r="AI4" s="29" t="s">
        <v>96</v>
      </c>
      <c r="AJ4" s="987"/>
      <c r="AK4" s="954" t="s">
        <v>265</v>
      </c>
      <c r="AL4" s="954" t="s">
        <v>68</v>
      </c>
      <c r="AM4" s="954" t="s">
        <v>272</v>
      </c>
      <c r="AN4" s="954" t="s">
        <v>286</v>
      </c>
      <c r="AO4" s="954" t="s">
        <v>284</v>
      </c>
      <c r="AP4" s="954" t="s">
        <v>286</v>
      </c>
      <c r="AQ4" s="987"/>
      <c r="AR4" s="2" t="s">
        <v>68</v>
      </c>
      <c r="AS4" s="2" t="s">
        <v>68</v>
      </c>
      <c r="AT4" s="2" t="s">
        <v>68</v>
      </c>
      <c r="AU4" s="2" t="s">
        <v>68</v>
      </c>
      <c r="AV4" s="2" t="s">
        <v>68</v>
      </c>
      <c r="AW4" s="2" t="s">
        <v>69</v>
      </c>
      <c r="AX4" s="2" t="s">
        <v>69</v>
      </c>
      <c r="AY4" s="2" t="s">
        <v>69</v>
      </c>
      <c r="AZ4" s="2" t="s">
        <v>69</v>
      </c>
      <c r="BA4" s="2" t="s">
        <v>69</v>
      </c>
      <c r="BB4" s="87"/>
      <c r="BC4" s="33" t="s">
        <v>80</v>
      </c>
      <c r="BD4" s="34" t="s">
        <v>80</v>
      </c>
      <c r="BE4" s="34" t="s">
        <v>80</v>
      </c>
      <c r="BF4" s="40" t="s">
        <v>80</v>
      </c>
      <c r="BG4" s="2" t="s">
        <v>80</v>
      </c>
      <c r="BH4" s="2" t="s">
        <v>80</v>
      </c>
      <c r="BI4" s="40" t="s">
        <v>80</v>
      </c>
      <c r="BJ4" s="2" t="s">
        <v>80</v>
      </c>
      <c r="BK4" s="2" t="s">
        <v>80</v>
      </c>
      <c r="BL4" s="2" t="s">
        <v>80</v>
      </c>
      <c r="BM4" s="40" t="s">
        <v>80</v>
      </c>
      <c r="BN4" s="958"/>
      <c r="BO4" s="959"/>
      <c r="BV4" s="1021" t="s">
        <v>344</v>
      </c>
      <c r="BX4" s="1014" t="s">
        <v>319</v>
      </c>
      <c r="BY4" s="1018">
        <v>25</v>
      </c>
      <c r="BZ4" s="1018" t="s">
        <v>320</v>
      </c>
    </row>
    <row r="5" spans="1:85" x14ac:dyDescent="0.25">
      <c r="A5" s="53"/>
      <c r="B5" s="32"/>
      <c r="C5" s="32"/>
      <c r="D5" s="56"/>
      <c r="E5" s="53"/>
      <c r="F5" s="56"/>
      <c r="G5" s="53" t="s">
        <v>53</v>
      </c>
      <c r="H5" s="56"/>
      <c r="I5" s="53" t="s">
        <v>54</v>
      </c>
      <c r="J5" s="56"/>
      <c r="K5" s="63" t="s">
        <v>55</v>
      </c>
      <c r="L5" s="67"/>
      <c r="M5" s="65"/>
      <c r="N5" s="56"/>
      <c r="O5" s="65"/>
      <c r="P5" s="56"/>
      <c r="Q5" s="63" t="s">
        <v>43</v>
      </c>
      <c r="R5" s="56"/>
      <c r="S5" s="1"/>
      <c r="T5" s="77"/>
      <c r="AH5" s="313"/>
      <c r="AN5" s="954"/>
      <c r="AO5" s="954"/>
      <c r="AP5" s="954"/>
      <c r="AR5" s="2"/>
      <c r="AS5" s="2"/>
      <c r="AT5" s="2"/>
      <c r="AU5" s="2"/>
      <c r="AV5" s="2"/>
      <c r="AW5" s="2"/>
      <c r="AX5" s="2"/>
      <c r="AY5" s="2"/>
      <c r="AZ5" s="2"/>
      <c r="BA5" s="2"/>
      <c r="BB5" s="2"/>
      <c r="BC5" s="30"/>
      <c r="BD5" s="34"/>
      <c r="BE5" s="34"/>
      <c r="BF5" s="40"/>
      <c r="BG5" s="2"/>
      <c r="BH5" s="2"/>
      <c r="BI5" s="40"/>
      <c r="BJ5" s="2"/>
      <c r="BK5" s="2"/>
      <c r="BL5" s="2"/>
      <c r="BM5" s="40"/>
      <c r="BN5" s="958"/>
      <c r="BO5" s="959"/>
      <c r="BU5" s="1014" t="s">
        <v>330</v>
      </c>
      <c r="BV5" s="1018">
        <v>-10</v>
      </c>
      <c r="BX5" s="1014" t="s">
        <v>328</v>
      </c>
      <c r="BY5" s="1019">
        <v>10000000000</v>
      </c>
      <c r="BZ5" s="1018" t="s">
        <v>320</v>
      </c>
    </row>
    <row r="6" spans="1:85" x14ac:dyDescent="0.25">
      <c r="A6" s="53"/>
      <c r="B6" s="32"/>
      <c r="C6" s="32"/>
      <c r="D6" s="56"/>
      <c r="E6" s="53"/>
      <c r="F6" s="56"/>
      <c r="G6" s="53" t="s">
        <v>35</v>
      </c>
      <c r="H6" s="56"/>
      <c r="I6" s="53" t="s">
        <v>35</v>
      </c>
      <c r="J6" s="56"/>
      <c r="K6" s="63" t="s">
        <v>35</v>
      </c>
      <c r="L6" s="67"/>
      <c r="M6" s="65"/>
      <c r="N6" s="56"/>
      <c r="O6" s="65"/>
      <c r="P6" s="56"/>
      <c r="Q6" s="63" t="s">
        <v>44</v>
      </c>
      <c r="R6" s="56"/>
      <c r="S6" s="1"/>
      <c r="T6" s="77"/>
      <c r="AH6" s="313"/>
      <c r="AN6" s="954"/>
      <c r="AO6" s="954"/>
      <c r="AP6" s="954"/>
      <c r="AR6" s="2"/>
      <c r="AS6" s="2"/>
      <c r="AT6" s="2"/>
      <c r="AU6" s="2"/>
      <c r="AV6" s="2"/>
      <c r="AW6" s="2"/>
      <c r="AX6" s="2"/>
      <c r="AY6" s="2"/>
      <c r="AZ6" s="2"/>
      <c r="BA6" s="2"/>
      <c r="BB6" s="2"/>
      <c r="BC6" s="30"/>
      <c r="BD6" s="34"/>
      <c r="BE6" s="34"/>
      <c r="BF6" s="40"/>
      <c r="BG6" s="2"/>
      <c r="BH6" s="2"/>
      <c r="BI6" s="40"/>
      <c r="BJ6" s="2"/>
      <c r="BK6" s="2"/>
      <c r="BL6" s="2"/>
      <c r="BM6" s="40"/>
      <c r="BN6" s="958"/>
      <c r="BO6" s="959"/>
      <c r="BU6" s="1014" t="s">
        <v>342</v>
      </c>
      <c r="BV6" s="1018">
        <v>2087</v>
      </c>
      <c r="BX6" s="1014" t="s">
        <v>329</v>
      </c>
      <c r="BY6" s="1019">
        <v>10000000000</v>
      </c>
      <c r="BZ6" s="1018" t="s">
        <v>320</v>
      </c>
    </row>
    <row r="7" spans="1:85" x14ac:dyDescent="0.25">
      <c r="A7" s="53"/>
      <c r="B7" s="32"/>
      <c r="C7" s="32"/>
      <c r="D7" s="56"/>
      <c r="E7" s="53"/>
      <c r="F7" s="56"/>
      <c r="G7" s="53"/>
      <c r="H7" s="56"/>
      <c r="I7" s="53"/>
      <c r="J7" s="56"/>
      <c r="K7" s="63"/>
      <c r="L7" s="67"/>
      <c r="M7" s="65"/>
      <c r="N7" s="56"/>
      <c r="O7" s="65"/>
      <c r="P7" s="56"/>
      <c r="Q7" s="65" t="s">
        <v>45</v>
      </c>
      <c r="R7" s="56"/>
      <c r="S7" s="1"/>
      <c r="T7" s="77"/>
      <c r="AH7" s="313"/>
      <c r="AN7" s="954"/>
      <c r="AO7" s="954"/>
      <c r="AP7" s="954"/>
      <c r="AR7" s="2"/>
      <c r="AS7" s="2"/>
      <c r="AT7" s="2"/>
      <c r="AU7" s="2"/>
      <c r="AV7" s="2"/>
      <c r="AW7" s="2"/>
      <c r="AX7" s="2"/>
      <c r="AY7" s="2"/>
      <c r="AZ7" s="2"/>
      <c r="BA7" s="2"/>
      <c r="BB7" s="2"/>
      <c r="BC7" s="30"/>
      <c r="BD7" s="34"/>
      <c r="BE7" s="34"/>
      <c r="BF7" s="40"/>
      <c r="BG7" s="2"/>
      <c r="BH7" s="2"/>
      <c r="BI7" s="40"/>
      <c r="BJ7" s="2"/>
      <c r="BK7" s="2"/>
      <c r="BL7" s="2"/>
      <c r="BM7" s="40"/>
      <c r="BN7" s="958"/>
      <c r="BO7" s="959"/>
      <c r="BU7" s="1014" t="s">
        <v>347</v>
      </c>
      <c r="BV7" s="1018">
        <v>6.4</v>
      </c>
      <c r="BX7" s="1014" t="s">
        <v>331</v>
      </c>
      <c r="BY7" s="1018">
        <v>20</v>
      </c>
      <c r="BZ7" s="1018" t="s">
        <v>284</v>
      </c>
    </row>
    <row r="8" spans="1:85" x14ac:dyDescent="0.25">
      <c r="A8" s="53"/>
      <c r="B8" s="32"/>
      <c r="C8" s="32"/>
      <c r="D8" s="56"/>
      <c r="E8" s="53"/>
      <c r="F8" s="56"/>
      <c r="G8" s="53"/>
      <c r="H8" s="56"/>
      <c r="I8" s="53"/>
      <c r="J8" s="56"/>
      <c r="K8" s="63" t="s">
        <v>36</v>
      </c>
      <c r="L8" s="67"/>
      <c r="M8" s="65"/>
      <c r="N8" s="56"/>
      <c r="O8" s="65"/>
      <c r="P8" s="56"/>
      <c r="Q8" s="65"/>
      <c r="R8" s="56"/>
      <c r="S8" s="1"/>
      <c r="T8" s="77"/>
      <c r="AH8" s="313"/>
      <c r="AN8" s="954"/>
      <c r="AO8" s="954"/>
      <c r="AP8" s="954"/>
      <c r="AR8" s="2"/>
      <c r="AS8" s="2"/>
      <c r="AT8" s="2"/>
      <c r="AU8" s="2"/>
      <c r="AV8" s="2"/>
      <c r="AW8" s="2"/>
      <c r="AX8" s="2"/>
      <c r="AY8" s="2"/>
      <c r="AZ8" s="2"/>
      <c r="BA8" s="2"/>
      <c r="BB8" s="2"/>
      <c r="BC8" s="30"/>
      <c r="BD8" s="34"/>
      <c r="BE8" s="34"/>
      <c r="BF8" s="40"/>
      <c r="BG8" s="2"/>
      <c r="BH8" s="2"/>
      <c r="BI8" s="40"/>
      <c r="BJ8" s="2"/>
      <c r="BK8" s="2"/>
      <c r="BL8" s="2"/>
      <c r="BM8" s="40"/>
      <c r="BN8" s="958"/>
      <c r="BO8" s="959"/>
      <c r="BU8" s="1014" t="s">
        <v>343</v>
      </c>
      <c r="BV8" s="1018">
        <v>242</v>
      </c>
      <c r="BX8" s="1014" t="s">
        <v>332</v>
      </c>
      <c r="BY8" s="1018">
        <v>2</v>
      </c>
      <c r="BZ8" s="1018" t="s">
        <v>284</v>
      </c>
    </row>
    <row r="9" spans="1:85" x14ac:dyDescent="0.25">
      <c r="A9" s="53"/>
      <c r="B9" s="32"/>
      <c r="C9" s="32"/>
      <c r="D9" s="56"/>
      <c r="E9" s="53"/>
      <c r="F9" s="56"/>
      <c r="G9" s="53"/>
      <c r="H9" s="56"/>
      <c r="I9" s="53"/>
      <c r="J9" s="56"/>
      <c r="K9" s="63" t="s">
        <v>37</v>
      </c>
      <c r="L9" s="67"/>
      <c r="M9" s="65"/>
      <c r="N9" s="56"/>
      <c r="O9" s="65"/>
      <c r="P9" s="56"/>
      <c r="Q9" s="63" t="s">
        <v>46</v>
      </c>
      <c r="R9" s="56"/>
      <c r="S9" s="1"/>
      <c r="T9" s="77"/>
      <c r="AH9" s="313"/>
      <c r="AN9" s="954"/>
      <c r="AO9" s="954"/>
      <c r="AP9" s="954"/>
      <c r="AR9" s="2"/>
      <c r="AS9" s="2"/>
      <c r="AT9" s="2"/>
      <c r="AU9" s="2"/>
      <c r="AV9" s="2"/>
      <c r="AW9" s="2"/>
      <c r="AX9" s="2"/>
      <c r="AY9" s="2"/>
      <c r="AZ9" s="2"/>
      <c r="BA9" s="2"/>
      <c r="BB9" s="2"/>
      <c r="BC9" s="30"/>
      <c r="BD9" s="34"/>
      <c r="BE9" s="34"/>
      <c r="BF9" s="40"/>
      <c r="BG9" s="2"/>
      <c r="BH9" s="2"/>
      <c r="BI9" s="40"/>
      <c r="BJ9" s="2"/>
      <c r="BK9" s="2"/>
      <c r="BL9" s="2"/>
      <c r="BM9" s="40"/>
      <c r="BN9" s="958"/>
      <c r="BO9" s="959"/>
      <c r="BX9" s="1014" t="s">
        <v>333</v>
      </c>
      <c r="BY9" s="1018">
        <v>3</v>
      </c>
      <c r="BZ9" s="1018" t="s">
        <v>334</v>
      </c>
    </row>
    <row r="10" spans="1:85" x14ac:dyDescent="0.25">
      <c r="A10" s="53"/>
      <c r="B10" s="32"/>
      <c r="C10" s="32"/>
      <c r="D10" s="56"/>
      <c r="E10" s="53"/>
      <c r="F10" s="56"/>
      <c r="G10" s="53"/>
      <c r="H10" s="56"/>
      <c r="I10" s="53"/>
      <c r="J10" s="56"/>
      <c r="K10" s="63" t="s">
        <v>39</v>
      </c>
      <c r="L10" s="67"/>
      <c r="M10" s="65"/>
      <c r="N10" s="56"/>
      <c r="O10" s="65"/>
      <c r="P10" s="56"/>
      <c r="Q10" s="65"/>
      <c r="R10" s="56"/>
      <c r="S10" s="1"/>
      <c r="T10" s="77"/>
      <c r="AH10" s="313"/>
      <c r="AN10" s="954"/>
      <c r="AO10" s="954"/>
      <c r="AP10" s="954"/>
      <c r="AR10" s="2"/>
      <c r="AS10" s="2"/>
      <c r="AT10" s="2"/>
      <c r="AU10" s="2"/>
      <c r="AV10" s="2"/>
      <c r="AW10" s="2"/>
      <c r="AX10" s="2"/>
      <c r="AY10" s="2"/>
      <c r="AZ10" s="2"/>
      <c r="BA10" s="2"/>
      <c r="BB10" s="2"/>
      <c r="BC10" s="30"/>
      <c r="BD10" s="34"/>
      <c r="BE10" s="34"/>
      <c r="BF10" s="40"/>
      <c r="BG10" s="2"/>
      <c r="BH10" s="2"/>
      <c r="BI10" s="40"/>
      <c r="BJ10" s="2"/>
      <c r="BK10" s="2"/>
      <c r="BL10" s="2"/>
      <c r="BM10" s="40"/>
      <c r="BN10" s="958"/>
      <c r="BO10" s="959"/>
      <c r="BX10" s="1014" t="s">
        <v>341</v>
      </c>
      <c r="BY10" s="1016">
        <f>BY7-BY8-BY9</f>
        <v>15</v>
      </c>
      <c r="BZ10" s="1018" t="s">
        <v>334</v>
      </c>
    </row>
    <row r="11" spans="1:85" ht="15.75" thickBot="1" x14ac:dyDescent="0.3">
      <c r="A11" s="59"/>
      <c r="B11" s="60"/>
      <c r="C11" s="60"/>
      <c r="D11" s="62"/>
      <c r="E11" s="59"/>
      <c r="F11" s="62"/>
      <c r="G11" s="59"/>
      <c r="H11" s="62"/>
      <c r="I11" s="59"/>
      <c r="J11" s="62"/>
      <c r="K11" s="68" t="s">
        <v>38</v>
      </c>
      <c r="L11" s="69"/>
      <c r="M11" s="66"/>
      <c r="N11" s="62"/>
      <c r="O11" s="66"/>
      <c r="P11" s="62"/>
      <c r="Q11" s="66"/>
      <c r="R11" s="62"/>
      <c r="S11" s="1"/>
      <c r="T11" s="77"/>
      <c r="AH11" s="313"/>
      <c r="AN11" s="954"/>
      <c r="AO11" s="954"/>
      <c r="AP11" s="954"/>
      <c r="AR11" s="2"/>
      <c r="AS11" s="2"/>
      <c r="AT11" s="2"/>
      <c r="AU11" s="2"/>
      <c r="AV11" s="2"/>
      <c r="AW11" s="2"/>
      <c r="AX11" s="2"/>
      <c r="AY11" s="2"/>
      <c r="AZ11" s="2"/>
      <c r="BA11" s="2"/>
      <c r="BB11" s="2"/>
      <c r="BC11" s="30"/>
      <c r="BD11" s="34"/>
      <c r="BE11" s="34"/>
      <c r="BF11" s="40"/>
      <c r="BG11" s="2"/>
      <c r="BH11" s="2"/>
      <c r="BI11" s="40"/>
      <c r="BJ11" s="2"/>
      <c r="BK11" s="2"/>
      <c r="BL11" s="2"/>
      <c r="BM11" s="40"/>
      <c r="BN11" s="958"/>
      <c r="BO11" s="959"/>
      <c r="BX11" s="1014" t="s">
        <v>345</v>
      </c>
      <c r="BY11" s="926">
        <v>0.8</v>
      </c>
      <c r="BZ11" s="1018" t="s">
        <v>346</v>
      </c>
    </row>
    <row r="12" spans="1:85" s="20" customFormat="1" x14ac:dyDescent="0.25">
      <c r="D12" s="21"/>
      <c r="F12" s="21"/>
      <c r="H12" s="21"/>
      <c r="J12" s="21"/>
      <c r="K12" s="21"/>
      <c r="L12" s="21"/>
      <c r="M12" s="21"/>
      <c r="N12" s="21"/>
      <c r="O12" s="21"/>
      <c r="P12" s="21"/>
      <c r="Q12" s="21"/>
      <c r="R12" s="21"/>
      <c r="S12" s="21"/>
      <c r="T12" s="78"/>
      <c r="U12" s="272"/>
      <c r="V12" s="291"/>
      <c r="W12" s="291"/>
      <c r="X12" s="291"/>
      <c r="Y12" s="233"/>
      <c r="Z12" s="291"/>
      <c r="AA12" s="291"/>
      <c r="AB12" s="291"/>
      <c r="AC12" s="291"/>
      <c r="AD12" s="233"/>
      <c r="AE12" s="291"/>
      <c r="AF12" s="291"/>
      <c r="AG12" s="233"/>
      <c r="AH12" s="313"/>
      <c r="AJ12" s="314"/>
      <c r="AN12" s="43"/>
      <c r="AO12" s="43"/>
      <c r="AP12" s="43"/>
      <c r="AQ12" s="314"/>
      <c r="AR12" s="43"/>
      <c r="AS12" s="43"/>
      <c r="AT12" s="43"/>
      <c r="AU12" s="43"/>
      <c r="AV12" s="43"/>
      <c r="AW12" s="43"/>
      <c r="AX12" s="43"/>
      <c r="AY12" s="43"/>
      <c r="AZ12" s="43"/>
      <c r="BA12" s="43"/>
      <c r="BB12" s="43"/>
      <c r="BC12" s="44"/>
      <c r="BD12" s="233"/>
      <c r="BE12" s="233"/>
      <c r="BF12" s="48"/>
      <c r="BG12" s="43"/>
      <c r="BH12" s="43"/>
      <c r="BI12" s="48"/>
      <c r="BJ12" s="43"/>
      <c r="BK12" s="43"/>
      <c r="BL12" s="43"/>
      <c r="BM12" s="48"/>
      <c r="BN12" s="233"/>
      <c r="BO12" s="48"/>
    </row>
    <row r="13" spans="1:85" x14ac:dyDescent="0.25">
      <c r="A13" s="633"/>
      <c r="B13" s="633"/>
      <c r="C13" s="633"/>
      <c r="D13" s="634"/>
      <c r="E13" s="633"/>
      <c r="F13" s="634"/>
      <c r="G13" s="633"/>
      <c r="H13" s="634"/>
      <c r="I13" s="633"/>
      <c r="J13" s="634"/>
      <c r="K13" s="634"/>
      <c r="L13" s="634"/>
      <c r="M13" s="634"/>
      <c r="N13" s="634"/>
      <c r="O13" s="634"/>
      <c r="P13" s="634"/>
      <c r="Q13" s="634" t="s">
        <v>16</v>
      </c>
      <c r="R13" s="636">
        <v>0.73860000000000003</v>
      </c>
      <c r="S13" s="634"/>
      <c r="T13" s="644">
        <v>4.7713265461948118E-3</v>
      </c>
      <c r="U13" s="633"/>
      <c r="V13" s="176">
        <f>T13</f>
        <v>4.7713265461948118E-3</v>
      </c>
      <c r="W13" s="176">
        <f>V13</f>
        <v>4.7713265461948118E-3</v>
      </c>
      <c r="X13" s="176">
        <f>W13</f>
        <v>4.7713265461948118E-3</v>
      </c>
      <c r="Y13" s="34">
        <f>X13/Calculation_sheet!M$67</f>
        <v>4.771424102782645E-3</v>
      </c>
      <c r="Z13" s="176">
        <f ca="1">IF(AN13&gt;0,Y13*Calculation_sheet!C$87,0)</f>
        <v>0</v>
      </c>
      <c r="AA13" s="176">
        <f ca="1">Y13-Z13</f>
        <v>4.771424102782645E-3</v>
      </c>
      <c r="AB13" s="176">
        <f ca="1">IF(AP13&gt;0,AA13*Calculation_sheet!C$94,0)</f>
        <v>0</v>
      </c>
      <c r="AC13" s="176">
        <f t="shared" ref="AC13:AE23" ca="1" si="0">AA13-AB13</f>
        <v>4.771424102782645E-3</v>
      </c>
      <c r="AD13" s="958">
        <f ca="1">AC13*Calculation_sheet!C$99</f>
        <v>2.8628544616695869E-3</v>
      </c>
      <c r="AE13" s="176">
        <f t="shared" ca="1" si="0"/>
        <v>1.9085696411130582E-3</v>
      </c>
      <c r="AF13" s="176">
        <f ca="1">Y13-AB13</f>
        <v>4.771424102782645E-3</v>
      </c>
      <c r="AG13" s="958">
        <f ca="1">AF13*User_sheet!B$77/100</f>
        <v>0</v>
      </c>
      <c r="AH13" s="313"/>
      <c r="AI13">
        <v>301</v>
      </c>
      <c r="AK13" s="924">
        <f ca="1">CD13</f>
        <v>95.925717891019019</v>
      </c>
      <c r="AL13" s="924">
        <f ca="1">AK13/'301'!I$24</f>
        <v>0.76007256303994286</v>
      </c>
      <c r="AM13" s="924">
        <f ca="1">0.8*(AK13*30+'301'!D$17*0.34*30*1)</f>
        <v>4393.7884293844563</v>
      </c>
      <c r="AN13" s="954">
        <f ca="1">IF(AM13&lt;User_sheet!B$50,Y13,0)</f>
        <v>4.771424102782645E-3</v>
      </c>
      <c r="AO13" s="954">
        <f ca="1">20-(User_sheet!B$57/(AK13+'301'!D$17*1*0.34))</f>
        <v>-11.134862817954314</v>
      </c>
      <c r="AP13" s="954">
        <f ca="1">IF(AO13&lt;User_sheet!B$59,0,BC13*AA13)</f>
        <v>0</v>
      </c>
      <c r="AR13" s="2">
        <v>0.48</v>
      </c>
      <c r="AS13" s="2">
        <v>0.66</v>
      </c>
      <c r="AT13" s="2">
        <v>0.89</v>
      </c>
      <c r="AU13" s="2">
        <v>2.75</v>
      </c>
      <c r="AV13" s="2">
        <v>3.3</v>
      </c>
      <c r="AW13" s="2">
        <v>10916.451096266603</v>
      </c>
      <c r="AX13" s="2">
        <v>68297.998190252794</v>
      </c>
      <c r="AY13" s="2">
        <v>79015.992973719694</v>
      </c>
      <c r="AZ13" s="2">
        <v>0</v>
      </c>
      <c r="BA13" s="2">
        <v>0</v>
      </c>
      <c r="BB13" s="2">
        <v>0.6</v>
      </c>
      <c r="BC13" s="30">
        <v>1</v>
      </c>
      <c r="BD13" s="34">
        <v>0</v>
      </c>
      <c r="BE13" s="34">
        <v>0</v>
      </c>
      <c r="BF13" s="40">
        <v>0</v>
      </c>
      <c r="BG13" s="34">
        <v>1</v>
      </c>
      <c r="BH13" s="34">
        <v>0</v>
      </c>
      <c r="BI13" s="40">
        <v>0</v>
      </c>
      <c r="BJ13" s="34">
        <v>1</v>
      </c>
      <c r="BK13" s="34">
        <v>0</v>
      </c>
      <c r="BL13" s="34">
        <v>0</v>
      </c>
      <c r="BM13" s="40">
        <v>0</v>
      </c>
      <c r="BN13" s="958">
        <v>0.1</v>
      </c>
      <c r="BO13" s="959">
        <v>6</v>
      </c>
      <c r="BP13" s="1018">
        <f t="shared" ref="BP13:BP23" ca="1" si="1">INDIRECT("'"&amp;AI13&amp;"'!"&amp;"B2")</f>
        <v>115.19999999999999</v>
      </c>
      <c r="BQ13" s="1018">
        <f t="shared" ref="BQ13:BQ23" ca="1" si="2">INDIRECT("'"&amp;AI13&amp;"'!"&amp;"C12")+INDIRECT("'"&amp;AI13&amp;"'!"&amp;"C13")+INDIRECT("'"&amp;AI13&amp;"'!"&amp;"C14")+INDIRECT("'"&amp;AI13&amp;"'!"&amp;"C15")+INDIRECT("'"&amp;AI13&amp;"'!"&amp;"C17")</f>
        <v>191.51999999999995</v>
      </c>
      <c r="BR13" s="1018">
        <f t="shared" ref="BR13:BR23" ca="1" si="3">INDIRECT("'"&amp;AI13&amp;"'!"&amp;"G5")</f>
        <v>43.295999999999999</v>
      </c>
      <c r="BS13" s="1018">
        <f t="shared" ref="BS13:BS23" ca="1" si="4">INDIRECT("'"&amp;AI13&amp;"'!"&amp;"G4")</f>
        <v>42.459999999999994</v>
      </c>
      <c r="BT13" s="1018">
        <f t="shared" ref="BT13:BT23" ca="1" si="5">INDIRECT("'"&amp;AI13&amp;"'!"&amp;"G6")</f>
        <v>38.4</v>
      </c>
      <c r="BU13" s="1018">
        <f t="shared" ref="BU13:BU23" ca="1" si="6">INDIRECT("'"&amp;AI13&amp;"'!"&amp;"G2")</f>
        <v>7</v>
      </c>
      <c r="BV13" s="1018">
        <f t="shared" ref="BV13:BV23" ca="1" si="7">INDIRECT("'"&amp;AI13&amp;"'!"&amp;"G3")</f>
        <v>4.3</v>
      </c>
      <c r="BW13" s="1018">
        <v>0</v>
      </c>
      <c r="BX13" s="1018">
        <f t="shared" ref="BX13:BX23" ca="1" si="8">IF(BR13=0,0,1/(1/(BR13*$BY$3)+1/(BR13*AR13)+1/(BR13*$BY$4)))</f>
        <v>19.185819793205319</v>
      </c>
      <c r="BY13" s="1018">
        <f t="shared" ref="BY13:BY23" ca="1" si="9">IF(BS13=0,0,1/(1/(BS13*$BY$3)+1/(BS13*AS13)+1/(BS13*$BY$4)))</f>
        <v>25.146805455850682</v>
      </c>
      <c r="BZ13" s="1018">
        <f ca="1">IF(BT13=0,0,1/(1/(BT13*$BY$3)+1/(BT13*AT13)+1/(BT13*$BY$4)))*0.33</f>
        <v>9.7707750952986032</v>
      </c>
      <c r="CA13" s="1018">
        <f ca="1">IF(BU13=0,0,1/(1/(BU13*$BY$5)+1/(BU13*AU13)+1/(BU13*$BY$6)))</f>
        <v>19.249999989412501</v>
      </c>
      <c r="CB13" s="1018">
        <f t="shared" ref="CB13:CB23" ca="1" si="10">IF(BV13=0,0,1/(1/(BV13*$BY$3)+1/(BV13*AV13)+1/(BV13*$BY$4)))</f>
        <v>9.0267175572519083</v>
      </c>
      <c r="CC13" s="1018">
        <f>0.67*IF(BW13=0,0,1/(1/(BW13*$BY$3)+1/(BW13*AS13)+1/(BW13*$BY$4)))</f>
        <v>0</v>
      </c>
      <c r="CD13" s="1018">
        <f ca="1">SUM(BX13:CC13)+(BR13+BS13+BT13+BU13+BV13)*BN13</f>
        <v>95.925717891019019</v>
      </c>
      <c r="CE13" s="1018">
        <f ca="1">0.34*BO13*(1/25)^0.66*(BR13+BS13+BU13+BV13)</f>
        <v>23.659858901622069</v>
      </c>
      <c r="CF13" s="1018">
        <f ca="1">(CD13+CE13)*($BY$7-$BV$5)/1000</f>
        <v>3.5875673037792324</v>
      </c>
      <c r="CG13" s="1018">
        <f ca="1">$BV$8*(CD13+CE13)*($BY$10-$BV$7)*24/1000</f>
        <v>5973.1560581002714</v>
      </c>
    </row>
    <row r="14" spans="1:85" x14ac:dyDescent="0.25">
      <c r="A14" s="633"/>
      <c r="B14" s="633"/>
      <c r="C14" s="633"/>
      <c r="D14" s="634"/>
      <c r="E14" s="633"/>
      <c r="F14" s="634"/>
      <c r="G14" s="633"/>
      <c r="H14" s="634"/>
      <c r="I14" s="633"/>
      <c r="J14" s="634"/>
      <c r="K14" s="634"/>
      <c r="L14" s="634"/>
      <c r="M14" s="634"/>
      <c r="N14" s="634"/>
      <c r="O14" s="634" t="s">
        <v>18</v>
      </c>
      <c r="P14" s="636">
        <v>0.62953995200000001</v>
      </c>
      <c r="Q14" s="634" t="s">
        <v>7</v>
      </c>
      <c r="R14" s="636">
        <v>0.26140000000000002</v>
      </c>
      <c r="S14" s="634"/>
      <c r="T14" s="644">
        <v>1.6886335759210996E-3</v>
      </c>
      <c r="U14" s="633"/>
      <c r="V14" s="176">
        <f t="shared" ref="V14:V95" si="11">T14</f>
        <v>1.6886335759210996E-3</v>
      </c>
      <c r="W14" s="176">
        <f t="shared" ref="W14:X23" si="12">V14</f>
        <v>1.6886335759210996E-3</v>
      </c>
      <c r="X14" s="176">
        <f t="shared" si="12"/>
        <v>1.6886335759210996E-3</v>
      </c>
      <c r="Y14" s="34">
        <f>X14/Calculation_sheet!M$67</f>
        <v>1.6886681024470402E-3</v>
      </c>
      <c r="Z14" s="176">
        <f ca="1">IF(AN14&gt;0,Y14*Calculation_sheet!C$87,0)</f>
        <v>0</v>
      </c>
      <c r="AA14" s="176">
        <f t="shared" ref="AA14:AA23" ca="1" si="13">Y14-Z14</f>
        <v>1.6886681024470402E-3</v>
      </c>
      <c r="AB14" s="176">
        <f ca="1">IF(AP14&gt;0,AA14*Calculation_sheet!C$94,0)</f>
        <v>0</v>
      </c>
      <c r="AC14" s="176">
        <f t="shared" ca="1" si="0"/>
        <v>1.6886681024470402E-3</v>
      </c>
      <c r="AD14" s="958">
        <f ca="1">AC14*Calculation_sheet!C$99</f>
        <v>1.0132008614682241E-3</v>
      </c>
      <c r="AE14" s="176">
        <f t="shared" ca="1" si="0"/>
        <v>6.7546724097881602E-4</v>
      </c>
      <c r="AF14" s="176">
        <f t="shared" ref="AF14:AF23" ca="1" si="14">Y14-AB14</f>
        <v>1.6886681024470402E-3</v>
      </c>
      <c r="AG14" s="958">
        <f ca="1">AF14*User_sheet!B$77/100</f>
        <v>0</v>
      </c>
      <c r="AH14" s="313"/>
      <c r="AI14">
        <v>301</v>
      </c>
      <c r="AK14" s="1018">
        <f t="shared" ref="AK14:AK77" ca="1" si="15">CD14</f>
        <v>95.925717891019019</v>
      </c>
      <c r="AL14" s="924">
        <f ca="1">AK14/'301'!I$24</f>
        <v>0.76007256303994286</v>
      </c>
      <c r="AM14" s="924">
        <f ca="1">0.8*(AK14*30+'301'!D$17*0.34*30*1)</f>
        <v>4393.7884293844563</v>
      </c>
      <c r="AN14" s="954">
        <f ca="1">IF(AM14&lt;User_sheet!B$50,Y14,0)</f>
        <v>1.6886681024470402E-3</v>
      </c>
      <c r="AO14" s="954">
        <f ca="1">20-(User_sheet!B$57/(AK14+'301'!D$17*1*0.34))</f>
        <v>-11.134862817954314</v>
      </c>
      <c r="AP14" s="954">
        <f ca="1">IF(AO14&lt;User_sheet!B$59,0,BC14*AA14)</f>
        <v>0</v>
      </c>
      <c r="AR14" s="2">
        <v>0.48</v>
      </c>
      <c r="AS14" s="2">
        <v>0.66</v>
      </c>
      <c r="AT14" s="2">
        <v>0.89</v>
      </c>
      <c r="AU14" s="2">
        <v>2.75</v>
      </c>
      <c r="AV14" s="2">
        <v>3.3</v>
      </c>
      <c r="AW14" s="2">
        <v>10916.451096266603</v>
      </c>
      <c r="AX14" s="2">
        <v>68297.998190252794</v>
      </c>
      <c r="AY14" s="2">
        <v>79015.992973719694</v>
      </c>
      <c r="AZ14" s="2">
        <v>0</v>
      </c>
      <c r="BA14" s="2">
        <v>0</v>
      </c>
      <c r="BB14" s="2">
        <v>0.6</v>
      </c>
      <c r="BC14" s="30">
        <v>1</v>
      </c>
      <c r="BD14" s="34">
        <v>0</v>
      </c>
      <c r="BE14" s="34">
        <v>0</v>
      </c>
      <c r="BF14" s="40">
        <v>0</v>
      </c>
      <c r="BG14" s="34">
        <v>1</v>
      </c>
      <c r="BH14" s="34">
        <v>0</v>
      </c>
      <c r="BI14" s="40">
        <v>0</v>
      </c>
      <c r="BJ14" s="34">
        <v>0</v>
      </c>
      <c r="BK14" s="34">
        <v>0</v>
      </c>
      <c r="BL14" s="34">
        <v>1</v>
      </c>
      <c r="BM14" s="40">
        <v>0</v>
      </c>
      <c r="BN14" s="958">
        <v>0.1</v>
      </c>
      <c r="BO14" s="959">
        <v>6</v>
      </c>
      <c r="BP14" s="1018">
        <f t="shared" ca="1" si="1"/>
        <v>115.19999999999999</v>
      </c>
      <c r="BQ14" s="1018">
        <f t="shared" ca="1" si="2"/>
        <v>191.51999999999995</v>
      </c>
      <c r="BR14" s="1018">
        <f t="shared" ca="1" si="3"/>
        <v>43.295999999999999</v>
      </c>
      <c r="BS14" s="1018">
        <f t="shared" ca="1" si="4"/>
        <v>42.459999999999994</v>
      </c>
      <c r="BT14" s="1018">
        <f t="shared" ca="1" si="5"/>
        <v>38.4</v>
      </c>
      <c r="BU14" s="1018">
        <f t="shared" ca="1" si="6"/>
        <v>7</v>
      </c>
      <c r="BV14" s="1018">
        <f t="shared" ca="1" si="7"/>
        <v>4.3</v>
      </c>
      <c r="BW14" s="1018">
        <v>0</v>
      </c>
      <c r="BX14" s="1018">
        <f t="shared" ca="1" si="8"/>
        <v>19.185819793205319</v>
      </c>
      <c r="BY14" s="1018">
        <f t="shared" ca="1" si="9"/>
        <v>25.146805455850682</v>
      </c>
      <c r="BZ14" s="1018">
        <f t="shared" ref="BZ14:BZ77" ca="1" si="16">IF(BT14=0,0,1/(1/(BT14*$BY$3)+1/(BT14*AT14)+1/(BT14*$BY$4)))*0.33</f>
        <v>9.7707750952986032</v>
      </c>
      <c r="CA14" s="1018">
        <f t="shared" ref="CA14:CA77" ca="1" si="17">IF(BU14=0,0,1/(1/(BU14*$BY$5)+1/(BU14*AU14)+1/(BU14*$BY$6)))</f>
        <v>19.249999989412501</v>
      </c>
      <c r="CB14" s="1018">
        <f t="shared" ca="1" si="10"/>
        <v>9.0267175572519083</v>
      </c>
      <c r="CC14" s="1018">
        <f t="shared" ref="CC14:CC77" si="18">0.67*IF(BW14=0,0,1/(1/(BW14*$BY$3)+1/(BW14*AS14)+1/(BW14*$BY$4)))</f>
        <v>0</v>
      </c>
      <c r="CD14" s="1018">
        <f t="shared" ref="CD14:CD23" ca="1" si="19">SUM(BX14:CC14)+(BR14+BS14+BT14+BU14+BV14)*BN14</f>
        <v>95.925717891019019</v>
      </c>
      <c r="CE14" s="1018">
        <f t="shared" ref="CE14:CE23" ca="1" si="20">0.34*BO14*(1/25)^0.66*(BR14+BS14+BU14+BV14)</f>
        <v>23.659858901622069</v>
      </c>
      <c r="CF14" s="1018">
        <f t="shared" ref="CF14:CF77" ca="1" si="21">(CD14+CE14)*($BY$7-$BV$5)/1000</f>
        <v>3.5875673037792324</v>
      </c>
      <c r="CG14" s="1018">
        <f t="shared" ref="CG14:CG77" ca="1" si="22">$BV$8*(CD14+CE14)*($BY$10-$BV$7)*24/1000</f>
        <v>5973.1560581002714</v>
      </c>
    </row>
    <row r="15" spans="1:85" x14ac:dyDescent="0.25">
      <c r="A15" s="633"/>
      <c r="B15" s="633"/>
      <c r="C15" s="633"/>
      <c r="D15" s="634"/>
      <c r="E15" s="633"/>
      <c r="F15" s="634"/>
      <c r="G15" s="633"/>
      <c r="H15" s="634"/>
      <c r="I15" s="633"/>
      <c r="J15" s="634"/>
      <c r="K15" s="634"/>
      <c r="L15" s="634"/>
      <c r="M15" s="634"/>
      <c r="N15" s="634"/>
      <c r="O15" s="634"/>
      <c r="P15" s="634"/>
      <c r="Q15" s="634" t="s">
        <v>16</v>
      </c>
      <c r="R15" s="636">
        <v>0.73860000000000003</v>
      </c>
      <c r="S15" s="634"/>
      <c r="T15" s="644">
        <v>2.8077421547457316E-3</v>
      </c>
      <c r="U15" s="633"/>
      <c r="V15" s="176">
        <f t="shared" si="11"/>
        <v>2.8077421547457316E-3</v>
      </c>
      <c r="W15" s="176">
        <f t="shared" si="12"/>
        <v>2.8077421547457316E-3</v>
      </c>
      <c r="X15" s="176">
        <f t="shared" si="12"/>
        <v>2.8077421547457316E-3</v>
      </c>
      <c r="Y15" s="34">
        <f>X15/Calculation_sheet!M$67</f>
        <v>2.8077995630453904E-3</v>
      </c>
      <c r="Z15" s="176">
        <f ca="1">IF(AN15&gt;0,Y15*Calculation_sheet!C$87,0)</f>
        <v>0</v>
      </c>
      <c r="AA15" s="176">
        <f t="shared" ca="1" si="13"/>
        <v>2.8077995630453904E-3</v>
      </c>
      <c r="AB15" s="176">
        <f ca="1">IF(AP15&gt;0,AA15*Calculation_sheet!C$94,0)</f>
        <v>0</v>
      </c>
      <c r="AC15" s="176">
        <f t="shared" ca="1" si="0"/>
        <v>2.8077995630453904E-3</v>
      </c>
      <c r="AD15" s="958">
        <f ca="1">AC15*Calculation_sheet!C$99</f>
        <v>1.6846797378272341E-3</v>
      </c>
      <c r="AE15" s="176">
        <f t="shared" ca="1" si="0"/>
        <v>1.1231198252181563E-3</v>
      </c>
      <c r="AF15" s="176">
        <f t="shared" ca="1" si="14"/>
        <v>2.8077995630453904E-3</v>
      </c>
      <c r="AG15" s="958">
        <f ca="1">AF15*User_sheet!B$77/100</f>
        <v>0</v>
      </c>
      <c r="AH15" s="313"/>
      <c r="AI15">
        <v>301</v>
      </c>
      <c r="AK15" s="1018">
        <f t="shared" ca="1" si="15"/>
        <v>95.925717891019019</v>
      </c>
      <c r="AL15" s="924">
        <f ca="1">AK15/'301'!I$24</f>
        <v>0.76007256303994286</v>
      </c>
      <c r="AM15" s="924">
        <f ca="1">0.8*(AK15*30+'301'!D$17*0.34*30*1)</f>
        <v>4393.7884293844563</v>
      </c>
      <c r="AN15" s="954">
        <f ca="1">IF(AM15&lt;User_sheet!B$50,Y15,0)</f>
        <v>2.8077995630453904E-3</v>
      </c>
      <c r="AO15" s="954">
        <f ca="1">20-(User_sheet!B$57/(AK15+'301'!D$17*1*0.34))</f>
        <v>-11.134862817954314</v>
      </c>
      <c r="AP15" s="954">
        <f ca="1">IF(AO15&lt;User_sheet!B$59,0,BC15*AA15)</f>
        <v>0</v>
      </c>
      <c r="AR15" s="2">
        <v>0.48</v>
      </c>
      <c r="AS15" s="2">
        <v>0.66</v>
      </c>
      <c r="AT15" s="2">
        <v>0.89</v>
      </c>
      <c r="AU15" s="2">
        <v>2.75</v>
      </c>
      <c r="AV15" s="2">
        <v>3.3</v>
      </c>
      <c r="AW15" s="2">
        <v>10916.451096266603</v>
      </c>
      <c r="AX15" s="2">
        <v>68297.998190252794</v>
      </c>
      <c r="AY15" s="2">
        <v>79015.992973719694</v>
      </c>
      <c r="AZ15" s="2">
        <v>0</v>
      </c>
      <c r="BA15" s="2">
        <v>0</v>
      </c>
      <c r="BB15" s="2">
        <v>0.6</v>
      </c>
      <c r="BC15" s="30">
        <v>1</v>
      </c>
      <c r="BD15" s="34">
        <v>0</v>
      </c>
      <c r="BE15" s="34">
        <v>0</v>
      </c>
      <c r="BF15" s="40">
        <v>0</v>
      </c>
      <c r="BG15" s="34">
        <v>0</v>
      </c>
      <c r="BH15" s="34">
        <v>1</v>
      </c>
      <c r="BI15" s="40">
        <v>0</v>
      </c>
      <c r="BJ15" s="34">
        <v>1</v>
      </c>
      <c r="BK15" s="34">
        <v>0</v>
      </c>
      <c r="BL15" s="34">
        <v>0</v>
      </c>
      <c r="BM15" s="40">
        <v>0</v>
      </c>
      <c r="BN15" s="958">
        <v>0.1</v>
      </c>
      <c r="BO15" s="959">
        <v>6</v>
      </c>
      <c r="BP15" s="1018">
        <f t="shared" ca="1" si="1"/>
        <v>115.19999999999999</v>
      </c>
      <c r="BQ15" s="1018">
        <f t="shared" ca="1" si="2"/>
        <v>191.51999999999995</v>
      </c>
      <c r="BR15" s="1018">
        <f t="shared" ca="1" si="3"/>
        <v>43.295999999999999</v>
      </c>
      <c r="BS15" s="1018">
        <f t="shared" ca="1" si="4"/>
        <v>42.459999999999994</v>
      </c>
      <c r="BT15" s="1018">
        <f t="shared" ca="1" si="5"/>
        <v>38.4</v>
      </c>
      <c r="BU15" s="1018">
        <f t="shared" ca="1" si="6"/>
        <v>7</v>
      </c>
      <c r="BV15" s="1018">
        <f t="shared" ca="1" si="7"/>
        <v>4.3</v>
      </c>
      <c r="BW15" s="1018">
        <v>0</v>
      </c>
      <c r="BX15" s="1018">
        <f t="shared" ca="1" si="8"/>
        <v>19.185819793205319</v>
      </c>
      <c r="BY15" s="1018">
        <f t="shared" ca="1" si="9"/>
        <v>25.146805455850682</v>
      </c>
      <c r="BZ15" s="1018">
        <f t="shared" ca="1" si="16"/>
        <v>9.7707750952986032</v>
      </c>
      <c r="CA15" s="1018">
        <f t="shared" ca="1" si="17"/>
        <v>19.249999989412501</v>
      </c>
      <c r="CB15" s="1018">
        <f t="shared" ca="1" si="10"/>
        <v>9.0267175572519083</v>
      </c>
      <c r="CC15" s="1018">
        <f t="shared" si="18"/>
        <v>0</v>
      </c>
      <c r="CD15" s="1018">
        <f t="shared" ca="1" si="19"/>
        <v>95.925717891019019</v>
      </c>
      <c r="CE15" s="1018">
        <f t="shared" ca="1" si="20"/>
        <v>23.659858901622069</v>
      </c>
      <c r="CF15" s="1018">
        <f t="shared" ca="1" si="21"/>
        <v>3.5875673037792324</v>
      </c>
      <c r="CG15" s="1018">
        <f t="shared" ca="1" si="22"/>
        <v>5973.1560581002714</v>
      </c>
    </row>
    <row r="16" spans="1:85" x14ac:dyDescent="0.25">
      <c r="A16" s="633"/>
      <c r="B16" s="633"/>
      <c r="C16" s="633"/>
      <c r="D16" s="634"/>
      <c r="E16" s="633"/>
      <c r="F16" s="634"/>
      <c r="G16" s="633"/>
      <c r="H16" s="634"/>
      <c r="I16" s="633"/>
      <c r="J16" s="634"/>
      <c r="K16" s="634"/>
      <c r="L16" s="634"/>
      <c r="M16" s="634" t="s">
        <v>16</v>
      </c>
      <c r="N16" s="636">
        <v>0.44680851100000002</v>
      </c>
      <c r="O16" s="634" t="s">
        <v>19</v>
      </c>
      <c r="P16" s="636">
        <v>0.37046004799999999</v>
      </c>
      <c r="Q16" s="634" t="s">
        <v>7</v>
      </c>
      <c r="R16" s="636">
        <v>0.26140000000000002</v>
      </c>
      <c r="S16" s="634"/>
      <c r="T16" s="644">
        <v>9.936959101686084E-4</v>
      </c>
      <c r="U16" s="633"/>
      <c r="V16" s="176">
        <f t="shared" si="11"/>
        <v>9.936959101686084E-4</v>
      </c>
      <c r="W16" s="176">
        <f t="shared" si="12"/>
        <v>9.936959101686084E-4</v>
      </c>
      <c r="X16" s="176">
        <f t="shared" si="12"/>
        <v>9.936959101686084E-4</v>
      </c>
      <c r="Y16" s="34">
        <f>X16/Calculation_sheet!M$67</f>
        <v>9.9371622770114392E-4</v>
      </c>
      <c r="Z16" s="176">
        <f ca="1">IF(AN16&gt;0,Y16*Calculation_sheet!C$87,0)</f>
        <v>0</v>
      </c>
      <c r="AA16" s="176">
        <f t="shared" ca="1" si="13"/>
        <v>9.9371622770114392E-4</v>
      </c>
      <c r="AB16" s="176">
        <f ca="1">IF(AP16&gt;0,AA16*Calculation_sheet!C$94,0)</f>
        <v>0</v>
      </c>
      <c r="AC16" s="176">
        <f t="shared" ca="1" si="0"/>
        <v>9.9371622770114392E-4</v>
      </c>
      <c r="AD16" s="958">
        <f ca="1">AC16*Calculation_sheet!C$99</f>
        <v>5.9622973662068631E-4</v>
      </c>
      <c r="AE16" s="176">
        <f t="shared" ca="1" si="0"/>
        <v>3.9748649108045761E-4</v>
      </c>
      <c r="AF16" s="176">
        <f t="shared" ca="1" si="14"/>
        <v>9.9371622770114392E-4</v>
      </c>
      <c r="AG16" s="958">
        <f ca="1">AF16*User_sheet!B$77/100</f>
        <v>0</v>
      </c>
      <c r="AH16" s="313"/>
      <c r="AI16">
        <v>301</v>
      </c>
      <c r="AK16" s="1018">
        <f t="shared" ca="1" si="15"/>
        <v>95.925717891019019</v>
      </c>
      <c r="AL16" s="924">
        <f ca="1">AK16/'301'!I$24</f>
        <v>0.76007256303994286</v>
      </c>
      <c r="AM16" s="924">
        <f ca="1">0.8*(AK16*30+'301'!D$17*0.34*30*1)</f>
        <v>4393.7884293844563</v>
      </c>
      <c r="AN16" s="954">
        <f ca="1">IF(AM16&lt;User_sheet!B$50,Y16,0)</f>
        <v>9.9371622770114392E-4</v>
      </c>
      <c r="AO16" s="954">
        <f ca="1">20-(User_sheet!B$57/(AK16+'301'!D$17*1*0.34))</f>
        <v>-11.134862817954314</v>
      </c>
      <c r="AP16" s="954">
        <f ca="1">IF(AO16&lt;User_sheet!B$59,0,BC16*AA16)</f>
        <v>0</v>
      </c>
      <c r="AR16" s="2">
        <v>0.48</v>
      </c>
      <c r="AS16" s="2">
        <v>0.66</v>
      </c>
      <c r="AT16" s="2">
        <v>0.89</v>
      </c>
      <c r="AU16" s="2">
        <v>2.75</v>
      </c>
      <c r="AV16" s="2">
        <v>3.3</v>
      </c>
      <c r="AW16" s="2">
        <v>10916.451096266603</v>
      </c>
      <c r="AX16" s="2">
        <v>68297.998190252794</v>
      </c>
      <c r="AY16" s="2">
        <v>79015.992973719694</v>
      </c>
      <c r="AZ16" s="2">
        <v>0</v>
      </c>
      <c r="BA16" s="2">
        <v>0</v>
      </c>
      <c r="BB16" s="2">
        <v>0.6</v>
      </c>
      <c r="BC16" s="30">
        <v>1</v>
      </c>
      <c r="BD16" s="34">
        <v>0</v>
      </c>
      <c r="BE16" s="34">
        <v>0</v>
      </c>
      <c r="BF16" s="40">
        <v>0</v>
      </c>
      <c r="BG16" s="34">
        <v>0</v>
      </c>
      <c r="BH16" s="34">
        <v>1</v>
      </c>
      <c r="BI16" s="40">
        <v>0</v>
      </c>
      <c r="BJ16" s="34">
        <v>0</v>
      </c>
      <c r="BK16" s="34">
        <v>0</v>
      </c>
      <c r="BL16" s="34">
        <v>1</v>
      </c>
      <c r="BM16" s="40">
        <v>0</v>
      </c>
      <c r="BN16" s="958">
        <v>0.1</v>
      </c>
      <c r="BO16" s="959">
        <v>6</v>
      </c>
      <c r="BP16" s="1018">
        <f t="shared" ca="1" si="1"/>
        <v>115.19999999999999</v>
      </c>
      <c r="BQ16" s="1018">
        <f t="shared" ca="1" si="2"/>
        <v>191.51999999999995</v>
      </c>
      <c r="BR16" s="1018">
        <f t="shared" ca="1" si="3"/>
        <v>43.295999999999999</v>
      </c>
      <c r="BS16" s="1018">
        <f t="shared" ca="1" si="4"/>
        <v>42.459999999999994</v>
      </c>
      <c r="BT16" s="1018">
        <f t="shared" ca="1" si="5"/>
        <v>38.4</v>
      </c>
      <c r="BU16" s="1018">
        <f t="shared" ca="1" si="6"/>
        <v>7</v>
      </c>
      <c r="BV16" s="1018">
        <f t="shared" ca="1" si="7"/>
        <v>4.3</v>
      </c>
      <c r="BW16" s="1018">
        <v>0</v>
      </c>
      <c r="BX16" s="1018">
        <f t="shared" ca="1" si="8"/>
        <v>19.185819793205319</v>
      </c>
      <c r="BY16" s="1018">
        <f t="shared" ca="1" si="9"/>
        <v>25.146805455850682</v>
      </c>
      <c r="BZ16" s="1018">
        <f t="shared" ca="1" si="16"/>
        <v>9.7707750952986032</v>
      </c>
      <c r="CA16" s="1018">
        <f t="shared" ca="1" si="17"/>
        <v>19.249999989412501</v>
      </c>
      <c r="CB16" s="1018">
        <f t="shared" ca="1" si="10"/>
        <v>9.0267175572519083</v>
      </c>
      <c r="CC16" s="1018">
        <f t="shared" si="18"/>
        <v>0</v>
      </c>
      <c r="CD16" s="1018">
        <f t="shared" ca="1" si="19"/>
        <v>95.925717891019019</v>
      </c>
      <c r="CE16" s="1018">
        <f t="shared" ca="1" si="20"/>
        <v>23.659858901622069</v>
      </c>
      <c r="CF16" s="1018">
        <f t="shared" ca="1" si="21"/>
        <v>3.5875673037792324</v>
      </c>
      <c r="CG16" s="1018">
        <f t="shared" ca="1" si="22"/>
        <v>5973.1560581002714</v>
      </c>
    </row>
    <row r="17" spans="4:85" x14ac:dyDescent="0.25">
      <c r="D17" s="634"/>
      <c r="E17" s="633"/>
      <c r="F17" s="634"/>
      <c r="G17" s="633"/>
      <c r="H17" s="634"/>
      <c r="I17" s="633"/>
      <c r="J17" s="634"/>
      <c r="K17" s="634"/>
      <c r="L17" s="634"/>
      <c r="M17" s="634"/>
      <c r="N17" s="634"/>
      <c r="O17" s="634"/>
      <c r="P17" s="634"/>
      <c r="Q17" s="634" t="s">
        <v>22</v>
      </c>
      <c r="R17" s="636">
        <v>0.53710000000000002</v>
      </c>
      <c r="S17" s="634"/>
      <c r="T17" s="644">
        <v>4.4547005571298247E-3</v>
      </c>
      <c r="U17" s="633"/>
      <c r="V17" s="176">
        <f t="shared" si="11"/>
        <v>4.4547005571298247E-3</v>
      </c>
      <c r="W17" s="176">
        <f t="shared" si="12"/>
        <v>4.4547005571298247E-3</v>
      </c>
      <c r="X17" s="176">
        <f t="shared" si="12"/>
        <v>4.4547005571298247E-3</v>
      </c>
      <c r="Y17" s="34">
        <f>X17/Calculation_sheet!M$67</f>
        <v>4.4547916398469615E-3</v>
      </c>
      <c r="Z17" s="176">
        <f ca="1">IF(AN17&gt;0,Y17*Calculation_sheet!C$87,0)</f>
        <v>0</v>
      </c>
      <c r="AA17" s="176">
        <f t="shared" ca="1" si="13"/>
        <v>4.4547916398469615E-3</v>
      </c>
      <c r="AB17" s="176">
        <f ca="1">IF(AP17&gt;0,AA17*Calculation_sheet!C$94,0)</f>
        <v>0</v>
      </c>
      <c r="AC17" s="176">
        <f t="shared" ca="1" si="0"/>
        <v>4.4547916398469615E-3</v>
      </c>
      <c r="AD17" s="958">
        <f ca="1">AC17*Calculation_sheet!C$99</f>
        <v>2.6728749839081767E-3</v>
      </c>
      <c r="AE17" s="176">
        <f t="shared" ca="1" si="0"/>
        <v>1.7819166559387848E-3</v>
      </c>
      <c r="AF17" s="176">
        <f t="shared" ca="1" si="14"/>
        <v>4.4547916398469615E-3</v>
      </c>
      <c r="AG17" s="958">
        <f ca="1">AF17*User_sheet!B$77/100</f>
        <v>0</v>
      </c>
      <c r="AH17" s="313"/>
      <c r="AI17">
        <v>301</v>
      </c>
      <c r="AK17" s="1018">
        <f t="shared" ca="1" si="15"/>
        <v>95.925717891019019</v>
      </c>
      <c r="AL17" s="924">
        <f ca="1">AK17/'301'!I$24</f>
        <v>0.76007256303994286</v>
      </c>
      <c r="AM17" s="924">
        <f ca="1">0.8*(AK17*30+'301'!D$17*0.34*30*1)</f>
        <v>4393.7884293844563</v>
      </c>
      <c r="AN17" s="954">
        <f ca="1">IF(AM17&lt;User_sheet!B$50,Y17,0)</f>
        <v>4.4547916398469615E-3</v>
      </c>
      <c r="AO17" s="954">
        <f ca="1">20-(User_sheet!B$57/(AK17+'301'!D$17*1*0.34))</f>
        <v>-11.134862817954314</v>
      </c>
      <c r="AP17" s="954">
        <f ca="1">IF(AO17&lt;User_sheet!B$59,0,BC17*AA17)</f>
        <v>0</v>
      </c>
      <c r="AR17" s="2">
        <v>0.48</v>
      </c>
      <c r="AS17" s="2">
        <v>0.66</v>
      </c>
      <c r="AT17" s="2">
        <v>0.89</v>
      </c>
      <c r="AU17" s="2">
        <v>2.75</v>
      </c>
      <c r="AV17" s="2">
        <v>3.3</v>
      </c>
      <c r="AW17" s="2">
        <v>10916.451096266603</v>
      </c>
      <c r="AX17" s="2">
        <v>68297.998190252794</v>
      </c>
      <c r="AY17" s="2">
        <v>79015.992973719694</v>
      </c>
      <c r="AZ17" s="2">
        <v>0</v>
      </c>
      <c r="BA17" s="2">
        <v>0</v>
      </c>
      <c r="BB17" s="2">
        <v>0.6</v>
      </c>
      <c r="BC17" s="30">
        <v>0</v>
      </c>
      <c r="BD17" s="34">
        <v>1</v>
      </c>
      <c r="BE17" s="34">
        <v>0</v>
      </c>
      <c r="BF17" s="40">
        <v>0</v>
      </c>
      <c r="BG17" s="34">
        <v>1</v>
      </c>
      <c r="BH17" s="34">
        <v>0</v>
      </c>
      <c r="BI17" s="40">
        <v>0</v>
      </c>
      <c r="BJ17" s="34">
        <v>0</v>
      </c>
      <c r="BK17" s="34">
        <v>1</v>
      </c>
      <c r="BL17" s="34">
        <v>0</v>
      </c>
      <c r="BM17" s="40">
        <v>0</v>
      </c>
      <c r="BN17" s="958">
        <v>0.1</v>
      </c>
      <c r="BO17" s="959">
        <v>6</v>
      </c>
      <c r="BP17" s="1018">
        <f t="shared" ca="1" si="1"/>
        <v>115.19999999999999</v>
      </c>
      <c r="BQ17" s="1018">
        <f t="shared" ca="1" si="2"/>
        <v>191.51999999999995</v>
      </c>
      <c r="BR17" s="1018">
        <f t="shared" ca="1" si="3"/>
        <v>43.295999999999999</v>
      </c>
      <c r="BS17" s="1018">
        <f t="shared" ca="1" si="4"/>
        <v>42.459999999999994</v>
      </c>
      <c r="BT17" s="1018">
        <f t="shared" ca="1" si="5"/>
        <v>38.4</v>
      </c>
      <c r="BU17" s="1018">
        <f t="shared" ca="1" si="6"/>
        <v>7</v>
      </c>
      <c r="BV17" s="1018">
        <f t="shared" ca="1" si="7"/>
        <v>4.3</v>
      </c>
      <c r="BW17" s="1018">
        <v>0</v>
      </c>
      <c r="BX17" s="1018">
        <f t="shared" ca="1" si="8"/>
        <v>19.185819793205319</v>
      </c>
      <c r="BY17" s="1018">
        <f t="shared" ca="1" si="9"/>
        <v>25.146805455850682</v>
      </c>
      <c r="BZ17" s="1018">
        <f t="shared" ca="1" si="16"/>
        <v>9.7707750952986032</v>
      </c>
      <c r="CA17" s="1018">
        <f t="shared" ca="1" si="17"/>
        <v>19.249999989412501</v>
      </c>
      <c r="CB17" s="1018">
        <f t="shared" ca="1" si="10"/>
        <v>9.0267175572519083</v>
      </c>
      <c r="CC17" s="1018">
        <f t="shared" si="18"/>
        <v>0</v>
      </c>
      <c r="CD17" s="1018">
        <f t="shared" ca="1" si="19"/>
        <v>95.925717891019019</v>
      </c>
      <c r="CE17" s="1018">
        <f t="shared" ca="1" si="20"/>
        <v>23.659858901622069</v>
      </c>
      <c r="CF17" s="1018">
        <f t="shared" ca="1" si="21"/>
        <v>3.5875673037792324</v>
      </c>
      <c r="CG17" s="1018">
        <f t="shared" ca="1" si="22"/>
        <v>5973.1560581002714</v>
      </c>
    </row>
    <row r="18" spans="4:85" x14ac:dyDescent="0.25">
      <c r="D18" s="634"/>
      <c r="E18" s="633"/>
      <c r="F18" s="634"/>
      <c r="G18" s="633"/>
      <c r="H18" s="634"/>
      <c r="I18" s="633"/>
      <c r="J18" s="634"/>
      <c r="K18" s="634"/>
      <c r="L18" s="634"/>
      <c r="M18" s="634"/>
      <c r="N18" s="634"/>
      <c r="O18" s="634" t="s">
        <v>18</v>
      </c>
      <c r="P18" s="636">
        <v>0.80827067699999999</v>
      </c>
      <c r="Q18" s="634" t="s">
        <v>7</v>
      </c>
      <c r="R18" s="636">
        <v>0.46289999999999998</v>
      </c>
      <c r="S18" s="634"/>
      <c r="T18" s="644">
        <v>3.839286702467689E-3</v>
      </c>
      <c r="U18" s="633"/>
      <c r="V18" s="176">
        <f t="shared" si="11"/>
        <v>3.839286702467689E-3</v>
      </c>
      <c r="W18" s="176">
        <f t="shared" si="12"/>
        <v>3.839286702467689E-3</v>
      </c>
      <c r="X18" s="176">
        <f t="shared" si="12"/>
        <v>3.839286702467689E-3</v>
      </c>
      <c r="Y18" s="34">
        <f>X18/Calculation_sheet!M$67</f>
        <v>3.8393652021693507E-3</v>
      </c>
      <c r="Z18" s="176">
        <f ca="1">IF(AN18&gt;0,Y18*Calculation_sheet!C$87,0)</f>
        <v>0</v>
      </c>
      <c r="AA18" s="176">
        <f t="shared" ca="1" si="13"/>
        <v>3.8393652021693507E-3</v>
      </c>
      <c r="AB18" s="176">
        <f ca="1">IF(AP18&gt;0,AA18*Calculation_sheet!C$94,0)</f>
        <v>0</v>
      </c>
      <c r="AC18" s="176">
        <f t="shared" ca="1" si="0"/>
        <v>3.8393652021693507E-3</v>
      </c>
      <c r="AD18" s="958">
        <f ca="1">AC18*Calculation_sheet!C$99</f>
        <v>2.3036191213016105E-3</v>
      </c>
      <c r="AE18" s="176">
        <f t="shared" ca="1" si="0"/>
        <v>1.5357460808677402E-3</v>
      </c>
      <c r="AF18" s="176">
        <f t="shared" ca="1" si="14"/>
        <v>3.8393652021693507E-3</v>
      </c>
      <c r="AG18" s="958">
        <f ca="1">AF18*User_sheet!B$77/100</f>
        <v>0</v>
      </c>
      <c r="AH18" s="313"/>
      <c r="AI18">
        <v>301</v>
      </c>
      <c r="AK18" s="1018">
        <f t="shared" ca="1" si="15"/>
        <v>95.925717891019019</v>
      </c>
      <c r="AL18" s="924">
        <f ca="1">AK18/'301'!I$24</f>
        <v>0.76007256303994286</v>
      </c>
      <c r="AM18" s="924">
        <f ca="1">0.8*(AK18*30+'301'!D$17*0.34*30*1)</f>
        <v>4393.7884293844563</v>
      </c>
      <c r="AN18" s="954">
        <f ca="1">IF(AM18&lt;User_sheet!B$50,Y18,0)</f>
        <v>3.8393652021693507E-3</v>
      </c>
      <c r="AO18" s="954">
        <f ca="1">20-(User_sheet!B$57/(AK18+'301'!D$17*1*0.34))</f>
        <v>-11.134862817954314</v>
      </c>
      <c r="AP18" s="954">
        <f ca="1">IF(AO18&lt;User_sheet!B$59,0,BC18*AA18)</f>
        <v>0</v>
      </c>
      <c r="AR18" s="2">
        <v>0.48</v>
      </c>
      <c r="AS18" s="2">
        <v>0.66</v>
      </c>
      <c r="AT18" s="2">
        <v>0.89</v>
      </c>
      <c r="AU18" s="2">
        <v>2.75</v>
      </c>
      <c r="AV18" s="2">
        <v>3.3</v>
      </c>
      <c r="AW18" s="2">
        <v>10916.451096266603</v>
      </c>
      <c r="AX18" s="2">
        <v>68297.998190252794</v>
      </c>
      <c r="AY18" s="2">
        <v>79015.992973719694</v>
      </c>
      <c r="AZ18" s="2">
        <v>0</v>
      </c>
      <c r="BA18" s="2">
        <v>0</v>
      </c>
      <c r="BB18" s="2">
        <v>0.6</v>
      </c>
      <c r="BC18" s="30">
        <v>0</v>
      </c>
      <c r="BD18" s="34">
        <v>1</v>
      </c>
      <c r="BE18" s="34">
        <v>0</v>
      </c>
      <c r="BF18" s="40">
        <v>0</v>
      </c>
      <c r="BG18" s="34">
        <v>1</v>
      </c>
      <c r="BH18" s="34">
        <v>0</v>
      </c>
      <c r="BI18" s="40">
        <v>0</v>
      </c>
      <c r="BJ18" s="34">
        <v>0</v>
      </c>
      <c r="BK18" s="34">
        <v>0</v>
      </c>
      <c r="BL18" s="34">
        <v>1</v>
      </c>
      <c r="BM18" s="40">
        <v>0</v>
      </c>
      <c r="BN18" s="958">
        <v>0.1</v>
      </c>
      <c r="BO18" s="959">
        <v>6</v>
      </c>
      <c r="BP18" s="1018">
        <f t="shared" ca="1" si="1"/>
        <v>115.19999999999999</v>
      </c>
      <c r="BQ18" s="1018">
        <f t="shared" ca="1" si="2"/>
        <v>191.51999999999995</v>
      </c>
      <c r="BR18" s="1018">
        <f t="shared" ca="1" si="3"/>
        <v>43.295999999999999</v>
      </c>
      <c r="BS18" s="1018">
        <f t="shared" ca="1" si="4"/>
        <v>42.459999999999994</v>
      </c>
      <c r="BT18" s="1018">
        <f t="shared" ca="1" si="5"/>
        <v>38.4</v>
      </c>
      <c r="BU18" s="1018">
        <f t="shared" ca="1" si="6"/>
        <v>7</v>
      </c>
      <c r="BV18" s="1018">
        <f t="shared" ca="1" si="7"/>
        <v>4.3</v>
      </c>
      <c r="BW18" s="1018">
        <v>0</v>
      </c>
      <c r="BX18" s="1018">
        <f t="shared" ca="1" si="8"/>
        <v>19.185819793205319</v>
      </c>
      <c r="BY18" s="1018">
        <f t="shared" ca="1" si="9"/>
        <v>25.146805455850682</v>
      </c>
      <c r="BZ18" s="1018">
        <f t="shared" ca="1" si="16"/>
        <v>9.7707750952986032</v>
      </c>
      <c r="CA18" s="1018">
        <f t="shared" ca="1" si="17"/>
        <v>19.249999989412501</v>
      </c>
      <c r="CB18" s="1018">
        <f t="shared" ca="1" si="10"/>
        <v>9.0267175572519083</v>
      </c>
      <c r="CC18" s="1018">
        <f t="shared" si="18"/>
        <v>0</v>
      </c>
      <c r="CD18" s="1018">
        <f t="shared" ca="1" si="19"/>
        <v>95.925717891019019</v>
      </c>
      <c r="CE18" s="1018">
        <f t="shared" ca="1" si="20"/>
        <v>23.659858901622069</v>
      </c>
      <c r="CF18" s="1018">
        <f t="shared" ca="1" si="21"/>
        <v>3.5875673037792324</v>
      </c>
      <c r="CG18" s="1018">
        <f t="shared" ca="1" si="22"/>
        <v>5973.1560581002714</v>
      </c>
    </row>
    <row r="19" spans="4:85" x14ac:dyDescent="0.25">
      <c r="D19" s="634"/>
      <c r="E19" s="633"/>
      <c r="F19" s="634"/>
      <c r="G19" s="633"/>
      <c r="H19" s="634"/>
      <c r="I19" s="633"/>
      <c r="J19" s="634"/>
      <c r="K19" s="634"/>
      <c r="L19" s="634"/>
      <c r="M19" s="634"/>
      <c r="N19" s="634"/>
      <c r="O19" s="634"/>
      <c r="P19" s="634"/>
      <c r="Q19" s="634" t="s">
        <v>22</v>
      </c>
      <c r="R19" s="636">
        <v>0.53710000000000002</v>
      </c>
      <c r="S19" s="634"/>
      <c r="T19" s="644">
        <v>1.0566964091241232E-3</v>
      </c>
      <c r="U19" s="633"/>
      <c r="V19" s="176">
        <f t="shared" si="11"/>
        <v>1.0566964091241232E-3</v>
      </c>
      <c r="W19" s="176">
        <f t="shared" si="12"/>
        <v>1.0566964091241232E-3</v>
      </c>
      <c r="X19" s="176">
        <f t="shared" si="12"/>
        <v>1.0566964091241232E-3</v>
      </c>
      <c r="Y19" s="34">
        <f>X19/Calculation_sheet!M$67</f>
        <v>1.0567180147918662E-3</v>
      </c>
      <c r="Z19" s="176">
        <f ca="1">IF(AN19&gt;0,Y19*Calculation_sheet!C$87,0)</f>
        <v>0</v>
      </c>
      <c r="AA19" s="176">
        <f t="shared" ca="1" si="13"/>
        <v>1.0567180147918662E-3</v>
      </c>
      <c r="AB19" s="176">
        <f ca="1">IF(AP19&gt;0,AA19*Calculation_sheet!C$94,0)</f>
        <v>0</v>
      </c>
      <c r="AC19" s="176">
        <f t="shared" ca="1" si="0"/>
        <v>1.0567180147918662E-3</v>
      </c>
      <c r="AD19" s="958">
        <f ca="1">AC19*Calculation_sheet!C$99</f>
        <v>6.3403080887511972E-4</v>
      </c>
      <c r="AE19" s="176">
        <f t="shared" ca="1" si="0"/>
        <v>4.2268720591674648E-4</v>
      </c>
      <c r="AF19" s="176">
        <f t="shared" ca="1" si="14"/>
        <v>1.0567180147918662E-3</v>
      </c>
      <c r="AG19" s="958">
        <f ca="1">AF19*User_sheet!B$77/100</f>
        <v>0</v>
      </c>
      <c r="AH19" s="313"/>
      <c r="AI19">
        <v>301</v>
      </c>
      <c r="AK19" s="1018">
        <f t="shared" ca="1" si="15"/>
        <v>95.925717891019019</v>
      </c>
      <c r="AL19" s="924">
        <f ca="1">AK19/'301'!I$24</f>
        <v>0.76007256303994286</v>
      </c>
      <c r="AM19" s="924">
        <f ca="1">0.8*(AK19*30+'301'!D$17*0.34*30*1)</f>
        <v>4393.7884293844563</v>
      </c>
      <c r="AN19" s="954">
        <f ca="1">IF(AM19&lt;User_sheet!B$50,Y19,0)</f>
        <v>1.0567180147918662E-3</v>
      </c>
      <c r="AO19" s="954">
        <f ca="1">20-(User_sheet!B$57/(AK19+'301'!D$17*1*0.34))</f>
        <v>-11.134862817954314</v>
      </c>
      <c r="AP19" s="954">
        <f ca="1">IF(AO19&lt;User_sheet!B$59,0,BC19*AA19)</f>
        <v>0</v>
      </c>
      <c r="AR19" s="2">
        <v>0.48</v>
      </c>
      <c r="AS19" s="2">
        <v>0.66</v>
      </c>
      <c r="AT19" s="2">
        <v>0.89</v>
      </c>
      <c r="AU19" s="2">
        <v>2.75</v>
      </c>
      <c r="AV19" s="2">
        <v>3.3</v>
      </c>
      <c r="AW19" s="2">
        <v>10916.451096266603</v>
      </c>
      <c r="AX19" s="2">
        <v>68297.998190252794</v>
      </c>
      <c r="AY19" s="2">
        <v>79015.992973719694</v>
      </c>
      <c r="AZ19" s="2">
        <v>0</v>
      </c>
      <c r="BA19" s="2">
        <v>0</v>
      </c>
      <c r="BB19" s="2">
        <v>0.6</v>
      </c>
      <c r="BC19" s="30">
        <v>0</v>
      </c>
      <c r="BD19" s="34">
        <v>1</v>
      </c>
      <c r="BE19" s="34">
        <v>0</v>
      </c>
      <c r="BF19" s="40">
        <v>0</v>
      </c>
      <c r="BG19" s="34">
        <v>0</v>
      </c>
      <c r="BH19" s="34">
        <v>1</v>
      </c>
      <c r="BI19" s="40">
        <v>0</v>
      </c>
      <c r="BJ19" s="34">
        <v>0</v>
      </c>
      <c r="BK19" s="34">
        <v>1</v>
      </c>
      <c r="BL19" s="34">
        <v>0</v>
      </c>
      <c r="BM19" s="40">
        <v>0</v>
      </c>
      <c r="BN19" s="958">
        <v>0.1</v>
      </c>
      <c r="BO19" s="959">
        <v>6</v>
      </c>
      <c r="BP19" s="1018">
        <f t="shared" ca="1" si="1"/>
        <v>115.19999999999999</v>
      </c>
      <c r="BQ19" s="1018">
        <f t="shared" ca="1" si="2"/>
        <v>191.51999999999995</v>
      </c>
      <c r="BR19" s="1018">
        <f t="shared" ca="1" si="3"/>
        <v>43.295999999999999</v>
      </c>
      <c r="BS19" s="1018">
        <f t="shared" ca="1" si="4"/>
        <v>42.459999999999994</v>
      </c>
      <c r="BT19" s="1018">
        <f t="shared" ca="1" si="5"/>
        <v>38.4</v>
      </c>
      <c r="BU19" s="1018">
        <f t="shared" ca="1" si="6"/>
        <v>7</v>
      </c>
      <c r="BV19" s="1018">
        <f t="shared" ca="1" si="7"/>
        <v>4.3</v>
      </c>
      <c r="BW19" s="1018">
        <v>0</v>
      </c>
      <c r="BX19" s="1018">
        <f t="shared" ca="1" si="8"/>
        <v>19.185819793205319</v>
      </c>
      <c r="BY19" s="1018">
        <f t="shared" ca="1" si="9"/>
        <v>25.146805455850682</v>
      </c>
      <c r="BZ19" s="1018">
        <f t="shared" ca="1" si="16"/>
        <v>9.7707750952986032</v>
      </c>
      <c r="CA19" s="1018">
        <f t="shared" ca="1" si="17"/>
        <v>19.249999989412501</v>
      </c>
      <c r="CB19" s="1018">
        <f t="shared" ca="1" si="10"/>
        <v>9.0267175572519083</v>
      </c>
      <c r="CC19" s="1018">
        <f t="shared" si="18"/>
        <v>0</v>
      </c>
      <c r="CD19" s="1018">
        <f t="shared" ca="1" si="19"/>
        <v>95.925717891019019</v>
      </c>
      <c r="CE19" s="1018">
        <f t="shared" ca="1" si="20"/>
        <v>23.659858901622069</v>
      </c>
      <c r="CF19" s="1018">
        <f t="shared" ca="1" si="21"/>
        <v>3.5875673037792324</v>
      </c>
      <c r="CG19" s="1018">
        <f t="shared" ca="1" si="22"/>
        <v>5973.1560581002714</v>
      </c>
    </row>
    <row r="20" spans="4:85" x14ac:dyDescent="0.25">
      <c r="D20" s="634"/>
      <c r="E20" s="633"/>
      <c r="F20" s="634"/>
      <c r="G20" s="633"/>
      <c r="H20" s="634"/>
      <c r="I20" s="633"/>
      <c r="J20" s="634"/>
      <c r="K20" s="634"/>
      <c r="L20" s="634"/>
      <c r="M20" s="634" t="s">
        <v>22</v>
      </c>
      <c r="N20" s="636">
        <v>0.44680851100000002</v>
      </c>
      <c r="O20" s="634" t="s">
        <v>20</v>
      </c>
      <c r="P20" s="636">
        <v>0.19172932300000001</v>
      </c>
      <c r="Q20" s="634" t="s">
        <v>7</v>
      </c>
      <c r="R20" s="636">
        <v>0.46289999999999998</v>
      </c>
      <c r="S20" s="634"/>
      <c r="T20" s="644">
        <v>9.107145183086141E-4</v>
      </c>
      <c r="U20" s="633"/>
      <c r="V20" s="176">
        <f t="shared" si="11"/>
        <v>9.107145183086141E-4</v>
      </c>
      <c r="W20" s="176">
        <f t="shared" si="12"/>
        <v>9.107145183086141E-4</v>
      </c>
      <c r="X20" s="176">
        <f t="shared" si="12"/>
        <v>9.107145183086141E-4</v>
      </c>
      <c r="Y20" s="34">
        <f>X20/Calculation_sheet!M$67</f>
        <v>9.1073313916804107E-4</v>
      </c>
      <c r="Z20" s="176">
        <f ca="1">IF(AN20&gt;0,Y20*Calculation_sheet!C$87,0)</f>
        <v>0</v>
      </c>
      <c r="AA20" s="176">
        <f t="shared" ca="1" si="13"/>
        <v>9.1073313916804107E-4</v>
      </c>
      <c r="AB20" s="176">
        <f ca="1">IF(AP20&gt;0,AA20*Calculation_sheet!C$94,0)</f>
        <v>0</v>
      </c>
      <c r="AC20" s="176">
        <f t="shared" ca="1" si="0"/>
        <v>9.1073313916804107E-4</v>
      </c>
      <c r="AD20" s="958">
        <f ca="1">AC20*Calculation_sheet!C$99</f>
        <v>5.464398835008246E-4</v>
      </c>
      <c r="AE20" s="176">
        <f t="shared" ca="1" si="0"/>
        <v>3.6429325566721647E-4</v>
      </c>
      <c r="AF20" s="176">
        <f t="shared" ca="1" si="14"/>
        <v>9.1073313916804107E-4</v>
      </c>
      <c r="AG20" s="958">
        <f ca="1">AF20*User_sheet!B$77/100</f>
        <v>0</v>
      </c>
      <c r="AH20" s="313"/>
      <c r="AI20">
        <v>301</v>
      </c>
      <c r="AK20" s="1018">
        <f t="shared" ca="1" si="15"/>
        <v>95.925717891019019</v>
      </c>
      <c r="AL20" s="924">
        <f ca="1">AK20/'301'!I$24</f>
        <v>0.76007256303994286</v>
      </c>
      <c r="AM20" s="924">
        <f ca="1">0.8*(AK20*30+'301'!D$17*0.34*30*1)</f>
        <v>4393.7884293844563</v>
      </c>
      <c r="AN20" s="954">
        <f ca="1">IF(AM20&lt;User_sheet!B$50,Y20,0)</f>
        <v>9.1073313916804107E-4</v>
      </c>
      <c r="AO20" s="954">
        <f ca="1">20-(User_sheet!B$57/(AK20+'301'!D$17*1*0.34))</f>
        <v>-11.134862817954314</v>
      </c>
      <c r="AP20" s="954">
        <f ca="1">IF(AO20&lt;User_sheet!B$59,0,BC20*AA20)</f>
        <v>0</v>
      </c>
      <c r="AR20" s="2">
        <v>0.48</v>
      </c>
      <c r="AS20" s="2">
        <v>0.66</v>
      </c>
      <c r="AT20" s="2">
        <v>0.89</v>
      </c>
      <c r="AU20" s="2">
        <v>2.75</v>
      </c>
      <c r="AV20" s="2">
        <v>3.3</v>
      </c>
      <c r="AW20" s="2">
        <v>10916.451096266603</v>
      </c>
      <c r="AX20" s="2">
        <v>68297.998190252794</v>
      </c>
      <c r="AY20" s="2">
        <v>79015.992973719694</v>
      </c>
      <c r="AZ20" s="2">
        <v>0</v>
      </c>
      <c r="BA20" s="2">
        <v>0</v>
      </c>
      <c r="BB20" s="2">
        <v>0.6</v>
      </c>
      <c r="BC20" s="30">
        <v>0</v>
      </c>
      <c r="BD20" s="34">
        <v>1</v>
      </c>
      <c r="BE20" s="34">
        <v>0</v>
      </c>
      <c r="BF20" s="40">
        <v>0</v>
      </c>
      <c r="BG20" s="34">
        <v>0</v>
      </c>
      <c r="BH20" s="34">
        <v>1</v>
      </c>
      <c r="BI20" s="40">
        <v>0</v>
      </c>
      <c r="BJ20" s="34">
        <v>0</v>
      </c>
      <c r="BK20" s="34">
        <v>0</v>
      </c>
      <c r="BL20" s="34">
        <v>1</v>
      </c>
      <c r="BM20" s="40">
        <v>0</v>
      </c>
      <c r="BN20" s="958">
        <v>0.1</v>
      </c>
      <c r="BO20" s="959">
        <v>6</v>
      </c>
      <c r="BP20" s="1018">
        <f t="shared" ca="1" si="1"/>
        <v>115.19999999999999</v>
      </c>
      <c r="BQ20" s="1018">
        <f t="shared" ca="1" si="2"/>
        <v>191.51999999999995</v>
      </c>
      <c r="BR20" s="1018">
        <f t="shared" ca="1" si="3"/>
        <v>43.295999999999999</v>
      </c>
      <c r="BS20" s="1018">
        <f t="shared" ca="1" si="4"/>
        <v>42.459999999999994</v>
      </c>
      <c r="BT20" s="1018">
        <f t="shared" ca="1" si="5"/>
        <v>38.4</v>
      </c>
      <c r="BU20" s="1018">
        <f t="shared" ca="1" si="6"/>
        <v>7</v>
      </c>
      <c r="BV20" s="1018">
        <f t="shared" ca="1" si="7"/>
        <v>4.3</v>
      </c>
      <c r="BW20" s="1018">
        <v>0</v>
      </c>
      <c r="BX20" s="1018">
        <f t="shared" ca="1" si="8"/>
        <v>19.185819793205319</v>
      </c>
      <c r="BY20" s="1018">
        <f t="shared" ca="1" si="9"/>
        <v>25.146805455850682</v>
      </c>
      <c r="BZ20" s="1018">
        <f t="shared" ca="1" si="16"/>
        <v>9.7707750952986032</v>
      </c>
      <c r="CA20" s="1018">
        <f t="shared" ca="1" si="17"/>
        <v>19.249999989412501</v>
      </c>
      <c r="CB20" s="1018">
        <f t="shared" ca="1" si="10"/>
        <v>9.0267175572519083</v>
      </c>
      <c r="CC20" s="1018">
        <f t="shared" si="18"/>
        <v>0</v>
      </c>
      <c r="CD20" s="1018">
        <f t="shared" ca="1" si="19"/>
        <v>95.925717891019019</v>
      </c>
      <c r="CE20" s="1018">
        <f t="shared" ca="1" si="20"/>
        <v>23.659858901622069</v>
      </c>
      <c r="CF20" s="1018">
        <f t="shared" ca="1" si="21"/>
        <v>3.5875673037792324</v>
      </c>
      <c r="CG20" s="1018">
        <f t="shared" ca="1" si="22"/>
        <v>5973.1560581002714</v>
      </c>
    </row>
    <row r="21" spans="4:85" x14ac:dyDescent="0.25">
      <c r="D21" s="634"/>
      <c r="E21" s="633"/>
      <c r="F21" s="634"/>
      <c r="G21" s="633"/>
      <c r="H21" s="634"/>
      <c r="I21" s="633"/>
      <c r="J21" s="634"/>
      <c r="K21" s="634"/>
      <c r="L21" s="634"/>
      <c r="M21" s="634" t="s">
        <v>7</v>
      </c>
      <c r="N21" s="636">
        <v>2.1276595999999998E-2</v>
      </c>
      <c r="O21" s="634" t="s">
        <v>23</v>
      </c>
      <c r="P21" s="636">
        <v>1</v>
      </c>
      <c r="Q21" s="634" t="s">
        <v>7</v>
      </c>
      <c r="R21" s="636">
        <v>1</v>
      </c>
      <c r="S21" s="634"/>
      <c r="T21" s="644">
        <v>4.886380143742943E-4</v>
      </c>
      <c r="U21" s="633"/>
      <c r="V21" s="176">
        <f t="shared" si="11"/>
        <v>4.886380143742943E-4</v>
      </c>
      <c r="W21" s="176">
        <f t="shared" si="12"/>
        <v>4.886380143742943E-4</v>
      </c>
      <c r="X21" s="176">
        <f t="shared" si="12"/>
        <v>4.886380143742943E-4</v>
      </c>
      <c r="Y21" s="34">
        <f>X21/Calculation_sheet!M$67</f>
        <v>4.8864800527659508E-4</v>
      </c>
      <c r="Z21" s="176">
        <f ca="1">IF(AN21&gt;0,Y21*Calculation_sheet!C$87,0)</f>
        <v>0</v>
      </c>
      <c r="AA21" s="176">
        <f t="shared" ca="1" si="13"/>
        <v>4.8864800527659508E-4</v>
      </c>
      <c r="AB21" s="176">
        <f ca="1">IF(AP21&gt;0,AA21*Calculation_sheet!C$94,0)</f>
        <v>0</v>
      </c>
      <c r="AC21" s="176">
        <f t="shared" ca="1" si="0"/>
        <v>4.8864800527659508E-4</v>
      </c>
      <c r="AD21" s="958">
        <f ca="1">AC21*Calculation_sheet!C$99</f>
        <v>2.9318880316595703E-4</v>
      </c>
      <c r="AE21" s="176">
        <f t="shared" ca="1" si="0"/>
        <v>1.9545920211063805E-4</v>
      </c>
      <c r="AF21" s="176">
        <f t="shared" ca="1" si="14"/>
        <v>4.8864800527659508E-4</v>
      </c>
      <c r="AG21" s="958">
        <f ca="1">AF21*User_sheet!B$77/100</f>
        <v>0</v>
      </c>
      <c r="AH21" s="313"/>
      <c r="AI21">
        <v>301</v>
      </c>
      <c r="AK21" s="1018">
        <f t="shared" ca="1" si="15"/>
        <v>95.925717891019019</v>
      </c>
      <c r="AL21" s="924">
        <f ca="1">AK21/'301'!I$24</f>
        <v>0.76007256303994286</v>
      </c>
      <c r="AM21" s="924">
        <f ca="1">0.8*(AK21*30+'301'!D$17*0.34*30*1)</f>
        <v>4393.7884293844563</v>
      </c>
      <c r="AN21" s="954">
        <f ca="1">IF(AM21&lt;User_sheet!B$50,Y21,0)</f>
        <v>4.8864800527659508E-4</v>
      </c>
      <c r="AO21" s="954">
        <f ca="1">20-(User_sheet!B$57/(AK21+'301'!D$17*1*0.34))</f>
        <v>-11.134862817954314</v>
      </c>
      <c r="AP21" s="954">
        <f ca="1">IF(AO21&lt;User_sheet!B$59,0,BC21*AA21)</f>
        <v>0</v>
      </c>
      <c r="AR21" s="2">
        <v>0.48</v>
      </c>
      <c r="AS21" s="2">
        <v>0.66</v>
      </c>
      <c r="AT21" s="2">
        <v>0.89</v>
      </c>
      <c r="AU21" s="2">
        <v>2.75</v>
      </c>
      <c r="AV21" s="2">
        <v>3.3</v>
      </c>
      <c r="AW21" s="2">
        <v>10916.451096266603</v>
      </c>
      <c r="AX21" s="2">
        <v>68297.998190252794</v>
      </c>
      <c r="AY21" s="2">
        <v>79015.992973719694</v>
      </c>
      <c r="AZ21" s="2">
        <v>0</v>
      </c>
      <c r="BA21" s="2">
        <v>0</v>
      </c>
      <c r="BB21" s="2">
        <v>0.6</v>
      </c>
      <c r="BC21" s="30">
        <v>0</v>
      </c>
      <c r="BD21" s="34">
        <v>0</v>
      </c>
      <c r="BE21" s="34">
        <v>1</v>
      </c>
      <c r="BF21" s="40">
        <v>0</v>
      </c>
      <c r="BG21" s="34">
        <v>0</v>
      </c>
      <c r="BH21" s="34">
        <v>0</v>
      </c>
      <c r="BI21" s="40">
        <v>1</v>
      </c>
      <c r="BJ21" s="34">
        <v>0</v>
      </c>
      <c r="BK21" s="34">
        <v>0</v>
      </c>
      <c r="BL21" s="34">
        <v>1</v>
      </c>
      <c r="BM21" s="40">
        <v>0</v>
      </c>
      <c r="BN21" s="958">
        <v>0.1</v>
      </c>
      <c r="BO21" s="959">
        <v>6</v>
      </c>
      <c r="BP21" s="1018">
        <f t="shared" ca="1" si="1"/>
        <v>115.19999999999999</v>
      </c>
      <c r="BQ21" s="1018">
        <f t="shared" ca="1" si="2"/>
        <v>191.51999999999995</v>
      </c>
      <c r="BR21" s="1018">
        <f t="shared" ca="1" si="3"/>
        <v>43.295999999999999</v>
      </c>
      <c r="BS21" s="1018">
        <f t="shared" ca="1" si="4"/>
        <v>42.459999999999994</v>
      </c>
      <c r="BT21" s="1018">
        <f t="shared" ca="1" si="5"/>
        <v>38.4</v>
      </c>
      <c r="BU21" s="1018">
        <f t="shared" ca="1" si="6"/>
        <v>7</v>
      </c>
      <c r="BV21" s="1018">
        <f t="shared" ca="1" si="7"/>
        <v>4.3</v>
      </c>
      <c r="BW21" s="1018">
        <v>0</v>
      </c>
      <c r="BX21" s="1018">
        <f t="shared" ca="1" si="8"/>
        <v>19.185819793205319</v>
      </c>
      <c r="BY21" s="1018">
        <f t="shared" ca="1" si="9"/>
        <v>25.146805455850682</v>
      </c>
      <c r="BZ21" s="1018">
        <f t="shared" ca="1" si="16"/>
        <v>9.7707750952986032</v>
      </c>
      <c r="CA21" s="1018">
        <f t="shared" ca="1" si="17"/>
        <v>19.249999989412501</v>
      </c>
      <c r="CB21" s="1018">
        <f t="shared" ca="1" si="10"/>
        <v>9.0267175572519083</v>
      </c>
      <c r="CC21" s="1018">
        <f t="shared" si="18"/>
        <v>0</v>
      </c>
      <c r="CD21" s="1018">
        <f t="shared" ca="1" si="19"/>
        <v>95.925717891019019</v>
      </c>
      <c r="CE21" s="1018">
        <f t="shared" ca="1" si="20"/>
        <v>23.659858901622069</v>
      </c>
      <c r="CF21" s="1018">
        <f t="shared" ca="1" si="21"/>
        <v>3.5875673037792324</v>
      </c>
      <c r="CG21" s="1018">
        <f t="shared" ca="1" si="22"/>
        <v>5973.1560581002714</v>
      </c>
    </row>
    <row r="22" spans="4:85" x14ac:dyDescent="0.25">
      <c r="D22" s="634"/>
      <c r="E22" s="633"/>
      <c r="F22" s="634"/>
      <c r="G22" s="633"/>
      <c r="H22" s="634"/>
      <c r="I22" s="633"/>
      <c r="J22" s="634"/>
      <c r="K22" s="634"/>
      <c r="L22" s="634"/>
      <c r="M22" s="634"/>
      <c r="N22" s="634"/>
      <c r="O22" s="634" t="s">
        <v>18</v>
      </c>
      <c r="P22" s="636">
        <v>0.15910607099999999</v>
      </c>
      <c r="Q22" s="634" t="s">
        <v>17</v>
      </c>
      <c r="R22" s="636">
        <v>1</v>
      </c>
      <c r="S22" s="634"/>
      <c r="T22" s="644">
        <v>3.1098109477931411E-4</v>
      </c>
      <c r="U22" s="633"/>
      <c r="V22" s="176">
        <f t="shared" si="11"/>
        <v>3.1098109477931411E-4</v>
      </c>
      <c r="W22" s="176">
        <f t="shared" si="12"/>
        <v>3.1098109477931411E-4</v>
      </c>
      <c r="X22" s="176">
        <f t="shared" si="12"/>
        <v>3.1098109477931411E-4</v>
      </c>
      <c r="Y22" s="34">
        <f>X22/Calculation_sheet!M$67</f>
        <v>3.1098745323208271E-4</v>
      </c>
      <c r="Z22" s="176">
        <f ca="1">IF(AN22&gt;0,Y22*Calculation_sheet!C$87,0)</f>
        <v>0</v>
      </c>
      <c r="AA22" s="176">
        <f t="shared" ca="1" si="13"/>
        <v>3.1098745323208271E-4</v>
      </c>
      <c r="AB22" s="176">
        <f ca="1">IF(AP22&gt;0,AA22*Calculation_sheet!C$94,0)</f>
        <v>0</v>
      </c>
      <c r="AC22" s="176">
        <f t="shared" ca="1" si="0"/>
        <v>3.1098745323208271E-4</v>
      </c>
      <c r="AD22" s="958">
        <f ca="1">AC22*Calculation_sheet!C$99</f>
        <v>1.8659247193924961E-4</v>
      </c>
      <c r="AE22" s="176">
        <f t="shared" ca="1" si="0"/>
        <v>1.243949812928331E-4</v>
      </c>
      <c r="AF22" s="176">
        <f t="shared" ca="1" si="14"/>
        <v>3.1098745323208271E-4</v>
      </c>
      <c r="AG22" s="958">
        <f ca="1">AF22*User_sheet!B$77/100</f>
        <v>0</v>
      </c>
      <c r="AH22" s="313"/>
      <c r="AI22">
        <v>301</v>
      </c>
      <c r="AK22" s="1018">
        <f t="shared" ca="1" si="15"/>
        <v>95.925717891019019</v>
      </c>
      <c r="AL22" s="924">
        <f ca="1">AK22/'301'!I$24</f>
        <v>0.76007256303994286</v>
      </c>
      <c r="AM22" s="924">
        <f ca="1">0.8*(AK22*30+'301'!D$17*0.34*30*1)</f>
        <v>4393.7884293844563</v>
      </c>
      <c r="AN22" s="954">
        <f ca="1">IF(AM22&lt;User_sheet!B$50,Y22,0)</f>
        <v>3.1098745323208271E-4</v>
      </c>
      <c r="AO22" s="954">
        <f ca="1">20-(User_sheet!B$57/(AK22+'301'!D$17*1*0.34))</f>
        <v>-11.134862817954314</v>
      </c>
      <c r="AP22" s="954">
        <f ca="1">IF(AO22&lt;User_sheet!B$59,0,BC22*AA22)</f>
        <v>0</v>
      </c>
      <c r="AR22" s="2">
        <v>0.48</v>
      </c>
      <c r="AS22" s="2">
        <v>0.66</v>
      </c>
      <c r="AT22" s="2">
        <v>0.89</v>
      </c>
      <c r="AU22" s="2">
        <v>2.75</v>
      </c>
      <c r="AV22" s="2">
        <v>3.3</v>
      </c>
      <c r="AW22" s="2">
        <v>10916.451096266603</v>
      </c>
      <c r="AX22" s="2">
        <v>68297.998190252794</v>
      </c>
      <c r="AY22" s="2">
        <v>79015.992973719694</v>
      </c>
      <c r="AZ22" s="2">
        <v>0</v>
      </c>
      <c r="BA22" s="2">
        <v>0</v>
      </c>
      <c r="BB22" s="2">
        <v>0.6</v>
      </c>
      <c r="BC22" s="30">
        <v>0</v>
      </c>
      <c r="BD22" s="34">
        <v>0</v>
      </c>
      <c r="BE22" s="34">
        <v>0</v>
      </c>
      <c r="BF22" s="40">
        <v>1</v>
      </c>
      <c r="BG22" s="34">
        <v>1</v>
      </c>
      <c r="BH22" s="34">
        <v>0</v>
      </c>
      <c r="BI22" s="40">
        <v>0</v>
      </c>
      <c r="BJ22" s="34">
        <v>0</v>
      </c>
      <c r="BK22" s="34">
        <v>0</v>
      </c>
      <c r="BL22" s="34">
        <v>0</v>
      </c>
      <c r="BM22" s="40">
        <v>1</v>
      </c>
      <c r="BN22" s="958">
        <v>0.1</v>
      </c>
      <c r="BO22" s="959">
        <v>6</v>
      </c>
      <c r="BP22" s="1018">
        <f t="shared" ca="1" si="1"/>
        <v>115.19999999999999</v>
      </c>
      <c r="BQ22" s="1018">
        <f t="shared" ca="1" si="2"/>
        <v>191.51999999999995</v>
      </c>
      <c r="BR22" s="1018">
        <f t="shared" ca="1" si="3"/>
        <v>43.295999999999999</v>
      </c>
      <c r="BS22" s="1018">
        <f t="shared" ca="1" si="4"/>
        <v>42.459999999999994</v>
      </c>
      <c r="BT22" s="1018">
        <f t="shared" ca="1" si="5"/>
        <v>38.4</v>
      </c>
      <c r="BU22" s="1018">
        <f t="shared" ca="1" si="6"/>
        <v>7</v>
      </c>
      <c r="BV22" s="1018">
        <f t="shared" ca="1" si="7"/>
        <v>4.3</v>
      </c>
      <c r="BW22" s="1018">
        <v>0</v>
      </c>
      <c r="BX22" s="1018">
        <f t="shared" ca="1" si="8"/>
        <v>19.185819793205319</v>
      </c>
      <c r="BY22" s="1018">
        <f t="shared" ca="1" si="9"/>
        <v>25.146805455850682</v>
      </c>
      <c r="BZ22" s="1018">
        <f t="shared" ca="1" si="16"/>
        <v>9.7707750952986032</v>
      </c>
      <c r="CA22" s="1018">
        <f t="shared" ca="1" si="17"/>
        <v>19.249999989412501</v>
      </c>
      <c r="CB22" s="1018">
        <f t="shared" ca="1" si="10"/>
        <v>9.0267175572519083</v>
      </c>
      <c r="CC22" s="1018">
        <f t="shared" si="18"/>
        <v>0</v>
      </c>
      <c r="CD22" s="1018">
        <f t="shared" ca="1" si="19"/>
        <v>95.925717891019019</v>
      </c>
      <c r="CE22" s="1018">
        <f t="shared" ca="1" si="20"/>
        <v>23.659858901622069</v>
      </c>
      <c r="CF22" s="1018">
        <f t="shared" ca="1" si="21"/>
        <v>3.5875673037792324</v>
      </c>
      <c r="CG22" s="1018">
        <f t="shared" ca="1" si="22"/>
        <v>5973.1560581002714</v>
      </c>
    </row>
    <row r="23" spans="4:85" x14ac:dyDescent="0.25">
      <c r="D23" s="634"/>
      <c r="E23" s="633" t="s">
        <v>4</v>
      </c>
      <c r="F23" s="638">
        <v>0.14000000000000001</v>
      </c>
      <c r="G23" s="633" t="s">
        <v>5</v>
      </c>
      <c r="H23" s="638">
        <v>1</v>
      </c>
      <c r="I23" s="633" t="s">
        <v>6</v>
      </c>
      <c r="J23" s="638">
        <v>1</v>
      </c>
      <c r="K23" s="637" t="s">
        <v>12</v>
      </c>
      <c r="L23" s="638">
        <v>1</v>
      </c>
      <c r="M23" s="634" t="s">
        <v>17</v>
      </c>
      <c r="N23" s="636">
        <v>8.5106382999999994E-2</v>
      </c>
      <c r="O23" s="634" t="s">
        <v>19</v>
      </c>
      <c r="P23" s="636">
        <v>0.84089392900000004</v>
      </c>
      <c r="Q23" s="634" t="s">
        <v>17</v>
      </c>
      <c r="R23" s="636">
        <v>1</v>
      </c>
      <c r="S23" s="634"/>
      <c r="T23" s="644">
        <v>1.6435709397518768E-3</v>
      </c>
      <c r="U23" s="633"/>
      <c r="V23" s="176">
        <f t="shared" si="11"/>
        <v>1.6435709397518768E-3</v>
      </c>
      <c r="W23" s="176">
        <f t="shared" si="12"/>
        <v>1.6435709397518768E-3</v>
      </c>
      <c r="X23" s="176">
        <f t="shared" si="12"/>
        <v>1.6435709397518768E-3</v>
      </c>
      <c r="Y23" s="34">
        <f>X23/Calculation_sheet!M$67</f>
        <v>1.6436045449078418E-3</v>
      </c>
      <c r="Z23" s="176">
        <f ca="1">IF(AN23&gt;0,Y23*Calculation_sheet!C$87,0)</f>
        <v>0</v>
      </c>
      <c r="AA23" s="176">
        <f t="shared" ca="1" si="13"/>
        <v>1.6436045449078418E-3</v>
      </c>
      <c r="AB23" s="176">
        <f ca="1">IF(AP23&gt;0,AA23*Calculation_sheet!C$94,0)</f>
        <v>0</v>
      </c>
      <c r="AC23" s="176">
        <f t="shared" ca="1" si="0"/>
        <v>1.6436045449078418E-3</v>
      </c>
      <c r="AD23" s="958">
        <f ca="1">AC23*Calculation_sheet!C$99</f>
        <v>9.8616272694470502E-4</v>
      </c>
      <c r="AE23" s="176">
        <f t="shared" ca="1" si="0"/>
        <v>6.5744181796313682E-4</v>
      </c>
      <c r="AF23" s="176">
        <f t="shared" ca="1" si="14"/>
        <v>1.6436045449078418E-3</v>
      </c>
      <c r="AG23" s="958">
        <f ca="1">AF23*User_sheet!B$77/100</f>
        <v>0</v>
      </c>
      <c r="AH23" s="313"/>
      <c r="AI23">
        <v>301</v>
      </c>
      <c r="AK23" s="1018">
        <f t="shared" ca="1" si="15"/>
        <v>95.925717891019019</v>
      </c>
      <c r="AL23" s="924">
        <f ca="1">AK23/'301'!I$24</f>
        <v>0.76007256303994286</v>
      </c>
      <c r="AM23" s="924">
        <f ca="1">0.8*(AK23*30+'301'!D$17*0.34*30*1)</f>
        <v>4393.7884293844563</v>
      </c>
      <c r="AN23" s="954">
        <f ca="1">IF(AM23&lt;User_sheet!B$50,Y23,0)</f>
        <v>1.6436045449078418E-3</v>
      </c>
      <c r="AO23" s="954">
        <f ca="1">20-(User_sheet!B$57/(AK23+'301'!D$17*1*0.34))</f>
        <v>-11.134862817954314</v>
      </c>
      <c r="AP23" s="954">
        <f ca="1">IF(AO23&lt;User_sheet!B$59,0,BC23*AA23)</f>
        <v>0</v>
      </c>
      <c r="AR23" s="2">
        <v>0.48</v>
      </c>
      <c r="AS23" s="2">
        <v>0.66</v>
      </c>
      <c r="AT23" s="2">
        <v>0.89</v>
      </c>
      <c r="AU23" s="2">
        <v>2.75</v>
      </c>
      <c r="AV23" s="2">
        <v>3.3</v>
      </c>
      <c r="AW23" s="2">
        <v>10916.451096266603</v>
      </c>
      <c r="AX23" s="2">
        <v>68297.998190252794</v>
      </c>
      <c r="AY23" s="2">
        <v>79015.992973719694</v>
      </c>
      <c r="AZ23" s="2">
        <v>0</v>
      </c>
      <c r="BA23" s="2">
        <v>0</v>
      </c>
      <c r="BB23" s="2">
        <v>0.6</v>
      </c>
      <c r="BC23" s="30">
        <v>0</v>
      </c>
      <c r="BD23" s="34">
        <v>0</v>
      </c>
      <c r="BE23" s="34">
        <v>0</v>
      </c>
      <c r="BF23" s="40">
        <v>1</v>
      </c>
      <c r="BG23" s="34">
        <v>0</v>
      </c>
      <c r="BH23" s="34">
        <v>1</v>
      </c>
      <c r="BI23" s="40">
        <v>0</v>
      </c>
      <c r="BJ23" s="34">
        <v>0</v>
      </c>
      <c r="BK23" s="34">
        <v>0</v>
      </c>
      <c r="BL23" s="34">
        <v>0</v>
      </c>
      <c r="BM23" s="40">
        <v>1</v>
      </c>
      <c r="BN23" s="958">
        <v>0.1</v>
      </c>
      <c r="BO23" s="959">
        <v>6</v>
      </c>
      <c r="BP23" s="1018">
        <f t="shared" ca="1" si="1"/>
        <v>115.19999999999999</v>
      </c>
      <c r="BQ23" s="1018">
        <f t="shared" ca="1" si="2"/>
        <v>191.51999999999995</v>
      </c>
      <c r="BR23" s="1018">
        <f t="shared" ca="1" si="3"/>
        <v>43.295999999999999</v>
      </c>
      <c r="BS23" s="1018">
        <f t="shared" ca="1" si="4"/>
        <v>42.459999999999994</v>
      </c>
      <c r="BT23" s="1018">
        <f t="shared" ca="1" si="5"/>
        <v>38.4</v>
      </c>
      <c r="BU23" s="1018">
        <f t="shared" ca="1" si="6"/>
        <v>7</v>
      </c>
      <c r="BV23" s="1018">
        <f t="shared" ca="1" si="7"/>
        <v>4.3</v>
      </c>
      <c r="BW23" s="1018">
        <v>0</v>
      </c>
      <c r="BX23" s="1018">
        <f t="shared" ca="1" si="8"/>
        <v>19.185819793205319</v>
      </c>
      <c r="BY23" s="1018">
        <f t="shared" ca="1" si="9"/>
        <v>25.146805455850682</v>
      </c>
      <c r="BZ23" s="1018">
        <f t="shared" ca="1" si="16"/>
        <v>9.7707750952986032</v>
      </c>
      <c r="CA23" s="1018">
        <f t="shared" ca="1" si="17"/>
        <v>19.249999989412501</v>
      </c>
      <c r="CB23" s="1018">
        <f t="shared" ca="1" si="10"/>
        <v>9.0267175572519083</v>
      </c>
      <c r="CC23" s="1018">
        <f t="shared" si="18"/>
        <v>0</v>
      </c>
      <c r="CD23" s="1018">
        <f t="shared" ca="1" si="19"/>
        <v>95.925717891019019</v>
      </c>
      <c r="CE23" s="1018">
        <f t="shared" ca="1" si="20"/>
        <v>23.659858901622069</v>
      </c>
      <c r="CF23" s="1018">
        <f t="shared" ca="1" si="21"/>
        <v>3.5875673037792324</v>
      </c>
      <c r="CG23" s="1018">
        <f t="shared" ca="1" si="22"/>
        <v>5973.1560581002714</v>
      </c>
    </row>
    <row r="24" spans="4:85" s="14" customFormat="1" x14ac:dyDescent="0.25">
      <c r="D24" s="642"/>
      <c r="E24" s="641"/>
      <c r="F24" s="642"/>
      <c r="G24" s="641"/>
      <c r="H24" s="642"/>
      <c r="I24" s="641"/>
      <c r="J24" s="642"/>
      <c r="K24" s="643"/>
      <c r="L24" s="642"/>
      <c r="M24" s="642"/>
      <c r="N24" s="642"/>
      <c r="O24" s="642"/>
      <c r="P24" s="642"/>
      <c r="Q24" s="642"/>
      <c r="R24" s="642"/>
      <c r="S24" s="642"/>
      <c r="T24" s="646"/>
      <c r="U24" s="641"/>
      <c r="V24" s="292"/>
      <c r="W24" s="292"/>
      <c r="X24" s="292"/>
      <c r="Y24" s="277"/>
      <c r="Z24" s="292"/>
      <c r="AA24" s="292"/>
      <c r="AB24" s="292"/>
      <c r="AC24" s="292"/>
      <c r="AD24" s="277"/>
      <c r="AE24" s="292"/>
      <c r="AF24" s="292"/>
      <c r="AG24" s="277"/>
      <c r="AH24" s="313"/>
      <c r="AI24" s="929"/>
      <c r="AJ24" s="313"/>
      <c r="AK24" s="1018">
        <f t="shared" si="15"/>
        <v>0</v>
      </c>
      <c r="AL24" s="928"/>
      <c r="AM24" s="928"/>
      <c r="AN24" s="986"/>
      <c r="AO24" s="986"/>
      <c r="AP24" s="986"/>
      <c r="AQ24" s="313"/>
      <c r="AR24" s="928"/>
      <c r="AS24" s="928"/>
      <c r="AT24" s="928"/>
      <c r="AU24" s="928"/>
      <c r="AV24" s="928"/>
      <c r="AW24" s="928"/>
      <c r="AX24" s="928"/>
      <c r="AY24" s="928"/>
      <c r="AZ24" s="928"/>
      <c r="BA24" s="928"/>
      <c r="BB24" s="928"/>
      <c r="BC24" s="932"/>
      <c r="BD24" s="933"/>
      <c r="BE24" s="933"/>
      <c r="BF24" s="937"/>
      <c r="BG24" s="928"/>
      <c r="BH24" s="928"/>
      <c r="BI24" s="937"/>
      <c r="BJ24" s="928"/>
      <c r="BK24" s="928"/>
      <c r="BL24" s="928"/>
      <c r="BM24" s="937"/>
      <c r="BN24" s="277"/>
      <c r="BO24" s="49"/>
      <c r="BP24" s="928"/>
      <c r="BQ24" s="928"/>
      <c r="BR24" s="928"/>
      <c r="BS24" s="928"/>
      <c r="BT24" s="928"/>
      <c r="BU24" s="928"/>
      <c r="BV24" s="928"/>
      <c r="BW24" s="928"/>
      <c r="BX24" s="928"/>
      <c r="BY24" s="928"/>
      <c r="BZ24" s="928"/>
      <c r="CA24" s="928"/>
      <c r="CB24" s="928"/>
      <c r="CC24" s="928"/>
      <c r="CD24" s="928"/>
      <c r="CE24" s="928"/>
      <c r="CF24" s="928"/>
      <c r="CG24" s="928"/>
    </row>
    <row r="25" spans="4:85" s="3" customFormat="1" x14ac:dyDescent="0.25">
      <c r="D25" s="639"/>
      <c r="E25" s="635"/>
      <c r="F25" s="639"/>
      <c r="G25" s="635"/>
      <c r="H25" s="639"/>
      <c r="I25" s="635"/>
      <c r="J25" s="639"/>
      <c r="K25" s="640"/>
      <c r="L25" s="634"/>
      <c r="M25" s="634"/>
      <c r="N25" s="634"/>
      <c r="O25" s="634"/>
      <c r="P25" s="634"/>
      <c r="Q25" s="634" t="s">
        <v>16</v>
      </c>
      <c r="R25" s="636">
        <v>0.73860000000000003</v>
      </c>
      <c r="S25" s="634"/>
      <c r="T25" s="644">
        <v>0</v>
      </c>
      <c r="U25" s="635"/>
      <c r="V25" s="176">
        <f>T25</f>
        <v>0</v>
      </c>
      <c r="W25" s="176">
        <f>V25</f>
        <v>0</v>
      </c>
      <c r="X25" s="176">
        <f>W25</f>
        <v>0</v>
      </c>
      <c r="Y25" s="958">
        <f>X25/Calculation_sheet!M$67</f>
        <v>0</v>
      </c>
      <c r="Z25" s="176">
        <f ca="1">IF(AN25&gt;0,Y25*Calculation_sheet!C$87,0)</f>
        <v>0</v>
      </c>
      <c r="AA25" s="176">
        <f ca="1">Y25-Z25</f>
        <v>0</v>
      </c>
      <c r="AB25" s="176">
        <f ca="1">IF(AP25&gt;0,AA25*Calculation_sheet!C$94,0)</f>
        <v>0</v>
      </c>
      <c r="AC25" s="176">
        <f t="shared" ref="AC25:AE35" ca="1" si="23">AA25-AB25</f>
        <v>0</v>
      </c>
      <c r="AD25" s="958">
        <f ca="1">AC25*Calculation_sheet!C$99</f>
        <v>0</v>
      </c>
      <c r="AE25" s="176">
        <f t="shared" ca="1" si="23"/>
        <v>0</v>
      </c>
      <c r="AF25" s="176">
        <f ca="1">Y25-AB25</f>
        <v>0</v>
      </c>
      <c r="AG25" s="958">
        <f ca="1">AF25*User_sheet!B$77/100</f>
        <v>0</v>
      </c>
      <c r="AH25" s="313"/>
      <c r="AI25" s="927">
        <v>301</v>
      </c>
      <c r="AJ25" s="313"/>
      <c r="AK25" s="1018">
        <f t="shared" ca="1" si="15"/>
        <v>128.40682799549532</v>
      </c>
      <c r="AL25" s="924">
        <f ca="1">AK25/'301'!I$24</f>
        <v>1.0174383784883074</v>
      </c>
      <c r="AM25" s="924">
        <f ca="1">0.8*(AK25*30+'301'!D$17*0.34*30*1)</f>
        <v>5173.3350718918873</v>
      </c>
      <c r="AN25" s="954">
        <f ca="1">IF(AM25&lt;User_sheet!B$50,Y25,0)</f>
        <v>0</v>
      </c>
      <c r="AO25" s="954">
        <f ca="1">20-(User_sheet!B$57/(AK25+'301'!D$17*1*0.34))</f>
        <v>-6.4432900824984252</v>
      </c>
      <c r="AP25" s="954">
        <f ca="1">IF(AO25&lt;User_sheet!B$59,0,BC25*AA25)</f>
        <v>0</v>
      </c>
      <c r="AQ25" s="313"/>
      <c r="AR25" s="926">
        <v>0.48</v>
      </c>
      <c r="AS25" s="924">
        <v>0.66</v>
      </c>
      <c r="AT25" s="924">
        <v>7.9</v>
      </c>
      <c r="AU25" s="926">
        <v>2.75</v>
      </c>
      <c r="AV25" s="926">
        <v>3.3</v>
      </c>
      <c r="AW25" s="926">
        <v>10916.451096266603</v>
      </c>
      <c r="AX25" s="924">
        <v>68297.998190252794</v>
      </c>
      <c r="AY25" s="924">
        <v>67352.647733737584</v>
      </c>
      <c r="AZ25" s="926">
        <v>0</v>
      </c>
      <c r="BA25" s="926">
        <v>0</v>
      </c>
      <c r="BB25" s="926">
        <v>0.6</v>
      </c>
      <c r="BC25" s="934">
        <v>1</v>
      </c>
      <c r="BD25" s="935">
        <v>0</v>
      </c>
      <c r="BE25" s="935">
        <v>0</v>
      </c>
      <c r="BF25" s="938">
        <v>0</v>
      </c>
      <c r="BG25" s="926">
        <v>1</v>
      </c>
      <c r="BH25" s="926">
        <v>0</v>
      </c>
      <c r="BI25" s="938">
        <v>0</v>
      </c>
      <c r="BJ25" s="926">
        <v>1</v>
      </c>
      <c r="BK25" s="926">
        <v>0</v>
      </c>
      <c r="BL25" s="926">
        <v>0</v>
      </c>
      <c r="BM25" s="938">
        <v>0</v>
      </c>
      <c r="BN25" s="958">
        <v>0.1</v>
      </c>
      <c r="BO25" s="959">
        <v>6</v>
      </c>
      <c r="BP25" s="926">
        <f t="shared" ref="BP25:BP35" ca="1" si="24">INDIRECT("'"&amp;AI25&amp;"'!"&amp;"B2")</f>
        <v>115.19999999999999</v>
      </c>
      <c r="BQ25" s="926">
        <f t="shared" ref="BQ25:BQ35" ca="1" si="25">INDIRECT("'"&amp;AI25&amp;"'!"&amp;"C12")+INDIRECT("'"&amp;AI25&amp;"'!"&amp;"C13")+INDIRECT("'"&amp;AI25&amp;"'!"&amp;"C14")+INDIRECT("'"&amp;AI25&amp;"'!"&amp;"C15")+INDIRECT("'"&amp;AI25&amp;"'!"&amp;"C17")</f>
        <v>191.51999999999995</v>
      </c>
      <c r="BR25" s="926">
        <f t="shared" ref="BR25:BR35" ca="1" si="26">INDIRECT("'"&amp;AI25&amp;"'!"&amp;"G5")</f>
        <v>43.295999999999999</v>
      </c>
      <c r="BS25" s="926">
        <f t="shared" ref="BS25:BS35" ca="1" si="27">INDIRECT("'"&amp;AI25&amp;"'!"&amp;"G4")</f>
        <v>42.459999999999994</v>
      </c>
      <c r="BT25" s="926">
        <f t="shared" ref="BT25:BT35" ca="1" si="28">INDIRECT("'"&amp;AI25&amp;"'!"&amp;"G6")</f>
        <v>38.4</v>
      </c>
      <c r="BU25" s="926">
        <f t="shared" ref="BU25:BU35" ca="1" si="29">INDIRECT("'"&amp;AI25&amp;"'!"&amp;"G2")</f>
        <v>7</v>
      </c>
      <c r="BV25" s="926">
        <f t="shared" ref="BV25:BV35" ca="1" si="30">INDIRECT("'"&amp;AI25&amp;"'!"&amp;"G3")</f>
        <v>4.3</v>
      </c>
      <c r="BW25" s="926">
        <v>0</v>
      </c>
      <c r="BX25" s="1018">
        <f t="shared" ref="BX25:BX35" ca="1" si="31">IF(BR25=0,0,1/(1/(BR25*$BY$3)+1/(BR25*AR25)+1/(BR25*$BY$4)))</f>
        <v>19.185819793205319</v>
      </c>
      <c r="BY25" s="1018">
        <f t="shared" ref="BY25:BY35" ca="1" si="32">IF(BS25=0,0,1/(1/(BS25*$BY$3)+1/(BS25*AS25)+1/(BS25*$BY$4)))</f>
        <v>25.146805455850682</v>
      </c>
      <c r="BZ25" s="1018">
        <f t="shared" ca="1" si="16"/>
        <v>42.251885199774904</v>
      </c>
      <c r="CA25" s="1018">
        <f t="shared" ca="1" si="17"/>
        <v>19.249999989412501</v>
      </c>
      <c r="CB25" s="1018">
        <f t="shared" ref="CB25:CB35" ca="1" si="33">IF(BV25=0,0,1/(1/(BV25*$BY$3)+1/(BV25*AV25)+1/(BV25*$BY$4)))</f>
        <v>9.0267175572519083</v>
      </c>
      <c r="CC25" s="1018">
        <f t="shared" si="18"/>
        <v>0</v>
      </c>
      <c r="CD25" s="1018">
        <f ca="1">SUM(BX25:CC25)+(BR25+BS25+BT25+BU25+BV25)*BN25</f>
        <v>128.40682799549532</v>
      </c>
      <c r="CE25" s="1018">
        <f ca="1">0.34*BO25*(1/25)^0.66*(BR25+BS25+BU25+BV25)</f>
        <v>23.659858901622069</v>
      </c>
      <c r="CF25" s="1018">
        <f t="shared" ca="1" si="21"/>
        <v>4.5620006069135215</v>
      </c>
      <c r="CG25" s="926">
        <f t="shared" ca="1" si="22"/>
        <v>7595.5485304867361</v>
      </c>
    </row>
    <row r="26" spans="4:85" s="3" customFormat="1" x14ac:dyDescent="0.25">
      <c r="D26" s="639"/>
      <c r="E26" s="635"/>
      <c r="F26" s="639"/>
      <c r="G26" s="635"/>
      <c r="H26" s="639"/>
      <c r="I26" s="635"/>
      <c r="J26" s="639"/>
      <c r="K26" s="640"/>
      <c r="L26" s="634"/>
      <c r="M26" s="634"/>
      <c r="N26" s="634"/>
      <c r="O26" s="634" t="s">
        <v>18</v>
      </c>
      <c r="P26" s="636">
        <v>0.62953995200000001</v>
      </c>
      <c r="Q26" s="634" t="s">
        <v>7</v>
      </c>
      <c r="R26" s="636">
        <v>0.26140000000000002</v>
      </c>
      <c r="S26" s="634"/>
      <c r="T26" s="644">
        <v>0</v>
      </c>
      <c r="U26" s="635"/>
      <c r="V26" s="176">
        <f t="shared" ref="V26:V35" si="34">T26</f>
        <v>0</v>
      </c>
      <c r="W26" s="176">
        <f t="shared" ref="W26:W35" si="35">V26</f>
        <v>0</v>
      </c>
      <c r="X26" s="176">
        <f t="shared" ref="X26:X35" si="36">W26</f>
        <v>0</v>
      </c>
      <c r="Y26" s="958">
        <f>X26/Calculation_sheet!M$67</f>
        <v>0</v>
      </c>
      <c r="Z26" s="176">
        <f ca="1">IF(AN26&gt;0,Y26*Calculation_sheet!C$87,0)</f>
        <v>0</v>
      </c>
      <c r="AA26" s="176">
        <f t="shared" ref="AA26:AA35" ca="1" si="37">Y26-Z26</f>
        <v>0</v>
      </c>
      <c r="AB26" s="176">
        <f ca="1">IF(AP26&gt;0,AA26*Calculation_sheet!C$94,0)</f>
        <v>0</v>
      </c>
      <c r="AC26" s="176">
        <f t="shared" ca="1" si="23"/>
        <v>0</v>
      </c>
      <c r="AD26" s="958">
        <f ca="1">AC26*Calculation_sheet!C$99</f>
        <v>0</v>
      </c>
      <c r="AE26" s="176">
        <f t="shared" ca="1" si="23"/>
        <v>0</v>
      </c>
      <c r="AF26" s="176">
        <f t="shared" ref="AF26:AF35" ca="1" si="38">Y26-AB26</f>
        <v>0</v>
      </c>
      <c r="AG26" s="958">
        <f ca="1">AF26*User_sheet!B$77/100</f>
        <v>0</v>
      </c>
      <c r="AH26" s="313"/>
      <c r="AI26" s="925">
        <v>301</v>
      </c>
      <c r="AJ26" s="313"/>
      <c r="AK26" s="1018">
        <f t="shared" ca="1" si="15"/>
        <v>128.40682799549532</v>
      </c>
      <c r="AL26" s="924">
        <f ca="1">AK26/'301'!I$24</f>
        <v>1.0174383784883074</v>
      </c>
      <c r="AM26" s="924">
        <f ca="1">0.8*(AK26*30+'301'!D$17*0.34*30*1)</f>
        <v>5173.3350718918873</v>
      </c>
      <c r="AN26" s="954">
        <f ca="1">IF(AM26&lt;User_sheet!B$50,Y26,0)</f>
        <v>0</v>
      </c>
      <c r="AO26" s="954">
        <f ca="1">20-(User_sheet!B$57/(AK26+'301'!D$17*1*0.34))</f>
        <v>-6.4432900824984252</v>
      </c>
      <c r="AP26" s="954">
        <f ca="1">IF(AO26&lt;User_sheet!B$59,0,BC26*AA26)</f>
        <v>0</v>
      </c>
      <c r="AQ26" s="313"/>
      <c r="AR26" s="924">
        <v>0.48</v>
      </c>
      <c r="AS26" s="924">
        <v>0.66</v>
      </c>
      <c r="AT26" s="924">
        <v>7.9</v>
      </c>
      <c r="AU26" s="924">
        <v>2.75</v>
      </c>
      <c r="AV26" s="924">
        <v>3.3</v>
      </c>
      <c r="AW26" s="924">
        <v>10916.451096266603</v>
      </c>
      <c r="AX26" s="924">
        <v>68297.998190252794</v>
      </c>
      <c r="AY26" s="924">
        <v>67352.647733737584</v>
      </c>
      <c r="AZ26" s="924">
        <v>0</v>
      </c>
      <c r="BA26" s="924">
        <v>0</v>
      </c>
      <c r="BB26" s="924">
        <v>0.6</v>
      </c>
      <c r="BC26" s="930">
        <v>1</v>
      </c>
      <c r="BD26" s="931">
        <v>0</v>
      </c>
      <c r="BE26" s="931">
        <v>0</v>
      </c>
      <c r="BF26" s="936">
        <v>0</v>
      </c>
      <c r="BG26" s="924">
        <v>1</v>
      </c>
      <c r="BH26" s="924">
        <v>0</v>
      </c>
      <c r="BI26" s="936">
        <v>0</v>
      </c>
      <c r="BJ26" s="924">
        <v>0</v>
      </c>
      <c r="BK26" s="924">
        <v>0</v>
      </c>
      <c r="BL26" s="924">
        <v>1</v>
      </c>
      <c r="BM26" s="936">
        <v>0</v>
      </c>
      <c r="BN26" s="958">
        <v>0.1</v>
      </c>
      <c r="BO26" s="959">
        <v>6</v>
      </c>
      <c r="BP26" s="926">
        <f t="shared" ca="1" si="24"/>
        <v>115.19999999999999</v>
      </c>
      <c r="BQ26" s="926">
        <f t="shared" ca="1" si="25"/>
        <v>191.51999999999995</v>
      </c>
      <c r="BR26" s="926">
        <f t="shared" ca="1" si="26"/>
        <v>43.295999999999999</v>
      </c>
      <c r="BS26" s="926">
        <f t="shared" ca="1" si="27"/>
        <v>42.459999999999994</v>
      </c>
      <c r="BT26" s="926">
        <f t="shared" ca="1" si="28"/>
        <v>38.4</v>
      </c>
      <c r="BU26" s="926">
        <f t="shared" ca="1" si="29"/>
        <v>7</v>
      </c>
      <c r="BV26" s="926">
        <f t="shared" ca="1" si="30"/>
        <v>4.3</v>
      </c>
      <c r="BW26" s="926">
        <v>0</v>
      </c>
      <c r="BX26" s="1018">
        <f t="shared" ca="1" si="31"/>
        <v>19.185819793205319</v>
      </c>
      <c r="BY26" s="1018">
        <f t="shared" ca="1" si="32"/>
        <v>25.146805455850682</v>
      </c>
      <c r="BZ26" s="1018">
        <f t="shared" ca="1" si="16"/>
        <v>42.251885199774904</v>
      </c>
      <c r="CA26" s="1018">
        <f t="shared" ca="1" si="17"/>
        <v>19.249999989412501</v>
      </c>
      <c r="CB26" s="1018">
        <f t="shared" ca="1" si="33"/>
        <v>9.0267175572519083</v>
      </c>
      <c r="CC26" s="1018">
        <f t="shared" si="18"/>
        <v>0</v>
      </c>
      <c r="CD26" s="1018">
        <f t="shared" ref="CD26:CD35" ca="1" si="39">SUM(BX26:CC26)+(BR26+BS26+BT26+BU26+BV26)*BN26</f>
        <v>128.40682799549532</v>
      </c>
      <c r="CE26" s="1018">
        <f t="shared" ref="CE26:CE35" ca="1" si="40">0.34*BO26*(1/25)^0.66*(BR26+BS26+BU26+BV26)</f>
        <v>23.659858901622069</v>
      </c>
      <c r="CF26" s="1018">
        <f t="shared" ca="1" si="21"/>
        <v>4.5620006069135215</v>
      </c>
      <c r="CG26" s="926">
        <f t="shared" ca="1" si="22"/>
        <v>7595.5485304867361</v>
      </c>
    </row>
    <row r="27" spans="4:85" s="3" customFormat="1" x14ac:dyDescent="0.25">
      <c r="D27" s="639"/>
      <c r="E27" s="635"/>
      <c r="F27" s="639"/>
      <c r="G27" s="635"/>
      <c r="H27" s="639"/>
      <c r="I27" s="635"/>
      <c r="J27" s="639"/>
      <c r="K27" s="640"/>
      <c r="L27" s="634"/>
      <c r="M27" s="634"/>
      <c r="N27" s="634"/>
      <c r="O27" s="634"/>
      <c r="P27" s="634"/>
      <c r="Q27" s="634" t="s">
        <v>16</v>
      </c>
      <c r="R27" s="636">
        <v>0.73860000000000003</v>
      </c>
      <c r="S27" s="634"/>
      <c r="T27" s="644">
        <v>0</v>
      </c>
      <c r="U27" s="635"/>
      <c r="V27" s="176">
        <f t="shared" si="34"/>
        <v>0</v>
      </c>
      <c r="W27" s="176">
        <f t="shared" si="35"/>
        <v>0</v>
      </c>
      <c r="X27" s="176">
        <f t="shared" si="36"/>
        <v>0</v>
      </c>
      <c r="Y27" s="958">
        <f>X27/Calculation_sheet!M$67</f>
        <v>0</v>
      </c>
      <c r="Z27" s="176">
        <f ca="1">IF(AN27&gt;0,Y27*Calculation_sheet!C$87,0)</f>
        <v>0</v>
      </c>
      <c r="AA27" s="176">
        <f t="shared" ca="1" si="37"/>
        <v>0</v>
      </c>
      <c r="AB27" s="176">
        <f ca="1">IF(AP27&gt;0,AA27*Calculation_sheet!C$94,0)</f>
        <v>0</v>
      </c>
      <c r="AC27" s="176">
        <f t="shared" ca="1" si="23"/>
        <v>0</v>
      </c>
      <c r="AD27" s="958">
        <f ca="1">AC27*Calculation_sheet!C$99</f>
        <v>0</v>
      </c>
      <c r="AE27" s="176">
        <f t="shared" ca="1" si="23"/>
        <v>0</v>
      </c>
      <c r="AF27" s="176">
        <f t="shared" ca="1" si="38"/>
        <v>0</v>
      </c>
      <c r="AG27" s="958">
        <f ca="1">AF27*User_sheet!B$77/100</f>
        <v>0</v>
      </c>
      <c r="AH27" s="313"/>
      <c r="AI27" s="925">
        <v>301</v>
      </c>
      <c r="AJ27" s="313"/>
      <c r="AK27" s="1018">
        <f t="shared" ca="1" si="15"/>
        <v>128.40682799549532</v>
      </c>
      <c r="AL27" s="924">
        <f ca="1">AK27/'301'!I$24</f>
        <v>1.0174383784883074</v>
      </c>
      <c r="AM27" s="924">
        <f ca="1">0.8*(AK27*30+'301'!D$17*0.34*30*1)</f>
        <v>5173.3350718918873</v>
      </c>
      <c r="AN27" s="954">
        <f ca="1">IF(AM27&lt;User_sheet!B$50,Y27,0)</f>
        <v>0</v>
      </c>
      <c r="AO27" s="954">
        <f ca="1">20-(User_sheet!B$57/(AK27+'301'!D$17*1*0.34))</f>
        <v>-6.4432900824984252</v>
      </c>
      <c r="AP27" s="954">
        <f ca="1">IF(AO27&lt;User_sheet!B$59,0,BC27*AA27)</f>
        <v>0</v>
      </c>
      <c r="AQ27" s="313"/>
      <c r="AR27" s="924">
        <v>0.48</v>
      </c>
      <c r="AS27" s="924">
        <v>0.66</v>
      </c>
      <c r="AT27" s="924">
        <v>7.9</v>
      </c>
      <c r="AU27" s="924">
        <v>2.75</v>
      </c>
      <c r="AV27" s="924">
        <v>3.3</v>
      </c>
      <c r="AW27" s="924">
        <v>10916.451096266603</v>
      </c>
      <c r="AX27" s="924">
        <v>68297.998190252794</v>
      </c>
      <c r="AY27" s="924">
        <v>67352.647733737584</v>
      </c>
      <c r="AZ27" s="924">
        <v>0</v>
      </c>
      <c r="BA27" s="924">
        <v>0</v>
      </c>
      <c r="BB27" s="924">
        <v>0.6</v>
      </c>
      <c r="BC27" s="930">
        <v>1</v>
      </c>
      <c r="BD27" s="931">
        <v>0</v>
      </c>
      <c r="BE27" s="931">
        <v>0</v>
      </c>
      <c r="BF27" s="936">
        <v>0</v>
      </c>
      <c r="BG27" s="924">
        <v>0</v>
      </c>
      <c r="BH27" s="924">
        <v>1</v>
      </c>
      <c r="BI27" s="936">
        <v>0</v>
      </c>
      <c r="BJ27" s="924">
        <v>1</v>
      </c>
      <c r="BK27" s="924">
        <v>0</v>
      </c>
      <c r="BL27" s="924">
        <v>0</v>
      </c>
      <c r="BM27" s="936">
        <v>0</v>
      </c>
      <c r="BN27" s="958">
        <v>0.1</v>
      </c>
      <c r="BO27" s="959">
        <v>6</v>
      </c>
      <c r="BP27" s="926">
        <f t="shared" ca="1" si="24"/>
        <v>115.19999999999999</v>
      </c>
      <c r="BQ27" s="926">
        <f t="shared" ca="1" si="25"/>
        <v>191.51999999999995</v>
      </c>
      <c r="BR27" s="926">
        <f t="shared" ca="1" si="26"/>
        <v>43.295999999999999</v>
      </c>
      <c r="BS27" s="926">
        <f t="shared" ca="1" si="27"/>
        <v>42.459999999999994</v>
      </c>
      <c r="BT27" s="926">
        <f t="shared" ca="1" si="28"/>
        <v>38.4</v>
      </c>
      <c r="BU27" s="926">
        <f t="shared" ca="1" si="29"/>
        <v>7</v>
      </c>
      <c r="BV27" s="926">
        <f t="shared" ca="1" si="30"/>
        <v>4.3</v>
      </c>
      <c r="BW27" s="926">
        <v>0</v>
      </c>
      <c r="BX27" s="926">
        <f t="shared" ca="1" si="31"/>
        <v>19.185819793205319</v>
      </c>
      <c r="BY27" s="926">
        <f t="shared" ca="1" si="32"/>
        <v>25.146805455850682</v>
      </c>
      <c r="BZ27" s="926">
        <f t="shared" ca="1" si="16"/>
        <v>42.251885199774904</v>
      </c>
      <c r="CA27" s="926">
        <f t="shared" ca="1" si="17"/>
        <v>19.249999989412501</v>
      </c>
      <c r="CB27" s="926">
        <f t="shared" ca="1" si="33"/>
        <v>9.0267175572519083</v>
      </c>
      <c r="CC27" s="926">
        <f t="shared" si="18"/>
        <v>0</v>
      </c>
      <c r="CD27" s="1018">
        <f t="shared" ca="1" si="39"/>
        <v>128.40682799549532</v>
      </c>
      <c r="CE27" s="1018">
        <f t="shared" ca="1" si="40"/>
        <v>23.659858901622069</v>
      </c>
      <c r="CF27" s="926">
        <f t="shared" ca="1" si="21"/>
        <v>4.5620006069135215</v>
      </c>
      <c r="CG27" s="926">
        <f t="shared" ca="1" si="22"/>
        <v>7595.5485304867361</v>
      </c>
    </row>
    <row r="28" spans="4:85" s="3" customFormat="1" x14ac:dyDescent="0.25">
      <c r="D28" s="639"/>
      <c r="E28" s="635"/>
      <c r="F28" s="639"/>
      <c r="G28" s="635"/>
      <c r="H28" s="639"/>
      <c r="I28" s="635"/>
      <c r="J28" s="639"/>
      <c r="K28" s="640"/>
      <c r="L28" s="634"/>
      <c r="M28" s="634" t="s">
        <v>16</v>
      </c>
      <c r="N28" s="636">
        <v>0.44680851100000002</v>
      </c>
      <c r="O28" s="634" t="s">
        <v>19</v>
      </c>
      <c r="P28" s="636">
        <v>0.37046004799999999</v>
      </c>
      <c r="Q28" s="634" t="s">
        <v>7</v>
      </c>
      <c r="R28" s="636">
        <v>0.26140000000000002</v>
      </c>
      <c r="S28" s="634"/>
      <c r="T28" s="644">
        <v>0</v>
      </c>
      <c r="U28" s="635"/>
      <c r="V28" s="176">
        <f t="shared" si="34"/>
        <v>0</v>
      </c>
      <c r="W28" s="176">
        <f t="shared" si="35"/>
        <v>0</v>
      </c>
      <c r="X28" s="176">
        <f t="shared" si="36"/>
        <v>0</v>
      </c>
      <c r="Y28" s="958">
        <f>X28/Calculation_sheet!M$67</f>
        <v>0</v>
      </c>
      <c r="Z28" s="176">
        <f ca="1">IF(AN28&gt;0,Y28*Calculation_sheet!C$87,0)</f>
        <v>0</v>
      </c>
      <c r="AA28" s="176">
        <f t="shared" ca="1" si="37"/>
        <v>0</v>
      </c>
      <c r="AB28" s="176">
        <f ca="1">IF(AP28&gt;0,AA28*Calculation_sheet!C$94,0)</f>
        <v>0</v>
      </c>
      <c r="AC28" s="176">
        <f t="shared" ca="1" si="23"/>
        <v>0</v>
      </c>
      <c r="AD28" s="958">
        <f ca="1">AC28*Calculation_sheet!C$99</f>
        <v>0</v>
      </c>
      <c r="AE28" s="176">
        <f t="shared" ca="1" si="23"/>
        <v>0</v>
      </c>
      <c r="AF28" s="176">
        <f t="shared" ca="1" si="38"/>
        <v>0</v>
      </c>
      <c r="AG28" s="958">
        <f ca="1">AF28*User_sheet!B$77/100</f>
        <v>0</v>
      </c>
      <c r="AH28" s="313"/>
      <c r="AI28" s="925">
        <v>301</v>
      </c>
      <c r="AJ28" s="313"/>
      <c r="AK28" s="1018">
        <f t="shared" ca="1" si="15"/>
        <v>128.40682799549532</v>
      </c>
      <c r="AL28" s="924">
        <f ca="1">AK28/'301'!I$24</f>
        <v>1.0174383784883074</v>
      </c>
      <c r="AM28" s="924">
        <f ca="1">0.8*(AK28*30+'301'!D$17*0.34*30*1)</f>
        <v>5173.3350718918873</v>
      </c>
      <c r="AN28" s="954">
        <f ca="1">IF(AM28&lt;User_sheet!B$50,Y28,0)</f>
        <v>0</v>
      </c>
      <c r="AO28" s="954">
        <f ca="1">20-(User_sheet!B$57/(AK28+'301'!D$17*1*0.34))</f>
        <v>-6.4432900824984252</v>
      </c>
      <c r="AP28" s="954">
        <f ca="1">IF(AO28&lt;User_sheet!B$59,0,BC28*AA28)</f>
        <v>0</v>
      </c>
      <c r="AQ28" s="313"/>
      <c r="AR28" s="924">
        <v>0.48</v>
      </c>
      <c r="AS28" s="924">
        <v>0.66</v>
      </c>
      <c r="AT28" s="924">
        <v>7.9</v>
      </c>
      <c r="AU28" s="924">
        <v>2.75</v>
      </c>
      <c r="AV28" s="924">
        <v>3.3</v>
      </c>
      <c r="AW28" s="924">
        <v>10916.451096266603</v>
      </c>
      <c r="AX28" s="924">
        <v>68297.998190252794</v>
      </c>
      <c r="AY28" s="924">
        <v>67352.647733737584</v>
      </c>
      <c r="AZ28" s="924">
        <v>0</v>
      </c>
      <c r="BA28" s="924">
        <v>0</v>
      </c>
      <c r="BB28" s="924">
        <v>0.6</v>
      </c>
      <c r="BC28" s="930">
        <v>1</v>
      </c>
      <c r="BD28" s="931">
        <v>0</v>
      </c>
      <c r="BE28" s="931">
        <v>0</v>
      </c>
      <c r="BF28" s="936">
        <v>0</v>
      </c>
      <c r="BG28" s="924">
        <v>0</v>
      </c>
      <c r="BH28" s="924">
        <v>1</v>
      </c>
      <c r="BI28" s="936">
        <v>0</v>
      </c>
      <c r="BJ28" s="924">
        <v>0</v>
      </c>
      <c r="BK28" s="924">
        <v>0</v>
      </c>
      <c r="BL28" s="924">
        <v>1</v>
      </c>
      <c r="BM28" s="936">
        <v>0</v>
      </c>
      <c r="BN28" s="958">
        <v>0.1</v>
      </c>
      <c r="BO28" s="959">
        <v>6</v>
      </c>
      <c r="BP28" s="926">
        <f t="shared" ca="1" si="24"/>
        <v>115.19999999999999</v>
      </c>
      <c r="BQ28" s="926">
        <f t="shared" ca="1" si="25"/>
        <v>191.51999999999995</v>
      </c>
      <c r="BR28" s="926">
        <f t="shared" ca="1" si="26"/>
        <v>43.295999999999999</v>
      </c>
      <c r="BS28" s="926">
        <f t="shared" ca="1" si="27"/>
        <v>42.459999999999994</v>
      </c>
      <c r="BT28" s="926">
        <f t="shared" ca="1" si="28"/>
        <v>38.4</v>
      </c>
      <c r="BU28" s="926">
        <f t="shared" ca="1" si="29"/>
        <v>7</v>
      </c>
      <c r="BV28" s="926">
        <f t="shared" ca="1" si="30"/>
        <v>4.3</v>
      </c>
      <c r="BW28" s="926">
        <v>0</v>
      </c>
      <c r="BX28" s="926">
        <f t="shared" ca="1" si="31"/>
        <v>19.185819793205319</v>
      </c>
      <c r="BY28" s="926">
        <f t="shared" ca="1" si="32"/>
        <v>25.146805455850682</v>
      </c>
      <c r="BZ28" s="926">
        <f t="shared" ca="1" si="16"/>
        <v>42.251885199774904</v>
      </c>
      <c r="CA28" s="926">
        <f t="shared" ca="1" si="17"/>
        <v>19.249999989412501</v>
      </c>
      <c r="CB28" s="926">
        <f t="shared" ca="1" si="33"/>
        <v>9.0267175572519083</v>
      </c>
      <c r="CC28" s="926">
        <f t="shared" si="18"/>
        <v>0</v>
      </c>
      <c r="CD28" s="1018">
        <f t="shared" ca="1" si="39"/>
        <v>128.40682799549532</v>
      </c>
      <c r="CE28" s="1018">
        <f t="shared" ca="1" si="40"/>
        <v>23.659858901622069</v>
      </c>
      <c r="CF28" s="926">
        <f t="shared" ca="1" si="21"/>
        <v>4.5620006069135215</v>
      </c>
      <c r="CG28" s="926">
        <f t="shared" ca="1" si="22"/>
        <v>7595.5485304867361</v>
      </c>
    </row>
    <row r="29" spans="4:85" s="3" customFormat="1" x14ac:dyDescent="0.25">
      <c r="D29" s="639"/>
      <c r="E29" s="635"/>
      <c r="F29" s="639"/>
      <c r="G29" s="635"/>
      <c r="H29" s="639"/>
      <c r="I29" s="635"/>
      <c r="J29" s="639"/>
      <c r="K29" s="640"/>
      <c r="L29" s="634"/>
      <c r="M29" s="634"/>
      <c r="N29" s="634"/>
      <c r="O29" s="634"/>
      <c r="P29" s="634"/>
      <c r="Q29" s="634" t="s">
        <v>22</v>
      </c>
      <c r="R29" s="636">
        <v>0.53710000000000002</v>
      </c>
      <c r="S29" s="634"/>
      <c r="T29" s="644">
        <v>0</v>
      </c>
      <c r="U29" s="635"/>
      <c r="V29" s="176">
        <f t="shared" si="34"/>
        <v>0</v>
      </c>
      <c r="W29" s="176">
        <f t="shared" si="35"/>
        <v>0</v>
      </c>
      <c r="X29" s="176">
        <f t="shared" si="36"/>
        <v>0</v>
      </c>
      <c r="Y29" s="958">
        <f>X29/Calculation_sheet!M$67</f>
        <v>0</v>
      </c>
      <c r="Z29" s="176">
        <f ca="1">IF(AN29&gt;0,Y29*Calculation_sheet!C$87,0)</f>
        <v>0</v>
      </c>
      <c r="AA29" s="176">
        <f t="shared" ca="1" si="37"/>
        <v>0</v>
      </c>
      <c r="AB29" s="176">
        <f ca="1">IF(AP29&gt;0,AA29*Calculation_sheet!C$94,0)</f>
        <v>0</v>
      </c>
      <c r="AC29" s="176">
        <f t="shared" ca="1" si="23"/>
        <v>0</v>
      </c>
      <c r="AD29" s="958">
        <f ca="1">AC29*Calculation_sheet!C$99</f>
        <v>0</v>
      </c>
      <c r="AE29" s="176">
        <f t="shared" ca="1" si="23"/>
        <v>0</v>
      </c>
      <c r="AF29" s="176">
        <f t="shared" ca="1" si="38"/>
        <v>0</v>
      </c>
      <c r="AG29" s="958">
        <f ca="1">AF29*User_sheet!B$77/100</f>
        <v>0</v>
      </c>
      <c r="AH29" s="313"/>
      <c r="AI29" s="925">
        <v>301</v>
      </c>
      <c r="AJ29" s="313"/>
      <c r="AK29" s="1018">
        <f t="shared" ca="1" si="15"/>
        <v>128.40682799549532</v>
      </c>
      <c r="AL29" s="924">
        <f ca="1">AK29/'301'!I$24</f>
        <v>1.0174383784883074</v>
      </c>
      <c r="AM29" s="924">
        <f ca="1">0.8*(AK29*30+'301'!D$17*0.34*30*1)</f>
        <v>5173.3350718918873</v>
      </c>
      <c r="AN29" s="954">
        <f ca="1">IF(AM29&lt;User_sheet!B$50,Y29,0)</f>
        <v>0</v>
      </c>
      <c r="AO29" s="954">
        <f ca="1">20-(User_sheet!B$57/(AK29+'301'!D$17*1*0.34))</f>
        <v>-6.4432900824984252</v>
      </c>
      <c r="AP29" s="954">
        <f ca="1">IF(AO29&lt;User_sheet!B$59,0,BC29*AA29)</f>
        <v>0</v>
      </c>
      <c r="AQ29" s="313"/>
      <c r="AR29" s="924">
        <v>0.48</v>
      </c>
      <c r="AS29" s="924">
        <v>0.66</v>
      </c>
      <c r="AT29" s="924">
        <v>7.9</v>
      </c>
      <c r="AU29" s="924">
        <v>2.75</v>
      </c>
      <c r="AV29" s="924">
        <v>3.3</v>
      </c>
      <c r="AW29" s="924">
        <v>10916.451096266603</v>
      </c>
      <c r="AX29" s="924">
        <v>68297.998190252794</v>
      </c>
      <c r="AY29" s="924">
        <v>67352.647733737584</v>
      </c>
      <c r="AZ29" s="924">
        <v>0</v>
      </c>
      <c r="BA29" s="924">
        <v>0</v>
      </c>
      <c r="BB29" s="924">
        <v>0.6</v>
      </c>
      <c r="BC29" s="930">
        <v>0</v>
      </c>
      <c r="BD29" s="931">
        <v>1</v>
      </c>
      <c r="BE29" s="931">
        <v>0</v>
      </c>
      <c r="BF29" s="936">
        <v>0</v>
      </c>
      <c r="BG29" s="924">
        <v>1</v>
      </c>
      <c r="BH29" s="924">
        <v>0</v>
      </c>
      <c r="BI29" s="936">
        <v>0</v>
      </c>
      <c r="BJ29" s="924">
        <v>0</v>
      </c>
      <c r="BK29" s="924">
        <v>1</v>
      </c>
      <c r="BL29" s="924">
        <v>0</v>
      </c>
      <c r="BM29" s="936">
        <v>0</v>
      </c>
      <c r="BN29" s="958">
        <v>0.1</v>
      </c>
      <c r="BO29" s="959">
        <v>6</v>
      </c>
      <c r="BP29" s="926">
        <f t="shared" ca="1" si="24"/>
        <v>115.19999999999999</v>
      </c>
      <c r="BQ29" s="926">
        <f t="shared" ca="1" si="25"/>
        <v>191.51999999999995</v>
      </c>
      <c r="BR29" s="926">
        <f t="shared" ca="1" si="26"/>
        <v>43.295999999999999</v>
      </c>
      <c r="BS29" s="926">
        <f t="shared" ca="1" si="27"/>
        <v>42.459999999999994</v>
      </c>
      <c r="BT29" s="926">
        <f t="shared" ca="1" si="28"/>
        <v>38.4</v>
      </c>
      <c r="BU29" s="926">
        <f t="shared" ca="1" si="29"/>
        <v>7</v>
      </c>
      <c r="BV29" s="926">
        <f t="shared" ca="1" si="30"/>
        <v>4.3</v>
      </c>
      <c r="BW29" s="926">
        <v>0</v>
      </c>
      <c r="BX29" s="926">
        <f t="shared" ca="1" si="31"/>
        <v>19.185819793205319</v>
      </c>
      <c r="BY29" s="926">
        <f t="shared" ca="1" si="32"/>
        <v>25.146805455850682</v>
      </c>
      <c r="BZ29" s="926">
        <f t="shared" ca="1" si="16"/>
        <v>42.251885199774904</v>
      </c>
      <c r="CA29" s="926">
        <f t="shared" ca="1" si="17"/>
        <v>19.249999989412501</v>
      </c>
      <c r="CB29" s="926">
        <f t="shared" ca="1" si="33"/>
        <v>9.0267175572519083</v>
      </c>
      <c r="CC29" s="926">
        <f t="shared" si="18"/>
        <v>0</v>
      </c>
      <c r="CD29" s="1018">
        <f t="shared" ca="1" si="39"/>
        <v>128.40682799549532</v>
      </c>
      <c r="CE29" s="1018">
        <f t="shared" ca="1" si="40"/>
        <v>23.659858901622069</v>
      </c>
      <c r="CF29" s="926">
        <f t="shared" ca="1" si="21"/>
        <v>4.5620006069135215</v>
      </c>
      <c r="CG29" s="926">
        <f t="shared" ca="1" si="22"/>
        <v>7595.5485304867361</v>
      </c>
    </row>
    <row r="30" spans="4:85" s="3" customFormat="1" x14ac:dyDescent="0.25">
      <c r="D30" s="639"/>
      <c r="E30" s="635"/>
      <c r="F30" s="639"/>
      <c r="G30" s="635"/>
      <c r="H30" s="639"/>
      <c r="I30" s="635"/>
      <c r="J30" s="639"/>
      <c r="K30" s="640"/>
      <c r="L30" s="634"/>
      <c r="M30" s="634"/>
      <c r="N30" s="634"/>
      <c r="O30" s="634" t="s">
        <v>18</v>
      </c>
      <c r="P30" s="636">
        <v>0.80827067699999999</v>
      </c>
      <c r="Q30" s="634" t="s">
        <v>7</v>
      </c>
      <c r="R30" s="636">
        <v>0.46289999999999998</v>
      </c>
      <c r="S30" s="634"/>
      <c r="T30" s="644">
        <v>0</v>
      </c>
      <c r="U30" s="635"/>
      <c r="V30" s="176">
        <f t="shared" si="34"/>
        <v>0</v>
      </c>
      <c r="W30" s="176">
        <f t="shared" si="35"/>
        <v>0</v>
      </c>
      <c r="X30" s="176">
        <f t="shared" si="36"/>
        <v>0</v>
      </c>
      <c r="Y30" s="958">
        <f>X30/Calculation_sheet!M$67</f>
        <v>0</v>
      </c>
      <c r="Z30" s="176">
        <f ca="1">IF(AN30&gt;0,Y30*Calculation_sheet!C$87,0)</f>
        <v>0</v>
      </c>
      <c r="AA30" s="176">
        <f t="shared" ca="1" si="37"/>
        <v>0</v>
      </c>
      <c r="AB30" s="176">
        <f ca="1">IF(AP30&gt;0,AA30*Calculation_sheet!C$94,0)</f>
        <v>0</v>
      </c>
      <c r="AC30" s="176">
        <f t="shared" ca="1" si="23"/>
        <v>0</v>
      </c>
      <c r="AD30" s="958">
        <f ca="1">AC30*Calculation_sheet!C$99</f>
        <v>0</v>
      </c>
      <c r="AE30" s="176">
        <f t="shared" ca="1" si="23"/>
        <v>0</v>
      </c>
      <c r="AF30" s="176">
        <f t="shared" ca="1" si="38"/>
        <v>0</v>
      </c>
      <c r="AG30" s="958">
        <f ca="1">AF30*User_sheet!B$77/100</f>
        <v>0</v>
      </c>
      <c r="AH30" s="313"/>
      <c r="AI30" s="925">
        <v>301</v>
      </c>
      <c r="AJ30" s="313"/>
      <c r="AK30" s="1018">
        <f t="shared" ca="1" si="15"/>
        <v>128.40682799549532</v>
      </c>
      <c r="AL30" s="924">
        <f ca="1">AK30/'301'!I$24</f>
        <v>1.0174383784883074</v>
      </c>
      <c r="AM30" s="924">
        <f ca="1">0.8*(AK30*30+'301'!D$17*0.34*30*1)</f>
        <v>5173.3350718918873</v>
      </c>
      <c r="AN30" s="954">
        <f ca="1">IF(AM30&lt;User_sheet!B$50,Y30,0)</f>
        <v>0</v>
      </c>
      <c r="AO30" s="954">
        <f ca="1">20-(User_sheet!B$57/(AK30+'301'!D$17*1*0.34))</f>
        <v>-6.4432900824984252</v>
      </c>
      <c r="AP30" s="954">
        <f ca="1">IF(AO30&lt;User_sheet!B$59,0,BC30*AA30)</f>
        <v>0</v>
      </c>
      <c r="AQ30" s="313"/>
      <c r="AR30" s="924">
        <v>0.48</v>
      </c>
      <c r="AS30" s="924">
        <v>0.66</v>
      </c>
      <c r="AT30" s="924">
        <v>7.9</v>
      </c>
      <c r="AU30" s="924">
        <v>2.75</v>
      </c>
      <c r="AV30" s="924">
        <v>3.3</v>
      </c>
      <c r="AW30" s="924">
        <v>10916.451096266603</v>
      </c>
      <c r="AX30" s="924">
        <v>68297.998190252794</v>
      </c>
      <c r="AY30" s="924">
        <v>67352.647733737584</v>
      </c>
      <c r="AZ30" s="924">
        <v>0</v>
      </c>
      <c r="BA30" s="924">
        <v>0</v>
      </c>
      <c r="BB30" s="924">
        <v>0.6</v>
      </c>
      <c r="BC30" s="930">
        <v>0</v>
      </c>
      <c r="BD30" s="931">
        <v>1</v>
      </c>
      <c r="BE30" s="931">
        <v>0</v>
      </c>
      <c r="BF30" s="936">
        <v>0</v>
      </c>
      <c r="BG30" s="924">
        <v>1</v>
      </c>
      <c r="BH30" s="924">
        <v>0</v>
      </c>
      <c r="BI30" s="936">
        <v>0</v>
      </c>
      <c r="BJ30" s="924">
        <v>0</v>
      </c>
      <c r="BK30" s="924">
        <v>0</v>
      </c>
      <c r="BL30" s="924">
        <v>1</v>
      </c>
      <c r="BM30" s="936">
        <v>0</v>
      </c>
      <c r="BN30" s="958">
        <v>0.1</v>
      </c>
      <c r="BO30" s="959">
        <v>6</v>
      </c>
      <c r="BP30" s="926">
        <f t="shared" ca="1" si="24"/>
        <v>115.19999999999999</v>
      </c>
      <c r="BQ30" s="926">
        <f t="shared" ca="1" si="25"/>
        <v>191.51999999999995</v>
      </c>
      <c r="BR30" s="926">
        <f t="shared" ca="1" si="26"/>
        <v>43.295999999999999</v>
      </c>
      <c r="BS30" s="926">
        <f t="shared" ca="1" si="27"/>
        <v>42.459999999999994</v>
      </c>
      <c r="BT30" s="926">
        <f t="shared" ca="1" si="28"/>
        <v>38.4</v>
      </c>
      <c r="BU30" s="926">
        <f t="shared" ca="1" si="29"/>
        <v>7</v>
      </c>
      <c r="BV30" s="926">
        <f t="shared" ca="1" si="30"/>
        <v>4.3</v>
      </c>
      <c r="BW30" s="926">
        <v>0</v>
      </c>
      <c r="BX30" s="926">
        <f t="shared" ca="1" si="31"/>
        <v>19.185819793205319</v>
      </c>
      <c r="BY30" s="926">
        <f t="shared" ca="1" si="32"/>
        <v>25.146805455850682</v>
      </c>
      <c r="BZ30" s="926">
        <f t="shared" ca="1" si="16"/>
        <v>42.251885199774904</v>
      </c>
      <c r="CA30" s="926">
        <f t="shared" ca="1" si="17"/>
        <v>19.249999989412501</v>
      </c>
      <c r="CB30" s="926">
        <f t="shared" ca="1" si="33"/>
        <v>9.0267175572519083</v>
      </c>
      <c r="CC30" s="926">
        <f t="shared" si="18"/>
        <v>0</v>
      </c>
      <c r="CD30" s="1018">
        <f t="shared" ca="1" si="39"/>
        <v>128.40682799549532</v>
      </c>
      <c r="CE30" s="1018">
        <f t="shared" ca="1" si="40"/>
        <v>23.659858901622069</v>
      </c>
      <c r="CF30" s="926">
        <f t="shared" ca="1" si="21"/>
        <v>4.5620006069135215</v>
      </c>
      <c r="CG30" s="926">
        <f t="shared" ca="1" si="22"/>
        <v>7595.5485304867361</v>
      </c>
    </row>
    <row r="31" spans="4:85" s="3" customFormat="1" x14ac:dyDescent="0.25">
      <c r="D31" s="639"/>
      <c r="E31" s="635"/>
      <c r="F31" s="639"/>
      <c r="G31" s="635"/>
      <c r="H31" s="639"/>
      <c r="I31" s="635"/>
      <c r="J31" s="639"/>
      <c r="K31" s="640"/>
      <c r="L31" s="634"/>
      <c r="M31" s="634"/>
      <c r="N31" s="634"/>
      <c r="O31" s="634"/>
      <c r="P31" s="634"/>
      <c r="Q31" s="634" t="s">
        <v>22</v>
      </c>
      <c r="R31" s="636">
        <v>0.53710000000000002</v>
      </c>
      <c r="S31" s="634"/>
      <c r="T31" s="644">
        <v>0</v>
      </c>
      <c r="U31" s="635"/>
      <c r="V31" s="176">
        <f t="shared" si="34"/>
        <v>0</v>
      </c>
      <c r="W31" s="176">
        <f t="shared" si="35"/>
        <v>0</v>
      </c>
      <c r="X31" s="176">
        <f t="shared" si="36"/>
        <v>0</v>
      </c>
      <c r="Y31" s="958">
        <f>X31/Calculation_sheet!M$67</f>
        <v>0</v>
      </c>
      <c r="Z31" s="176">
        <f ca="1">IF(AN31&gt;0,Y31*Calculation_sheet!C$87,0)</f>
        <v>0</v>
      </c>
      <c r="AA31" s="176">
        <f t="shared" ca="1" si="37"/>
        <v>0</v>
      </c>
      <c r="AB31" s="176">
        <f ca="1">IF(AP31&gt;0,AA31*Calculation_sheet!C$94,0)</f>
        <v>0</v>
      </c>
      <c r="AC31" s="176">
        <f t="shared" ca="1" si="23"/>
        <v>0</v>
      </c>
      <c r="AD31" s="958">
        <f ca="1">AC31*Calculation_sheet!C$99</f>
        <v>0</v>
      </c>
      <c r="AE31" s="176">
        <f t="shared" ca="1" si="23"/>
        <v>0</v>
      </c>
      <c r="AF31" s="176">
        <f t="shared" ca="1" si="38"/>
        <v>0</v>
      </c>
      <c r="AG31" s="958">
        <f ca="1">AF31*User_sheet!B$77/100</f>
        <v>0</v>
      </c>
      <c r="AH31" s="313"/>
      <c r="AI31" s="925">
        <v>301</v>
      </c>
      <c r="AJ31" s="313"/>
      <c r="AK31" s="1018">
        <f t="shared" ca="1" si="15"/>
        <v>128.40682799549532</v>
      </c>
      <c r="AL31" s="924">
        <f ca="1">AK31/'301'!I$24</f>
        <v>1.0174383784883074</v>
      </c>
      <c r="AM31" s="924">
        <f ca="1">0.8*(AK31*30+'301'!D$17*0.34*30*1)</f>
        <v>5173.3350718918873</v>
      </c>
      <c r="AN31" s="954">
        <f ca="1">IF(AM31&lt;User_sheet!B$50,Y31,0)</f>
        <v>0</v>
      </c>
      <c r="AO31" s="954">
        <f ca="1">20-(User_sheet!B$57/(AK31+'301'!D$17*1*0.34))</f>
        <v>-6.4432900824984252</v>
      </c>
      <c r="AP31" s="954">
        <f ca="1">IF(AO31&lt;User_sheet!B$59,0,BC31*AA31)</f>
        <v>0</v>
      </c>
      <c r="AQ31" s="313"/>
      <c r="AR31" s="924">
        <v>0.48</v>
      </c>
      <c r="AS31" s="924">
        <v>0.66</v>
      </c>
      <c r="AT31" s="924">
        <v>7.9</v>
      </c>
      <c r="AU31" s="924">
        <v>2.75</v>
      </c>
      <c r="AV31" s="924">
        <v>3.3</v>
      </c>
      <c r="AW31" s="924">
        <v>10916.451096266603</v>
      </c>
      <c r="AX31" s="924">
        <v>68297.998190252794</v>
      </c>
      <c r="AY31" s="924">
        <v>67352.647733737584</v>
      </c>
      <c r="AZ31" s="924">
        <v>0</v>
      </c>
      <c r="BA31" s="924">
        <v>0</v>
      </c>
      <c r="BB31" s="924">
        <v>0.6</v>
      </c>
      <c r="BC31" s="930">
        <v>0</v>
      </c>
      <c r="BD31" s="931">
        <v>1</v>
      </c>
      <c r="BE31" s="931">
        <v>0</v>
      </c>
      <c r="BF31" s="936">
        <v>0</v>
      </c>
      <c r="BG31" s="924">
        <v>0</v>
      </c>
      <c r="BH31" s="924">
        <v>1</v>
      </c>
      <c r="BI31" s="936">
        <v>0</v>
      </c>
      <c r="BJ31" s="924">
        <v>0</v>
      </c>
      <c r="BK31" s="924">
        <v>1</v>
      </c>
      <c r="BL31" s="924">
        <v>0</v>
      </c>
      <c r="BM31" s="936">
        <v>0</v>
      </c>
      <c r="BN31" s="958">
        <v>0.1</v>
      </c>
      <c r="BO31" s="959">
        <v>6</v>
      </c>
      <c r="BP31" s="926">
        <f t="shared" ca="1" si="24"/>
        <v>115.19999999999999</v>
      </c>
      <c r="BQ31" s="926">
        <f t="shared" ca="1" si="25"/>
        <v>191.51999999999995</v>
      </c>
      <c r="BR31" s="926">
        <f t="shared" ca="1" si="26"/>
        <v>43.295999999999999</v>
      </c>
      <c r="BS31" s="926">
        <f t="shared" ca="1" si="27"/>
        <v>42.459999999999994</v>
      </c>
      <c r="BT31" s="926">
        <f t="shared" ca="1" si="28"/>
        <v>38.4</v>
      </c>
      <c r="BU31" s="926">
        <f t="shared" ca="1" si="29"/>
        <v>7</v>
      </c>
      <c r="BV31" s="926">
        <f t="shared" ca="1" si="30"/>
        <v>4.3</v>
      </c>
      <c r="BW31" s="926">
        <v>0</v>
      </c>
      <c r="BX31" s="926">
        <f t="shared" ca="1" si="31"/>
        <v>19.185819793205319</v>
      </c>
      <c r="BY31" s="926">
        <f t="shared" ca="1" si="32"/>
        <v>25.146805455850682</v>
      </c>
      <c r="BZ31" s="926">
        <f t="shared" ca="1" si="16"/>
        <v>42.251885199774904</v>
      </c>
      <c r="CA31" s="926">
        <f t="shared" ca="1" si="17"/>
        <v>19.249999989412501</v>
      </c>
      <c r="CB31" s="926">
        <f t="shared" ca="1" si="33"/>
        <v>9.0267175572519083</v>
      </c>
      <c r="CC31" s="926">
        <f t="shared" si="18"/>
        <v>0</v>
      </c>
      <c r="CD31" s="1018">
        <f t="shared" ca="1" si="39"/>
        <v>128.40682799549532</v>
      </c>
      <c r="CE31" s="1018">
        <f t="shared" ca="1" si="40"/>
        <v>23.659858901622069</v>
      </c>
      <c r="CF31" s="926">
        <f t="shared" ca="1" si="21"/>
        <v>4.5620006069135215</v>
      </c>
      <c r="CG31" s="926">
        <f t="shared" ca="1" si="22"/>
        <v>7595.5485304867361</v>
      </c>
    </row>
    <row r="32" spans="4:85" s="3" customFormat="1" x14ac:dyDescent="0.25">
      <c r="D32" s="639"/>
      <c r="E32" s="635"/>
      <c r="F32" s="639"/>
      <c r="G32" s="635"/>
      <c r="H32" s="639"/>
      <c r="I32" s="635"/>
      <c r="J32" s="639"/>
      <c r="K32" s="640"/>
      <c r="L32" s="634"/>
      <c r="M32" s="634" t="s">
        <v>22</v>
      </c>
      <c r="N32" s="636">
        <v>0.44680851100000002</v>
      </c>
      <c r="O32" s="634" t="s">
        <v>20</v>
      </c>
      <c r="P32" s="636">
        <v>0.19172932300000001</v>
      </c>
      <c r="Q32" s="634" t="s">
        <v>7</v>
      </c>
      <c r="R32" s="636">
        <v>0.46289999999999998</v>
      </c>
      <c r="S32" s="634"/>
      <c r="T32" s="644">
        <v>0</v>
      </c>
      <c r="U32" s="635"/>
      <c r="V32" s="176">
        <f t="shared" si="34"/>
        <v>0</v>
      </c>
      <c r="W32" s="176">
        <f t="shared" si="35"/>
        <v>0</v>
      </c>
      <c r="X32" s="176">
        <f t="shared" si="36"/>
        <v>0</v>
      </c>
      <c r="Y32" s="958">
        <f>X32/Calculation_sheet!M$67</f>
        <v>0</v>
      </c>
      <c r="Z32" s="176">
        <f ca="1">IF(AN32&gt;0,Y32*Calculation_sheet!C$87,0)</f>
        <v>0</v>
      </c>
      <c r="AA32" s="176">
        <f t="shared" ca="1" si="37"/>
        <v>0</v>
      </c>
      <c r="AB32" s="176">
        <f ca="1">IF(AP32&gt;0,AA32*Calculation_sheet!C$94,0)</f>
        <v>0</v>
      </c>
      <c r="AC32" s="176">
        <f t="shared" ca="1" si="23"/>
        <v>0</v>
      </c>
      <c r="AD32" s="958">
        <f ca="1">AC32*Calculation_sheet!C$99</f>
        <v>0</v>
      </c>
      <c r="AE32" s="176">
        <f t="shared" ca="1" si="23"/>
        <v>0</v>
      </c>
      <c r="AF32" s="176">
        <f t="shared" ca="1" si="38"/>
        <v>0</v>
      </c>
      <c r="AG32" s="958">
        <f ca="1">AF32*User_sheet!B$77/100</f>
        <v>0</v>
      </c>
      <c r="AH32" s="313"/>
      <c r="AI32" s="925">
        <v>301</v>
      </c>
      <c r="AJ32" s="313"/>
      <c r="AK32" s="1018">
        <f t="shared" ca="1" si="15"/>
        <v>128.40682799549532</v>
      </c>
      <c r="AL32" s="924">
        <f ca="1">AK32/'301'!I$24</f>
        <v>1.0174383784883074</v>
      </c>
      <c r="AM32" s="924">
        <f ca="1">0.8*(AK32*30+'301'!D$17*0.34*30*1)</f>
        <v>5173.3350718918873</v>
      </c>
      <c r="AN32" s="954">
        <f ca="1">IF(AM32&lt;User_sheet!B$50,Y32,0)</f>
        <v>0</v>
      </c>
      <c r="AO32" s="954">
        <f ca="1">20-(User_sheet!B$57/(AK32+'301'!D$17*1*0.34))</f>
        <v>-6.4432900824984252</v>
      </c>
      <c r="AP32" s="954">
        <f ca="1">IF(AO32&lt;User_sheet!B$59,0,BC32*AA32)</f>
        <v>0</v>
      </c>
      <c r="AQ32" s="313"/>
      <c r="AR32" s="924">
        <v>0.48</v>
      </c>
      <c r="AS32" s="924">
        <v>0.66</v>
      </c>
      <c r="AT32" s="924">
        <v>7.9</v>
      </c>
      <c r="AU32" s="924">
        <v>2.75</v>
      </c>
      <c r="AV32" s="924">
        <v>3.3</v>
      </c>
      <c r="AW32" s="924">
        <v>10916.451096266603</v>
      </c>
      <c r="AX32" s="924">
        <v>68297.998190252794</v>
      </c>
      <c r="AY32" s="924">
        <v>67352.647733737584</v>
      </c>
      <c r="AZ32" s="924">
        <v>0</v>
      </c>
      <c r="BA32" s="924">
        <v>0</v>
      </c>
      <c r="BB32" s="924">
        <v>0.6</v>
      </c>
      <c r="BC32" s="930">
        <v>0</v>
      </c>
      <c r="BD32" s="931">
        <v>1</v>
      </c>
      <c r="BE32" s="931">
        <v>0</v>
      </c>
      <c r="BF32" s="936">
        <v>0</v>
      </c>
      <c r="BG32" s="924">
        <v>0</v>
      </c>
      <c r="BH32" s="924">
        <v>1</v>
      </c>
      <c r="BI32" s="936">
        <v>0</v>
      </c>
      <c r="BJ32" s="924">
        <v>0</v>
      </c>
      <c r="BK32" s="924">
        <v>0</v>
      </c>
      <c r="BL32" s="924">
        <v>1</v>
      </c>
      <c r="BM32" s="936">
        <v>0</v>
      </c>
      <c r="BN32" s="958">
        <v>0.1</v>
      </c>
      <c r="BO32" s="959">
        <v>6</v>
      </c>
      <c r="BP32" s="926">
        <f t="shared" ca="1" si="24"/>
        <v>115.19999999999999</v>
      </c>
      <c r="BQ32" s="926">
        <f t="shared" ca="1" si="25"/>
        <v>191.51999999999995</v>
      </c>
      <c r="BR32" s="926">
        <f t="shared" ca="1" si="26"/>
        <v>43.295999999999999</v>
      </c>
      <c r="BS32" s="926">
        <f t="shared" ca="1" si="27"/>
        <v>42.459999999999994</v>
      </c>
      <c r="BT32" s="926">
        <f t="shared" ca="1" si="28"/>
        <v>38.4</v>
      </c>
      <c r="BU32" s="926">
        <f t="shared" ca="1" si="29"/>
        <v>7</v>
      </c>
      <c r="BV32" s="926">
        <f t="shared" ca="1" si="30"/>
        <v>4.3</v>
      </c>
      <c r="BW32" s="926">
        <v>0</v>
      </c>
      <c r="BX32" s="926">
        <f t="shared" ca="1" si="31"/>
        <v>19.185819793205319</v>
      </c>
      <c r="BY32" s="926">
        <f t="shared" ca="1" si="32"/>
        <v>25.146805455850682</v>
      </c>
      <c r="BZ32" s="926">
        <f t="shared" ca="1" si="16"/>
        <v>42.251885199774904</v>
      </c>
      <c r="CA32" s="926">
        <f t="shared" ca="1" si="17"/>
        <v>19.249999989412501</v>
      </c>
      <c r="CB32" s="926">
        <f t="shared" ca="1" si="33"/>
        <v>9.0267175572519083</v>
      </c>
      <c r="CC32" s="926">
        <f t="shared" si="18"/>
        <v>0</v>
      </c>
      <c r="CD32" s="1018">
        <f t="shared" ca="1" si="39"/>
        <v>128.40682799549532</v>
      </c>
      <c r="CE32" s="1018">
        <f t="shared" ca="1" si="40"/>
        <v>23.659858901622069</v>
      </c>
      <c r="CF32" s="926">
        <f t="shared" ca="1" si="21"/>
        <v>4.5620006069135215</v>
      </c>
      <c r="CG32" s="926">
        <f t="shared" ca="1" si="22"/>
        <v>7595.5485304867361</v>
      </c>
    </row>
    <row r="33" spans="4:85" s="3" customFormat="1" x14ac:dyDescent="0.25">
      <c r="D33" s="639"/>
      <c r="E33" s="635"/>
      <c r="F33" s="639"/>
      <c r="G33" s="635"/>
      <c r="H33" s="639"/>
      <c r="I33" s="635"/>
      <c r="J33" s="639"/>
      <c r="K33" s="640"/>
      <c r="L33" s="634"/>
      <c r="M33" s="634" t="s">
        <v>7</v>
      </c>
      <c r="N33" s="636">
        <v>2.1276595999999998E-2</v>
      </c>
      <c r="O33" s="634" t="s">
        <v>23</v>
      </c>
      <c r="P33" s="636">
        <v>1</v>
      </c>
      <c r="Q33" s="634" t="s">
        <v>7</v>
      </c>
      <c r="R33" s="636">
        <v>1</v>
      </c>
      <c r="S33" s="634"/>
      <c r="T33" s="644">
        <v>0</v>
      </c>
      <c r="U33" s="635"/>
      <c r="V33" s="176">
        <f t="shared" si="34"/>
        <v>0</v>
      </c>
      <c r="W33" s="176">
        <f t="shared" si="35"/>
        <v>0</v>
      </c>
      <c r="X33" s="176">
        <f t="shared" si="36"/>
        <v>0</v>
      </c>
      <c r="Y33" s="958">
        <f>X33/Calculation_sheet!M$67</f>
        <v>0</v>
      </c>
      <c r="Z33" s="176">
        <f ca="1">IF(AN33&gt;0,Y33*Calculation_sheet!C$87,0)</f>
        <v>0</v>
      </c>
      <c r="AA33" s="176">
        <f t="shared" ca="1" si="37"/>
        <v>0</v>
      </c>
      <c r="AB33" s="176">
        <f ca="1">IF(AP33&gt;0,AA33*Calculation_sheet!C$94,0)</f>
        <v>0</v>
      </c>
      <c r="AC33" s="176">
        <f t="shared" ca="1" si="23"/>
        <v>0</v>
      </c>
      <c r="AD33" s="958">
        <f ca="1">AC33*Calculation_sheet!C$99</f>
        <v>0</v>
      </c>
      <c r="AE33" s="176">
        <f t="shared" ca="1" si="23"/>
        <v>0</v>
      </c>
      <c r="AF33" s="176">
        <f t="shared" ca="1" si="38"/>
        <v>0</v>
      </c>
      <c r="AG33" s="958">
        <f ca="1">AF33*User_sheet!B$77/100</f>
        <v>0</v>
      </c>
      <c r="AH33" s="313"/>
      <c r="AI33" s="925">
        <v>301</v>
      </c>
      <c r="AJ33" s="313"/>
      <c r="AK33" s="1018">
        <f t="shared" ca="1" si="15"/>
        <v>128.40682799549532</v>
      </c>
      <c r="AL33" s="924">
        <f ca="1">AK33/'301'!I$24</f>
        <v>1.0174383784883074</v>
      </c>
      <c r="AM33" s="924">
        <f ca="1">0.8*(AK33*30+'301'!D$17*0.34*30*1)</f>
        <v>5173.3350718918873</v>
      </c>
      <c r="AN33" s="954">
        <f ca="1">IF(AM33&lt;User_sheet!B$50,Y33,0)</f>
        <v>0</v>
      </c>
      <c r="AO33" s="954">
        <f ca="1">20-(User_sheet!B$57/(AK33+'301'!D$17*1*0.34))</f>
        <v>-6.4432900824984252</v>
      </c>
      <c r="AP33" s="954">
        <f ca="1">IF(AO33&lt;User_sheet!B$59,0,BC33*AA33)</f>
        <v>0</v>
      </c>
      <c r="AQ33" s="313"/>
      <c r="AR33" s="924">
        <v>0.48</v>
      </c>
      <c r="AS33" s="924">
        <v>0.66</v>
      </c>
      <c r="AT33" s="924">
        <v>7.9</v>
      </c>
      <c r="AU33" s="924">
        <v>2.75</v>
      </c>
      <c r="AV33" s="924">
        <v>3.3</v>
      </c>
      <c r="AW33" s="924">
        <v>10916.451096266603</v>
      </c>
      <c r="AX33" s="924">
        <v>68297.998190252794</v>
      </c>
      <c r="AY33" s="924">
        <v>67352.647733737584</v>
      </c>
      <c r="AZ33" s="924">
        <v>0</v>
      </c>
      <c r="BA33" s="924">
        <v>0</v>
      </c>
      <c r="BB33" s="924">
        <v>0.6</v>
      </c>
      <c r="BC33" s="930">
        <v>0</v>
      </c>
      <c r="BD33" s="931">
        <v>0</v>
      </c>
      <c r="BE33" s="931">
        <v>1</v>
      </c>
      <c r="BF33" s="936">
        <v>0</v>
      </c>
      <c r="BG33" s="924">
        <v>0</v>
      </c>
      <c r="BH33" s="924">
        <v>0</v>
      </c>
      <c r="BI33" s="936">
        <v>1</v>
      </c>
      <c r="BJ33" s="924">
        <v>0</v>
      </c>
      <c r="BK33" s="924">
        <v>0</v>
      </c>
      <c r="BL33" s="924">
        <v>1</v>
      </c>
      <c r="BM33" s="936">
        <v>0</v>
      </c>
      <c r="BN33" s="958">
        <v>0.1</v>
      </c>
      <c r="BO33" s="959">
        <v>6</v>
      </c>
      <c r="BP33" s="926">
        <f t="shared" ca="1" si="24"/>
        <v>115.19999999999999</v>
      </c>
      <c r="BQ33" s="926">
        <f t="shared" ca="1" si="25"/>
        <v>191.51999999999995</v>
      </c>
      <c r="BR33" s="926">
        <f t="shared" ca="1" si="26"/>
        <v>43.295999999999999</v>
      </c>
      <c r="BS33" s="926">
        <f t="shared" ca="1" si="27"/>
        <v>42.459999999999994</v>
      </c>
      <c r="BT33" s="926">
        <f t="shared" ca="1" si="28"/>
        <v>38.4</v>
      </c>
      <c r="BU33" s="926">
        <f t="shared" ca="1" si="29"/>
        <v>7</v>
      </c>
      <c r="BV33" s="926">
        <f t="shared" ca="1" si="30"/>
        <v>4.3</v>
      </c>
      <c r="BW33" s="926">
        <v>0</v>
      </c>
      <c r="BX33" s="926">
        <f t="shared" ca="1" si="31"/>
        <v>19.185819793205319</v>
      </c>
      <c r="BY33" s="926">
        <f t="shared" ca="1" si="32"/>
        <v>25.146805455850682</v>
      </c>
      <c r="BZ33" s="926">
        <f t="shared" ca="1" si="16"/>
        <v>42.251885199774904</v>
      </c>
      <c r="CA33" s="926">
        <f t="shared" ca="1" si="17"/>
        <v>19.249999989412501</v>
      </c>
      <c r="CB33" s="926">
        <f t="shared" ca="1" si="33"/>
        <v>9.0267175572519083</v>
      </c>
      <c r="CC33" s="926">
        <f t="shared" si="18"/>
        <v>0</v>
      </c>
      <c r="CD33" s="1018">
        <f t="shared" ca="1" si="39"/>
        <v>128.40682799549532</v>
      </c>
      <c r="CE33" s="1018">
        <f t="shared" ca="1" si="40"/>
        <v>23.659858901622069</v>
      </c>
      <c r="CF33" s="926">
        <f t="shared" ca="1" si="21"/>
        <v>4.5620006069135215</v>
      </c>
      <c r="CG33" s="926">
        <f t="shared" ca="1" si="22"/>
        <v>7595.5485304867361</v>
      </c>
    </row>
    <row r="34" spans="4:85" s="3" customFormat="1" x14ac:dyDescent="0.25">
      <c r="D34" s="639"/>
      <c r="E34" s="635"/>
      <c r="F34" s="639"/>
      <c r="G34" s="635"/>
      <c r="H34" s="639"/>
      <c r="I34" s="635"/>
      <c r="J34" s="639"/>
      <c r="K34" s="640"/>
      <c r="L34" s="634"/>
      <c r="M34" s="634"/>
      <c r="N34" s="634"/>
      <c r="O34" s="634" t="s">
        <v>18</v>
      </c>
      <c r="P34" s="636">
        <v>0.15910607099999999</v>
      </c>
      <c r="Q34" s="634" t="s">
        <v>17</v>
      </c>
      <c r="R34" s="636">
        <v>1</v>
      </c>
      <c r="S34" s="634"/>
      <c r="T34" s="644">
        <v>0</v>
      </c>
      <c r="U34" s="635"/>
      <c r="V34" s="176">
        <f t="shared" si="34"/>
        <v>0</v>
      </c>
      <c r="W34" s="176">
        <f t="shared" si="35"/>
        <v>0</v>
      </c>
      <c r="X34" s="176">
        <f t="shared" si="36"/>
        <v>0</v>
      </c>
      <c r="Y34" s="958">
        <f>X34/Calculation_sheet!M$67</f>
        <v>0</v>
      </c>
      <c r="Z34" s="176">
        <f ca="1">IF(AN34&gt;0,Y34*Calculation_sheet!C$87,0)</f>
        <v>0</v>
      </c>
      <c r="AA34" s="176">
        <f t="shared" ca="1" si="37"/>
        <v>0</v>
      </c>
      <c r="AB34" s="176">
        <f ca="1">IF(AP34&gt;0,AA34*Calculation_sheet!C$94,0)</f>
        <v>0</v>
      </c>
      <c r="AC34" s="176">
        <f t="shared" ca="1" si="23"/>
        <v>0</v>
      </c>
      <c r="AD34" s="958">
        <f ca="1">AC34*Calculation_sheet!C$99</f>
        <v>0</v>
      </c>
      <c r="AE34" s="176">
        <f t="shared" ca="1" si="23"/>
        <v>0</v>
      </c>
      <c r="AF34" s="176">
        <f t="shared" ca="1" si="38"/>
        <v>0</v>
      </c>
      <c r="AG34" s="958">
        <f ca="1">AF34*User_sheet!B$77/100</f>
        <v>0</v>
      </c>
      <c r="AH34" s="313"/>
      <c r="AI34" s="925">
        <v>301</v>
      </c>
      <c r="AJ34" s="313"/>
      <c r="AK34" s="1018">
        <f t="shared" ca="1" si="15"/>
        <v>128.40682799549532</v>
      </c>
      <c r="AL34" s="924">
        <f ca="1">AK34/'301'!I$24</f>
        <v>1.0174383784883074</v>
      </c>
      <c r="AM34" s="924">
        <f ca="1">0.8*(AK34*30+'301'!D$17*0.34*30*1)</f>
        <v>5173.3350718918873</v>
      </c>
      <c r="AN34" s="954">
        <f ca="1">IF(AM34&lt;User_sheet!B$50,Y34,0)</f>
        <v>0</v>
      </c>
      <c r="AO34" s="954">
        <f ca="1">20-(User_sheet!B$57/(AK34+'301'!D$17*1*0.34))</f>
        <v>-6.4432900824984252</v>
      </c>
      <c r="AP34" s="954">
        <f ca="1">IF(AO34&lt;User_sheet!B$59,0,BC34*AA34)</f>
        <v>0</v>
      </c>
      <c r="AQ34" s="313"/>
      <c r="AR34" s="924">
        <v>0.48</v>
      </c>
      <c r="AS34" s="924">
        <v>0.66</v>
      </c>
      <c r="AT34" s="924">
        <v>7.9</v>
      </c>
      <c r="AU34" s="924">
        <v>2.75</v>
      </c>
      <c r="AV34" s="924">
        <v>3.3</v>
      </c>
      <c r="AW34" s="924">
        <v>10916.451096266603</v>
      </c>
      <c r="AX34" s="924">
        <v>68297.998190252794</v>
      </c>
      <c r="AY34" s="924">
        <v>67352.647733737584</v>
      </c>
      <c r="AZ34" s="924">
        <v>0</v>
      </c>
      <c r="BA34" s="924">
        <v>0</v>
      </c>
      <c r="BB34" s="924">
        <v>0.6</v>
      </c>
      <c r="BC34" s="930">
        <v>0</v>
      </c>
      <c r="BD34" s="931">
        <v>0</v>
      </c>
      <c r="BE34" s="931">
        <v>0</v>
      </c>
      <c r="BF34" s="936">
        <v>1</v>
      </c>
      <c r="BG34" s="924">
        <v>1</v>
      </c>
      <c r="BH34" s="924">
        <v>0</v>
      </c>
      <c r="BI34" s="936">
        <v>0</v>
      </c>
      <c r="BJ34" s="924">
        <v>0</v>
      </c>
      <c r="BK34" s="924">
        <v>0</v>
      </c>
      <c r="BL34" s="924">
        <v>0</v>
      </c>
      <c r="BM34" s="936">
        <v>1</v>
      </c>
      <c r="BN34" s="958">
        <v>0.1</v>
      </c>
      <c r="BO34" s="959">
        <v>6</v>
      </c>
      <c r="BP34" s="926">
        <f t="shared" ca="1" si="24"/>
        <v>115.19999999999999</v>
      </c>
      <c r="BQ34" s="926">
        <f t="shared" ca="1" si="25"/>
        <v>191.51999999999995</v>
      </c>
      <c r="BR34" s="926">
        <f t="shared" ca="1" si="26"/>
        <v>43.295999999999999</v>
      </c>
      <c r="BS34" s="926">
        <f t="shared" ca="1" si="27"/>
        <v>42.459999999999994</v>
      </c>
      <c r="BT34" s="926">
        <f t="shared" ca="1" si="28"/>
        <v>38.4</v>
      </c>
      <c r="BU34" s="926">
        <f t="shared" ca="1" si="29"/>
        <v>7</v>
      </c>
      <c r="BV34" s="926">
        <f t="shared" ca="1" si="30"/>
        <v>4.3</v>
      </c>
      <c r="BW34" s="926">
        <v>0</v>
      </c>
      <c r="BX34" s="926">
        <f t="shared" ca="1" si="31"/>
        <v>19.185819793205319</v>
      </c>
      <c r="BY34" s="926">
        <f t="shared" ca="1" si="32"/>
        <v>25.146805455850682</v>
      </c>
      <c r="BZ34" s="926">
        <f t="shared" ca="1" si="16"/>
        <v>42.251885199774904</v>
      </c>
      <c r="CA34" s="926">
        <f t="shared" ca="1" si="17"/>
        <v>19.249999989412501</v>
      </c>
      <c r="CB34" s="926">
        <f t="shared" ca="1" si="33"/>
        <v>9.0267175572519083</v>
      </c>
      <c r="CC34" s="926">
        <f t="shared" si="18"/>
        <v>0</v>
      </c>
      <c r="CD34" s="1018">
        <f t="shared" ca="1" si="39"/>
        <v>128.40682799549532</v>
      </c>
      <c r="CE34" s="1018">
        <f t="shared" ca="1" si="40"/>
        <v>23.659858901622069</v>
      </c>
      <c r="CF34" s="926">
        <f t="shared" ca="1" si="21"/>
        <v>4.5620006069135215</v>
      </c>
      <c r="CG34" s="926">
        <f t="shared" ca="1" si="22"/>
        <v>7595.5485304867361</v>
      </c>
    </row>
    <row r="35" spans="4:85" s="3" customFormat="1" x14ac:dyDescent="0.25">
      <c r="D35" s="639"/>
      <c r="E35" s="635"/>
      <c r="F35" s="639"/>
      <c r="G35" s="635"/>
      <c r="H35" s="639"/>
      <c r="I35" s="635"/>
      <c r="J35" s="639"/>
      <c r="K35" s="637" t="s">
        <v>228</v>
      </c>
      <c r="L35" s="638">
        <v>0</v>
      </c>
      <c r="M35" s="634" t="s">
        <v>17</v>
      </c>
      <c r="N35" s="636">
        <v>8.5106382999999994E-2</v>
      </c>
      <c r="O35" s="634" t="s">
        <v>19</v>
      </c>
      <c r="P35" s="636">
        <v>0.84089392900000004</v>
      </c>
      <c r="Q35" s="634" t="s">
        <v>17</v>
      </c>
      <c r="R35" s="636">
        <v>1</v>
      </c>
      <c r="S35" s="634"/>
      <c r="T35" s="644">
        <v>0</v>
      </c>
      <c r="U35" s="635"/>
      <c r="V35" s="176">
        <f t="shared" si="34"/>
        <v>0</v>
      </c>
      <c r="W35" s="176">
        <f t="shared" si="35"/>
        <v>0</v>
      </c>
      <c r="X35" s="176">
        <f t="shared" si="36"/>
        <v>0</v>
      </c>
      <c r="Y35" s="958">
        <f>X35/Calculation_sheet!M$67</f>
        <v>0</v>
      </c>
      <c r="Z35" s="176">
        <f ca="1">IF(AN35&gt;0,Y35*Calculation_sheet!C$87,0)</f>
        <v>0</v>
      </c>
      <c r="AA35" s="176">
        <f t="shared" ca="1" si="37"/>
        <v>0</v>
      </c>
      <c r="AB35" s="176">
        <f ca="1">IF(AP35&gt;0,AA35*Calculation_sheet!C$94,0)</f>
        <v>0</v>
      </c>
      <c r="AC35" s="176">
        <f t="shared" ca="1" si="23"/>
        <v>0</v>
      </c>
      <c r="AD35" s="958">
        <f ca="1">AC35*Calculation_sheet!C$99</f>
        <v>0</v>
      </c>
      <c r="AE35" s="176">
        <f t="shared" ca="1" si="23"/>
        <v>0</v>
      </c>
      <c r="AF35" s="176">
        <f t="shared" ca="1" si="38"/>
        <v>0</v>
      </c>
      <c r="AG35" s="958">
        <f ca="1">AF35*User_sheet!B$77/100</f>
        <v>0</v>
      </c>
      <c r="AH35" s="313"/>
      <c r="AI35" s="925">
        <v>301</v>
      </c>
      <c r="AJ35" s="313"/>
      <c r="AK35" s="1018">
        <f t="shared" ca="1" si="15"/>
        <v>128.40682799549532</v>
      </c>
      <c r="AL35" s="924">
        <f ca="1">AK35/'301'!I$24</f>
        <v>1.0174383784883074</v>
      </c>
      <c r="AM35" s="924">
        <f ca="1">0.8*(AK35*30+'301'!D$17*0.34*30*1)</f>
        <v>5173.3350718918873</v>
      </c>
      <c r="AN35" s="954">
        <f ca="1">IF(AM35&lt;User_sheet!B$50,Y35,0)</f>
        <v>0</v>
      </c>
      <c r="AO35" s="954">
        <f ca="1">20-(User_sheet!B$57/(AK35+'301'!D$17*1*0.34))</f>
        <v>-6.4432900824984252</v>
      </c>
      <c r="AP35" s="954">
        <f ca="1">IF(AO35&lt;User_sheet!B$59,0,BC35*AA35)</f>
        <v>0</v>
      </c>
      <c r="AQ35" s="313"/>
      <c r="AR35" s="924">
        <v>0.48</v>
      </c>
      <c r="AS35" s="924">
        <v>0.66</v>
      </c>
      <c r="AT35" s="924">
        <v>7.9</v>
      </c>
      <c r="AU35" s="924">
        <v>2.75</v>
      </c>
      <c r="AV35" s="924">
        <v>3.3</v>
      </c>
      <c r="AW35" s="924">
        <v>10916.451096266603</v>
      </c>
      <c r="AX35" s="924">
        <v>68297.998190252794</v>
      </c>
      <c r="AY35" s="924">
        <v>67352.647733737584</v>
      </c>
      <c r="AZ35" s="924">
        <v>0</v>
      </c>
      <c r="BA35" s="924">
        <v>0</v>
      </c>
      <c r="BB35" s="924">
        <v>0.6</v>
      </c>
      <c r="BC35" s="930">
        <v>0</v>
      </c>
      <c r="BD35" s="931">
        <v>0</v>
      </c>
      <c r="BE35" s="931">
        <v>0</v>
      </c>
      <c r="BF35" s="936">
        <v>1</v>
      </c>
      <c r="BG35" s="924">
        <v>0</v>
      </c>
      <c r="BH35" s="924">
        <v>1</v>
      </c>
      <c r="BI35" s="936">
        <v>0</v>
      </c>
      <c r="BJ35" s="924">
        <v>0</v>
      </c>
      <c r="BK35" s="924">
        <v>0</v>
      </c>
      <c r="BL35" s="924">
        <v>0</v>
      </c>
      <c r="BM35" s="936">
        <v>1</v>
      </c>
      <c r="BN35" s="958">
        <v>0.1</v>
      </c>
      <c r="BO35" s="959">
        <v>6</v>
      </c>
      <c r="BP35" s="926">
        <f t="shared" ca="1" si="24"/>
        <v>115.19999999999999</v>
      </c>
      <c r="BQ35" s="926">
        <f t="shared" ca="1" si="25"/>
        <v>191.51999999999995</v>
      </c>
      <c r="BR35" s="926">
        <f t="shared" ca="1" si="26"/>
        <v>43.295999999999999</v>
      </c>
      <c r="BS35" s="926">
        <f t="shared" ca="1" si="27"/>
        <v>42.459999999999994</v>
      </c>
      <c r="BT35" s="926">
        <f t="shared" ca="1" si="28"/>
        <v>38.4</v>
      </c>
      <c r="BU35" s="926">
        <f t="shared" ca="1" si="29"/>
        <v>7</v>
      </c>
      <c r="BV35" s="926">
        <f t="shared" ca="1" si="30"/>
        <v>4.3</v>
      </c>
      <c r="BW35" s="926">
        <v>0</v>
      </c>
      <c r="BX35" s="926">
        <f t="shared" ca="1" si="31"/>
        <v>19.185819793205319</v>
      </c>
      <c r="BY35" s="926">
        <f t="shared" ca="1" si="32"/>
        <v>25.146805455850682</v>
      </c>
      <c r="BZ35" s="926">
        <f t="shared" ca="1" si="16"/>
        <v>42.251885199774904</v>
      </c>
      <c r="CA35" s="926">
        <f t="shared" ca="1" si="17"/>
        <v>19.249999989412501</v>
      </c>
      <c r="CB35" s="926">
        <f t="shared" ca="1" si="33"/>
        <v>9.0267175572519083</v>
      </c>
      <c r="CC35" s="926">
        <f t="shared" si="18"/>
        <v>0</v>
      </c>
      <c r="CD35" s="1018">
        <f t="shared" ca="1" si="39"/>
        <v>128.40682799549532</v>
      </c>
      <c r="CE35" s="1018">
        <f t="shared" ca="1" si="40"/>
        <v>23.659858901622069</v>
      </c>
      <c r="CF35" s="926">
        <f t="shared" ca="1" si="21"/>
        <v>4.5620006069135215</v>
      </c>
      <c r="CG35" s="926">
        <f t="shared" ca="1" si="22"/>
        <v>7595.5485304867361</v>
      </c>
    </row>
    <row r="36" spans="4:85" s="14" customFormat="1" x14ac:dyDescent="0.25">
      <c r="D36" s="642"/>
      <c r="E36" s="641"/>
      <c r="F36" s="642"/>
      <c r="G36" s="641"/>
      <c r="H36" s="642"/>
      <c r="I36" s="641"/>
      <c r="J36" s="642"/>
      <c r="K36" s="643"/>
      <c r="L36" s="642"/>
      <c r="M36" s="642"/>
      <c r="N36" s="642"/>
      <c r="O36" s="642"/>
      <c r="P36" s="642"/>
      <c r="Q36" s="642"/>
      <c r="R36" s="642"/>
      <c r="S36" s="642"/>
      <c r="T36" s="646"/>
      <c r="U36" s="641"/>
      <c r="V36" s="292"/>
      <c r="W36" s="292"/>
      <c r="X36" s="292"/>
      <c r="Y36" s="277"/>
      <c r="Z36" s="292"/>
      <c r="AA36" s="292"/>
      <c r="AB36" s="292"/>
      <c r="AC36" s="292"/>
      <c r="AD36" s="277"/>
      <c r="AE36" s="292"/>
      <c r="AF36" s="292"/>
      <c r="AG36" s="277"/>
      <c r="AH36" s="313"/>
      <c r="AI36" s="929"/>
      <c r="AJ36" s="313"/>
      <c r="AK36" s="1018">
        <f t="shared" si="15"/>
        <v>0</v>
      </c>
      <c r="AL36" s="928"/>
      <c r="AM36" s="928"/>
      <c r="AN36" s="986"/>
      <c r="AO36" s="986"/>
      <c r="AP36" s="986"/>
      <c r="AQ36" s="313"/>
      <c r="AR36" s="928"/>
      <c r="AS36" s="928"/>
      <c r="AT36" s="928"/>
      <c r="AU36" s="928"/>
      <c r="AV36" s="928"/>
      <c r="AW36" s="928"/>
      <c r="AX36" s="928"/>
      <c r="AY36" s="928"/>
      <c r="AZ36" s="928"/>
      <c r="BA36" s="928"/>
      <c r="BB36" s="928"/>
      <c r="BC36" s="932"/>
      <c r="BD36" s="933"/>
      <c r="BE36" s="933"/>
      <c r="BF36" s="937"/>
      <c r="BG36" s="928"/>
      <c r="BH36" s="928"/>
      <c r="BI36" s="937"/>
      <c r="BJ36" s="928"/>
      <c r="BK36" s="928"/>
      <c r="BL36" s="928"/>
      <c r="BM36" s="937"/>
      <c r="BN36" s="277"/>
      <c r="BO36" s="49"/>
      <c r="BP36" s="928"/>
      <c r="BQ36" s="928"/>
      <c r="BR36" s="928"/>
      <c r="BS36" s="928"/>
      <c r="BT36" s="928"/>
      <c r="BU36" s="928"/>
      <c r="BV36" s="928"/>
      <c r="BW36" s="928"/>
      <c r="BX36" s="928"/>
      <c r="BY36" s="928"/>
      <c r="BZ36" s="928"/>
      <c r="CA36" s="928"/>
      <c r="CB36" s="928"/>
      <c r="CC36" s="928"/>
      <c r="CD36" s="928"/>
      <c r="CE36" s="928"/>
      <c r="CF36" s="928"/>
      <c r="CG36" s="928"/>
    </row>
    <row r="37" spans="4:85" x14ac:dyDescent="0.25">
      <c r="D37" s="639"/>
      <c r="E37" s="635"/>
      <c r="F37" s="639"/>
      <c r="G37" s="635"/>
      <c r="H37" s="639"/>
      <c r="I37" s="635"/>
      <c r="J37" s="639"/>
      <c r="K37" s="640"/>
      <c r="L37" s="639"/>
      <c r="M37" s="639"/>
      <c r="N37" s="639"/>
      <c r="O37" s="639"/>
      <c r="P37" s="639"/>
      <c r="Q37" s="639" t="s">
        <v>16</v>
      </c>
      <c r="R37" s="639">
        <v>0.73860000000000003</v>
      </c>
      <c r="S37" s="639"/>
      <c r="T37" s="645">
        <v>1.4391928963003692E-4</v>
      </c>
      <c r="U37" s="635"/>
      <c r="V37" s="176">
        <f t="shared" si="11"/>
        <v>1.4391928963003692E-4</v>
      </c>
      <c r="W37" s="176">
        <f>V37</f>
        <v>1.4391928963003692E-4</v>
      </c>
      <c r="X37" s="176">
        <f>W37</f>
        <v>1.4391928963003692E-4</v>
      </c>
      <c r="Y37" s="34">
        <f>X37/Calculation_sheet!M$67</f>
        <v>1.4392223226552492E-4</v>
      </c>
      <c r="Z37" s="176">
        <f ca="1">IF(AN37&gt;0,Y37*Calculation_sheet!C$87,0)</f>
        <v>0</v>
      </c>
      <c r="AA37" s="176">
        <f ca="1">Y37-Z37</f>
        <v>1.4392223226552492E-4</v>
      </c>
      <c r="AB37" s="176">
        <f ca="1">IF(AP37&gt;0,AA37*Calculation_sheet!C$94,0)</f>
        <v>0</v>
      </c>
      <c r="AC37" s="176">
        <f t="shared" ref="AC37:AE47" ca="1" si="41">AA37-AB37</f>
        <v>1.4392223226552492E-4</v>
      </c>
      <c r="AD37" s="958">
        <f ca="1">AC37*Calculation_sheet!C$99</f>
        <v>8.6353339359314946E-5</v>
      </c>
      <c r="AE37" s="176">
        <f t="shared" ca="1" si="41"/>
        <v>5.7568892906209978E-5</v>
      </c>
      <c r="AF37" s="176">
        <f ca="1">Y37-AB37</f>
        <v>1.4392223226552492E-4</v>
      </c>
      <c r="AG37" s="958">
        <f ca="1">AF37*User_sheet!B$77/100</f>
        <v>0</v>
      </c>
      <c r="AH37" s="313"/>
      <c r="AI37">
        <v>301</v>
      </c>
      <c r="AK37" s="1018">
        <f t="shared" ca="1" si="15"/>
        <v>152.94939691932757</v>
      </c>
      <c r="AL37" s="924">
        <f ca="1">AK37/'301'!I$24</f>
        <v>1.2119027377408964</v>
      </c>
      <c r="AM37" s="924">
        <f ca="1">0.8*(AK37*30+'301'!D$17*0.34*30*1)</f>
        <v>5762.3567260638611</v>
      </c>
      <c r="AN37" s="954">
        <f ca="1">IF(AM37&lt;User_sheet!B$50,Y37,0)</f>
        <v>1.4392223226552492E-4</v>
      </c>
      <c r="AO37" s="954">
        <f ca="1">20-(User_sheet!B$57/(AK37+'301'!D$17*1*0.34))</f>
        <v>-3.7402865708116373</v>
      </c>
      <c r="AP37" s="954">
        <f ca="1">IF(AO37&lt;User_sheet!B$59,0,BC37*AA37)</f>
        <v>0</v>
      </c>
      <c r="AR37" s="2">
        <v>0.48</v>
      </c>
      <c r="AS37" s="2">
        <v>3.7</v>
      </c>
      <c r="AT37" s="2">
        <v>0.89</v>
      </c>
      <c r="AU37" s="2">
        <v>2.75</v>
      </c>
      <c r="AV37" s="2">
        <v>3.3</v>
      </c>
      <c r="AW37" s="2">
        <v>10916.451096266603</v>
      </c>
      <c r="AX37" s="2">
        <v>76466.30421774846</v>
      </c>
      <c r="AY37" s="2">
        <v>79015.992973719694</v>
      </c>
      <c r="AZ37" s="2">
        <v>0</v>
      </c>
      <c r="BA37" s="2">
        <v>0</v>
      </c>
      <c r="BB37" s="2">
        <v>0.6</v>
      </c>
      <c r="BC37" s="30">
        <v>1</v>
      </c>
      <c r="BD37" s="34">
        <v>0</v>
      </c>
      <c r="BE37" s="34">
        <v>0</v>
      </c>
      <c r="BF37" s="40">
        <v>0</v>
      </c>
      <c r="BG37" s="2">
        <v>1</v>
      </c>
      <c r="BH37" s="2">
        <v>0</v>
      </c>
      <c r="BI37" s="40">
        <v>0</v>
      </c>
      <c r="BJ37" s="2">
        <v>1</v>
      </c>
      <c r="BK37" s="2">
        <v>0</v>
      </c>
      <c r="BL37" s="2">
        <v>0</v>
      </c>
      <c r="BM37" s="40">
        <v>0</v>
      </c>
      <c r="BN37" s="958">
        <v>0</v>
      </c>
      <c r="BO37" s="959">
        <v>14.9</v>
      </c>
      <c r="BP37" s="1018">
        <f t="shared" ref="BP37:BP47" ca="1" si="42">INDIRECT("'"&amp;AI37&amp;"'!"&amp;"B2")</f>
        <v>115.19999999999999</v>
      </c>
      <c r="BQ37" s="1018">
        <f t="shared" ref="BQ37:BQ47" ca="1" si="43">INDIRECT("'"&amp;AI37&amp;"'!"&amp;"C12")+INDIRECT("'"&amp;AI37&amp;"'!"&amp;"C13")+INDIRECT("'"&amp;AI37&amp;"'!"&amp;"C14")+INDIRECT("'"&amp;AI37&amp;"'!"&amp;"C15")+INDIRECT("'"&amp;AI37&amp;"'!"&amp;"C17")</f>
        <v>191.51999999999995</v>
      </c>
      <c r="BR37" s="1018">
        <f t="shared" ref="BR37:BR47" ca="1" si="44">INDIRECT("'"&amp;AI37&amp;"'!"&amp;"G5")</f>
        <v>43.295999999999999</v>
      </c>
      <c r="BS37" s="1018">
        <f t="shared" ref="BS37:BS47" ca="1" si="45">INDIRECT("'"&amp;AI37&amp;"'!"&amp;"G4")</f>
        <v>42.459999999999994</v>
      </c>
      <c r="BT37" s="1018">
        <f t="shared" ref="BT37:BT47" ca="1" si="46">INDIRECT("'"&amp;AI37&amp;"'!"&amp;"G6")</f>
        <v>38.4</v>
      </c>
      <c r="BU37" s="1018">
        <f t="shared" ref="BU37:BU47" ca="1" si="47">INDIRECT("'"&amp;AI37&amp;"'!"&amp;"G2")</f>
        <v>7</v>
      </c>
      <c r="BV37" s="1018">
        <f t="shared" ref="BV37:BV47" ca="1" si="48">INDIRECT("'"&amp;AI37&amp;"'!"&amp;"G3")</f>
        <v>4.3</v>
      </c>
      <c r="BW37" s="1018">
        <v>0</v>
      </c>
      <c r="BX37" s="1018">
        <f t="shared" ref="BX37:BX47" ca="1" si="49">IF(BR37=0,0,1/(1/(BR37*$BY$3)+1/(BR37*AR37)+1/(BR37*$BY$4)))</f>
        <v>19.185819793205319</v>
      </c>
      <c r="BY37" s="1018">
        <f t="shared" ref="BY37:BY47" ca="1" si="50">IF(BS37=0,0,1/(1/(BS37*$BY$3)+1/(BS37*AS37)+1/(BS37*$BY$4)))</f>
        <v>95.716084484159211</v>
      </c>
      <c r="BZ37" s="1018">
        <f t="shared" ca="1" si="16"/>
        <v>9.7707750952986032</v>
      </c>
      <c r="CA37" s="1018">
        <f t="shared" ca="1" si="17"/>
        <v>19.249999989412501</v>
      </c>
      <c r="CB37" s="1018">
        <f t="shared" ref="CB37:CB47" ca="1" si="51">IF(BV37=0,0,1/(1/(BV37*$BY$3)+1/(BV37*AV37)+1/(BV37*$BY$4)))</f>
        <v>9.0267175572519083</v>
      </c>
      <c r="CC37" s="1018">
        <f t="shared" si="18"/>
        <v>0</v>
      </c>
      <c r="CD37" s="1018">
        <f ca="1">SUM(BX37:CC37)+(BR37+BS37+BT37+BU37+BV37)*BN37</f>
        <v>152.94939691932757</v>
      </c>
      <c r="CE37" s="1018">
        <f ca="1">0.34*BO37*(1/25)^0.66*(BR37+BS37+BU37+BV37)</f>
        <v>58.755316272361483</v>
      </c>
      <c r="CF37" s="1018">
        <f t="shared" ca="1" si="21"/>
        <v>6.3511413957506724</v>
      </c>
      <c r="CG37" s="1018">
        <f t="shared" ca="1" si="22"/>
        <v>10574.396378269039</v>
      </c>
    </row>
    <row r="38" spans="4:85" x14ac:dyDescent="0.25">
      <c r="D38" s="634"/>
      <c r="E38" s="633"/>
      <c r="F38" s="639"/>
      <c r="G38" s="635"/>
      <c r="H38" s="639"/>
      <c r="I38" s="635"/>
      <c r="J38" s="639"/>
      <c r="K38" s="640"/>
      <c r="L38" s="639"/>
      <c r="M38" s="634"/>
      <c r="N38" s="634"/>
      <c r="O38" s="634" t="s">
        <v>18</v>
      </c>
      <c r="P38" s="636">
        <v>0.62953995200000001</v>
      </c>
      <c r="Q38" s="634" t="s">
        <v>7</v>
      </c>
      <c r="R38" s="636">
        <v>0.26140000000000002</v>
      </c>
      <c r="S38" s="634"/>
      <c r="T38" s="644">
        <v>5.0934879920514019E-5</v>
      </c>
      <c r="U38" s="633"/>
      <c r="V38" s="176">
        <f t="shared" si="11"/>
        <v>5.0934879920514019E-5</v>
      </c>
      <c r="W38" s="176">
        <f t="shared" ref="W38:X47" si="52">V38</f>
        <v>5.0934879920514019E-5</v>
      </c>
      <c r="X38" s="176">
        <f t="shared" si="52"/>
        <v>5.0934879920514019E-5</v>
      </c>
      <c r="Y38" s="34">
        <f>X38/Calculation_sheet!M$67</f>
        <v>5.0935921356902549E-5</v>
      </c>
      <c r="Z38" s="176">
        <f ca="1">IF(AN38&gt;0,Y38*Calculation_sheet!C$87,0)</f>
        <v>0</v>
      </c>
      <c r="AA38" s="176">
        <f t="shared" ref="AA38:AA47" ca="1" si="53">Y38-Z38</f>
        <v>5.0935921356902549E-5</v>
      </c>
      <c r="AB38" s="176">
        <f ca="1">IF(AP38&gt;0,AA38*Calculation_sheet!C$94,0)</f>
        <v>0</v>
      </c>
      <c r="AC38" s="176">
        <f t="shared" ca="1" si="41"/>
        <v>5.0935921356902549E-5</v>
      </c>
      <c r="AD38" s="958">
        <f ca="1">AC38*Calculation_sheet!C$99</f>
        <v>3.0561552814141531E-5</v>
      </c>
      <c r="AE38" s="176">
        <f t="shared" ca="1" si="41"/>
        <v>2.0374368542761018E-5</v>
      </c>
      <c r="AF38" s="176">
        <f t="shared" ref="AF38:AF47" ca="1" si="54">Y38-AB38</f>
        <v>5.0935921356902549E-5</v>
      </c>
      <c r="AG38" s="958">
        <f ca="1">AF38*User_sheet!B$77/100</f>
        <v>0</v>
      </c>
      <c r="AH38" s="313"/>
      <c r="AI38">
        <v>301</v>
      </c>
      <c r="AK38" s="1018">
        <f t="shared" ca="1" si="15"/>
        <v>152.94939691932757</v>
      </c>
      <c r="AL38" s="924">
        <f ca="1">AK38/'301'!I$24</f>
        <v>1.2119027377408964</v>
      </c>
      <c r="AM38" s="924">
        <f ca="1">0.8*(AK38*30+'301'!D$17*0.34*30*1)</f>
        <v>5762.3567260638611</v>
      </c>
      <c r="AN38" s="954">
        <f ca="1">IF(AM38&lt;User_sheet!B$50,Y38,0)</f>
        <v>5.0935921356902549E-5</v>
      </c>
      <c r="AO38" s="954">
        <f ca="1">20-(User_sheet!B$57/(AK38+'301'!D$17*1*0.34))</f>
        <v>-3.7402865708116373</v>
      </c>
      <c r="AP38" s="954">
        <f ca="1">IF(AO38&lt;User_sheet!B$59,0,BC38*AA38)</f>
        <v>0</v>
      </c>
      <c r="AR38" s="2">
        <v>0.48</v>
      </c>
      <c r="AS38" s="2">
        <v>3.7</v>
      </c>
      <c r="AT38" s="2">
        <v>0.89</v>
      </c>
      <c r="AU38" s="2">
        <v>2.75</v>
      </c>
      <c r="AV38" s="2">
        <v>3.3</v>
      </c>
      <c r="AW38" s="2">
        <v>10916.451096266603</v>
      </c>
      <c r="AX38" s="2">
        <v>76466.30421774846</v>
      </c>
      <c r="AY38" s="2">
        <v>79015.992973719694</v>
      </c>
      <c r="AZ38" s="2">
        <v>0</v>
      </c>
      <c r="BA38" s="2">
        <v>0</v>
      </c>
      <c r="BB38" s="2">
        <v>0.6</v>
      </c>
      <c r="BC38" s="30">
        <v>1</v>
      </c>
      <c r="BD38" s="34">
        <v>0</v>
      </c>
      <c r="BE38" s="34">
        <v>0</v>
      </c>
      <c r="BF38" s="40">
        <v>0</v>
      </c>
      <c r="BG38" s="2">
        <v>1</v>
      </c>
      <c r="BH38" s="2">
        <v>0</v>
      </c>
      <c r="BI38" s="40">
        <v>0</v>
      </c>
      <c r="BJ38" s="2">
        <v>0</v>
      </c>
      <c r="BK38" s="2">
        <v>0</v>
      </c>
      <c r="BL38" s="2">
        <v>1</v>
      </c>
      <c r="BM38" s="40">
        <v>0</v>
      </c>
      <c r="BN38" s="958">
        <v>0</v>
      </c>
      <c r="BO38" s="959">
        <v>14.9</v>
      </c>
      <c r="BP38" s="1018">
        <f t="shared" ca="1" si="42"/>
        <v>115.19999999999999</v>
      </c>
      <c r="BQ38" s="1018">
        <f t="shared" ca="1" si="43"/>
        <v>191.51999999999995</v>
      </c>
      <c r="BR38" s="1018">
        <f t="shared" ca="1" si="44"/>
        <v>43.295999999999999</v>
      </c>
      <c r="BS38" s="1018">
        <f t="shared" ca="1" si="45"/>
        <v>42.459999999999994</v>
      </c>
      <c r="BT38" s="1018">
        <f t="shared" ca="1" si="46"/>
        <v>38.4</v>
      </c>
      <c r="BU38" s="1018">
        <f t="shared" ca="1" si="47"/>
        <v>7</v>
      </c>
      <c r="BV38" s="1018">
        <f t="shared" ca="1" si="48"/>
        <v>4.3</v>
      </c>
      <c r="BW38" s="1018">
        <v>0</v>
      </c>
      <c r="BX38" s="1018">
        <f t="shared" ca="1" si="49"/>
        <v>19.185819793205319</v>
      </c>
      <c r="BY38" s="1018">
        <f t="shared" ca="1" si="50"/>
        <v>95.716084484159211</v>
      </c>
      <c r="BZ38" s="1018">
        <f t="shared" ca="1" si="16"/>
        <v>9.7707750952986032</v>
      </c>
      <c r="CA38" s="1018">
        <f t="shared" ca="1" si="17"/>
        <v>19.249999989412501</v>
      </c>
      <c r="CB38" s="1018">
        <f t="shared" ca="1" si="51"/>
        <v>9.0267175572519083</v>
      </c>
      <c r="CC38" s="1018">
        <f t="shared" si="18"/>
        <v>0</v>
      </c>
      <c r="CD38" s="1018">
        <f t="shared" ref="CD38:CD47" ca="1" si="55">SUM(BX38:CC38)+(BR38+BS38+BT38+BU38+BV38)*BN38</f>
        <v>152.94939691932757</v>
      </c>
      <c r="CE38" s="1018">
        <f t="shared" ref="CE38:CE47" ca="1" si="56">0.34*BO38*(1/25)^0.66*(BR38+BS38+BU38+BV38)</f>
        <v>58.755316272361483</v>
      </c>
      <c r="CF38" s="1018">
        <f t="shared" ca="1" si="21"/>
        <v>6.3511413957506724</v>
      </c>
      <c r="CG38" s="1018">
        <f t="shared" ca="1" si="22"/>
        <v>10574.396378269039</v>
      </c>
    </row>
    <row r="39" spans="4:85" x14ac:dyDescent="0.25">
      <c r="D39" s="634"/>
      <c r="E39" s="633"/>
      <c r="F39" s="639"/>
      <c r="G39" s="635"/>
      <c r="H39" s="639"/>
      <c r="I39" s="635"/>
      <c r="J39" s="639"/>
      <c r="K39" s="640"/>
      <c r="L39" s="639"/>
      <c r="M39" s="634"/>
      <c r="N39" s="634"/>
      <c r="O39" s="634"/>
      <c r="P39" s="634"/>
      <c r="Q39" s="634" t="s">
        <v>16</v>
      </c>
      <c r="R39" s="636">
        <v>0.73860000000000003</v>
      </c>
      <c r="S39" s="634"/>
      <c r="T39" s="644">
        <v>8.4690966435231745E-5</v>
      </c>
      <c r="U39" s="633"/>
      <c r="V39" s="176">
        <f t="shared" si="11"/>
        <v>8.4690966435231745E-5</v>
      </c>
      <c r="W39" s="176">
        <f t="shared" si="52"/>
        <v>8.4690966435231745E-5</v>
      </c>
      <c r="X39" s="176">
        <f t="shared" si="52"/>
        <v>8.4690966435231745E-5</v>
      </c>
      <c r="Y39" s="34">
        <f>X39/Calculation_sheet!M$67</f>
        <v>8.4692698063034983E-5</v>
      </c>
      <c r="Z39" s="176">
        <f ca="1">IF(AN39&gt;0,Y39*Calculation_sheet!C$87,0)</f>
        <v>0</v>
      </c>
      <c r="AA39" s="176">
        <f t="shared" ca="1" si="53"/>
        <v>8.4692698063034983E-5</v>
      </c>
      <c r="AB39" s="176">
        <f ca="1">IF(AP39&gt;0,AA39*Calculation_sheet!C$94,0)</f>
        <v>0</v>
      </c>
      <c r="AC39" s="176">
        <f t="shared" ca="1" si="41"/>
        <v>8.4692698063034983E-5</v>
      </c>
      <c r="AD39" s="958">
        <f ca="1">AC39*Calculation_sheet!C$99</f>
        <v>5.0815618837820987E-5</v>
      </c>
      <c r="AE39" s="176">
        <f t="shared" ca="1" si="41"/>
        <v>3.3877079225213996E-5</v>
      </c>
      <c r="AF39" s="176">
        <f t="shared" ca="1" si="54"/>
        <v>8.4692698063034983E-5</v>
      </c>
      <c r="AG39" s="958">
        <f ca="1">AF39*User_sheet!B$77/100</f>
        <v>0</v>
      </c>
      <c r="AH39" s="313"/>
      <c r="AI39">
        <v>301</v>
      </c>
      <c r="AK39" s="1018">
        <f t="shared" ca="1" si="15"/>
        <v>152.94939691932757</v>
      </c>
      <c r="AL39" s="924">
        <f ca="1">AK39/'301'!I$24</f>
        <v>1.2119027377408964</v>
      </c>
      <c r="AM39" s="924">
        <f ca="1">0.8*(AK39*30+'301'!D$17*0.34*30*1)</f>
        <v>5762.3567260638611</v>
      </c>
      <c r="AN39" s="954">
        <f ca="1">IF(AM39&lt;User_sheet!B$50,Y39,0)</f>
        <v>8.4692698063034983E-5</v>
      </c>
      <c r="AO39" s="954">
        <f ca="1">20-(User_sheet!B$57/(AK39+'301'!D$17*1*0.34))</f>
        <v>-3.7402865708116373</v>
      </c>
      <c r="AP39" s="954">
        <f ca="1">IF(AO39&lt;User_sheet!B$59,0,BC39*AA39)</f>
        <v>0</v>
      </c>
      <c r="AR39" s="2">
        <v>0.48</v>
      </c>
      <c r="AS39" s="2">
        <v>3.7</v>
      </c>
      <c r="AT39" s="2">
        <v>0.89</v>
      </c>
      <c r="AU39" s="2">
        <v>2.75</v>
      </c>
      <c r="AV39" s="2">
        <v>3.3</v>
      </c>
      <c r="AW39" s="2">
        <v>10916.451096266603</v>
      </c>
      <c r="AX39" s="2">
        <v>76466.30421774846</v>
      </c>
      <c r="AY39" s="2">
        <v>79015.992973719694</v>
      </c>
      <c r="AZ39" s="2">
        <v>0</v>
      </c>
      <c r="BA39" s="2">
        <v>0</v>
      </c>
      <c r="BB39" s="2">
        <v>0.6</v>
      </c>
      <c r="BC39" s="30">
        <v>1</v>
      </c>
      <c r="BD39" s="34">
        <v>0</v>
      </c>
      <c r="BE39" s="34">
        <v>0</v>
      </c>
      <c r="BF39" s="40">
        <v>0</v>
      </c>
      <c r="BG39" s="2">
        <v>0</v>
      </c>
      <c r="BH39" s="2">
        <v>1</v>
      </c>
      <c r="BI39" s="40">
        <v>0</v>
      </c>
      <c r="BJ39" s="2">
        <v>1</v>
      </c>
      <c r="BK39" s="2">
        <v>0</v>
      </c>
      <c r="BL39" s="2">
        <v>0</v>
      </c>
      <c r="BM39" s="40">
        <v>0</v>
      </c>
      <c r="BN39" s="958">
        <v>0</v>
      </c>
      <c r="BO39" s="959">
        <v>14.9</v>
      </c>
      <c r="BP39" s="1018">
        <f t="shared" ca="1" si="42"/>
        <v>115.19999999999999</v>
      </c>
      <c r="BQ39" s="1018">
        <f t="shared" ca="1" si="43"/>
        <v>191.51999999999995</v>
      </c>
      <c r="BR39" s="1018">
        <f t="shared" ca="1" si="44"/>
        <v>43.295999999999999</v>
      </c>
      <c r="BS39" s="1018">
        <f t="shared" ca="1" si="45"/>
        <v>42.459999999999994</v>
      </c>
      <c r="BT39" s="1018">
        <f t="shared" ca="1" si="46"/>
        <v>38.4</v>
      </c>
      <c r="BU39" s="1018">
        <f t="shared" ca="1" si="47"/>
        <v>7</v>
      </c>
      <c r="BV39" s="1018">
        <f t="shared" ca="1" si="48"/>
        <v>4.3</v>
      </c>
      <c r="BW39" s="1018">
        <v>0</v>
      </c>
      <c r="BX39" s="1018">
        <f t="shared" ca="1" si="49"/>
        <v>19.185819793205319</v>
      </c>
      <c r="BY39" s="1018">
        <f t="shared" ca="1" si="50"/>
        <v>95.716084484159211</v>
      </c>
      <c r="BZ39" s="1018">
        <f t="shared" ca="1" si="16"/>
        <v>9.7707750952986032</v>
      </c>
      <c r="CA39" s="1018">
        <f t="shared" ca="1" si="17"/>
        <v>19.249999989412501</v>
      </c>
      <c r="CB39" s="1018">
        <f t="shared" ca="1" si="51"/>
        <v>9.0267175572519083</v>
      </c>
      <c r="CC39" s="1018">
        <f t="shared" si="18"/>
        <v>0</v>
      </c>
      <c r="CD39" s="1018">
        <f t="shared" ca="1" si="55"/>
        <v>152.94939691932757</v>
      </c>
      <c r="CE39" s="1018">
        <f t="shared" ca="1" si="56"/>
        <v>58.755316272361483</v>
      </c>
      <c r="CF39" s="1018">
        <f t="shared" ca="1" si="21"/>
        <v>6.3511413957506724</v>
      </c>
      <c r="CG39" s="1018">
        <f t="shared" ca="1" si="22"/>
        <v>10574.396378269039</v>
      </c>
    </row>
    <row r="40" spans="4:85" x14ac:dyDescent="0.25">
      <c r="D40" s="634"/>
      <c r="E40" s="633"/>
      <c r="F40" s="639"/>
      <c r="G40" s="635"/>
      <c r="H40" s="639"/>
      <c r="I40" s="635"/>
      <c r="J40" s="639"/>
      <c r="K40" s="640"/>
      <c r="L40" s="639"/>
      <c r="M40" s="634" t="s">
        <v>16</v>
      </c>
      <c r="N40" s="636">
        <v>0.44680851100000002</v>
      </c>
      <c r="O40" s="634" t="s">
        <v>19</v>
      </c>
      <c r="P40" s="636">
        <v>0.37046004799999999</v>
      </c>
      <c r="Q40" s="634" t="s">
        <v>7</v>
      </c>
      <c r="R40" s="636">
        <v>0.26140000000000002</v>
      </c>
      <c r="S40" s="634"/>
      <c r="T40" s="644">
        <v>2.9973217744610854E-5</v>
      </c>
      <c r="U40" s="633"/>
      <c r="V40" s="176">
        <f t="shared" si="11"/>
        <v>2.9973217744610854E-5</v>
      </c>
      <c r="W40" s="176">
        <f t="shared" si="52"/>
        <v>2.9973217744610854E-5</v>
      </c>
      <c r="X40" s="176">
        <f t="shared" si="52"/>
        <v>2.9973217744610854E-5</v>
      </c>
      <c r="Y40" s="34">
        <f>X40/Calculation_sheet!M$67</f>
        <v>2.9973830589869136E-5</v>
      </c>
      <c r="Z40" s="176">
        <f ca="1">IF(AN40&gt;0,Y40*Calculation_sheet!C$87,0)</f>
        <v>0</v>
      </c>
      <c r="AA40" s="176">
        <f t="shared" ca="1" si="53"/>
        <v>2.9973830589869136E-5</v>
      </c>
      <c r="AB40" s="176">
        <f ca="1">IF(AP40&gt;0,AA40*Calculation_sheet!C$94,0)</f>
        <v>0</v>
      </c>
      <c r="AC40" s="176">
        <f t="shared" ca="1" si="41"/>
        <v>2.9973830589869136E-5</v>
      </c>
      <c r="AD40" s="958">
        <f ca="1">AC40*Calculation_sheet!C$99</f>
        <v>1.798429835392148E-5</v>
      </c>
      <c r="AE40" s="176">
        <f t="shared" ca="1" si="41"/>
        <v>1.1989532235947657E-5</v>
      </c>
      <c r="AF40" s="176">
        <f t="shared" ca="1" si="54"/>
        <v>2.9973830589869136E-5</v>
      </c>
      <c r="AG40" s="958">
        <f ca="1">AF40*User_sheet!B$77/100</f>
        <v>0</v>
      </c>
      <c r="AH40" s="313"/>
      <c r="AI40">
        <v>301</v>
      </c>
      <c r="AK40" s="1018">
        <f t="shared" ca="1" si="15"/>
        <v>152.94939691932757</v>
      </c>
      <c r="AL40" s="924">
        <f ca="1">AK40/'301'!I$24</f>
        <v>1.2119027377408964</v>
      </c>
      <c r="AM40" s="924">
        <f ca="1">0.8*(AK40*30+'301'!D$17*0.34*30*1)</f>
        <v>5762.3567260638611</v>
      </c>
      <c r="AN40" s="954">
        <f ca="1">IF(AM40&lt;User_sheet!B$50,Y40,0)</f>
        <v>2.9973830589869136E-5</v>
      </c>
      <c r="AO40" s="954">
        <f ca="1">20-(User_sheet!B$57/(AK40+'301'!D$17*1*0.34))</f>
        <v>-3.7402865708116373</v>
      </c>
      <c r="AP40" s="954">
        <f ca="1">IF(AO40&lt;User_sheet!B$59,0,BC40*AA40)</f>
        <v>0</v>
      </c>
      <c r="AR40" s="2">
        <v>0.48</v>
      </c>
      <c r="AS40" s="2">
        <v>3.7</v>
      </c>
      <c r="AT40" s="2">
        <v>0.89</v>
      </c>
      <c r="AU40" s="2">
        <v>2.75</v>
      </c>
      <c r="AV40" s="2">
        <v>3.3</v>
      </c>
      <c r="AW40" s="2">
        <v>10916.451096266603</v>
      </c>
      <c r="AX40" s="2">
        <v>76466.30421774846</v>
      </c>
      <c r="AY40" s="2">
        <v>79015.992973719694</v>
      </c>
      <c r="AZ40" s="2">
        <v>0</v>
      </c>
      <c r="BA40" s="2">
        <v>0</v>
      </c>
      <c r="BB40" s="2">
        <v>0.6</v>
      </c>
      <c r="BC40" s="30">
        <v>1</v>
      </c>
      <c r="BD40" s="34">
        <v>0</v>
      </c>
      <c r="BE40" s="34">
        <v>0</v>
      </c>
      <c r="BF40" s="40">
        <v>0</v>
      </c>
      <c r="BG40" s="2">
        <v>0</v>
      </c>
      <c r="BH40" s="2">
        <v>1</v>
      </c>
      <c r="BI40" s="40">
        <v>0</v>
      </c>
      <c r="BJ40" s="2">
        <v>0</v>
      </c>
      <c r="BK40" s="2">
        <v>0</v>
      </c>
      <c r="BL40" s="2">
        <v>1</v>
      </c>
      <c r="BM40" s="40">
        <v>0</v>
      </c>
      <c r="BN40" s="958">
        <v>0</v>
      </c>
      <c r="BO40" s="959">
        <v>14.9</v>
      </c>
      <c r="BP40" s="1018">
        <f t="shared" ca="1" si="42"/>
        <v>115.19999999999999</v>
      </c>
      <c r="BQ40" s="1018">
        <f t="shared" ca="1" si="43"/>
        <v>191.51999999999995</v>
      </c>
      <c r="BR40" s="1018">
        <f t="shared" ca="1" si="44"/>
        <v>43.295999999999999</v>
      </c>
      <c r="BS40" s="1018">
        <f t="shared" ca="1" si="45"/>
        <v>42.459999999999994</v>
      </c>
      <c r="BT40" s="1018">
        <f t="shared" ca="1" si="46"/>
        <v>38.4</v>
      </c>
      <c r="BU40" s="1018">
        <f t="shared" ca="1" si="47"/>
        <v>7</v>
      </c>
      <c r="BV40" s="1018">
        <f t="shared" ca="1" si="48"/>
        <v>4.3</v>
      </c>
      <c r="BW40" s="1018">
        <v>0</v>
      </c>
      <c r="BX40" s="1018">
        <f t="shared" ca="1" si="49"/>
        <v>19.185819793205319</v>
      </c>
      <c r="BY40" s="1018">
        <f t="shared" ca="1" si="50"/>
        <v>95.716084484159211</v>
      </c>
      <c r="BZ40" s="1018">
        <f t="shared" ca="1" si="16"/>
        <v>9.7707750952986032</v>
      </c>
      <c r="CA40" s="1018">
        <f t="shared" ca="1" si="17"/>
        <v>19.249999989412501</v>
      </c>
      <c r="CB40" s="1018">
        <f t="shared" ca="1" si="51"/>
        <v>9.0267175572519083</v>
      </c>
      <c r="CC40" s="1018">
        <f t="shared" si="18"/>
        <v>0</v>
      </c>
      <c r="CD40" s="1018">
        <f t="shared" ca="1" si="55"/>
        <v>152.94939691932757</v>
      </c>
      <c r="CE40" s="1018">
        <f t="shared" ca="1" si="56"/>
        <v>58.755316272361483</v>
      </c>
      <c r="CF40" s="1018">
        <f t="shared" ca="1" si="21"/>
        <v>6.3511413957506724</v>
      </c>
      <c r="CG40" s="1018">
        <f t="shared" ca="1" si="22"/>
        <v>10574.396378269039</v>
      </c>
    </row>
    <row r="41" spans="4:85" x14ac:dyDescent="0.25">
      <c r="D41" s="634"/>
      <c r="E41" s="633"/>
      <c r="F41" s="639"/>
      <c r="G41" s="635"/>
      <c r="H41" s="639"/>
      <c r="I41" s="635"/>
      <c r="J41" s="639"/>
      <c r="K41" s="640"/>
      <c r="L41" s="639"/>
      <c r="M41" s="634"/>
      <c r="N41" s="634"/>
      <c r="O41" s="634"/>
      <c r="P41" s="634"/>
      <c r="Q41" s="634" t="s">
        <v>22</v>
      </c>
      <c r="R41" s="636">
        <v>0.53710000000000002</v>
      </c>
      <c r="S41" s="634"/>
      <c r="T41" s="644">
        <v>1.3436878266232953E-4</v>
      </c>
      <c r="U41" s="633"/>
      <c r="V41" s="176">
        <f t="shared" si="11"/>
        <v>1.3436878266232953E-4</v>
      </c>
      <c r="W41" s="176">
        <f t="shared" si="52"/>
        <v>1.3436878266232953E-4</v>
      </c>
      <c r="X41" s="176">
        <f t="shared" si="52"/>
        <v>1.3436878266232953E-4</v>
      </c>
      <c r="Y41" s="34">
        <f>X41/Calculation_sheet!M$67</f>
        <v>1.3437153002405816E-4</v>
      </c>
      <c r="Z41" s="176">
        <f ca="1">IF(AN41&gt;0,Y41*Calculation_sheet!C$87,0)</f>
        <v>0</v>
      </c>
      <c r="AA41" s="176">
        <f t="shared" ca="1" si="53"/>
        <v>1.3437153002405816E-4</v>
      </c>
      <c r="AB41" s="176">
        <f ca="1">IF(AP41&gt;0,AA41*Calculation_sheet!C$94,0)</f>
        <v>0</v>
      </c>
      <c r="AC41" s="176">
        <f t="shared" ca="1" si="41"/>
        <v>1.3437153002405816E-4</v>
      </c>
      <c r="AD41" s="958">
        <f ca="1">AC41*Calculation_sheet!C$99</f>
        <v>8.0622918014434898E-5</v>
      </c>
      <c r="AE41" s="176">
        <f t="shared" ca="1" si="41"/>
        <v>5.3748612009623265E-5</v>
      </c>
      <c r="AF41" s="176">
        <f t="shared" ca="1" si="54"/>
        <v>1.3437153002405816E-4</v>
      </c>
      <c r="AG41" s="958">
        <f ca="1">AF41*User_sheet!B$77/100</f>
        <v>0</v>
      </c>
      <c r="AH41" s="313"/>
      <c r="AI41">
        <v>301</v>
      </c>
      <c r="AK41" s="1018">
        <f t="shared" ca="1" si="15"/>
        <v>152.94939691932757</v>
      </c>
      <c r="AL41" s="924">
        <f ca="1">AK41/'301'!I$24</f>
        <v>1.2119027377408964</v>
      </c>
      <c r="AM41" s="924">
        <f ca="1">0.8*(AK41*30+'301'!D$17*0.34*30*1)</f>
        <v>5762.3567260638611</v>
      </c>
      <c r="AN41" s="954">
        <f ca="1">IF(AM41&lt;User_sheet!B$50,Y41,0)</f>
        <v>1.3437153002405816E-4</v>
      </c>
      <c r="AO41" s="954">
        <f ca="1">20-(User_sheet!B$57/(AK41+'301'!D$17*1*0.34))</f>
        <v>-3.7402865708116373</v>
      </c>
      <c r="AP41" s="954">
        <f ca="1">IF(AO41&lt;User_sheet!B$59,0,BC41*AA41)</f>
        <v>0</v>
      </c>
      <c r="AR41" s="2">
        <v>0.48</v>
      </c>
      <c r="AS41" s="2">
        <v>3.7</v>
      </c>
      <c r="AT41" s="2">
        <v>0.89</v>
      </c>
      <c r="AU41" s="2">
        <v>2.75</v>
      </c>
      <c r="AV41" s="2">
        <v>3.3</v>
      </c>
      <c r="AW41" s="2">
        <v>10916.451096266603</v>
      </c>
      <c r="AX41" s="2">
        <v>76466.30421774846</v>
      </c>
      <c r="AY41" s="2">
        <v>79015.992973719694</v>
      </c>
      <c r="AZ41" s="2">
        <v>0</v>
      </c>
      <c r="BA41" s="2">
        <v>0</v>
      </c>
      <c r="BB41" s="2">
        <v>0.6</v>
      </c>
      <c r="BC41" s="30">
        <v>0</v>
      </c>
      <c r="BD41" s="34">
        <v>1</v>
      </c>
      <c r="BE41" s="34">
        <v>0</v>
      </c>
      <c r="BF41" s="40">
        <v>0</v>
      </c>
      <c r="BG41" s="2">
        <v>1</v>
      </c>
      <c r="BH41" s="2">
        <v>0</v>
      </c>
      <c r="BI41" s="40">
        <v>0</v>
      </c>
      <c r="BJ41" s="2">
        <v>0</v>
      </c>
      <c r="BK41" s="2">
        <v>1</v>
      </c>
      <c r="BL41" s="2">
        <v>0</v>
      </c>
      <c r="BM41" s="40">
        <v>0</v>
      </c>
      <c r="BN41" s="958">
        <v>0</v>
      </c>
      <c r="BO41" s="959">
        <v>14.9</v>
      </c>
      <c r="BP41" s="1018">
        <f t="shared" ca="1" si="42"/>
        <v>115.19999999999999</v>
      </c>
      <c r="BQ41" s="1018">
        <f t="shared" ca="1" si="43"/>
        <v>191.51999999999995</v>
      </c>
      <c r="BR41" s="1018">
        <f t="shared" ca="1" si="44"/>
        <v>43.295999999999999</v>
      </c>
      <c r="BS41" s="1018">
        <f t="shared" ca="1" si="45"/>
        <v>42.459999999999994</v>
      </c>
      <c r="BT41" s="1018">
        <f t="shared" ca="1" si="46"/>
        <v>38.4</v>
      </c>
      <c r="BU41" s="1018">
        <f t="shared" ca="1" si="47"/>
        <v>7</v>
      </c>
      <c r="BV41" s="1018">
        <f t="shared" ca="1" si="48"/>
        <v>4.3</v>
      </c>
      <c r="BW41" s="1018">
        <v>0</v>
      </c>
      <c r="BX41" s="1018">
        <f t="shared" ca="1" si="49"/>
        <v>19.185819793205319</v>
      </c>
      <c r="BY41" s="1018">
        <f t="shared" ca="1" si="50"/>
        <v>95.716084484159211</v>
      </c>
      <c r="BZ41" s="1018">
        <f t="shared" ca="1" si="16"/>
        <v>9.7707750952986032</v>
      </c>
      <c r="CA41" s="1018">
        <f t="shared" ca="1" si="17"/>
        <v>19.249999989412501</v>
      </c>
      <c r="CB41" s="1018">
        <f t="shared" ca="1" si="51"/>
        <v>9.0267175572519083</v>
      </c>
      <c r="CC41" s="1018">
        <f t="shared" si="18"/>
        <v>0</v>
      </c>
      <c r="CD41" s="1018">
        <f t="shared" ca="1" si="55"/>
        <v>152.94939691932757</v>
      </c>
      <c r="CE41" s="1018">
        <f t="shared" ca="1" si="56"/>
        <v>58.755316272361483</v>
      </c>
      <c r="CF41" s="1018">
        <f t="shared" ca="1" si="21"/>
        <v>6.3511413957506724</v>
      </c>
      <c r="CG41" s="1018">
        <f t="shared" ca="1" si="22"/>
        <v>10574.396378269039</v>
      </c>
    </row>
    <row r="42" spans="4:85" x14ac:dyDescent="0.25">
      <c r="D42" s="634"/>
      <c r="E42" s="633"/>
      <c r="F42" s="639"/>
      <c r="G42" s="635"/>
      <c r="H42" s="639"/>
      <c r="I42" s="635"/>
      <c r="J42" s="639"/>
      <c r="K42" s="640"/>
      <c r="L42" s="639"/>
      <c r="M42" s="634"/>
      <c r="N42" s="634"/>
      <c r="O42" s="634" t="s">
        <v>18</v>
      </c>
      <c r="P42" s="636">
        <v>0.80827067699999999</v>
      </c>
      <c r="Q42" s="634" t="s">
        <v>7</v>
      </c>
      <c r="R42" s="636">
        <v>0.46289999999999998</v>
      </c>
      <c r="S42" s="634"/>
      <c r="T42" s="644">
        <v>1.1580582665126112E-4</v>
      </c>
      <c r="U42" s="633"/>
      <c r="V42" s="176">
        <f t="shared" si="11"/>
        <v>1.1580582665126112E-4</v>
      </c>
      <c r="W42" s="176">
        <f t="shared" si="52"/>
        <v>1.1580582665126112E-4</v>
      </c>
      <c r="X42" s="176">
        <f t="shared" si="52"/>
        <v>1.1580582665126112E-4</v>
      </c>
      <c r="Y42" s="34">
        <f>X42/Calculation_sheet!M$67</f>
        <v>1.1580819446683399E-4</v>
      </c>
      <c r="Z42" s="176">
        <f ca="1">IF(AN42&gt;0,Y42*Calculation_sheet!C$87,0)</f>
        <v>0</v>
      </c>
      <c r="AA42" s="176">
        <f t="shared" ca="1" si="53"/>
        <v>1.1580819446683399E-4</v>
      </c>
      <c r="AB42" s="176">
        <f ca="1">IF(AP42&gt;0,AA42*Calculation_sheet!C$94,0)</f>
        <v>0</v>
      </c>
      <c r="AC42" s="176">
        <f t="shared" ca="1" si="41"/>
        <v>1.1580819446683399E-4</v>
      </c>
      <c r="AD42" s="958">
        <f ca="1">AC42*Calculation_sheet!C$99</f>
        <v>6.9484916680100399E-5</v>
      </c>
      <c r="AE42" s="176">
        <f t="shared" ca="1" si="41"/>
        <v>4.6323277786733595E-5</v>
      </c>
      <c r="AF42" s="176">
        <f t="shared" ca="1" si="54"/>
        <v>1.1580819446683399E-4</v>
      </c>
      <c r="AG42" s="958">
        <f ca="1">AF42*User_sheet!B$77/100</f>
        <v>0</v>
      </c>
      <c r="AH42" s="313"/>
      <c r="AI42">
        <v>301</v>
      </c>
      <c r="AK42" s="1018">
        <f t="shared" ca="1" si="15"/>
        <v>152.94939691932757</v>
      </c>
      <c r="AL42" s="924">
        <f ca="1">AK42/'301'!I$24</f>
        <v>1.2119027377408964</v>
      </c>
      <c r="AM42" s="924">
        <f ca="1">0.8*(AK42*30+'301'!D$17*0.34*30*1)</f>
        <v>5762.3567260638611</v>
      </c>
      <c r="AN42" s="954">
        <f ca="1">IF(AM42&lt;User_sheet!B$50,Y42,0)</f>
        <v>1.1580819446683399E-4</v>
      </c>
      <c r="AO42" s="954">
        <f ca="1">20-(User_sheet!B$57/(AK42+'301'!D$17*1*0.34))</f>
        <v>-3.7402865708116373</v>
      </c>
      <c r="AP42" s="954">
        <f ca="1">IF(AO42&lt;User_sheet!B$59,0,BC42*AA42)</f>
        <v>0</v>
      </c>
      <c r="AR42" s="2">
        <v>0.48</v>
      </c>
      <c r="AS42" s="2">
        <v>3.7</v>
      </c>
      <c r="AT42" s="2">
        <v>0.89</v>
      </c>
      <c r="AU42" s="2">
        <v>2.75</v>
      </c>
      <c r="AV42" s="2">
        <v>3.3</v>
      </c>
      <c r="AW42" s="2">
        <v>10916.451096266603</v>
      </c>
      <c r="AX42" s="2">
        <v>76466.30421774846</v>
      </c>
      <c r="AY42" s="2">
        <v>79015.992973719694</v>
      </c>
      <c r="AZ42" s="2">
        <v>0</v>
      </c>
      <c r="BA42" s="2">
        <v>0</v>
      </c>
      <c r="BB42" s="2">
        <v>0.6</v>
      </c>
      <c r="BC42" s="30">
        <v>0</v>
      </c>
      <c r="BD42" s="34">
        <v>1</v>
      </c>
      <c r="BE42" s="34">
        <v>0</v>
      </c>
      <c r="BF42" s="40">
        <v>0</v>
      </c>
      <c r="BG42" s="2">
        <v>1</v>
      </c>
      <c r="BH42" s="2">
        <v>0</v>
      </c>
      <c r="BI42" s="40">
        <v>0</v>
      </c>
      <c r="BJ42" s="2">
        <v>0</v>
      </c>
      <c r="BK42" s="2">
        <v>0</v>
      </c>
      <c r="BL42" s="2">
        <v>1</v>
      </c>
      <c r="BM42" s="40">
        <v>0</v>
      </c>
      <c r="BN42" s="958">
        <v>0</v>
      </c>
      <c r="BO42" s="959">
        <v>14.9</v>
      </c>
      <c r="BP42" s="1018">
        <f t="shared" ca="1" si="42"/>
        <v>115.19999999999999</v>
      </c>
      <c r="BQ42" s="1018">
        <f t="shared" ca="1" si="43"/>
        <v>191.51999999999995</v>
      </c>
      <c r="BR42" s="1018">
        <f t="shared" ca="1" si="44"/>
        <v>43.295999999999999</v>
      </c>
      <c r="BS42" s="1018">
        <f t="shared" ca="1" si="45"/>
        <v>42.459999999999994</v>
      </c>
      <c r="BT42" s="1018">
        <f t="shared" ca="1" si="46"/>
        <v>38.4</v>
      </c>
      <c r="BU42" s="1018">
        <f t="shared" ca="1" si="47"/>
        <v>7</v>
      </c>
      <c r="BV42" s="1018">
        <f t="shared" ca="1" si="48"/>
        <v>4.3</v>
      </c>
      <c r="BW42" s="1018">
        <v>0</v>
      </c>
      <c r="BX42" s="1018">
        <f t="shared" ca="1" si="49"/>
        <v>19.185819793205319</v>
      </c>
      <c r="BY42" s="1018">
        <f t="shared" ca="1" si="50"/>
        <v>95.716084484159211</v>
      </c>
      <c r="BZ42" s="1018">
        <f t="shared" ca="1" si="16"/>
        <v>9.7707750952986032</v>
      </c>
      <c r="CA42" s="1018">
        <f t="shared" ca="1" si="17"/>
        <v>19.249999989412501</v>
      </c>
      <c r="CB42" s="1018">
        <f t="shared" ca="1" si="51"/>
        <v>9.0267175572519083</v>
      </c>
      <c r="CC42" s="1018">
        <f t="shared" si="18"/>
        <v>0</v>
      </c>
      <c r="CD42" s="1018">
        <f t="shared" ca="1" si="55"/>
        <v>152.94939691932757</v>
      </c>
      <c r="CE42" s="1018">
        <f t="shared" ca="1" si="56"/>
        <v>58.755316272361483</v>
      </c>
      <c r="CF42" s="1018">
        <f t="shared" ca="1" si="21"/>
        <v>6.3511413957506724</v>
      </c>
      <c r="CG42" s="1018">
        <f t="shared" ca="1" si="22"/>
        <v>10574.396378269039</v>
      </c>
    </row>
    <row r="43" spans="4:85" x14ac:dyDescent="0.25">
      <c r="D43" s="634"/>
      <c r="E43" s="633"/>
      <c r="F43" s="634"/>
      <c r="G43" s="633"/>
      <c r="H43" s="634"/>
      <c r="I43" s="633"/>
      <c r="J43" s="634"/>
      <c r="K43" s="634"/>
      <c r="L43" s="634"/>
      <c r="M43" s="634"/>
      <c r="N43" s="634"/>
      <c r="O43" s="634"/>
      <c r="P43" s="634"/>
      <c r="Q43" s="634" t="s">
        <v>22</v>
      </c>
      <c r="R43" s="636">
        <v>0.53710000000000002</v>
      </c>
      <c r="S43" s="634"/>
      <c r="T43" s="644">
        <v>3.1873525126264817E-5</v>
      </c>
      <c r="U43" s="633"/>
      <c r="V43" s="176">
        <f t="shared" si="11"/>
        <v>3.1873525126264817E-5</v>
      </c>
      <c r="W43" s="176">
        <f t="shared" si="52"/>
        <v>3.1873525126264817E-5</v>
      </c>
      <c r="X43" s="176">
        <f t="shared" si="52"/>
        <v>3.1873525126264817E-5</v>
      </c>
      <c r="Y43" s="34">
        <f>X43/Calculation_sheet!M$67</f>
        <v>3.1874176826022412E-5</v>
      </c>
      <c r="Z43" s="176">
        <f ca="1">IF(AN43&gt;0,Y43*Calculation_sheet!C$87,0)</f>
        <v>0</v>
      </c>
      <c r="AA43" s="176">
        <f t="shared" ca="1" si="53"/>
        <v>3.1874176826022412E-5</v>
      </c>
      <c r="AB43" s="176">
        <f ca="1">IF(AP43&gt;0,AA43*Calculation_sheet!C$94,0)</f>
        <v>0</v>
      </c>
      <c r="AC43" s="176">
        <f t="shared" ca="1" si="41"/>
        <v>3.1874176826022412E-5</v>
      </c>
      <c r="AD43" s="958">
        <f ca="1">AC43*Calculation_sheet!C$99</f>
        <v>1.9124506095613448E-5</v>
      </c>
      <c r="AE43" s="176">
        <f t="shared" ca="1" si="41"/>
        <v>1.2749670730408964E-5</v>
      </c>
      <c r="AF43" s="176">
        <f t="shared" ca="1" si="54"/>
        <v>3.1874176826022412E-5</v>
      </c>
      <c r="AG43" s="958">
        <f ca="1">AF43*User_sheet!B$77/100</f>
        <v>0</v>
      </c>
      <c r="AH43" s="313"/>
      <c r="AI43">
        <v>301</v>
      </c>
      <c r="AK43" s="1018">
        <f t="shared" ca="1" si="15"/>
        <v>152.94939691932757</v>
      </c>
      <c r="AL43" s="924">
        <f ca="1">AK43/'301'!I$24</f>
        <v>1.2119027377408964</v>
      </c>
      <c r="AM43" s="924">
        <f ca="1">0.8*(AK43*30+'301'!D$17*0.34*30*1)</f>
        <v>5762.3567260638611</v>
      </c>
      <c r="AN43" s="954">
        <f ca="1">IF(AM43&lt;User_sheet!B$50,Y43,0)</f>
        <v>3.1874176826022412E-5</v>
      </c>
      <c r="AO43" s="954">
        <f ca="1">20-(User_sheet!B$57/(AK43+'301'!D$17*1*0.34))</f>
        <v>-3.7402865708116373</v>
      </c>
      <c r="AP43" s="954">
        <f ca="1">IF(AO43&lt;User_sheet!B$59,0,BC43*AA43)</f>
        <v>0</v>
      </c>
      <c r="AR43" s="2">
        <v>0.48</v>
      </c>
      <c r="AS43" s="2">
        <v>3.7</v>
      </c>
      <c r="AT43" s="2">
        <v>0.89</v>
      </c>
      <c r="AU43" s="2">
        <v>2.75</v>
      </c>
      <c r="AV43" s="2">
        <v>3.3</v>
      </c>
      <c r="AW43" s="2">
        <v>10916.451096266603</v>
      </c>
      <c r="AX43" s="2">
        <v>76466.30421774846</v>
      </c>
      <c r="AY43" s="2">
        <v>79015.992973719694</v>
      </c>
      <c r="AZ43" s="2">
        <v>0</v>
      </c>
      <c r="BA43" s="2">
        <v>0</v>
      </c>
      <c r="BB43" s="2">
        <v>0.6</v>
      </c>
      <c r="BC43" s="30">
        <v>0</v>
      </c>
      <c r="BD43" s="34">
        <v>1</v>
      </c>
      <c r="BE43" s="34">
        <v>0</v>
      </c>
      <c r="BF43" s="40">
        <v>0</v>
      </c>
      <c r="BG43" s="2">
        <v>0</v>
      </c>
      <c r="BH43" s="2">
        <v>1</v>
      </c>
      <c r="BI43" s="40">
        <v>0</v>
      </c>
      <c r="BJ43" s="2">
        <v>0</v>
      </c>
      <c r="BK43" s="2">
        <v>1</v>
      </c>
      <c r="BL43" s="2">
        <v>0</v>
      </c>
      <c r="BM43" s="40">
        <v>0</v>
      </c>
      <c r="BN43" s="958">
        <v>0</v>
      </c>
      <c r="BO43" s="959">
        <v>14.9</v>
      </c>
      <c r="BP43" s="1018">
        <f t="shared" ca="1" si="42"/>
        <v>115.19999999999999</v>
      </c>
      <c r="BQ43" s="1018">
        <f t="shared" ca="1" si="43"/>
        <v>191.51999999999995</v>
      </c>
      <c r="BR43" s="1018">
        <f t="shared" ca="1" si="44"/>
        <v>43.295999999999999</v>
      </c>
      <c r="BS43" s="1018">
        <f t="shared" ca="1" si="45"/>
        <v>42.459999999999994</v>
      </c>
      <c r="BT43" s="1018">
        <f t="shared" ca="1" si="46"/>
        <v>38.4</v>
      </c>
      <c r="BU43" s="1018">
        <f t="shared" ca="1" si="47"/>
        <v>7</v>
      </c>
      <c r="BV43" s="1018">
        <f t="shared" ca="1" si="48"/>
        <v>4.3</v>
      </c>
      <c r="BW43" s="1018">
        <v>0</v>
      </c>
      <c r="BX43" s="1018">
        <f t="shared" ca="1" si="49"/>
        <v>19.185819793205319</v>
      </c>
      <c r="BY43" s="1018">
        <f t="shared" ca="1" si="50"/>
        <v>95.716084484159211</v>
      </c>
      <c r="BZ43" s="1018">
        <f t="shared" ca="1" si="16"/>
        <v>9.7707750952986032</v>
      </c>
      <c r="CA43" s="1018">
        <f t="shared" ca="1" si="17"/>
        <v>19.249999989412501</v>
      </c>
      <c r="CB43" s="1018">
        <f t="shared" ca="1" si="51"/>
        <v>9.0267175572519083</v>
      </c>
      <c r="CC43" s="1018">
        <f t="shared" si="18"/>
        <v>0</v>
      </c>
      <c r="CD43" s="1018">
        <f t="shared" ca="1" si="55"/>
        <v>152.94939691932757</v>
      </c>
      <c r="CE43" s="1018">
        <f t="shared" ca="1" si="56"/>
        <v>58.755316272361483</v>
      </c>
      <c r="CF43" s="1018">
        <f t="shared" ca="1" si="21"/>
        <v>6.3511413957506724</v>
      </c>
      <c r="CG43" s="1018">
        <f t="shared" ca="1" si="22"/>
        <v>10574.396378269039</v>
      </c>
    </row>
    <row r="44" spans="4:85" x14ac:dyDescent="0.25">
      <c r="D44" s="634"/>
      <c r="E44" s="633"/>
      <c r="F44" s="634"/>
      <c r="G44" s="633"/>
      <c r="H44" s="634"/>
      <c r="I44" s="633"/>
      <c r="J44" s="634"/>
      <c r="K44" s="634"/>
      <c r="L44" s="634"/>
      <c r="M44" s="634" t="s">
        <v>22</v>
      </c>
      <c r="N44" s="636">
        <v>0.44680851100000002</v>
      </c>
      <c r="O44" s="634" t="s">
        <v>20</v>
      </c>
      <c r="P44" s="636">
        <v>0.19172932300000001</v>
      </c>
      <c r="Q44" s="634" t="s">
        <v>7</v>
      </c>
      <c r="R44" s="636">
        <v>0.46289999999999998</v>
      </c>
      <c r="S44" s="634"/>
      <c r="T44" s="644">
        <v>2.7470219290538046E-5</v>
      </c>
      <c r="U44" s="633"/>
      <c r="V44" s="176">
        <f t="shared" si="11"/>
        <v>2.7470219290538046E-5</v>
      </c>
      <c r="W44" s="176">
        <f t="shared" si="52"/>
        <v>2.7470219290538046E-5</v>
      </c>
      <c r="X44" s="176">
        <f t="shared" si="52"/>
        <v>2.7470219290538046E-5</v>
      </c>
      <c r="Y44" s="34">
        <f>X44/Calculation_sheet!M$67</f>
        <v>2.7470780958417004E-5</v>
      </c>
      <c r="Z44" s="176">
        <f ca="1">IF(AN44&gt;0,Y44*Calculation_sheet!C$87,0)</f>
        <v>0</v>
      </c>
      <c r="AA44" s="176">
        <f t="shared" ca="1" si="53"/>
        <v>2.7470780958417004E-5</v>
      </c>
      <c r="AB44" s="176">
        <f ca="1">IF(AP44&gt;0,AA44*Calculation_sheet!C$94,0)</f>
        <v>0</v>
      </c>
      <c r="AC44" s="176">
        <f t="shared" ca="1" si="41"/>
        <v>2.7470780958417004E-5</v>
      </c>
      <c r="AD44" s="958">
        <f ca="1">AC44*Calculation_sheet!C$99</f>
        <v>1.6482468575050203E-5</v>
      </c>
      <c r="AE44" s="176">
        <f t="shared" ca="1" si="41"/>
        <v>1.0988312383366801E-5</v>
      </c>
      <c r="AF44" s="176">
        <f t="shared" ca="1" si="54"/>
        <v>2.7470780958417004E-5</v>
      </c>
      <c r="AG44" s="958">
        <f ca="1">AF44*User_sheet!B$77/100</f>
        <v>0</v>
      </c>
      <c r="AH44" s="313"/>
      <c r="AI44">
        <v>301</v>
      </c>
      <c r="AK44" s="1018">
        <f t="shared" ca="1" si="15"/>
        <v>152.94939691932757</v>
      </c>
      <c r="AL44" s="924">
        <f ca="1">AK44/'301'!I$24</f>
        <v>1.2119027377408964</v>
      </c>
      <c r="AM44" s="924">
        <f ca="1">0.8*(AK44*30+'301'!D$17*0.34*30*1)</f>
        <v>5762.3567260638611</v>
      </c>
      <c r="AN44" s="954">
        <f ca="1">IF(AM44&lt;User_sheet!B$50,Y44,0)</f>
        <v>2.7470780958417004E-5</v>
      </c>
      <c r="AO44" s="954">
        <f ca="1">20-(User_sheet!B$57/(AK44+'301'!D$17*1*0.34))</f>
        <v>-3.7402865708116373</v>
      </c>
      <c r="AP44" s="954">
        <f ca="1">IF(AO44&lt;User_sheet!B$59,0,BC44*AA44)</f>
        <v>0</v>
      </c>
      <c r="AR44" s="2">
        <v>0.48</v>
      </c>
      <c r="AS44" s="2">
        <v>3.7</v>
      </c>
      <c r="AT44" s="2">
        <v>0.89</v>
      </c>
      <c r="AU44" s="2">
        <v>2.75</v>
      </c>
      <c r="AV44" s="2">
        <v>3.3</v>
      </c>
      <c r="AW44" s="2">
        <v>10916.451096266603</v>
      </c>
      <c r="AX44" s="2">
        <v>76466.30421774846</v>
      </c>
      <c r="AY44" s="2">
        <v>79015.992973719694</v>
      </c>
      <c r="AZ44" s="2">
        <v>0</v>
      </c>
      <c r="BA44" s="2">
        <v>0</v>
      </c>
      <c r="BB44" s="2">
        <v>0.6</v>
      </c>
      <c r="BC44" s="30">
        <v>0</v>
      </c>
      <c r="BD44" s="34">
        <v>1</v>
      </c>
      <c r="BE44" s="34">
        <v>0</v>
      </c>
      <c r="BF44" s="40">
        <v>0</v>
      </c>
      <c r="BG44" s="2">
        <v>0</v>
      </c>
      <c r="BH44" s="2">
        <v>1</v>
      </c>
      <c r="BI44" s="40">
        <v>0</v>
      </c>
      <c r="BJ44" s="2">
        <v>0</v>
      </c>
      <c r="BK44" s="2">
        <v>0</v>
      </c>
      <c r="BL44" s="2">
        <v>1</v>
      </c>
      <c r="BM44" s="40">
        <v>0</v>
      </c>
      <c r="BN44" s="958">
        <v>0</v>
      </c>
      <c r="BO44" s="959">
        <v>14.9</v>
      </c>
      <c r="BP44" s="1018">
        <f t="shared" ca="1" si="42"/>
        <v>115.19999999999999</v>
      </c>
      <c r="BQ44" s="1018">
        <f t="shared" ca="1" si="43"/>
        <v>191.51999999999995</v>
      </c>
      <c r="BR44" s="1018">
        <f t="shared" ca="1" si="44"/>
        <v>43.295999999999999</v>
      </c>
      <c r="BS44" s="1018">
        <f t="shared" ca="1" si="45"/>
        <v>42.459999999999994</v>
      </c>
      <c r="BT44" s="1018">
        <f t="shared" ca="1" si="46"/>
        <v>38.4</v>
      </c>
      <c r="BU44" s="1018">
        <f t="shared" ca="1" si="47"/>
        <v>7</v>
      </c>
      <c r="BV44" s="1018">
        <f t="shared" ca="1" si="48"/>
        <v>4.3</v>
      </c>
      <c r="BW44" s="1018">
        <v>0</v>
      </c>
      <c r="BX44" s="1018">
        <f t="shared" ca="1" si="49"/>
        <v>19.185819793205319</v>
      </c>
      <c r="BY44" s="1018">
        <f t="shared" ca="1" si="50"/>
        <v>95.716084484159211</v>
      </c>
      <c r="BZ44" s="1018">
        <f t="shared" ca="1" si="16"/>
        <v>9.7707750952986032</v>
      </c>
      <c r="CA44" s="1018">
        <f t="shared" ca="1" si="17"/>
        <v>19.249999989412501</v>
      </c>
      <c r="CB44" s="1018">
        <f t="shared" ca="1" si="51"/>
        <v>9.0267175572519083</v>
      </c>
      <c r="CC44" s="1018">
        <f t="shared" si="18"/>
        <v>0</v>
      </c>
      <c r="CD44" s="1018">
        <f t="shared" ca="1" si="55"/>
        <v>152.94939691932757</v>
      </c>
      <c r="CE44" s="1018">
        <f t="shared" ca="1" si="56"/>
        <v>58.755316272361483</v>
      </c>
      <c r="CF44" s="1018">
        <f t="shared" ca="1" si="21"/>
        <v>6.3511413957506724</v>
      </c>
      <c r="CG44" s="1018">
        <f t="shared" ca="1" si="22"/>
        <v>10574.396378269039</v>
      </c>
    </row>
    <row r="45" spans="4:85" x14ac:dyDescent="0.25">
      <c r="D45" s="634"/>
      <c r="E45" s="633"/>
      <c r="F45" s="634"/>
      <c r="G45" s="633"/>
      <c r="H45" s="634"/>
      <c r="I45" s="633"/>
      <c r="J45" s="634"/>
      <c r="K45" s="634"/>
      <c r="L45" s="634"/>
      <c r="M45" s="634" t="s">
        <v>7</v>
      </c>
      <c r="N45" s="636">
        <v>2.1276595999999998E-2</v>
      </c>
      <c r="O45" s="634" t="s">
        <v>23</v>
      </c>
      <c r="P45" s="636">
        <v>1</v>
      </c>
      <c r="Q45" s="634" t="s">
        <v>7</v>
      </c>
      <c r="R45" s="636">
        <v>1</v>
      </c>
      <c r="S45" s="634"/>
      <c r="T45" s="644">
        <v>1.4738969390192916E-5</v>
      </c>
      <c r="U45" s="633"/>
      <c r="V45" s="176">
        <f t="shared" si="11"/>
        <v>1.4738969390192916E-5</v>
      </c>
      <c r="W45" s="176">
        <f t="shared" si="52"/>
        <v>1.4738969390192916E-5</v>
      </c>
      <c r="X45" s="176">
        <f t="shared" si="52"/>
        <v>1.4738969390192916E-5</v>
      </c>
      <c r="Y45" s="34">
        <f>X45/Calculation_sheet!M$67</f>
        <v>1.4739270749479054E-5</v>
      </c>
      <c r="Z45" s="176">
        <f ca="1">IF(AN45&gt;0,Y45*Calculation_sheet!C$87,0)</f>
        <v>0</v>
      </c>
      <c r="AA45" s="176">
        <f t="shared" ca="1" si="53"/>
        <v>1.4739270749479054E-5</v>
      </c>
      <c r="AB45" s="176">
        <f ca="1">IF(AP45&gt;0,AA45*Calculation_sheet!C$94,0)</f>
        <v>0</v>
      </c>
      <c r="AC45" s="176">
        <f t="shared" ca="1" si="41"/>
        <v>1.4739270749479054E-5</v>
      </c>
      <c r="AD45" s="958">
        <f ca="1">AC45*Calculation_sheet!C$99</f>
        <v>8.8435624496874324E-6</v>
      </c>
      <c r="AE45" s="176">
        <f t="shared" ca="1" si="41"/>
        <v>5.8957082997916216E-6</v>
      </c>
      <c r="AF45" s="176">
        <f t="shared" ca="1" si="54"/>
        <v>1.4739270749479054E-5</v>
      </c>
      <c r="AG45" s="958">
        <f ca="1">AF45*User_sheet!B$77/100</f>
        <v>0</v>
      </c>
      <c r="AH45" s="313"/>
      <c r="AI45">
        <v>301</v>
      </c>
      <c r="AK45" s="1018">
        <f t="shared" ca="1" si="15"/>
        <v>152.94939691932757</v>
      </c>
      <c r="AL45" s="924">
        <f ca="1">AK45/'301'!I$24</f>
        <v>1.2119027377408964</v>
      </c>
      <c r="AM45" s="924">
        <f ca="1">0.8*(AK45*30+'301'!D$17*0.34*30*1)</f>
        <v>5762.3567260638611</v>
      </c>
      <c r="AN45" s="954">
        <f ca="1">IF(AM45&lt;User_sheet!B$50,Y45,0)</f>
        <v>1.4739270749479054E-5</v>
      </c>
      <c r="AO45" s="954">
        <f ca="1">20-(User_sheet!B$57/(AK45+'301'!D$17*1*0.34))</f>
        <v>-3.7402865708116373</v>
      </c>
      <c r="AP45" s="954">
        <f ca="1">IF(AO45&lt;User_sheet!B$59,0,BC45*AA45)</f>
        <v>0</v>
      </c>
      <c r="AR45" s="2">
        <v>0.48</v>
      </c>
      <c r="AS45" s="2">
        <v>3.7</v>
      </c>
      <c r="AT45" s="2">
        <v>0.89</v>
      </c>
      <c r="AU45" s="2">
        <v>2.75</v>
      </c>
      <c r="AV45" s="2">
        <v>3.3</v>
      </c>
      <c r="AW45" s="2">
        <v>10916.451096266603</v>
      </c>
      <c r="AX45" s="2">
        <v>76466.30421774846</v>
      </c>
      <c r="AY45" s="2">
        <v>79015.992973719694</v>
      </c>
      <c r="AZ45" s="2">
        <v>0</v>
      </c>
      <c r="BA45" s="2">
        <v>0</v>
      </c>
      <c r="BB45" s="2">
        <v>0.6</v>
      </c>
      <c r="BC45" s="30">
        <v>0</v>
      </c>
      <c r="BD45" s="34">
        <v>0</v>
      </c>
      <c r="BE45" s="34">
        <v>1</v>
      </c>
      <c r="BF45" s="40">
        <v>0</v>
      </c>
      <c r="BG45" s="2">
        <v>0</v>
      </c>
      <c r="BH45" s="2">
        <v>0</v>
      </c>
      <c r="BI45" s="40">
        <v>1</v>
      </c>
      <c r="BJ45" s="2">
        <v>0</v>
      </c>
      <c r="BK45" s="2">
        <v>0</v>
      </c>
      <c r="BL45" s="2">
        <v>1</v>
      </c>
      <c r="BM45" s="40">
        <v>0</v>
      </c>
      <c r="BN45" s="958">
        <v>0</v>
      </c>
      <c r="BO45" s="959">
        <v>14.9</v>
      </c>
      <c r="BP45" s="1018">
        <f t="shared" ca="1" si="42"/>
        <v>115.19999999999999</v>
      </c>
      <c r="BQ45" s="1018">
        <f t="shared" ca="1" si="43"/>
        <v>191.51999999999995</v>
      </c>
      <c r="BR45" s="1018">
        <f t="shared" ca="1" si="44"/>
        <v>43.295999999999999</v>
      </c>
      <c r="BS45" s="1018">
        <f t="shared" ca="1" si="45"/>
        <v>42.459999999999994</v>
      </c>
      <c r="BT45" s="1018">
        <f t="shared" ca="1" si="46"/>
        <v>38.4</v>
      </c>
      <c r="BU45" s="1018">
        <f t="shared" ca="1" si="47"/>
        <v>7</v>
      </c>
      <c r="BV45" s="1018">
        <f t="shared" ca="1" si="48"/>
        <v>4.3</v>
      </c>
      <c r="BW45" s="1018">
        <v>0</v>
      </c>
      <c r="BX45" s="1018">
        <f t="shared" ca="1" si="49"/>
        <v>19.185819793205319</v>
      </c>
      <c r="BY45" s="1018">
        <f t="shared" ca="1" si="50"/>
        <v>95.716084484159211</v>
      </c>
      <c r="BZ45" s="1018">
        <f t="shared" ca="1" si="16"/>
        <v>9.7707750952986032</v>
      </c>
      <c r="CA45" s="1018">
        <f t="shared" ca="1" si="17"/>
        <v>19.249999989412501</v>
      </c>
      <c r="CB45" s="1018">
        <f t="shared" ca="1" si="51"/>
        <v>9.0267175572519083</v>
      </c>
      <c r="CC45" s="1018">
        <f t="shared" si="18"/>
        <v>0</v>
      </c>
      <c r="CD45" s="1018">
        <f t="shared" ca="1" si="55"/>
        <v>152.94939691932757</v>
      </c>
      <c r="CE45" s="1018">
        <f t="shared" ca="1" si="56"/>
        <v>58.755316272361483</v>
      </c>
      <c r="CF45" s="1018">
        <f t="shared" ca="1" si="21"/>
        <v>6.3511413957506724</v>
      </c>
      <c r="CG45" s="1018">
        <f t="shared" ca="1" si="22"/>
        <v>10574.396378269039</v>
      </c>
    </row>
    <row r="46" spans="4:85" x14ac:dyDescent="0.25">
      <c r="D46" s="634"/>
      <c r="E46" s="633"/>
      <c r="F46" s="634"/>
      <c r="G46" s="633"/>
      <c r="H46" s="634"/>
      <c r="I46" s="633"/>
      <c r="J46" s="634"/>
      <c r="K46" s="634"/>
      <c r="L46" s="634"/>
      <c r="M46" s="634"/>
      <c r="N46" s="634"/>
      <c r="O46" s="634" t="s">
        <v>18</v>
      </c>
      <c r="P46" s="636">
        <v>0.15910607099999999</v>
      </c>
      <c r="Q46" s="634" t="s">
        <v>17</v>
      </c>
      <c r="R46" s="636">
        <v>1</v>
      </c>
      <c r="S46" s="634"/>
      <c r="T46" s="644">
        <v>9.3802379308336453E-6</v>
      </c>
      <c r="U46" s="633"/>
      <c r="V46" s="176">
        <f t="shared" si="11"/>
        <v>9.3802379308336453E-6</v>
      </c>
      <c r="W46" s="176">
        <f t="shared" si="52"/>
        <v>9.3802379308336453E-6</v>
      </c>
      <c r="X46" s="176">
        <f t="shared" si="52"/>
        <v>9.3802379308336453E-6</v>
      </c>
      <c r="Y46" s="34">
        <f>X46/Calculation_sheet!M$67</f>
        <v>9.3804297231992987E-6</v>
      </c>
      <c r="Z46" s="176">
        <f ca="1">IF(AN46&gt;0,Y46*Calculation_sheet!C$87,0)</f>
        <v>0</v>
      </c>
      <c r="AA46" s="176">
        <f t="shared" ca="1" si="53"/>
        <v>9.3804297231992987E-6</v>
      </c>
      <c r="AB46" s="176">
        <f ca="1">IF(AP46&gt;0,AA46*Calculation_sheet!C$94,0)</f>
        <v>0</v>
      </c>
      <c r="AC46" s="176">
        <f t="shared" ca="1" si="41"/>
        <v>9.3804297231992987E-6</v>
      </c>
      <c r="AD46" s="958">
        <f ca="1">AC46*Calculation_sheet!C$99</f>
        <v>5.6282578339195794E-6</v>
      </c>
      <c r="AE46" s="176">
        <f t="shared" ca="1" si="41"/>
        <v>3.7521718892797193E-6</v>
      </c>
      <c r="AF46" s="176">
        <f t="shared" ca="1" si="54"/>
        <v>9.3804297231992987E-6</v>
      </c>
      <c r="AG46" s="958">
        <f ca="1">AF46*User_sheet!B$77/100</f>
        <v>0</v>
      </c>
      <c r="AH46" s="313"/>
      <c r="AI46">
        <v>301</v>
      </c>
      <c r="AK46" s="1018">
        <f t="shared" ca="1" si="15"/>
        <v>152.94939691932757</v>
      </c>
      <c r="AL46" s="924">
        <f ca="1">AK46/'301'!I$24</f>
        <v>1.2119027377408964</v>
      </c>
      <c r="AM46" s="924">
        <f ca="1">0.8*(AK46*30+'301'!D$17*0.34*30*1)</f>
        <v>5762.3567260638611</v>
      </c>
      <c r="AN46" s="954">
        <f ca="1">IF(AM46&lt;User_sheet!B$50,Y46,0)</f>
        <v>9.3804297231992987E-6</v>
      </c>
      <c r="AO46" s="954">
        <f ca="1">20-(User_sheet!B$57/(AK46+'301'!D$17*1*0.34))</f>
        <v>-3.7402865708116373</v>
      </c>
      <c r="AP46" s="954">
        <f ca="1">IF(AO46&lt;User_sheet!B$59,0,BC46*AA46)</f>
        <v>0</v>
      </c>
      <c r="AR46" s="2">
        <v>0.48</v>
      </c>
      <c r="AS46" s="2">
        <v>3.7</v>
      </c>
      <c r="AT46" s="2">
        <v>0.89</v>
      </c>
      <c r="AU46" s="2">
        <v>2.75</v>
      </c>
      <c r="AV46" s="2">
        <v>3.3</v>
      </c>
      <c r="AW46" s="2">
        <v>10916.451096266603</v>
      </c>
      <c r="AX46" s="2">
        <v>76466.30421774846</v>
      </c>
      <c r="AY46" s="2">
        <v>79015.992973719694</v>
      </c>
      <c r="AZ46" s="2">
        <v>0</v>
      </c>
      <c r="BA46" s="2">
        <v>0</v>
      </c>
      <c r="BB46" s="2">
        <v>0.6</v>
      </c>
      <c r="BC46" s="30">
        <v>0</v>
      </c>
      <c r="BD46" s="34">
        <v>0</v>
      </c>
      <c r="BE46" s="34">
        <v>0</v>
      </c>
      <c r="BF46" s="40">
        <v>1</v>
      </c>
      <c r="BG46" s="2">
        <v>1</v>
      </c>
      <c r="BH46" s="2">
        <v>0</v>
      </c>
      <c r="BI46" s="40">
        <v>0</v>
      </c>
      <c r="BJ46" s="2">
        <v>0</v>
      </c>
      <c r="BK46" s="2">
        <v>0</v>
      </c>
      <c r="BL46" s="2">
        <v>0</v>
      </c>
      <c r="BM46" s="40">
        <v>1</v>
      </c>
      <c r="BN46" s="958">
        <v>0</v>
      </c>
      <c r="BO46" s="959">
        <v>14.9</v>
      </c>
      <c r="BP46" s="1018">
        <f t="shared" ca="1" si="42"/>
        <v>115.19999999999999</v>
      </c>
      <c r="BQ46" s="1018">
        <f t="shared" ca="1" si="43"/>
        <v>191.51999999999995</v>
      </c>
      <c r="BR46" s="1018">
        <f t="shared" ca="1" si="44"/>
        <v>43.295999999999999</v>
      </c>
      <c r="BS46" s="1018">
        <f t="shared" ca="1" si="45"/>
        <v>42.459999999999994</v>
      </c>
      <c r="BT46" s="1018">
        <f t="shared" ca="1" si="46"/>
        <v>38.4</v>
      </c>
      <c r="BU46" s="1018">
        <f t="shared" ca="1" si="47"/>
        <v>7</v>
      </c>
      <c r="BV46" s="1018">
        <f t="shared" ca="1" si="48"/>
        <v>4.3</v>
      </c>
      <c r="BW46" s="1018">
        <v>0</v>
      </c>
      <c r="BX46" s="1018">
        <f t="shared" ca="1" si="49"/>
        <v>19.185819793205319</v>
      </c>
      <c r="BY46" s="1018">
        <f t="shared" ca="1" si="50"/>
        <v>95.716084484159211</v>
      </c>
      <c r="BZ46" s="1018">
        <f t="shared" ca="1" si="16"/>
        <v>9.7707750952986032</v>
      </c>
      <c r="CA46" s="1018">
        <f t="shared" ca="1" si="17"/>
        <v>19.249999989412501</v>
      </c>
      <c r="CB46" s="1018">
        <f t="shared" ca="1" si="51"/>
        <v>9.0267175572519083</v>
      </c>
      <c r="CC46" s="1018">
        <f t="shared" si="18"/>
        <v>0</v>
      </c>
      <c r="CD46" s="1018">
        <f t="shared" ca="1" si="55"/>
        <v>152.94939691932757</v>
      </c>
      <c r="CE46" s="1018">
        <f t="shared" ca="1" si="56"/>
        <v>58.755316272361483</v>
      </c>
      <c r="CF46" s="1018">
        <f t="shared" ca="1" si="21"/>
        <v>6.3511413957506724</v>
      </c>
      <c r="CG46" s="1018">
        <f t="shared" ca="1" si="22"/>
        <v>10574.396378269039</v>
      </c>
    </row>
    <row r="47" spans="4:85" x14ac:dyDescent="0.25">
      <c r="D47" s="634"/>
      <c r="E47" s="633"/>
      <c r="F47" s="634"/>
      <c r="G47" s="633"/>
      <c r="H47" s="634"/>
      <c r="I47" s="633"/>
      <c r="J47" s="634"/>
      <c r="K47" s="637" t="s">
        <v>12</v>
      </c>
      <c r="L47" s="638">
        <v>1.1099999999999999E-2</v>
      </c>
      <c r="M47" s="634" t="s">
        <v>17</v>
      </c>
      <c r="N47" s="636">
        <v>8.5106382999999994E-2</v>
      </c>
      <c r="O47" s="634" t="s">
        <v>19</v>
      </c>
      <c r="P47" s="636">
        <v>0.84089392900000004</v>
      </c>
      <c r="Q47" s="634" t="s">
        <v>17</v>
      </c>
      <c r="R47" s="636">
        <v>1</v>
      </c>
      <c r="S47" s="634"/>
      <c r="T47" s="644">
        <v>4.9575638937206459E-5</v>
      </c>
      <c r="U47" s="633"/>
      <c r="V47" s="176">
        <f t="shared" si="11"/>
        <v>4.9575638937206459E-5</v>
      </c>
      <c r="W47" s="176">
        <f t="shared" si="52"/>
        <v>4.9575638937206459E-5</v>
      </c>
      <c r="X47" s="176">
        <f t="shared" si="52"/>
        <v>4.9575638937206459E-5</v>
      </c>
      <c r="Y47" s="34">
        <f>X47/Calculation_sheet!M$67</f>
        <v>4.9576652581971196E-5</v>
      </c>
      <c r="Z47" s="176">
        <f ca="1">IF(AN47&gt;0,Y47*Calculation_sheet!C$87,0)</f>
        <v>0</v>
      </c>
      <c r="AA47" s="176">
        <f t="shared" ca="1" si="53"/>
        <v>4.9576652581971196E-5</v>
      </c>
      <c r="AB47" s="176">
        <f ca="1">IF(AP47&gt;0,AA47*Calculation_sheet!C$94,0)</f>
        <v>0</v>
      </c>
      <c r="AC47" s="176">
        <f t="shared" ca="1" si="41"/>
        <v>4.9576652581971196E-5</v>
      </c>
      <c r="AD47" s="958">
        <f ca="1">AC47*Calculation_sheet!C$99</f>
        <v>2.9745991549182717E-5</v>
      </c>
      <c r="AE47" s="176">
        <f t="shared" ca="1" si="41"/>
        <v>1.9830661032788479E-5</v>
      </c>
      <c r="AF47" s="176">
        <f t="shared" ca="1" si="54"/>
        <v>4.9576652581971196E-5</v>
      </c>
      <c r="AG47" s="958">
        <f ca="1">AF47*User_sheet!B$77/100</f>
        <v>0</v>
      </c>
      <c r="AH47" s="313"/>
      <c r="AI47">
        <v>301</v>
      </c>
      <c r="AK47" s="1018">
        <f t="shared" ca="1" si="15"/>
        <v>152.94939691932757</v>
      </c>
      <c r="AL47" s="924">
        <f ca="1">AK47/'301'!I$24</f>
        <v>1.2119027377408964</v>
      </c>
      <c r="AM47" s="924">
        <f ca="1">0.8*(AK47*30+'301'!D$17*0.34*30*1)</f>
        <v>5762.3567260638611</v>
      </c>
      <c r="AN47" s="954">
        <f ca="1">IF(AM47&lt;User_sheet!B$50,Y47,0)</f>
        <v>4.9576652581971196E-5</v>
      </c>
      <c r="AO47" s="954">
        <f ca="1">20-(User_sheet!B$57/(AK47+'301'!D$17*1*0.34))</f>
        <v>-3.7402865708116373</v>
      </c>
      <c r="AP47" s="954">
        <f ca="1">IF(AO47&lt;User_sheet!B$59,0,BC47*AA47)</f>
        <v>0</v>
      </c>
      <c r="AR47" s="2">
        <v>0.48</v>
      </c>
      <c r="AS47" s="2">
        <v>3.7</v>
      </c>
      <c r="AT47" s="2">
        <v>0.89</v>
      </c>
      <c r="AU47" s="2">
        <v>2.75</v>
      </c>
      <c r="AV47" s="2">
        <v>3.3</v>
      </c>
      <c r="AW47" s="2">
        <v>10916.451096266603</v>
      </c>
      <c r="AX47" s="2">
        <v>76466.30421774846</v>
      </c>
      <c r="AY47" s="2">
        <v>79015.992973719694</v>
      </c>
      <c r="AZ47" s="2">
        <v>0</v>
      </c>
      <c r="BA47" s="2">
        <v>0</v>
      </c>
      <c r="BB47" s="2">
        <v>0.6</v>
      </c>
      <c r="BC47" s="30">
        <v>0</v>
      </c>
      <c r="BD47" s="34">
        <v>0</v>
      </c>
      <c r="BE47" s="34">
        <v>0</v>
      </c>
      <c r="BF47" s="40">
        <v>1</v>
      </c>
      <c r="BG47" s="2">
        <v>0</v>
      </c>
      <c r="BH47" s="2">
        <v>1</v>
      </c>
      <c r="BI47" s="40">
        <v>0</v>
      </c>
      <c r="BJ47" s="2">
        <v>0</v>
      </c>
      <c r="BK47" s="2">
        <v>0</v>
      </c>
      <c r="BL47" s="2">
        <v>0</v>
      </c>
      <c r="BM47" s="40">
        <v>1</v>
      </c>
      <c r="BN47" s="958">
        <v>0</v>
      </c>
      <c r="BO47" s="959">
        <v>14.9</v>
      </c>
      <c r="BP47" s="1018">
        <f t="shared" ca="1" si="42"/>
        <v>115.19999999999999</v>
      </c>
      <c r="BQ47" s="1018">
        <f t="shared" ca="1" si="43"/>
        <v>191.51999999999995</v>
      </c>
      <c r="BR47" s="1018">
        <f t="shared" ca="1" si="44"/>
        <v>43.295999999999999</v>
      </c>
      <c r="BS47" s="1018">
        <f t="shared" ca="1" si="45"/>
        <v>42.459999999999994</v>
      </c>
      <c r="BT47" s="1018">
        <f t="shared" ca="1" si="46"/>
        <v>38.4</v>
      </c>
      <c r="BU47" s="1018">
        <f t="shared" ca="1" si="47"/>
        <v>7</v>
      </c>
      <c r="BV47" s="1018">
        <f t="shared" ca="1" si="48"/>
        <v>4.3</v>
      </c>
      <c r="BW47" s="1018">
        <v>0</v>
      </c>
      <c r="BX47" s="1018">
        <f t="shared" ca="1" si="49"/>
        <v>19.185819793205319</v>
      </c>
      <c r="BY47" s="1018">
        <f t="shared" ca="1" si="50"/>
        <v>95.716084484159211</v>
      </c>
      <c r="BZ47" s="1018">
        <f t="shared" ca="1" si="16"/>
        <v>9.7707750952986032</v>
      </c>
      <c r="CA47" s="1018">
        <f t="shared" ca="1" si="17"/>
        <v>19.249999989412501</v>
      </c>
      <c r="CB47" s="1018">
        <f t="shared" ca="1" si="51"/>
        <v>9.0267175572519083</v>
      </c>
      <c r="CC47" s="1018">
        <f t="shared" si="18"/>
        <v>0</v>
      </c>
      <c r="CD47" s="1018">
        <f t="shared" ca="1" si="55"/>
        <v>152.94939691932757</v>
      </c>
      <c r="CE47" s="1018">
        <f t="shared" ca="1" si="56"/>
        <v>58.755316272361483</v>
      </c>
      <c r="CF47" s="1018">
        <f t="shared" ca="1" si="21"/>
        <v>6.3511413957506724</v>
      </c>
      <c r="CG47" s="1018">
        <f t="shared" ca="1" si="22"/>
        <v>10574.396378269039</v>
      </c>
    </row>
    <row r="48" spans="4:85" s="14" customFormat="1" x14ac:dyDescent="0.25">
      <c r="D48" s="642"/>
      <c r="E48" s="641"/>
      <c r="F48" s="642"/>
      <c r="G48" s="641"/>
      <c r="H48" s="642"/>
      <c r="I48" s="641"/>
      <c r="J48" s="642"/>
      <c r="K48" s="642"/>
      <c r="L48" s="642"/>
      <c r="M48" s="642"/>
      <c r="N48" s="642"/>
      <c r="O48" s="642"/>
      <c r="P48" s="642"/>
      <c r="Q48" s="642"/>
      <c r="R48" s="642"/>
      <c r="S48" s="642"/>
      <c r="T48" s="646"/>
      <c r="U48" s="641"/>
      <c r="V48" s="292"/>
      <c r="W48" s="292"/>
      <c r="X48" s="292"/>
      <c r="Y48" s="277"/>
      <c r="Z48" s="292"/>
      <c r="AA48" s="292"/>
      <c r="AB48" s="292"/>
      <c r="AC48" s="292"/>
      <c r="AD48" s="277"/>
      <c r="AE48" s="292"/>
      <c r="AF48" s="292"/>
      <c r="AG48" s="277"/>
      <c r="AH48" s="313"/>
      <c r="AJ48" s="314"/>
      <c r="AK48" s="1018">
        <f t="shared" si="15"/>
        <v>0</v>
      </c>
      <c r="AL48" s="928"/>
      <c r="AM48" s="928"/>
      <c r="AN48" s="986"/>
      <c r="AO48" s="986"/>
      <c r="AP48" s="986"/>
      <c r="AQ48" s="314"/>
      <c r="AR48" s="28"/>
      <c r="AS48" s="28"/>
      <c r="AT48" s="28"/>
      <c r="AU48" s="28"/>
      <c r="AV48" s="28"/>
      <c r="AW48" s="28"/>
      <c r="AX48" s="28"/>
      <c r="AY48" s="28"/>
      <c r="AZ48" s="28"/>
      <c r="BA48" s="28"/>
      <c r="BB48" s="28"/>
      <c r="BC48" s="45"/>
      <c r="BD48" s="277"/>
      <c r="BE48" s="277"/>
      <c r="BF48" s="49"/>
      <c r="BG48" s="28"/>
      <c r="BH48" s="28"/>
      <c r="BI48" s="49"/>
      <c r="BJ48" s="28"/>
      <c r="BK48" s="28"/>
      <c r="BL48" s="28"/>
      <c r="BM48" s="49"/>
      <c r="BN48" s="277"/>
      <c r="BO48" s="49"/>
      <c r="BP48" s="928"/>
      <c r="BQ48" s="928"/>
      <c r="BR48" s="928"/>
      <c r="BS48" s="928"/>
      <c r="BT48" s="928"/>
      <c r="BU48" s="928"/>
      <c r="BV48" s="928"/>
      <c r="BW48" s="928"/>
      <c r="BX48" s="928"/>
      <c r="BY48" s="928"/>
      <c r="BZ48" s="928"/>
      <c r="CA48" s="928"/>
      <c r="CB48" s="928"/>
      <c r="CC48" s="928"/>
      <c r="CD48" s="928"/>
      <c r="CE48" s="928"/>
      <c r="CF48" s="928"/>
      <c r="CG48" s="928"/>
    </row>
    <row r="49" spans="4:85" x14ac:dyDescent="0.25">
      <c r="D49" s="634"/>
      <c r="E49" s="633"/>
      <c r="F49" s="634"/>
      <c r="G49" s="633"/>
      <c r="H49" s="634"/>
      <c r="I49" s="633" t="s">
        <v>6</v>
      </c>
      <c r="J49" s="638">
        <v>0.59030000000000005</v>
      </c>
      <c r="K49" s="634"/>
      <c r="L49" s="634"/>
      <c r="M49" s="634"/>
      <c r="N49" s="634"/>
      <c r="O49" s="634"/>
      <c r="P49" s="634"/>
      <c r="Q49" s="634" t="s">
        <v>16</v>
      </c>
      <c r="R49" s="636">
        <v>0.73860000000000003</v>
      </c>
      <c r="S49" s="634"/>
      <c r="T49" s="644">
        <v>1.2821782478841762E-2</v>
      </c>
      <c r="U49" s="633"/>
      <c r="V49" s="176">
        <f t="shared" si="11"/>
        <v>1.2821782478841762E-2</v>
      </c>
      <c r="W49" s="176">
        <f>V49</f>
        <v>1.2821782478841762E-2</v>
      </c>
      <c r="X49" s="176">
        <f>W49</f>
        <v>1.2821782478841762E-2</v>
      </c>
      <c r="Y49" s="34">
        <f>X49/Calculation_sheet!M$67</f>
        <v>1.2822044638502492E-2</v>
      </c>
      <c r="Z49" s="176">
        <f ca="1">IF(AN49&gt;0,Y49*Calculation_sheet!C$87,0)</f>
        <v>0</v>
      </c>
      <c r="AA49" s="176">
        <f ca="1">Y49-Z49</f>
        <v>1.2822044638502492E-2</v>
      </c>
      <c r="AB49" s="176">
        <f ca="1">IF(AP49&gt;0,AA49*Calculation_sheet!C$94,0)</f>
        <v>0</v>
      </c>
      <c r="AC49" s="176">
        <f t="shared" ref="AC49:AE59" ca="1" si="57">AA49-AB49</f>
        <v>1.2822044638502492E-2</v>
      </c>
      <c r="AD49" s="958">
        <f ca="1">AC49*Calculation_sheet!C$99</f>
        <v>7.6932267831014943E-3</v>
      </c>
      <c r="AE49" s="176">
        <f t="shared" ca="1" si="57"/>
        <v>5.1288178554009974E-3</v>
      </c>
      <c r="AF49" s="176">
        <f ca="1">Y49-AB49</f>
        <v>1.2822044638502492E-2</v>
      </c>
      <c r="AG49" s="958">
        <f ca="1">AF49*User_sheet!B$77/100</f>
        <v>0</v>
      </c>
      <c r="AH49" s="313"/>
      <c r="AI49">
        <v>301</v>
      </c>
      <c r="AK49" s="1018">
        <f t="shared" ca="1" si="15"/>
        <v>185.43050702380384</v>
      </c>
      <c r="AL49" s="924">
        <f ca="1">AK49/'301'!I$24</f>
        <v>1.4692685531892609</v>
      </c>
      <c r="AM49" s="924">
        <f ca="1">0.8*(AK49*30+'301'!D$17*0.34*30*1)</f>
        <v>6541.903368571292</v>
      </c>
      <c r="AN49" s="954">
        <f ca="1">IF(AM49&lt;User_sheet!B$50,Y49,0)</f>
        <v>1.2822044638502492E-2</v>
      </c>
      <c r="AO49" s="954">
        <f ca="1">20-(User_sheet!B$57/(AK49+'301'!D$17*1*0.34))</f>
        <v>-0.91134526034373309</v>
      </c>
      <c r="AP49" s="954">
        <f ca="1">IF(AO49&lt;User_sheet!B$59,0,BC49*AA49)</f>
        <v>0</v>
      </c>
      <c r="AR49" s="2">
        <v>0.48</v>
      </c>
      <c r="AS49" s="2">
        <v>3.7</v>
      </c>
      <c r="AT49" s="2">
        <v>7.9</v>
      </c>
      <c r="AU49" s="2">
        <v>2.75</v>
      </c>
      <c r="AV49" s="2">
        <v>3.3</v>
      </c>
      <c r="AW49" s="2">
        <v>10916.451096266603</v>
      </c>
      <c r="AX49" s="2">
        <v>76466.30421774846</v>
      </c>
      <c r="AY49" s="2">
        <v>67352.647733737584</v>
      </c>
      <c r="AZ49" s="2">
        <v>0</v>
      </c>
      <c r="BA49" s="2">
        <v>0</v>
      </c>
      <c r="BB49" s="2">
        <v>0.6</v>
      </c>
      <c r="BC49" s="30">
        <v>1</v>
      </c>
      <c r="BD49" s="34">
        <v>0</v>
      </c>
      <c r="BE49" s="34">
        <v>0</v>
      </c>
      <c r="BF49" s="40">
        <v>0</v>
      </c>
      <c r="BG49" s="2">
        <v>1</v>
      </c>
      <c r="BH49" s="2">
        <v>0</v>
      </c>
      <c r="BI49" s="40">
        <v>0</v>
      </c>
      <c r="BJ49" s="2">
        <v>1</v>
      </c>
      <c r="BK49" s="2">
        <v>0</v>
      </c>
      <c r="BL49" s="2">
        <v>0</v>
      </c>
      <c r="BM49" s="40">
        <v>0</v>
      </c>
      <c r="BN49" s="958">
        <v>0</v>
      </c>
      <c r="BO49" s="959">
        <v>14.9</v>
      </c>
      <c r="BP49" s="1018">
        <f t="shared" ref="BP49:BP59" ca="1" si="58">INDIRECT("'"&amp;AI49&amp;"'!"&amp;"B2")</f>
        <v>115.19999999999999</v>
      </c>
      <c r="BQ49" s="1018">
        <f t="shared" ref="BQ49:BQ59" ca="1" si="59">INDIRECT("'"&amp;AI49&amp;"'!"&amp;"C12")+INDIRECT("'"&amp;AI49&amp;"'!"&amp;"C13")+INDIRECT("'"&amp;AI49&amp;"'!"&amp;"C14")+INDIRECT("'"&amp;AI49&amp;"'!"&amp;"C15")+INDIRECT("'"&amp;AI49&amp;"'!"&amp;"C17")</f>
        <v>191.51999999999995</v>
      </c>
      <c r="BR49" s="1018">
        <f t="shared" ref="BR49:BR59" ca="1" si="60">INDIRECT("'"&amp;AI49&amp;"'!"&amp;"G5")</f>
        <v>43.295999999999999</v>
      </c>
      <c r="BS49" s="1018">
        <f t="shared" ref="BS49:BS59" ca="1" si="61">INDIRECT("'"&amp;AI49&amp;"'!"&amp;"G4")</f>
        <v>42.459999999999994</v>
      </c>
      <c r="BT49" s="1018">
        <f t="shared" ref="BT49:BT59" ca="1" si="62">INDIRECT("'"&amp;AI49&amp;"'!"&amp;"G6")</f>
        <v>38.4</v>
      </c>
      <c r="BU49" s="1018">
        <f t="shared" ref="BU49:BU59" ca="1" si="63">INDIRECT("'"&amp;AI49&amp;"'!"&amp;"G2")</f>
        <v>7</v>
      </c>
      <c r="BV49" s="1018">
        <f t="shared" ref="BV49:BV59" ca="1" si="64">INDIRECT("'"&amp;AI49&amp;"'!"&amp;"G3")</f>
        <v>4.3</v>
      </c>
      <c r="BW49" s="1018">
        <v>0</v>
      </c>
      <c r="BX49" s="1018">
        <f t="shared" ref="BX49:BX59" ca="1" si="65">IF(BR49=0,0,1/(1/(BR49*$BY$3)+1/(BR49*AR49)+1/(BR49*$BY$4)))</f>
        <v>19.185819793205319</v>
      </c>
      <c r="BY49" s="1018">
        <f t="shared" ref="BY49:BY59" ca="1" si="66">IF(BS49=0,0,1/(1/(BS49*$BY$3)+1/(BS49*AS49)+1/(BS49*$BY$4)))</f>
        <v>95.716084484159211</v>
      </c>
      <c r="BZ49" s="1018">
        <f t="shared" ca="1" si="16"/>
        <v>42.251885199774904</v>
      </c>
      <c r="CA49" s="1018">
        <f t="shared" ca="1" si="17"/>
        <v>19.249999989412501</v>
      </c>
      <c r="CB49" s="1018">
        <f t="shared" ref="CB49:CB59" ca="1" si="67">IF(BV49=0,0,1/(1/(BV49*$BY$3)+1/(BV49*AV49)+1/(BV49*$BY$4)))</f>
        <v>9.0267175572519083</v>
      </c>
      <c r="CC49" s="1018">
        <f t="shared" si="18"/>
        <v>0</v>
      </c>
      <c r="CD49" s="1018">
        <f ca="1">SUM(BX49:CC49)+(BR49+BS49+BT49+BU49+BV49)*BN49</f>
        <v>185.43050702380384</v>
      </c>
      <c r="CE49" s="1018">
        <f ca="1">0.34*BO49*(1/25)^0.66*(BR49+BS49+BU49+BV49)</f>
        <v>58.755316272361483</v>
      </c>
      <c r="CF49" s="1018">
        <f t="shared" ca="1" si="21"/>
        <v>7.3255746988849593</v>
      </c>
      <c r="CG49" s="1018">
        <f t="shared" ca="1" si="22"/>
        <v>12196.788850655499</v>
      </c>
    </row>
    <row r="50" spans="4:85" x14ac:dyDescent="0.25">
      <c r="D50" s="634"/>
      <c r="E50" s="633"/>
      <c r="F50" s="634"/>
      <c r="G50" s="633"/>
      <c r="H50" s="634"/>
      <c r="I50" s="633"/>
      <c r="J50" s="639"/>
      <c r="K50" s="634"/>
      <c r="L50" s="634"/>
      <c r="M50" s="634"/>
      <c r="N50" s="634"/>
      <c r="O50" s="634" t="s">
        <v>18</v>
      </c>
      <c r="P50" s="636">
        <v>0.62953995200000001</v>
      </c>
      <c r="Q50" s="634" t="s">
        <v>7</v>
      </c>
      <c r="R50" s="636">
        <v>0.26140000000000002</v>
      </c>
      <c r="S50" s="634"/>
      <c r="T50" s="644">
        <v>4.5377930408465163E-3</v>
      </c>
      <c r="U50" s="633"/>
      <c r="V50" s="176">
        <f t="shared" si="11"/>
        <v>4.5377930408465163E-3</v>
      </c>
      <c r="W50" s="176">
        <f t="shared" ref="W50:X59" si="68">V50</f>
        <v>4.5377930408465163E-3</v>
      </c>
      <c r="X50" s="176">
        <f t="shared" si="68"/>
        <v>4.5377930408465163E-3</v>
      </c>
      <c r="Y50" s="34">
        <f>X50/Calculation_sheet!M$67</f>
        <v>4.5378858225081937E-3</v>
      </c>
      <c r="Z50" s="176">
        <f ca="1">IF(AN50&gt;0,Y50*Calculation_sheet!C$87,0)</f>
        <v>0</v>
      </c>
      <c r="AA50" s="176">
        <f t="shared" ref="AA50:AA59" ca="1" si="69">Y50-Z50</f>
        <v>4.5378858225081937E-3</v>
      </c>
      <c r="AB50" s="176">
        <f ca="1">IF(AP50&gt;0,AA50*Calculation_sheet!C$94,0)</f>
        <v>0</v>
      </c>
      <c r="AC50" s="176">
        <f t="shared" ca="1" si="57"/>
        <v>4.5378858225081937E-3</v>
      </c>
      <c r="AD50" s="958">
        <f ca="1">AC50*Calculation_sheet!C$99</f>
        <v>2.7227314935049161E-3</v>
      </c>
      <c r="AE50" s="176">
        <f t="shared" ca="1" si="57"/>
        <v>1.8151543290032776E-3</v>
      </c>
      <c r="AF50" s="176">
        <f t="shared" ref="AF50:AF59" ca="1" si="70">Y50-AB50</f>
        <v>4.5378858225081937E-3</v>
      </c>
      <c r="AG50" s="958">
        <f ca="1">AF50*User_sheet!B$77/100</f>
        <v>0</v>
      </c>
      <c r="AH50" s="313"/>
      <c r="AI50">
        <v>301</v>
      </c>
      <c r="AK50" s="1018">
        <f t="shared" ca="1" si="15"/>
        <v>185.43050702380384</v>
      </c>
      <c r="AL50" s="924">
        <f ca="1">AK50/'301'!I$24</f>
        <v>1.4692685531892609</v>
      </c>
      <c r="AM50" s="924">
        <f ca="1">0.8*(AK50*30+'301'!D$17*0.34*30*1)</f>
        <v>6541.903368571292</v>
      </c>
      <c r="AN50" s="954">
        <f ca="1">IF(AM50&lt;User_sheet!B$50,Y50,0)</f>
        <v>4.5378858225081937E-3</v>
      </c>
      <c r="AO50" s="954">
        <f ca="1">20-(User_sheet!B$57/(AK50+'301'!D$17*1*0.34))</f>
        <v>-0.91134526034373309</v>
      </c>
      <c r="AP50" s="954">
        <f ca="1">IF(AO50&lt;User_sheet!B$59,0,BC50*AA50)</f>
        <v>0</v>
      </c>
      <c r="AR50" s="2">
        <v>0.48</v>
      </c>
      <c r="AS50" s="2">
        <v>3.7</v>
      </c>
      <c r="AT50" s="2">
        <v>7.9</v>
      </c>
      <c r="AU50" s="2">
        <v>2.75</v>
      </c>
      <c r="AV50" s="2">
        <v>3.3</v>
      </c>
      <c r="AW50" s="2">
        <v>10916.451096266603</v>
      </c>
      <c r="AX50" s="2">
        <v>76466.30421774846</v>
      </c>
      <c r="AY50" s="2">
        <v>67352.647733737584</v>
      </c>
      <c r="AZ50" s="2">
        <v>0</v>
      </c>
      <c r="BA50" s="2">
        <v>0</v>
      </c>
      <c r="BB50" s="2">
        <v>0.6</v>
      </c>
      <c r="BC50" s="30">
        <v>1</v>
      </c>
      <c r="BD50" s="34">
        <v>0</v>
      </c>
      <c r="BE50" s="34">
        <v>0</v>
      </c>
      <c r="BF50" s="40">
        <v>0</v>
      </c>
      <c r="BG50" s="2">
        <v>1</v>
      </c>
      <c r="BH50" s="2">
        <v>0</v>
      </c>
      <c r="BI50" s="40">
        <v>0</v>
      </c>
      <c r="BJ50" s="2">
        <v>0</v>
      </c>
      <c r="BK50" s="2">
        <v>0</v>
      </c>
      <c r="BL50" s="2">
        <v>1</v>
      </c>
      <c r="BM50" s="40">
        <v>0</v>
      </c>
      <c r="BN50" s="958">
        <v>0</v>
      </c>
      <c r="BO50" s="959">
        <v>14.9</v>
      </c>
      <c r="BP50" s="1018">
        <f t="shared" ca="1" si="58"/>
        <v>115.19999999999999</v>
      </c>
      <c r="BQ50" s="1018">
        <f t="shared" ca="1" si="59"/>
        <v>191.51999999999995</v>
      </c>
      <c r="BR50" s="1018">
        <f t="shared" ca="1" si="60"/>
        <v>43.295999999999999</v>
      </c>
      <c r="BS50" s="1018">
        <f t="shared" ca="1" si="61"/>
        <v>42.459999999999994</v>
      </c>
      <c r="BT50" s="1018">
        <f t="shared" ca="1" si="62"/>
        <v>38.4</v>
      </c>
      <c r="BU50" s="1018">
        <f t="shared" ca="1" si="63"/>
        <v>7</v>
      </c>
      <c r="BV50" s="1018">
        <f t="shared" ca="1" si="64"/>
        <v>4.3</v>
      </c>
      <c r="BW50" s="1018">
        <v>0</v>
      </c>
      <c r="BX50" s="1018">
        <f t="shared" ca="1" si="65"/>
        <v>19.185819793205319</v>
      </c>
      <c r="BY50" s="1018">
        <f t="shared" ca="1" si="66"/>
        <v>95.716084484159211</v>
      </c>
      <c r="BZ50" s="1018">
        <f t="shared" ca="1" si="16"/>
        <v>42.251885199774904</v>
      </c>
      <c r="CA50" s="1018">
        <f t="shared" ca="1" si="17"/>
        <v>19.249999989412501</v>
      </c>
      <c r="CB50" s="1018">
        <f t="shared" ca="1" si="67"/>
        <v>9.0267175572519083</v>
      </c>
      <c r="CC50" s="1018">
        <f t="shared" si="18"/>
        <v>0</v>
      </c>
      <c r="CD50" s="1018">
        <f t="shared" ref="CD50:CD59" ca="1" si="71">SUM(BX50:CC50)+(BR50+BS50+BT50+BU50+BV50)*BN50</f>
        <v>185.43050702380384</v>
      </c>
      <c r="CE50" s="1018">
        <f t="shared" ref="CE50:CE59" ca="1" si="72">0.34*BO50*(1/25)^0.66*(BR50+BS50+BU50+BV50)</f>
        <v>58.755316272361483</v>
      </c>
      <c r="CF50" s="1018">
        <f t="shared" ca="1" si="21"/>
        <v>7.3255746988849593</v>
      </c>
      <c r="CG50" s="1018">
        <f t="shared" ca="1" si="22"/>
        <v>12196.788850655499</v>
      </c>
    </row>
    <row r="51" spans="4:85" x14ac:dyDescent="0.25">
      <c r="D51" s="634"/>
      <c r="E51" s="633"/>
      <c r="F51" s="634"/>
      <c r="G51" s="633"/>
      <c r="H51" s="634"/>
      <c r="I51" s="633"/>
      <c r="J51" s="639"/>
      <c r="K51" s="634"/>
      <c r="L51" s="634"/>
      <c r="M51" s="634"/>
      <c r="N51" s="634"/>
      <c r="O51" s="634"/>
      <c r="P51" s="634"/>
      <c r="Q51" s="634" t="s">
        <v>16</v>
      </c>
      <c r="R51" s="636">
        <v>0.73860000000000003</v>
      </c>
      <c r="S51" s="634"/>
      <c r="T51" s="644">
        <v>7.5451258295315907E-3</v>
      </c>
      <c r="U51" s="633"/>
      <c r="V51" s="176">
        <f t="shared" si="11"/>
        <v>7.5451258295315907E-3</v>
      </c>
      <c r="W51" s="176">
        <f t="shared" si="68"/>
        <v>7.5451258295315907E-3</v>
      </c>
      <c r="X51" s="176">
        <f t="shared" si="68"/>
        <v>7.5451258295315907E-3</v>
      </c>
      <c r="Y51" s="34">
        <f>X51/Calculation_sheet!M$67</f>
        <v>7.5452801004085839E-3</v>
      </c>
      <c r="Z51" s="176">
        <f ca="1">IF(AN51&gt;0,Y51*Calculation_sheet!C$87,0)</f>
        <v>0</v>
      </c>
      <c r="AA51" s="176">
        <f t="shared" ca="1" si="69"/>
        <v>7.5452801004085839E-3</v>
      </c>
      <c r="AB51" s="176">
        <f ca="1">IF(AP51&gt;0,AA51*Calculation_sheet!C$94,0)</f>
        <v>0</v>
      </c>
      <c r="AC51" s="176">
        <f t="shared" ca="1" si="57"/>
        <v>7.5452801004085839E-3</v>
      </c>
      <c r="AD51" s="958">
        <f ca="1">AC51*Calculation_sheet!C$99</f>
        <v>4.5271680602451498E-3</v>
      </c>
      <c r="AE51" s="176">
        <f t="shared" ca="1" si="57"/>
        <v>3.0181120401634341E-3</v>
      </c>
      <c r="AF51" s="176">
        <f t="shared" ca="1" si="70"/>
        <v>7.5452801004085839E-3</v>
      </c>
      <c r="AG51" s="958">
        <f ca="1">AF51*User_sheet!B$77/100</f>
        <v>0</v>
      </c>
      <c r="AH51" s="313"/>
      <c r="AI51">
        <v>301</v>
      </c>
      <c r="AK51" s="1018">
        <f t="shared" ca="1" si="15"/>
        <v>185.43050702380384</v>
      </c>
      <c r="AL51" s="924">
        <f ca="1">AK51/'301'!I$24</f>
        <v>1.4692685531892609</v>
      </c>
      <c r="AM51" s="924">
        <f ca="1">0.8*(AK51*30+'301'!D$17*0.34*30*1)</f>
        <v>6541.903368571292</v>
      </c>
      <c r="AN51" s="954">
        <f ca="1">IF(AM51&lt;User_sheet!B$50,Y51,0)</f>
        <v>7.5452801004085839E-3</v>
      </c>
      <c r="AO51" s="954">
        <f ca="1">20-(User_sheet!B$57/(AK51+'301'!D$17*1*0.34))</f>
        <v>-0.91134526034373309</v>
      </c>
      <c r="AP51" s="954">
        <f ca="1">IF(AO51&lt;User_sheet!B$59,0,BC51*AA51)</f>
        <v>0</v>
      </c>
      <c r="AR51" s="2">
        <v>0.48</v>
      </c>
      <c r="AS51" s="2">
        <v>3.7</v>
      </c>
      <c r="AT51" s="2">
        <v>7.9</v>
      </c>
      <c r="AU51" s="2">
        <v>2.75</v>
      </c>
      <c r="AV51" s="2">
        <v>3.3</v>
      </c>
      <c r="AW51" s="2">
        <v>10916.451096266603</v>
      </c>
      <c r="AX51" s="2">
        <v>76466.30421774846</v>
      </c>
      <c r="AY51" s="2">
        <v>67352.647733737584</v>
      </c>
      <c r="AZ51" s="2">
        <v>0</v>
      </c>
      <c r="BA51" s="2">
        <v>0</v>
      </c>
      <c r="BB51" s="2">
        <v>0.6</v>
      </c>
      <c r="BC51" s="30">
        <v>1</v>
      </c>
      <c r="BD51" s="34">
        <v>0</v>
      </c>
      <c r="BE51" s="34">
        <v>0</v>
      </c>
      <c r="BF51" s="40">
        <v>0</v>
      </c>
      <c r="BG51" s="2">
        <v>0</v>
      </c>
      <c r="BH51" s="2">
        <v>1</v>
      </c>
      <c r="BI51" s="40">
        <v>0</v>
      </c>
      <c r="BJ51" s="2">
        <v>1</v>
      </c>
      <c r="BK51" s="2">
        <v>0</v>
      </c>
      <c r="BL51" s="2">
        <v>0</v>
      </c>
      <c r="BM51" s="40">
        <v>0</v>
      </c>
      <c r="BN51" s="958">
        <v>0</v>
      </c>
      <c r="BO51" s="959">
        <v>14.9</v>
      </c>
      <c r="BP51" s="1018">
        <f t="shared" ca="1" si="58"/>
        <v>115.19999999999999</v>
      </c>
      <c r="BQ51" s="1018">
        <f t="shared" ca="1" si="59"/>
        <v>191.51999999999995</v>
      </c>
      <c r="BR51" s="1018">
        <f t="shared" ca="1" si="60"/>
        <v>43.295999999999999</v>
      </c>
      <c r="BS51" s="1018">
        <f t="shared" ca="1" si="61"/>
        <v>42.459999999999994</v>
      </c>
      <c r="BT51" s="1018">
        <f t="shared" ca="1" si="62"/>
        <v>38.4</v>
      </c>
      <c r="BU51" s="1018">
        <f t="shared" ca="1" si="63"/>
        <v>7</v>
      </c>
      <c r="BV51" s="1018">
        <f t="shared" ca="1" si="64"/>
        <v>4.3</v>
      </c>
      <c r="BW51" s="1018">
        <v>0</v>
      </c>
      <c r="BX51" s="1018">
        <f t="shared" ca="1" si="65"/>
        <v>19.185819793205319</v>
      </c>
      <c r="BY51" s="1018">
        <f t="shared" ca="1" si="66"/>
        <v>95.716084484159211</v>
      </c>
      <c r="BZ51" s="1018">
        <f t="shared" ca="1" si="16"/>
        <v>42.251885199774904</v>
      </c>
      <c r="CA51" s="1018">
        <f t="shared" ca="1" si="17"/>
        <v>19.249999989412501</v>
      </c>
      <c r="CB51" s="1018">
        <f t="shared" ca="1" si="67"/>
        <v>9.0267175572519083</v>
      </c>
      <c r="CC51" s="1018">
        <f t="shared" si="18"/>
        <v>0</v>
      </c>
      <c r="CD51" s="1018">
        <f t="shared" ca="1" si="71"/>
        <v>185.43050702380384</v>
      </c>
      <c r="CE51" s="1018">
        <f t="shared" ca="1" si="72"/>
        <v>58.755316272361483</v>
      </c>
      <c r="CF51" s="1018">
        <f t="shared" ca="1" si="21"/>
        <v>7.3255746988849593</v>
      </c>
      <c r="CG51" s="1018">
        <f t="shared" ca="1" si="22"/>
        <v>12196.788850655499</v>
      </c>
    </row>
    <row r="52" spans="4:85" x14ac:dyDescent="0.25">
      <c r="D52" s="634"/>
      <c r="E52" s="633"/>
      <c r="F52" s="634"/>
      <c r="G52" s="633"/>
      <c r="H52" s="634"/>
      <c r="I52" s="633"/>
      <c r="J52" s="639"/>
      <c r="K52" s="634"/>
      <c r="L52" s="634"/>
      <c r="M52" s="634" t="s">
        <v>16</v>
      </c>
      <c r="N52" s="636">
        <v>0.44680851100000002</v>
      </c>
      <c r="O52" s="634" t="s">
        <v>19</v>
      </c>
      <c r="P52" s="636">
        <v>0.37046004799999999</v>
      </c>
      <c r="Q52" s="634" t="s">
        <v>7</v>
      </c>
      <c r="R52" s="636">
        <v>0.26140000000000002</v>
      </c>
      <c r="S52" s="634"/>
      <c r="T52" s="644">
        <v>2.6703166691572676E-3</v>
      </c>
      <c r="U52" s="633"/>
      <c r="V52" s="176">
        <f t="shared" si="11"/>
        <v>2.6703166691572676E-3</v>
      </c>
      <c r="W52" s="176">
        <f t="shared" si="68"/>
        <v>2.6703166691572676E-3</v>
      </c>
      <c r="X52" s="176">
        <f t="shared" si="68"/>
        <v>2.6703166691572676E-3</v>
      </c>
      <c r="Y52" s="34">
        <f>X52/Calculation_sheet!M$67</f>
        <v>2.6703712675965395E-3</v>
      </c>
      <c r="Z52" s="176">
        <f ca="1">IF(AN52&gt;0,Y52*Calculation_sheet!C$87,0)</f>
        <v>0</v>
      </c>
      <c r="AA52" s="176">
        <f t="shared" ca="1" si="69"/>
        <v>2.6703712675965395E-3</v>
      </c>
      <c r="AB52" s="176">
        <f ca="1">IF(AP52&gt;0,AA52*Calculation_sheet!C$94,0)</f>
        <v>0</v>
      </c>
      <c r="AC52" s="176">
        <f t="shared" ca="1" si="57"/>
        <v>2.6703712675965395E-3</v>
      </c>
      <c r="AD52" s="958">
        <f ca="1">AC52*Calculation_sheet!C$99</f>
        <v>1.6022227605579236E-3</v>
      </c>
      <c r="AE52" s="176">
        <f t="shared" ca="1" si="57"/>
        <v>1.0681485070386158E-3</v>
      </c>
      <c r="AF52" s="176">
        <f t="shared" ca="1" si="70"/>
        <v>2.6703712675965395E-3</v>
      </c>
      <c r="AG52" s="958">
        <f ca="1">AF52*User_sheet!B$77/100</f>
        <v>0</v>
      </c>
      <c r="AH52" s="313"/>
      <c r="AI52">
        <v>301</v>
      </c>
      <c r="AK52" s="1018">
        <f t="shared" ca="1" si="15"/>
        <v>185.43050702380384</v>
      </c>
      <c r="AL52" s="924">
        <f ca="1">AK52/'301'!I$24</f>
        <v>1.4692685531892609</v>
      </c>
      <c r="AM52" s="924">
        <f ca="1">0.8*(AK52*30+'301'!D$17*0.34*30*1)</f>
        <v>6541.903368571292</v>
      </c>
      <c r="AN52" s="954">
        <f ca="1">IF(AM52&lt;User_sheet!B$50,Y52,0)</f>
        <v>2.6703712675965395E-3</v>
      </c>
      <c r="AO52" s="954">
        <f ca="1">20-(User_sheet!B$57/(AK52+'301'!D$17*1*0.34))</f>
        <v>-0.91134526034373309</v>
      </c>
      <c r="AP52" s="954">
        <f ca="1">IF(AO52&lt;User_sheet!B$59,0,BC52*AA52)</f>
        <v>0</v>
      </c>
      <c r="AR52" s="2">
        <v>0.48</v>
      </c>
      <c r="AS52" s="2">
        <v>3.7</v>
      </c>
      <c r="AT52" s="2">
        <v>7.9</v>
      </c>
      <c r="AU52" s="2">
        <v>2.75</v>
      </c>
      <c r="AV52" s="2">
        <v>3.3</v>
      </c>
      <c r="AW52" s="2">
        <v>10916.451096266603</v>
      </c>
      <c r="AX52" s="2">
        <v>76466.30421774846</v>
      </c>
      <c r="AY52" s="2">
        <v>67352.647733737584</v>
      </c>
      <c r="AZ52" s="2">
        <v>0</v>
      </c>
      <c r="BA52" s="2">
        <v>0</v>
      </c>
      <c r="BB52" s="2">
        <v>0.6</v>
      </c>
      <c r="BC52" s="30">
        <v>1</v>
      </c>
      <c r="BD52" s="34">
        <v>0</v>
      </c>
      <c r="BE52" s="34">
        <v>0</v>
      </c>
      <c r="BF52" s="40">
        <v>0</v>
      </c>
      <c r="BG52" s="2">
        <v>0</v>
      </c>
      <c r="BH52" s="2">
        <v>1</v>
      </c>
      <c r="BI52" s="40">
        <v>0</v>
      </c>
      <c r="BJ52" s="2">
        <v>0</v>
      </c>
      <c r="BK52" s="2">
        <v>0</v>
      </c>
      <c r="BL52" s="2">
        <v>1</v>
      </c>
      <c r="BM52" s="40">
        <v>0</v>
      </c>
      <c r="BN52" s="958">
        <v>0</v>
      </c>
      <c r="BO52" s="959">
        <v>14.9</v>
      </c>
      <c r="BP52" s="1018">
        <f t="shared" ca="1" si="58"/>
        <v>115.19999999999999</v>
      </c>
      <c r="BQ52" s="1018">
        <f t="shared" ca="1" si="59"/>
        <v>191.51999999999995</v>
      </c>
      <c r="BR52" s="1018">
        <f t="shared" ca="1" si="60"/>
        <v>43.295999999999999</v>
      </c>
      <c r="BS52" s="1018">
        <f t="shared" ca="1" si="61"/>
        <v>42.459999999999994</v>
      </c>
      <c r="BT52" s="1018">
        <f t="shared" ca="1" si="62"/>
        <v>38.4</v>
      </c>
      <c r="BU52" s="1018">
        <f t="shared" ca="1" si="63"/>
        <v>7</v>
      </c>
      <c r="BV52" s="1018">
        <f t="shared" ca="1" si="64"/>
        <v>4.3</v>
      </c>
      <c r="BW52" s="1018">
        <v>0</v>
      </c>
      <c r="BX52" s="1018">
        <f t="shared" ca="1" si="65"/>
        <v>19.185819793205319</v>
      </c>
      <c r="BY52" s="1018">
        <f t="shared" ca="1" si="66"/>
        <v>95.716084484159211</v>
      </c>
      <c r="BZ52" s="1018">
        <f t="shared" ca="1" si="16"/>
        <v>42.251885199774904</v>
      </c>
      <c r="CA52" s="1018">
        <f t="shared" ca="1" si="17"/>
        <v>19.249999989412501</v>
      </c>
      <c r="CB52" s="1018">
        <f t="shared" ca="1" si="67"/>
        <v>9.0267175572519083</v>
      </c>
      <c r="CC52" s="1018">
        <f t="shared" si="18"/>
        <v>0</v>
      </c>
      <c r="CD52" s="1018">
        <f t="shared" ca="1" si="71"/>
        <v>185.43050702380384</v>
      </c>
      <c r="CE52" s="1018">
        <f t="shared" ca="1" si="72"/>
        <v>58.755316272361483</v>
      </c>
      <c r="CF52" s="1018">
        <f t="shared" ca="1" si="21"/>
        <v>7.3255746988849593</v>
      </c>
      <c r="CG52" s="1018">
        <f t="shared" ca="1" si="22"/>
        <v>12196.788850655499</v>
      </c>
    </row>
    <row r="53" spans="4:85" x14ac:dyDescent="0.25">
      <c r="D53" s="634"/>
      <c r="E53" s="633"/>
      <c r="F53" s="634"/>
      <c r="G53" s="633"/>
      <c r="H53" s="634"/>
      <c r="I53" s="633"/>
      <c r="J53" s="639"/>
      <c r="K53" s="634"/>
      <c r="L53" s="634"/>
      <c r="M53" s="634"/>
      <c r="N53" s="634"/>
      <c r="O53" s="634"/>
      <c r="P53" s="634"/>
      <c r="Q53" s="634" t="s">
        <v>22</v>
      </c>
      <c r="R53" s="636">
        <v>0.53710000000000002</v>
      </c>
      <c r="S53" s="634"/>
      <c r="T53" s="644">
        <v>1.1970926952682672E-2</v>
      </c>
      <c r="U53" s="633"/>
      <c r="V53" s="176">
        <f t="shared" si="11"/>
        <v>1.1970926952682672E-2</v>
      </c>
      <c r="W53" s="176">
        <f t="shared" si="68"/>
        <v>1.1970926952682672E-2</v>
      </c>
      <c r="X53" s="176">
        <f t="shared" si="68"/>
        <v>1.1970926952682672E-2</v>
      </c>
      <c r="Y53" s="34">
        <f>X53/Calculation_sheet!M$67</f>
        <v>1.1971171715386588E-2</v>
      </c>
      <c r="Z53" s="176">
        <f ca="1">IF(AN53&gt;0,Y53*Calculation_sheet!C$87,0)</f>
        <v>0</v>
      </c>
      <c r="AA53" s="176">
        <f t="shared" ca="1" si="69"/>
        <v>1.1971171715386588E-2</v>
      </c>
      <c r="AB53" s="176">
        <f ca="1">IF(AP53&gt;0,AA53*Calculation_sheet!C$94,0)</f>
        <v>0</v>
      </c>
      <c r="AC53" s="176">
        <f t="shared" ca="1" si="57"/>
        <v>1.1971171715386588E-2</v>
      </c>
      <c r="AD53" s="958">
        <f ca="1">AC53*Calculation_sheet!C$99</f>
        <v>7.1827030292319523E-3</v>
      </c>
      <c r="AE53" s="176">
        <f t="shared" ca="1" si="57"/>
        <v>4.7884686861546354E-3</v>
      </c>
      <c r="AF53" s="176">
        <f t="shared" ca="1" si="70"/>
        <v>1.1971171715386588E-2</v>
      </c>
      <c r="AG53" s="958">
        <f ca="1">AF53*User_sheet!B$77/100</f>
        <v>0</v>
      </c>
      <c r="AH53" s="313"/>
      <c r="AI53">
        <v>301</v>
      </c>
      <c r="AK53" s="1018">
        <f t="shared" ca="1" si="15"/>
        <v>185.43050702380384</v>
      </c>
      <c r="AL53" s="924">
        <f ca="1">AK53/'301'!I$24</f>
        <v>1.4692685531892609</v>
      </c>
      <c r="AM53" s="924">
        <f ca="1">0.8*(AK53*30+'301'!D$17*0.34*30*1)</f>
        <v>6541.903368571292</v>
      </c>
      <c r="AN53" s="954">
        <f ca="1">IF(AM53&lt;User_sheet!B$50,Y53,0)</f>
        <v>1.1971171715386588E-2</v>
      </c>
      <c r="AO53" s="954">
        <f ca="1">20-(User_sheet!B$57/(AK53+'301'!D$17*1*0.34))</f>
        <v>-0.91134526034373309</v>
      </c>
      <c r="AP53" s="954">
        <f ca="1">IF(AO53&lt;User_sheet!B$59,0,BC53*AA53)</f>
        <v>0</v>
      </c>
      <c r="AR53" s="2">
        <v>0.48</v>
      </c>
      <c r="AS53" s="2">
        <v>3.7</v>
      </c>
      <c r="AT53" s="2">
        <v>7.9</v>
      </c>
      <c r="AU53" s="2">
        <v>2.75</v>
      </c>
      <c r="AV53" s="2">
        <v>3.3</v>
      </c>
      <c r="AW53" s="2">
        <v>10916.451096266603</v>
      </c>
      <c r="AX53" s="2">
        <v>76466.30421774846</v>
      </c>
      <c r="AY53" s="2">
        <v>67352.647733737584</v>
      </c>
      <c r="AZ53" s="2">
        <v>0</v>
      </c>
      <c r="BA53" s="2">
        <v>0</v>
      </c>
      <c r="BB53" s="2">
        <v>0.6</v>
      </c>
      <c r="BC53" s="30">
        <v>0</v>
      </c>
      <c r="BD53" s="34">
        <v>1</v>
      </c>
      <c r="BE53" s="34">
        <v>0</v>
      </c>
      <c r="BF53" s="40">
        <v>0</v>
      </c>
      <c r="BG53" s="2">
        <v>1</v>
      </c>
      <c r="BH53" s="2">
        <v>0</v>
      </c>
      <c r="BI53" s="40">
        <v>0</v>
      </c>
      <c r="BJ53" s="2">
        <v>0</v>
      </c>
      <c r="BK53" s="2">
        <v>1</v>
      </c>
      <c r="BL53" s="2">
        <v>0</v>
      </c>
      <c r="BM53" s="40">
        <v>0</v>
      </c>
      <c r="BN53" s="958">
        <v>0</v>
      </c>
      <c r="BO53" s="959">
        <v>14.9</v>
      </c>
      <c r="BP53" s="1018">
        <f t="shared" ca="1" si="58"/>
        <v>115.19999999999999</v>
      </c>
      <c r="BQ53" s="1018">
        <f t="shared" ca="1" si="59"/>
        <v>191.51999999999995</v>
      </c>
      <c r="BR53" s="1018">
        <f t="shared" ca="1" si="60"/>
        <v>43.295999999999999</v>
      </c>
      <c r="BS53" s="1018">
        <f t="shared" ca="1" si="61"/>
        <v>42.459999999999994</v>
      </c>
      <c r="BT53" s="1018">
        <f t="shared" ca="1" si="62"/>
        <v>38.4</v>
      </c>
      <c r="BU53" s="1018">
        <f t="shared" ca="1" si="63"/>
        <v>7</v>
      </c>
      <c r="BV53" s="1018">
        <f t="shared" ca="1" si="64"/>
        <v>4.3</v>
      </c>
      <c r="BW53" s="1018">
        <v>0</v>
      </c>
      <c r="BX53" s="1018">
        <f t="shared" ca="1" si="65"/>
        <v>19.185819793205319</v>
      </c>
      <c r="BY53" s="1018">
        <f t="shared" ca="1" si="66"/>
        <v>95.716084484159211</v>
      </c>
      <c r="BZ53" s="1018">
        <f t="shared" ca="1" si="16"/>
        <v>42.251885199774904</v>
      </c>
      <c r="CA53" s="1018">
        <f t="shared" ca="1" si="17"/>
        <v>19.249999989412501</v>
      </c>
      <c r="CB53" s="1018">
        <f t="shared" ca="1" si="67"/>
        <v>9.0267175572519083</v>
      </c>
      <c r="CC53" s="1018">
        <f t="shared" si="18"/>
        <v>0</v>
      </c>
      <c r="CD53" s="1018">
        <f t="shared" ca="1" si="71"/>
        <v>185.43050702380384</v>
      </c>
      <c r="CE53" s="1018">
        <f t="shared" ca="1" si="72"/>
        <v>58.755316272361483</v>
      </c>
      <c r="CF53" s="1018">
        <f t="shared" ca="1" si="21"/>
        <v>7.3255746988849593</v>
      </c>
      <c r="CG53" s="1018">
        <f t="shared" ca="1" si="22"/>
        <v>12196.788850655499</v>
      </c>
    </row>
    <row r="54" spans="4:85" x14ac:dyDescent="0.25">
      <c r="D54" s="634"/>
      <c r="E54" s="633"/>
      <c r="F54" s="634"/>
      <c r="G54" s="633"/>
      <c r="H54" s="634"/>
      <c r="I54" s="633"/>
      <c r="J54" s="639"/>
      <c r="K54" s="634"/>
      <c r="L54" s="634"/>
      <c r="M54" s="634"/>
      <c r="N54" s="634"/>
      <c r="O54" s="634" t="s">
        <v>18</v>
      </c>
      <c r="P54" s="636">
        <v>0.80827067699999999</v>
      </c>
      <c r="Q54" s="634" t="s">
        <v>7</v>
      </c>
      <c r="R54" s="636">
        <v>0.46289999999999998</v>
      </c>
      <c r="S54" s="634"/>
      <c r="T54" s="644">
        <v>1.0317151529318207E-2</v>
      </c>
      <c r="U54" s="633"/>
      <c r="V54" s="176">
        <f t="shared" si="11"/>
        <v>1.0317151529318207E-2</v>
      </c>
      <c r="W54" s="176">
        <f t="shared" si="68"/>
        <v>1.0317151529318207E-2</v>
      </c>
      <c r="X54" s="176">
        <f t="shared" si="68"/>
        <v>1.0317151529318207E-2</v>
      </c>
      <c r="Y54" s="34">
        <f>X54/Calculation_sheet!M$67</f>
        <v>1.0317362478220911E-2</v>
      </c>
      <c r="Z54" s="176">
        <f ca="1">IF(AN54&gt;0,Y54*Calculation_sheet!C$87,0)</f>
        <v>0</v>
      </c>
      <c r="AA54" s="176">
        <f t="shared" ca="1" si="69"/>
        <v>1.0317362478220911E-2</v>
      </c>
      <c r="AB54" s="176">
        <f ca="1">IF(AP54&gt;0,AA54*Calculation_sheet!C$94,0)</f>
        <v>0</v>
      </c>
      <c r="AC54" s="176">
        <f t="shared" ca="1" si="57"/>
        <v>1.0317362478220911E-2</v>
      </c>
      <c r="AD54" s="958">
        <f ca="1">AC54*Calculation_sheet!C$99</f>
        <v>6.1904174869325465E-3</v>
      </c>
      <c r="AE54" s="176">
        <f t="shared" ca="1" si="57"/>
        <v>4.1269449912883643E-3</v>
      </c>
      <c r="AF54" s="176">
        <f t="shared" ca="1" si="70"/>
        <v>1.0317362478220911E-2</v>
      </c>
      <c r="AG54" s="958">
        <f ca="1">AF54*User_sheet!B$77/100</f>
        <v>0</v>
      </c>
      <c r="AH54" s="313"/>
      <c r="AI54">
        <v>301</v>
      </c>
      <c r="AK54" s="1018">
        <f t="shared" ca="1" si="15"/>
        <v>185.43050702380384</v>
      </c>
      <c r="AL54" s="924">
        <f ca="1">AK54/'301'!I$24</f>
        <v>1.4692685531892609</v>
      </c>
      <c r="AM54" s="924">
        <f ca="1">0.8*(AK54*30+'301'!D$17*0.34*30*1)</f>
        <v>6541.903368571292</v>
      </c>
      <c r="AN54" s="954">
        <f ca="1">IF(AM54&lt;User_sheet!B$50,Y54,0)</f>
        <v>1.0317362478220911E-2</v>
      </c>
      <c r="AO54" s="954">
        <f ca="1">20-(User_sheet!B$57/(AK54+'301'!D$17*1*0.34))</f>
        <v>-0.91134526034373309</v>
      </c>
      <c r="AP54" s="954">
        <f ca="1">IF(AO54&lt;User_sheet!B$59,0,BC54*AA54)</f>
        <v>0</v>
      </c>
      <c r="AR54" s="2">
        <v>0.48</v>
      </c>
      <c r="AS54" s="2">
        <v>3.7</v>
      </c>
      <c r="AT54" s="2">
        <v>7.9</v>
      </c>
      <c r="AU54" s="2">
        <v>2.75</v>
      </c>
      <c r="AV54" s="2">
        <v>3.3</v>
      </c>
      <c r="AW54" s="2">
        <v>10916.451096266603</v>
      </c>
      <c r="AX54" s="2">
        <v>76466.30421774846</v>
      </c>
      <c r="AY54" s="2">
        <v>67352.647733737584</v>
      </c>
      <c r="AZ54" s="2">
        <v>0</v>
      </c>
      <c r="BA54" s="2">
        <v>0</v>
      </c>
      <c r="BB54" s="2">
        <v>0.6</v>
      </c>
      <c r="BC54" s="30">
        <v>0</v>
      </c>
      <c r="BD54" s="34">
        <v>1</v>
      </c>
      <c r="BE54" s="34">
        <v>0</v>
      </c>
      <c r="BF54" s="40">
        <v>0</v>
      </c>
      <c r="BG54" s="2">
        <v>1</v>
      </c>
      <c r="BH54" s="2">
        <v>0</v>
      </c>
      <c r="BI54" s="40">
        <v>0</v>
      </c>
      <c r="BJ54" s="2">
        <v>0</v>
      </c>
      <c r="BK54" s="2">
        <v>0</v>
      </c>
      <c r="BL54" s="2">
        <v>1</v>
      </c>
      <c r="BM54" s="40">
        <v>0</v>
      </c>
      <c r="BN54" s="958">
        <v>0</v>
      </c>
      <c r="BO54" s="959">
        <v>14.9</v>
      </c>
      <c r="BP54" s="1018">
        <f t="shared" ca="1" si="58"/>
        <v>115.19999999999999</v>
      </c>
      <c r="BQ54" s="1018">
        <f t="shared" ca="1" si="59"/>
        <v>191.51999999999995</v>
      </c>
      <c r="BR54" s="1018">
        <f t="shared" ca="1" si="60"/>
        <v>43.295999999999999</v>
      </c>
      <c r="BS54" s="1018">
        <f t="shared" ca="1" si="61"/>
        <v>42.459999999999994</v>
      </c>
      <c r="BT54" s="1018">
        <f t="shared" ca="1" si="62"/>
        <v>38.4</v>
      </c>
      <c r="BU54" s="1018">
        <f t="shared" ca="1" si="63"/>
        <v>7</v>
      </c>
      <c r="BV54" s="1018">
        <f t="shared" ca="1" si="64"/>
        <v>4.3</v>
      </c>
      <c r="BW54" s="1018">
        <v>0</v>
      </c>
      <c r="BX54" s="1018">
        <f t="shared" ca="1" si="65"/>
        <v>19.185819793205319</v>
      </c>
      <c r="BY54" s="1018">
        <f t="shared" ca="1" si="66"/>
        <v>95.716084484159211</v>
      </c>
      <c r="BZ54" s="1018">
        <f t="shared" ca="1" si="16"/>
        <v>42.251885199774904</v>
      </c>
      <c r="CA54" s="1018">
        <f t="shared" ca="1" si="17"/>
        <v>19.249999989412501</v>
      </c>
      <c r="CB54" s="1018">
        <f t="shared" ca="1" si="67"/>
        <v>9.0267175572519083</v>
      </c>
      <c r="CC54" s="1018">
        <f t="shared" si="18"/>
        <v>0</v>
      </c>
      <c r="CD54" s="1018">
        <f t="shared" ca="1" si="71"/>
        <v>185.43050702380384</v>
      </c>
      <c r="CE54" s="1018">
        <f t="shared" ca="1" si="72"/>
        <v>58.755316272361483</v>
      </c>
      <c r="CF54" s="1018">
        <f t="shared" ca="1" si="21"/>
        <v>7.3255746988849593</v>
      </c>
      <c r="CG54" s="1018">
        <f t="shared" ca="1" si="22"/>
        <v>12196.788850655499</v>
      </c>
    </row>
    <row r="55" spans="4:85" x14ac:dyDescent="0.25">
      <c r="D55" s="634"/>
      <c r="E55" s="633"/>
      <c r="F55" s="634"/>
      <c r="G55" s="633"/>
      <c r="H55" s="634"/>
      <c r="I55" s="633"/>
      <c r="J55" s="639"/>
      <c r="K55" s="634"/>
      <c r="L55" s="634"/>
      <c r="M55" s="634"/>
      <c r="N55" s="634"/>
      <c r="O55" s="634"/>
      <c r="P55" s="634"/>
      <c r="Q55" s="634" t="s">
        <v>22</v>
      </c>
      <c r="R55" s="636">
        <v>0.53710000000000002</v>
      </c>
      <c r="S55" s="634"/>
      <c r="T55" s="644">
        <v>2.8396152249876832E-3</v>
      </c>
      <c r="U55" s="633"/>
      <c r="V55" s="176">
        <f t="shared" si="11"/>
        <v>2.8396152249876832E-3</v>
      </c>
      <c r="W55" s="176">
        <f t="shared" si="68"/>
        <v>2.8396152249876832E-3</v>
      </c>
      <c r="X55" s="176">
        <f t="shared" si="68"/>
        <v>2.8396152249876832E-3</v>
      </c>
      <c r="Y55" s="34">
        <f>X55/Calculation_sheet!M$67</f>
        <v>2.8396732849777988E-3</v>
      </c>
      <c r="Z55" s="176">
        <f ca="1">IF(AN55&gt;0,Y55*Calculation_sheet!C$87,0)</f>
        <v>0</v>
      </c>
      <c r="AA55" s="176">
        <f t="shared" ca="1" si="69"/>
        <v>2.8396732849777988E-3</v>
      </c>
      <c r="AB55" s="176">
        <f ca="1">IF(AP55&gt;0,AA55*Calculation_sheet!C$94,0)</f>
        <v>0</v>
      </c>
      <c r="AC55" s="176">
        <f t="shared" ca="1" si="57"/>
        <v>2.8396732849777988E-3</v>
      </c>
      <c r="AD55" s="958">
        <f ca="1">AC55*Calculation_sheet!C$99</f>
        <v>1.7038039709866791E-3</v>
      </c>
      <c r="AE55" s="176">
        <f t="shared" ca="1" si="57"/>
        <v>1.1358693139911196E-3</v>
      </c>
      <c r="AF55" s="176">
        <f t="shared" ca="1" si="70"/>
        <v>2.8396732849777988E-3</v>
      </c>
      <c r="AG55" s="958">
        <f ca="1">AF55*User_sheet!B$77/100</f>
        <v>0</v>
      </c>
      <c r="AH55" s="313"/>
      <c r="AI55">
        <v>301</v>
      </c>
      <c r="AK55" s="1018">
        <f t="shared" ca="1" si="15"/>
        <v>185.43050702380384</v>
      </c>
      <c r="AL55" s="924">
        <f ca="1">AK55/'301'!I$24</f>
        <v>1.4692685531892609</v>
      </c>
      <c r="AM55" s="924">
        <f ca="1">0.8*(AK55*30+'301'!D$17*0.34*30*1)</f>
        <v>6541.903368571292</v>
      </c>
      <c r="AN55" s="954">
        <f ca="1">IF(AM55&lt;User_sheet!B$50,Y55,0)</f>
        <v>2.8396732849777988E-3</v>
      </c>
      <c r="AO55" s="954">
        <f ca="1">20-(User_sheet!B$57/(AK55+'301'!D$17*1*0.34))</f>
        <v>-0.91134526034373309</v>
      </c>
      <c r="AP55" s="954">
        <f ca="1">IF(AO55&lt;User_sheet!B$59,0,BC55*AA55)</f>
        <v>0</v>
      </c>
      <c r="AR55" s="2">
        <v>0.48</v>
      </c>
      <c r="AS55" s="2">
        <v>3.7</v>
      </c>
      <c r="AT55" s="2">
        <v>7.9</v>
      </c>
      <c r="AU55" s="2">
        <v>2.75</v>
      </c>
      <c r="AV55" s="2">
        <v>3.3</v>
      </c>
      <c r="AW55" s="2">
        <v>10916.451096266603</v>
      </c>
      <c r="AX55" s="2">
        <v>76466.30421774846</v>
      </c>
      <c r="AY55" s="2">
        <v>67352.647733737584</v>
      </c>
      <c r="AZ55" s="2">
        <v>0</v>
      </c>
      <c r="BA55" s="2">
        <v>0</v>
      </c>
      <c r="BB55" s="2">
        <v>0.6</v>
      </c>
      <c r="BC55" s="30">
        <v>0</v>
      </c>
      <c r="BD55" s="34">
        <v>1</v>
      </c>
      <c r="BE55" s="34">
        <v>0</v>
      </c>
      <c r="BF55" s="40">
        <v>0</v>
      </c>
      <c r="BG55" s="2">
        <v>0</v>
      </c>
      <c r="BH55" s="2">
        <v>1</v>
      </c>
      <c r="BI55" s="40">
        <v>0</v>
      </c>
      <c r="BJ55" s="2">
        <v>0</v>
      </c>
      <c r="BK55" s="2">
        <v>1</v>
      </c>
      <c r="BL55" s="2">
        <v>0</v>
      </c>
      <c r="BM55" s="40">
        <v>0</v>
      </c>
      <c r="BN55" s="958">
        <v>0</v>
      </c>
      <c r="BO55" s="959">
        <v>14.9</v>
      </c>
      <c r="BP55" s="1018">
        <f t="shared" ca="1" si="58"/>
        <v>115.19999999999999</v>
      </c>
      <c r="BQ55" s="1018">
        <f t="shared" ca="1" si="59"/>
        <v>191.51999999999995</v>
      </c>
      <c r="BR55" s="1018">
        <f t="shared" ca="1" si="60"/>
        <v>43.295999999999999</v>
      </c>
      <c r="BS55" s="1018">
        <f t="shared" ca="1" si="61"/>
        <v>42.459999999999994</v>
      </c>
      <c r="BT55" s="1018">
        <f t="shared" ca="1" si="62"/>
        <v>38.4</v>
      </c>
      <c r="BU55" s="1018">
        <f t="shared" ca="1" si="63"/>
        <v>7</v>
      </c>
      <c r="BV55" s="1018">
        <f t="shared" ca="1" si="64"/>
        <v>4.3</v>
      </c>
      <c r="BW55" s="1018">
        <v>0</v>
      </c>
      <c r="BX55" s="1018">
        <f t="shared" ca="1" si="65"/>
        <v>19.185819793205319</v>
      </c>
      <c r="BY55" s="1018">
        <f t="shared" ca="1" si="66"/>
        <v>95.716084484159211</v>
      </c>
      <c r="BZ55" s="1018">
        <f t="shared" ca="1" si="16"/>
        <v>42.251885199774904</v>
      </c>
      <c r="CA55" s="1018">
        <f t="shared" ca="1" si="17"/>
        <v>19.249999989412501</v>
      </c>
      <c r="CB55" s="1018">
        <f t="shared" ca="1" si="67"/>
        <v>9.0267175572519083</v>
      </c>
      <c r="CC55" s="1018">
        <f t="shared" si="18"/>
        <v>0</v>
      </c>
      <c r="CD55" s="1018">
        <f t="shared" ca="1" si="71"/>
        <v>185.43050702380384</v>
      </c>
      <c r="CE55" s="1018">
        <f t="shared" ca="1" si="72"/>
        <v>58.755316272361483</v>
      </c>
      <c r="CF55" s="1018">
        <f t="shared" ca="1" si="21"/>
        <v>7.3255746988849593</v>
      </c>
      <c r="CG55" s="1018">
        <f t="shared" ca="1" si="22"/>
        <v>12196.788850655499</v>
      </c>
    </row>
    <row r="56" spans="4:85" x14ac:dyDescent="0.25">
      <c r="D56" s="634"/>
      <c r="E56" s="633"/>
      <c r="F56" s="634"/>
      <c r="G56" s="633"/>
      <c r="H56" s="634"/>
      <c r="I56" s="633"/>
      <c r="J56" s="639"/>
      <c r="K56" s="634"/>
      <c r="L56" s="634"/>
      <c r="M56" s="634" t="s">
        <v>22</v>
      </c>
      <c r="N56" s="636">
        <v>0.44680851100000002</v>
      </c>
      <c r="O56" s="634" t="s">
        <v>20</v>
      </c>
      <c r="P56" s="636">
        <v>0.19172932300000001</v>
      </c>
      <c r="Q56" s="634" t="s">
        <v>7</v>
      </c>
      <c r="R56" s="636">
        <v>0.46289999999999998</v>
      </c>
      <c r="S56" s="634"/>
      <c r="T56" s="644">
        <v>2.4473243113885658E-3</v>
      </c>
      <c r="U56" s="633"/>
      <c r="V56" s="176">
        <f t="shared" si="11"/>
        <v>2.4473243113885658E-3</v>
      </c>
      <c r="W56" s="176">
        <f t="shared" si="68"/>
        <v>2.4473243113885658E-3</v>
      </c>
      <c r="X56" s="176">
        <f t="shared" si="68"/>
        <v>2.4473243113885658E-3</v>
      </c>
      <c r="Y56" s="34">
        <f>X56/Calculation_sheet!M$67</f>
        <v>2.4473743504305032E-3</v>
      </c>
      <c r="Z56" s="176">
        <f ca="1">IF(AN56&gt;0,Y56*Calculation_sheet!C$87,0)</f>
        <v>0</v>
      </c>
      <c r="AA56" s="176">
        <f t="shared" ca="1" si="69"/>
        <v>2.4473743504305032E-3</v>
      </c>
      <c r="AB56" s="176">
        <f ca="1">IF(AP56&gt;0,AA56*Calculation_sheet!C$94,0)</f>
        <v>0</v>
      </c>
      <c r="AC56" s="176">
        <f t="shared" ca="1" si="57"/>
        <v>2.4473743504305032E-3</v>
      </c>
      <c r="AD56" s="958">
        <f ca="1">AC56*Calculation_sheet!C$99</f>
        <v>1.4684246102583019E-3</v>
      </c>
      <c r="AE56" s="176">
        <f t="shared" ca="1" si="57"/>
        <v>9.7894974017220132E-4</v>
      </c>
      <c r="AF56" s="176">
        <f t="shared" ca="1" si="70"/>
        <v>2.4473743504305032E-3</v>
      </c>
      <c r="AG56" s="958">
        <f ca="1">AF56*User_sheet!B$77/100</f>
        <v>0</v>
      </c>
      <c r="AH56" s="313"/>
      <c r="AI56">
        <v>301</v>
      </c>
      <c r="AK56" s="1018">
        <f t="shared" ca="1" si="15"/>
        <v>185.43050702380384</v>
      </c>
      <c r="AL56" s="924">
        <f ca="1">AK56/'301'!I$24</f>
        <v>1.4692685531892609</v>
      </c>
      <c r="AM56" s="924">
        <f ca="1">0.8*(AK56*30+'301'!D$17*0.34*30*1)</f>
        <v>6541.903368571292</v>
      </c>
      <c r="AN56" s="954">
        <f ca="1">IF(AM56&lt;User_sheet!B$50,Y56,0)</f>
        <v>2.4473743504305032E-3</v>
      </c>
      <c r="AO56" s="954">
        <f ca="1">20-(User_sheet!B$57/(AK56+'301'!D$17*1*0.34))</f>
        <v>-0.91134526034373309</v>
      </c>
      <c r="AP56" s="954">
        <f ca="1">IF(AO56&lt;User_sheet!B$59,0,BC56*AA56)</f>
        <v>0</v>
      </c>
      <c r="AR56" s="2">
        <v>0.48</v>
      </c>
      <c r="AS56" s="2">
        <v>3.7</v>
      </c>
      <c r="AT56" s="2">
        <v>7.9</v>
      </c>
      <c r="AU56" s="2">
        <v>2.75</v>
      </c>
      <c r="AV56" s="2">
        <v>3.3</v>
      </c>
      <c r="AW56" s="2">
        <v>10916.451096266603</v>
      </c>
      <c r="AX56" s="2">
        <v>76466.30421774846</v>
      </c>
      <c r="AY56" s="2">
        <v>67352.647733737584</v>
      </c>
      <c r="AZ56" s="2">
        <v>0</v>
      </c>
      <c r="BA56" s="2">
        <v>0</v>
      </c>
      <c r="BB56" s="2">
        <v>0.6</v>
      </c>
      <c r="BC56" s="30">
        <v>0</v>
      </c>
      <c r="BD56" s="34">
        <v>1</v>
      </c>
      <c r="BE56" s="34">
        <v>0</v>
      </c>
      <c r="BF56" s="40">
        <v>0</v>
      </c>
      <c r="BG56" s="2">
        <v>0</v>
      </c>
      <c r="BH56" s="2">
        <v>1</v>
      </c>
      <c r="BI56" s="40">
        <v>0</v>
      </c>
      <c r="BJ56" s="2">
        <v>0</v>
      </c>
      <c r="BK56" s="2">
        <v>0</v>
      </c>
      <c r="BL56" s="2">
        <v>1</v>
      </c>
      <c r="BM56" s="40">
        <v>0</v>
      </c>
      <c r="BN56" s="958">
        <v>0</v>
      </c>
      <c r="BO56" s="959">
        <v>14.9</v>
      </c>
      <c r="BP56" s="1018">
        <f t="shared" ca="1" si="58"/>
        <v>115.19999999999999</v>
      </c>
      <c r="BQ56" s="1018">
        <f t="shared" ca="1" si="59"/>
        <v>191.51999999999995</v>
      </c>
      <c r="BR56" s="1018">
        <f t="shared" ca="1" si="60"/>
        <v>43.295999999999999</v>
      </c>
      <c r="BS56" s="1018">
        <f t="shared" ca="1" si="61"/>
        <v>42.459999999999994</v>
      </c>
      <c r="BT56" s="1018">
        <f t="shared" ca="1" si="62"/>
        <v>38.4</v>
      </c>
      <c r="BU56" s="1018">
        <f t="shared" ca="1" si="63"/>
        <v>7</v>
      </c>
      <c r="BV56" s="1018">
        <f t="shared" ca="1" si="64"/>
        <v>4.3</v>
      </c>
      <c r="BW56" s="1018">
        <v>0</v>
      </c>
      <c r="BX56" s="1018">
        <f t="shared" ca="1" si="65"/>
        <v>19.185819793205319</v>
      </c>
      <c r="BY56" s="1018">
        <f t="shared" ca="1" si="66"/>
        <v>95.716084484159211</v>
      </c>
      <c r="BZ56" s="1018">
        <f t="shared" ca="1" si="16"/>
        <v>42.251885199774904</v>
      </c>
      <c r="CA56" s="1018">
        <f t="shared" ca="1" si="17"/>
        <v>19.249999989412501</v>
      </c>
      <c r="CB56" s="1018">
        <f t="shared" ca="1" si="67"/>
        <v>9.0267175572519083</v>
      </c>
      <c r="CC56" s="1018">
        <f t="shared" si="18"/>
        <v>0</v>
      </c>
      <c r="CD56" s="1018">
        <f t="shared" ca="1" si="71"/>
        <v>185.43050702380384</v>
      </c>
      <c r="CE56" s="1018">
        <f t="shared" ca="1" si="72"/>
        <v>58.755316272361483</v>
      </c>
      <c r="CF56" s="1018">
        <f t="shared" ca="1" si="21"/>
        <v>7.3255746988849593</v>
      </c>
      <c r="CG56" s="1018">
        <f t="shared" ca="1" si="22"/>
        <v>12196.788850655499</v>
      </c>
    </row>
    <row r="57" spans="4:85" x14ac:dyDescent="0.25">
      <c r="D57" s="634"/>
      <c r="E57" s="633"/>
      <c r="F57" s="634"/>
      <c r="G57" s="633"/>
      <c r="H57" s="634"/>
      <c r="I57" s="633"/>
      <c r="J57" s="639"/>
      <c r="K57" s="634"/>
      <c r="L57" s="634"/>
      <c r="M57" s="634" t="s">
        <v>7</v>
      </c>
      <c r="N57" s="636">
        <v>2.1276595999999998E-2</v>
      </c>
      <c r="O57" s="634" t="s">
        <v>23</v>
      </c>
      <c r="P57" s="636">
        <v>1</v>
      </c>
      <c r="Q57" s="634" t="s">
        <v>7</v>
      </c>
      <c r="R57" s="636">
        <v>1</v>
      </c>
      <c r="S57" s="634"/>
      <c r="T57" s="644">
        <v>1.3130961108073673E-3</v>
      </c>
      <c r="U57" s="633"/>
      <c r="V57" s="176">
        <f t="shared" si="11"/>
        <v>1.3130961108073673E-3</v>
      </c>
      <c r="W57" s="176">
        <f t="shared" si="68"/>
        <v>1.3130961108073673E-3</v>
      </c>
      <c r="X57" s="176">
        <f t="shared" si="68"/>
        <v>1.3130961108073673E-3</v>
      </c>
      <c r="Y57" s="34">
        <f>X57/Calculation_sheet!M$67</f>
        <v>1.3131229589333187E-3</v>
      </c>
      <c r="Z57" s="176">
        <f ca="1">IF(AN57&gt;0,Y57*Calculation_sheet!C$87,0)</f>
        <v>0</v>
      </c>
      <c r="AA57" s="176">
        <f t="shared" ca="1" si="69"/>
        <v>1.3131229589333187E-3</v>
      </c>
      <c r="AB57" s="176">
        <f ca="1">IF(AP57&gt;0,AA57*Calculation_sheet!C$94,0)</f>
        <v>0</v>
      </c>
      <c r="AC57" s="176">
        <f t="shared" ca="1" si="57"/>
        <v>1.3131229589333187E-3</v>
      </c>
      <c r="AD57" s="958">
        <f ca="1">AC57*Calculation_sheet!C$99</f>
        <v>7.8787377535999119E-4</v>
      </c>
      <c r="AE57" s="176">
        <f t="shared" ca="1" si="57"/>
        <v>5.2524918357332753E-4</v>
      </c>
      <c r="AF57" s="176">
        <f t="shared" ca="1" si="70"/>
        <v>1.3131229589333187E-3</v>
      </c>
      <c r="AG57" s="958">
        <f ca="1">AF57*User_sheet!B$77/100</f>
        <v>0</v>
      </c>
      <c r="AH57" s="313"/>
      <c r="AI57">
        <v>301</v>
      </c>
      <c r="AK57" s="1018">
        <f t="shared" ca="1" si="15"/>
        <v>185.43050702380384</v>
      </c>
      <c r="AL57" s="924">
        <f ca="1">AK57/'301'!I$24</f>
        <v>1.4692685531892609</v>
      </c>
      <c r="AM57" s="924">
        <f ca="1">0.8*(AK57*30+'301'!D$17*0.34*30*1)</f>
        <v>6541.903368571292</v>
      </c>
      <c r="AN57" s="954">
        <f ca="1">IF(AM57&lt;User_sheet!B$50,Y57,0)</f>
        <v>1.3131229589333187E-3</v>
      </c>
      <c r="AO57" s="954">
        <f ca="1">20-(User_sheet!B$57/(AK57+'301'!D$17*1*0.34))</f>
        <v>-0.91134526034373309</v>
      </c>
      <c r="AP57" s="954">
        <f ca="1">IF(AO57&lt;User_sheet!B$59,0,BC57*AA57)</f>
        <v>0</v>
      </c>
      <c r="AR57" s="2">
        <v>0.48</v>
      </c>
      <c r="AS57" s="2">
        <v>3.7</v>
      </c>
      <c r="AT57" s="2">
        <v>7.9</v>
      </c>
      <c r="AU57" s="2">
        <v>2.75</v>
      </c>
      <c r="AV57" s="2">
        <v>3.3</v>
      </c>
      <c r="AW57" s="2">
        <v>10916.451096266603</v>
      </c>
      <c r="AX57" s="2">
        <v>76466.30421774846</v>
      </c>
      <c r="AY57" s="2">
        <v>67352.647733737584</v>
      </c>
      <c r="AZ57" s="2">
        <v>0</v>
      </c>
      <c r="BA57" s="2">
        <v>0</v>
      </c>
      <c r="BB57" s="2">
        <v>0.6</v>
      </c>
      <c r="BC57" s="30">
        <v>0</v>
      </c>
      <c r="BD57" s="34">
        <v>0</v>
      </c>
      <c r="BE57" s="34">
        <v>1</v>
      </c>
      <c r="BF57" s="40">
        <v>0</v>
      </c>
      <c r="BG57" s="2">
        <v>0</v>
      </c>
      <c r="BH57" s="2">
        <v>0</v>
      </c>
      <c r="BI57" s="40">
        <v>1</v>
      </c>
      <c r="BJ57" s="2">
        <v>0</v>
      </c>
      <c r="BK57" s="2">
        <v>0</v>
      </c>
      <c r="BL57" s="2">
        <v>1</v>
      </c>
      <c r="BM57" s="40">
        <v>0</v>
      </c>
      <c r="BN57" s="958">
        <v>0</v>
      </c>
      <c r="BO57" s="959">
        <v>14.9</v>
      </c>
      <c r="BP57" s="1018">
        <f t="shared" ca="1" si="58"/>
        <v>115.19999999999999</v>
      </c>
      <c r="BQ57" s="1018">
        <f t="shared" ca="1" si="59"/>
        <v>191.51999999999995</v>
      </c>
      <c r="BR57" s="1018">
        <f t="shared" ca="1" si="60"/>
        <v>43.295999999999999</v>
      </c>
      <c r="BS57" s="1018">
        <f t="shared" ca="1" si="61"/>
        <v>42.459999999999994</v>
      </c>
      <c r="BT57" s="1018">
        <f t="shared" ca="1" si="62"/>
        <v>38.4</v>
      </c>
      <c r="BU57" s="1018">
        <f t="shared" ca="1" si="63"/>
        <v>7</v>
      </c>
      <c r="BV57" s="1018">
        <f t="shared" ca="1" si="64"/>
        <v>4.3</v>
      </c>
      <c r="BW57" s="1018">
        <v>0</v>
      </c>
      <c r="BX57" s="1018">
        <f t="shared" ca="1" si="65"/>
        <v>19.185819793205319</v>
      </c>
      <c r="BY57" s="1018">
        <f t="shared" ca="1" si="66"/>
        <v>95.716084484159211</v>
      </c>
      <c r="BZ57" s="1018">
        <f t="shared" ca="1" si="16"/>
        <v>42.251885199774904</v>
      </c>
      <c r="CA57" s="1018">
        <f t="shared" ca="1" si="17"/>
        <v>19.249999989412501</v>
      </c>
      <c r="CB57" s="1018">
        <f t="shared" ca="1" si="67"/>
        <v>9.0267175572519083</v>
      </c>
      <c r="CC57" s="1018">
        <f t="shared" si="18"/>
        <v>0</v>
      </c>
      <c r="CD57" s="1018">
        <f t="shared" ca="1" si="71"/>
        <v>185.43050702380384</v>
      </c>
      <c r="CE57" s="1018">
        <f t="shared" ca="1" si="72"/>
        <v>58.755316272361483</v>
      </c>
      <c r="CF57" s="1018">
        <f t="shared" ca="1" si="21"/>
        <v>7.3255746988849593</v>
      </c>
      <c r="CG57" s="1018">
        <f t="shared" ca="1" si="22"/>
        <v>12196.788850655499</v>
      </c>
    </row>
    <row r="58" spans="4:85" x14ac:dyDescent="0.25">
      <c r="D58" s="634"/>
      <c r="E58" s="633"/>
      <c r="F58" s="634"/>
      <c r="G58" s="633"/>
      <c r="H58" s="634"/>
      <c r="I58" s="633"/>
      <c r="J58" s="634"/>
      <c r="K58" s="634"/>
      <c r="L58" s="634"/>
      <c r="M58" s="634"/>
      <c r="N58" s="634"/>
      <c r="O58" s="634" t="s">
        <v>18</v>
      </c>
      <c r="P58" s="636">
        <v>0.15910607099999999</v>
      </c>
      <c r="Q58" s="634" t="s">
        <v>17</v>
      </c>
      <c r="R58" s="636">
        <v>1</v>
      </c>
      <c r="S58" s="634"/>
      <c r="T58" s="644">
        <v>8.3568624232444988E-4</v>
      </c>
      <c r="U58" s="633"/>
      <c r="V58" s="176">
        <f t="shared" si="11"/>
        <v>8.3568624232444988E-4</v>
      </c>
      <c r="W58" s="176">
        <f t="shared" si="68"/>
        <v>8.3568624232444988E-4</v>
      </c>
      <c r="X58" s="176">
        <f t="shared" si="68"/>
        <v>8.3568624232444988E-4</v>
      </c>
      <c r="Y58" s="34">
        <f>X58/Calculation_sheet!M$67</f>
        <v>8.3570332912358454E-4</v>
      </c>
      <c r="Z58" s="176">
        <f ca="1">IF(AN58&gt;0,Y58*Calculation_sheet!C$87,0)</f>
        <v>0</v>
      </c>
      <c r="AA58" s="176">
        <f t="shared" ca="1" si="69"/>
        <v>8.3570332912358454E-4</v>
      </c>
      <c r="AB58" s="176">
        <f ca="1">IF(AP58&gt;0,AA58*Calculation_sheet!C$94,0)</f>
        <v>0</v>
      </c>
      <c r="AC58" s="176">
        <f t="shared" ca="1" si="57"/>
        <v>8.3570332912358454E-4</v>
      </c>
      <c r="AD58" s="958">
        <f ca="1">AC58*Calculation_sheet!C$99</f>
        <v>5.0142199747415074E-4</v>
      </c>
      <c r="AE58" s="176">
        <f t="shared" ca="1" si="57"/>
        <v>3.3428133164943379E-4</v>
      </c>
      <c r="AF58" s="176">
        <f t="shared" ca="1" si="70"/>
        <v>8.3570332912358454E-4</v>
      </c>
      <c r="AG58" s="958">
        <f ca="1">AF58*User_sheet!B$77/100</f>
        <v>0</v>
      </c>
      <c r="AH58" s="313"/>
      <c r="AI58">
        <v>301</v>
      </c>
      <c r="AK58" s="1018">
        <f t="shared" ca="1" si="15"/>
        <v>185.43050702380384</v>
      </c>
      <c r="AL58" s="924">
        <f ca="1">AK58/'301'!I$24</f>
        <v>1.4692685531892609</v>
      </c>
      <c r="AM58" s="924">
        <f ca="1">0.8*(AK58*30+'301'!D$17*0.34*30*1)</f>
        <v>6541.903368571292</v>
      </c>
      <c r="AN58" s="954">
        <f ca="1">IF(AM58&lt;User_sheet!B$50,Y58,0)</f>
        <v>8.3570332912358454E-4</v>
      </c>
      <c r="AO58" s="954">
        <f ca="1">20-(User_sheet!B$57/(AK58+'301'!D$17*1*0.34))</f>
        <v>-0.91134526034373309</v>
      </c>
      <c r="AP58" s="954">
        <f ca="1">IF(AO58&lt;User_sheet!B$59,0,BC58*AA58)</f>
        <v>0</v>
      </c>
      <c r="AR58" s="2">
        <v>0.48</v>
      </c>
      <c r="AS58" s="2">
        <v>3.7</v>
      </c>
      <c r="AT58" s="2">
        <v>7.9</v>
      </c>
      <c r="AU58" s="2">
        <v>2.75</v>
      </c>
      <c r="AV58" s="2">
        <v>3.3</v>
      </c>
      <c r="AW58" s="2">
        <v>10916.451096266603</v>
      </c>
      <c r="AX58" s="2">
        <v>76466.30421774846</v>
      </c>
      <c r="AY58" s="2">
        <v>67352.647733737584</v>
      </c>
      <c r="AZ58" s="2">
        <v>0</v>
      </c>
      <c r="BA58" s="2">
        <v>0</v>
      </c>
      <c r="BB58" s="2">
        <v>0.6</v>
      </c>
      <c r="BC58" s="30">
        <v>0</v>
      </c>
      <c r="BD58" s="34">
        <v>0</v>
      </c>
      <c r="BE58" s="34">
        <v>0</v>
      </c>
      <c r="BF58" s="40">
        <v>1</v>
      </c>
      <c r="BG58" s="2">
        <v>1</v>
      </c>
      <c r="BH58" s="2">
        <v>0</v>
      </c>
      <c r="BI58" s="40">
        <v>0</v>
      </c>
      <c r="BJ58" s="2">
        <v>0</v>
      </c>
      <c r="BK58" s="2">
        <v>0</v>
      </c>
      <c r="BL58" s="2">
        <v>0</v>
      </c>
      <c r="BM58" s="40">
        <v>1</v>
      </c>
      <c r="BN58" s="958">
        <v>0</v>
      </c>
      <c r="BO58" s="959">
        <v>14.9</v>
      </c>
      <c r="BP58" s="1018">
        <f t="shared" ca="1" si="58"/>
        <v>115.19999999999999</v>
      </c>
      <c r="BQ58" s="1018">
        <f t="shared" ca="1" si="59"/>
        <v>191.51999999999995</v>
      </c>
      <c r="BR58" s="1018">
        <f t="shared" ca="1" si="60"/>
        <v>43.295999999999999</v>
      </c>
      <c r="BS58" s="1018">
        <f t="shared" ca="1" si="61"/>
        <v>42.459999999999994</v>
      </c>
      <c r="BT58" s="1018">
        <f t="shared" ca="1" si="62"/>
        <v>38.4</v>
      </c>
      <c r="BU58" s="1018">
        <f t="shared" ca="1" si="63"/>
        <v>7</v>
      </c>
      <c r="BV58" s="1018">
        <f t="shared" ca="1" si="64"/>
        <v>4.3</v>
      </c>
      <c r="BW58" s="1018">
        <v>0</v>
      </c>
      <c r="BX58" s="1018">
        <f t="shared" ca="1" si="65"/>
        <v>19.185819793205319</v>
      </c>
      <c r="BY58" s="1018">
        <f t="shared" ca="1" si="66"/>
        <v>95.716084484159211</v>
      </c>
      <c r="BZ58" s="1018">
        <f t="shared" ca="1" si="16"/>
        <v>42.251885199774904</v>
      </c>
      <c r="CA58" s="1018">
        <f t="shared" ca="1" si="17"/>
        <v>19.249999989412501</v>
      </c>
      <c r="CB58" s="1018">
        <f t="shared" ca="1" si="67"/>
        <v>9.0267175572519083</v>
      </c>
      <c r="CC58" s="1018">
        <f t="shared" si="18"/>
        <v>0</v>
      </c>
      <c r="CD58" s="1018">
        <f t="shared" ca="1" si="71"/>
        <v>185.43050702380384</v>
      </c>
      <c r="CE58" s="1018">
        <f t="shared" ca="1" si="72"/>
        <v>58.755316272361483</v>
      </c>
      <c r="CF58" s="1018">
        <f t="shared" ca="1" si="21"/>
        <v>7.3255746988849593</v>
      </c>
      <c r="CG58" s="1018">
        <f t="shared" ca="1" si="22"/>
        <v>12196.788850655499</v>
      </c>
    </row>
    <row r="59" spans="4:85" x14ac:dyDescent="0.25">
      <c r="D59" s="634"/>
      <c r="E59" s="633"/>
      <c r="F59" s="634"/>
      <c r="G59" s="633"/>
      <c r="H59" s="634"/>
      <c r="I59" s="633"/>
      <c r="J59" s="634"/>
      <c r="K59" s="637" t="s">
        <v>13</v>
      </c>
      <c r="L59" s="638">
        <v>0.9889</v>
      </c>
      <c r="M59" s="634" t="s">
        <v>17</v>
      </c>
      <c r="N59" s="636">
        <v>8.5106382999999994E-2</v>
      </c>
      <c r="O59" s="634" t="s">
        <v>19</v>
      </c>
      <c r="P59" s="636">
        <v>0.84089392900000004</v>
      </c>
      <c r="Q59" s="634" t="s">
        <v>17</v>
      </c>
      <c r="R59" s="636">
        <v>1</v>
      </c>
      <c r="S59" s="634"/>
      <c r="T59" s="644">
        <v>4.4166981391895021E-3</v>
      </c>
      <c r="U59" s="633"/>
      <c r="V59" s="176">
        <f t="shared" si="11"/>
        <v>4.4166981391895021E-3</v>
      </c>
      <c r="W59" s="176">
        <f t="shared" si="68"/>
        <v>4.4166981391895021E-3</v>
      </c>
      <c r="X59" s="176">
        <f t="shared" si="68"/>
        <v>4.4166981391895021E-3</v>
      </c>
      <c r="Y59" s="34">
        <f>X59/Calculation_sheet!M$67</f>
        <v>4.4167884448929112E-3</v>
      </c>
      <c r="Z59" s="176">
        <f ca="1">IF(AN59&gt;0,Y59*Calculation_sheet!C$87,0)</f>
        <v>0</v>
      </c>
      <c r="AA59" s="176">
        <f t="shared" ca="1" si="69"/>
        <v>4.4167884448929112E-3</v>
      </c>
      <c r="AB59" s="176">
        <f ca="1">IF(AP59&gt;0,AA59*Calculation_sheet!C$94,0)</f>
        <v>0</v>
      </c>
      <c r="AC59" s="176">
        <f t="shared" ca="1" si="57"/>
        <v>4.4167884448929112E-3</v>
      </c>
      <c r="AD59" s="958">
        <f ca="1">AC59*Calculation_sheet!C$99</f>
        <v>2.6500730669357466E-3</v>
      </c>
      <c r="AE59" s="176">
        <f t="shared" ca="1" si="57"/>
        <v>1.7667153779571646E-3</v>
      </c>
      <c r="AF59" s="176">
        <f t="shared" ca="1" si="70"/>
        <v>4.4167884448929112E-3</v>
      </c>
      <c r="AG59" s="958">
        <f ca="1">AF59*User_sheet!B$77/100</f>
        <v>0</v>
      </c>
      <c r="AH59" s="313"/>
      <c r="AI59">
        <v>301</v>
      </c>
      <c r="AK59" s="1018">
        <f t="shared" ca="1" si="15"/>
        <v>185.43050702380384</v>
      </c>
      <c r="AL59" s="924">
        <f ca="1">AK59/'301'!I$24</f>
        <v>1.4692685531892609</v>
      </c>
      <c r="AM59" s="924">
        <f ca="1">0.8*(AK59*30+'301'!D$17*0.34*30*1)</f>
        <v>6541.903368571292</v>
      </c>
      <c r="AN59" s="954">
        <f ca="1">IF(AM59&lt;User_sheet!B$50,Y59,0)</f>
        <v>4.4167884448929112E-3</v>
      </c>
      <c r="AO59" s="954">
        <f ca="1">20-(User_sheet!B$57/(AK59+'301'!D$17*1*0.34))</f>
        <v>-0.91134526034373309</v>
      </c>
      <c r="AP59" s="954">
        <f ca="1">IF(AO59&lt;User_sheet!B$59,0,BC59*AA59)</f>
        <v>0</v>
      </c>
      <c r="AR59" s="2">
        <v>0.48</v>
      </c>
      <c r="AS59" s="2">
        <v>3.7</v>
      </c>
      <c r="AT59" s="2">
        <v>7.9</v>
      </c>
      <c r="AU59" s="2">
        <v>2.75</v>
      </c>
      <c r="AV59" s="2">
        <v>3.3</v>
      </c>
      <c r="AW59" s="2">
        <v>10916.451096266603</v>
      </c>
      <c r="AX59" s="2">
        <v>76466.30421774846</v>
      </c>
      <c r="AY59" s="2">
        <v>67352.647733737584</v>
      </c>
      <c r="AZ59" s="2">
        <v>0</v>
      </c>
      <c r="BA59" s="2">
        <v>0</v>
      </c>
      <c r="BB59" s="2">
        <v>0.6</v>
      </c>
      <c r="BC59" s="30">
        <v>0</v>
      </c>
      <c r="BD59" s="34">
        <v>0</v>
      </c>
      <c r="BE59" s="34">
        <v>0</v>
      </c>
      <c r="BF59" s="40">
        <v>1</v>
      </c>
      <c r="BG59" s="2">
        <v>0</v>
      </c>
      <c r="BH59" s="2">
        <v>1</v>
      </c>
      <c r="BI59" s="40">
        <v>0</v>
      </c>
      <c r="BJ59" s="2">
        <v>0</v>
      </c>
      <c r="BK59" s="2">
        <v>0</v>
      </c>
      <c r="BL59" s="2">
        <v>0</v>
      </c>
      <c r="BM59" s="40">
        <v>1</v>
      </c>
      <c r="BN59" s="958">
        <v>0</v>
      </c>
      <c r="BO59" s="959">
        <v>14.9</v>
      </c>
      <c r="BP59" s="1018">
        <f t="shared" ca="1" si="58"/>
        <v>115.19999999999999</v>
      </c>
      <c r="BQ59" s="1018">
        <f t="shared" ca="1" si="59"/>
        <v>191.51999999999995</v>
      </c>
      <c r="BR59" s="1018">
        <f t="shared" ca="1" si="60"/>
        <v>43.295999999999999</v>
      </c>
      <c r="BS59" s="1018">
        <f t="shared" ca="1" si="61"/>
        <v>42.459999999999994</v>
      </c>
      <c r="BT59" s="1018">
        <f t="shared" ca="1" si="62"/>
        <v>38.4</v>
      </c>
      <c r="BU59" s="1018">
        <f t="shared" ca="1" si="63"/>
        <v>7</v>
      </c>
      <c r="BV59" s="1018">
        <f t="shared" ca="1" si="64"/>
        <v>4.3</v>
      </c>
      <c r="BW59" s="1018">
        <v>0</v>
      </c>
      <c r="BX59" s="1018">
        <f t="shared" ca="1" si="65"/>
        <v>19.185819793205319</v>
      </c>
      <c r="BY59" s="1018">
        <f t="shared" ca="1" si="66"/>
        <v>95.716084484159211</v>
      </c>
      <c r="BZ59" s="1018">
        <f t="shared" ca="1" si="16"/>
        <v>42.251885199774904</v>
      </c>
      <c r="CA59" s="1018">
        <f t="shared" ca="1" si="17"/>
        <v>19.249999989412501</v>
      </c>
      <c r="CB59" s="1018">
        <f t="shared" ca="1" si="67"/>
        <v>9.0267175572519083</v>
      </c>
      <c r="CC59" s="1018">
        <f t="shared" si="18"/>
        <v>0</v>
      </c>
      <c r="CD59" s="1018">
        <f t="shared" ca="1" si="71"/>
        <v>185.43050702380384</v>
      </c>
      <c r="CE59" s="1018">
        <f t="shared" ca="1" si="72"/>
        <v>58.755316272361483</v>
      </c>
      <c r="CF59" s="1018">
        <f t="shared" ca="1" si="21"/>
        <v>7.3255746988849593</v>
      </c>
      <c r="CG59" s="1018">
        <f t="shared" ca="1" si="22"/>
        <v>12196.788850655499</v>
      </c>
    </row>
    <row r="60" spans="4:85" s="14" customFormat="1" x14ac:dyDescent="0.25">
      <c r="D60" s="642"/>
      <c r="E60" s="641"/>
      <c r="F60" s="642"/>
      <c r="G60" s="641"/>
      <c r="H60" s="642"/>
      <c r="I60" s="641"/>
      <c r="J60" s="642"/>
      <c r="K60" s="643"/>
      <c r="L60" s="642"/>
      <c r="M60" s="642"/>
      <c r="N60" s="642"/>
      <c r="O60" s="642"/>
      <c r="P60" s="642"/>
      <c r="Q60" s="642"/>
      <c r="R60" s="642"/>
      <c r="S60" s="642"/>
      <c r="T60" s="646"/>
      <c r="U60" s="641"/>
      <c r="V60" s="292"/>
      <c r="W60" s="292"/>
      <c r="X60" s="292"/>
      <c r="Y60" s="277"/>
      <c r="Z60" s="292"/>
      <c r="AA60" s="292"/>
      <c r="AB60" s="292"/>
      <c r="AC60" s="292"/>
      <c r="AD60" s="277"/>
      <c r="AE60" s="292"/>
      <c r="AF60" s="292"/>
      <c r="AG60" s="277"/>
      <c r="AH60" s="313"/>
      <c r="AJ60" s="314"/>
      <c r="AK60" s="1018">
        <f t="shared" si="15"/>
        <v>0</v>
      </c>
      <c r="AL60" s="928"/>
      <c r="AM60" s="928"/>
      <c r="AN60" s="986"/>
      <c r="AO60" s="986"/>
      <c r="AP60" s="986"/>
      <c r="AQ60" s="314"/>
      <c r="AR60" s="28"/>
      <c r="AS60" s="28"/>
      <c r="AT60" s="28"/>
      <c r="AU60" s="28"/>
      <c r="AV60" s="28"/>
      <c r="AW60" s="28"/>
      <c r="AX60" s="28"/>
      <c r="AY60" s="28"/>
      <c r="AZ60" s="28"/>
      <c r="BA60" s="28"/>
      <c r="BB60" s="28"/>
      <c r="BC60" s="45"/>
      <c r="BD60" s="277"/>
      <c r="BE60" s="277"/>
      <c r="BF60" s="49"/>
      <c r="BG60" s="28"/>
      <c r="BH60" s="28"/>
      <c r="BI60" s="49"/>
      <c r="BJ60" s="28"/>
      <c r="BK60" s="28"/>
      <c r="BL60" s="28"/>
      <c r="BM60" s="49"/>
      <c r="BN60" s="277"/>
      <c r="BO60" s="49"/>
      <c r="BP60" s="928"/>
      <c r="BQ60" s="928"/>
      <c r="BR60" s="928"/>
      <c r="BS60" s="928"/>
      <c r="BT60" s="928"/>
      <c r="BU60" s="928"/>
      <c r="BV60" s="928"/>
      <c r="BW60" s="928"/>
      <c r="BX60" s="928"/>
      <c r="BY60" s="928"/>
      <c r="BZ60" s="928"/>
      <c r="CA60" s="928"/>
      <c r="CB60" s="928"/>
      <c r="CC60" s="928"/>
      <c r="CD60" s="928"/>
      <c r="CE60" s="928"/>
      <c r="CF60" s="928"/>
      <c r="CG60" s="928"/>
    </row>
    <row r="61" spans="4:85" x14ac:dyDescent="0.25">
      <c r="D61" s="634"/>
      <c r="E61" s="633"/>
      <c r="F61" s="634"/>
      <c r="G61" s="633"/>
      <c r="H61" s="634"/>
      <c r="I61" s="633"/>
      <c r="J61" s="634"/>
      <c r="K61" s="637"/>
      <c r="L61" s="639"/>
      <c r="M61" s="634"/>
      <c r="N61" s="634"/>
      <c r="O61" s="634"/>
      <c r="P61" s="634"/>
      <c r="Q61" s="634" t="s">
        <v>16</v>
      </c>
      <c r="R61" s="636">
        <v>0.73860000000000003</v>
      </c>
      <c r="S61" s="634"/>
      <c r="T61" s="644">
        <v>0</v>
      </c>
      <c r="U61" s="633"/>
      <c r="V61" s="176">
        <f t="shared" si="11"/>
        <v>0</v>
      </c>
      <c r="W61" s="176">
        <f>V61</f>
        <v>0</v>
      </c>
      <c r="X61" s="176">
        <f>W61-W61*Calculation_sheet!O$76</f>
        <v>0</v>
      </c>
      <c r="Y61" s="34">
        <f>X61/Calculation_sheet!M$67</f>
        <v>0</v>
      </c>
      <c r="Z61" s="176">
        <f ca="1">IF(AN61&gt;0,Y61*Calculation_sheet!C$87,0)</f>
        <v>0</v>
      </c>
      <c r="AA61" s="176">
        <f ca="1">Y61-Z61</f>
        <v>0</v>
      </c>
      <c r="AB61" s="176">
        <f ca="1">IF(AP61&gt;0,AA61*Calculation_sheet!C$94,0)</f>
        <v>0</v>
      </c>
      <c r="AC61" s="176">
        <f t="shared" ref="AC61:AE71" ca="1" si="73">AA61-AB61</f>
        <v>0</v>
      </c>
      <c r="AD61" s="958">
        <f ca="1">AC61*Calculation_sheet!C$99</f>
        <v>0</v>
      </c>
      <c r="AE61" s="176">
        <f t="shared" ca="1" si="73"/>
        <v>0</v>
      </c>
      <c r="AF61" s="176">
        <f ca="1">Y61-AB61</f>
        <v>0</v>
      </c>
      <c r="AG61" s="958">
        <f ca="1">AF61*User_sheet!B$77/100</f>
        <v>0</v>
      </c>
      <c r="AH61" s="313"/>
      <c r="AI61">
        <v>301</v>
      </c>
      <c r="AK61" s="1018">
        <f t="shared" ca="1" si="15"/>
        <v>311.02071998326511</v>
      </c>
      <c r="AL61" s="924">
        <f ca="1">AK61/'301'!I$24</f>
        <v>2.4643893315948935</v>
      </c>
      <c r="AM61" s="924">
        <f ca="1">0.8*(AK61*30+'301'!D$17*0.34*30*1)</f>
        <v>9556.0684795983634</v>
      </c>
      <c r="AN61" s="954">
        <f ca="1">IF(AM61&lt;User_sheet!B$50,Y61,0)</f>
        <v>0</v>
      </c>
      <c r="AO61" s="954">
        <f ca="1">20-(User_sheet!B$57/(AK61+'301'!D$17*1*0.34))</f>
        <v>5.6844893596085182</v>
      </c>
      <c r="AP61" s="954">
        <f ca="1">IF(AO61&lt;User_sheet!B$59,0,BC61*AA61)</f>
        <v>0</v>
      </c>
      <c r="AR61" s="2">
        <v>14.1</v>
      </c>
      <c r="AS61" s="2">
        <v>3.7</v>
      </c>
      <c r="AT61" s="2">
        <v>0.89</v>
      </c>
      <c r="AU61" s="2">
        <v>2.75</v>
      </c>
      <c r="AV61" s="2">
        <v>3.3</v>
      </c>
      <c r="AW61" s="2">
        <v>7211.5338771527777</v>
      </c>
      <c r="AX61" s="2">
        <v>76466.30421774846</v>
      </c>
      <c r="AY61" s="2">
        <v>79015.992973719694</v>
      </c>
      <c r="AZ61" s="2">
        <v>0</v>
      </c>
      <c r="BA61" s="2">
        <v>0</v>
      </c>
      <c r="BB61" s="2">
        <v>0.6</v>
      </c>
      <c r="BC61" s="30">
        <v>1</v>
      </c>
      <c r="BD61" s="34">
        <v>0</v>
      </c>
      <c r="BE61" s="34">
        <v>0</v>
      </c>
      <c r="BF61" s="40">
        <v>0</v>
      </c>
      <c r="BG61" s="2">
        <v>1</v>
      </c>
      <c r="BH61" s="2">
        <v>0</v>
      </c>
      <c r="BI61" s="40">
        <v>0</v>
      </c>
      <c r="BJ61" s="2">
        <v>1</v>
      </c>
      <c r="BK61" s="2">
        <v>0</v>
      </c>
      <c r="BL61" s="2">
        <v>0</v>
      </c>
      <c r="BM61" s="40">
        <v>0</v>
      </c>
      <c r="BN61" s="958">
        <v>0</v>
      </c>
      <c r="BO61" s="959">
        <v>14.9</v>
      </c>
      <c r="BP61" s="1018">
        <f t="shared" ref="BP61:BP71" ca="1" si="74">INDIRECT("'"&amp;AI61&amp;"'!"&amp;"B2")</f>
        <v>115.19999999999999</v>
      </c>
      <c r="BQ61" s="1018">
        <f t="shared" ref="BQ61:BQ71" ca="1" si="75">INDIRECT("'"&amp;AI61&amp;"'!"&amp;"C12")+INDIRECT("'"&amp;AI61&amp;"'!"&amp;"C13")+INDIRECT("'"&amp;AI61&amp;"'!"&amp;"C14")+INDIRECT("'"&amp;AI61&amp;"'!"&amp;"C15")+INDIRECT("'"&amp;AI61&amp;"'!"&amp;"C17")</f>
        <v>191.51999999999995</v>
      </c>
      <c r="BR61" s="1018">
        <f t="shared" ref="BR61:BR71" ca="1" si="76">INDIRECT("'"&amp;AI61&amp;"'!"&amp;"G5")</f>
        <v>43.295999999999999</v>
      </c>
      <c r="BS61" s="1018">
        <f t="shared" ref="BS61:BS71" ca="1" si="77">INDIRECT("'"&amp;AI61&amp;"'!"&amp;"G4")</f>
        <v>42.459999999999994</v>
      </c>
      <c r="BT61" s="1018">
        <f t="shared" ref="BT61:BT71" ca="1" si="78">INDIRECT("'"&amp;AI61&amp;"'!"&amp;"G6")</f>
        <v>38.4</v>
      </c>
      <c r="BU61" s="1018">
        <f t="shared" ref="BU61:BU71" ca="1" si="79">INDIRECT("'"&amp;AI61&amp;"'!"&amp;"G2")</f>
        <v>7</v>
      </c>
      <c r="BV61" s="1018">
        <f t="shared" ref="BV61:BV71" ca="1" si="80">INDIRECT("'"&amp;AI61&amp;"'!"&amp;"G3")</f>
        <v>4.3</v>
      </c>
      <c r="BW61" s="1018">
        <v>0</v>
      </c>
      <c r="BX61" s="1018">
        <f t="shared" ref="BX61:BX71" ca="1" si="81">IF(BR61=0,0,1/(1/(BR61*$BY$3)+1/(BR61*AR61)+1/(BR61*$BY$4)))</f>
        <v>177.25714285714281</v>
      </c>
      <c r="BY61" s="1018">
        <f t="shared" ref="BY61:BY71" ca="1" si="82">IF(BS61=0,0,1/(1/(BS61*$BY$3)+1/(BS61*AS61)+1/(BS61*$BY$4)))</f>
        <v>95.716084484159211</v>
      </c>
      <c r="BZ61" s="1018">
        <f t="shared" ca="1" si="16"/>
        <v>9.7707750952986032</v>
      </c>
      <c r="CA61" s="1018">
        <f t="shared" ca="1" si="17"/>
        <v>19.249999989412501</v>
      </c>
      <c r="CB61" s="1018">
        <f t="shared" ref="CB61:CB71" ca="1" si="83">IF(BV61=0,0,1/(1/(BV61*$BY$3)+1/(BV61*AV61)+1/(BV61*$BY$4)))</f>
        <v>9.0267175572519083</v>
      </c>
      <c r="CC61" s="1018">
        <f t="shared" si="18"/>
        <v>0</v>
      </c>
      <c r="CD61" s="1018">
        <f ca="1">SUM(BX61:CC61)+(BR61+BS61+BT61+BU61+BV61)*BN61</f>
        <v>311.02071998326511</v>
      </c>
      <c r="CE61" s="1018">
        <f ca="1">0.34*BO61*(1/25)^0.66*(BR61+BS61+BU61+BV61)</f>
        <v>58.755316272361483</v>
      </c>
      <c r="CF61" s="1018">
        <f t="shared" ca="1" si="21"/>
        <v>11.093281087668798</v>
      </c>
      <c r="CG61" s="1018">
        <f t="shared" ca="1" si="22"/>
        <v>18469.869279725037</v>
      </c>
    </row>
    <row r="62" spans="4:85" x14ac:dyDescent="0.25">
      <c r="D62" s="634"/>
      <c r="E62" s="633"/>
      <c r="F62" s="634"/>
      <c r="G62" s="633"/>
      <c r="H62" s="634"/>
      <c r="I62" s="633"/>
      <c r="J62" s="634"/>
      <c r="K62" s="637"/>
      <c r="L62" s="639"/>
      <c r="M62" s="634"/>
      <c r="N62" s="634"/>
      <c r="O62" s="634" t="s">
        <v>18</v>
      </c>
      <c r="P62" s="636">
        <v>0.62953995200000001</v>
      </c>
      <c r="Q62" s="634" t="s">
        <v>7</v>
      </c>
      <c r="R62" s="636">
        <v>0.26140000000000002</v>
      </c>
      <c r="S62" s="634"/>
      <c r="T62" s="644">
        <v>0</v>
      </c>
      <c r="U62" s="633"/>
      <c r="V62" s="176">
        <f t="shared" si="11"/>
        <v>0</v>
      </c>
      <c r="W62" s="176">
        <f t="shared" ref="W62:W71" si="84">V62</f>
        <v>0</v>
      </c>
      <c r="X62" s="176">
        <f>W62-W62*Calculation_sheet!O$76</f>
        <v>0</v>
      </c>
      <c r="Y62" s="34">
        <f>X62/Calculation_sheet!M$67</f>
        <v>0</v>
      </c>
      <c r="Z62" s="176">
        <f ca="1">IF(AN62&gt;0,Y62*Calculation_sheet!C$87,0)</f>
        <v>0</v>
      </c>
      <c r="AA62" s="176">
        <f t="shared" ref="AA62:AA71" ca="1" si="85">Y62-Z62</f>
        <v>0</v>
      </c>
      <c r="AB62" s="176">
        <f ca="1">IF(AP62&gt;0,AA62*Calculation_sheet!C$94,0)</f>
        <v>0</v>
      </c>
      <c r="AC62" s="176">
        <f t="shared" ca="1" si="73"/>
        <v>0</v>
      </c>
      <c r="AD62" s="958">
        <f ca="1">AC62*Calculation_sheet!C$99</f>
        <v>0</v>
      </c>
      <c r="AE62" s="176">
        <f t="shared" ca="1" si="73"/>
        <v>0</v>
      </c>
      <c r="AF62" s="176">
        <f t="shared" ref="AF62:AF71" ca="1" si="86">Y62-AB62</f>
        <v>0</v>
      </c>
      <c r="AG62" s="958">
        <f ca="1">AF62*User_sheet!B$77/100</f>
        <v>0</v>
      </c>
      <c r="AH62" s="313"/>
      <c r="AI62">
        <v>301</v>
      </c>
      <c r="AK62" s="1018">
        <f t="shared" ca="1" si="15"/>
        <v>311.02071998326511</v>
      </c>
      <c r="AL62" s="924">
        <f ca="1">AK62/'301'!I$24</f>
        <v>2.4643893315948935</v>
      </c>
      <c r="AM62" s="924">
        <f ca="1">0.8*(AK62*30+'301'!D$17*0.34*30*1)</f>
        <v>9556.0684795983634</v>
      </c>
      <c r="AN62" s="954">
        <f ca="1">IF(AM62&lt;User_sheet!B$50,Y62,0)</f>
        <v>0</v>
      </c>
      <c r="AO62" s="954">
        <f ca="1">20-(User_sheet!B$57/(AK62+'301'!D$17*1*0.34))</f>
        <v>5.6844893596085182</v>
      </c>
      <c r="AP62" s="954">
        <f ca="1">IF(AO62&lt;User_sheet!B$59,0,BC62*AA62)</f>
        <v>0</v>
      </c>
      <c r="AR62" s="2">
        <v>14.1</v>
      </c>
      <c r="AS62" s="2">
        <v>3.7</v>
      </c>
      <c r="AT62" s="2">
        <v>0.89</v>
      </c>
      <c r="AU62" s="2">
        <v>2.75</v>
      </c>
      <c r="AV62" s="2">
        <v>3.3</v>
      </c>
      <c r="AW62" s="2">
        <v>7211.5338771527777</v>
      </c>
      <c r="AX62" s="2">
        <v>76466.30421774846</v>
      </c>
      <c r="AY62" s="2">
        <v>79015.992973719694</v>
      </c>
      <c r="AZ62" s="2">
        <v>0</v>
      </c>
      <c r="BA62" s="2">
        <v>0</v>
      </c>
      <c r="BB62" s="2">
        <v>0.6</v>
      </c>
      <c r="BC62" s="30">
        <v>1</v>
      </c>
      <c r="BD62" s="34">
        <v>0</v>
      </c>
      <c r="BE62" s="34">
        <v>0</v>
      </c>
      <c r="BF62" s="40">
        <v>0</v>
      </c>
      <c r="BG62" s="2">
        <v>1</v>
      </c>
      <c r="BH62" s="2">
        <v>0</v>
      </c>
      <c r="BI62" s="40">
        <v>0</v>
      </c>
      <c r="BJ62" s="2">
        <v>0</v>
      </c>
      <c r="BK62" s="2">
        <v>0</v>
      </c>
      <c r="BL62" s="2">
        <v>1</v>
      </c>
      <c r="BM62" s="40">
        <v>0</v>
      </c>
      <c r="BN62" s="958">
        <v>0</v>
      </c>
      <c r="BO62" s="959">
        <v>14.9</v>
      </c>
      <c r="BP62" s="1018">
        <f t="shared" ca="1" si="74"/>
        <v>115.19999999999999</v>
      </c>
      <c r="BQ62" s="1018">
        <f t="shared" ca="1" si="75"/>
        <v>191.51999999999995</v>
      </c>
      <c r="BR62" s="1018">
        <f t="shared" ca="1" si="76"/>
        <v>43.295999999999999</v>
      </c>
      <c r="BS62" s="1018">
        <f t="shared" ca="1" si="77"/>
        <v>42.459999999999994</v>
      </c>
      <c r="BT62" s="1018">
        <f t="shared" ca="1" si="78"/>
        <v>38.4</v>
      </c>
      <c r="BU62" s="1018">
        <f t="shared" ca="1" si="79"/>
        <v>7</v>
      </c>
      <c r="BV62" s="1018">
        <f t="shared" ca="1" si="80"/>
        <v>4.3</v>
      </c>
      <c r="BW62" s="1018">
        <v>0</v>
      </c>
      <c r="BX62" s="1018">
        <f t="shared" ca="1" si="81"/>
        <v>177.25714285714281</v>
      </c>
      <c r="BY62" s="1018">
        <f t="shared" ca="1" si="82"/>
        <v>95.716084484159211</v>
      </c>
      <c r="BZ62" s="1018">
        <f t="shared" ca="1" si="16"/>
        <v>9.7707750952986032</v>
      </c>
      <c r="CA62" s="1018">
        <f t="shared" ca="1" si="17"/>
        <v>19.249999989412501</v>
      </c>
      <c r="CB62" s="1018">
        <f t="shared" ca="1" si="83"/>
        <v>9.0267175572519083</v>
      </c>
      <c r="CC62" s="1018">
        <f t="shared" si="18"/>
        <v>0</v>
      </c>
      <c r="CD62" s="1018">
        <f t="shared" ref="CD62:CD71" ca="1" si="87">SUM(BX62:CC62)+(BR62+BS62+BT62+BU62+BV62)*BN62</f>
        <v>311.02071998326511</v>
      </c>
      <c r="CE62" s="1018">
        <f t="shared" ref="CE62:CE71" ca="1" si="88">0.34*BO62*(1/25)^0.66*(BR62+BS62+BU62+BV62)</f>
        <v>58.755316272361483</v>
      </c>
      <c r="CF62" s="1018">
        <f t="shared" ca="1" si="21"/>
        <v>11.093281087668798</v>
      </c>
      <c r="CG62" s="1018">
        <f t="shared" ca="1" si="22"/>
        <v>18469.869279725037</v>
      </c>
    </row>
    <row r="63" spans="4:85" x14ac:dyDescent="0.25">
      <c r="D63" s="634"/>
      <c r="E63" s="633"/>
      <c r="F63" s="634"/>
      <c r="G63" s="633"/>
      <c r="H63" s="634"/>
      <c r="I63" s="633"/>
      <c r="J63" s="634"/>
      <c r="K63" s="637"/>
      <c r="L63" s="639"/>
      <c r="M63" s="634"/>
      <c r="N63" s="634"/>
      <c r="O63" s="634"/>
      <c r="P63" s="634"/>
      <c r="Q63" s="634" t="s">
        <v>16</v>
      </c>
      <c r="R63" s="636">
        <v>0.73860000000000003</v>
      </c>
      <c r="S63" s="634"/>
      <c r="T63" s="644">
        <v>0</v>
      </c>
      <c r="U63" s="633"/>
      <c r="V63" s="176">
        <f t="shared" si="11"/>
        <v>0</v>
      </c>
      <c r="W63" s="176">
        <f t="shared" si="84"/>
        <v>0</v>
      </c>
      <c r="X63" s="176">
        <f>W63-W63*Calculation_sheet!O$76</f>
        <v>0</v>
      </c>
      <c r="Y63" s="34">
        <f>X63/Calculation_sheet!M$67</f>
        <v>0</v>
      </c>
      <c r="Z63" s="176">
        <f ca="1">IF(AN63&gt;0,Y63*Calculation_sheet!C$87,0)</f>
        <v>0</v>
      </c>
      <c r="AA63" s="176">
        <f t="shared" ca="1" si="85"/>
        <v>0</v>
      </c>
      <c r="AB63" s="176">
        <f ca="1">IF(AP63&gt;0,AA63*Calculation_sheet!C$94,0)</f>
        <v>0</v>
      </c>
      <c r="AC63" s="176">
        <f t="shared" ca="1" si="73"/>
        <v>0</v>
      </c>
      <c r="AD63" s="958">
        <f ca="1">AC63*Calculation_sheet!C$99</f>
        <v>0</v>
      </c>
      <c r="AE63" s="176">
        <f t="shared" ca="1" si="73"/>
        <v>0</v>
      </c>
      <c r="AF63" s="176">
        <f t="shared" ca="1" si="86"/>
        <v>0</v>
      </c>
      <c r="AG63" s="958">
        <f ca="1">AF63*User_sheet!B$77/100</f>
        <v>0</v>
      </c>
      <c r="AH63" s="313"/>
      <c r="AI63">
        <v>301</v>
      </c>
      <c r="AK63" s="1018">
        <f t="shared" ca="1" si="15"/>
        <v>311.02071998326511</v>
      </c>
      <c r="AL63" s="924">
        <f ca="1">AK63/'301'!I$24</f>
        <v>2.4643893315948935</v>
      </c>
      <c r="AM63" s="924">
        <f ca="1">0.8*(AK63*30+'301'!D$17*0.34*30*1)</f>
        <v>9556.0684795983634</v>
      </c>
      <c r="AN63" s="954">
        <f ca="1">IF(AM63&lt;User_sheet!B$50,Y63,0)</f>
        <v>0</v>
      </c>
      <c r="AO63" s="954">
        <f ca="1">20-(User_sheet!B$57/(AK63+'301'!D$17*1*0.34))</f>
        <v>5.6844893596085182</v>
      </c>
      <c r="AP63" s="954">
        <f ca="1">IF(AO63&lt;User_sheet!B$59,0,BC63*AA63)</f>
        <v>0</v>
      </c>
      <c r="AR63" s="2">
        <v>14.1</v>
      </c>
      <c r="AS63" s="2">
        <v>3.7</v>
      </c>
      <c r="AT63" s="2">
        <v>0.89</v>
      </c>
      <c r="AU63" s="2">
        <v>2.75</v>
      </c>
      <c r="AV63" s="2">
        <v>3.3</v>
      </c>
      <c r="AW63" s="2">
        <v>7211.5338771527777</v>
      </c>
      <c r="AX63" s="2">
        <v>76466.30421774846</v>
      </c>
      <c r="AY63" s="2">
        <v>79015.992973719694</v>
      </c>
      <c r="AZ63" s="2">
        <v>0</v>
      </c>
      <c r="BA63" s="2">
        <v>0</v>
      </c>
      <c r="BB63" s="2">
        <v>0.6</v>
      </c>
      <c r="BC63" s="30">
        <v>1</v>
      </c>
      <c r="BD63" s="34">
        <v>0</v>
      </c>
      <c r="BE63" s="34">
        <v>0</v>
      </c>
      <c r="BF63" s="40">
        <v>0</v>
      </c>
      <c r="BG63" s="2">
        <v>0</v>
      </c>
      <c r="BH63" s="2">
        <v>1</v>
      </c>
      <c r="BI63" s="40">
        <v>0</v>
      </c>
      <c r="BJ63" s="2">
        <v>1</v>
      </c>
      <c r="BK63" s="2">
        <v>0</v>
      </c>
      <c r="BL63" s="2">
        <v>0</v>
      </c>
      <c r="BM63" s="40">
        <v>0</v>
      </c>
      <c r="BN63" s="958">
        <v>0</v>
      </c>
      <c r="BO63" s="959">
        <v>14.9</v>
      </c>
      <c r="BP63" s="1018">
        <f t="shared" ca="1" si="74"/>
        <v>115.19999999999999</v>
      </c>
      <c r="BQ63" s="1018">
        <f t="shared" ca="1" si="75"/>
        <v>191.51999999999995</v>
      </c>
      <c r="BR63" s="1018">
        <f t="shared" ca="1" si="76"/>
        <v>43.295999999999999</v>
      </c>
      <c r="BS63" s="1018">
        <f t="shared" ca="1" si="77"/>
        <v>42.459999999999994</v>
      </c>
      <c r="BT63" s="1018">
        <f t="shared" ca="1" si="78"/>
        <v>38.4</v>
      </c>
      <c r="BU63" s="1018">
        <f t="shared" ca="1" si="79"/>
        <v>7</v>
      </c>
      <c r="BV63" s="1018">
        <f t="shared" ca="1" si="80"/>
        <v>4.3</v>
      </c>
      <c r="BW63" s="1018">
        <v>0</v>
      </c>
      <c r="BX63" s="1018">
        <f t="shared" ca="1" si="81"/>
        <v>177.25714285714281</v>
      </c>
      <c r="BY63" s="1018">
        <f t="shared" ca="1" si="82"/>
        <v>95.716084484159211</v>
      </c>
      <c r="BZ63" s="1018">
        <f t="shared" ca="1" si="16"/>
        <v>9.7707750952986032</v>
      </c>
      <c r="CA63" s="1018">
        <f t="shared" ca="1" si="17"/>
        <v>19.249999989412501</v>
      </c>
      <c r="CB63" s="1018">
        <f t="shared" ca="1" si="83"/>
        <v>9.0267175572519083</v>
      </c>
      <c r="CC63" s="1018">
        <f t="shared" si="18"/>
        <v>0</v>
      </c>
      <c r="CD63" s="1018">
        <f t="shared" ca="1" si="87"/>
        <v>311.02071998326511</v>
      </c>
      <c r="CE63" s="1018">
        <f t="shared" ca="1" si="88"/>
        <v>58.755316272361483</v>
      </c>
      <c r="CF63" s="1018">
        <f t="shared" ca="1" si="21"/>
        <v>11.093281087668798</v>
      </c>
      <c r="CG63" s="1018">
        <f t="shared" ca="1" si="22"/>
        <v>18469.869279725037</v>
      </c>
    </row>
    <row r="64" spans="4:85" x14ac:dyDescent="0.25">
      <c r="D64" s="634"/>
      <c r="E64" s="633"/>
      <c r="F64" s="634"/>
      <c r="G64" s="633"/>
      <c r="H64" s="634"/>
      <c r="I64" s="633"/>
      <c r="J64" s="634"/>
      <c r="K64" s="637"/>
      <c r="L64" s="639"/>
      <c r="M64" s="634" t="s">
        <v>16</v>
      </c>
      <c r="N64" s="636">
        <v>0.44680851100000002</v>
      </c>
      <c r="O64" s="634" t="s">
        <v>19</v>
      </c>
      <c r="P64" s="636">
        <v>0.37046004799999999</v>
      </c>
      <c r="Q64" s="634" t="s">
        <v>7</v>
      </c>
      <c r="R64" s="636">
        <v>0.26140000000000002</v>
      </c>
      <c r="S64" s="634"/>
      <c r="T64" s="644">
        <v>0</v>
      </c>
      <c r="U64" s="633"/>
      <c r="V64" s="176">
        <f t="shared" si="11"/>
        <v>0</v>
      </c>
      <c r="W64" s="176">
        <f t="shared" si="84"/>
        <v>0</v>
      </c>
      <c r="X64" s="176">
        <f>W64-W64*Calculation_sheet!O$76</f>
        <v>0</v>
      </c>
      <c r="Y64" s="34">
        <f>X64/Calculation_sheet!M$67</f>
        <v>0</v>
      </c>
      <c r="Z64" s="176">
        <f ca="1">IF(AN64&gt;0,Y64*Calculation_sheet!C$87,0)</f>
        <v>0</v>
      </c>
      <c r="AA64" s="176">
        <f t="shared" ca="1" si="85"/>
        <v>0</v>
      </c>
      <c r="AB64" s="176">
        <f ca="1">IF(AP64&gt;0,AA64*Calculation_sheet!C$94,0)</f>
        <v>0</v>
      </c>
      <c r="AC64" s="176">
        <f t="shared" ca="1" si="73"/>
        <v>0</v>
      </c>
      <c r="AD64" s="958">
        <f ca="1">AC64*Calculation_sheet!C$99</f>
        <v>0</v>
      </c>
      <c r="AE64" s="176">
        <f t="shared" ca="1" si="73"/>
        <v>0</v>
      </c>
      <c r="AF64" s="176">
        <f t="shared" ca="1" si="86"/>
        <v>0</v>
      </c>
      <c r="AG64" s="958">
        <f ca="1">AF64*User_sheet!B$77/100</f>
        <v>0</v>
      </c>
      <c r="AH64" s="313"/>
      <c r="AI64">
        <v>301</v>
      </c>
      <c r="AK64" s="1018">
        <f t="shared" ca="1" si="15"/>
        <v>311.02071998326511</v>
      </c>
      <c r="AL64" s="924">
        <f ca="1">AK64/'301'!I$24</f>
        <v>2.4643893315948935</v>
      </c>
      <c r="AM64" s="924">
        <f ca="1">0.8*(AK64*30+'301'!D$17*0.34*30*1)</f>
        <v>9556.0684795983634</v>
      </c>
      <c r="AN64" s="954">
        <f ca="1">IF(AM64&lt;User_sheet!B$50,Y64,0)</f>
        <v>0</v>
      </c>
      <c r="AO64" s="954">
        <f ca="1">20-(User_sheet!B$57/(AK64+'301'!D$17*1*0.34))</f>
        <v>5.6844893596085182</v>
      </c>
      <c r="AP64" s="954">
        <f ca="1">IF(AO64&lt;User_sheet!B$59,0,BC64*AA64)</f>
        <v>0</v>
      </c>
      <c r="AR64" s="2">
        <v>14.1</v>
      </c>
      <c r="AS64" s="2">
        <v>3.7</v>
      </c>
      <c r="AT64" s="2">
        <v>0.89</v>
      </c>
      <c r="AU64" s="2">
        <v>2.75</v>
      </c>
      <c r="AV64" s="2">
        <v>3.3</v>
      </c>
      <c r="AW64" s="2">
        <v>7211.5338771527777</v>
      </c>
      <c r="AX64" s="2">
        <v>76466.30421774846</v>
      </c>
      <c r="AY64" s="2">
        <v>79015.992973719694</v>
      </c>
      <c r="AZ64" s="2">
        <v>0</v>
      </c>
      <c r="BA64" s="2">
        <v>0</v>
      </c>
      <c r="BB64" s="2">
        <v>0.6</v>
      </c>
      <c r="BC64" s="30">
        <v>1</v>
      </c>
      <c r="BD64" s="34">
        <v>0</v>
      </c>
      <c r="BE64" s="34">
        <v>0</v>
      </c>
      <c r="BF64" s="40">
        <v>0</v>
      </c>
      <c r="BG64" s="2">
        <v>0</v>
      </c>
      <c r="BH64" s="2">
        <v>1</v>
      </c>
      <c r="BI64" s="40">
        <v>0</v>
      </c>
      <c r="BJ64" s="2">
        <v>0</v>
      </c>
      <c r="BK64" s="2">
        <v>0</v>
      </c>
      <c r="BL64" s="2">
        <v>1</v>
      </c>
      <c r="BM64" s="40">
        <v>0</v>
      </c>
      <c r="BN64" s="958">
        <v>0</v>
      </c>
      <c r="BO64" s="959">
        <v>14.9</v>
      </c>
      <c r="BP64" s="1018">
        <f t="shared" ca="1" si="74"/>
        <v>115.19999999999999</v>
      </c>
      <c r="BQ64" s="1018">
        <f t="shared" ca="1" si="75"/>
        <v>191.51999999999995</v>
      </c>
      <c r="BR64" s="1018">
        <f t="shared" ca="1" si="76"/>
        <v>43.295999999999999</v>
      </c>
      <c r="BS64" s="1018">
        <f t="shared" ca="1" si="77"/>
        <v>42.459999999999994</v>
      </c>
      <c r="BT64" s="1018">
        <f t="shared" ca="1" si="78"/>
        <v>38.4</v>
      </c>
      <c r="BU64" s="1018">
        <f t="shared" ca="1" si="79"/>
        <v>7</v>
      </c>
      <c r="BV64" s="1018">
        <f t="shared" ca="1" si="80"/>
        <v>4.3</v>
      </c>
      <c r="BW64" s="1018">
        <v>0</v>
      </c>
      <c r="BX64" s="1018">
        <f t="shared" ca="1" si="81"/>
        <v>177.25714285714281</v>
      </c>
      <c r="BY64" s="1018">
        <f t="shared" ca="1" si="82"/>
        <v>95.716084484159211</v>
      </c>
      <c r="BZ64" s="1018">
        <f t="shared" ca="1" si="16"/>
        <v>9.7707750952986032</v>
      </c>
      <c r="CA64" s="1018">
        <f t="shared" ca="1" si="17"/>
        <v>19.249999989412501</v>
      </c>
      <c r="CB64" s="1018">
        <f t="shared" ca="1" si="83"/>
        <v>9.0267175572519083</v>
      </c>
      <c r="CC64" s="1018">
        <f t="shared" si="18"/>
        <v>0</v>
      </c>
      <c r="CD64" s="1018">
        <f t="shared" ca="1" si="87"/>
        <v>311.02071998326511</v>
      </c>
      <c r="CE64" s="1018">
        <f t="shared" ca="1" si="88"/>
        <v>58.755316272361483</v>
      </c>
      <c r="CF64" s="1018">
        <f t="shared" ca="1" si="21"/>
        <v>11.093281087668798</v>
      </c>
      <c r="CG64" s="1018">
        <f t="shared" ca="1" si="22"/>
        <v>18469.869279725037</v>
      </c>
    </row>
    <row r="65" spans="3:85" x14ac:dyDescent="0.25">
      <c r="C65" s="633"/>
      <c r="D65" s="634"/>
      <c r="E65" s="633"/>
      <c r="F65" s="634"/>
      <c r="G65" s="633"/>
      <c r="H65" s="634"/>
      <c r="I65" s="633"/>
      <c r="J65" s="634"/>
      <c r="K65" s="637"/>
      <c r="L65" s="639"/>
      <c r="M65" s="634"/>
      <c r="N65" s="634"/>
      <c r="O65" s="634"/>
      <c r="P65" s="634"/>
      <c r="Q65" s="634" t="s">
        <v>22</v>
      </c>
      <c r="R65" s="636">
        <v>0.53710000000000002</v>
      </c>
      <c r="S65" s="634"/>
      <c r="T65" s="644">
        <v>0</v>
      </c>
      <c r="U65" s="633"/>
      <c r="V65" s="176">
        <f t="shared" si="11"/>
        <v>0</v>
      </c>
      <c r="W65" s="176">
        <f t="shared" si="84"/>
        <v>0</v>
      </c>
      <c r="X65" s="176">
        <f>W65-W65*Calculation_sheet!O$76</f>
        <v>0</v>
      </c>
      <c r="Y65" s="34">
        <f>X65/Calculation_sheet!M$67</f>
        <v>0</v>
      </c>
      <c r="Z65" s="176">
        <f ca="1">IF(AN65&gt;0,Y65*Calculation_sheet!C$87,0)</f>
        <v>0</v>
      </c>
      <c r="AA65" s="176">
        <f t="shared" ca="1" si="85"/>
        <v>0</v>
      </c>
      <c r="AB65" s="176">
        <f ca="1">IF(AP65&gt;0,AA65*Calculation_sheet!C$94,0)</f>
        <v>0</v>
      </c>
      <c r="AC65" s="176">
        <f t="shared" ca="1" si="73"/>
        <v>0</v>
      </c>
      <c r="AD65" s="958">
        <f ca="1">AC65*Calculation_sheet!C$99</f>
        <v>0</v>
      </c>
      <c r="AE65" s="176">
        <f t="shared" ca="1" si="73"/>
        <v>0</v>
      </c>
      <c r="AF65" s="176">
        <f t="shared" ca="1" si="86"/>
        <v>0</v>
      </c>
      <c r="AG65" s="958">
        <f ca="1">AF65*User_sheet!B$77/100</f>
        <v>0</v>
      </c>
      <c r="AH65" s="313"/>
      <c r="AI65">
        <v>301</v>
      </c>
      <c r="AK65" s="1018">
        <f t="shared" ca="1" si="15"/>
        <v>311.02071998326511</v>
      </c>
      <c r="AL65" s="924">
        <f ca="1">AK65/'301'!I$24</f>
        <v>2.4643893315948935</v>
      </c>
      <c r="AM65" s="924">
        <f ca="1">0.8*(AK65*30+'301'!D$17*0.34*30*1)</f>
        <v>9556.0684795983634</v>
      </c>
      <c r="AN65" s="954">
        <f ca="1">IF(AM65&lt;User_sheet!B$50,Y65,0)</f>
        <v>0</v>
      </c>
      <c r="AO65" s="954">
        <f ca="1">20-(User_sheet!B$57/(AK65+'301'!D$17*1*0.34))</f>
        <v>5.6844893596085182</v>
      </c>
      <c r="AP65" s="954">
        <f ca="1">IF(AO65&lt;User_sheet!B$59,0,BC65*AA65)</f>
        <v>0</v>
      </c>
      <c r="AR65" s="2">
        <v>14.1</v>
      </c>
      <c r="AS65" s="2">
        <v>3.7</v>
      </c>
      <c r="AT65" s="2">
        <v>0.89</v>
      </c>
      <c r="AU65" s="2">
        <v>2.75</v>
      </c>
      <c r="AV65" s="2">
        <v>3.3</v>
      </c>
      <c r="AW65" s="2">
        <v>7211.5338771527777</v>
      </c>
      <c r="AX65" s="2">
        <v>76466.30421774846</v>
      </c>
      <c r="AY65" s="2">
        <v>79015.992973719694</v>
      </c>
      <c r="AZ65" s="2">
        <v>0</v>
      </c>
      <c r="BA65" s="2">
        <v>0</v>
      </c>
      <c r="BB65" s="2">
        <v>0.6</v>
      </c>
      <c r="BC65" s="30">
        <v>0</v>
      </c>
      <c r="BD65" s="34">
        <v>1</v>
      </c>
      <c r="BE65" s="34">
        <v>0</v>
      </c>
      <c r="BF65" s="40">
        <v>0</v>
      </c>
      <c r="BG65" s="2">
        <v>1</v>
      </c>
      <c r="BH65" s="2">
        <v>0</v>
      </c>
      <c r="BI65" s="40">
        <v>0</v>
      </c>
      <c r="BJ65" s="2">
        <v>0</v>
      </c>
      <c r="BK65" s="2">
        <v>1</v>
      </c>
      <c r="BL65" s="2">
        <v>0</v>
      </c>
      <c r="BM65" s="40">
        <v>0</v>
      </c>
      <c r="BN65" s="958">
        <v>0</v>
      </c>
      <c r="BO65" s="959">
        <v>14.9</v>
      </c>
      <c r="BP65" s="1018">
        <f t="shared" ca="1" si="74"/>
        <v>115.19999999999999</v>
      </c>
      <c r="BQ65" s="1018">
        <f t="shared" ca="1" si="75"/>
        <v>191.51999999999995</v>
      </c>
      <c r="BR65" s="1018">
        <f t="shared" ca="1" si="76"/>
        <v>43.295999999999999</v>
      </c>
      <c r="BS65" s="1018">
        <f t="shared" ca="1" si="77"/>
        <v>42.459999999999994</v>
      </c>
      <c r="BT65" s="1018">
        <f t="shared" ca="1" si="78"/>
        <v>38.4</v>
      </c>
      <c r="BU65" s="1018">
        <f t="shared" ca="1" si="79"/>
        <v>7</v>
      </c>
      <c r="BV65" s="1018">
        <f t="shared" ca="1" si="80"/>
        <v>4.3</v>
      </c>
      <c r="BW65" s="1018">
        <v>0</v>
      </c>
      <c r="BX65" s="1018">
        <f t="shared" ca="1" si="81"/>
        <v>177.25714285714281</v>
      </c>
      <c r="BY65" s="1018">
        <f t="shared" ca="1" si="82"/>
        <v>95.716084484159211</v>
      </c>
      <c r="BZ65" s="1018">
        <f t="shared" ca="1" si="16"/>
        <v>9.7707750952986032</v>
      </c>
      <c r="CA65" s="1018">
        <f t="shared" ca="1" si="17"/>
        <v>19.249999989412501</v>
      </c>
      <c r="CB65" s="1018">
        <f t="shared" ca="1" si="83"/>
        <v>9.0267175572519083</v>
      </c>
      <c r="CC65" s="1018">
        <f t="shared" si="18"/>
        <v>0</v>
      </c>
      <c r="CD65" s="1018">
        <f t="shared" ca="1" si="87"/>
        <v>311.02071998326511</v>
      </c>
      <c r="CE65" s="1018">
        <f t="shared" ca="1" si="88"/>
        <v>58.755316272361483</v>
      </c>
      <c r="CF65" s="1018">
        <f t="shared" ca="1" si="21"/>
        <v>11.093281087668798</v>
      </c>
      <c r="CG65" s="1018">
        <f t="shared" ca="1" si="22"/>
        <v>18469.869279725037</v>
      </c>
    </row>
    <row r="66" spans="3:85" x14ac:dyDescent="0.25">
      <c r="C66" s="633"/>
      <c r="D66" s="634"/>
      <c r="E66" s="633"/>
      <c r="F66" s="634"/>
      <c r="G66" s="633"/>
      <c r="H66" s="634"/>
      <c r="I66" s="633"/>
      <c r="J66" s="634"/>
      <c r="K66" s="637"/>
      <c r="L66" s="639"/>
      <c r="M66" s="634"/>
      <c r="N66" s="634"/>
      <c r="O66" s="634" t="s">
        <v>18</v>
      </c>
      <c r="P66" s="636">
        <v>0.80827067699999999</v>
      </c>
      <c r="Q66" s="634" t="s">
        <v>7</v>
      </c>
      <c r="R66" s="636">
        <v>0.46289999999999998</v>
      </c>
      <c r="S66" s="634"/>
      <c r="T66" s="644">
        <v>0</v>
      </c>
      <c r="U66" s="633"/>
      <c r="V66" s="176">
        <f t="shared" si="11"/>
        <v>0</v>
      </c>
      <c r="W66" s="176">
        <f t="shared" si="84"/>
        <v>0</v>
      </c>
      <c r="X66" s="176">
        <f>W66-W66*Calculation_sheet!O$76</f>
        <v>0</v>
      </c>
      <c r="Y66" s="34">
        <f>X66/Calculation_sheet!M$67</f>
        <v>0</v>
      </c>
      <c r="Z66" s="176">
        <f ca="1">IF(AN66&gt;0,Y66*Calculation_sheet!C$87,0)</f>
        <v>0</v>
      </c>
      <c r="AA66" s="176">
        <f t="shared" ca="1" si="85"/>
        <v>0</v>
      </c>
      <c r="AB66" s="176">
        <f ca="1">IF(AP66&gt;0,AA66*Calculation_sheet!C$94,0)</f>
        <v>0</v>
      </c>
      <c r="AC66" s="176">
        <f t="shared" ca="1" si="73"/>
        <v>0</v>
      </c>
      <c r="AD66" s="958">
        <f ca="1">AC66*Calculation_sheet!C$99</f>
        <v>0</v>
      </c>
      <c r="AE66" s="176">
        <f t="shared" ca="1" si="73"/>
        <v>0</v>
      </c>
      <c r="AF66" s="176">
        <f t="shared" ca="1" si="86"/>
        <v>0</v>
      </c>
      <c r="AG66" s="958">
        <f ca="1">AF66*User_sheet!B$77/100</f>
        <v>0</v>
      </c>
      <c r="AH66" s="313"/>
      <c r="AI66">
        <v>301</v>
      </c>
      <c r="AK66" s="1018">
        <f t="shared" ca="1" si="15"/>
        <v>311.02071998326511</v>
      </c>
      <c r="AL66" s="924">
        <f ca="1">AK66/'301'!I$24</f>
        <v>2.4643893315948935</v>
      </c>
      <c r="AM66" s="924">
        <f ca="1">0.8*(AK66*30+'301'!D$17*0.34*30*1)</f>
        <v>9556.0684795983634</v>
      </c>
      <c r="AN66" s="954">
        <f ca="1">IF(AM66&lt;User_sheet!B$50,Y66,0)</f>
        <v>0</v>
      </c>
      <c r="AO66" s="954">
        <f ca="1">20-(User_sheet!B$57/(AK66+'301'!D$17*1*0.34))</f>
        <v>5.6844893596085182</v>
      </c>
      <c r="AP66" s="954">
        <f ca="1">IF(AO66&lt;User_sheet!B$59,0,BC66*AA66)</f>
        <v>0</v>
      </c>
      <c r="AR66" s="2">
        <v>14.1</v>
      </c>
      <c r="AS66" s="2">
        <v>3.7</v>
      </c>
      <c r="AT66" s="2">
        <v>0.89</v>
      </c>
      <c r="AU66" s="2">
        <v>2.75</v>
      </c>
      <c r="AV66" s="2">
        <v>3.3</v>
      </c>
      <c r="AW66" s="2">
        <v>7211.5338771527777</v>
      </c>
      <c r="AX66" s="2">
        <v>76466.30421774846</v>
      </c>
      <c r="AY66" s="2">
        <v>79015.992973719694</v>
      </c>
      <c r="AZ66" s="2">
        <v>0</v>
      </c>
      <c r="BA66" s="2">
        <v>0</v>
      </c>
      <c r="BB66" s="2">
        <v>0.6</v>
      </c>
      <c r="BC66" s="30">
        <v>0</v>
      </c>
      <c r="BD66" s="34">
        <v>1</v>
      </c>
      <c r="BE66" s="34">
        <v>0</v>
      </c>
      <c r="BF66" s="40">
        <v>0</v>
      </c>
      <c r="BG66" s="2">
        <v>1</v>
      </c>
      <c r="BH66" s="2">
        <v>0</v>
      </c>
      <c r="BI66" s="40">
        <v>0</v>
      </c>
      <c r="BJ66" s="2">
        <v>0</v>
      </c>
      <c r="BK66" s="2">
        <v>0</v>
      </c>
      <c r="BL66" s="2">
        <v>1</v>
      </c>
      <c r="BM66" s="40">
        <v>0</v>
      </c>
      <c r="BN66" s="958">
        <v>0</v>
      </c>
      <c r="BO66" s="959">
        <v>14.9</v>
      </c>
      <c r="BP66" s="1018">
        <f t="shared" ca="1" si="74"/>
        <v>115.19999999999999</v>
      </c>
      <c r="BQ66" s="1018">
        <f t="shared" ca="1" si="75"/>
        <v>191.51999999999995</v>
      </c>
      <c r="BR66" s="1018">
        <f t="shared" ca="1" si="76"/>
        <v>43.295999999999999</v>
      </c>
      <c r="BS66" s="1018">
        <f t="shared" ca="1" si="77"/>
        <v>42.459999999999994</v>
      </c>
      <c r="BT66" s="1018">
        <f t="shared" ca="1" si="78"/>
        <v>38.4</v>
      </c>
      <c r="BU66" s="1018">
        <f t="shared" ca="1" si="79"/>
        <v>7</v>
      </c>
      <c r="BV66" s="1018">
        <f t="shared" ca="1" si="80"/>
        <v>4.3</v>
      </c>
      <c r="BW66" s="1018">
        <v>0</v>
      </c>
      <c r="BX66" s="1018">
        <f t="shared" ca="1" si="81"/>
        <v>177.25714285714281</v>
      </c>
      <c r="BY66" s="1018">
        <f t="shared" ca="1" si="82"/>
        <v>95.716084484159211</v>
      </c>
      <c r="BZ66" s="1018">
        <f t="shared" ca="1" si="16"/>
        <v>9.7707750952986032</v>
      </c>
      <c r="CA66" s="1018">
        <f t="shared" ca="1" si="17"/>
        <v>19.249999989412501</v>
      </c>
      <c r="CB66" s="1018">
        <f t="shared" ca="1" si="83"/>
        <v>9.0267175572519083</v>
      </c>
      <c r="CC66" s="1018">
        <f t="shared" si="18"/>
        <v>0</v>
      </c>
      <c r="CD66" s="1018">
        <f t="shared" ca="1" si="87"/>
        <v>311.02071998326511</v>
      </c>
      <c r="CE66" s="1018">
        <f t="shared" ca="1" si="88"/>
        <v>58.755316272361483</v>
      </c>
      <c r="CF66" s="1018">
        <f t="shared" ca="1" si="21"/>
        <v>11.093281087668798</v>
      </c>
      <c r="CG66" s="1018">
        <f t="shared" ca="1" si="22"/>
        <v>18469.869279725037</v>
      </c>
    </row>
    <row r="67" spans="3:85" x14ac:dyDescent="0.25">
      <c r="C67" s="633"/>
      <c r="D67" s="634"/>
      <c r="E67" s="633"/>
      <c r="F67" s="634"/>
      <c r="G67" s="633"/>
      <c r="H67" s="634"/>
      <c r="I67" s="633"/>
      <c r="J67" s="634"/>
      <c r="K67" s="637"/>
      <c r="L67" s="639"/>
      <c r="M67" s="634"/>
      <c r="N67" s="634"/>
      <c r="O67" s="634"/>
      <c r="P67" s="634"/>
      <c r="Q67" s="634" t="s">
        <v>22</v>
      </c>
      <c r="R67" s="636">
        <v>0.53710000000000002</v>
      </c>
      <c r="S67" s="634"/>
      <c r="T67" s="644">
        <v>0</v>
      </c>
      <c r="U67" s="633"/>
      <c r="V67" s="176">
        <f t="shared" si="11"/>
        <v>0</v>
      </c>
      <c r="W67" s="176">
        <f t="shared" si="84"/>
        <v>0</v>
      </c>
      <c r="X67" s="176">
        <f>W67-W67*Calculation_sheet!O$76</f>
        <v>0</v>
      </c>
      <c r="Y67" s="34">
        <f>X67/Calculation_sheet!M$67</f>
        <v>0</v>
      </c>
      <c r="Z67" s="176">
        <f ca="1">IF(AN67&gt;0,Y67*Calculation_sheet!C$87,0)</f>
        <v>0</v>
      </c>
      <c r="AA67" s="176">
        <f t="shared" ca="1" si="85"/>
        <v>0</v>
      </c>
      <c r="AB67" s="176">
        <f ca="1">IF(AP67&gt;0,AA67*Calculation_sheet!C$94,0)</f>
        <v>0</v>
      </c>
      <c r="AC67" s="176">
        <f t="shared" ca="1" si="73"/>
        <v>0</v>
      </c>
      <c r="AD67" s="958">
        <f ca="1">AC67*Calculation_sheet!C$99</f>
        <v>0</v>
      </c>
      <c r="AE67" s="176">
        <f t="shared" ca="1" si="73"/>
        <v>0</v>
      </c>
      <c r="AF67" s="176">
        <f t="shared" ca="1" si="86"/>
        <v>0</v>
      </c>
      <c r="AG67" s="958">
        <f ca="1">AF67*User_sheet!B$77/100</f>
        <v>0</v>
      </c>
      <c r="AH67" s="313"/>
      <c r="AI67">
        <v>301</v>
      </c>
      <c r="AK67" s="1018">
        <f t="shared" ca="1" si="15"/>
        <v>311.02071998326511</v>
      </c>
      <c r="AL67" s="924">
        <f ca="1">AK67/'301'!I$24</f>
        <v>2.4643893315948935</v>
      </c>
      <c r="AM67" s="924">
        <f ca="1">0.8*(AK67*30+'301'!D$17*0.34*30*1)</f>
        <v>9556.0684795983634</v>
      </c>
      <c r="AN67" s="954">
        <f ca="1">IF(AM67&lt;User_sheet!B$50,Y67,0)</f>
        <v>0</v>
      </c>
      <c r="AO67" s="954">
        <f ca="1">20-(User_sheet!B$57/(AK67+'301'!D$17*1*0.34))</f>
        <v>5.6844893596085182</v>
      </c>
      <c r="AP67" s="954">
        <f ca="1">IF(AO67&lt;User_sheet!B$59,0,BC67*AA67)</f>
        <v>0</v>
      </c>
      <c r="AR67" s="2">
        <v>14.1</v>
      </c>
      <c r="AS67" s="2">
        <v>3.7</v>
      </c>
      <c r="AT67" s="2">
        <v>0.89</v>
      </c>
      <c r="AU67" s="2">
        <v>2.75</v>
      </c>
      <c r="AV67" s="2">
        <v>3.3</v>
      </c>
      <c r="AW67" s="2">
        <v>7211.5338771527777</v>
      </c>
      <c r="AX67" s="2">
        <v>76466.30421774846</v>
      </c>
      <c r="AY67" s="2">
        <v>79015.992973719694</v>
      </c>
      <c r="AZ67" s="2">
        <v>0</v>
      </c>
      <c r="BA67" s="2">
        <v>0</v>
      </c>
      <c r="BB67" s="2">
        <v>0.6</v>
      </c>
      <c r="BC67" s="30">
        <v>0</v>
      </c>
      <c r="BD67" s="34">
        <v>1</v>
      </c>
      <c r="BE67" s="34">
        <v>0</v>
      </c>
      <c r="BF67" s="40">
        <v>0</v>
      </c>
      <c r="BG67" s="2">
        <v>0</v>
      </c>
      <c r="BH67" s="2">
        <v>1</v>
      </c>
      <c r="BI67" s="40">
        <v>0</v>
      </c>
      <c r="BJ67" s="2">
        <v>0</v>
      </c>
      <c r="BK67" s="2">
        <v>1</v>
      </c>
      <c r="BL67" s="2">
        <v>0</v>
      </c>
      <c r="BM67" s="40">
        <v>0</v>
      </c>
      <c r="BN67" s="958">
        <v>0</v>
      </c>
      <c r="BO67" s="959">
        <v>14.9</v>
      </c>
      <c r="BP67" s="1018">
        <f t="shared" ca="1" si="74"/>
        <v>115.19999999999999</v>
      </c>
      <c r="BQ67" s="1018">
        <f t="shared" ca="1" si="75"/>
        <v>191.51999999999995</v>
      </c>
      <c r="BR67" s="1018">
        <f t="shared" ca="1" si="76"/>
        <v>43.295999999999999</v>
      </c>
      <c r="BS67" s="1018">
        <f t="shared" ca="1" si="77"/>
        <v>42.459999999999994</v>
      </c>
      <c r="BT67" s="1018">
        <f t="shared" ca="1" si="78"/>
        <v>38.4</v>
      </c>
      <c r="BU67" s="1018">
        <f t="shared" ca="1" si="79"/>
        <v>7</v>
      </c>
      <c r="BV67" s="1018">
        <f t="shared" ca="1" si="80"/>
        <v>4.3</v>
      </c>
      <c r="BW67" s="1018">
        <v>0</v>
      </c>
      <c r="BX67" s="1018">
        <f t="shared" ca="1" si="81"/>
        <v>177.25714285714281</v>
      </c>
      <c r="BY67" s="1018">
        <f t="shared" ca="1" si="82"/>
        <v>95.716084484159211</v>
      </c>
      <c r="BZ67" s="1018">
        <f t="shared" ca="1" si="16"/>
        <v>9.7707750952986032</v>
      </c>
      <c r="CA67" s="1018">
        <f t="shared" ca="1" si="17"/>
        <v>19.249999989412501</v>
      </c>
      <c r="CB67" s="1018">
        <f t="shared" ca="1" si="83"/>
        <v>9.0267175572519083</v>
      </c>
      <c r="CC67" s="1018">
        <f t="shared" si="18"/>
        <v>0</v>
      </c>
      <c r="CD67" s="1018">
        <f t="shared" ca="1" si="87"/>
        <v>311.02071998326511</v>
      </c>
      <c r="CE67" s="1018">
        <f t="shared" ca="1" si="88"/>
        <v>58.755316272361483</v>
      </c>
      <c r="CF67" s="1018">
        <f t="shared" ca="1" si="21"/>
        <v>11.093281087668798</v>
      </c>
      <c r="CG67" s="1018">
        <f t="shared" ca="1" si="22"/>
        <v>18469.869279725037</v>
      </c>
    </row>
    <row r="68" spans="3:85" x14ac:dyDescent="0.25">
      <c r="C68" s="633"/>
      <c r="D68" s="634"/>
      <c r="E68" s="633"/>
      <c r="F68" s="634"/>
      <c r="G68" s="633"/>
      <c r="H68" s="634"/>
      <c r="I68" s="633"/>
      <c r="J68" s="634"/>
      <c r="K68" s="637"/>
      <c r="L68" s="639"/>
      <c r="M68" s="634" t="s">
        <v>22</v>
      </c>
      <c r="N68" s="636">
        <v>0.44680851100000002</v>
      </c>
      <c r="O68" s="634" t="s">
        <v>20</v>
      </c>
      <c r="P68" s="636">
        <v>0.19172932300000001</v>
      </c>
      <c r="Q68" s="634" t="s">
        <v>7</v>
      </c>
      <c r="R68" s="636">
        <v>0.46289999999999998</v>
      </c>
      <c r="S68" s="634"/>
      <c r="T68" s="644">
        <v>0</v>
      </c>
      <c r="U68" s="633"/>
      <c r="V68" s="176">
        <f t="shared" si="11"/>
        <v>0</v>
      </c>
      <c r="W68" s="176">
        <f t="shared" si="84"/>
        <v>0</v>
      </c>
      <c r="X68" s="176">
        <f>W68-W68*Calculation_sheet!O$76</f>
        <v>0</v>
      </c>
      <c r="Y68" s="34">
        <f>X68/Calculation_sheet!M$67</f>
        <v>0</v>
      </c>
      <c r="Z68" s="176">
        <f ca="1">IF(AN68&gt;0,Y68*Calculation_sheet!C$87,0)</f>
        <v>0</v>
      </c>
      <c r="AA68" s="176">
        <f t="shared" ca="1" si="85"/>
        <v>0</v>
      </c>
      <c r="AB68" s="176">
        <f ca="1">IF(AP68&gt;0,AA68*Calculation_sheet!C$94,0)</f>
        <v>0</v>
      </c>
      <c r="AC68" s="176">
        <f t="shared" ca="1" si="73"/>
        <v>0</v>
      </c>
      <c r="AD68" s="958">
        <f ca="1">AC68*Calculation_sheet!C$99</f>
        <v>0</v>
      </c>
      <c r="AE68" s="176">
        <f t="shared" ca="1" si="73"/>
        <v>0</v>
      </c>
      <c r="AF68" s="176">
        <f t="shared" ca="1" si="86"/>
        <v>0</v>
      </c>
      <c r="AG68" s="958">
        <f ca="1">AF68*User_sheet!B$77/100</f>
        <v>0</v>
      </c>
      <c r="AH68" s="313"/>
      <c r="AI68">
        <v>301</v>
      </c>
      <c r="AK68" s="1018">
        <f t="shared" ca="1" si="15"/>
        <v>311.02071998326511</v>
      </c>
      <c r="AL68" s="924">
        <f ca="1">AK68/'301'!I$24</f>
        <v>2.4643893315948935</v>
      </c>
      <c r="AM68" s="924">
        <f ca="1">0.8*(AK68*30+'301'!D$17*0.34*30*1)</f>
        <v>9556.0684795983634</v>
      </c>
      <c r="AN68" s="954">
        <f ca="1">IF(AM68&lt;User_sheet!B$50,Y68,0)</f>
        <v>0</v>
      </c>
      <c r="AO68" s="954">
        <f ca="1">20-(User_sheet!B$57/(AK68+'301'!D$17*1*0.34))</f>
        <v>5.6844893596085182</v>
      </c>
      <c r="AP68" s="954">
        <f ca="1">IF(AO68&lt;User_sheet!B$59,0,BC68*AA68)</f>
        <v>0</v>
      </c>
      <c r="AR68" s="2">
        <v>14.1</v>
      </c>
      <c r="AS68" s="2">
        <v>3.7</v>
      </c>
      <c r="AT68" s="2">
        <v>0.89</v>
      </c>
      <c r="AU68" s="2">
        <v>2.75</v>
      </c>
      <c r="AV68" s="2">
        <v>3.3</v>
      </c>
      <c r="AW68" s="2">
        <v>7211.5338771527777</v>
      </c>
      <c r="AX68" s="2">
        <v>76466.30421774846</v>
      </c>
      <c r="AY68" s="2">
        <v>79015.992973719694</v>
      </c>
      <c r="AZ68" s="2">
        <v>0</v>
      </c>
      <c r="BA68" s="2">
        <v>0</v>
      </c>
      <c r="BB68" s="2">
        <v>0.6</v>
      </c>
      <c r="BC68" s="30">
        <v>0</v>
      </c>
      <c r="BD68" s="34">
        <v>1</v>
      </c>
      <c r="BE68" s="34">
        <v>0</v>
      </c>
      <c r="BF68" s="40">
        <v>0</v>
      </c>
      <c r="BG68" s="2">
        <v>0</v>
      </c>
      <c r="BH68" s="2">
        <v>1</v>
      </c>
      <c r="BI68" s="40">
        <v>0</v>
      </c>
      <c r="BJ68" s="2">
        <v>0</v>
      </c>
      <c r="BK68" s="2">
        <v>0</v>
      </c>
      <c r="BL68" s="2">
        <v>1</v>
      </c>
      <c r="BM68" s="40">
        <v>0</v>
      </c>
      <c r="BN68" s="958">
        <v>0</v>
      </c>
      <c r="BO68" s="959">
        <v>14.9</v>
      </c>
      <c r="BP68" s="1018">
        <f t="shared" ca="1" si="74"/>
        <v>115.19999999999999</v>
      </c>
      <c r="BQ68" s="1018">
        <f t="shared" ca="1" si="75"/>
        <v>191.51999999999995</v>
      </c>
      <c r="BR68" s="1018">
        <f t="shared" ca="1" si="76"/>
        <v>43.295999999999999</v>
      </c>
      <c r="BS68" s="1018">
        <f t="shared" ca="1" si="77"/>
        <v>42.459999999999994</v>
      </c>
      <c r="BT68" s="1018">
        <f t="shared" ca="1" si="78"/>
        <v>38.4</v>
      </c>
      <c r="BU68" s="1018">
        <f t="shared" ca="1" si="79"/>
        <v>7</v>
      </c>
      <c r="BV68" s="1018">
        <f t="shared" ca="1" si="80"/>
        <v>4.3</v>
      </c>
      <c r="BW68" s="1018">
        <v>0</v>
      </c>
      <c r="BX68" s="1018">
        <f t="shared" ca="1" si="81"/>
        <v>177.25714285714281</v>
      </c>
      <c r="BY68" s="1018">
        <f t="shared" ca="1" si="82"/>
        <v>95.716084484159211</v>
      </c>
      <c r="BZ68" s="1018">
        <f t="shared" ca="1" si="16"/>
        <v>9.7707750952986032</v>
      </c>
      <c r="CA68" s="1018">
        <f t="shared" ca="1" si="17"/>
        <v>19.249999989412501</v>
      </c>
      <c r="CB68" s="1018">
        <f t="shared" ca="1" si="83"/>
        <v>9.0267175572519083</v>
      </c>
      <c r="CC68" s="1018">
        <f t="shared" si="18"/>
        <v>0</v>
      </c>
      <c r="CD68" s="1018">
        <f t="shared" ca="1" si="87"/>
        <v>311.02071998326511</v>
      </c>
      <c r="CE68" s="1018">
        <f t="shared" ca="1" si="88"/>
        <v>58.755316272361483</v>
      </c>
      <c r="CF68" s="1018">
        <f t="shared" ca="1" si="21"/>
        <v>11.093281087668798</v>
      </c>
      <c r="CG68" s="1018">
        <f t="shared" ca="1" si="22"/>
        <v>18469.869279725037</v>
      </c>
    </row>
    <row r="69" spans="3:85" x14ac:dyDescent="0.25">
      <c r="C69" s="633"/>
      <c r="D69" s="634"/>
      <c r="E69" s="633"/>
      <c r="F69" s="634"/>
      <c r="G69" s="633"/>
      <c r="H69" s="634"/>
      <c r="I69" s="633"/>
      <c r="J69" s="634"/>
      <c r="K69" s="637"/>
      <c r="L69" s="639"/>
      <c r="M69" s="634" t="s">
        <v>7</v>
      </c>
      <c r="N69" s="636">
        <v>2.1276595999999998E-2</v>
      </c>
      <c r="O69" s="634" t="s">
        <v>23</v>
      </c>
      <c r="P69" s="636">
        <v>1</v>
      </c>
      <c r="Q69" s="634" t="s">
        <v>7</v>
      </c>
      <c r="R69" s="636">
        <v>1</v>
      </c>
      <c r="S69" s="634"/>
      <c r="T69" s="644">
        <v>0</v>
      </c>
      <c r="U69" s="633"/>
      <c r="V69" s="176">
        <f t="shared" si="11"/>
        <v>0</v>
      </c>
      <c r="W69" s="176">
        <f t="shared" si="84"/>
        <v>0</v>
      </c>
      <c r="X69" s="176">
        <f>W69-W69*Calculation_sheet!O$76</f>
        <v>0</v>
      </c>
      <c r="Y69" s="34">
        <f>X69/Calculation_sheet!M$67</f>
        <v>0</v>
      </c>
      <c r="Z69" s="176">
        <f ca="1">IF(AN69&gt;0,Y69*Calculation_sheet!C$87,0)</f>
        <v>0</v>
      </c>
      <c r="AA69" s="176">
        <f t="shared" ca="1" si="85"/>
        <v>0</v>
      </c>
      <c r="AB69" s="176">
        <f ca="1">IF(AP69&gt;0,AA69*Calculation_sheet!C$94,0)</f>
        <v>0</v>
      </c>
      <c r="AC69" s="176">
        <f t="shared" ca="1" si="73"/>
        <v>0</v>
      </c>
      <c r="AD69" s="958">
        <f ca="1">AC69*Calculation_sheet!C$99</f>
        <v>0</v>
      </c>
      <c r="AE69" s="176">
        <f t="shared" ca="1" si="73"/>
        <v>0</v>
      </c>
      <c r="AF69" s="176">
        <f t="shared" ca="1" si="86"/>
        <v>0</v>
      </c>
      <c r="AG69" s="958">
        <f ca="1">AF69*User_sheet!B$77/100</f>
        <v>0</v>
      </c>
      <c r="AH69" s="313"/>
      <c r="AI69">
        <v>301</v>
      </c>
      <c r="AK69" s="1018">
        <f t="shared" ca="1" si="15"/>
        <v>311.02071998326511</v>
      </c>
      <c r="AL69" s="924">
        <f ca="1">AK69/'301'!I$24</f>
        <v>2.4643893315948935</v>
      </c>
      <c r="AM69" s="924">
        <f ca="1">0.8*(AK69*30+'301'!D$17*0.34*30*1)</f>
        <v>9556.0684795983634</v>
      </c>
      <c r="AN69" s="954">
        <f ca="1">IF(AM69&lt;User_sheet!B$50,Y69,0)</f>
        <v>0</v>
      </c>
      <c r="AO69" s="954">
        <f ca="1">20-(User_sheet!B$57/(AK69+'301'!D$17*1*0.34))</f>
        <v>5.6844893596085182</v>
      </c>
      <c r="AP69" s="954">
        <f ca="1">IF(AO69&lt;User_sheet!B$59,0,BC69*AA69)</f>
        <v>0</v>
      </c>
      <c r="AR69" s="2">
        <v>14.1</v>
      </c>
      <c r="AS69" s="2">
        <v>3.7</v>
      </c>
      <c r="AT69" s="2">
        <v>0.89</v>
      </c>
      <c r="AU69" s="2">
        <v>2.75</v>
      </c>
      <c r="AV69" s="2">
        <v>3.3</v>
      </c>
      <c r="AW69" s="2">
        <v>7211.5338771527777</v>
      </c>
      <c r="AX69" s="2">
        <v>76466.30421774846</v>
      </c>
      <c r="AY69" s="2">
        <v>79015.992973719694</v>
      </c>
      <c r="AZ69" s="2">
        <v>0</v>
      </c>
      <c r="BA69" s="2">
        <v>0</v>
      </c>
      <c r="BB69" s="2">
        <v>0.6</v>
      </c>
      <c r="BC69" s="30">
        <v>0</v>
      </c>
      <c r="BD69" s="34">
        <v>0</v>
      </c>
      <c r="BE69" s="34">
        <v>1</v>
      </c>
      <c r="BF69" s="40">
        <v>0</v>
      </c>
      <c r="BG69" s="2">
        <v>0</v>
      </c>
      <c r="BH69" s="2">
        <v>0</v>
      </c>
      <c r="BI69" s="40">
        <v>1</v>
      </c>
      <c r="BJ69" s="2">
        <v>0</v>
      </c>
      <c r="BK69" s="2">
        <v>0</v>
      </c>
      <c r="BL69" s="2">
        <v>1</v>
      </c>
      <c r="BM69" s="40">
        <v>0</v>
      </c>
      <c r="BN69" s="958">
        <v>0</v>
      </c>
      <c r="BO69" s="959">
        <v>14.9</v>
      </c>
      <c r="BP69" s="1018">
        <f t="shared" ca="1" si="74"/>
        <v>115.19999999999999</v>
      </c>
      <c r="BQ69" s="1018">
        <f t="shared" ca="1" si="75"/>
        <v>191.51999999999995</v>
      </c>
      <c r="BR69" s="1018">
        <f t="shared" ca="1" si="76"/>
        <v>43.295999999999999</v>
      </c>
      <c r="BS69" s="1018">
        <f t="shared" ca="1" si="77"/>
        <v>42.459999999999994</v>
      </c>
      <c r="BT69" s="1018">
        <f t="shared" ca="1" si="78"/>
        <v>38.4</v>
      </c>
      <c r="BU69" s="1018">
        <f t="shared" ca="1" si="79"/>
        <v>7</v>
      </c>
      <c r="BV69" s="1018">
        <f t="shared" ca="1" si="80"/>
        <v>4.3</v>
      </c>
      <c r="BW69" s="1018">
        <v>0</v>
      </c>
      <c r="BX69" s="1018">
        <f t="shared" ca="1" si="81"/>
        <v>177.25714285714281</v>
      </c>
      <c r="BY69" s="1018">
        <f t="shared" ca="1" si="82"/>
        <v>95.716084484159211</v>
      </c>
      <c r="BZ69" s="1018">
        <f t="shared" ca="1" si="16"/>
        <v>9.7707750952986032</v>
      </c>
      <c r="CA69" s="1018">
        <f t="shared" ca="1" si="17"/>
        <v>19.249999989412501</v>
      </c>
      <c r="CB69" s="1018">
        <f t="shared" ca="1" si="83"/>
        <v>9.0267175572519083</v>
      </c>
      <c r="CC69" s="1018">
        <f t="shared" si="18"/>
        <v>0</v>
      </c>
      <c r="CD69" s="1018">
        <f t="shared" ca="1" si="87"/>
        <v>311.02071998326511</v>
      </c>
      <c r="CE69" s="1018">
        <f t="shared" ca="1" si="88"/>
        <v>58.755316272361483</v>
      </c>
      <c r="CF69" s="1018">
        <f t="shared" ca="1" si="21"/>
        <v>11.093281087668798</v>
      </c>
      <c r="CG69" s="1018">
        <f t="shared" ca="1" si="22"/>
        <v>18469.869279725037</v>
      </c>
    </row>
    <row r="70" spans="3:85" x14ac:dyDescent="0.25">
      <c r="C70" s="633" t="s">
        <v>1</v>
      </c>
      <c r="D70" s="636">
        <v>0.65459999999999996</v>
      </c>
      <c r="E70" s="633"/>
      <c r="F70" s="634"/>
      <c r="G70" s="633"/>
      <c r="H70" s="634"/>
      <c r="I70" s="633"/>
      <c r="J70" s="634"/>
      <c r="K70" s="634"/>
      <c r="L70" s="634"/>
      <c r="M70" s="634"/>
      <c r="N70" s="634"/>
      <c r="O70" s="634" t="s">
        <v>18</v>
      </c>
      <c r="P70" s="636">
        <v>0.15910607099999999</v>
      </c>
      <c r="Q70" s="634" t="s">
        <v>17</v>
      </c>
      <c r="R70" s="636">
        <v>1</v>
      </c>
      <c r="S70" s="634"/>
      <c r="T70" s="644">
        <v>0</v>
      </c>
      <c r="U70" s="633"/>
      <c r="V70" s="176">
        <f t="shared" si="11"/>
        <v>0</v>
      </c>
      <c r="W70" s="176">
        <f t="shared" si="84"/>
        <v>0</v>
      </c>
      <c r="X70" s="176">
        <f>W70-W70*Calculation_sheet!O$76</f>
        <v>0</v>
      </c>
      <c r="Y70" s="34">
        <f>X70/Calculation_sheet!M$67</f>
        <v>0</v>
      </c>
      <c r="Z70" s="176">
        <f ca="1">IF(AN70&gt;0,Y70*Calculation_sheet!C$87,0)</f>
        <v>0</v>
      </c>
      <c r="AA70" s="176">
        <f t="shared" ca="1" si="85"/>
        <v>0</v>
      </c>
      <c r="AB70" s="176">
        <f ca="1">IF(AP70&gt;0,AA70*Calculation_sheet!C$94,0)</f>
        <v>0</v>
      </c>
      <c r="AC70" s="176">
        <f t="shared" ca="1" si="73"/>
        <v>0</v>
      </c>
      <c r="AD70" s="958">
        <f ca="1">AC70*Calculation_sheet!C$99</f>
        <v>0</v>
      </c>
      <c r="AE70" s="176">
        <f t="shared" ca="1" si="73"/>
        <v>0</v>
      </c>
      <c r="AF70" s="176">
        <f t="shared" ca="1" si="86"/>
        <v>0</v>
      </c>
      <c r="AG70" s="958">
        <f ca="1">AF70*User_sheet!B$77/100</f>
        <v>0</v>
      </c>
      <c r="AH70" s="313"/>
      <c r="AI70">
        <v>301</v>
      </c>
      <c r="AK70" s="1018">
        <f t="shared" ca="1" si="15"/>
        <v>311.02071998326511</v>
      </c>
      <c r="AL70" s="924">
        <f ca="1">AK70/'301'!I$24</f>
        <v>2.4643893315948935</v>
      </c>
      <c r="AM70" s="924">
        <f ca="1">0.8*(AK70*30+'301'!D$17*0.34*30*1)</f>
        <v>9556.0684795983634</v>
      </c>
      <c r="AN70" s="954">
        <f ca="1">IF(AM70&lt;User_sheet!B$50,Y70,0)</f>
        <v>0</v>
      </c>
      <c r="AO70" s="954">
        <f ca="1">20-(User_sheet!B$57/(AK70+'301'!D$17*1*0.34))</f>
        <v>5.6844893596085182</v>
      </c>
      <c r="AP70" s="954">
        <f ca="1">IF(AO70&lt;User_sheet!B$59,0,BC70*AA70)</f>
        <v>0</v>
      </c>
      <c r="AR70" s="2">
        <v>14.1</v>
      </c>
      <c r="AS70" s="2">
        <v>3.7</v>
      </c>
      <c r="AT70" s="2">
        <v>0.89</v>
      </c>
      <c r="AU70" s="2">
        <v>2.75</v>
      </c>
      <c r="AV70" s="2">
        <v>3.3</v>
      </c>
      <c r="AW70" s="2">
        <v>7211.5338771527777</v>
      </c>
      <c r="AX70" s="2">
        <v>76466.30421774846</v>
      </c>
      <c r="AY70" s="2">
        <v>79015.992973719694</v>
      </c>
      <c r="AZ70" s="2">
        <v>0</v>
      </c>
      <c r="BA70" s="2">
        <v>0</v>
      </c>
      <c r="BB70" s="2">
        <v>0.6</v>
      </c>
      <c r="BC70" s="30">
        <v>0</v>
      </c>
      <c r="BD70" s="34">
        <v>0</v>
      </c>
      <c r="BE70" s="34">
        <v>0</v>
      </c>
      <c r="BF70" s="40">
        <v>1</v>
      </c>
      <c r="BG70" s="2">
        <v>1</v>
      </c>
      <c r="BH70" s="2">
        <v>0</v>
      </c>
      <c r="BI70" s="40">
        <v>0</v>
      </c>
      <c r="BJ70" s="2">
        <v>0</v>
      </c>
      <c r="BK70" s="2">
        <v>0</v>
      </c>
      <c r="BL70" s="2">
        <v>0</v>
      </c>
      <c r="BM70" s="40">
        <v>1</v>
      </c>
      <c r="BN70" s="958">
        <v>0</v>
      </c>
      <c r="BO70" s="959">
        <v>14.9</v>
      </c>
      <c r="BP70" s="1018">
        <f t="shared" ca="1" si="74"/>
        <v>115.19999999999999</v>
      </c>
      <c r="BQ70" s="1018">
        <f t="shared" ca="1" si="75"/>
        <v>191.51999999999995</v>
      </c>
      <c r="BR70" s="1018">
        <f t="shared" ca="1" si="76"/>
        <v>43.295999999999999</v>
      </c>
      <c r="BS70" s="1018">
        <f t="shared" ca="1" si="77"/>
        <v>42.459999999999994</v>
      </c>
      <c r="BT70" s="1018">
        <f t="shared" ca="1" si="78"/>
        <v>38.4</v>
      </c>
      <c r="BU70" s="1018">
        <f t="shared" ca="1" si="79"/>
        <v>7</v>
      </c>
      <c r="BV70" s="1018">
        <f t="shared" ca="1" si="80"/>
        <v>4.3</v>
      </c>
      <c r="BW70" s="1018">
        <v>0</v>
      </c>
      <c r="BX70" s="1018">
        <f t="shared" ca="1" si="81"/>
        <v>177.25714285714281</v>
      </c>
      <c r="BY70" s="1018">
        <f t="shared" ca="1" si="82"/>
        <v>95.716084484159211</v>
      </c>
      <c r="BZ70" s="1018">
        <f t="shared" ca="1" si="16"/>
        <v>9.7707750952986032</v>
      </c>
      <c r="CA70" s="1018">
        <f t="shared" ca="1" si="17"/>
        <v>19.249999989412501</v>
      </c>
      <c r="CB70" s="1018">
        <f t="shared" ca="1" si="83"/>
        <v>9.0267175572519083</v>
      </c>
      <c r="CC70" s="1018">
        <f t="shared" si="18"/>
        <v>0</v>
      </c>
      <c r="CD70" s="1018">
        <f t="shared" ca="1" si="87"/>
        <v>311.02071998326511</v>
      </c>
      <c r="CE70" s="1018">
        <f t="shared" ca="1" si="88"/>
        <v>58.755316272361483</v>
      </c>
      <c r="CF70" s="1018">
        <f t="shared" ca="1" si="21"/>
        <v>11.093281087668798</v>
      </c>
      <c r="CG70" s="1018">
        <f t="shared" ca="1" si="22"/>
        <v>18469.869279725037</v>
      </c>
    </row>
    <row r="71" spans="3:85" x14ac:dyDescent="0.25">
      <c r="C71" s="633"/>
      <c r="D71" s="634"/>
      <c r="E71" s="633"/>
      <c r="F71" s="634"/>
      <c r="G71" s="633" t="s">
        <v>9</v>
      </c>
      <c r="H71" s="638">
        <v>0.74940000000000007</v>
      </c>
      <c r="I71" s="633"/>
      <c r="J71" s="634"/>
      <c r="K71" s="637" t="s">
        <v>12</v>
      </c>
      <c r="L71" s="638">
        <v>0</v>
      </c>
      <c r="M71" s="634" t="s">
        <v>17</v>
      </c>
      <c r="N71" s="636">
        <v>8.5106382999999994E-2</v>
      </c>
      <c r="O71" s="634" t="s">
        <v>19</v>
      </c>
      <c r="P71" s="636">
        <v>0.84089392900000004</v>
      </c>
      <c r="Q71" s="634" t="s">
        <v>17</v>
      </c>
      <c r="R71" s="636">
        <v>1</v>
      </c>
      <c r="S71" s="634"/>
      <c r="T71" s="644">
        <v>0</v>
      </c>
      <c r="U71" s="633"/>
      <c r="V71" s="176">
        <f t="shared" si="11"/>
        <v>0</v>
      </c>
      <c r="W71" s="176">
        <f t="shared" si="84"/>
        <v>0</v>
      </c>
      <c r="X71" s="176">
        <f>W71-W71*Calculation_sheet!O$76</f>
        <v>0</v>
      </c>
      <c r="Y71" s="34">
        <f>X71/Calculation_sheet!M$67</f>
        <v>0</v>
      </c>
      <c r="Z71" s="176">
        <f ca="1">IF(AN71&gt;0,Y71*Calculation_sheet!C$87,0)</f>
        <v>0</v>
      </c>
      <c r="AA71" s="176">
        <f t="shared" ca="1" si="85"/>
        <v>0</v>
      </c>
      <c r="AB71" s="176">
        <f ca="1">IF(AP71&gt;0,AA71*Calculation_sheet!C$94,0)</f>
        <v>0</v>
      </c>
      <c r="AC71" s="176">
        <f t="shared" ca="1" si="73"/>
        <v>0</v>
      </c>
      <c r="AD71" s="958">
        <f ca="1">AC71*Calculation_sheet!C$99</f>
        <v>0</v>
      </c>
      <c r="AE71" s="176">
        <f t="shared" ca="1" si="73"/>
        <v>0</v>
      </c>
      <c r="AF71" s="176">
        <f t="shared" ca="1" si="86"/>
        <v>0</v>
      </c>
      <c r="AG71" s="958">
        <f ca="1">AF71*User_sheet!B$77/100</f>
        <v>0</v>
      </c>
      <c r="AH71" s="313"/>
      <c r="AI71">
        <v>301</v>
      </c>
      <c r="AK71" s="1018">
        <f t="shared" ca="1" si="15"/>
        <v>311.02071998326511</v>
      </c>
      <c r="AL71" s="924">
        <f ca="1">AK71/'301'!I$24</f>
        <v>2.4643893315948935</v>
      </c>
      <c r="AM71" s="924">
        <f ca="1">0.8*(AK71*30+'301'!D$17*0.34*30*1)</f>
        <v>9556.0684795983634</v>
      </c>
      <c r="AN71" s="954">
        <f ca="1">IF(AM71&lt;User_sheet!B$50,Y71,0)</f>
        <v>0</v>
      </c>
      <c r="AO71" s="954">
        <f ca="1">20-(User_sheet!B$57/(AK71+'301'!D$17*1*0.34))</f>
        <v>5.6844893596085182</v>
      </c>
      <c r="AP71" s="954">
        <f ca="1">IF(AO71&lt;User_sheet!B$59,0,BC71*AA71)</f>
        <v>0</v>
      </c>
      <c r="AR71" s="2">
        <v>14.1</v>
      </c>
      <c r="AS71" s="2">
        <v>3.7</v>
      </c>
      <c r="AT71" s="2">
        <v>0.89</v>
      </c>
      <c r="AU71" s="2">
        <v>2.75</v>
      </c>
      <c r="AV71" s="2">
        <v>3.3</v>
      </c>
      <c r="AW71" s="2">
        <v>7211.5338771527777</v>
      </c>
      <c r="AX71" s="2">
        <v>76466.30421774846</v>
      </c>
      <c r="AY71" s="2">
        <v>79015.992973719694</v>
      </c>
      <c r="AZ71" s="2">
        <v>0</v>
      </c>
      <c r="BA71" s="2">
        <v>0</v>
      </c>
      <c r="BB71" s="2">
        <v>0.6</v>
      </c>
      <c r="BC71" s="30">
        <v>0</v>
      </c>
      <c r="BD71" s="34">
        <v>0</v>
      </c>
      <c r="BE71" s="34">
        <v>0</v>
      </c>
      <c r="BF71" s="40">
        <v>1</v>
      </c>
      <c r="BG71" s="2">
        <v>0</v>
      </c>
      <c r="BH71" s="2">
        <v>1</v>
      </c>
      <c r="BI71" s="40">
        <v>0</v>
      </c>
      <c r="BJ71" s="2">
        <v>0</v>
      </c>
      <c r="BK71" s="2">
        <v>0</v>
      </c>
      <c r="BL71" s="2">
        <v>0</v>
      </c>
      <c r="BM71" s="40">
        <v>1</v>
      </c>
      <c r="BN71" s="958">
        <v>0</v>
      </c>
      <c r="BO71" s="959">
        <v>14.9</v>
      </c>
      <c r="BP71" s="1018">
        <f t="shared" ca="1" si="74"/>
        <v>115.19999999999999</v>
      </c>
      <c r="BQ71" s="1018">
        <f t="shared" ca="1" si="75"/>
        <v>191.51999999999995</v>
      </c>
      <c r="BR71" s="1018">
        <f t="shared" ca="1" si="76"/>
        <v>43.295999999999999</v>
      </c>
      <c r="BS71" s="1018">
        <f t="shared" ca="1" si="77"/>
        <v>42.459999999999994</v>
      </c>
      <c r="BT71" s="1018">
        <f t="shared" ca="1" si="78"/>
        <v>38.4</v>
      </c>
      <c r="BU71" s="1018">
        <f t="shared" ca="1" si="79"/>
        <v>7</v>
      </c>
      <c r="BV71" s="1018">
        <f t="shared" ca="1" si="80"/>
        <v>4.3</v>
      </c>
      <c r="BW71" s="1018">
        <v>0</v>
      </c>
      <c r="BX71" s="1018">
        <f t="shared" ca="1" si="81"/>
        <v>177.25714285714281</v>
      </c>
      <c r="BY71" s="1018">
        <f t="shared" ca="1" si="82"/>
        <v>95.716084484159211</v>
      </c>
      <c r="BZ71" s="1018">
        <f t="shared" ca="1" si="16"/>
        <v>9.7707750952986032</v>
      </c>
      <c r="CA71" s="1018">
        <f t="shared" ca="1" si="17"/>
        <v>19.249999989412501</v>
      </c>
      <c r="CB71" s="1018">
        <f t="shared" ca="1" si="83"/>
        <v>9.0267175572519083</v>
      </c>
      <c r="CC71" s="1018">
        <f t="shared" si="18"/>
        <v>0</v>
      </c>
      <c r="CD71" s="1018">
        <f t="shared" ca="1" si="87"/>
        <v>311.02071998326511</v>
      </c>
      <c r="CE71" s="1018">
        <f t="shared" ca="1" si="88"/>
        <v>58.755316272361483</v>
      </c>
      <c r="CF71" s="1018">
        <f t="shared" ca="1" si="21"/>
        <v>11.093281087668798</v>
      </c>
      <c r="CG71" s="1018">
        <f t="shared" ca="1" si="22"/>
        <v>18469.869279725037</v>
      </c>
    </row>
    <row r="72" spans="3:85" s="14" customFormat="1" x14ac:dyDescent="0.25">
      <c r="C72" s="641"/>
      <c r="D72" s="642"/>
      <c r="E72" s="641"/>
      <c r="F72" s="642"/>
      <c r="G72" s="641"/>
      <c r="H72" s="642"/>
      <c r="I72" s="641"/>
      <c r="J72" s="642"/>
      <c r="K72" s="643"/>
      <c r="L72" s="642"/>
      <c r="M72" s="642"/>
      <c r="N72" s="642"/>
      <c r="O72" s="642"/>
      <c r="P72" s="642"/>
      <c r="Q72" s="642"/>
      <c r="R72" s="642"/>
      <c r="S72" s="642"/>
      <c r="T72" s="646"/>
      <c r="U72" s="641"/>
      <c r="V72" s="292"/>
      <c r="W72" s="292"/>
      <c r="X72" s="292"/>
      <c r="Y72" s="277"/>
      <c r="Z72" s="292"/>
      <c r="AA72" s="292"/>
      <c r="AB72" s="292"/>
      <c r="AC72" s="292"/>
      <c r="AD72" s="277"/>
      <c r="AE72" s="292"/>
      <c r="AF72" s="292"/>
      <c r="AG72" s="277"/>
      <c r="AH72" s="313"/>
      <c r="AJ72" s="314"/>
      <c r="AK72" s="1018">
        <f t="shared" si="15"/>
        <v>0</v>
      </c>
      <c r="AL72" s="928"/>
      <c r="AM72" s="928"/>
      <c r="AN72" s="986"/>
      <c r="AO72" s="986"/>
      <c r="AP72" s="986"/>
      <c r="AQ72" s="314"/>
      <c r="AR72" s="28"/>
      <c r="AS72" s="28"/>
      <c r="AT72" s="28"/>
      <c r="AU72" s="28"/>
      <c r="AV72" s="28"/>
      <c r="AW72" s="28"/>
      <c r="AX72" s="28"/>
      <c r="AY72" s="28"/>
      <c r="AZ72" s="28"/>
      <c r="BA72" s="28"/>
      <c r="BB72" s="28"/>
      <c r="BC72" s="45"/>
      <c r="BD72" s="277"/>
      <c r="BE72" s="277"/>
      <c r="BF72" s="49"/>
      <c r="BG72" s="28"/>
      <c r="BH72" s="28"/>
      <c r="BI72" s="49"/>
      <c r="BJ72" s="28"/>
      <c r="BK72" s="28"/>
      <c r="BL72" s="28"/>
      <c r="BM72" s="49"/>
      <c r="BN72" s="277"/>
      <c r="BO72" s="49"/>
      <c r="BP72" s="928"/>
      <c r="BQ72" s="928"/>
      <c r="BR72" s="928"/>
      <c r="BS72" s="928"/>
      <c r="BT72" s="928"/>
      <c r="BU72" s="928"/>
      <c r="BV72" s="928"/>
      <c r="BW72" s="928"/>
      <c r="BX72" s="928"/>
      <c r="BY72" s="928"/>
      <c r="BZ72" s="928"/>
      <c r="CA72" s="928"/>
      <c r="CB72" s="928"/>
      <c r="CC72" s="928"/>
      <c r="CD72" s="928"/>
      <c r="CE72" s="928"/>
      <c r="CF72" s="928"/>
      <c r="CG72" s="928"/>
    </row>
    <row r="73" spans="3:85" x14ac:dyDescent="0.25">
      <c r="D73" s="1"/>
      <c r="F73" s="1"/>
      <c r="G73" s="3"/>
      <c r="H73" s="6"/>
      <c r="I73" s="3"/>
      <c r="J73" s="6"/>
      <c r="K73" s="8"/>
      <c r="L73" s="6"/>
      <c r="M73" s="1"/>
      <c r="N73" s="1"/>
      <c r="O73" s="1"/>
      <c r="P73" s="1"/>
      <c r="Q73" s="1" t="s">
        <v>16</v>
      </c>
      <c r="R73" s="4"/>
      <c r="S73" s="1"/>
      <c r="T73" s="77"/>
      <c r="U73" s="294"/>
      <c r="X73" s="176">
        <f>W61-X61</f>
        <v>0</v>
      </c>
      <c r="Y73" s="34">
        <f>X73/Calculation_sheet!M$67</f>
        <v>0</v>
      </c>
      <c r="Z73" s="176">
        <f ca="1">IF(AN73&gt;0,Y73*Calculation_sheet!C$87,0)</f>
        <v>0</v>
      </c>
      <c r="AA73" s="176">
        <f ca="1">Y73-Z73</f>
        <v>0</v>
      </c>
      <c r="AB73" s="176">
        <f ca="1">IF(AP73&gt;0,AA73*Calculation_sheet!C$94,0)</f>
        <v>0</v>
      </c>
      <c r="AC73" s="176">
        <f t="shared" ref="AC73:AE83" ca="1" si="89">AA73-AB73</f>
        <v>0</v>
      </c>
      <c r="AD73" s="958">
        <f ca="1">AC73*Calculation_sheet!C$99</f>
        <v>0</v>
      </c>
      <c r="AE73" s="176">
        <f t="shared" ca="1" si="89"/>
        <v>0</v>
      </c>
      <c r="AF73" s="176">
        <f ca="1">Y73-AB73</f>
        <v>0</v>
      </c>
      <c r="AG73" s="958">
        <f ca="1">AF73*User_sheet!B$77/100</f>
        <v>0</v>
      </c>
      <c r="AH73" s="313"/>
      <c r="AI73">
        <v>301</v>
      </c>
      <c r="AK73" s="1018">
        <f t="shared" ca="1" si="15"/>
        <v>141.64020674202433</v>
      </c>
      <c r="AL73" s="924">
        <f ca="1">AK73/'301'!I$24</f>
        <v>1.1222937637039787</v>
      </c>
      <c r="AM73" s="924">
        <f ca="1">0.8*(AK73*30+'301'!D$17*0.34*30*1)</f>
        <v>5490.9361618085841</v>
      </c>
      <c r="AN73" s="954">
        <f ca="1">IF(AM73&lt;User_sheet!B$50,Y73,0)</f>
        <v>0</v>
      </c>
      <c r="AO73" s="954">
        <f ca="1">20-(User_sheet!B$57/(AK73+'301'!D$17*1*0.34))</f>
        <v>-4.9137844565545521</v>
      </c>
      <c r="AP73" s="954">
        <f ca="1">IF(AO73&lt;User_sheet!B$59,0,BC73*AA73)</f>
        <v>0</v>
      </c>
      <c r="AR73" s="2">
        <v>0.32</v>
      </c>
      <c r="AS73" s="2">
        <v>3.7</v>
      </c>
      <c r="AT73" s="2">
        <v>0.89</v>
      </c>
      <c r="AU73" s="2">
        <v>2</v>
      </c>
      <c r="AV73" s="2">
        <v>3.3</v>
      </c>
      <c r="AW73" s="2">
        <v>14356</v>
      </c>
      <c r="AX73" s="2">
        <v>76466.30421774846</v>
      </c>
      <c r="AY73" s="2">
        <v>79015.992973719694</v>
      </c>
      <c r="AZ73" s="27">
        <v>0</v>
      </c>
      <c r="BA73" s="27">
        <v>0</v>
      </c>
      <c r="BB73" s="2">
        <v>0.6</v>
      </c>
      <c r="BC73" s="30">
        <v>1</v>
      </c>
      <c r="BD73" s="34">
        <v>0</v>
      </c>
      <c r="BE73" s="34">
        <v>0</v>
      </c>
      <c r="BF73" s="40">
        <v>0</v>
      </c>
      <c r="BG73" s="34">
        <v>1</v>
      </c>
      <c r="BH73" s="34">
        <v>0</v>
      </c>
      <c r="BI73" s="40">
        <v>0</v>
      </c>
      <c r="BJ73" s="34">
        <v>1</v>
      </c>
      <c r="BK73" s="34">
        <v>0</v>
      </c>
      <c r="BL73" s="34">
        <v>0</v>
      </c>
      <c r="BM73" s="40">
        <v>0</v>
      </c>
      <c r="BN73" s="958">
        <v>0</v>
      </c>
      <c r="BO73" s="959">
        <v>14.9</v>
      </c>
      <c r="BP73" s="1018">
        <f t="shared" ref="BP73:BP83" ca="1" si="90">INDIRECT("'"&amp;AI73&amp;"'!"&amp;"B2")</f>
        <v>115.19999999999999</v>
      </c>
      <c r="BQ73" s="1018">
        <f t="shared" ref="BQ73:BQ83" ca="1" si="91">INDIRECT("'"&amp;AI73&amp;"'!"&amp;"C12")+INDIRECT("'"&amp;AI73&amp;"'!"&amp;"C13")+INDIRECT("'"&amp;AI73&amp;"'!"&amp;"C14")+INDIRECT("'"&amp;AI73&amp;"'!"&amp;"C15")+INDIRECT("'"&amp;AI73&amp;"'!"&amp;"C17")</f>
        <v>191.51999999999995</v>
      </c>
      <c r="BR73" s="1018">
        <f t="shared" ref="BR73:BR83" ca="1" si="92">INDIRECT("'"&amp;AI73&amp;"'!"&amp;"G5")</f>
        <v>43.295999999999999</v>
      </c>
      <c r="BS73" s="1018">
        <f t="shared" ref="BS73:BS83" ca="1" si="93">INDIRECT("'"&amp;AI73&amp;"'!"&amp;"G4")</f>
        <v>42.459999999999994</v>
      </c>
      <c r="BT73" s="1018">
        <f t="shared" ref="BT73:BT83" ca="1" si="94">INDIRECT("'"&amp;AI73&amp;"'!"&amp;"G6")</f>
        <v>38.4</v>
      </c>
      <c r="BU73" s="1018">
        <f t="shared" ref="BU73:BU83" ca="1" si="95">INDIRECT("'"&amp;AI73&amp;"'!"&amp;"G2")</f>
        <v>7</v>
      </c>
      <c r="BV73" s="1018">
        <f t="shared" ref="BV73:BV83" ca="1" si="96">INDIRECT("'"&amp;AI73&amp;"'!"&amp;"G3")</f>
        <v>4.3</v>
      </c>
      <c r="BW73" s="1018">
        <v>0</v>
      </c>
      <c r="BX73" s="1018">
        <f t="shared" ref="BX73:BX83" ca="1" si="97">IF(BR73=0,0,1/(1/(BR73*$BY$3)+1/(BR73*AR73)+1/(BR73*$BY$4)))</f>
        <v>13.126629610914604</v>
      </c>
      <c r="BY73" s="1018">
        <f t="shared" ref="BY73:BY83" ca="1" si="98">IF(BS73=0,0,1/(1/(BS73*$BY$3)+1/(BS73*AS73)+1/(BS73*$BY$4)))</f>
        <v>95.716084484159211</v>
      </c>
      <c r="BZ73" s="1018">
        <f t="shared" ca="1" si="16"/>
        <v>9.7707750952986032</v>
      </c>
      <c r="CA73" s="1018">
        <f t="shared" ca="1" si="17"/>
        <v>13.999999994400001</v>
      </c>
      <c r="CB73" s="1018">
        <f t="shared" ref="CB73:CB83" ca="1" si="99">IF(BV73=0,0,1/(1/(BV73*$BY$3)+1/(BV73*AV73)+1/(BV73*$BY$4)))</f>
        <v>9.0267175572519083</v>
      </c>
      <c r="CC73" s="1018">
        <f t="shared" si="18"/>
        <v>0</v>
      </c>
      <c r="CD73" s="1018">
        <f ca="1">SUM(BX73:CC73)+(BR73+BS73+BT73+BU73+BV73)*BN73</f>
        <v>141.64020674202433</v>
      </c>
      <c r="CE73" s="1018">
        <f ca="1">0.34*BO73*(1/25)^0.66*(BR73+BS73+BU73+BV73)</f>
        <v>58.755316272361483</v>
      </c>
      <c r="CF73" s="1018">
        <f t="shared" ca="1" si="21"/>
        <v>6.0118656904315753</v>
      </c>
      <c r="CG73" s="1018">
        <f t="shared" ca="1" si="22"/>
        <v>10009.515899940952</v>
      </c>
    </row>
    <row r="74" spans="3:85" x14ac:dyDescent="0.25">
      <c r="D74" s="1"/>
      <c r="F74" s="1"/>
      <c r="G74" s="3"/>
      <c r="H74" s="6"/>
      <c r="I74" s="3"/>
      <c r="J74" s="6"/>
      <c r="K74" s="8"/>
      <c r="L74" s="6"/>
      <c r="M74" s="1"/>
      <c r="N74" s="1"/>
      <c r="O74" s="1" t="s">
        <v>18</v>
      </c>
      <c r="P74" s="4"/>
      <c r="Q74" s="1" t="s">
        <v>7</v>
      </c>
      <c r="R74" s="4"/>
      <c r="S74" s="1"/>
      <c r="T74" s="77"/>
      <c r="U74" s="294"/>
      <c r="X74" s="176">
        <f t="shared" ref="X74:X83" si="100">W62-X62</f>
        <v>0</v>
      </c>
      <c r="Y74" s="34">
        <f>X74/Calculation_sheet!M$67</f>
        <v>0</v>
      </c>
      <c r="Z74" s="176">
        <f ca="1">IF(AN74&gt;0,Y74*Calculation_sheet!C$87,0)</f>
        <v>0</v>
      </c>
      <c r="AA74" s="176">
        <f t="shared" ref="AA74:AA83" ca="1" si="101">Y74-Z74</f>
        <v>0</v>
      </c>
      <c r="AB74" s="176">
        <f ca="1">IF(AP74&gt;0,AA74*Calculation_sheet!C$94,0)</f>
        <v>0</v>
      </c>
      <c r="AC74" s="176">
        <f t="shared" ca="1" si="89"/>
        <v>0</v>
      </c>
      <c r="AD74" s="958">
        <f ca="1">AC74*Calculation_sheet!C$99</f>
        <v>0</v>
      </c>
      <c r="AE74" s="176">
        <f t="shared" ca="1" si="89"/>
        <v>0</v>
      </c>
      <c r="AF74" s="176">
        <f t="shared" ref="AF74:AF83" ca="1" si="102">Y74-AB74</f>
        <v>0</v>
      </c>
      <c r="AG74" s="958">
        <f ca="1">AF74*User_sheet!B$77/100</f>
        <v>0</v>
      </c>
      <c r="AH74" s="313"/>
      <c r="AI74">
        <v>301</v>
      </c>
      <c r="AK74" s="1018">
        <f t="shared" ca="1" si="15"/>
        <v>141.64020674202433</v>
      </c>
      <c r="AL74" s="924">
        <f ca="1">AK74/'301'!I$24</f>
        <v>1.1222937637039787</v>
      </c>
      <c r="AM74" s="924">
        <f ca="1">0.8*(AK74*30+'301'!D$17*0.34*30*1)</f>
        <v>5490.9361618085841</v>
      </c>
      <c r="AN74" s="954">
        <f ca="1">IF(AM74&lt;User_sheet!B$50,Y74,0)</f>
        <v>0</v>
      </c>
      <c r="AO74" s="954">
        <f ca="1">20-(User_sheet!B$57/(AK74+'301'!D$17*1*0.34))</f>
        <v>-4.9137844565545521</v>
      </c>
      <c r="AP74" s="954">
        <f ca="1">IF(AO74&lt;User_sheet!B$59,0,BC74*AA74)</f>
        <v>0</v>
      </c>
      <c r="AR74" s="2">
        <v>0.32</v>
      </c>
      <c r="AS74" s="2">
        <v>3.7</v>
      </c>
      <c r="AT74" s="2">
        <v>0.89</v>
      </c>
      <c r="AU74" s="2">
        <v>2</v>
      </c>
      <c r="AV74" s="2">
        <v>3.3</v>
      </c>
      <c r="AW74" s="2">
        <v>14356</v>
      </c>
      <c r="AX74" s="2">
        <v>76466.30421774846</v>
      </c>
      <c r="AY74" s="2">
        <v>79015.992973719694</v>
      </c>
      <c r="AZ74" s="27">
        <v>0</v>
      </c>
      <c r="BA74" s="27">
        <v>0</v>
      </c>
      <c r="BB74" s="2">
        <v>0.6</v>
      </c>
      <c r="BC74" s="30">
        <v>1</v>
      </c>
      <c r="BD74" s="34">
        <v>0</v>
      </c>
      <c r="BE74" s="34">
        <v>0</v>
      </c>
      <c r="BF74" s="40">
        <v>0</v>
      </c>
      <c r="BG74" s="34">
        <v>1</v>
      </c>
      <c r="BH74" s="34">
        <v>0</v>
      </c>
      <c r="BI74" s="40">
        <v>0</v>
      </c>
      <c r="BJ74" s="34">
        <v>0</v>
      </c>
      <c r="BK74" s="34">
        <v>0</v>
      </c>
      <c r="BL74" s="34">
        <v>1</v>
      </c>
      <c r="BM74" s="40">
        <v>0</v>
      </c>
      <c r="BN74" s="958">
        <v>0</v>
      </c>
      <c r="BO74" s="959">
        <v>14.9</v>
      </c>
      <c r="BP74" s="1018">
        <f t="shared" ca="1" si="90"/>
        <v>115.19999999999999</v>
      </c>
      <c r="BQ74" s="1018">
        <f t="shared" ca="1" si="91"/>
        <v>191.51999999999995</v>
      </c>
      <c r="BR74" s="1018">
        <f t="shared" ca="1" si="92"/>
        <v>43.295999999999999</v>
      </c>
      <c r="BS74" s="1018">
        <f t="shared" ca="1" si="93"/>
        <v>42.459999999999994</v>
      </c>
      <c r="BT74" s="1018">
        <f t="shared" ca="1" si="94"/>
        <v>38.4</v>
      </c>
      <c r="BU74" s="1018">
        <f t="shared" ca="1" si="95"/>
        <v>7</v>
      </c>
      <c r="BV74" s="1018">
        <f t="shared" ca="1" si="96"/>
        <v>4.3</v>
      </c>
      <c r="BW74" s="1018">
        <v>0</v>
      </c>
      <c r="BX74" s="1018">
        <f t="shared" ca="1" si="97"/>
        <v>13.126629610914604</v>
      </c>
      <c r="BY74" s="1018">
        <f t="shared" ca="1" si="98"/>
        <v>95.716084484159211</v>
      </c>
      <c r="BZ74" s="1018">
        <f t="shared" ca="1" si="16"/>
        <v>9.7707750952986032</v>
      </c>
      <c r="CA74" s="1018">
        <f t="shared" ca="1" si="17"/>
        <v>13.999999994400001</v>
      </c>
      <c r="CB74" s="1018">
        <f t="shared" ca="1" si="99"/>
        <v>9.0267175572519083</v>
      </c>
      <c r="CC74" s="1018">
        <f t="shared" si="18"/>
        <v>0</v>
      </c>
      <c r="CD74" s="1018">
        <f t="shared" ref="CD74:CD83" ca="1" si="103">SUM(BX74:CC74)+(BR74+BS74+BT74+BU74+BV74)*BN74</f>
        <v>141.64020674202433</v>
      </c>
      <c r="CE74" s="1018">
        <f t="shared" ref="CE74:CE83" ca="1" si="104">0.34*BO74*(1/25)^0.66*(BR74+BS74+BU74+BV74)</f>
        <v>58.755316272361483</v>
      </c>
      <c r="CF74" s="1018">
        <f t="shared" ca="1" si="21"/>
        <v>6.0118656904315753</v>
      </c>
      <c r="CG74" s="1018">
        <f t="shared" ca="1" si="22"/>
        <v>10009.515899940952</v>
      </c>
    </row>
    <row r="75" spans="3:85" x14ac:dyDescent="0.25">
      <c r="D75" s="1"/>
      <c r="F75" s="1"/>
      <c r="G75" s="3"/>
      <c r="H75" s="6"/>
      <c r="I75" s="3"/>
      <c r="J75" s="6"/>
      <c r="K75" s="8"/>
      <c r="L75" s="6"/>
      <c r="M75" s="1"/>
      <c r="N75" s="1"/>
      <c r="O75" s="1"/>
      <c r="P75" s="1"/>
      <c r="Q75" s="1" t="s">
        <v>16</v>
      </c>
      <c r="R75" s="4"/>
      <c r="S75" s="1"/>
      <c r="T75" s="77"/>
      <c r="U75" s="294"/>
      <c r="X75" s="176">
        <f t="shared" si="100"/>
        <v>0</v>
      </c>
      <c r="Y75" s="34">
        <f>X75/Calculation_sheet!M$67</f>
        <v>0</v>
      </c>
      <c r="Z75" s="176">
        <f ca="1">IF(AN75&gt;0,Y75*Calculation_sheet!C$87,0)</f>
        <v>0</v>
      </c>
      <c r="AA75" s="176">
        <f t="shared" ca="1" si="101"/>
        <v>0</v>
      </c>
      <c r="AB75" s="176">
        <f ca="1">IF(AP75&gt;0,AA75*Calculation_sheet!C$94,0)</f>
        <v>0</v>
      </c>
      <c r="AC75" s="176">
        <f t="shared" ca="1" si="89"/>
        <v>0</v>
      </c>
      <c r="AD75" s="958">
        <f ca="1">AC75*Calculation_sheet!C$99</f>
        <v>0</v>
      </c>
      <c r="AE75" s="176">
        <f t="shared" ca="1" si="89"/>
        <v>0</v>
      </c>
      <c r="AF75" s="176">
        <f t="shared" ca="1" si="102"/>
        <v>0</v>
      </c>
      <c r="AG75" s="958">
        <f ca="1">AF75*User_sheet!B$77/100</f>
        <v>0</v>
      </c>
      <c r="AH75" s="313"/>
      <c r="AI75">
        <v>301</v>
      </c>
      <c r="AK75" s="1018">
        <f t="shared" ca="1" si="15"/>
        <v>141.64020674202433</v>
      </c>
      <c r="AL75" s="924">
        <f ca="1">AK75/'301'!I$24</f>
        <v>1.1222937637039787</v>
      </c>
      <c r="AM75" s="924">
        <f ca="1">0.8*(AK75*30+'301'!D$17*0.34*30*1)</f>
        <v>5490.9361618085841</v>
      </c>
      <c r="AN75" s="954">
        <f ca="1">IF(AM75&lt;User_sheet!B$50,Y75,0)</f>
        <v>0</v>
      </c>
      <c r="AO75" s="954">
        <f ca="1">20-(User_sheet!B$57/(AK75+'301'!D$17*1*0.34))</f>
        <v>-4.9137844565545521</v>
      </c>
      <c r="AP75" s="954">
        <f ca="1">IF(AO75&lt;User_sheet!B$59,0,BC75*AA75)</f>
        <v>0</v>
      </c>
      <c r="AR75" s="2">
        <v>0.32</v>
      </c>
      <c r="AS75" s="2">
        <v>3.7</v>
      </c>
      <c r="AT75" s="2">
        <v>0.89</v>
      </c>
      <c r="AU75" s="2">
        <v>2</v>
      </c>
      <c r="AV75" s="2">
        <v>3.3</v>
      </c>
      <c r="AW75" s="2">
        <v>14356</v>
      </c>
      <c r="AX75" s="2">
        <v>76466.30421774846</v>
      </c>
      <c r="AY75" s="2">
        <v>79015.992973719694</v>
      </c>
      <c r="AZ75" s="27">
        <v>0</v>
      </c>
      <c r="BA75" s="27">
        <v>0</v>
      </c>
      <c r="BB75" s="2">
        <v>0.6</v>
      </c>
      <c r="BC75" s="30">
        <v>1</v>
      </c>
      <c r="BD75" s="34">
        <v>0</v>
      </c>
      <c r="BE75" s="34">
        <v>0</v>
      </c>
      <c r="BF75" s="40">
        <v>0</v>
      </c>
      <c r="BG75" s="34">
        <v>0</v>
      </c>
      <c r="BH75" s="34">
        <v>1</v>
      </c>
      <c r="BI75" s="40">
        <v>0</v>
      </c>
      <c r="BJ75" s="34">
        <v>1</v>
      </c>
      <c r="BK75" s="34">
        <v>0</v>
      </c>
      <c r="BL75" s="34">
        <v>0</v>
      </c>
      <c r="BM75" s="40">
        <v>0</v>
      </c>
      <c r="BN75" s="958">
        <v>0</v>
      </c>
      <c r="BO75" s="959">
        <v>14.9</v>
      </c>
      <c r="BP75" s="1018">
        <f t="shared" ca="1" si="90"/>
        <v>115.19999999999999</v>
      </c>
      <c r="BQ75" s="1018">
        <f t="shared" ca="1" si="91"/>
        <v>191.51999999999995</v>
      </c>
      <c r="BR75" s="1018">
        <f t="shared" ca="1" si="92"/>
        <v>43.295999999999999</v>
      </c>
      <c r="BS75" s="1018">
        <f t="shared" ca="1" si="93"/>
        <v>42.459999999999994</v>
      </c>
      <c r="BT75" s="1018">
        <f t="shared" ca="1" si="94"/>
        <v>38.4</v>
      </c>
      <c r="BU75" s="1018">
        <f t="shared" ca="1" si="95"/>
        <v>7</v>
      </c>
      <c r="BV75" s="1018">
        <f t="shared" ca="1" si="96"/>
        <v>4.3</v>
      </c>
      <c r="BW75" s="1018">
        <v>0</v>
      </c>
      <c r="BX75" s="1018">
        <f t="shared" ca="1" si="97"/>
        <v>13.126629610914604</v>
      </c>
      <c r="BY75" s="1018">
        <f t="shared" ca="1" si="98"/>
        <v>95.716084484159211</v>
      </c>
      <c r="BZ75" s="1018">
        <f t="shared" ca="1" si="16"/>
        <v>9.7707750952986032</v>
      </c>
      <c r="CA75" s="1018">
        <f t="shared" ca="1" si="17"/>
        <v>13.999999994400001</v>
      </c>
      <c r="CB75" s="1018">
        <f t="shared" ca="1" si="99"/>
        <v>9.0267175572519083</v>
      </c>
      <c r="CC75" s="1018">
        <f t="shared" si="18"/>
        <v>0</v>
      </c>
      <c r="CD75" s="1018">
        <f t="shared" ca="1" si="103"/>
        <v>141.64020674202433</v>
      </c>
      <c r="CE75" s="1018">
        <f t="shared" ca="1" si="104"/>
        <v>58.755316272361483</v>
      </c>
      <c r="CF75" s="1018">
        <f t="shared" ca="1" si="21"/>
        <v>6.0118656904315753</v>
      </c>
      <c r="CG75" s="1018">
        <f t="shared" ca="1" si="22"/>
        <v>10009.515899940952</v>
      </c>
    </row>
    <row r="76" spans="3:85" x14ac:dyDescent="0.25">
      <c r="D76" s="1"/>
      <c r="F76" s="1"/>
      <c r="G76" s="3"/>
      <c r="H76" s="6"/>
      <c r="I76" s="3"/>
      <c r="J76" s="6"/>
      <c r="K76" s="8"/>
      <c r="L76" s="6"/>
      <c r="M76" s="1" t="s">
        <v>16</v>
      </c>
      <c r="N76" s="4"/>
      <c r="O76" s="1" t="s">
        <v>19</v>
      </c>
      <c r="P76" s="4"/>
      <c r="Q76" s="1" t="s">
        <v>7</v>
      </c>
      <c r="R76" s="4"/>
      <c r="S76" s="1"/>
      <c r="T76" s="77"/>
      <c r="U76" s="294"/>
      <c r="X76" s="176">
        <f t="shared" si="100"/>
        <v>0</v>
      </c>
      <c r="Y76" s="34">
        <f>X76/Calculation_sheet!M$67</f>
        <v>0</v>
      </c>
      <c r="Z76" s="176">
        <f ca="1">IF(AN76&gt;0,Y76*Calculation_sheet!C$87,0)</f>
        <v>0</v>
      </c>
      <c r="AA76" s="176">
        <f t="shared" ca="1" si="101"/>
        <v>0</v>
      </c>
      <c r="AB76" s="176">
        <f ca="1">IF(AP76&gt;0,AA76*Calculation_sheet!C$94,0)</f>
        <v>0</v>
      </c>
      <c r="AC76" s="176">
        <f t="shared" ca="1" si="89"/>
        <v>0</v>
      </c>
      <c r="AD76" s="958">
        <f ca="1">AC76*Calculation_sheet!C$99</f>
        <v>0</v>
      </c>
      <c r="AE76" s="176">
        <f t="shared" ca="1" si="89"/>
        <v>0</v>
      </c>
      <c r="AF76" s="176">
        <f t="shared" ca="1" si="102"/>
        <v>0</v>
      </c>
      <c r="AG76" s="958">
        <f ca="1">AF76*User_sheet!B$77/100</f>
        <v>0</v>
      </c>
      <c r="AH76" s="313"/>
      <c r="AI76">
        <v>301</v>
      </c>
      <c r="AK76" s="1018">
        <f t="shared" ca="1" si="15"/>
        <v>141.64020674202433</v>
      </c>
      <c r="AL76" s="924">
        <f ca="1">AK76/'301'!I$24</f>
        <v>1.1222937637039787</v>
      </c>
      <c r="AM76" s="924">
        <f ca="1">0.8*(AK76*30+'301'!D$17*0.34*30*1)</f>
        <v>5490.9361618085841</v>
      </c>
      <c r="AN76" s="954">
        <f ca="1">IF(AM76&lt;User_sheet!B$50,Y76,0)</f>
        <v>0</v>
      </c>
      <c r="AO76" s="954">
        <f ca="1">20-(User_sheet!B$57/(AK76+'301'!D$17*1*0.34))</f>
        <v>-4.9137844565545521</v>
      </c>
      <c r="AP76" s="954">
        <f ca="1">IF(AO76&lt;User_sheet!B$59,0,BC76*AA76)</f>
        <v>0</v>
      </c>
      <c r="AR76" s="2">
        <v>0.32</v>
      </c>
      <c r="AS76" s="2">
        <v>3.7</v>
      </c>
      <c r="AT76" s="2">
        <v>0.89</v>
      </c>
      <c r="AU76" s="2">
        <v>2</v>
      </c>
      <c r="AV76" s="2">
        <v>3.3</v>
      </c>
      <c r="AW76" s="2">
        <v>14356</v>
      </c>
      <c r="AX76" s="2">
        <v>76466.30421774846</v>
      </c>
      <c r="AY76" s="2">
        <v>79015.992973719694</v>
      </c>
      <c r="AZ76" s="27">
        <v>0</v>
      </c>
      <c r="BA76" s="27">
        <v>0</v>
      </c>
      <c r="BB76" s="2">
        <v>0.6</v>
      </c>
      <c r="BC76" s="30">
        <v>1</v>
      </c>
      <c r="BD76" s="34">
        <v>0</v>
      </c>
      <c r="BE76" s="34">
        <v>0</v>
      </c>
      <c r="BF76" s="40">
        <v>0</v>
      </c>
      <c r="BG76" s="34">
        <v>0</v>
      </c>
      <c r="BH76" s="34">
        <v>1</v>
      </c>
      <c r="BI76" s="40">
        <v>0</v>
      </c>
      <c r="BJ76" s="34">
        <v>0</v>
      </c>
      <c r="BK76" s="34">
        <v>0</v>
      </c>
      <c r="BL76" s="34">
        <v>1</v>
      </c>
      <c r="BM76" s="40">
        <v>0</v>
      </c>
      <c r="BN76" s="958">
        <v>0</v>
      </c>
      <c r="BO76" s="959">
        <v>14.9</v>
      </c>
      <c r="BP76" s="1018">
        <f t="shared" ca="1" si="90"/>
        <v>115.19999999999999</v>
      </c>
      <c r="BQ76" s="1018">
        <f t="shared" ca="1" si="91"/>
        <v>191.51999999999995</v>
      </c>
      <c r="BR76" s="1018">
        <f t="shared" ca="1" si="92"/>
        <v>43.295999999999999</v>
      </c>
      <c r="BS76" s="1018">
        <f t="shared" ca="1" si="93"/>
        <v>42.459999999999994</v>
      </c>
      <c r="BT76" s="1018">
        <f t="shared" ca="1" si="94"/>
        <v>38.4</v>
      </c>
      <c r="BU76" s="1018">
        <f t="shared" ca="1" si="95"/>
        <v>7</v>
      </c>
      <c r="BV76" s="1018">
        <f t="shared" ca="1" si="96"/>
        <v>4.3</v>
      </c>
      <c r="BW76" s="1018">
        <v>0</v>
      </c>
      <c r="BX76" s="1018">
        <f t="shared" ca="1" si="97"/>
        <v>13.126629610914604</v>
      </c>
      <c r="BY76" s="1018">
        <f t="shared" ca="1" si="98"/>
        <v>95.716084484159211</v>
      </c>
      <c r="BZ76" s="1018">
        <f t="shared" ca="1" si="16"/>
        <v>9.7707750952986032</v>
      </c>
      <c r="CA76" s="1018">
        <f t="shared" ca="1" si="17"/>
        <v>13.999999994400001</v>
      </c>
      <c r="CB76" s="1018">
        <f t="shared" ca="1" si="99"/>
        <v>9.0267175572519083</v>
      </c>
      <c r="CC76" s="1018">
        <f t="shared" si="18"/>
        <v>0</v>
      </c>
      <c r="CD76" s="1018">
        <f t="shared" ca="1" si="103"/>
        <v>141.64020674202433</v>
      </c>
      <c r="CE76" s="1018">
        <f t="shared" ca="1" si="104"/>
        <v>58.755316272361483</v>
      </c>
      <c r="CF76" s="1018">
        <f t="shared" ca="1" si="21"/>
        <v>6.0118656904315753</v>
      </c>
      <c r="CG76" s="1018">
        <f t="shared" ca="1" si="22"/>
        <v>10009.515899940952</v>
      </c>
    </row>
    <row r="77" spans="3:85" x14ac:dyDescent="0.25">
      <c r="D77" s="1"/>
      <c r="F77" s="1"/>
      <c r="G77" s="3"/>
      <c r="H77" s="6"/>
      <c r="I77" s="3"/>
      <c r="J77" s="6"/>
      <c r="K77" s="8"/>
      <c r="L77" s="6"/>
      <c r="M77" s="1"/>
      <c r="N77" s="1"/>
      <c r="O77" s="1"/>
      <c r="P77" s="1"/>
      <c r="Q77" s="1" t="s">
        <v>22</v>
      </c>
      <c r="R77" s="4"/>
      <c r="S77" s="1"/>
      <c r="T77" s="77"/>
      <c r="U77" s="294"/>
      <c r="X77" s="176">
        <f t="shared" si="100"/>
        <v>0</v>
      </c>
      <c r="Y77" s="34">
        <f>X77/Calculation_sheet!M$67</f>
        <v>0</v>
      </c>
      <c r="Z77" s="176">
        <f ca="1">IF(AN77&gt;0,Y77*Calculation_sheet!C$87,0)</f>
        <v>0</v>
      </c>
      <c r="AA77" s="176">
        <f t="shared" ca="1" si="101"/>
        <v>0</v>
      </c>
      <c r="AB77" s="176">
        <f ca="1">IF(AP77&gt;0,AA77*Calculation_sheet!C$94,0)</f>
        <v>0</v>
      </c>
      <c r="AC77" s="176">
        <f t="shared" ca="1" si="89"/>
        <v>0</v>
      </c>
      <c r="AD77" s="958">
        <f ca="1">AC77*Calculation_sheet!C$99</f>
        <v>0</v>
      </c>
      <c r="AE77" s="176">
        <f t="shared" ca="1" si="89"/>
        <v>0</v>
      </c>
      <c r="AF77" s="176">
        <f t="shared" ca="1" si="102"/>
        <v>0</v>
      </c>
      <c r="AG77" s="958">
        <f ca="1">AF77*User_sheet!B$77/100</f>
        <v>0</v>
      </c>
      <c r="AH77" s="313"/>
      <c r="AI77">
        <v>301</v>
      </c>
      <c r="AK77" s="1018">
        <f t="shared" ca="1" si="15"/>
        <v>141.64020674202433</v>
      </c>
      <c r="AL77" s="924">
        <f ca="1">AK77/'301'!I$24</f>
        <v>1.1222937637039787</v>
      </c>
      <c r="AM77" s="924">
        <f ca="1">0.8*(AK77*30+'301'!D$17*0.34*30*1)</f>
        <v>5490.9361618085841</v>
      </c>
      <c r="AN77" s="954">
        <f ca="1">IF(AM77&lt;User_sheet!B$50,Y77,0)</f>
        <v>0</v>
      </c>
      <c r="AO77" s="954">
        <f ca="1">20-(User_sheet!B$57/(AK77+'301'!D$17*1*0.34))</f>
        <v>-4.9137844565545521</v>
      </c>
      <c r="AP77" s="954">
        <f ca="1">IF(AO77&lt;User_sheet!B$59,0,BC77*AA77)</f>
        <v>0</v>
      </c>
      <c r="AR77" s="2">
        <v>0.32</v>
      </c>
      <c r="AS77" s="2">
        <v>3.7</v>
      </c>
      <c r="AT77" s="2">
        <v>0.89</v>
      </c>
      <c r="AU77" s="2">
        <v>2</v>
      </c>
      <c r="AV77" s="2">
        <v>3.3</v>
      </c>
      <c r="AW77" s="2">
        <v>14356</v>
      </c>
      <c r="AX77" s="2">
        <v>76466.30421774846</v>
      </c>
      <c r="AY77" s="2">
        <v>79015.992973719694</v>
      </c>
      <c r="AZ77" s="27">
        <v>0</v>
      </c>
      <c r="BA77" s="27">
        <v>0</v>
      </c>
      <c r="BB77" s="2">
        <v>0.6</v>
      </c>
      <c r="BC77" s="30">
        <v>0</v>
      </c>
      <c r="BD77" s="34">
        <v>1</v>
      </c>
      <c r="BE77" s="34">
        <v>0</v>
      </c>
      <c r="BF77" s="40">
        <v>0</v>
      </c>
      <c r="BG77" s="34">
        <v>1</v>
      </c>
      <c r="BH77" s="34">
        <v>0</v>
      </c>
      <c r="BI77" s="40">
        <v>0</v>
      </c>
      <c r="BJ77" s="34">
        <v>0</v>
      </c>
      <c r="BK77" s="34">
        <v>1</v>
      </c>
      <c r="BL77" s="34">
        <v>0</v>
      </c>
      <c r="BM77" s="40">
        <v>0</v>
      </c>
      <c r="BN77" s="958">
        <v>0</v>
      </c>
      <c r="BO77" s="959">
        <v>14.9</v>
      </c>
      <c r="BP77" s="1018">
        <f t="shared" ca="1" si="90"/>
        <v>115.19999999999999</v>
      </c>
      <c r="BQ77" s="1018">
        <f t="shared" ca="1" si="91"/>
        <v>191.51999999999995</v>
      </c>
      <c r="BR77" s="1018">
        <f t="shared" ca="1" si="92"/>
        <v>43.295999999999999</v>
      </c>
      <c r="BS77" s="1018">
        <f t="shared" ca="1" si="93"/>
        <v>42.459999999999994</v>
      </c>
      <c r="BT77" s="1018">
        <f t="shared" ca="1" si="94"/>
        <v>38.4</v>
      </c>
      <c r="BU77" s="1018">
        <f t="shared" ca="1" si="95"/>
        <v>7</v>
      </c>
      <c r="BV77" s="1018">
        <f t="shared" ca="1" si="96"/>
        <v>4.3</v>
      </c>
      <c r="BW77" s="1018">
        <v>0</v>
      </c>
      <c r="BX77" s="1018">
        <f t="shared" ca="1" si="97"/>
        <v>13.126629610914604</v>
      </c>
      <c r="BY77" s="1018">
        <f t="shared" ca="1" si="98"/>
        <v>95.716084484159211</v>
      </c>
      <c r="BZ77" s="1018">
        <f t="shared" ca="1" si="16"/>
        <v>9.7707750952986032</v>
      </c>
      <c r="CA77" s="1018">
        <f t="shared" ca="1" si="17"/>
        <v>13.999999994400001</v>
      </c>
      <c r="CB77" s="1018">
        <f t="shared" ca="1" si="99"/>
        <v>9.0267175572519083</v>
      </c>
      <c r="CC77" s="1018">
        <f t="shared" si="18"/>
        <v>0</v>
      </c>
      <c r="CD77" s="1018">
        <f t="shared" ca="1" si="103"/>
        <v>141.64020674202433</v>
      </c>
      <c r="CE77" s="1018">
        <f t="shared" ca="1" si="104"/>
        <v>58.755316272361483</v>
      </c>
      <c r="CF77" s="1018">
        <f t="shared" ca="1" si="21"/>
        <v>6.0118656904315753</v>
      </c>
      <c r="CG77" s="1018">
        <f t="shared" ca="1" si="22"/>
        <v>10009.515899940952</v>
      </c>
    </row>
    <row r="78" spans="3:85" x14ac:dyDescent="0.25">
      <c r="D78" s="1"/>
      <c r="F78" s="1"/>
      <c r="G78" s="3"/>
      <c r="H78" s="6"/>
      <c r="I78" s="3"/>
      <c r="J78" s="3" t="s">
        <v>144</v>
      </c>
      <c r="K78" s="8"/>
      <c r="L78" s="6"/>
      <c r="M78" s="1"/>
      <c r="N78" s="1"/>
      <c r="O78" s="1" t="s">
        <v>18</v>
      </c>
      <c r="P78" s="4"/>
      <c r="Q78" s="1" t="s">
        <v>7</v>
      </c>
      <c r="R78" s="4"/>
      <c r="S78" s="1"/>
      <c r="T78" s="77"/>
      <c r="U78" s="294"/>
      <c r="X78" s="176">
        <f t="shared" si="100"/>
        <v>0</v>
      </c>
      <c r="Y78" s="34">
        <f>X78/Calculation_sheet!M$67</f>
        <v>0</v>
      </c>
      <c r="Z78" s="176">
        <f ca="1">IF(AN78&gt;0,Y78*Calculation_sheet!C$87,0)</f>
        <v>0</v>
      </c>
      <c r="AA78" s="176">
        <f t="shared" ca="1" si="101"/>
        <v>0</v>
      </c>
      <c r="AB78" s="176">
        <f ca="1">IF(AP78&gt;0,AA78*Calculation_sheet!C$94,0)</f>
        <v>0</v>
      </c>
      <c r="AC78" s="176">
        <f t="shared" ca="1" si="89"/>
        <v>0</v>
      </c>
      <c r="AD78" s="958">
        <f ca="1">AC78*Calculation_sheet!C$99</f>
        <v>0</v>
      </c>
      <c r="AE78" s="176">
        <f t="shared" ca="1" si="89"/>
        <v>0</v>
      </c>
      <c r="AF78" s="176">
        <f t="shared" ca="1" si="102"/>
        <v>0</v>
      </c>
      <c r="AG78" s="958">
        <f ca="1">AF78*User_sheet!B$77/100</f>
        <v>0</v>
      </c>
      <c r="AH78" s="313"/>
      <c r="AI78">
        <v>301</v>
      </c>
      <c r="AK78" s="1018">
        <f t="shared" ref="AK78:AK141" ca="1" si="105">CD78</f>
        <v>141.64020674202433</v>
      </c>
      <c r="AL78" s="924">
        <f ca="1">AK78/'301'!I$24</f>
        <v>1.1222937637039787</v>
      </c>
      <c r="AM78" s="924">
        <f ca="1">0.8*(AK78*30+'301'!D$17*0.34*30*1)</f>
        <v>5490.9361618085841</v>
      </c>
      <c r="AN78" s="954">
        <f ca="1">IF(AM78&lt;User_sheet!B$50,Y78,0)</f>
        <v>0</v>
      </c>
      <c r="AO78" s="954">
        <f ca="1">20-(User_sheet!B$57/(AK78+'301'!D$17*1*0.34))</f>
        <v>-4.9137844565545521</v>
      </c>
      <c r="AP78" s="954">
        <f ca="1">IF(AO78&lt;User_sheet!B$59,0,BC78*AA78)</f>
        <v>0</v>
      </c>
      <c r="AR78" s="2">
        <v>0.32</v>
      </c>
      <c r="AS78" s="2">
        <v>3.7</v>
      </c>
      <c r="AT78" s="2">
        <v>0.89</v>
      </c>
      <c r="AU78" s="2">
        <v>2</v>
      </c>
      <c r="AV78" s="2">
        <v>3.3</v>
      </c>
      <c r="AW78" s="2">
        <v>14356</v>
      </c>
      <c r="AX78" s="2">
        <v>76466.30421774846</v>
      </c>
      <c r="AY78" s="2">
        <v>79015.992973719694</v>
      </c>
      <c r="AZ78" s="27">
        <v>0</v>
      </c>
      <c r="BA78" s="27">
        <v>0</v>
      </c>
      <c r="BB78" s="2">
        <v>0.6</v>
      </c>
      <c r="BC78" s="30">
        <v>0</v>
      </c>
      <c r="BD78" s="34">
        <v>1</v>
      </c>
      <c r="BE78" s="34">
        <v>0</v>
      </c>
      <c r="BF78" s="40">
        <v>0</v>
      </c>
      <c r="BG78" s="34">
        <v>1</v>
      </c>
      <c r="BH78" s="34">
        <v>0</v>
      </c>
      <c r="BI78" s="40">
        <v>0</v>
      </c>
      <c r="BJ78" s="34">
        <v>0</v>
      </c>
      <c r="BK78" s="34">
        <v>0</v>
      </c>
      <c r="BL78" s="34">
        <v>1</v>
      </c>
      <c r="BM78" s="40">
        <v>0</v>
      </c>
      <c r="BN78" s="958">
        <v>0</v>
      </c>
      <c r="BO78" s="959">
        <v>14.9</v>
      </c>
      <c r="BP78" s="1018">
        <f t="shared" ca="1" si="90"/>
        <v>115.19999999999999</v>
      </c>
      <c r="BQ78" s="1018">
        <f t="shared" ca="1" si="91"/>
        <v>191.51999999999995</v>
      </c>
      <c r="BR78" s="1018">
        <f t="shared" ca="1" si="92"/>
        <v>43.295999999999999</v>
      </c>
      <c r="BS78" s="1018">
        <f t="shared" ca="1" si="93"/>
        <v>42.459999999999994</v>
      </c>
      <c r="BT78" s="1018">
        <f t="shared" ca="1" si="94"/>
        <v>38.4</v>
      </c>
      <c r="BU78" s="1018">
        <f t="shared" ca="1" si="95"/>
        <v>7</v>
      </c>
      <c r="BV78" s="1018">
        <f t="shared" ca="1" si="96"/>
        <v>4.3</v>
      </c>
      <c r="BW78" s="1018">
        <v>0</v>
      </c>
      <c r="BX78" s="1018">
        <f t="shared" ca="1" si="97"/>
        <v>13.126629610914604</v>
      </c>
      <c r="BY78" s="1018">
        <f t="shared" ca="1" si="98"/>
        <v>95.716084484159211</v>
      </c>
      <c r="BZ78" s="1018">
        <f t="shared" ref="BZ78:BZ141" ca="1" si="106">IF(BT78=0,0,1/(1/(BT78*$BY$3)+1/(BT78*AT78)+1/(BT78*$BY$4)))*0.33</f>
        <v>9.7707750952986032</v>
      </c>
      <c r="CA78" s="1018">
        <f t="shared" ref="CA78:CA141" ca="1" si="107">IF(BU78=0,0,1/(1/(BU78*$BY$5)+1/(BU78*AU78)+1/(BU78*$BY$6)))</f>
        <v>13.999999994400001</v>
      </c>
      <c r="CB78" s="1018">
        <f t="shared" ca="1" si="99"/>
        <v>9.0267175572519083</v>
      </c>
      <c r="CC78" s="1018">
        <f t="shared" ref="CC78:CC141" si="108">0.67*IF(BW78=0,0,1/(1/(BW78*$BY$3)+1/(BW78*AS78)+1/(BW78*$BY$4)))</f>
        <v>0</v>
      </c>
      <c r="CD78" s="1018">
        <f t="shared" ca="1" si="103"/>
        <v>141.64020674202433</v>
      </c>
      <c r="CE78" s="1018">
        <f t="shared" ca="1" si="104"/>
        <v>58.755316272361483</v>
      </c>
      <c r="CF78" s="1018">
        <f t="shared" ref="CF78:CF141" ca="1" si="109">(CD78+CE78)*($BY$7-$BV$5)/1000</f>
        <v>6.0118656904315753</v>
      </c>
      <c r="CG78" s="1018">
        <f t="shared" ref="CG78:CG141" ca="1" si="110">$BV$8*(CD78+CE78)*($BY$10-$BV$7)*24/1000</f>
        <v>10009.515899940952</v>
      </c>
    </row>
    <row r="79" spans="3:85" x14ac:dyDescent="0.25">
      <c r="D79" s="1"/>
      <c r="F79" s="1"/>
      <c r="G79" s="3"/>
      <c r="H79" s="6"/>
      <c r="I79" s="3"/>
      <c r="J79" s="6" t="s">
        <v>190</v>
      </c>
      <c r="K79" s="8"/>
      <c r="L79" s="6"/>
      <c r="M79" s="1"/>
      <c r="N79" s="1"/>
      <c r="O79" s="1"/>
      <c r="P79" s="1"/>
      <c r="Q79" s="1" t="s">
        <v>22</v>
      </c>
      <c r="R79" s="4"/>
      <c r="S79" s="1"/>
      <c r="T79" s="77"/>
      <c r="U79" s="294"/>
      <c r="X79" s="176">
        <f t="shared" si="100"/>
        <v>0</v>
      </c>
      <c r="Y79" s="34">
        <f>X79/Calculation_sheet!M$67</f>
        <v>0</v>
      </c>
      <c r="Z79" s="176">
        <f ca="1">IF(AN79&gt;0,Y79*Calculation_sheet!C$87,0)</f>
        <v>0</v>
      </c>
      <c r="AA79" s="176">
        <f t="shared" ca="1" si="101"/>
        <v>0</v>
      </c>
      <c r="AB79" s="176">
        <f ca="1">IF(AP79&gt;0,AA79*Calculation_sheet!C$94,0)</f>
        <v>0</v>
      </c>
      <c r="AC79" s="176">
        <f t="shared" ca="1" si="89"/>
        <v>0</v>
      </c>
      <c r="AD79" s="958">
        <f ca="1">AC79*Calculation_sheet!C$99</f>
        <v>0</v>
      </c>
      <c r="AE79" s="176">
        <f t="shared" ca="1" si="89"/>
        <v>0</v>
      </c>
      <c r="AF79" s="176">
        <f t="shared" ca="1" si="102"/>
        <v>0</v>
      </c>
      <c r="AG79" s="958">
        <f ca="1">AF79*User_sheet!B$77/100</f>
        <v>0</v>
      </c>
      <c r="AH79" s="313"/>
      <c r="AI79">
        <v>301</v>
      </c>
      <c r="AK79" s="1018">
        <f t="shared" ca="1" si="105"/>
        <v>141.64020674202433</v>
      </c>
      <c r="AL79" s="924">
        <f ca="1">AK79/'301'!I$24</f>
        <v>1.1222937637039787</v>
      </c>
      <c r="AM79" s="924">
        <f ca="1">0.8*(AK79*30+'301'!D$17*0.34*30*1)</f>
        <v>5490.9361618085841</v>
      </c>
      <c r="AN79" s="954">
        <f ca="1">IF(AM79&lt;User_sheet!B$50,Y79,0)</f>
        <v>0</v>
      </c>
      <c r="AO79" s="954">
        <f ca="1">20-(User_sheet!B$57/(AK79+'301'!D$17*1*0.34))</f>
        <v>-4.9137844565545521</v>
      </c>
      <c r="AP79" s="954">
        <f ca="1">IF(AO79&lt;User_sheet!B$59,0,BC79*AA79)</f>
        <v>0</v>
      </c>
      <c r="AR79" s="2">
        <v>0.32</v>
      </c>
      <c r="AS79" s="2">
        <v>3.7</v>
      </c>
      <c r="AT79" s="2">
        <v>0.89</v>
      </c>
      <c r="AU79" s="2">
        <v>2</v>
      </c>
      <c r="AV79" s="2">
        <v>3.3</v>
      </c>
      <c r="AW79" s="2">
        <v>14356</v>
      </c>
      <c r="AX79" s="2">
        <v>76466.30421774846</v>
      </c>
      <c r="AY79" s="2">
        <v>79015.992973719694</v>
      </c>
      <c r="AZ79" s="27">
        <v>0</v>
      </c>
      <c r="BA79" s="27">
        <v>0</v>
      </c>
      <c r="BB79" s="2">
        <v>0.6</v>
      </c>
      <c r="BC79" s="30">
        <v>0</v>
      </c>
      <c r="BD79" s="34">
        <v>1</v>
      </c>
      <c r="BE79" s="34">
        <v>0</v>
      </c>
      <c r="BF79" s="40">
        <v>0</v>
      </c>
      <c r="BG79" s="34">
        <v>0</v>
      </c>
      <c r="BH79" s="34">
        <v>1</v>
      </c>
      <c r="BI79" s="40">
        <v>0</v>
      </c>
      <c r="BJ79" s="34">
        <v>0</v>
      </c>
      <c r="BK79" s="34">
        <v>1</v>
      </c>
      <c r="BL79" s="34">
        <v>0</v>
      </c>
      <c r="BM79" s="40">
        <v>0</v>
      </c>
      <c r="BN79" s="958">
        <v>0</v>
      </c>
      <c r="BO79" s="959">
        <v>14.9</v>
      </c>
      <c r="BP79" s="1018">
        <f t="shared" ca="1" si="90"/>
        <v>115.19999999999999</v>
      </c>
      <c r="BQ79" s="1018">
        <f t="shared" ca="1" si="91"/>
        <v>191.51999999999995</v>
      </c>
      <c r="BR79" s="1018">
        <f t="shared" ca="1" si="92"/>
        <v>43.295999999999999</v>
      </c>
      <c r="BS79" s="1018">
        <f t="shared" ca="1" si="93"/>
        <v>42.459999999999994</v>
      </c>
      <c r="BT79" s="1018">
        <f t="shared" ca="1" si="94"/>
        <v>38.4</v>
      </c>
      <c r="BU79" s="1018">
        <f t="shared" ca="1" si="95"/>
        <v>7</v>
      </c>
      <c r="BV79" s="1018">
        <f t="shared" ca="1" si="96"/>
        <v>4.3</v>
      </c>
      <c r="BW79" s="1018">
        <v>0</v>
      </c>
      <c r="BX79" s="1018">
        <f t="shared" ca="1" si="97"/>
        <v>13.126629610914604</v>
      </c>
      <c r="BY79" s="1018">
        <f t="shared" ca="1" si="98"/>
        <v>95.716084484159211</v>
      </c>
      <c r="BZ79" s="1018">
        <f t="shared" ca="1" si="106"/>
        <v>9.7707750952986032</v>
      </c>
      <c r="CA79" s="1018">
        <f t="shared" ca="1" si="107"/>
        <v>13.999999994400001</v>
      </c>
      <c r="CB79" s="1018">
        <f t="shared" ca="1" si="99"/>
        <v>9.0267175572519083</v>
      </c>
      <c r="CC79" s="1018">
        <f t="shared" si="108"/>
        <v>0</v>
      </c>
      <c r="CD79" s="1018">
        <f t="shared" ca="1" si="103"/>
        <v>141.64020674202433</v>
      </c>
      <c r="CE79" s="1018">
        <f t="shared" ca="1" si="104"/>
        <v>58.755316272361483</v>
      </c>
      <c r="CF79" s="1018">
        <f t="shared" ca="1" si="109"/>
        <v>6.0118656904315753</v>
      </c>
      <c r="CG79" s="1018">
        <f t="shared" ca="1" si="110"/>
        <v>10009.515899940952</v>
      </c>
    </row>
    <row r="80" spans="3:85" x14ac:dyDescent="0.25">
      <c r="D80" s="1"/>
      <c r="F80" s="1"/>
      <c r="G80" s="3"/>
      <c r="H80" s="6"/>
      <c r="I80" s="3"/>
      <c r="J80" s="6"/>
      <c r="K80" s="8"/>
      <c r="L80" s="6"/>
      <c r="M80" s="1" t="s">
        <v>22</v>
      </c>
      <c r="N80" s="4"/>
      <c r="O80" s="1" t="s">
        <v>20</v>
      </c>
      <c r="P80" s="4"/>
      <c r="Q80" s="1" t="s">
        <v>7</v>
      </c>
      <c r="R80" s="4"/>
      <c r="S80" s="1"/>
      <c r="T80" s="77"/>
      <c r="U80" s="294"/>
      <c r="X80" s="176">
        <f t="shared" si="100"/>
        <v>0</v>
      </c>
      <c r="Y80" s="34">
        <f>X80/Calculation_sheet!M$67</f>
        <v>0</v>
      </c>
      <c r="Z80" s="176">
        <f ca="1">IF(AN80&gt;0,Y80*Calculation_sheet!C$87,0)</f>
        <v>0</v>
      </c>
      <c r="AA80" s="176">
        <f t="shared" ca="1" si="101"/>
        <v>0</v>
      </c>
      <c r="AB80" s="176">
        <f ca="1">IF(AP80&gt;0,AA80*Calculation_sheet!C$94,0)</f>
        <v>0</v>
      </c>
      <c r="AC80" s="176">
        <f t="shared" ca="1" si="89"/>
        <v>0</v>
      </c>
      <c r="AD80" s="958">
        <f ca="1">AC80*Calculation_sheet!C$99</f>
        <v>0</v>
      </c>
      <c r="AE80" s="176">
        <f t="shared" ca="1" si="89"/>
        <v>0</v>
      </c>
      <c r="AF80" s="176">
        <f t="shared" ca="1" si="102"/>
        <v>0</v>
      </c>
      <c r="AG80" s="958">
        <f ca="1">AF80*User_sheet!B$77/100</f>
        <v>0</v>
      </c>
      <c r="AH80" s="313"/>
      <c r="AI80">
        <v>301</v>
      </c>
      <c r="AK80" s="1018">
        <f t="shared" ca="1" si="105"/>
        <v>141.64020674202433</v>
      </c>
      <c r="AL80" s="924">
        <f ca="1">AK80/'301'!I$24</f>
        <v>1.1222937637039787</v>
      </c>
      <c r="AM80" s="924">
        <f ca="1">0.8*(AK80*30+'301'!D$17*0.34*30*1)</f>
        <v>5490.9361618085841</v>
      </c>
      <c r="AN80" s="954">
        <f ca="1">IF(AM80&lt;User_sheet!B$50,Y80,0)</f>
        <v>0</v>
      </c>
      <c r="AO80" s="954">
        <f ca="1">20-(User_sheet!B$57/(AK80+'301'!D$17*1*0.34))</f>
        <v>-4.9137844565545521</v>
      </c>
      <c r="AP80" s="954">
        <f ca="1">IF(AO80&lt;User_sheet!B$59,0,BC80*AA80)</f>
        <v>0</v>
      </c>
      <c r="AR80" s="2">
        <v>0.32</v>
      </c>
      <c r="AS80" s="2">
        <v>3.7</v>
      </c>
      <c r="AT80" s="2">
        <v>0.89</v>
      </c>
      <c r="AU80" s="2">
        <v>2</v>
      </c>
      <c r="AV80" s="2">
        <v>3.3</v>
      </c>
      <c r="AW80" s="2">
        <v>14356</v>
      </c>
      <c r="AX80" s="2">
        <v>76466.30421774846</v>
      </c>
      <c r="AY80" s="2">
        <v>79015.992973719694</v>
      </c>
      <c r="AZ80" s="27">
        <v>0</v>
      </c>
      <c r="BA80" s="27">
        <v>0</v>
      </c>
      <c r="BB80" s="2">
        <v>0.6</v>
      </c>
      <c r="BC80" s="30">
        <v>0</v>
      </c>
      <c r="BD80" s="34">
        <v>1</v>
      </c>
      <c r="BE80" s="34">
        <v>0</v>
      </c>
      <c r="BF80" s="40">
        <v>0</v>
      </c>
      <c r="BG80" s="34">
        <v>0</v>
      </c>
      <c r="BH80" s="34">
        <v>1</v>
      </c>
      <c r="BI80" s="40">
        <v>0</v>
      </c>
      <c r="BJ80" s="34">
        <v>0</v>
      </c>
      <c r="BK80" s="34">
        <v>0</v>
      </c>
      <c r="BL80" s="34">
        <v>1</v>
      </c>
      <c r="BM80" s="40">
        <v>0</v>
      </c>
      <c r="BN80" s="958">
        <v>0</v>
      </c>
      <c r="BO80" s="959">
        <v>14.9</v>
      </c>
      <c r="BP80" s="1018">
        <f t="shared" ca="1" si="90"/>
        <v>115.19999999999999</v>
      </c>
      <c r="BQ80" s="1018">
        <f t="shared" ca="1" si="91"/>
        <v>191.51999999999995</v>
      </c>
      <c r="BR80" s="1018">
        <f t="shared" ca="1" si="92"/>
        <v>43.295999999999999</v>
      </c>
      <c r="BS80" s="1018">
        <f t="shared" ca="1" si="93"/>
        <v>42.459999999999994</v>
      </c>
      <c r="BT80" s="1018">
        <f t="shared" ca="1" si="94"/>
        <v>38.4</v>
      </c>
      <c r="BU80" s="1018">
        <f t="shared" ca="1" si="95"/>
        <v>7</v>
      </c>
      <c r="BV80" s="1018">
        <f t="shared" ca="1" si="96"/>
        <v>4.3</v>
      </c>
      <c r="BW80" s="1018">
        <v>0</v>
      </c>
      <c r="BX80" s="1018">
        <f t="shared" ca="1" si="97"/>
        <v>13.126629610914604</v>
      </c>
      <c r="BY80" s="1018">
        <f t="shared" ca="1" si="98"/>
        <v>95.716084484159211</v>
      </c>
      <c r="BZ80" s="1018">
        <f t="shared" ca="1" si="106"/>
        <v>9.7707750952986032</v>
      </c>
      <c r="CA80" s="1018">
        <f t="shared" ca="1" si="107"/>
        <v>13.999999994400001</v>
      </c>
      <c r="CB80" s="1018">
        <f t="shared" ca="1" si="99"/>
        <v>9.0267175572519083</v>
      </c>
      <c r="CC80" s="1018">
        <f t="shared" si="108"/>
        <v>0</v>
      </c>
      <c r="CD80" s="1018">
        <f t="shared" ca="1" si="103"/>
        <v>141.64020674202433</v>
      </c>
      <c r="CE80" s="1018">
        <f t="shared" ca="1" si="104"/>
        <v>58.755316272361483</v>
      </c>
      <c r="CF80" s="1018">
        <f t="shared" ca="1" si="109"/>
        <v>6.0118656904315753</v>
      </c>
      <c r="CG80" s="1018">
        <f t="shared" ca="1" si="110"/>
        <v>10009.515899940952</v>
      </c>
    </row>
    <row r="81" spans="3:85" x14ac:dyDescent="0.25">
      <c r="D81" s="1"/>
      <c r="F81" s="1"/>
      <c r="G81" s="3"/>
      <c r="H81" s="6"/>
      <c r="I81" s="3"/>
      <c r="J81" s="6"/>
      <c r="K81" s="8"/>
      <c r="L81" s="6"/>
      <c r="M81" s="1" t="s">
        <v>7</v>
      </c>
      <c r="N81" s="4"/>
      <c r="O81" s="1" t="s">
        <v>23</v>
      </c>
      <c r="P81" s="4"/>
      <c r="Q81" s="1" t="s">
        <v>7</v>
      </c>
      <c r="R81" s="4"/>
      <c r="S81" s="1"/>
      <c r="T81" s="77"/>
      <c r="U81" s="294"/>
      <c r="X81" s="176">
        <f t="shared" si="100"/>
        <v>0</v>
      </c>
      <c r="Y81" s="34">
        <f>X81/Calculation_sheet!M$67</f>
        <v>0</v>
      </c>
      <c r="Z81" s="176">
        <f ca="1">IF(AN81&gt;0,Y81*Calculation_sheet!C$87,0)</f>
        <v>0</v>
      </c>
      <c r="AA81" s="176">
        <f t="shared" ca="1" si="101"/>
        <v>0</v>
      </c>
      <c r="AB81" s="176">
        <f ca="1">IF(AP81&gt;0,AA81*Calculation_sheet!C$94,0)</f>
        <v>0</v>
      </c>
      <c r="AC81" s="176">
        <f t="shared" ca="1" si="89"/>
        <v>0</v>
      </c>
      <c r="AD81" s="958">
        <f ca="1">AC81*Calculation_sheet!C$99</f>
        <v>0</v>
      </c>
      <c r="AE81" s="176">
        <f t="shared" ca="1" si="89"/>
        <v>0</v>
      </c>
      <c r="AF81" s="176">
        <f t="shared" ca="1" si="102"/>
        <v>0</v>
      </c>
      <c r="AG81" s="958">
        <f ca="1">AF81*User_sheet!B$77/100</f>
        <v>0</v>
      </c>
      <c r="AH81" s="313"/>
      <c r="AI81">
        <v>301</v>
      </c>
      <c r="AK81" s="1018">
        <f t="shared" ca="1" si="105"/>
        <v>141.64020674202433</v>
      </c>
      <c r="AL81" s="924">
        <f ca="1">AK81/'301'!I$24</f>
        <v>1.1222937637039787</v>
      </c>
      <c r="AM81" s="924">
        <f ca="1">0.8*(AK81*30+'301'!D$17*0.34*30*1)</f>
        <v>5490.9361618085841</v>
      </c>
      <c r="AN81" s="954">
        <f ca="1">IF(AM81&lt;User_sheet!B$50,Y81,0)</f>
        <v>0</v>
      </c>
      <c r="AO81" s="954">
        <f ca="1">20-(User_sheet!B$57/(AK81+'301'!D$17*1*0.34))</f>
        <v>-4.9137844565545521</v>
      </c>
      <c r="AP81" s="954">
        <f ca="1">IF(AO81&lt;User_sheet!B$59,0,BC81*AA81)</f>
        <v>0</v>
      </c>
      <c r="AR81" s="2">
        <v>0.32</v>
      </c>
      <c r="AS81" s="2">
        <v>3.7</v>
      </c>
      <c r="AT81" s="2">
        <v>0.89</v>
      </c>
      <c r="AU81" s="2">
        <v>2</v>
      </c>
      <c r="AV81" s="2">
        <v>3.3</v>
      </c>
      <c r="AW81" s="2">
        <v>14356</v>
      </c>
      <c r="AX81" s="2">
        <v>76466.30421774846</v>
      </c>
      <c r="AY81" s="2">
        <v>79015.992973719694</v>
      </c>
      <c r="AZ81" s="27">
        <v>0</v>
      </c>
      <c r="BA81" s="27">
        <v>0</v>
      </c>
      <c r="BB81" s="2">
        <v>0.6</v>
      </c>
      <c r="BC81" s="30">
        <v>0</v>
      </c>
      <c r="BD81" s="34">
        <v>0</v>
      </c>
      <c r="BE81" s="34">
        <v>1</v>
      </c>
      <c r="BF81" s="40">
        <v>0</v>
      </c>
      <c r="BG81" s="34">
        <v>0</v>
      </c>
      <c r="BH81" s="34">
        <v>0</v>
      </c>
      <c r="BI81" s="40">
        <v>1</v>
      </c>
      <c r="BJ81" s="34">
        <v>0</v>
      </c>
      <c r="BK81" s="34">
        <v>0</v>
      </c>
      <c r="BL81" s="34">
        <v>1</v>
      </c>
      <c r="BM81" s="40">
        <v>0</v>
      </c>
      <c r="BN81" s="958">
        <v>0</v>
      </c>
      <c r="BO81" s="959">
        <v>14.9</v>
      </c>
      <c r="BP81" s="1018">
        <f t="shared" ca="1" si="90"/>
        <v>115.19999999999999</v>
      </c>
      <c r="BQ81" s="1018">
        <f t="shared" ca="1" si="91"/>
        <v>191.51999999999995</v>
      </c>
      <c r="BR81" s="1018">
        <f t="shared" ca="1" si="92"/>
        <v>43.295999999999999</v>
      </c>
      <c r="BS81" s="1018">
        <f t="shared" ca="1" si="93"/>
        <v>42.459999999999994</v>
      </c>
      <c r="BT81" s="1018">
        <f t="shared" ca="1" si="94"/>
        <v>38.4</v>
      </c>
      <c r="BU81" s="1018">
        <f t="shared" ca="1" si="95"/>
        <v>7</v>
      </c>
      <c r="BV81" s="1018">
        <f t="shared" ca="1" si="96"/>
        <v>4.3</v>
      </c>
      <c r="BW81" s="1018">
        <v>0</v>
      </c>
      <c r="BX81" s="1018">
        <f t="shared" ca="1" si="97"/>
        <v>13.126629610914604</v>
      </c>
      <c r="BY81" s="1018">
        <f t="shared" ca="1" si="98"/>
        <v>95.716084484159211</v>
      </c>
      <c r="BZ81" s="1018">
        <f t="shared" ca="1" si="106"/>
        <v>9.7707750952986032</v>
      </c>
      <c r="CA81" s="1018">
        <f t="shared" ca="1" si="107"/>
        <v>13.999999994400001</v>
      </c>
      <c r="CB81" s="1018">
        <f t="shared" ca="1" si="99"/>
        <v>9.0267175572519083</v>
      </c>
      <c r="CC81" s="1018">
        <f t="shared" si="108"/>
        <v>0</v>
      </c>
      <c r="CD81" s="1018">
        <f t="shared" ca="1" si="103"/>
        <v>141.64020674202433</v>
      </c>
      <c r="CE81" s="1018">
        <f t="shared" ca="1" si="104"/>
        <v>58.755316272361483</v>
      </c>
      <c r="CF81" s="1018">
        <f t="shared" ca="1" si="109"/>
        <v>6.0118656904315753</v>
      </c>
      <c r="CG81" s="1018">
        <f t="shared" ca="1" si="110"/>
        <v>10009.515899940952</v>
      </c>
    </row>
    <row r="82" spans="3:85" x14ac:dyDescent="0.25">
      <c r="D82" s="1"/>
      <c r="F82" s="1"/>
      <c r="G82" s="3"/>
      <c r="H82" s="6"/>
      <c r="I82" s="3"/>
      <c r="J82" s="6"/>
      <c r="K82" s="8"/>
      <c r="L82" s="6"/>
      <c r="M82" s="1"/>
      <c r="N82" s="1"/>
      <c r="O82" s="1" t="s">
        <v>18</v>
      </c>
      <c r="P82" s="4"/>
      <c r="Q82" s="1" t="s">
        <v>17</v>
      </c>
      <c r="R82" s="4"/>
      <c r="S82" s="1"/>
      <c r="T82" s="77"/>
      <c r="U82" s="294"/>
      <c r="X82" s="176">
        <f t="shared" si="100"/>
        <v>0</v>
      </c>
      <c r="Y82" s="34">
        <f>X82/Calculation_sheet!M$67</f>
        <v>0</v>
      </c>
      <c r="Z82" s="176">
        <f ca="1">IF(AN82&gt;0,Y82*Calculation_sheet!C$87,0)</f>
        <v>0</v>
      </c>
      <c r="AA82" s="176">
        <f t="shared" ca="1" si="101"/>
        <v>0</v>
      </c>
      <c r="AB82" s="176">
        <f ca="1">IF(AP82&gt;0,AA82*Calculation_sheet!C$94,0)</f>
        <v>0</v>
      </c>
      <c r="AC82" s="176">
        <f t="shared" ca="1" si="89"/>
        <v>0</v>
      </c>
      <c r="AD82" s="958">
        <f ca="1">AC82*Calculation_sheet!C$99</f>
        <v>0</v>
      </c>
      <c r="AE82" s="176">
        <f t="shared" ca="1" si="89"/>
        <v>0</v>
      </c>
      <c r="AF82" s="176">
        <f t="shared" ca="1" si="102"/>
        <v>0</v>
      </c>
      <c r="AG82" s="958">
        <f ca="1">AF82*User_sheet!B$77/100</f>
        <v>0</v>
      </c>
      <c r="AH82" s="313"/>
      <c r="AI82">
        <v>301</v>
      </c>
      <c r="AK82" s="1018">
        <f t="shared" ca="1" si="105"/>
        <v>141.64020674202433</v>
      </c>
      <c r="AL82" s="924">
        <f ca="1">AK82/'301'!I$24</f>
        <v>1.1222937637039787</v>
      </c>
      <c r="AM82" s="924">
        <f ca="1">0.8*(AK82*30+'301'!D$17*0.34*30*1)</f>
        <v>5490.9361618085841</v>
      </c>
      <c r="AN82" s="954">
        <f ca="1">IF(AM82&lt;User_sheet!B$50,Y82,0)</f>
        <v>0</v>
      </c>
      <c r="AO82" s="954">
        <f ca="1">20-(User_sheet!B$57/(AK82+'301'!D$17*1*0.34))</f>
        <v>-4.9137844565545521</v>
      </c>
      <c r="AP82" s="954">
        <f ca="1">IF(AO82&lt;User_sheet!B$59,0,BC82*AA82)</f>
        <v>0</v>
      </c>
      <c r="AR82" s="2">
        <v>0.32</v>
      </c>
      <c r="AS82" s="2">
        <v>3.7</v>
      </c>
      <c r="AT82" s="2">
        <v>0.89</v>
      </c>
      <c r="AU82" s="2">
        <v>2</v>
      </c>
      <c r="AV82" s="2">
        <v>3.3</v>
      </c>
      <c r="AW82" s="2">
        <v>14356</v>
      </c>
      <c r="AX82" s="2">
        <v>76466.30421774846</v>
      </c>
      <c r="AY82" s="2">
        <v>79015.992973719694</v>
      </c>
      <c r="AZ82" s="27">
        <v>0</v>
      </c>
      <c r="BA82" s="27">
        <v>0</v>
      </c>
      <c r="BB82" s="2">
        <v>0.6</v>
      </c>
      <c r="BC82" s="30">
        <v>0</v>
      </c>
      <c r="BD82" s="34">
        <v>0</v>
      </c>
      <c r="BE82" s="34">
        <v>0</v>
      </c>
      <c r="BF82" s="40">
        <v>1</v>
      </c>
      <c r="BG82" s="34">
        <v>1</v>
      </c>
      <c r="BH82" s="34">
        <v>0</v>
      </c>
      <c r="BI82" s="40">
        <v>0</v>
      </c>
      <c r="BJ82" s="34">
        <v>0</v>
      </c>
      <c r="BK82" s="34">
        <v>0</v>
      </c>
      <c r="BL82" s="34">
        <v>0</v>
      </c>
      <c r="BM82" s="40">
        <v>1</v>
      </c>
      <c r="BN82" s="958">
        <v>0</v>
      </c>
      <c r="BO82" s="959">
        <v>14.9</v>
      </c>
      <c r="BP82" s="1018">
        <f t="shared" ca="1" si="90"/>
        <v>115.19999999999999</v>
      </c>
      <c r="BQ82" s="1018">
        <f t="shared" ca="1" si="91"/>
        <v>191.51999999999995</v>
      </c>
      <c r="BR82" s="1018">
        <f t="shared" ca="1" si="92"/>
        <v>43.295999999999999</v>
      </c>
      <c r="BS82" s="1018">
        <f t="shared" ca="1" si="93"/>
        <v>42.459999999999994</v>
      </c>
      <c r="BT82" s="1018">
        <f t="shared" ca="1" si="94"/>
        <v>38.4</v>
      </c>
      <c r="BU82" s="1018">
        <f t="shared" ca="1" si="95"/>
        <v>7</v>
      </c>
      <c r="BV82" s="1018">
        <f t="shared" ca="1" si="96"/>
        <v>4.3</v>
      </c>
      <c r="BW82" s="1018">
        <v>0</v>
      </c>
      <c r="BX82" s="1018">
        <f t="shared" ca="1" si="97"/>
        <v>13.126629610914604</v>
      </c>
      <c r="BY82" s="1018">
        <f t="shared" ca="1" si="98"/>
        <v>95.716084484159211</v>
      </c>
      <c r="BZ82" s="1018">
        <f t="shared" ca="1" si="106"/>
        <v>9.7707750952986032</v>
      </c>
      <c r="CA82" s="1018">
        <f t="shared" ca="1" si="107"/>
        <v>13.999999994400001</v>
      </c>
      <c r="CB82" s="1018">
        <f t="shared" ca="1" si="99"/>
        <v>9.0267175572519083</v>
      </c>
      <c r="CC82" s="1018">
        <f t="shared" si="108"/>
        <v>0</v>
      </c>
      <c r="CD82" s="1018">
        <f t="shared" ca="1" si="103"/>
        <v>141.64020674202433</v>
      </c>
      <c r="CE82" s="1018">
        <f t="shared" ca="1" si="104"/>
        <v>58.755316272361483</v>
      </c>
      <c r="CF82" s="1018">
        <f t="shared" ca="1" si="109"/>
        <v>6.0118656904315753</v>
      </c>
      <c r="CG82" s="1018">
        <f t="shared" ca="1" si="110"/>
        <v>10009.515899940952</v>
      </c>
    </row>
    <row r="83" spans="3:85" x14ac:dyDescent="0.25">
      <c r="D83" s="1"/>
      <c r="F83" s="1"/>
      <c r="G83" s="3"/>
      <c r="H83" s="6"/>
      <c r="I83" s="3"/>
      <c r="J83" s="6"/>
      <c r="K83" s="8"/>
      <c r="L83" s="6"/>
      <c r="M83" s="1" t="s">
        <v>17</v>
      </c>
      <c r="N83" s="4"/>
      <c r="O83" s="1" t="s">
        <v>19</v>
      </c>
      <c r="P83" s="4"/>
      <c r="Q83" s="1" t="s">
        <v>17</v>
      </c>
      <c r="R83" s="4"/>
      <c r="S83" s="1"/>
      <c r="T83" s="77"/>
      <c r="U83" s="294"/>
      <c r="X83" s="176">
        <f t="shared" si="100"/>
        <v>0</v>
      </c>
      <c r="Y83" s="34">
        <f>X83/Calculation_sheet!M$67</f>
        <v>0</v>
      </c>
      <c r="Z83" s="176">
        <f ca="1">IF(AN83&gt;0,Y83*Calculation_sheet!C$87,0)</f>
        <v>0</v>
      </c>
      <c r="AA83" s="176">
        <f t="shared" ca="1" si="101"/>
        <v>0</v>
      </c>
      <c r="AB83" s="176">
        <f ca="1">IF(AP83&gt;0,AA83*Calculation_sheet!C$94,0)</f>
        <v>0</v>
      </c>
      <c r="AC83" s="176">
        <f t="shared" ca="1" si="89"/>
        <v>0</v>
      </c>
      <c r="AD83" s="958">
        <f ca="1">AC83*Calculation_sheet!C$99</f>
        <v>0</v>
      </c>
      <c r="AE83" s="176">
        <f t="shared" ca="1" si="89"/>
        <v>0</v>
      </c>
      <c r="AF83" s="176">
        <f t="shared" ca="1" si="102"/>
        <v>0</v>
      </c>
      <c r="AG83" s="958">
        <f ca="1">AF83*User_sheet!B$77/100</f>
        <v>0</v>
      </c>
      <c r="AH83" s="313"/>
      <c r="AI83">
        <v>301</v>
      </c>
      <c r="AK83" s="1018">
        <f t="shared" ca="1" si="105"/>
        <v>141.64020674202433</v>
      </c>
      <c r="AL83" s="924">
        <f ca="1">AK83/'301'!I$24</f>
        <v>1.1222937637039787</v>
      </c>
      <c r="AM83" s="924">
        <f ca="1">0.8*(AK83*30+'301'!D$17*0.34*30*1)</f>
        <v>5490.9361618085841</v>
      </c>
      <c r="AN83" s="954">
        <f ca="1">IF(AM83&lt;User_sheet!B$50,Y83,0)</f>
        <v>0</v>
      </c>
      <c r="AO83" s="954">
        <f ca="1">20-(User_sheet!B$57/(AK83+'301'!D$17*1*0.34))</f>
        <v>-4.9137844565545521</v>
      </c>
      <c r="AP83" s="954">
        <f ca="1">IF(AO83&lt;User_sheet!B$59,0,BC83*AA83)</f>
        <v>0</v>
      </c>
      <c r="AR83" s="2">
        <v>0.32</v>
      </c>
      <c r="AS83" s="2">
        <v>3.7</v>
      </c>
      <c r="AT83" s="2">
        <v>0.89</v>
      </c>
      <c r="AU83" s="2">
        <v>2</v>
      </c>
      <c r="AV83" s="2">
        <v>3.3</v>
      </c>
      <c r="AW83" s="2">
        <v>14356</v>
      </c>
      <c r="AX83" s="2">
        <v>76466.30421774846</v>
      </c>
      <c r="AY83" s="2">
        <v>79015.992973719694</v>
      </c>
      <c r="AZ83" s="27">
        <v>0</v>
      </c>
      <c r="BA83" s="27">
        <v>0</v>
      </c>
      <c r="BB83" s="2">
        <v>0.6</v>
      </c>
      <c r="BC83" s="30">
        <v>0</v>
      </c>
      <c r="BD83" s="34">
        <v>0</v>
      </c>
      <c r="BE83" s="34">
        <v>0</v>
      </c>
      <c r="BF83" s="40">
        <v>1</v>
      </c>
      <c r="BG83" s="34">
        <v>0</v>
      </c>
      <c r="BH83" s="34">
        <v>1</v>
      </c>
      <c r="BI83" s="40">
        <v>0</v>
      </c>
      <c r="BJ83" s="34">
        <v>0</v>
      </c>
      <c r="BK83" s="34">
        <v>0</v>
      </c>
      <c r="BL83" s="34">
        <v>0</v>
      </c>
      <c r="BM83" s="40">
        <v>1</v>
      </c>
      <c r="BN83" s="958">
        <v>0</v>
      </c>
      <c r="BO83" s="959">
        <v>14.9</v>
      </c>
      <c r="BP83" s="1018">
        <f t="shared" ca="1" si="90"/>
        <v>115.19999999999999</v>
      </c>
      <c r="BQ83" s="1018">
        <f t="shared" ca="1" si="91"/>
        <v>191.51999999999995</v>
      </c>
      <c r="BR83" s="1018">
        <f t="shared" ca="1" si="92"/>
        <v>43.295999999999999</v>
      </c>
      <c r="BS83" s="1018">
        <f t="shared" ca="1" si="93"/>
        <v>42.459999999999994</v>
      </c>
      <c r="BT83" s="1018">
        <f t="shared" ca="1" si="94"/>
        <v>38.4</v>
      </c>
      <c r="BU83" s="1018">
        <f t="shared" ca="1" si="95"/>
        <v>7</v>
      </c>
      <c r="BV83" s="1018">
        <f t="shared" ca="1" si="96"/>
        <v>4.3</v>
      </c>
      <c r="BW83" s="1018">
        <v>0</v>
      </c>
      <c r="BX83" s="1018">
        <f t="shared" ca="1" si="97"/>
        <v>13.126629610914604</v>
      </c>
      <c r="BY83" s="1018">
        <f t="shared" ca="1" si="98"/>
        <v>95.716084484159211</v>
      </c>
      <c r="BZ83" s="1018">
        <f t="shared" ca="1" si="106"/>
        <v>9.7707750952986032</v>
      </c>
      <c r="CA83" s="1018">
        <f t="shared" ca="1" si="107"/>
        <v>13.999999994400001</v>
      </c>
      <c r="CB83" s="1018">
        <f t="shared" ca="1" si="99"/>
        <v>9.0267175572519083</v>
      </c>
      <c r="CC83" s="1018">
        <f t="shared" si="108"/>
        <v>0</v>
      </c>
      <c r="CD83" s="1018">
        <f t="shared" ca="1" si="103"/>
        <v>141.64020674202433</v>
      </c>
      <c r="CE83" s="1018">
        <f t="shared" ca="1" si="104"/>
        <v>58.755316272361483</v>
      </c>
      <c r="CF83" s="1018">
        <f t="shared" ca="1" si="109"/>
        <v>6.0118656904315753</v>
      </c>
      <c r="CG83" s="1018">
        <f t="shared" ca="1" si="110"/>
        <v>10009.515899940952</v>
      </c>
    </row>
    <row r="84" spans="3:85" s="14" customFormat="1" x14ac:dyDescent="0.25">
      <c r="D84" s="15"/>
      <c r="F84" s="15"/>
      <c r="H84" s="15"/>
      <c r="J84" s="15"/>
      <c r="K84" s="16"/>
      <c r="L84" s="15"/>
      <c r="M84" s="15"/>
      <c r="N84" s="15"/>
      <c r="O84" s="15"/>
      <c r="P84" s="15"/>
      <c r="Q84" s="15"/>
      <c r="R84" s="15"/>
      <c r="S84" s="15"/>
      <c r="T84" s="80"/>
      <c r="U84" s="273"/>
      <c r="V84" s="292"/>
      <c r="W84" s="292"/>
      <c r="X84" s="292"/>
      <c r="Y84" s="277"/>
      <c r="Z84" s="292"/>
      <c r="AA84" s="292"/>
      <c r="AB84" s="292"/>
      <c r="AC84" s="292"/>
      <c r="AD84" s="277"/>
      <c r="AE84" s="292"/>
      <c r="AF84" s="292"/>
      <c r="AG84" s="277"/>
      <c r="AH84" s="313"/>
      <c r="AJ84" s="314"/>
      <c r="AK84" s="1018">
        <f t="shared" si="105"/>
        <v>0</v>
      </c>
      <c r="AL84" s="928"/>
      <c r="AM84" s="928"/>
      <c r="AN84" s="986"/>
      <c r="AO84" s="986"/>
      <c r="AP84" s="986"/>
      <c r="AQ84" s="314"/>
      <c r="AR84" s="28"/>
      <c r="AS84" s="28"/>
      <c r="AT84" s="28"/>
      <c r="AU84" s="28"/>
      <c r="AV84" s="28"/>
      <c r="AW84" s="28"/>
      <c r="AX84" s="28"/>
      <c r="AY84" s="28"/>
      <c r="AZ84" s="28"/>
      <c r="BA84" s="28"/>
      <c r="BB84" s="28"/>
      <c r="BC84" s="45"/>
      <c r="BD84" s="277"/>
      <c r="BE84" s="277"/>
      <c r="BF84" s="49"/>
      <c r="BG84" s="28"/>
      <c r="BH84" s="28"/>
      <c r="BI84" s="49"/>
      <c r="BJ84" s="28"/>
      <c r="BK84" s="28"/>
      <c r="BL84" s="28"/>
      <c r="BM84" s="49"/>
      <c r="BN84" s="277"/>
      <c r="BO84" s="49"/>
      <c r="BP84" s="928"/>
      <c r="BQ84" s="928"/>
      <c r="BR84" s="928"/>
      <c r="BS84" s="928"/>
      <c r="BT84" s="928"/>
      <c r="BU84" s="928"/>
      <c r="BV84" s="928"/>
      <c r="BW84" s="928"/>
      <c r="BX84" s="928"/>
      <c r="BY84" s="928"/>
      <c r="BZ84" s="928"/>
      <c r="CA84" s="928"/>
      <c r="CB84" s="928"/>
      <c r="CC84" s="928"/>
      <c r="CD84" s="928"/>
      <c r="CE84" s="928"/>
      <c r="CF84" s="928"/>
      <c r="CG84" s="928"/>
    </row>
    <row r="85" spans="3:85" x14ac:dyDescent="0.25">
      <c r="C85" s="647"/>
      <c r="D85" s="648"/>
      <c r="E85" s="647"/>
      <c r="F85" s="648"/>
      <c r="G85" s="647"/>
      <c r="H85" s="652"/>
      <c r="I85" s="647"/>
      <c r="J85" s="648"/>
      <c r="K85" s="650"/>
      <c r="L85" s="652"/>
      <c r="M85" s="648"/>
      <c r="N85" s="648"/>
      <c r="O85" s="648"/>
      <c r="P85" s="648"/>
      <c r="Q85" s="648" t="s">
        <v>16</v>
      </c>
      <c r="R85" s="649">
        <v>0.73860000000000003</v>
      </c>
      <c r="S85" s="648"/>
      <c r="T85" s="653">
        <v>8.9988955015126108E-3</v>
      </c>
      <c r="U85" s="647"/>
      <c r="V85" s="176">
        <f t="shared" si="11"/>
        <v>8.9988955015126108E-3</v>
      </c>
      <c r="W85" s="176">
        <f>V85-V85*Calculation_sheet!J$66</f>
        <v>8.9988955015126108E-3</v>
      </c>
      <c r="X85" s="176">
        <f>W85-W85*Calculation_sheet!J$76</f>
        <v>8.9988955015126108E-3</v>
      </c>
      <c r="Y85" s="34">
        <f>X85/Calculation_sheet!M$67</f>
        <v>8.999079496787488E-3</v>
      </c>
      <c r="Z85" s="176">
        <f ca="1">IF(AN85&gt;0,Y85*Calculation_sheet!C$87,0)</f>
        <v>0</v>
      </c>
      <c r="AA85" s="176">
        <f ca="1">Y85-Z85</f>
        <v>8.999079496787488E-3</v>
      </c>
      <c r="AB85" s="176">
        <f ca="1">IF(AP85&gt;0,AA85*Calculation_sheet!C$94,0)</f>
        <v>0</v>
      </c>
      <c r="AC85" s="176">
        <f t="shared" ref="AC85:AE95" ca="1" si="111">AA85-AB85</f>
        <v>8.999079496787488E-3</v>
      </c>
      <c r="AD85" s="958">
        <f ca="1">AC85*Calculation_sheet!C$99</f>
        <v>5.399447698072493E-3</v>
      </c>
      <c r="AE85" s="176">
        <f t="shared" ca="1" si="111"/>
        <v>3.599631798714995E-3</v>
      </c>
      <c r="AF85" s="176">
        <f ca="1">Y85-AB85</f>
        <v>8.999079496787488E-3</v>
      </c>
      <c r="AG85" s="958">
        <f ca="1">AF85*User_sheet!B$77/100</f>
        <v>0</v>
      </c>
      <c r="AH85" s="313"/>
      <c r="AI85">
        <v>301</v>
      </c>
      <c r="AK85" s="1018">
        <f t="shared" ca="1" si="105"/>
        <v>343.50183008774138</v>
      </c>
      <c r="AL85" s="924">
        <f ca="1">AK85/'301'!I$24</f>
        <v>2.7217551470432579</v>
      </c>
      <c r="AM85" s="924">
        <f ca="1">0.8*(AK85*30+'301'!D$17*0.34*30*1)</f>
        <v>10335.615122105793</v>
      </c>
      <c r="AN85" s="954">
        <f ca="1">IF(AM85&lt;User_sheet!B$50,Y85,0)</f>
        <v>0</v>
      </c>
      <c r="AO85" s="954">
        <f ca="1">20-(User_sheet!B$57/(AK85+'301'!D$17*1*0.34))</f>
        <v>6.764213026139835</v>
      </c>
      <c r="AP85" s="954">
        <f ca="1">IF(AO85&lt;User_sheet!B$59,0,BC85*AA85)</f>
        <v>0</v>
      </c>
      <c r="AR85" s="2">
        <v>14.1</v>
      </c>
      <c r="AS85" s="2">
        <v>3.7</v>
      </c>
      <c r="AT85" s="2">
        <v>7.9</v>
      </c>
      <c r="AU85" s="2">
        <v>2.75</v>
      </c>
      <c r="AV85" s="2">
        <v>3.3</v>
      </c>
      <c r="AW85" s="2">
        <v>7211.5338771527777</v>
      </c>
      <c r="AX85" s="2">
        <v>76466.30421774846</v>
      </c>
      <c r="AY85" s="2">
        <v>67352.647733737584</v>
      </c>
      <c r="AZ85" s="2">
        <v>0</v>
      </c>
      <c r="BA85" s="2">
        <v>0</v>
      </c>
      <c r="BB85" s="2">
        <v>0.6</v>
      </c>
      <c r="BC85" s="30">
        <v>1</v>
      </c>
      <c r="BD85" s="34">
        <v>0</v>
      </c>
      <c r="BE85" s="34">
        <v>0</v>
      </c>
      <c r="BF85" s="40">
        <v>0</v>
      </c>
      <c r="BG85" s="2">
        <v>1</v>
      </c>
      <c r="BH85" s="2">
        <v>0</v>
      </c>
      <c r="BI85" s="40">
        <v>0</v>
      </c>
      <c r="BJ85" s="2">
        <v>1</v>
      </c>
      <c r="BK85" s="2">
        <v>0</v>
      </c>
      <c r="BL85" s="2">
        <v>0</v>
      </c>
      <c r="BM85" s="40">
        <v>0</v>
      </c>
      <c r="BN85" s="958">
        <v>0</v>
      </c>
      <c r="BO85" s="959">
        <v>14.9</v>
      </c>
      <c r="BP85" s="1018">
        <f t="shared" ref="BP85:BP95" ca="1" si="112">INDIRECT("'"&amp;AI85&amp;"'!"&amp;"B2")</f>
        <v>115.19999999999999</v>
      </c>
      <c r="BQ85" s="1018">
        <f t="shared" ref="BQ85:BQ95" ca="1" si="113">INDIRECT("'"&amp;AI85&amp;"'!"&amp;"C12")+INDIRECT("'"&amp;AI85&amp;"'!"&amp;"C13")+INDIRECT("'"&amp;AI85&amp;"'!"&amp;"C14")+INDIRECT("'"&amp;AI85&amp;"'!"&amp;"C15")+INDIRECT("'"&amp;AI85&amp;"'!"&amp;"C17")</f>
        <v>191.51999999999995</v>
      </c>
      <c r="BR85" s="1018">
        <f t="shared" ref="BR85:BR95" ca="1" si="114">INDIRECT("'"&amp;AI85&amp;"'!"&amp;"G5")</f>
        <v>43.295999999999999</v>
      </c>
      <c r="BS85" s="1018">
        <f t="shared" ref="BS85:BS95" ca="1" si="115">INDIRECT("'"&amp;AI85&amp;"'!"&amp;"G4")</f>
        <v>42.459999999999994</v>
      </c>
      <c r="BT85" s="1018">
        <f t="shared" ref="BT85:BT95" ca="1" si="116">INDIRECT("'"&amp;AI85&amp;"'!"&amp;"G6")</f>
        <v>38.4</v>
      </c>
      <c r="BU85" s="1018">
        <f t="shared" ref="BU85:BU95" ca="1" si="117">INDIRECT("'"&amp;AI85&amp;"'!"&amp;"G2")</f>
        <v>7</v>
      </c>
      <c r="BV85" s="1018">
        <f t="shared" ref="BV85:BV95" ca="1" si="118">INDIRECT("'"&amp;AI85&amp;"'!"&amp;"G3")</f>
        <v>4.3</v>
      </c>
      <c r="BW85" s="1018">
        <v>0</v>
      </c>
      <c r="BX85" s="1018">
        <f t="shared" ref="BX85:BX95" ca="1" si="119">IF(BR85=0,0,1/(1/(BR85*$BY$3)+1/(BR85*AR85)+1/(BR85*$BY$4)))</f>
        <v>177.25714285714281</v>
      </c>
      <c r="BY85" s="1018">
        <f t="shared" ref="BY85:BY95" ca="1" si="120">IF(BS85=0,0,1/(1/(BS85*$BY$3)+1/(BS85*AS85)+1/(BS85*$BY$4)))</f>
        <v>95.716084484159211</v>
      </c>
      <c r="BZ85" s="1018">
        <f t="shared" ca="1" si="106"/>
        <v>42.251885199774904</v>
      </c>
      <c r="CA85" s="1018">
        <f t="shared" ca="1" si="107"/>
        <v>19.249999989412501</v>
      </c>
      <c r="CB85" s="1018">
        <f t="shared" ref="CB85:CB95" ca="1" si="121">IF(BV85=0,0,1/(1/(BV85*$BY$3)+1/(BV85*AV85)+1/(BV85*$BY$4)))</f>
        <v>9.0267175572519083</v>
      </c>
      <c r="CC85" s="1018">
        <f t="shared" si="108"/>
        <v>0</v>
      </c>
      <c r="CD85" s="1018">
        <f ca="1">SUM(BX85:CC85)+(BR85+BS85+BT85+BU85+BV85)*BN85</f>
        <v>343.50183008774138</v>
      </c>
      <c r="CE85" s="1018">
        <f ca="1">0.34*BO85*(1/25)^0.66*(BR85+BS85+BU85+BV85)</f>
        <v>58.755316272361483</v>
      </c>
      <c r="CF85" s="1018">
        <f t="shared" ca="1" si="109"/>
        <v>12.067714390803086</v>
      </c>
      <c r="CG85" s="1018">
        <f t="shared" ca="1" si="110"/>
        <v>20092.261752111503</v>
      </c>
    </row>
    <row r="86" spans="3:85" x14ac:dyDescent="0.25">
      <c r="C86" s="647"/>
      <c r="D86" s="648"/>
      <c r="E86" s="647"/>
      <c r="F86" s="648"/>
      <c r="G86" s="647"/>
      <c r="H86" s="652"/>
      <c r="I86" s="647"/>
      <c r="J86" s="648"/>
      <c r="K86" s="650"/>
      <c r="L86" s="652"/>
      <c r="M86" s="648"/>
      <c r="N86" s="648"/>
      <c r="O86" s="648" t="s">
        <v>18</v>
      </c>
      <c r="P86" s="649">
        <v>0.62953995200000001</v>
      </c>
      <c r="Q86" s="648" t="s">
        <v>7</v>
      </c>
      <c r="R86" s="649">
        <v>0.26140000000000002</v>
      </c>
      <c r="S86" s="648"/>
      <c r="T86" s="653">
        <v>3.1848243759753552E-3</v>
      </c>
      <c r="U86" s="647"/>
      <c r="V86" s="176">
        <f t="shared" si="11"/>
        <v>3.1848243759753552E-3</v>
      </c>
      <c r="W86" s="176">
        <f>V86-V86*Calculation_sheet!J$66</f>
        <v>3.1848243759753552E-3</v>
      </c>
      <c r="X86" s="176">
        <f>W86-W86*Calculation_sheet!J$76</f>
        <v>3.1848243759753552E-3</v>
      </c>
      <c r="Y86" s="34">
        <f>X86/Calculation_sheet!M$67</f>
        <v>3.1848894942597488E-3</v>
      </c>
      <c r="Z86" s="176">
        <f ca="1">IF(AN86&gt;0,Y86*Calculation_sheet!C$87,0)</f>
        <v>0</v>
      </c>
      <c r="AA86" s="176">
        <f t="shared" ref="AA86:AA95" ca="1" si="122">Y86-Z86</f>
        <v>3.1848894942597488E-3</v>
      </c>
      <c r="AB86" s="176">
        <f ca="1">IF(AP86&gt;0,AA86*Calculation_sheet!C$94,0)</f>
        <v>0</v>
      </c>
      <c r="AC86" s="176">
        <f t="shared" ca="1" si="111"/>
        <v>3.1848894942597488E-3</v>
      </c>
      <c r="AD86" s="958">
        <f ca="1">AC86*Calculation_sheet!C$99</f>
        <v>1.9109336965558491E-3</v>
      </c>
      <c r="AE86" s="176">
        <f t="shared" ca="1" si="111"/>
        <v>1.2739557977038997E-3</v>
      </c>
      <c r="AF86" s="176">
        <f t="shared" ref="AF86:AF95" ca="1" si="123">Y86-AB86</f>
        <v>3.1848894942597488E-3</v>
      </c>
      <c r="AG86" s="958">
        <f ca="1">AF86*User_sheet!B$77/100</f>
        <v>0</v>
      </c>
      <c r="AH86" s="313"/>
      <c r="AI86">
        <v>301</v>
      </c>
      <c r="AK86" s="1018">
        <f t="shared" ca="1" si="105"/>
        <v>343.50183008774138</v>
      </c>
      <c r="AL86" s="924">
        <f ca="1">AK86/'301'!I$24</f>
        <v>2.7217551470432579</v>
      </c>
      <c r="AM86" s="924">
        <f ca="1">0.8*(AK86*30+'301'!D$17*0.34*30*1)</f>
        <v>10335.615122105793</v>
      </c>
      <c r="AN86" s="954">
        <f ca="1">IF(AM86&lt;User_sheet!B$50,Y86,0)</f>
        <v>0</v>
      </c>
      <c r="AO86" s="954">
        <f ca="1">20-(User_sheet!B$57/(AK86+'301'!D$17*1*0.34))</f>
        <v>6.764213026139835</v>
      </c>
      <c r="AP86" s="954">
        <f ca="1">IF(AO86&lt;User_sheet!B$59,0,BC86*AA86)</f>
        <v>0</v>
      </c>
      <c r="AR86" s="2">
        <v>14.1</v>
      </c>
      <c r="AS86" s="2">
        <v>3.7</v>
      </c>
      <c r="AT86" s="2">
        <v>7.9</v>
      </c>
      <c r="AU86" s="2">
        <v>2.75</v>
      </c>
      <c r="AV86" s="2">
        <v>3.3</v>
      </c>
      <c r="AW86" s="2">
        <v>7211.5338771527777</v>
      </c>
      <c r="AX86" s="2">
        <v>76466.30421774846</v>
      </c>
      <c r="AY86" s="2">
        <v>67352.647733737584</v>
      </c>
      <c r="AZ86" s="2">
        <v>0</v>
      </c>
      <c r="BA86" s="2">
        <v>0</v>
      </c>
      <c r="BB86" s="2">
        <v>0.6</v>
      </c>
      <c r="BC86" s="30">
        <v>1</v>
      </c>
      <c r="BD86" s="34">
        <v>0</v>
      </c>
      <c r="BE86" s="34">
        <v>0</v>
      </c>
      <c r="BF86" s="40">
        <v>0</v>
      </c>
      <c r="BG86" s="2">
        <v>1</v>
      </c>
      <c r="BH86" s="2">
        <v>0</v>
      </c>
      <c r="BI86" s="40">
        <v>0</v>
      </c>
      <c r="BJ86" s="2">
        <v>0</v>
      </c>
      <c r="BK86" s="2">
        <v>0</v>
      </c>
      <c r="BL86" s="2">
        <v>1</v>
      </c>
      <c r="BM86" s="40">
        <v>0</v>
      </c>
      <c r="BN86" s="958">
        <v>0</v>
      </c>
      <c r="BO86" s="959">
        <v>14.9</v>
      </c>
      <c r="BP86" s="1018">
        <f t="shared" ca="1" si="112"/>
        <v>115.19999999999999</v>
      </c>
      <c r="BQ86" s="1018">
        <f t="shared" ca="1" si="113"/>
        <v>191.51999999999995</v>
      </c>
      <c r="BR86" s="1018">
        <f t="shared" ca="1" si="114"/>
        <v>43.295999999999999</v>
      </c>
      <c r="BS86" s="1018">
        <f t="shared" ca="1" si="115"/>
        <v>42.459999999999994</v>
      </c>
      <c r="BT86" s="1018">
        <f t="shared" ca="1" si="116"/>
        <v>38.4</v>
      </c>
      <c r="BU86" s="1018">
        <f t="shared" ca="1" si="117"/>
        <v>7</v>
      </c>
      <c r="BV86" s="1018">
        <f t="shared" ca="1" si="118"/>
        <v>4.3</v>
      </c>
      <c r="BW86" s="1018">
        <v>0</v>
      </c>
      <c r="BX86" s="1018">
        <f t="shared" ca="1" si="119"/>
        <v>177.25714285714281</v>
      </c>
      <c r="BY86" s="1018">
        <f t="shared" ca="1" si="120"/>
        <v>95.716084484159211</v>
      </c>
      <c r="BZ86" s="1018">
        <f t="shared" ca="1" si="106"/>
        <v>42.251885199774904</v>
      </c>
      <c r="CA86" s="1018">
        <f t="shared" ca="1" si="107"/>
        <v>19.249999989412501</v>
      </c>
      <c r="CB86" s="1018">
        <f t="shared" ca="1" si="121"/>
        <v>9.0267175572519083</v>
      </c>
      <c r="CC86" s="1018">
        <f t="shared" si="108"/>
        <v>0</v>
      </c>
      <c r="CD86" s="1018">
        <f t="shared" ref="CD86:CD95" ca="1" si="124">SUM(BX86:CC86)+(BR86+BS86+BT86+BU86+BV86)*BN86</f>
        <v>343.50183008774138</v>
      </c>
      <c r="CE86" s="1018">
        <f t="shared" ref="CE86:CE95" ca="1" si="125">0.34*BO86*(1/25)^0.66*(BR86+BS86+BU86+BV86)</f>
        <v>58.755316272361483</v>
      </c>
      <c r="CF86" s="1018">
        <f t="shared" ca="1" si="109"/>
        <v>12.067714390803086</v>
      </c>
      <c r="CG86" s="1018">
        <f t="shared" ca="1" si="110"/>
        <v>20092.261752111503</v>
      </c>
    </row>
    <row r="87" spans="3:85" x14ac:dyDescent="0.25">
      <c r="C87" s="647"/>
      <c r="D87" s="648"/>
      <c r="E87" s="647"/>
      <c r="F87" s="648"/>
      <c r="G87" s="647"/>
      <c r="H87" s="652"/>
      <c r="I87" s="647"/>
      <c r="J87" s="648"/>
      <c r="K87" s="650"/>
      <c r="L87" s="652"/>
      <c r="M87" s="648"/>
      <c r="N87" s="648"/>
      <c r="O87" s="648"/>
      <c r="P87" s="648"/>
      <c r="Q87" s="648" t="s">
        <v>16</v>
      </c>
      <c r="R87" s="649">
        <v>0.73860000000000003</v>
      </c>
      <c r="S87" s="648"/>
      <c r="T87" s="653">
        <v>5.2955038815985208E-3</v>
      </c>
      <c r="U87" s="647"/>
      <c r="V87" s="176">
        <f t="shared" si="11"/>
        <v>5.2955038815985208E-3</v>
      </c>
      <c r="W87" s="176">
        <f>V87-V87*Calculation_sheet!J$66</f>
        <v>5.2955038815985208E-3</v>
      </c>
      <c r="X87" s="176">
        <f>W87-W87*Calculation_sheet!J$76</f>
        <v>5.2955038815985208E-3</v>
      </c>
      <c r="Y87" s="34">
        <f>X87/Calculation_sheet!M$67</f>
        <v>5.2956121557408472E-3</v>
      </c>
      <c r="Z87" s="176">
        <f ca="1">IF(AN87&gt;0,Y87*Calculation_sheet!C$87,0)</f>
        <v>0</v>
      </c>
      <c r="AA87" s="176">
        <f t="shared" ca="1" si="122"/>
        <v>5.2956121557408472E-3</v>
      </c>
      <c r="AB87" s="176">
        <f ca="1">IF(AP87&gt;0,AA87*Calculation_sheet!C$94,0)</f>
        <v>0</v>
      </c>
      <c r="AC87" s="176">
        <f t="shared" ca="1" si="111"/>
        <v>5.2956121557408472E-3</v>
      </c>
      <c r="AD87" s="958">
        <f ca="1">AC87*Calculation_sheet!C$99</f>
        <v>3.1773672934445082E-3</v>
      </c>
      <c r="AE87" s="176">
        <f t="shared" ca="1" si="111"/>
        <v>2.118244862296339E-3</v>
      </c>
      <c r="AF87" s="176">
        <f t="shared" ca="1" si="123"/>
        <v>5.2956121557408472E-3</v>
      </c>
      <c r="AG87" s="958">
        <f ca="1">AF87*User_sheet!B$77/100</f>
        <v>0</v>
      </c>
      <c r="AH87" s="313"/>
      <c r="AI87">
        <v>301</v>
      </c>
      <c r="AK87" s="1018">
        <f t="shared" ca="1" si="105"/>
        <v>343.50183008774138</v>
      </c>
      <c r="AL87" s="924">
        <f ca="1">AK87/'301'!I$24</f>
        <v>2.7217551470432579</v>
      </c>
      <c r="AM87" s="924">
        <f ca="1">0.8*(AK87*30+'301'!D$17*0.34*30*1)</f>
        <v>10335.615122105793</v>
      </c>
      <c r="AN87" s="954">
        <f ca="1">IF(AM87&lt;User_sheet!B$50,Y87,0)</f>
        <v>0</v>
      </c>
      <c r="AO87" s="954">
        <f ca="1">20-(User_sheet!B$57/(AK87+'301'!D$17*1*0.34))</f>
        <v>6.764213026139835</v>
      </c>
      <c r="AP87" s="954">
        <f ca="1">IF(AO87&lt;User_sheet!B$59,0,BC87*AA87)</f>
        <v>0</v>
      </c>
      <c r="AR87" s="2">
        <v>14.1</v>
      </c>
      <c r="AS87" s="2">
        <v>3.7</v>
      </c>
      <c r="AT87" s="2">
        <v>7.9</v>
      </c>
      <c r="AU87" s="2">
        <v>2.75</v>
      </c>
      <c r="AV87" s="2">
        <v>3.3</v>
      </c>
      <c r="AW87" s="2">
        <v>7211.5338771527777</v>
      </c>
      <c r="AX87" s="2">
        <v>76466.30421774846</v>
      </c>
      <c r="AY87" s="2">
        <v>67352.647733737584</v>
      </c>
      <c r="AZ87" s="2">
        <v>0</v>
      </c>
      <c r="BA87" s="2">
        <v>0</v>
      </c>
      <c r="BB87" s="2">
        <v>0.6</v>
      </c>
      <c r="BC87" s="30">
        <v>1</v>
      </c>
      <c r="BD87" s="34">
        <v>0</v>
      </c>
      <c r="BE87" s="34">
        <v>0</v>
      </c>
      <c r="BF87" s="40">
        <v>0</v>
      </c>
      <c r="BG87" s="2">
        <v>0</v>
      </c>
      <c r="BH87" s="2">
        <v>1</v>
      </c>
      <c r="BI87" s="40">
        <v>0</v>
      </c>
      <c r="BJ87" s="2">
        <v>1</v>
      </c>
      <c r="BK87" s="2">
        <v>0</v>
      </c>
      <c r="BL87" s="2">
        <v>0</v>
      </c>
      <c r="BM87" s="40">
        <v>0</v>
      </c>
      <c r="BN87" s="958">
        <v>0</v>
      </c>
      <c r="BO87" s="959">
        <v>14.9</v>
      </c>
      <c r="BP87" s="1018">
        <f t="shared" ca="1" si="112"/>
        <v>115.19999999999999</v>
      </c>
      <c r="BQ87" s="1018">
        <f t="shared" ca="1" si="113"/>
        <v>191.51999999999995</v>
      </c>
      <c r="BR87" s="1018">
        <f t="shared" ca="1" si="114"/>
        <v>43.295999999999999</v>
      </c>
      <c r="BS87" s="1018">
        <f t="shared" ca="1" si="115"/>
        <v>42.459999999999994</v>
      </c>
      <c r="BT87" s="1018">
        <f t="shared" ca="1" si="116"/>
        <v>38.4</v>
      </c>
      <c r="BU87" s="1018">
        <f t="shared" ca="1" si="117"/>
        <v>7</v>
      </c>
      <c r="BV87" s="1018">
        <f t="shared" ca="1" si="118"/>
        <v>4.3</v>
      </c>
      <c r="BW87" s="1018">
        <v>0</v>
      </c>
      <c r="BX87" s="1018">
        <f t="shared" ca="1" si="119"/>
        <v>177.25714285714281</v>
      </c>
      <c r="BY87" s="1018">
        <f t="shared" ca="1" si="120"/>
        <v>95.716084484159211</v>
      </c>
      <c r="BZ87" s="1018">
        <f t="shared" ca="1" si="106"/>
        <v>42.251885199774904</v>
      </c>
      <c r="CA87" s="1018">
        <f t="shared" ca="1" si="107"/>
        <v>19.249999989412501</v>
      </c>
      <c r="CB87" s="1018">
        <f t="shared" ca="1" si="121"/>
        <v>9.0267175572519083</v>
      </c>
      <c r="CC87" s="1018">
        <f t="shared" si="108"/>
        <v>0</v>
      </c>
      <c r="CD87" s="1018">
        <f t="shared" ca="1" si="124"/>
        <v>343.50183008774138</v>
      </c>
      <c r="CE87" s="1018">
        <f t="shared" ca="1" si="125"/>
        <v>58.755316272361483</v>
      </c>
      <c r="CF87" s="1018">
        <f t="shared" ca="1" si="109"/>
        <v>12.067714390803086</v>
      </c>
      <c r="CG87" s="1018">
        <f t="shared" ca="1" si="110"/>
        <v>20092.261752111503</v>
      </c>
    </row>
    <row r="88" spans="3:85" x14ac:dyDescent="0.25">
      <c r="C88" s="647"/>
      <c r="D88" s="648"/>
      <c r="E88" s="647"/>
      <c r="F88" s="648"/>
      <c r="G88" s="647"/>
      <c r="H88" s="652"/>
      <c r="I88" s="647"/>
      <c r="J88" s="648"/>
      <c r="K88" s="650"/>
      <c r="L88" s="652"/>
      <c r="M88" s="648" t="s">
        <v>16</v>
      </c>
      <c r="N88" s="649">
        <v>0.44680851100000002</v>
      </c>
      <c r="O88" s="648" t="s">
        <v>19</v>
      </c>
      <c r="P88" s="649">
        <v>0.37046004799999999</v>
      </c>
      <c r="Q88" s="648" t="s">
        <v>7</v>
      </c>
      <c r="R88" s="649">
        <v>0.26140000000000002</v>
      </c>
      <c r="S88" s="648"/>
      <c r="T88" s="653">
        <v>1.8741466485917323E-3</v>
      </c>
      <c r="U88" s="647"/>
      <c r="V88" s="176">
        <f t="shared" si="11"/>
        <v>1.8741466485917323E-3</v>
      </c>
      <c r="W88" s="176">
        <f>V88-V88*Calculation_sheet!J$66</f>
        <v>1.8741466485917323E-3</v>
      </c>
      <c r="X88" s="176">
        <f>W88-W88*Calculation_sheet!J$76</f>
        <v>1.8741466485917323E-3</v>
      </c>
      <c r="Y88" s="34">
        <f>X88/Calculation_sheet!M$67</f>
        <v>1.8741849681974784E-3</v>
      </c>
      <c r="Z88" s="176">
        <f ca="1">IF(AN88&gt;0,Y88*Calculation_sheet!C$87,0)</f>
        <v>0</v>
      </c>
      <c r="AA88" s="176">
        <f t="shared" ca="1" si="122"/>
        <v>1.8741849681974784E-3</v>
      </c>
      <c r="AB88" s="176">
        <f ca="1">IF(AP88&gt;0,AA88*Calculation_sheet!C$94,0)</f>
        <v>0</v>
      </c>
      <c r="AC88" s="176">
        <f t="shared" ca="1" si="111"/>
        <v>1.8741849681974784E-3</v>
      </c>
      <c r="AD88" s="958">
        <f ca="1">AC88*Calculation_sheet!C$99</f>
        <v>1.1245109809184871E-3</v>
      </c>
      <c r="AE88" s="176">
        <f t="shared" ca="1" si="111"/>
        <v>7.4967398727899138E-4</v>
      </c>
      <c r="AF88" s="176">
        <f t="shared" ca="1" si="123"/>
        <v>1.8741849681974784E-3</v>
      </c>
      <c r="AG88" s="958">
        <f ca="1">AF88*User_sheet!B$77/100</f>
        <v>0</v>
      </c>
      <c r="AH88" s="313"/>
      <c r="AI88">
        <v>301</v>
      </c>
      <c r="AK88" s="1018">
        <f t="shared" ca="1" si="105"/>
        <v>343.50183008774138</v>
      </c>
      <c r="AL88" s="924">
        <f ca="1">AK88/'301'!I$24</f>
        <v>2.7217551470432579</v>
      </c>
      <c r="AM88" s="924">
        <f ca="1">0.8*(AK88*30+'301'!D$17*0.34*30*1)</f>
        <v>10335.615122105793</v>
      </c>
      <c r="AN88" s="954">
        <f ca="1">IF(AM88&lt;User_sheet!B$50,Y88,0)</f>
        <v>0</v>
      </c>
      <c r="AO88" s="954">
        <f ca="1">20-(User_sheet!B$57/(AK88+'301'!D$17*1*0.34))</f>
        <v>6.764213026139835</v>
      </c>
      <c r="AP88" s="954">
        <f ca="1">IF(AO88&lt;User_sheet!B$59,0,BC88*AA88)</f>
        <v>0</v>
      </c>
      <c r="AR88" s="2">
        <v>14.1</v>
      </c>
      <c r="AS88" s="2">
        <v>3.7</v>
      </c>
      <c r="AT88" s="2">
        <v>7.9</v>
      </c>
      <c r="AU88" s="2">
        <v>2.75</v>
      </c>
      <c r="AV88" s="2">
        <v>3.3</v>
      </c>
      <c r="AW88" s="2">
        <v>7211.5338771527777</v>
      </c>
      <c r="AX88" s="2">
        <v>76466.30421774846</v>
      </c>
      <c r="AY88" s="2">
        <v>67352.647733737584</v>
      </c>
      <c r="AZ88" s="2">
        <v>0</v>
      </c>
      <c r="BA88" s="2">
        <v>0</v>
      </c>
      <c r="BB88" s="2">
        <v>0.6</v>
      </c>
      <c r="BC88" s="30">
        <v>1</v>
      </c>
      <c r="BD88" s="34">
        <v>0</v>
      </c>
      <c r="BE88" s="34">
        <v>0</v>
      </c>
      <c r="BF88" s="40">
        <v>0</v>
      </c>
      <c r="BG88" s="2">
        <v>0</v>
      </c>
      <c r="BH88" s="2">
        <v>1</v>
      </c>
      <c r="BI88" s="40">
        <v>0</v>
      </c>
      <c r="BJ88" s="2">
        <v>0</v>
      </c>
      <c r="BK88" s="2">
        <v>0</v>
      </c>
      <c r="BL88" s="2">
        <v>1</v>
      </c>
      <c r="BM88" s="40">
        <v>0</v>
      </c>
      <c r="BN88" s="958">
        <v>0</v>
      </c>
      <c r="BO88" s="959">
        <v>14.9</v>
      </c>
      <c r="BP88" s="1018">
        <f t="shared" ca="1" si="112"/>
        <v>115.19999999999999</v>
      </c>
      <c r="BQ88" s="1018">
        <f t="shared" ca="1" si="113"/>
        <v>191.51999999999995</v>
      </c>
      <c r="BR88" s="1018">
        <f t="shared" ca="1" si="114"/>
        <v>43.295999999999999</v>
      </c>
      <c r="BS88" s="1018">
        <f t="shared" ca="1" si="115"/>
        <v>42.459999999999994</v>
      </c>
      <c r="BT88" s="1018">
        <f t="shared" ca="1" si="116"/>
        <v>38.4</v>
      </c>
      <c r="BU88" s="1018">
        <f t="shared" ca="1" si="117"/>
        <v>7</v>
      </c>
      <c r="BV88" s="1018">
        <f t="shared" ca="1" si="118"/>
        <v>4.3</v>
      </c>
      <c r="BW88" s="1018">
        <v>0</v>
      </c>
      <c r="BX88" s="1018">
        <f t="shared" ca="1" si="119"/>
        <v>177.25714285714281</v>
      </c>
      <c r="BY88" s="1018">
        <f t="shared" ca="1" si="120"/>
        <v>95.716084484159211</v>
      </c>
      <c r="BZ88" s="1018">
        <f t="shared" ca="1" si="106"/>
        <v>42.251885199774904</v>
      </c>
      <c r="CA88" s="1018">
        <f t="shared" ca="1" si="107"/>
        <v>19.249999989412501</v>
      </c>
      <c r="CB88" s="1018">
        <f t="shared" ca="1" si="121"/>
        <v>9.0267175572519083</v>
      </c>
      <c r="CC88" s="1018">
        <f t="shared" si="108"/>
        <v>0</v>
      </c>
      <c r="CD88" s="1018">
        <f t="shared" ca="1" si="124"/>
        <v>343.50183008774138</v>
      </c>
      <c r="CE88" s="1018">
        <f t="shared" ca="1" si="125"/>
        <v>58.755316272361483</v>
      </c>
      <c r="CF88" s="1018">
        <f t="shared" ca="1" si="109"/>
        <v>12.067714390803086</v>
      </c>
      <c r="CG88" s="1018">
        <f t="shared" ca="1" si="110"/>
        <v>20092.261752111503</v>
      </c>
    </row>
    <row r="89" spans="3:85" x14ac:dyDescent="0.25">
      <c r="C89" s="647"/>
      <c r="D89" s="648"/>
      <c r="E89" s="647"/>
      <c r="F89" s="648"/>
      <c r="G89" s="647"/>
      <c r="H89" s="652"/>
      <c r="I89" s="647"/>
      <c r="J89" s="648"/>
      <c r="K89" s="650"/>
      <c r="L89" s="652"/>
      <c r="M89" s="648"/>
      <c r="N89" s="648"/>
      <c r="O89" s="648"/>
      <c r="P89" s="648"/>
      <c r="Q89" s="648" t="s">
        <v>22</v>
      </c>
      <c r="R89" s="649">
        <v>0.53710000000000002</v>
      </c>
      <c r="S89" s="648"/>
      <c r="T89" s="653">
        <v>8.4017273636639803E-3</v>
      </c>
      <c r="U89" s="647"/>
      <c r="V89" s="176">
        <f t="shared" si="11"/>
        <v>8.4017273636639803E-3</v>
      </c>
      <c r="W89" s="176">
        <f>V89-V89*Calculation_sheet!J$66</f>
        <v>8.4017273636639803E-3</v>
      </c>
      <c r="X89" s="176">
        <f>W89-W89*Calculation_sheet!J$76</f>
        <v>8.4017273636639803E-3</v>
      </c>
      <c r="Y89" s="34">
        <f>X89/Calculation_sheet!M$67</f>
        <v>8.4018991489831305E-3</v>
      </c>
      <c r="Z89" s="176">
        <f ca="1">IF(AN89&gt;0,Y89*Calculation_sheet!C$87,0)</f>
        <v>0</v>
      </c>
      <c r="AA89" s="176">
        <f t="shared" ca="1" si="122"/>
        <v>8.4018991489831305E-3</v>
      </c>
      <c r="AB89" s="176">
        <f ca="1">IF(AP89&gt;0,AA89*Calculation_sheet!C$94,0)</f>
        <v>0</v>
      </c>
      <c r="AC89" s="176">
        <f t="shared" ca="1" si="111"/>
        <v>8.4018991489831305E-3</v>
      </c>
      <c r="AD89" s="958">
        <f ca="1">AC89*Calculation_sheet!C$99</f>
        <v>5.0411394893898785E-3</v>
      </c>
      <c r="AE89" s="176">
        <f t="shared" ca="1" si="111"/>
        <v>3.360759659593252E-3</v>
      </c>
      <c r="AF89" s="176">
        <f t="shared" ca="1" si="123"/>
        <v>8.4018991489831305E-3</v>
      </c>
      <c r="AG89" s="958">
        <f ca="1">AF89*User_sheet!B$77/100</f>
        <v>0</v>
      </c>
      <c r="AH89" s="313"/>
      <c r="AI89">
        <v>301</v>
      </c>
      <c r="AK89" s="1018">
        <f t="shared" ca="1" si="105"/>
        <v>343.50183008774138</v>
      </c>
      <c r="AL89" s="924">
        <f ca="1">AK89/'301'!I$24</f>
        <v>2.7217551470432579</v>
      </c>
      <c r="AM89" s="924">
        <f ca="1">0.8*(AK89*30+'301'!D$17*0.34*30*1)</f>
        <v>10335.615122105793</v>
      </c>
      <c r="AN89" s="954">
        <f ca="1">IF(AM89&lt;User_sheet!B$50,Y89,0)</f>
        <v>0</v>
      </c>
      <c r="AO89" s="954">
        <f ca="1">20-(User_sheet!B$57/(AK89+'301'!D$17*1*0.34))</f>
        <v>6.764213026139835</v>
      </c>
      <c r="AP89" s="954">
        <f ca="1">IF(AO89&lt;User_sheet!B$59,0,BC89*AA89)</f>
        <v>0</v>
      </c>
      <c r="AR89" s="2">
        <v>14.1</v>
      </c>
      <c r="AS89" s="2">
        <v>3.7</v>
      </c>
      <c r="AT89" s="2">
        <v>7.9</v>
      </c>
      <c r="AU89" s="2">
        <v>2.75</v>
      </c>
      <c r="AV89" s="2">
        <v>3.3</v>
      </c>
      <c r="AW89" s="2">
        <v>7211.5338771527777</v>
      </c>
      <c r="AX89" s="2">
        <v>76466.30421774846</v>
      </c>
      <c r="AY89" s="2">
        <v>67352.647733737584</v>
      </c>
      <c r="AZ89" s="2">
        <v>0</v>
      </c>
      <c r="BA89" s="2">
        <v>0</v>
      </c>
      <c r="BB89" s="2">
        <v>0.6</v>
      </c>
      <c r="BC89" s="30">
        <v>0</v>
      </c>
      <c r="BD89" s="34">
        <v>1</v>
      </c>
      <c r="BE89" s="34">
        <v>0</v>
      </c>
      <c r="BF89" s="40">
        <v>0</v>
      </c>
      <c r="BG89" s="2">
        <v>1</v>
      </c>
      <c r="BH89" s="2">
        <v>0</v>
      </c>
      <c r="BI89" s="40">
        <v>0</v>
      </c>
      <c r="BJ89" s="2">
        <v>0</v>
      </c>
      <c r="BK89" s="2">
        <v>1</v>
      </c>
      <c r="BL89" s="2">
        <v>0</v>
      </c>
      <c r="BM89" s="40">
        <v>0</v>
      </c>
      <c r="BN89" s="958">
        <v>0</v>
      </c>
      <c r="BO89" s="959">
        <v>14.9</v>
      </c>
      <c r="BP89" s="1018">
        <f t="shared" ca="1" si="112"/>
        <v>115.19999999999999</v>
      </c>
      <c r="BQ89" s="1018">
        <f t="shared" ca="1" si="113"/>
        <v>191.51999999999995</v>
      </c>
      <c r="BR89" s="1018">
        <f t="shared" ca="1" si="114"/>
        <v>43.295999999999999</v>
      </c>
      <c r="BS89" s="1018">
        <f t="shared" ca="1" si="115"/>
        <v>42.459999999999994</v>
      </c>
      <c r="BT89" s="1018">
        <f t="shared" ca="1" si="116"/>
        <v>38.4</v>
      </c>
      <c r="BU89" s="1018">
        <f t="shared" ca="1" si="117"/>
        <v>7</v>
      </c>
      <c r="BV89" s="1018">
        <f t="shared" ca="1" si="118"/>
        <v>4.3</v>
      </c>
      <c r="BW89" s="1018">
        <v>0</v>
      </c>
      <c r="BX89" s="1018">
        <f t="shared" ca="1" si="119"/>
        <v>177.25714285714281</v>
      </c>
      <c r="BY89" s="1018">
        <f t="shared" ca="1" si="120"/>
        <v>95.716084484159211</v>
      </c>
      <c r="BZ89" s="1018">
        <f t="shared" ca="1" si="106"/>
        <v>42.251885199774904</v>
      </c>
      <c r="CA89" s="1018">
        <f t="shared" ca="1" si="107"/>
        <v>19.249999989412501</v>
      </c>
      <c r="CB89" s="1018">
        <f t="shared" ca="1" si="121"/>
        <v>9.0267175572519083</v>
      </c>
      <c r="CC89" s="1018">
        <f t="shared" si="108"/>
        <v>0</v>
      </c>
      <c r="CD89" s="1018">
        <f t="shared" ca="1" si="124"/>
        <v>343.50183008774138</v>
      </c>
      <c r="CE89" s="1018">
        <f t="shared" ca="1" si="125"/>
        <v>58.755316272361483</v>
      </c>
      <c r="CF89" s="1018">
        <f t="shared" ca="1" si="109"/>
        <v>12.067714390803086</v>
      </c>
      <c r="CG89" s="1018">
        <f t="shared" ca="1" si="110"/>
        <v>20092.261752111503</v>
      </c>
    </row>
    <row r="90" spans="3:85" x14ac:dyDescent="0.25">
      <c r="C90" s="647"/>
      <c r="D90" s="648"/>
      <c r="E90" s="647"/>
      <c r="F90" s="648"/>
      <c r="G90" s="647"/>
      <c r="H90" s="652"/>
      <c r="I90" s="647"/>
      <c r="J90" s="648"/>
      <c r="K90" s="650"/>
      <c r="L90" s="652"/>
      <c r="M90" s="648"/>
      <c r="N90" s="648"/>
      <c r="O90" s="648" t="s">
        <v>18</v>
      </c>
      <c r="P90" s="649">
        <v>0.80827067699999999</v>
      </c>
      <c r="Q90" s="648" t="s">
        <v>7</v>
      </c>
      <c r="R90" s="649">
        <v>0.46289999999999998</v>
      </c>
      <c r="S90" s="648"/>
      <c r="T90" s="653">
        <v>7.2410344379818612E-3</v>
      </c>
      <c r="U90" s="647"/>
      <c r="V90" s="176">
        <f t="shared" si="11"/>
        <v>7.2410344379818612E-3</v>
      </c>
      <c r="W90" s="176">
        <f>V90-V90*Calculation_sheet!J$66</f>
        <v>7.2410344379818612E-3</v>
      </c>
      <c r="X90" s="176">
        <f>W90-W90*Calculation_sheet!J$76</f>
        <v>7.2410344379818612E-3</v>
      </c>
      <c r="Y90" s="34">
        <f>X90/Calculation_sheet!M$67</f>
        <v>7.241182491275912E-3</v>
      </c>
      <c r="Z90" s="176">
        <f ca="1">IF(AN90&gt;0,Y90*Calculation_sheet!C$87,0)</f>
        <v>0</v>
      </c>
      <c r="AA90" s="176">
        <f t="shared" ca="1" si="122"/>
        <v>7.241182491275912E-3</v>
      </c>
      <c r="AB90" s="176">
        <f ca="1">IF(AP90&gt;0,AA90*Calculation_sheet!C$94,0)</f>
        <v>0</v>
      </c>
      <c r="AC90" s="176">
        <f t="shared" ca="1" si="111"/>
        <v>7.241182491275912E-3</v>
      </c>
      <c r="AD90" s="958">
        <f ca="1">AC90*Calculation_sheet!C$99</f>
        <v>4.3447094947655467E-3</v>
      </c>
      <c r="AE90" s="176">
        <f t="shared" ca="1" si="111"/>
        <v>2.8964729965103653E-3</v>
      </c>
      <c r="AF90" s="176">
        <f t="shared" ca="1" si="123"/>
        <v>7.241182491275912E-3</v>
      </c>
      <c r="AG90" s="958">
        <f ca="1">AF90*User_sheet!B$77/100</f>
        <v>0</v>
      </c>
      <c r="AH90" s="313"/>
      <c r="AI90">
        <v>301</v>
      </c>
      <c r="AK90" s="1018">
        <f t="shared" ca="1" si="105"/>
        <v>343.50183008774138</v>
      </c>
      <c r="AL90" s="924">
        <f ca="1">AK90/'301'!I$24</f>
        <v>2.7217551470432579</v>
      </c>
      <c r="AM90" s="924">
        <f ca="1">0.8*(AK90*30+'301'!D$17*0.34*30*1)</f>
        <v>10335.615122105793</v>
      </c>
      <c r="AN90" s="954">
        <f ca="1">IF(AM90&lt;User_sheet!B$50,Y90,0)</f>
        <v>0</v>
      </c>
      <c r="AO90" s="954">
        <f ca="1">20-(User_sheet!B$57/(AK90+'301'!D$17*1*0.34))</f>
        <v>6.764213026139835</v>
      </c>
      <c r="AP90" s="954">
        <f ca="1">IF(AO90&lt;User_sheet!B$59,0,BC90*AA90)</f>
        <v>0</v>
      </c>
      <c r="AR90" s="2">
        <v>14.1</v>
      </c>
      <c r="AS90" s="2">
        <v>3.7</v>
      </c>
      <c r="AT90" s="2">
        <v>7.9</v>
      </c>
      <c r="AU90" s="2">
        <v>2.75</v>
      </c>
      <c r="AV90" s="2">
        <v>3.3</v>
      </c>
      <c r="AW90" s="2">
        <v>7211.5338771527777</v>
      </c>
      <c r="AX90" s="2">
        <v>76466.30421774846</v>
      </c>
      <c r="AY90" s="2">
        <v>67352.647733737584</v>
      </c>
      <c r="AZ90" s="2">
        <v>0</v>
      </c>
      <c r="BA90" s="2">
        <v>0</v>
      </c>
      <c r="BB90" s="2">
        <v>0.6</v>
      </c>
      <c r="BC90" s="30">
        <v>0</v>
      </c>
      <c r="BD90" s="34">
        <v>1</v>
      </c>
      <c r="BE90" s="34">
        <v>0</v>
      </c>
      <c r="BF90" s="40">
        <v>0</v>
      </c>
      <c r="BG90" s="2">
        <v>1</v>
      </c>
      <c r="BH90" s="2">
        <v>0</v>
      </c>
      <c r="BI90" s="40">
        <v>0</v>
      </c>
      <c r="BJ90" s="2">
        <v>0</v>
      </c>
      <c r="BK90" s="2">
        <v>0</v>
      </c>
      <c r="BL90" s="2">
        <v>1</v>
      </c>
      <c r="BM90" s="40">
        <v>0</v>
      </c>
      <c r="BN90" s="958">
        <v>0</v>
      </c>
      <c r="BO90" s="959">
        <v>14.9</v>
      </c>
      <c r="BP90" s="1018">
        <f t="shared" ca="1" si="112"/>
        <v>115.19999999999999</v>
      </c>
      <c r="BQ90" s="1018">
        <f t="shared" ca="1" si="113"/>
        <v>191.51999999999995</v>
      </c>
      <c r="BR90" s="1018">
        <f t="shared" ca="1" si="114"/>
        <v>43.295999999999999</v>
      </c>
      <c r="BS90" s="1018">
        <f t="shared" ca="1" si="115"/>
        <v>42.459999999999994</v>
      </c>
      <c r="BT90" s="1018">
        <f t="shared" ca="1" si="116"/>
        <v>38.4</v>
      </c>
      <c r="BU90" s="1018">
        <f t="shared" ca="1" si="117"/>
        <v>7</v>
      </c>
      <c r="BV90" s="1018">
        <f t="shared" ca="1" si="118"/>
        <v>4.3</v>
      </c>
      <c r="BW90" s="1018">
        <v>0</v>
      </c>
      <c r="BX90" s="1018">
        <f t="shared" ca="1" si="119"/>
        <v>177.25714285714281</v>
      </c>
      <c r="BY90" s="1018">
        <f t="shared" ca="1" si="120"/>
        <v>95.716084484159211</v>
      </c>
      <c r="BZ90" s="1018">
        <f t="shared" ca="1" si="106"/>
        <v>42.251885199774904</v>
      </c>
      <c r="CA90" s="1018">
        <f t="shared" ca="1" si="107"/>
        <v>19.249999989412501</v>
      </c>
      <c r="CB90" s="1018">
        <f t="shared" ca="1" si="121"/>
        <v>9.0267175572519083</v>
      </c>
      <c r="CC90" s="1018">
        <f t="shared" si="108"/>
        <v>0</v>
      </c>
      <c r="CD90" s="1018">
        <f t="shared" ca="1" si="124"/>
        <v>343.50183008774138</v>
      </c>
      <c r="CE90" s="1018">
        <f t="shared" ca="1" si="125"/>
        <v>58.755316272361483</v>
      </c>
      <c r="CF90" s="1018">
        <f t="shared" ca="1" si="109"/>
        <v>12.067714390803086</v>
      </c>
      <c r="CG90" s="1018">
        <f t="shared" ca="1" si="110"/>
        <v>20092.261752111503</v>
      </c>
    </row>
    <row r="91" spans="3:85" x14ac:dyDescent="0.25">
      <c r="C91" s="647"/>
      <c r="D91" s="648"/>
      <c r="E91" s="647"/>
      <c r="F91" s="648"/>
      <c r="G91" s="647"/>
      <c r="H91" s="652"/>
      <c r="I91" s="647"/>
      <c r="J91" s="648"/>
      <c r="K91" s="650"/>
      <c r="L91" s="652"/>
      <c r="M91" s="648"/>
      <c r="N91" s="648"/>
      <c r="O91" s="648"/>
      <c r="P91" s="648"/>
      <c r="Q91" s="648" t="s">
        <v>22</v>
      </c>
      <c r="R91" s="649">
        <v>0.53710000000000002</v>
      </c>
      <c r="S91" s="648"/>
      <c r="T91" s="653">
        <v>1.9929678822999904E-3</v>
      </c>
      <c r="U91" s="647"/>
      <c r="V91" s="176">
        <f t="shared" si="11"/>
        <v>1.9929678822999904E-3</v>
      </c>
      <c r="W91" s="176">
        <f>V91-V91*Calculation_sheet!J$66</f>
        <v>1.9929678822999904E-3</v>
      </c>
      <c r="X91" s="176">
        <f>W91-W91*Calculation_sheet!J$76</f>
        <v>1.9929678822999904E-3</v>
      </c>
      <c r="Y91" s="34">
        <f>X91/Calculation_sheet!M$67</f>
        <v>1.9930086313756147E-3</v>
      </c>
      <c r="Z91" s="176">
        <f ca="1">IF(AN91&gt;0,Y91*Calculation_sheet!C$87,0)</f>
        <v>0</v>
      </c>
      <c r="AA91" s="176">
        <f t="shared" ca="1" si="122"/>
        <v>1.9930086313756147E-3</v>
      </c>
      <c r="AB91" s="176">
        <f ca="1">IF(AP91&gt;0,AA91*Calculation_sheet!C$94,0)</f>
        <v>0</v>
      </c>
      <c r="AC91" s="176">
        <f t="shared" ca="1" si="111"/>
        <v>1.9930086313756147E-3</v>
      </c>
      <c r="AD91" s="958">
        <f ca="1">AC91*Calculation_sheet!C$99</f>
        <v>1.1958051788253687E-3</v>
      </c>
      <c r="AE91" s="176">
        <f t="shared" ca="1" si="111"/>
        <v>7.9720345255024599E-4</v>
      </c>
      <c r="AF91" s="176">
        <f t="shared" ca="1" si="123"/>
        <v>1.9930086313756147E-3</v>
      </c>
      <c r="AG91" s="958">
        <f ca="1">AF91*User_sheet!B$77/100</f>
        <v>0</v>
      </c>
      <c r="AH91" s="313"/>
      <c r="AI91">
        <v>301</v>
      </c>
      <c r="AK91" s="1018">
        <f t="shared" ca="1" si="105"/>
        <v>343.50183008774138</v>
      </c>
      <c r="AL91" s="924">
        <f ca="1">AK91/'301'!I$24</f>
        <v>2.7217551470432579</v>
      </c>
      <c r="AM91" s="924">
        <f ca="1">0.8*(AK91*30+'301'!D$17*0.34*30*1)</f>
        <v>10335.615122105793</v>
      </c>
      <c r="AN91" s="954">
        <f ca="1">IF(AM91&lt;User_sheet!B$50,Y91,0)</f>
        <v>0</v>
      </c>
      <c r="AO91" s="954">
        <f ca="1">20-(User_sheet!B$57/(AK91+'301'!D$17*1*0.34))</f>
        <v>6.764213026139835</v>
      </c>
      <c r="AP91" s="954">
        <f ca="1">IF(AO91&lt;User_sheet!B$59,0,BC91*AA91)</f>
        <v>0</v>
      </c>
      <c r="AR91" s="2">
        <v>14.1</v>
      </c>
      <c r="AS91" s="2">
        <v>3.7</v>
      </c>
      <c r="AT91" s="2">
        <v>7.9</v>
      </c>
      <c r="AU91" s="2">
        <v>2.75</v>
      </c>
      <c r="AV91" s="2">
        <v>3.3</v>
      </c>
      <c r="AW91" s="2">
        <v>7211.5338771527777</v>
      </c>
      <c r="AX91" s="2">
        <v>76466.30421774846</v>
      </c>
      <c r="AY91" s="2">
        <v>67352.647733737584</v>
      </c>
      <c r="AZ91" s="2">
        <v>0</v>
      </c>
      <c r="BA91" s="2">
        <v>0</v>
      </c>
      <c r="BB91" s="2">
        <v>0.6</v>
      </c>
      <c r="BC91" s="30">
        <v>0</v>
      </c>
      <c r="BD91" s="34">
        <v>1</v>
      </c>
      <c r="BE91" s="34">
        <v>0</v>
      </c>
      <c r="BF91" s="40">
        <v>0</v>
      </c>
      <c r="BG91" s="2">
        <v>0</v>
      </c>
      <c r="BH91" s="2">
        <v>1</v>
      </c>
      <c r="BI91" s="40">
        <v>0</v>
      </c>
      <c r="BJ91" s="2">
        <v>0</v>
      </c>
      <c r="BK91" s="2">
        <v>1</v>
      </c>
      <c r="BL91" s="2">
        <v>0</v>
      </c>
      <c r="BM91" s="40">
        <v>0</v>
      </c>
      <c r="BN91" s="958">
        <v>0</v>
      </c>
      <c r="BO91" s="959">
        <v>14.9</v>
      </c>
      <c r="BP91" s="1018">
        <f t="shared" ca="1" si="112"/>
        <v>115.19999999999999</v>
      </c>
      <c r="BQ91" s="1018">
        <f t="shared" ca="1" si="113"/>
        <v>191.51999999999995</v>
      </c>
      <c r="BR91" s="1018">
        <f t="shared" ca="1" si="114"/>
        <v>43.295999999999999</v>
      </c>
      <c r="BS91" s="1018">
        <f t="shared" ca="1" si="115"/>
        <v>42.459999999999994</v>
      </c>
      <c r="BT91" s="1018">
        <f t="shared" ca="1" si="116"/>
        <v>38.4</v>
      </c>
      <c r="BU91" s="1018">
        <f t="shared" ca="1" si="117"/>
        <v>7</v>
      </c>
      <c r="BV91" s="1018">
        <f t="shared" ca="1" si="118"/>
        <v>4.3</v>
      </c>
      <c r="BW91" s="1018">
        <v>0</v>
      </c>
      <c r="BX91" s="1018">
        <f t="shared" ca="1" si="119"/>
        <v>177.25714285714281</v>
      </c>
      <c r="BY91" s="1018">
        <f t="shared" ca="1" si="120"/>
        <v>95.716084484159211</v>
      </c>
      <c r="BZ91" s="1018">
        <f t="shared" ca="1" si="106"/>
        <v>42.251885199774904</v>
      </c>
      <c r="CA91" s="1018">
        <f t="shared" ca="1" si="107"/>
        <v>19.249999989412501</v>
      </c>
      <c r="CB91" s="1018">
        <f t="shared" ca="1" si="121"/>
        <v>9.0267175572519083</v>
      </c>
      <c r="CC91" s="1018">
        <f t="shared" si="108"/>
        <v>0</v>
      </c>
      <c r="CD91" s="1018">
        <f t="shared" ca="1" si="124"/>
        <v>343.50183008774138</v>
      </c>
      <c r="CE91" s="1018">
        <f t="shared" ca="1" si="125"/>
        <v>58.755316272361483</v>
      </c>
      <c r="CF91" s="1018">
        <f t="shared" ca="1" si="109"/>
        <v>12.067714390803086</v>
      </c>
      <c r="CG91" s="1018">
        <f t="shared" ca="1" si="110"/>
        <v>20092.261752111503</v>
      </c>
    </row>
    <row r="92" spans="3:85" x14ac:dyDescent="0.25">
      <c r="C92" s="647"/>
      <c r="D92" s="648"/>
      <c r="E92" s="647"/>
      <c r="F92" s="648"/>
      <c r="G92" s="647"/>
      <c r="H92" s="648"/>
      <c r="I92" s="647"/>
      <c r="J92" s="648"/>
      <c r="K92" s="648"/>
      <c r="L92" s="648"/>
      <c r="M92" s="648" t="s">
        <v>22</v>
      </c>
      <c r="N92" s="649">
        <v>0.44680851100000002</v>
      </c>
      <c r="O92" s="648" t="s">
        <v>20</v>
      </c>
      <c r="P92" s="649">
        <v>0.19172932300000001</v>
      </c>
      <c r="Q92" s="648" t="s">
        <v>7</v>
      </c>
      <c r="R92" s="649">
        <v>0.46289999999999998</v>
      </c>
      <c r="S92" s="648"/>
      <c r="T92" s="653">
        <v>1.7176407237323881E-3</v>
      </c>
      <c r="U92" s="647"/>
      <c r="V92" s="176">
        <f t="shared" si="11"/>
        <v>1.7176407237323881E-3</v>
      </c>
      <c r="W92" s="176">
        <f>V92-V92*Calculation_sheet!J$66</f>
        <v>1.7176407237323881E-3</v>
      </c>
      <c r="X92" s="176">
        <f>W92-W92*Calculation_sheet!J$76</f>
        <v>1.7176407237323881E-3</v>
      </c>
      <c r="Y92" s="34">
        <f>X92/Calculation_sheet!M$67</f>
        <v>1.717675843350907E-3</v>
      </c>
      <c r="Z92" s="176">
        <f ca="1">IF(AN92&gt;0,Y92*Calculation_sheet!C$87,0)</f>
        <v>0</v>
      </c>
      <c r="AA92" s="176">
        <f t="shared" ca="1" si="122"/>
        <v>1.717675843350907E-3</v>
      </c>
      <c r="AB92" s="176">
        <f ca="1">IF(AP92&gt;0,AA92*Calculation_sheet!C$94,0)</f>
        <v>0</v>
      </c>
      <c r="AC92" s="176">
        <f t="shared" ca="1" si="111"/>
        <v>1.717675843350907E-3</v>
      </c>
      <c r="AD92" s="958">
        <f ca="1">AC92*Calculation_sheet!C$99</f>
        <v>1.0306055060105442E-3</v>
      </c>
      <c r="AE92" s="176">
        <f t="shared" ca="1" si="111"/>
        <v>6.870703373403628E-4</v>
      </c>
      <c r="AF92" s="176">
        <f t="shared" ca="1" si="123"/>
        <v>1.717675843350907E-3</v>
      </c>
      <c r="AG92" s="958">
        <f ca="1">AF92*User_sheet!B$77/100</f>
        <v>0</v>
      </c>
      <c r="AH92" s="313"/>
      <c r="AI92">
        <v>301</v>
      </c>
      <c r="AK92" s="1018">
        <f t="shared" ca="1" si="105"/>
        <v>343.50183008774138</v>
      </c>
      <c r="AL92" s="924">
        <f ca="1">AK92/'301'!I$24</f>
        <v>2.7217551470432579</v>
      </c>
      <c r="AM92" s="924">
        <f ca="1">0.8*(AK92*30+'301'!D$17*0.34*30*1)</f>
        <v>10335.615122105793</v>
      </c>
      <c r="AN92" s="954">
        <f ca="1">IF(AM92&lt;User_sheet!B$50,Y92,0)</f>
        <v>0</v>
      </c>
      <c r="AO92" s="954">
        <f ca="1">20-(User_sheet!B$57/(AK92+'301'!D$17*1*0.34))</f>
        <v>6.764213026139835</v>
      </c>
      <c r="AP92" s="954">
        <f ca="1">IF(AO92&lt;User_sheet!B$59,0,BC92*AA92)</f>
        <v>0</v>
      </c>
      <c r="AR92" s="2">
        <v>14.1</v>
      </c>
      <c r="AS92" s="2">
        <v>3.7</v>
      </c>
      <c r="AT92" s="2">
        <v>7.9</v>
      </c>
      <c r="AU92" s="2">
        <v>2.75</v>
      </c>
      <c r="AV92" s="2">
        <v>3.3</v>
      </c>
      <c r="AW92" s="2">
        <v>7211.5338771527777</v>
      </c>
      <c r="AX92" s="2">
        <v>76466.30421774846</v>
      </c>
      <c r="AY92" s="2">
        <v>67352.647733737584</v>
      </c>
      <c r="AZ92" s="2">
        <v>0</v>
      </c>
      <c r="BA92" s="2">
        <v>0</v>
      </c>
      <c r="BB92" s="2">
        <v>0.6</v>
      </c>
      <c r="BC92" s="30">
        <v>0</v>
      </c>
      <c r="BD92" s="34">
        <v>1</v>
      </c>
      <c r="BE92" s="34">
        <v>0</v>
      </c>
      <c r="BF92" s="40">
        <v>0</v>
      </c>
      <c r="BG92" s="2">
        <v>0</v>
      </c>
      <c r="BH92" s="2">
        <v>1</v>
      </c>
      <c r="BI92" s="40">
        <v>0</v>
      </c>
      <c r="BJ92" s="2">
        <v>0</v>
      </c>
      <c r="BK92" s="2">
        <v>0</v>
      </c>
      <c r="BL92" s="2">
        <v>1</v>
      </c>
      <c r="BM92" s="40">
        <v>0</v>
      </c>
      <c r="BN92" s="958">
        <v>0</v>
      </c>
      <c r="BO92" s="959">
        <v>14.9</v>
      </c>
      <c r="BP92" s="1018">
        <f t="shared" ca="1" si="112"/>
        <v>115.19999999999999</v>
      </c>
      <c r="BQ92" s="1018">
        <f t="shared" ca="1" si="113"/>
        <v>191.51999999999995</v>
      </c>
      <c r="BR92" s="1018">
        <f t="shared" ca="1" si="114"/>
        <v>43.295999999999999</v>
      </c>
      <c r="BS92" s="1018">
        <f t="shared" ca="1" si="115"/>
        <v>42.459999999999994</v>
      </c>
      <c r="BT92" s="1018">
        <f t="shared" ca="1" si="116"/>
        <v>38.4</v>
      </c>
      <c r="BU92" s="1018">
        <f t="shared" ca="1" si="117"/>
        <v>7</v>
      </c>
      <c r="BV92" s="1018">
        <f t="shared" ca="1" si="118"/>
        <v>4.3</v>
      </c>
      <c r="BW92" s="1018">
        <v>0</v>
      </c>
      <c r="BX92" s="1018">
        <f t="shared" ca="1" si="119"/>
        <v>177.25714285714281</v>
      </c>
      <c r="BY92" s="1018">
        <f t="shared" ca="1" si="120"/>
        <v>95.716084484159211</v>
      </c>
      <c r="BZ92" s="1018">
        <f t="shared" ca="1" si="106"/>
        <v>42.251885199774904</v>
      </c>
      <c r="CA92" s="1018">
        <f t="shared" ca="1" si="107"/>
        <v>19.249999989412501</v>
      </c>
      <c r="CB92" s="1018">
        <f t="shared" ca="1" si="121"/>
        <v>9.0267175572519083</v>
      </c>
      <c r="CC92" s="1018">
        <f t="shared" si="108"/>
        <v>0</v>
      </c>
      <c r="CD92" s="1018">
        <f t="shared" ca="1" si="124"/>
        <v>343.50183008774138</v>
      </c>
      <c r="CE92" s="1018">
        <f t="shared" ca="1" si="125"/>
        <v>58.755316272361483</v>
      </c>
      <c r="CF92" s="1018">
        <f t="shared" ca="1" si="109"/>
        <v>12.067714390803086</v>
      </c>
      <c r="CG92" s="1018">
        <f t="shared" ca="1" si="110"/>
        <v>20092.261752111503</v>
      </c>
    </row>
    <row r="93" spans="3:85" x14ac:dyDescent="0.25">
      <c r="D93" s="648"/>
      <c r="E93" s="647" t="s">
        <v>8</v>
      </c>
      <c r="F93" s="651">
        <v>0.86</v>
      </c>
      <c r="G93" s="647"/>
      <c r="H93" s="648"/>
      <c r="I93" s="647" t="s">
        <v>10</v>
      </c>
      <c r="J93" s="651">
        <v>0.40970000000000001</v>
      </c>
      <c r="K93" s="648"/>
      <c r="L93" s="648"/>
      <c r="M93" s="648" t="s">
        <v>7</v>
      </c>
      <c r="N93" s="649">
        <v>2.1276595999999998E-2</v>
      </c>
      <c r="O93" s="648" t="s">
        <v>23</v>
      </c>
      <c r="P93" s="648">
        <v>1</v>
      </c>
      <c r="Q93" s="648" t="s">
        <v>7</v>
      </c>
      <c r="R93" s="649">
        <v>1</v>
      </c>
      <c r="S93" s="648"/>
      <c r="T93" s="653">
        <v>9.2158907734531657E-4</v>
      </c>
      <c r="U93" s="647"/>
      <c r="V93" s="176">
        <f t="shared" si="11"/>
        <v>9.2158907734531657E-4</v>
      </c>
      <c r="W93" s="176">
        <f>V93-V93*Calculation_sheet!J$66</f>
        <v>9.2158907734531657E-4</v>
      </c>
      <c r="X93" s="176">
        <f>W93-W93*Calculation_sheet!J$76</f>
        <v>9.2158907734531657E-4</v>
      </c>
      <c r="Y93" s="34">
        <f>X93/Calculation_sheet!M$67</f>
        <v>9.2160792055063904E-4</v>
      </c>
      <c r="Z93" s="176">
        <f ca="1">IF(AN93&gt;0,Y93*Calculation_sheet!C$87,0)</f>
        <v>0</v>
      </c>
      <c r="AA93" s="176">
        <f t="shared" ca="1" si="122"/>
        <v>9.2160792055063904E-4</v>
      </c>
      <c r="AB93" s="176">
        <f ca="1">IF(AP93&gt;0,AA93*Calculation_sheet!C$94,0)</f>
        <v>0</v>
      </c>
      <c r="AC93" s="176">
        <f t="shared" ca="1" si="111"/>
        <v>9.2160792055063904E-4</v>
      </c>
      <c r="AD93" s="958">
        <f ca="1">AC93*Calculation_sheet!C$99</f>
        <v>5.529647523303834E-4</v>
      </c>
      <c r="AE93" s="176">
        <f t="shared" ca="1" si="111"/>
        <v>3.6864316822025564E-4</v>
      </c>
      <c r="AF93" s="176">
        <f t="shared" ca="1" si="123"/>
        <v>9.2160792055063904E-4</v>
      </c>
      <c r="AG93" s="958">
        <f ca="1">AF93*User_sheet!B$77/100</f>
        <v>0</v>
      </c>
      <c r="AH93" s="313"/>
      <c r="AI93">
        <v>301</v>
      </c>
      <c r="AK93" s="1018">
        <f t="shared" ca="1" si="105"/>
        <v>343.50183008774138</v>
      </c>
      <c r="AL93" s="924">
        <f ca="1">AK93/'301'!I$24</f>
        <v>2.7217551470432579</v>
      </c>
      <c r="AM93" s="924">
        <f ca="1">0.8*(AK93*30+'301'!D$17*0.34*30*1)</f>
        <v>10335.615122105793</v>
      </c>
      <c r="AN93" s="954">
        <f ca="1">IF(AM93&lt;User_sheet!B$50,Y93,0)</f>
        <v>0</v>
      </c>
      <c r="AO93" s="954">
        <f ca="1">20-(User_sheet!B$57/(AK93+'301'!D$17*1*0.34))</f>
        <v>6.764213026139835</v>
      </c>
      <c r="AP93" s="954">
        <f ca="1">IF(AO93&lt;User_sheet!B$59,0,BC93*AA93)</f>
        <v>0</v>
      </c>
      <c r="AR93" s="2">
        <v>14.1</v>
      </c>
      <c r="AS93" s="2">
        <v>3.7</v>
      </c>
      <c r="AT93" s="2">
        <v>7.9</v>
      </c>
      <c r="AU93" s="2">
        <v>2.75</v>
      </c>
      <c r="AV93" s="2">
        <v>3.3</v>
      </c>
      <c r="AW93" s="2">
        <v>7211.5338771527777</v>
      </c>
      <c r="AX93" s="2">
        <v>76466.30421774846</v>
      </c>
      <c r="AY93" s="2">
        <v>67352.647733737584</v>
      </c>
      <c r="AZ93" s="2">
        <v>0</v>
      </c>
      <c r="BA93" s="2">
        <v>0</v>
      </c>
      <c r="BB93" s="2">
        <v>0.6</v>
      </c>
      <c r="BC93" s="30">
        <v>0</v>
      </c>
      <c r="BD93" s="34">
        <v>0</v>
      </c>
      <c r="BE93" s="34">
        <v>1</v>
      </c>
      <c r="BF93" s="40">
        <v>0</v>
      </c>
      <c r="BG93" s="2">
        <v>0</v>
      </c>
      <c r="BH93" s="2">
        <v>0</v>
      </c>
      <c r="BI93" s="40">
        <v>1</v>
      </c>
      <c r="BJ93" s="2">
        <v>0</v>
      </c>
      <c r="BK93" s="2">
        <v>0</v>
      </c>
      <c r="BL93" s="2">
        <v>1</v>
      </c>
      <c r="BM93" s="40">
        <v>0</v>
      </c>
      <c r="BN93" s="958">
        <v>0</v>
      </c>
      <c r="BO93" s="959">
        <v>14.9</v>
      </c>
      <c r="BP93" s="1018">
        <f t="shared" ca="1" si="112"/>
        <v>115.19999999999999</v>
      </c>
      <c r="BQ93" s="1018">
        <f t="shared" ca="1" si="113"/>
        <v>191.51999999999995</v>
      </c>
      <c r="BR93" s="1018">
        <f t="shared" ca="1" si="114"/>
        <v>43.295999999999999</v>
      </c>
      <c r="BS93" s="1018">
        <f t="shared" ca="1" si="115"/>
        <v>42.459999999999994</v>
      </c>
      <c r="BT93" s="1018">
        <f t="shared" ca="1" si="116"/>
        <v>38.4</v>
      </c>
      <c r="BU93" s="1018">
        <f t="shared" ca="1" si="117"/>
        <v>7</v>
      </c>
      <c r="BV93" s="1018">
        <f t="shared" ca="1" si="118"/>
        <v>4.3</v>
      </c>
      <c r="BW93" s="1018">
        <v>0</v>
      </c>
      <c r="BX93" s="1018">
        <f t="shared" ca="1" si="119"/>
        <v>177.25714285714281</v>
      </c>
      <c r="BY93" s="1018">
        <f t="shared" ca="1" si="120"/>
        <v>95.716084484159211</v>
      </c>
      <c r="BZ93" s="1018">
        <f t="shared" ca="1" si="106"/>
        <v>42.251885199774904</v>
      </c>
      <c r="CA93" s="1018">
        <f t="shared" ca="1" si="107"/>
        <v>19.249999989412501</v>
      </c>
      <c r="CB93" s="1018">
        <f t="shared" ca="1" si="121"/>
        <v>9.0267175572519083</v>
      </c>
      <c r="CC93" s="1018">
        <f t="shared" si="108"/>
        <v>0</v>
      </c>
      <c r="CD93" s="1018">
        <f t="shared" ca="1" si="124"/>
        <v>343.50183008774138</v>
      </c>
      <c r="CE93" s="1018">
        <f t="shared" ca="1" si="125"/>
        <v>58.755316272361483</v>
      </c>
      <c r="CF93" s="1018">
        <f t="shared" ca="1" si="109"/>
        <v>12.067714390803086</v>
      </c>
      <c r="CG93" s="1018">
        <f t="shared" ca="1" si="110"/>
        <v>20092.261752111503</v>
      </c>
    </row>
    <row r="94" spans="3:85" x14ac:dyDescent="0.25">
      <c r="D94" s="648"/>
      <c r="E94" s="647"/>
      <c r="F94" s="648"/>
      <c r="G94" s="647"/>
      <c r="H94" s="648"/>
      <c r="I94" s="647"/>
      <c r="J94" s="648"/>
      <c r="K94" s="648"/>
      <c r="L94" s="648"/>
      <c r="M94" s="648"/>
      <c r="N94" s="648"/>
      <c r="O94" s="648" t="s">
        <v>18</v>
      </c>
      <c r="P94" s="649">
        <v>0.15910607099999999</v>
      </c>
      <c r="Q94" s="648" t="s">
        <v>17</v>
      </c>
      <c r="R94" s="649">
        <v>1</v>
      </c>
      <c r="S94" s="648"/>
      <c r="T94" s="653">
        <v>5.8652166180008414E-4</v>
      </c>
      <c r="U94" s="647"/>
      <c r="V94" s="176">
        <f t="shared" si="11"/>
        <v>5.8652166180008414E-4</v>
      </c>
      <c r="W94" s="176">
        <f>V94-V94*Calculation_sheet!J$66</f>
        <v>5.8652166180008414E-4</v>
      </c>
      <c r="X94" s="176">
        <f>W94-W94*Calculation_sheet!J$76</f>
        <v>5.8652166180008414E-4</v>
      </c>
      <c r="Y94" s="34">
        <f>X94/Calculation_sheet!M$67</f>
        <v>5.8653365407339883E-4</v>
      </c>
      <c r="Z94" s="176">
        <f ca="1">IF(AN94&gt;0,Y94*Calculation_sheet!C$87,0)</f>
        <v>0</v>
      </c>
      <c r="AA94" s="176">
        <f t="shared" ca="1" si="122"/>
        <v>5.8653365407339883E-4</v>
      </c>
      <c r="AB94" s="176">
        <f ca="1">IF(AP94&gt;0,AA94*Calculation_sheet!C$94,0)</f>
        <v>0</v>
      </c>
      <c r="AC94" s="176">
        <f t="shared" ca="1" si="111"/>
        <v>5.8653365407339883E-4</v>
      </c>
      <c r="AD94" s="958">
        <f ca="1">AC94*Calculation_sheet!C$99</f>
        <v>3.5192019244403931E-4</v>
      </c>
      <c r="AE94" s="176">
        <f t="shared" ca="1" si="111"/>
        <v>2.3461346162935952E-4</v>
      </c>
      <c r="AF94" s="176">
        <f t="shared" ca="1" si="123"/>
        <v>5.8653365407339883E-4</v>
      </c>
      <c r="AG94" s="958">
        <f ca="1">AF94*User_sheet!B$77/100</f>
        <v>0</v>
      </c>
      <c r="AH94" s="313"/>
      <c r="AI94">
        <v>301</v>
      </c>
      <c r="AK94" s="1018">
        <f t="shared" ca="1" si="105"/>
        <v>343.50183008774138</v>
      </c>
      <c r="AL94" s="924">
        <f ca="1">AK94/'301'!I$24</f>
        <v>2.7217551470432579</v>
      </c>
      <c r="AM94" s="924">
        <f ca="1">0.8*(AK94*30+'301'!D$17*0.34*30*1)</f>
        <v>10335.615122105793</v>
      </c>
      <c r="AN94" s="954">
        <f ca="1">IF(AM94&lt;User_sheet!B$50,Y94,0)</f>
        <v>0</v>
      </c>
      <c r="AO94" s="954">
        <f ca="1">20-(User_sheet!B$57/(AK94+'301'!D$17*1*0.34))</f>
        <v>6.764213026139835</v>
      </c>
      <c r="AP94" s="954">
        <f ca="1">IF(AO94&lt;User_sheet!B$59,0,BC94*AA94)</f>
        <v>0</v>
      </c>
      <c r="AR94" s="2">
        <v>14.1</v>
      </c>
      <c r="AS94" s="2">
        <v>3.7</v>
      </c>
      <c r="AT94" s="2">
        <v>7.9</v>
      </c>
      <c r="AU94" s="2">
        <v>2.75</v>
      </c>
      <c r="AV94" s="2">
        <v>3.3</v>
      </c>
      <c r="AW94" s="2">
        <v>7211.5338771527777</v>
      </c>
      <c r="AX94" s="2">
        <v>76466.30421774846</v>
      </c>
      <c r="AY94" s="2">
        <v>67352.647733737584</v>
      </c>
      <c r="AZ94" s="2">
        <v>0</v>
      </c>
      <c r="BA94" s="2">
        <v>0</v>
      </c>
      <c r="BB94" s="2">
        <v>0.6</v>
      </c>
      <c r="BC94" s="30">
        <v>0</v>
      </c>
      <c r="BD94" s="34">
        <v>0</v>
      </c>
      <c r="BE94" s="34">
        <v>0</v>
      </c>
      <c r="BF94" s="40">
        <v>1</v>
      </c>
      <c r="BG94" s="2">
        <v>1</v>
      </c>
      <c r="BH94" s="2">
        <v>0</v>
      </c>
      <c r="BI94" s="40">
        <v>0</v>
      </c>
      <c r="BJ94" s="2">
        <v>0</v>
      </c>
      <c r="BK94" s="2">
        <v>0</v>
      </c>
      <c r="BL94" s="2">
        <v>0</v>
      </c>
      <c r="BM94" s="40">
        <v>1</v>
      </c>
      <c r="BN94" s="958">
        <v>0</v>
      </c>
      <c r="BO94" s="959">
        <v>14.9</v>
      </c>
      <c r="BP94" s="1018">
        <f t="shared" ca="1" si="112"/>
        <v>115.19999999999999</v>
      </c>
      <c r="BQ94" s="1018">
        <f t="shared" ca="1" si="113"/>
        <v>191.51999999999995</v>
      </c>
      <c r="BR94" s="1018">
        <f t="shared" ca="1" si="114"/>
        <v>43.295999999999999</v>
      </c>
      <c r="BS94" s="1018">
        <f t="shared" ca="1" si="115"/>
        <v>42.459999999999994</v>
      </c>
      <c r="BT94" s="1018">
        <f t="shared" ca="1" si="116"/>
        <v>38.4</v>
      </c>
      <c r="BU94" s="1018">
        <f t="shared" ca="1" si="117"/>
        <v>7</v>
      </c>
      <c r="BV94" s="1018">
        <f t="shared" ca="1" si="118"/>
        <v>4.3</v>
      </c>
      <c r="BW94" s="1018">
        <v>0</v>
      </c>
      <c r="BX94" s="1018">
        <f t="shared" ca="1" si="119"/>
        <v>177.25714285714281</v>
      </c>
      <c r="BY94" s="1018">
        <f t="shared" ca="1" si="120"/>
        <v>95.716084484159211</v>
      </c>
      <c r="BZ94" s="1018">
        <f t="shared" ca="1" si="106"/>
        <v>42.251885199774904</v>
      </c>
      <c r="CA94" s="1018">
        <f t="shared" ca="1" si="107"/>
        <v>19.249999989412501</v>
      </c>
      <c r="CB94" s="1018">
        <f t="shared" ca="1" si="121"/>
        <v>9.0267175572519083</v>
      </c>
      <c r="CC94" s="1018">
        <f t="shared" si="108"/>
        <v>0</v>
      </c>
      <c r="CD94" s="1018">
        <f t="shared" ca="1" si="124"/>
        <v>343.50183008774138</v>
      </c>
      <c r="CE94" s="1018">
        <f t="shared" ca="1" si="125"/>
        <v>58.755316272361483</v>
      </c>
      <c r="CF94" s="1018">
        <f t="shared" ca="1" si="109"/>
        <v>12.067714390803086</v>
      </c>
      <c r="CG94" s="1018">
        <f t="shared" ca="1" si="110"/>
        <v>20092.261752111503</v>
      </c>
    </row>
    <row r="95" spans="3:85" x14ac:dyDescent="0.25">
      <c r="D95" s="648"/>
      <c r="E95" s="647"/>
      <c r="F95" s="648"/>
      <c r="G95" s="647"/>
      <c r="H95" s="648"/>
      <c r="I95" s="647"/>
      <c r="J95" s="648"/>
      <c r="K95" s="650" t="s">
        <v>13</v>
      </c>
      <c r="L95" s="651">
        <v>1</v>
      </c>
      <c r="M95" s="648" t="s">
        <v>17</v>
      </c>
      <c r="N95" s="649">
        <v>8.5106382999999994E-2</v>
      </c>
      <c r="O95" s="648" t="s">
        <v>19</v>
      </c>
      <c r="P95" s="649">
        <v>0.84089392900000004</v>
      </c>
      <c r="Q95" s="648" t="s">
        <v>17</v>
      </c>
      <c r="R95" s="649">
        <v>1</v>
      </c>
      <c r="S95" s="648"/>
      <c r="T95" s="653">
        <v>3.0998346042664963E-3</v>
      </c>
      <c r="U95" s="647"/>
      <c r="V95" s="176">
        <f t="shared" si="11"/>
        <v>3.0998346042664963E-3</v>
      </c>
      <c r="W95" s="176">
        <f>V95-V95*Calculation_sheet!J$66</f>
        <v>3.0998346042664963E-3</v>
      </c>
      <c r="X95" s="176">
        <f>W95-W95*Calculation_sheet!J$76</f>
        <v>3.0998346042664963E-3</v>
      </c>
      <c r="Y95" s="34">
        <f>X95/Calculation_sheet!M$67</f>
        <v>3.099897984813586E-3</v>
      </c>
      <c r="Z95" s="176">
        <f ca="1">IF(AN95&gt;0,Y95*Calculation_sheet!C$87,0)</f>
        <v>0</v>
      </c>
      <c r="AA95" s="176">
        <f t="shared" ca="1" si="122"/>
        <v>3.099897984813586E-3</v>
      </c>
      <c r="AB95" s="176">
        <f ca="1">IF(AP95&gt;0,AA95*Calculation_sheet!C$94,0)</f>
        <v>0</v>
      </c>
      <c r="AC95" s="176">
        <f t="shared" ca="1" si="111"/>
        <v>3.099897984813586E-3</v>
      </c>
      <c r="AD95" s="958">
        <f ca="1">AC95*Calculation_sheet!C$99</f>
        <v>1.8599387908881516E-3</v>
      </c>
      <c r="AE95" s="176">
        <f t="shared" ca="1" si="111"/>
        <v>1.2399591939254344E-3</v>
      </c>
      <c r="AF95" s="176">
        <f t="shared" ca="1" si="123"/>
        <v>3.099897984813586E-3</v>
      </c>
      <c r="AG95" s="958">
        <f ca="1">AF95*User_sheet!B$77/100</f>
        <v>0</v>
      </c>
      <c r="AH95" s="313"/>
      <c r="AI95">
        <v>301</v>
      </c>
      <c r="AK95" s="1018">
        <f t="shared" ca="1" si="105"/>
        <v>343.50183008774138</v>
      </c>
      <c r="AL95" s="924">
        <f ca="1">AK95/'301'!I$24</f>
        <v>2.7217551470432579</v>
      </c>
      <c r="AM95" s="924">
        <f ca="1">0.8*(AK95*30+'301'!D$17*0.34*30*1)</f>
        <v>10335.615122105793</v>
      </c>
      <c r="AN95" s="954">
        <f ca="1">IF(AM95&lt;User_sheet!B$50,Y95,0)</f>
        <v>0</v>
      </c>
      <c r="AO95" s="954">
        <f ca="1">20-(User_sheet!B$57/(AK95+'301'!D$17*1*0.34))</f>
        <v>6.764213026139835</v>
      </c>
      <c r="AP95" s="954">
        <f ca="1">IF(AO95&lt;User_sheet!B$59,0,BC95*AA95)</f>
        <v>0</v>
      </c>
      <c r="AR95" s="2">
        <v>14.1</v>
      </c>
      <c r="AS95" s="2">
        <v>3.7</v>
      </c>
      <c r="AT95" s="2">
        <v>7.9</v>
      </c>
      <c r="AU95" s="2">
        <v>2.75</v>
      </c>
      <c r="AV95" s="2">
        <v>3.3</v>
      </c>
      <c r="AW95" s="2">
        <v>7211.5338771527777</v>
      </c>
      <c r="AX95" s="2">
        <v>76466.30421774846</v>
      </c>
      <c r="AY95" s="2">
        <v>67352.647733737584</v>
      </c>
      <c r="AZ95" s="2">
        <v>0</v>
      </c>
      <c r="BA95" s="2">
        <v>0</v>
      </c>
      <c r="BB95" s="2">
        <v>0.6</v>
      </c>
      <c r="BC95" s="30">
        <v>0</v>
      </c>
      <c r="BD95" s="34">
        <v>0</v>
      </c>
      <c r="BE95" s="34">
        <v>0</v>
      </c>
      <c r="BF95" s="40">
        <v>1</v>
      </c>
      <c r="BG95" s="2">
        <v>0</v>
      </c>
      <c r="BH95" s="2">
        <v>1</v>
      </c>
      <c r="BI95" s="40">
        <v>0</v>
      </c>
      <c r="BJ95" s="2">
        <v>0</v>
      </c>
      <c r="BK95" s="2">
        <v>0</v>
      </c>
      <c r="BL95" s="2">
        <v>0</v>
      </c>
      <c r="BM95" s="40">
        <v>1</v>
      </c>
      <c r="BN95" s="958">
        <v>0</v>
      </c>
      <c r="BO95" s="959">
        <v>14.9</v>
      </c>
      <c r="BP95" s="1018">
        <f t="shared" ca="1" si="112"/>
        <v>115.19999999999999</v>
      </c>
      <c r="BQ95" s="1018">
        <f t="shared" ca="1" si="113"/>
        <v>191.51999999999995</v>
      </c>
      <c r="BR95" s="1018">
        <f t="shared" ca="1" si="114"/>
        <v>43.295999999999999</v>
      </c>
      <c r="BS95" s="1018">
        <f t="shared" ca="1" si="115"/>
        <v>42.459999999999994</v>
      </c>
      <c r="BT95" s="1018">
        <f t="shared" ca="1" si="116"/>
        <v>38.4</v>
      </c>
      <c r="BU95" s="1018">
        <f t="shared" ca="1" si="117"/>
        <v>7</v>
      </c>
      <c r="BV95" s="1018">
        <f t="shared" ca="1" si="118"/>
        <v>4.3</v>
      </c>
      <c r="BW95" s="1018">
        <v>0</v>
      </c>
      <c r="BX95" s="1018">
        <f t="shared" ca="1" si="119"/>
        <v>177.25714285714281</v>
      </c>
      <c r="BY95" s="1018">
        <f t="shared" ca="1" si="120"/>
        <v>95.716084484159211</v>
      </c>
      <c r="BZ95" s="1018">
        <f t="shared" ca="1" si="106"/>
        <v>42.251885199774904</v>
      </c>
      <c r="CA95" s="1018">
        <f t="shared" ca="1" si="107"/>
        <v>19.249999989412501</v>
      </c>
      <c r="CB95" s="1018">
        <f t="shared" ca="1" si="121"/>
        <v>9.0267175572519083</v>
      </c>
      <c r="CC95" s="1018">
        <f t="shared" si="108"/>
        <v>0</v>
      </c>
      <c r="CD95" s="1018">
        <f t="shared" ca="1" si="124"/>
        <v>343.50183008774138</v>
      </c>
      <c r="CE95" s="1018">
        <f t="shared" ca="1" si="125"/>
        <v>58.755316272361483</v>
      </c>
      <c r="CF95" s="1018">
        <f t="shared" ca="1" si="109"/>
        <v>12.067714390803086</v>
      </c>
      <c r="CG95" s="1018">
        <f t="shared" ca="1" si="110"/>
        <v>20092.261752111503</v>
      </c>
    </row>
    <row r="96" spans="3:85" s="14" customFormat="1" x14ac:dyDescent="0.25">
      <c r="D96" s="15"/>
      <c r="F96" s="15"/>
      <c r="H96" s="15"/>
      <c r="J96" s="15"/>
      <c r="K96" s="16"/>
      <c r="L96" s="15"/>
      <c r="M96" s="15"/>
      <c r="N96" s="15"/>
      <c r="O96" s="15"/>
      <c r="P96" s="15"/>
      <c r="Q96" s="15"/>
      <c r="R96" s="15"/>
      <c r="S96" s="15"/>
      <c r="T96" s="80"/>
      <c r="U96" s="295"/>
      <c r="V96" s="292"/>
      <c r="W96" s="292"/>
      <c r="X96" s="292"/>
      <c r="Y96" s="277"/>
      <c r="Z96" s="292"/>
      <c r="AA96" s="292"/>
      <c r="AB96" s="292"/>
      <c r="AC96" s="292"/>
      <c r="AD96" s="277"/>
      <c r="AE96" s="292"/>
      <c r="AF96" s="292"/>
      <c r="AG96" s="277"/>
      <c r="AH96" s="313"/>
      <c r="AJ96" s="314"/>
      <c r="AK96" s="1018">
        <f t="shared" si="105"/>
        <v>0</v>
      </c>
      <c r="AL96" s="928"/>
      <c r="AM96" s="928"/>
      <c r="AN96" s="986"/>
      <c r="AO96" s="986"/>
      <c r="AP96" s="986"/>
      <c r="AQ96" s="314"/>
      <c r="AR96" s="28"/>
      <c r="AS96" s="28"/>
      <c r="AT96" s="28"/>
      <c r="AU96" s="28"/>
      <c r="AV96" s="28"/>
      <c r="AW96" s="28"/>
      <c r="AX96" s="28"/>
      <c r="AY96" s="28"/>
      <c r="AZ96" s="28"/>
      <c r="BA96" s="28"/>
      <c r="BB96" s="28"/>
      <c r="BC96" s="45"/>
      <c r="BD96" s="277"/>
      <c r="BE96" s="277"/>
      <c r="BF96" s="49"/>
      <c r="BG96" s="28"/>
      <c r="BH96" s="28"/>
      <c r="BI96" s="49"/>
      <c r="BJ96" s="28"/>
      <c r="BK96" s="28"/>
      <c r="BL96" s="28"/>
      <c r="BM96" s="49"/>
      <c r="BN96" s="277"/>
      <c r="BO96" s="49"/>
      <c r="BP96" s="928"/>
      <c r="BQ96" s="928"/>
      <c r="BR96" s="928"/>
      <c r="BS96" s="928"/>
      <c r="BT96" s="928"/>
      <c r="BU96" s="928"/>
      <c r="BV96" s="928"/>
      <c r="BW96" s="928"/>
      <c r="BX96" s="928"/>
      <c r="BY96" s="928"/>
      <c r="BZ96" s="928"/>
      <c r="CA96" s="928"/>
      <c r="CB96" s="928"/>
      <c r="CC96" s="928"/>
      <c r="CD96" s="928"/>
      <c r="CE96" s="928"/>
      <c r="CF96" s="928"/>
      <c r="CG96" s="928"/>
    </row>
    <row r="97" spans="4:85" x14ac:dyDescent="0.25">
      <c r="D97" s="1"/>
      <c r="F97" s="1"/>
      <c r="G97" s="3"/>
      <c r="H97" s="6"/>
      <c r="I97" s="3"/>
      <c r="J97" s="6"/>
      <c r="K97" s="8"/>
      <c r="L97" s="6"/>
      <c r="M97" s="1"/>
      <c r="N97" s="1"/>
      <c r="O97" s="1"/>
      <c r="P97" s="1"/>
      <c r="Q97" s="1" t="s">
        <v>16</v>
      </c>
      <c r="R97" s="4"/>
      <c r="S97" s="1"/>
      <c r="T97" s="77"/>
      <c r="U97" s="294"/>
      <c r="X97" s="176">
        <f>W85-X85</f>
        <v>0</v>
      </c>
      <c r="Y97" s="34">
        <f>X97/Calculation_sheet!M$67</f>
        <v>0</v>
      </c>
      <c r="Z97" s="176">
        <f ca="1">IF(AN97&gt;0,Y97*Calculation_sheet!C$87,0)</f>
        <v>0</v>
      </c>
      <c r="AA97" s="176">
        <f ca="1">Y97-Z97</f>
        <v>0</v>
      </c>
      <c r="AB97" s="176">
        <f ca="1">IF(AP97&gt;0,AA97*Calculation_sheet!C$94,0)</f>
        <v>0</v>
      </c>
      <c r="AC97" s="176">
        <f t="shared" ref="AC97:AE107" ca="1" si="126">AA97-AB97</f>
        <v>0</v>
      </c>
      <c r="AD97" s="958">
        <f ca="1">AC97*Calculation_sheet!C$99</f>
        <v>0</v>
      </c>
      <c r="AE97" s="176">
        <f t="shared" ca="1" si="126"/>
        <v>0</v>
      </c>
      <c r="AF97" s="176">
        <f ca="1">Y97-AB97</f>
        <v>0</v>
      </c>
      <c r="AG97" s="958">
        <f ca="1">AF97*User_sheet!B$77/100</f>
        <v>0</v>
      </c>
      <c r="AH97" s="313"/>
      <c r="AI97">
        <v>301</v>
      </c>
      <c r="AK97" s="1018">
        <f t="shared" ca="1" si="105"/>
        <v>174.12131684650063</v>
      </c>
      <c r="AL97" s="924">
        <f ca="1">AK97/'301'!I$24</f>
        <v>1.3796595791523434</v>
      </c>
      <c r="AM97" s="924">
        <f ca="1">0.8*(AK97*30+'301'!D$17*0.34*30*1)</f>
        <v>6270.4828043160151</v>
      </c>
      <c r="AN97" s="954">
        <f ca="1">IF(AM97&lt;User_sheet!B$50,Y97,0)</f>
        <v>0</v>
      </c>
      <c r="AO97" s="954">
        <f ca="1">20-(User_sheet!B$57/(AK97+'301'!D$17*1*0.34))</f>
        <v>-1.8165018977230361</v>
      </c>
      <c r="AP97" s="954">
        <f ca="1">IF(AO97&lt;User_sheet!B$59,0,BC97*AA97)</f>
        <v>0</v>
      </c>
      <c r="AR97" s="2">
        <v>0.32</v>
      </c>
      <c r="AS97" s="2">
        <v>3.7</v>
      </c>
      <c r="AT97" s="2">
        <v>7.9</v>
      </c>
      <c r="AU97" s="2">
        <v>2</v>
      </c>
      <c r="AV97" s="2">
        <v>3.3</v>
      </c>
      <c r="AW97" s="2">
        <v>14356</v>
      </c>
      <c r="AX97" s="2">
        <v>76466.30421774846</v>
      </c>
      <c r="AY97" s="2">
        <v>67352.647733737584</v>
      </c>
      <c r="AZ97" s="27">
        <v>0</v>
      </c>
      <c r="BA97" s="27">
        <v>0</v>
      </c>
      <c r="BB97" s="2">
        <v>0.6</v>
      </c>
      <c r="BC97" s="30">
        <v>1</v>
      </c>
      <c r="BD97" s="34">
        <v>0</v>
      </c>
      <c r="BE97" s="34">
        <v>0</v>
      </c>
      <c r="BF97" s="40">
        <v>0</v>
      </c>
      <c r="BG97" s="34">
        <v>1</v>
      </c>
      <c r="BH97" s="34">
        <v>0</v>
      </c>
      <c r="BI97" s="40">
        <v>0</v>
      </c>
      <c r="BJ97" s="34">
        <v>1</v>
      </c>
      <c r="BK97" s="34">
        <v>0</v>
      </c>
      <c r="BL97" s="34">
        <v>0</v>
      </c>
      <c r="BM97" s="40">
        <v>0</v>
      </c>
      <c r="BN97" s="958">
        <v>0</v>
      </c>
      <c r="BO97" s="959">
        <v>14.9</v>
      </c>
      <c r="BP97" s="1018">
        <f t="shared" ref="BP97:BP107" ca="1" si="127">INDIRECT("'"&amp;AI97&amp;"'!"&amp;"B2")</f>
        <v>115.19999999999999</v>
      </c>
      <c r="BQ97" s="1018">
        <f t="shared" ref="BQ97:BQ107" ca="1" si="128">INDIRECT("'"&amp;AI97&amp;"'!"&amp;"C12")+INDIRECT("'"&amp;AI97&amp;"'!"&amp;"C13")+INDIRECT("'"&amp;AI97&amp;"'!"&amp;"C14")+INDIRECT("'"&amp;AI97&amp;"'!"&amp;"C15")+INDIRECT("'"&amp;AI97&amp;"'!"&amp;"C17")</f>
        <v>191.51999999999995</v>
      </c>
      <c r="BR97" s="1018">
        <f t="shared" ref="BR97:BR107" ca="1" si="129">INDIRECT("'"&amp;AI97&amp;"'!"&amp;"G5")</f>
        <v>43.295999999999999</v>
      </c>
      <c r="BS97" s="1018">
        <f t="shared" ref="BS97:BS107" ca="1" si="130">INDIRECT("'"&amp;AI97&amp;"'!"&amp;"G4")</f>
        <v>42.459999999999994</v>
      </c>
      <c r="BT97" s="1018">
        <f t="shared" ref="BT97:BT107" ca="1" si="131">INDIRECT("'"&amp;AI97&amp;"'!"&amp;"G6")</f>
        <v>38.4</v>
      </c>
      <c r="BU97" s="1018">
        <f t="shared" ref="BU97:BU107" ca="1" si="132">INDIRECT("'"&amp;AI97&amp;"'!"&amp;"G2")</f>
        <v>7</v>
      </c>
      <c r="BV97" s="1018">
        <f t="shared" ref="BV97:BV107" ca="1" si="133">INDIRECT("'"&amp;AI97&amp;"'!"&amp;"G3")</f>
        <v>4.3</v>
      </c>
      <c r="BW97" s="1018">
        <v>0</v>
      </c>
      <c r="BX97" s="1018">
        <f t="shared" ref="BX97:BX107" ca="1" si="134">IF(BR97=0,0,1/(1/(BR97*$BY$3)+1/(BR97*AR97)+1/(BR97*$BY$4)))</f>
        <v>13.126629610914604</v>
      </c>
      <c r="BY97" s="1018">
        <f t="shared" ref="BY97:BY107" ca="1" si="135">IF(BS97=0,0,1/(1/(BS97*$BY$3)+1/(BS97*AS97)+1/(BS97*$BY$4)))</f>
        <v>95.716084484159211</v>
      </c>
      <c r="BZ97" s="1018">
        <f t="shared" ca="1" si="106"/>
        <v>42.251885199774904</v>
      </c>
      <c r="CA97" s="1018">
        <f t="shared" ca="1" si="107"/>
        <v>13.999999994400001</v>
      </c>
      <c r="CB97" s="1018">
        <f t="shared" ref="CB97:CB107" ca="1" si="136">IF(BV97=0,0,1/(1/(BV97*$BY$3)+1/(BV97*AV97)+1/(BV97*$BY$4)))</f>
        <v>9.0267175572519083</v>
      </c>
      <c r="CC97" s="1018">
        <f t="shared" si="108"/>
        <v>0</v>
      </c>
      <c r="CD97" s="1018">
        <f ca="1">SUM(BX97:CC97)+(BR97+BS97+BT97+BU97+BV97)*BN97</f>
        <v>174.12131684650063</v>
      </c>
      <c r="CE97" s="1018">
        <f ca="1">0.34*BO97*(1/25)^0.66*(BR97+BS97+BU97+BV97)</f>
        <v>58.755316272361483</v>
      </c>
      <c r="CF97" s="1018">
        <f t="shared" ca="1" si="109"/>
        <v>6.986298993565863</v>
      </c>
      <c r="CG97" s="1018">
        <f t="shared" ca="1" si="110"/>
        <v>11631.908372327422</v>
      </c>
    </row>
    <row r="98" spans="4:85" x14ac:dyDescent="0.25">
      <c r="D98" s="1"/>
      <c r="F98" s="1"/>
      <c r="G98" s="3"/>
      <c r="H98" s="6"/>
      <c r="I98" s="3"/>
      <c r="J98" s="6"/>
      <c r="K98" s="8"/>
      <c r="L98" s="6"/>
      <c r="M98" s="1"/>
      <c r="N98" s="1"/>
      <c r="O98" s="1" t="s">
        <v>18</v>
      </c>
      <c r="P98" s="4"/>
      <c r="Q98" s="1" t="s">
        <v>7</v>
      </c>
      <c r="R98" s="4"/>
      <c r="S98" s="1"/>
      <c r="T98" s="77"/>
      <c r="U98" s="294"/>
      <c r="X98" s="176">
        <f t="shared" ref="X98:X107" si="137">W86-X86</f>
        <v>0</v>
      </c>
      <c r="Y98" s="34">
        <f>X98/Calculation_sheet!M$67</f>
        <v>0</v>
      </c>
      <c r="Z98" s="176">
        <f ca="1">IF(AN98&gt;0,Y98*Calculation_sheet!C$87,0)</f>
        <v>0</v>
      </c>
      <c r="AA98" s="176">
        <f t="shared" ref="AA98:AA107" ca="1" si="138">Y98-Z98</f>
        <v>0</v>
      </c>
      <c r="AB98" s="176">
        <f ca="1">IF(AP98&gt;0,AA98*Calculation_sheet!C$94,0)</f>
        <v>0</v>
      </c>
      <c r="AC98" s="176">
        <f t="shared" ca="1" si="126"/>
        <v>0</v>
      </c>
      <c r="AD98" s="958">
        <f ca="1">AC98*Calculation_sheet!C$99</f>
        <v>0</v>
      </c>
      <c r="AE98" s="176">
        <f t="shared" ca="1" si="126"/>
        <v>0</v>
      </c>
      <c r="AF98" s="176">
        <f t="shared" ref="AF98:AF107" ca="1" si="139">Y98-AB98</f>
        <v>0</v>
      </c>
      <c r="AG98" s="958">
        <f ca="1">AF98*User_sheet!B$77/100</f>
        <v>0</v>
      </c>
      <c r="AH98" s="313"/>
      <c r="AI98">
        <v>301</v>
      </c>
      <c r="AK98" s="1018">
        <f t="shared" ca="1" si="105"/>
        <v>174.12131684650063</v>
      </c>
      <c r="AL98" s="924">
        <f ca="1">AK98/'301'!I$24</f>
        <v>1.3796595791523434</v>
      </c>
      <c r="AM98" s="924">
        <f ca="1">0.8*(AK98*30+'301'!D$17*0.34*30*1)</f>
        <v>6270.4828043160151</v>
      </c>
      <c r="AN98" s="954">
        <f ca="1">IF(AM98&lt;User_sheet!B$50,Y98,0)</f>
        <v>0</v>
      </c>
      <c r="AO98" s="954">
        <f ca="1">20-(User_sheet!B$57/(AK98+'301'!D$17*1*0.34))</f>
        <v>-1.8165018977230361</v>
      </c>
      <c r="AP98" s="954">
        <f ca="1">IF(AO98&lt;User_sheet!B$59,0,BC98*AA98)</f>
        <v>0</v>
      </c>
      <c r="AR98" s="2">
        <v>0.32</v>
      </c>
      <c r="AS98" s="2">
        <v>3.7</v>
      </c>
      <c r="AT98" s="2">
        <v>7.9</v>
      </c>
      <c r="AU98" s="2">
        <v>2</v>
      </c>
      <c r="AV98" s="2">
        <v>3.3</v>
      </c>
      <c r="AW98" s="2">
        <v>14356</v>
      </c>
      <c r="AX98" s="2">
        <v>76466.30421774846</v>
      </c>
      <c r="AY98" s="2">
        <v>67352.647733737584</v>
      </c>
      <c r="AZ98" s="27">
        <v>0</v>
      </c>
      <c r="BA98" s="27">
        <v>0</v>
      </c>
      <c r="BB98" s="2">
        <v>0.6</v>
      </c>
      <c r="BC98" s="30">
        <v>1</v>
      </c>
      <c r="BD98" s="34">
        <v>0</v>
      </c>
      <c r="BE98" s="34">
        <v>0</v>
      </c>
      <c r="BF98" s="40">
        <v>0</v>
      </c>
      <c r="BG98" s="34">
        <v>1</v>
      </c>
      <c r="BH98" s="34">
        <v>0</v>
      </c>
      <c r="BI98" s="40">
        <v>0</v>
      </c>
      <c r="BJ98" s="34">
        <v>0</v>
      </c>
      <c r="BK98" s="34">
        <v>0</v>
      </c>
      <c r="BL98" s="34">
        <v>1</v>
      </c>
      <c r="BM98" s="40">
        <v>0</v>
      </c>
      <c r="BN98" s="958">
        <v>0</v>
      </c>
      <c r="BO98" s="959">
        <v>14.9</v>
      </c>
      <c r="BP98" s="1018">
        <f t="shared" ca="1" si="127"/>
        <v>115.19999999999999</v>
      </c>
      <c r="BQ98" s="1018">
        <f t="shared" ca="1" si="128"/>
        <v>191.51999999999995</v>
      </c>
      <c r="BR98" s="1018">
        <f t="shared" ca="1" si="129"/>
        <v>43.295999999999999</v>
      </c>
      <c r="BS98" s="1018">
        <f t="shared" ca="1" si="130"/>
        <v>42.459999999999994</v>
      </c>
      <c r="BT98" s="1018">
        <f t="shared" ca="1" si="131"/>
        <v>38.4</v>
      </c>
      <c r="BU98" s="1018">
        <f t="shared" ca="1" si="132"/>
        <v>7</v>
      </c>
      <c r="BV98" s="1018">
        <f t="shared" ca="1" si="133"/>
        <v>4.3</v>
      </c>
      <c r="BW98" s="1018">
        <v>0</v>
      </c>
      <c r="BX98" s="1018">
        <f t="shared" ca="1" si="134"/>
        <v>13.126629610914604</v>
      </c>
      <c r="BY98" s="1018">
        <f t="shared" ca="1" si="135"/>
        <v>95.716084484159211</v>
      </c>
      <c r="BZ98" s="1018">
        <f t="shared" ca="1" si="106"/>
        <v>42.251885199774904</v>
      </c>
      <c r="CA98" s="1018">
        <f t="shared" ca="1" si="107"/>
        <v>13.999999994400001</v>
      </c>
      <c r="CB98" s="1018">
        <f t="shared" ca="1" si="136"/>
        <v>9.0267175572519083</v>
      </c>
      <c r="CC98" s="1018">
        <f t="shared" si="108"/>
        <v>0</v>
      </c>
      <c r="CD98" s="1018">
        <f t="shared" ref="CD98:CD107" ca="1" si="140">SUM(BX98:CC98)+(BR98+BS98+BT98+BU98+BV98)*BN98</f>
        <v>174.12131684650063</v>
      </c>
      <c r="CE98" s="1018">
        <f t="shared" ref="CE98:CE107" ca="1" si="141">0.34*BO98*(1/25)^0.66*(BR98+BS98+BU98+BV98)</f>
        <v>58.755316272361483</v>
      </c>
      <c r="CF98" s="1018">
        <f t="shared" ca="1" si="109"/>
        <v>6.986298993565863</v>
      </c>
      <c r="CG98" s="1018">
        <f t="shared" ca="1" si="110"/>
        <v>11631.908372327422</v>
      </c>
    </row>
    <row r="99" spans="4:85" x14ac:dyDescent="0.25">
      <c r="D99" s="1"/>
      <c r="F99" s="1"/>
      <c r="G99" s="3"/>
      <c r="H99" s="6"/>
      <c r="I99" s="3"/>
      <c r="J99" s="6"/>
      <c r="K99" s="8"/>
      <c r="L99" s="6"/>
      <c r="M99" s="1"/>
      <c r="N99" s="1"/>
      <c r="O99" s="1"/>
      <c r="P99" s="1"/>
      <c r="Q99" s="1" t="s">
        <v>16</v>
      </c>
      <c r="R99" s="4"/>
      <c r="S99" s="1"/>
      <c r="T99" s="77"/>
      <c r="U99" s="294"/>
      <c r="X99" s="176">
        <f t="shared" si="137"/>
        <v>0</v>
      </c>
      <c r="Y99" s="34">
        <f>X99/Calculation_sheet!M$67</f>
        <v>0</v>
      </c>
      <c r="Z99" s="176">
        <f ca="1">IF(AN99&gt;0,Y99*Calculation_sheet!C$87,0)</f>
        <v>0</v>
      </c>
      <c r="AA99" s="176">
        <f t="shared" ca="1" si="138"/>
        <v>0</v>
      </c>
      <c r="AB99" s="176">
        <f ca="1">IF(AP99&gt;0,AA99*Calculation_sheet!C$94,0)</f>
        <v>0</v>
      </c>
      <c r="AC99" s="176">
        <f t="shared" ca="1" si="126"/>
        <v>0</v>
      </c>
      <c r="AD99" s="958">
        <f ca="1">AC99*Calculation_sheet!C$99</f>
        <v>0</v>
      </c>
      <c r="AE99" s="176">
        <f t="shared" ca="1" si="126"/>
        <v>0</v>
      </c>
      <c r="AF99" s="176">
        <f t="shared" ca="1" si="139"/>
        <v>0</v>
      </c>
      <c r="AG99" s="958">
        <f ca="1">AF99*User_sheet!B$77/100</f>
        <v>0</v>
      </c>
      <c r="AH99" s="313"/>
      <c r="AI99">
        <v>301</v>
      </c>
      <c r="AK99" s="1018">
        <f t="shared" ca="1" si="105"/>
        <v>174.12131684650063</v>
      </c>
      <c r="AL99" s="924">
        <f ca="1">AK99/'301'!I$24</f>
        <v>1.3796595791523434</v>
      </c>
      <c r="AM99" s="924">
        <f ca="1">0.8*(AK99*30+'301'!D$17*0.34*30*1)</f>
        <v>6270.4828043160151</v>
      </c>
      <c r="AN99" s="954">
        <f ca="1">IF(AM99&lt;User_sheet!B$50,Y99,0)</f>
        <v>0</v>
      </c>
      <c r="AO99" s="954">
        <f ca="1">20-(User_sheet!B$57/(AK99+'301'!D$17*1*0.34))</f>
        <v>-1.8165018977230361</v>
      </c>
      <c r="AP99" s="954">
        <f ca="1">IF(AO99&lt;User_sheet!B$59,0,BC99*AA99)</f>
        <v>0</v>
      </c>
      <c r="AR99" s="2">
        <v>0.32</v>
      </c>
      <c r="AS99" s="2">
        <v>3.7</v>
      </c>
      <c r="AT99" s="2">
        <v>7.9</v>
      </c>
      <c r="AU99" s="2">
        <v>2</v>
      </c>
      <c r="AV99" s="2">
        <v>3.3</v>
      </c>
      <c r="AW99" s="2">
        <v>14356</v>
      </c>
      <c r="AX99" s="2">
        <v>76466.30421774846</v>
      </c>
      <c r="AY99" s="2">
        <v>67352.647733737584</v>
      </c>
      <c r="AZ99" s="27">
        <v>0</v>
      </c>
      <c r="BA99" s="27">
        <v>0</v>
      </c>
      <c r="BB99" s="2">
        <v>0.6</v>
      </c>
      <c r="BC99" s="30">
        <v>1</v>
      </c>
      <c r="BD99" s="34">
        <v>0</v>
      </c>
      <c r="BE99" s="34">
        <v>0</v>
      </c>
      <c r="BF99" s="40">
        <v>0</v>
      </c>
      <c r="BG99" s="34">
        <v>0</v>
      </c>
      <c r="BH99" s="34">
        <v>1</v>
      </c>
      <c r="BI99" s="40">
        <v>0</v>
      </c>
      <c r="BJ99" s="34">
        <v>1</v>
      </c>
      <c r="BK99" s="34">
        <v>0</v>
      </c>
      <c r="BL99" s="34">
        <v>0</v>
      </c>
      <c r="BM99" s="40">
        <v>0</v>
      </c>
      <c r="BN99" s="958">
        <v>0</v>
      </c>
      <c r="BO99" s="959">
        <v>14.9</v>
      </c>
      <c r="BP99" s="1018">
        <f t="shared" ca="1" si="127"/>
        <v>115.19999999999999</v>
      </c>
      <c r="BQ99" s="1018">
        <f t="shared" ca="1" si="128"/>
        <v>191.51999999999995</v>
      </c>
      <c r="BR99" s="1018">
        <f t="shared" ca="1" si="129"/>
        <v>43.295999999999999</v>
      </c>
      <c r="BS99" s="1018">
        <f t="shared" ca="1" si="130"/>
        <v>42.459999999999994</v>
      </c>
      <c r="BT99" s="1018">
        <f t="shared" ca="1" si="131"/>
        <v>38.4</v>
      </c>
      <c r="BU99" s="1018">
        <f t="shared" ca="1" si="132"/>
        <v>7</v>
      </c>
      <c r="BV99" s="1018">
        <f t="shared" ca="1" si="133"/>
        <v>4.3</v>
      </c>
      <c r="BW99" s="1018">
        <v>0</v>
      </c>
      <c r="BX99" s="1018">
        <f t="shared" ca="1" si="134"/>
        <v>13.126629610914604</v>
      </c>
      <c r="BY99" s="1018">
        <f t="shared" ca="1" si="135"/>
        <v>95.716084484159211</v>
      </c>
      <c r="BZ99" s="1018">
        <f t="shared" ca="1" si="106"/>
        <v>42.251885199774904</v>
      </c>
      <c r="CA99" s="1018">
        <f t="shared" ca="1" si="107"/>
        <v>13.999999994400001</v>
      </c>
      <c r="CB99" s="1018">
        <f t="shared" ca="1" si="136"/>
        <v>9.0267175572519083</v>
      </c>
      <c r="CC99" s="1018">
        <f t="shared" si="108"/>
        <v>0</v>
      </c>
      <c r="CD99" s="1018">
        <f t="shared" ca="1" si="140"/>
        <v>174.12131684650063</v>
      </c>
      <c r="CE99" s="1018">
        <f t="shared" ca="1" si="141"/>
        <v>58.755316272361483</v>
      </c>
      <c r="CF99" s="1018">
        <f t="shared" ca="1" si="109"/>
        <v>6.986298993565863</v>
      </c>
      <c r="CG99" s="1018">
        <f t="shared" ca="1" si="110"/>
        <v>11631.908372327422</v>
      </c>
    </row>
    <row r="100" spans="4:85" x14ac:dyDescent="0.25">
      <c r="D100" s="1"/>
      <c r="F100" s="1"/>
      <c r="G100" s="3"/>
      <c r="H100" s="6"/>
      <c r="I100" s="3"/>
      <c r="J100" s="6"/>
      <c r="K100" s="8"/>
      <c r="L100" s="6"/>
      <c r="M100" s="1" t="s">
        <v>16</v>
      </c>
      <c r="N100" s="4"/>
      <c r="O100" s="1" t="s">
        <v>19</v>
      </c>
      <c r="P100" s="4"/>
      <c r="Q100" s="1" t="s">
        <v>7</v>
      </c>
      <c r="R100" s="4"/>
      <c r="S100" s="1"/>
      <c r="T100" s="77"/>
      <c r="U100" s="294"/>
      <c r="X100" s="176">
        <f t="shared" si="137"/>
        <v>0</v>
      </c>
      <c r="Y100" s="34">
        <f>X100/Calculation_sheet!M$67</f>
        <v>0</v>
      </c>
      <c r="Z100" s="176">
        <f ca="1">IF(AN100&gt;0,Y100*Calculation_sheet!C$87,0)</f>
        <v>0</v>
      </c>
      <c r="AA100" s="176">
        <f t="shared" ca="1" si="138"/>
        <v>0</v>
      </c>
      <c r="AB100" s="176">
        <f ca="1">IF(AP100&gt;0,AA100*Calculation_sheet!C$94,0)</f>
        <v>0</v>
      </c>
      <c r="AC100" s="176">
        <f t="shared" ca="1" si="126"/>
        <v>0</v>
      </c>
      <c r="AD100" s="958">
        <f ca="1">AC100*Calculation_sheet!C$99</f>
        <v>0</v>
      </c>
      <c r="AE100" s="176">
        <f t="shared" ca="1" si="126"/>
        <v>0</v>
      </c>
      <c r="AF100" s="176">
        <f t="shared" ca="1" si="139"/>
        <v>0</v>
      </c>
      <c r="AG100" s="958">
        <f ca="1">AF100*User_sheet!B$77/100</f>
        <v>0</v>
      </c>
      <c r="AH100" s="313"/>
      <c r="AI100">
        <v>301</v>
      </c>
      <c r="AK100" s="1018">
        <f t="shared" ca="1" si="105"/>
        <v>174.12131684650063</v>
      </c>
      <c r="AL100" s="924">
        <f ca="1">AK100/'301'!I$24</f>
        <v>1.3796595791523434</v>
      </c>
      <c r="AM100" s="924">
        <f ca="1">0.8*(AK100*30+'301'!D$17*0.34*30*1)</f>
        <v>6270.4828043160151</v>
      </c>
      <c r="AN100" s="954">
        <f ca="1">IF(AM100&lt;User_sheet!B$50,Y100,0)</f>
        <v>0</v>
      </c>
      <c r="AO100" s="954">
        <f ca="1">20-(User_sheet!B$57/(AK100+'301'!D$17*1*0.34))</f>
        <v>-1.8165018977230361</v>
      </c>
      <c r="AP100" s="954">
        <f ca="1">IF(AO100&lt;User_sheet!B$59,0,BC100*AA100)</f>
        <v>0</v>
      </c>
      <c r="AR100" s="2">
        <v>0.32</v>
      </c>
      <c r="AS100" s="2">
        <v>3.7</v>
      </c>
      <c r="AT100" s="2">
        <v>7.9</v>
      </c>
      <c r="AU100" s="2">
        <v>2</v>
      </c>
      <c r="AV100" s="2">
        <v>3.3</v>
      </c>
      <c r="AW100" s="2">
        <v>14356</v>
      </c>
      <c r="AX100" s="2">
        <v>76466.30421774846</v>
      </c>
      <c r="AY100" s="2">
        <v>67352.647733737584</v>
      </c>
      <c r="AZ100" s="27">
        <v>0</v>
      </c>
      <c r="BA100" s="27">
        <v>0</v>
      </c>
      <c r="BB100" s="2">
        <v>0.6</v>
      </c>
      <c r="BC100" s="30">
        <v>1</v>
      </c>
      <c r="BD100" s="34">
        <v>0</v>
      </c>
      <c r="BE100" s="34">
        <v>0</v>
      </c>
      <c r="BF100" s="40">
        <v>0</v>
      </c>
      <c r="BG100" s="34">
        <v>0</v>
      </c>
      <c r="BH100" s="34">
        <v>1</v>
      </c>
      <c r="BI100" s="40">
        <v>0</v>
      </c>
      <c r="BJ100" s="34">
        <v>0</v>
      </c>
      <c r="BK100" s="34">
        <v>0</v>
      </c>
      <c r="BL100" s="34">
        <v>1</v>
      </c>
      <c r="BM100" s="40">
        <v>0</v>
      </c>
      <c r="BN100" s="958">
        <v>0</v>
      </c>
      <c r="BO100" s="959">
        <v>14.9</v>
      </c>
      <c r="BP100" s="1018">
        <f t="shared" ca="1" si="127"/>
        <v>115.19999999999999</v>
      </c>
      <c r="BQ100" s="1018">
        <f t="shared" ca="1" si="128"/>
        <v>191.51999999999995</v>
      </c>
      <c r="BR100" s="1018">
        <f t="shared" ca="1" si="129"/>
        <v>43.295999999999999</v>
      </c>
      <c r="BS100" s="1018">
        <f t="shared" ca="1" si="130"/>
        <v>42.459999999999994</v>
      </c>
      <c r="BT100" s="1018">
        <f t="shared" ca="1" si="131"/>
        <v>38.4</v>
      </c>
      <c r="BU100" s="1018">
        <f t="shared" ca="1" si="132"/>
        <v>7</v>
      </c>
      <c r="BV100" s="1018">
        <f t="shared" ca="1" si="133"/>
        <v>4.3</v>
      </c>
      <c r="BW100" s="1018">
        <v>0</v>
      </c>
      <c r="BX100" s="1018">
        <f t="shared" ca="1" si="134"/>
        <v>13.126629610914604</v>
      </c>
      <c r="BY100" s="1018">
        <f t="shared" ca="1" si="135"/>
        <v>95.716084484159211</v>
      </c>
      <c r="BZ100" s="1018">
        <f t="shared" ca="1" si="106"/>
        <v>42.251885199774904</v>
      </c>
      <c r="CA100" s="1018">
        <f t="shared" ca="1" si="107"/>
        <v>13.999999994400001</v>
      </c>
      <c r="CB100" s="1018">
        <f t="shared" ca="1" si="136"/>
        <v>9.0267175572519083</v>
      </c>
      <c r="CC100" s="1018">
        <f t="shared" si="108"/>
        <v>0</v>
      </c>
      <c r="CD100" s="1018">
        <f t="shared" ca="1" si="140"/>
        <v>174.12131684650063</v>
      </c>
      <c r="CE100" s="1018">
        <f t="shared" ca="1" si="141"/>
        <v>58.755316272361483</v>
      </c>
      <c r="CF100" s="1018">
        <f t="shared" ca="1" si="109"/>
        <v>6.986298993565863</v>
      </c>
      <c r="CG100" s="1018">
        <f t="shared" ca="1" si="110"/>
        <v>11631.908372327422</v>
      </c>
    </row>
    <row r="101" spans="4:85" x14ac:dyDescent="0.25">
      <c r="D101" s="1"/>
      <c r="F101" s="1"/>
      <c r="G101" s="3"/>
      <c r="H101" s="6"/>
      <c r="I101" s="3"/>
      <c r="J101" s="6"/>
      <c r="K101" s="8"/>
      <c r="L101" s="6"/>
      <c r="M101" s="1"/>
      <c r="N101" s="1"/>
      <c r="O101" s="1"/>
      <c r="P101" s="1"/>
      <c r="Q101" s="1" t="s">
        <v>22</v>
      </c>
      <c r="R101" s="4"/>
      <c r="S101" s="1"/>
      <c r="T101" s="77"/>
      <c r="U101" s="294"/>
      <c r="X101" s="176">
        <f t="shared" si="137"/>
        <v>0</v>
      </c>
      <c r="Y101" s="34">
        <f>X101/Calculation_sheet!M$67</f>
        <v>0</v>
      </c>
      <c r="Z101" s="176">
        <f ca="1">IF(AN101&gt;0,Y101*Calculation_sheet!C$87,0)</f>
        <v>0</v>
      </c>
      <c r="AA101" s="176">
        <f t="shared" ca="1" si="138"/>
        <v>0</v>
      </c>
      <c r="AB101" s="176">
        <f ca="1">IF(AP101&gt;0,AA101*Calculation_sheet!C$94,0)</f>
        <v>0</v>
      </c>
      <c r="AC101" s="176">
        <f t="shared" ca="1" si="126"/>
        <v>0</v>
      </c>
      <c r="AD101" s="958">
        <f ca="1">AC101*Calculation_sheet!C$99</f>
        <v>0</v>
      </c>
      <c r="AE101" s="176">
        <f t="shared" ca="1" si="126"/>
        <v>0</v>
      </c>
      <c r="AF101" s="176">
        <f t="shared" ca="1" si="139"/>
        <v>0</v>
      </c>
      <c r="AG101" s="958">
        <f ca="1">AF101*User_sheet!B$77/100</f>
        <v>0</v>
      </c>
      <c r="AH101" s="313"/>
      <c r="AI101">
        <v>301</v>
      </c>
      <c r="AK101" s="1018">
        <f t="shared" ca="1" si="105"/>
        <v>174.12131684650063</v>
      </c>
      <c r="AL101" s="924">
        <f ca="1">AK101/'301'!I$24</f>
        <v>1.3796595791523434</v>
      </c>
      <c r="AM101" s="924">
        <f ca="1">0.8*(AK101*30+'301'!D$17*0.34*30*1)</f>
        <v>6270.4828043160151</v>
      </c>
      <c r="AN101" s="954">
        <f ca="1">IF(AM101&lt;User_sheet!B$50,Y101,0)</f>
        <v>0</v>
      </c>
      <c r="AO101" s="954">
        <f ca="1">20-(User_sheet!B$57/(AK101+'301'!D$17*1*0.34))</f>
        <v>-1.8165018977230361</v>
      </c>
      <c r="AP101" s="954">
        <f ca="1">IF(AO101&lt;User_sheet!B$59,0,BC101*AA101)</f>
        <v>0</v>
      </c>
      <c r="AR101" s="2">
        <v>0.32</v>
      </c>
      <c r="AS101" s="2">
        <v>3.7</v>
      </c>
      <c r="AT101" s="2">
        <v>7.9</v>
      </c>
      <c r="AU101" s="2">
        <v>2</v>
      </c>
      <c r="AV101" s="2">
        <v>3.3</v>
      </c>
      <c r="AW101" s="2">
        <v>14356</v>
      </c>
      <c r="AX101" s="2">
        <v>76466.30421774846</v>
      </c>
      <c r="AY101" s="2">
        <v>67352.647733737584</v>
      </c>
      <c r="AZ101" s="27">
        <v>0</v>
      </c>
      <c r="BA101" s="27">
        <v>0</v>
      </c>
      <c r="BB101" s="2">
        <v>0.6</v>
      </c>
      <c r="BC101" s="30">
        <v>0</v>
      </c>
      <c r="BD101" s="34">
        <v>1</v>
      </c>
      <c r="BE101" s="34">
        <v>0</v>
      </c>
      <c r="BF101" s="40">
        <v>0</v>
      </c>
      <c r="BG101" s="34">
        <v>1</v>
      </c>
      <c r="BH101" s="34">
        <v>0</v>
      </c>
      <c r="BI101" s="40">
        <v>0</v>
      </c>
      <c r="BJ101" s="34">
        <v>0</v>
      </c>
      <c r="BK101" s="34">
        <v>1</v>
      </c>
      <c r="BL101" s="34">
        <v>0</v>
      </c>
      <c r="BM101" s="40">
        <v>0</v>
      </c>
      <c r="BN101" s="958">
        <v>0</v>
      </c>
      <c r="BO101" s="959">
        <v>14.9</v>
      </c>
      <c r="BP101" s="1018">
        <f t="shared" ca="1" si="127"/>
        <v>115.19999999999999</v>
      </c>
      <c r="BQ101" s="1018">
        <f t="shared" ca="1" si="128"/>
        <v>191.51999999999995</v>
      </c>
      <c r="BR101" s="1018">
        <f t="shared" ca="1" si="129"/>
        <v>43.295999999999999</v>
      </c>
      <c r="BS101" s="1018">
        <f t="shared" ca="1" si="130"/>
        <v>42.459999999999994</v>
      </c>
      <c r="BT101" s="1018">
        <f t="shared" ca="1" si="131"/>
        <v>38.4</v>
      </c>
      <c r="BU101" s="1018">
        <f t="shared" ca="1" si="132"/>
        <v>7</v>
      </c>
      <c r="BV101" s="1018">
        <f t="shared" ca="1" si="133"/>
        <v>4.3</v>
      </c>
      <c r="BW101" s="1018">
        <v>0</v>
      </c>
      <c r="BX101" s="1018">
        <f t="shared" ca="1" si="134"/>
        <v>13.126629610914604</v>
      </c>
      <c r="BY101" s="1018">
        <f t="shared" ca="1" si="135"/>
        <v>95.716084484159211</v>
      </c>
      <c r="BZ101" s="1018">
        <f t="shared" ca="1" si="106"/>
        <v>42.251885199774904</v>
      </c>
      <c r="CA101" s="1018">
        <f t="shared" ca="1" si="107"/>
        <v>13.999999994400001</v>
      </c>
      <c r="CB101" s="1018">
        <f t="shared" ca="1" si="136"/>
        <v>9.0267175572519083</v>
      </c>
      <c r="CC101" s="1018">
        <f t="shared" si="108"/>
        <v>0</v>
      </c>
      <c r="CD101" s="1018">
        <f t="shared" ca="1" si="140"/>
        <v>174.12131684650063</v>
      </c>
      <c r="CE101" s="1018">
        <f t="shared" ca="1" si="141"/>
        <v>58.755316272361483</v>
      </c>
      <c r="CF101" s="1018">
        <f t="shared" ca="1" si="109"/>
        <v>6.986298993565863</v>
      </c>
      <c r="CG101" s="1018">
        <f t="shared" ca="1" si="110"/>
        <v>11631.908372327422</v>
      </c>
    </row>
    <row r="102" spans="4:85" x14ac:dyDescent="0.25">
      <c r="D102" s="1"/>
      <c r="F102" s="1"/>
      <c r="G102" s="3"/>
      <c r="H102" s="6"/>
      <c r="I102" s="3"/>
      <c r="J102" s="3" t="s">
        <v>144</v>
      </c>
      <c r="K102" s="8"/>
      <c r="L102" s="6"/>
      <c r="M102" s="1"/>
      <c r="N102" s="1"/>
      <c r="O102" s="1" t="s">
        <v>18</v>
      </c>
      <c r="P102" s="4"/>
      <c r="Q102" s="1" t="s">
        <v>7</v>
      </c>
      <c r="R102" s="4"/>
      <c r="S102" s="1"/>
      <c r="T102" s="77"/>
      <c r="U102" s="294"/>
      <c r="X102" s="176">
        <f t="shared" si="137"/>
        <v>0</v>
      </c>
      <c r="Y102" s="34">
        <f>X102/Calculation_sheet!M$67</f>
        <v>0</v>
      </c>
      <c r="Z102" s="176">
        <f ca="1">IF(AN102&gt;0,Y102*Calculation_sheet!C$87,0)</f>
        <v>0</v>
      </c>
      <c r="AA102" s="176">
        <f t="shared" ca="1" si="138"/>
        <v>0</v>
      </c>
      <c r="AB102" s="176">
        <f ca="1">IF(AP102&gt;0,AA102*Calculation_sheet!C$94,0)</f>
        <v>0</v>
      </c>
      <c r="AC102" s="176">
        <f t="shared" ca="1" si="126"/>
        <v>0</v>
      </c>
      <c r="AD102" s="958">
        <f ca="1">AC102*Calculation_sheet!C$99</f>
        <v>0</v>
      </c>
      <c r="AE102" s="176">
        <f t="shared" ca="1" si="126"/>
        <v>0</v>
      </c>
      <c r="AF102" s="176">
        <f t="shared" ca="1" si="139"/>
        <v>0</v>
      </c>
      <c r="AG102" s="958">
        <f ca="1">AF102*User_sheet!B$77/100</f>
        <v>0</v>
      </c>
      <c r="AH102" s="313"/>
      <c r="AI102">
        <v>301</v>
      </c>
      <c r="AK102" s="1018">
        <f t="shared" ca="1" si="105"/>
        <v>174.12131684650063</v>
      </c>
      <c r="AL102" s="924">
        <f ca="1">AK102/'301'!I$24</f>
        <v>1.3796595791523434</v>
      </c>
      <c r="AM102" s="924">
        <f ca="1">0.8*(AK102*30+'301'!D$17*0.34*30*1)</f>
        <v>6270.4828043160151</v>
      </c>
      <c r="AN102" s="954">
        <f ca="1">IF(AM102&lt;User_sheet!B$50,Y102,0)</f>
        <v>0</v>
      </c>
      <c r="AO102" s="954">
        <f ca="1">20-(User_sheet!B$57/(AK102+'301'!D$17*1*0.34))</f>
        <v>-1.8165018977230361</v>
      </c>
      <c r="AP102" s="954">
        <f ca="1">IF(AO102&lt;User_sheet!B$59,0,BC102*AA102)</f>
        <v>0</v>
      </c>
      <c r="AR102" s="2">
        <v>0.32</v>
      </c>
      <c r="AS102" s="2">
        <v>3.7</v>
      </c>
      <c r="AT102" s="2">
        <v>7.9</v>
      </c>
      <c r="AU102" s="2">
        <v>2</v>
      </c>
      <c r="AV102" s="2">
        <v>3.3</v>
      </c>
      <c r="AW102" s="2">
        <v>14356</v>
      </c>
      <c r="AX102" s="2">
        <v>76466.30421774846</v>
      </c>
      <c r="AY102" s="2">
        <v>67352.647733737584</v>
      </c>
      <c r="AZ102" s="27">
        <v>0</v>
      </c>
      <c r="BA102" s="27">
        <v>0</v>
      </c>
      <c r="BB102" s="2">
        <v>0.6</v>
      </c>
      <c r="BC102" s="30">
        <v>0</v>
      </c>
      <c r="BD102" s="34">
        <v>1</v>
      </c>
      <c r="BE102" s="34">
        <v>0</v>
      </c>
      <c r="BF102" s="40">
        <v>0</v>
      </c>
      <c r="BG102" s="34">
        <v>1</v>
      </c>
      <c r="BH102" s="34">
        <v>0</v>
      </c>
      <c r="BI102" s="40">
        <v>0</v>
      </c>
      <c r="BJ102" s="34">
        <v>0</v>
      </c>
      <c r="BK102" s="34">
        <v>0</v>
      </c>
      <c r="BL102" s="34">
        <v>1</v>
      </c>
      <c r="BM102" s="40">
        <v>0</v>
      </c>
      <c r="BN102" s="958">
        <v>0</v>
      </c>
      <c r="BO102" s="959">
        <v>14.9</v>
      </c>
      <c r="BP102" s="1018">
        <f t="shared" ca="1" si="127"/>
        <v>115.19999999999999</v>
      </c>
      <c r="BQ102" s="1018">
        <f t="shared" ca="1" si="128"/>
        <v>191.51999999999995</v>
      </c>
      <c r="BR102" s="1018">
        <f t="shared" ca="1" si="129"/>
        <v>43.295999999999999</v>
      </c>
      <c r="BS102" s="1018">
        <f t="shared" ca="1" si="130"/>
        <v>42.459999999999994</v>
      </c>
      <c r="BT102" s="1018">
        <f t="shared" ca="1" si="131"/>
        <v>38.4</v>
      </c>
      <c r="BU102" s="1018">
        <f t="shared" ca="1" si="132"/>
        <v>7</v>
      </c>
      <c r="BV102" s="1018">
        <f t="shared" ca="1" si="133"/>
        <v>4.3</v>
      </c>
      <c r="BW102" s="1018">
        <v>0</v>
      </c>
      <c r="BX102" s="1018">
        <f t="shared" ca="1" si="134"/>
        <v>13.126629610914604</v>
      </c>
      <c r="BY102" s="1018">
        <f t="shared" ca="1" si="135"/>
        <v>95.716084484159211</v>
      </c>
      <c r="BZ102" s="1018">
        <f t="shared" ca="1" si="106"/>
        <v>42.251885199774904</v>
      </c>
      <c r="CA102" s="1018">
        <f t="shared" ca="1" si="107"/>
        <v>13.999999994400001</v>
      </c>
      <c r="CB102" s="1018">
        <f t="shared" ca="1" si="136"/>
        <v>9.0267175572519083</v>
      </c>
      <c r="CC102" s="1018">
        <f t="shared" si="108"/>
        <v>0</v>
      </c>
      <c r="CD102" s="1018">
        <f t="shared" ca="1" si="140"/>
        <v>174.12131684650063</v>
      </c>
      <c r="CE102" s="1018">
        <f t="shared" ca="1" si="141"/>
        <v>58.755316272361483</v>
      </c>
      <c r="CF102" s="1018">
        <f t="shared" ca="1" si="109"/>
        <v>6.986298993565863</v>
      </c>
      <c r="CG102" s="1018">
        <f t="shared" ca="1" si="110"/>
        <v>11631.908372327422</v>
      </c>
    </row>
    <row r="103" spans="4:85" x14ac:dyDescent="0.25">
      <c r="D103" s="1"/>
      <c r="F103" s="1"/>
      <c r="G103" s="3"/>
      <c r="H103" s="6"/>
      <c r="I103" s="3"/>
      <c r="J103" s="6" t="s">
        <v>190</v>
      </c>
      <c r="K103" s="8"/>
      <c r="L103" s="6"/>
      <c r="M103" s="1"/>
      <c r="N103" s="1"/>
      <c r="O103" s="1"/>
      <c r="P103" s="1"/>
      <c r="Q103" s="1" t="s">
        <v>22</v>
      </c>
      <c r="R103" s="4"/>
      <c r="S103" s="1"/>
      <c r="T103" s="77"/>
      <c r="U103" s="294"/>
      <c r="X103" s="176">
        <f t="shared" si="137"/>
        <v>0</v>
      </c>
      <c r="Y103" s="34">
        <f>X103/Calculation_sheet!M$67</f>
        <v>0</v>
      </c>
      <c r="Z103" s="176">
        <f ca="1">IF(AN103&gt;0,Y103*Calculation_sheet!C$87,0)</f>
        <v>0</v>
      </c>
      <c r="AA103" s="176">
        <f t="shared" ca="1" si="138"/>
        <v>0</v>
      </c>
      <c r="AB103" s="176">
        <f ca="1">IF(AP103&gt;0,AA103*Calculation_sheet!C$94,0)</f>
        <v>0</v>
      </c>
      <c r="AC103" s="176">
        <f t="shared" ca="1" si="126"/>
        <v>0</v>
      </c>
      <c r="AD103" s="958">
        <f ca="1">AC103*Calculation_sheet!C$99</f>
        <v>0</v>
      </c>
      <c r="AE103" s="176">
        <f t="shared" ca="1" si="126"/>
        <v>0</v>
      </c>
      <c r="AF103" s="176">
        <f t="shared" ca="1" si="139"/>
        <v>0</v>
      </c>
      <c r="AG103" s="958">
        <f ca="1">AF103*User_sheet!B$77/100</f>
        <v>0</v>
      </c>
      <c r="AH103" s="313"/>
      <c r="AI103">
        <v>301</v>
      </c>
      <c r="AK103" s="1018">
        <f t="shared" ca="1" si="105"/>
        <v>174.12131684650063</v>
      </c>
      <c r="AL103" s="924">
        <f ca="1">AK103/'301'!I$24</f>
        <v>1.3796595791523434</v>
      </c>
      <c r="AM103" s="924">
        <f ca="1">0.8*(AK103*30+'301'!D$17*0.34*30*1)</f>
        <v>6270.4828043160151</v>
      </c>
      <c r="AN103" s="954">
        <f ca="1">IF(AM103&lt;User_sheet!B$50,Y103,0)</f>
        <v>0</v>
      </c>
      <c r="AO103" s="954">
        <f ca="1">20-(User_sheet!B$57/(AK103+'301'!D$17*1*0.34))</f>
        <v>-1.8165018977230361</v>
      </c>
      <c r="AP103" s="954">
        <f ca="1">IF(AO103&lt;User_sheet!B$59,0,BC103*AA103)</f>
        <v>0</v>
      </c>
      <c r="AR103" s="2">
        <v>0.32</v>
      </c>
      <c r="AS103" s="2">
        <v>3.7</v>
      </c>
      <c r="AT103" s="2">
        <v>7.9</v>
      </c>
      <c r="AU103" s="2">
        <v>2</v>
      </c>
      <c r="AV103" s="2">
        <v>3.3</v>
      </c>
      <c r="AW103" s="2">
        <v>14356</v>
      </c>
      <c r="AX103" s="2">
        <v>76466.30421774846</v>
      </c>
      <c r="AY103" s="2">
        <v>67352.647733737584</v>
      </c>
      <c r="AZ103" s="27">
        <v>0</v>
      </c>
      <c r="BA103" s="27">
        <v>0</v>
      </c>
      <c r="BB103" s="2">
        <v>0.6</v>
      </c>
      <c r="BC103" s="30">
        <v>0</v>
      </c>
      <c r="BD103" s="34">
        <v>1</v>
      </c>
      <c r="BE103" s="34">
        <v>0</v>
      </c>
      <c r="BF103" s="40">
        <v>0</v>
      </c>
      <c r="BG103" s="34">
        <v>0</v>
      </c>
      <c r="BH103" s="34">
        <v>1</v>
      </c>
      <c r="BI103" s="40">
        <v>0</v>
      </c>
      <c r="BJ103" s="34">
        <v>0</v>
      </c>
      <c r="BK103" s="34">
        <v>1</v>
      </c>
      <c r="BL103" s="34">
        <v>0</v>
      </c>
      <c r="BM103" s="40">
        <v>0</v>
      </c>
      <c r="BN103" s="958">
        <v>0</v>
      </c>
      <c r="BO103" s="959">
        <v>14.9</v>
      </c>
      <c r="BP103" s="1018">
        <f t="shared" ca="1" si="127"/>
        <v>115.19999999999999</v>
      </c>
      <c r="BQ103" s="1018">
        <f t="shared" ca="1" si="128"/>
        <v>191.51999999999995</v>
      </c>
      <c r="BR103" s="1018">
        <f t="shared" ca="1" si="129"/>
        <v>43.295999999999999</v>
      </c>
      <c r="BS103" s="1018">
        <f t="shared" ca="1" si="130"/>
        <v>42.459999999999994</v>
      </c>
      <c r="BT103" s="1018">
        <f t="shared" ca="1" si="131"/>
        <v>38.4</v>
      </c>
      <c r="BU103" s="1018">
        <f t="shared" ca="1" si="132"/>
        <v>7</v>
      </c>
      <c r="BV103" s="1018">
        <f t="shared" ca="1" si="133"/>
        <v>4.3</v>
      </c>
      <c r="BW103" s="1018">
        <v>0</v>
      </c>
      <c r="BX103" s="1018">
        <f t="shared" ca="1" si="134"/>
        <v>13.126629610914604</v>
      </c>
      <c r="BY103" s="1018">
        <f t="shared" ca="1" si="135"/>
        <v>95.716084484159211</v>
      </c>
      <c r="BZ103" s="1018">
        <f t="shared" ca="1" si="106"/>
        <v>42.251885199774904</v>
      </c>
      <c r="CA103" s="1018">
        <f t="shared" ca="1" si="107"/>
        <v>13.999999994400001</v>
      </c>
      <c r="CB103" s="1018">
        <f t="shared" ca="1" si="136"/>
        <v>9.0267175572519083</v>
      </c>
      <c r="CC103" s="1018">
        <f t="shared" si="108"/>
        <v>0</v>
      </c>
      <c r="CD103" s="1018">
        <f t="shared" ca="1" si="140"/>
        <v>174.12131684650063</v>
      </c>
      <c r="CE103" s="1018">
        <f t="shared" ca="1" si="141"/>
        <v>58.755316272361483</v>
      </c>
      <c r="CF103" s="1018">
        <f t="shared" ca="1" si="109"/>
        <v>6.986298993565863</v>
      </c>
      <c r="CG103" s="1018">
        <f t="shared" ca="1" si="110"/>
        <v>11631.908372327422</v>
      </c>
    </row>
    <row r="104" spans="4:85" x14ac:dyDescent="0.25">
      <c r="D104" s="1"/>
      <c r="F104" s="1"/>
      <c r="G104" s="3"/>
      <c r="H104" s="6"/>
      <c r="I104" s="3"/>
      <c r="J104" s="6"/>
      <c r="K104" s="8"/>
      <c r="L104" s="6"/>
      <c r="M104" s="1" t="s">
        <v>22</v>
      </c>
      <c r="N104" s="4"/>
      <c r="O104" s="1" t="s">
        <v>20</v>
      </c>
      <c r="P104" s="4"/>
      <c r="Q104" s="1" t="s">
        <v>7</v>
      </c>
      <c r="R104" s="4"/>
      <c r="S104" s="1"/>
      <c r="T104" s="77"/>
      <c r="U104" s="294"/>
      <c r="X104" s="176">
        <f t="shared" si="137"/>
        <v>0</v>
      </c>
      <c r="Y104" s="34">
        <f>X104/Calculation_sheet!M$67</f>
        <v>0</v>
      </c>
      <c r="Z104" s="176">
        <f ca="1">IF(AN104&gt;0,Y104*Calculation_sheet!C$87,0)</f>
        <v>0</v>
      </c>
      <c r="AA104" s="176">
        <f t="shared" ca="1" si="138"/>
        <v>0</v>
      </c>
      <c r="AB104" s="176">
        <f ca="1">IF(AP104&gt;0,AA104*Calculation_sheet!C$94,0)</f>
        <v>0</v>
      </c>
      <c r="AC104" s="176">
        <f t="shared" ca="1" si="126"/>
        <v>0</v>
      </c>
      <c r="AD104" s="958">
        <f ca="1">AC104*Calculation_sheet!C$99</f>
        <v>0</v>
      </c>
      <c r="AE104" s="176">
        <f t="shared" ca="1" si="126"/>
        <v>0</v>
      </c>
      <c r="AF104" s="176">
        <f t="shared" ca="1" si="139"/>
        <v>0</v>
      </c>
      <c r="AG104" s="958">
        <f ca="1">AF104*User_sheet!B$77/100</f>
        <v>0</v>
      </c>
      <c r="AH104" s="313"/>
      <c r="AI104">
        <v>301</v>
      </c>
      <c r="AK104" s="1018">
        <f t="shared" ca="1" si="105"/>
        <v>174.12131684650063</v>
      </c>
      <c r="AL104" s="924">
        <f ca="1">AK104/'301'!I$24</f>
        <v>1.3796595791523434</v>
      </c>
      <c r="AM104" s="924">
        <f ca="1">0.8*(AK104*30+'301'!D$17*0.34*30*1)</f>
        <v>6270.4828043160151</v>
      </c>
      <c r="AN104" s="954">
        <f ca="1">IF(AM104&lt;User_sheet!B$50,Y104,0)</f>
        <v>0</v>
      </c>
      <c r="AO104" s="954">
        <f ca="1">20-(User_sheet!B$57/(AK104+'301'!D$17*1*0.34))</f>
        <v>-1.8165018977230361</v>
      </c>
      <c r="AP104" s="954">
        <f ca="1">IF(AO104&lt;User_sheet!B$59,0,BC104*AA104)</f>
        <v>0</v>
      </c>
      <c r="AR104" s="2">
        <v>0.32</v>
      </c>
      <c r="AS104" s="2">
        <v>3.7</v>
      </c>
      <c r="AT104" s="2">
        <v>7.9</v>
      </c>
      <c r="AU104" s="2">
        <v>2</v>
      </c>
      <c r="AV104" s="2">
        <v>3.3</v>
      </c>
      <c r="AW104" s="2">
        <v>14356</v>
      </c>
      <c r="AX104" s="2">
        <v>76466.30421774846</v>
      </c>
      <c r="AY104" s="2">
        <v>67352.647733737584</v>
      </c>
      <c r="AZ104" s="27">
        <v>0</v>
      </c>
      <c r="BA104" s="27">
        <v>0</v>
      </c>
      <c r="BB104" s="2">
        <v>0.6</v>
      </c>
      <c r="BC104" s="30">
        <v>0</v>
      </c>
      <c r="BD104" s="34">
        <v>1</v>
      </c>
      <c r="BE104" s="34">
        <v>0</v>
      </c>
      <c r="BF104" s="40">
        <v>0</v>
      </c>
      <c r="BG104" s="34">
        <v>0</v>
      </c>
      <c r="BH104" s="34">
        <v>1</v>
      </c>
      <c r="BI104" s="40">
        <v>0</v>
      </c>
      <c r="BJ104" s="34">
        <v>0</v>
      </c>
      <c r="BK104" s="34">
        <v>0</v>
      </c>
      <c r="BL104" s="34">
        <v>1</v>
      </c>
      <c r="BM104" s="40">
        <v>0</v>
      </c>
      <c r="BN104" s="958">
        <v>0</v>
      </c>
      <c r="BO104" s="959">
        <v>14.9</v>
      </c>
      <c r="BP104" s="1018">
        <f t="shared" ca="1" si="127"/>
        <v>115.19999999999999</v>
      </c>
      <c r="BQ104" s="1018">
        <f t="shared" ca="1" si="128"/>
        <v>191.51999999999995</v>
      </c>
      <c r="BR104" s="1018">
        <f t="shared" ca="1" si="129"/>
        <v>43.295999999999999</v>
      </c>
      <c r="BS104" s="1018">
        <f t="shared" ca="1" si="130"/>
        <v>42.459999999999994</v>
      </c>
      <c r="BT104" s="1018">
        <f t="shared" ca="1" si="131"/>
        <v>38.4</v>
      </c>
      <c r="BU104" s="1018">
        <f t="shared" ca="1" si="132"/>
        <v>7</v>
      </c>
      <c r="BV104" s="1018">
        <f t="shared" ca="1" si="133"/>
        <v>4.3</v>
      </c>
      <c r="BW104" s="1018">
        <v>0</v>
      </c>
      <c r="BX104" s="1018">
        <f t="shared" ca="1" si="134"/>
        <v>13.126629610914604</v>
      </c>
      <c r="BY104" s="1018">
        <f t="shared" ca="1" si="135"/>
        <v>95.716084484159211</v>
      </c>
      <c r="BZ104" s="1018">
        <f t="shared" ca="1" si="106"/>
        <v>42.251885199774904</v>
      </c>
      <c r="CA104" s="1018">
        <f t="shared" ca="1" si="107"/>
        <v>13.999999994400001</v>
      </c>
      <c r="CB104" s="1018">
        <f t="shared" ca="1" si="136"/>
        <v>9.0267175572519083</v>
      </c>
      <c r="CC104" s="1018">
        <f t="shared" si="108"/>
        <v>0</v>
      </c>
      <c r="CD104" s="1018">
        <f t="shared" ca="1" si="140"/>
        <v>174.12131684650063</v>
      </c>
      <c r="CE104" s="1018">
        <f t="shared" ca="1" si="141"/>
        <v>58.755316272361483</v>
      </c>
      <c r="CF104" s="1018">
        <f t="shared" ca="1" si="109"/>
        <v>6.986298993565863</v>
      </c>
      <c r="CG104" s="1018">
        <f t="shared" ca="1" si="110"/>
        <v>11631.908372327422</v>
      </c>
    </row>
    <row r="105" spans="4:85" x14ac:dyDescent="0.25">
      <c r="D105" s="1"/>
      <c r="F105" s="1"/>
      <c r="G105" s="3"/>
      <c r="H105" s="6"/>
      <c r="I105" s="3"/>
      <c r="J105" s="6"/>
      <c r="K105" s="8"/>
      <c r="L105" s="6"/>
      <c r="M105" s="1" t="s">
        <v>7</v>
      </c>
      <c r="N105" s="4"/>
      <c r="O105" s="1" t="s">
        <v>23</v>
      </c>
      <c r="P105" s="4"/>
      <c r="Q105" s="1" t="s">
        <v>7</v>
      </c>
      <c r="R105" s="4"/>
      <c r="S105" s="1"/>
      <c r="T105" s="77"/>
      <c r="U105" s="294"/>
      <c r="X105" s="176">
        <f t="shared" si="137"/>
        <v>0</v>
      </c>
      <c r="Y105" s="34">
        <f>X105/Calculation_sheet!M$67</f>
        <v>0</v>
      </c>
      <c r="Z105" s="176">
        <f ca="1">IF(AN105&gt;0,Y105*Calculation_sheet!C$87,0)</f>
        <v>0</v>
      </c>
      <c r="AA105" s="176">
        <f t="shared" ca="1" si="138"/>
        <v>0</v>
      </c>
      <c r="AB105" s="176">
        <f ca="1">IF(AP105&gt;0,AA105*Calculation_sheet!C$94,0)</f>
        <v>0</v>
      </c>
      <c r="AC105" s="176">
        <f t="shared" ca="1" si="126"/>
        <v>0</v>
      </c>
      <c r="AD105" s="958">
        <f ca="1">AC105*Calculation_sheet!C$99</f>
        <v>0</v>
      </c>
      <c r="AE105" s="176">
        <f t="shared" ca="1" si="126"/>
        <v>0</v>
      </c>
      <c r="AF105" s="176">
        <f t="shared" ca="1" si="139"/>
        <v>0</v>
      </c>
      <c r="AG105" s="958">
        <f ca="1">AF105*User_sheet!B$77/100</f>
        <v>0</v>
      </c>
      <c r="AH105" s="313"/>
      <c r="AI105">
        <v>301</v>
      </c>
      <c r="AK105" s="1018">
        <f t="shared" ca="1" si="105"/>
        <v>174.12131684650063</v>
      </c>
      <c r="AL105" s="924">
        <f ca="1">AK105/'301'!I$24</f>
        <v>1.3796595791523434</v>
      </c>
      <c r="AM105" s="924">
        <f ca="1">0.8*(AK105*30+'301'!D$17*0.34*30*1)</f>
        <v>6270.4828043160151</v>
      </c>
      <c r="AN105" s="954">
        <f ca="1">IF(AM105&lt;User_sheet!B$50,Y105,0)</f>
        <v>0</v>
      </c>
      <c r="AO105" s="954">
        <f ca="1">20-(User_sheet!B$57/(AK105+'301'!D$17*1*0.34))</f>
        <v>-1.8165018977230361</v>
      </c>
      <c r="AP105" s="954">
        <f ca="1">IF(AO105&lt;User_sheet!B$59,0,BC105*AA105)</f>
        <v>0</v>
      </c>
      <c r="AR105" s="2">
        <v>0.32</v>
      </c>
      <c r="AS105" s="2">
        <v>3.7</v>
      </c>
      <c r="AT105" s="2">
        <v>7.9</v>
      </c>
      <c r="AU105" s="2">
        <v>2</v>
      </c>
      <c r="AV105" s="2">
        <v>3.3</v>
      </c>
      <c r="AW105" s="2">
        <v>14356</v>
      </c>
      <c r="AX105" s="2">
        <v>76466.30421774846</v>
      </c>
      <c r="AY105" s="2">
        <v>67352.647733737584</v>
      </c>
      <c r="AZ105" s="27">
        <v>0</v>
      </c>
      <c r="BA105" s="27">
        <v>0</v>
      </c>
      <c r="BB105" s="2">
        <v>0.6</v>
      </c>
      <c r="BC105" s="30">
        <v>0</v>
      </c>
      <c r="BD105" s="34">
        <v>0</v>
      </c>
      <c r="BE105" s="34">
        <v>1</v>
      </c>
      <c r="BF105" s="40">
        <v>0</v>
      </c>
      <c r="BG105" s="34">
        <v>0</v>
      </c>
      <c r="BH105" s="34">
        <v>0</v>
      </c>
      <c r="BI105" s="40">
        <v>1</v>
      </c>
      <c r="BJ105" s="34">
        <v>0</v>
      </c>
      <c r="BK105" s="34">
        <v>0</v>
      </c>
      <c r="BL105" s="34">
        <v>1</v>
      </c>
      <c r="BM105" s="40">
        <v>0</v>
      </c>
      <c r="BN105" s="958">
        <v>0</v>
      </c>
      <c r="BO105" s="959">
        <v>14.9</v>
      </c>
      <c r="BP105" s="1018">
        <f t="shared" ca="1" si="127"/>
        <v>115.19999999999999</v>
      </c>
      <c r="BQ105" s="1018">
        <f t="shared" ca="1" si="128"/>
        <v>191.51999999999995</v>
      </c>
      <c r="BR105" s="1018">
        <f t="shared" ca="1" si="129"/>
        <v>43.295999999999999</v>
      </c>
      <c r="BS105" s="1018">
        <f t="shared" ca="1" si="130"/>
        <v>42.459999999999994</v>
      </c>
      <c r="BT105" s="1018">
        <f t="shared" ca="1" si="131"/>
        <v>38.4</v>
      </c>
      <c r="BU105" s="1018">
        <f t="shared" ca="1" si="132"/>
        <v>7</v>
      </c>
      <c r="BV105" s="1018">
        <f t="shared" ca="1" si="133"/>
        <v>4.3</v>
      </c>
      <c r="BW105" s="1018">
        <v>0</v>
      </c>
      <c r="BX105" s="1018">
        <f t="shared" ca="1" si="134"/>
        <v>13.126629610914604</v>
      </c>
      <c r="BY105" s="1018">
        <f t="shared" ca="1" si="135"/>
        <v>95.716084484159211</v>
      </c>
      <c r="BZ105" s="1018">
        <f t="shared" ca="1" si="106"/>
        <v>42.251885199774904</v>
      </c>
      <c r="CA105" s="1018">
        <f t="shared" ca="1" si="107"/>
        <v>13.999999994400001</v>
      </c>
      <c r="CB105" s="1018">
        <f t="shared" ca="1" si="136"/>
        <v>9.0267175572519083</v>
      </c>
      <c r="CC105" s="1018">
        <f t="shared" si="108"/>
        <v>0</v>
      </c>
      <c r="CD105" s="1018">
        <f t="shared" ca="1" si="140"/>
        <v>174.12131684650063</v>
      </c>
      <c r="CE105" s="1018">
        <f t="shared" ca="1" si="141"/>
        <v>58.755316272361483</v>
      </c>
      <c r="CF105" s="1018">
        <f t="shared" ca="1" si="109"/>
        <v>6.986298993565863</v>
      </c>
      <c r="CG105" s="1018">
        <f t="shared" ca="1" si="110"/>
        <v>11631.908372327422</v>
      </c>
    </row>
    <row r="106" spans="4:85" x14ac:dyDescent="0.25">
      <c r="D106" s="1"/>
      <c r="F106" s="1"/>
      <c r="G106" s="3"/>
      <c r="H106" s="6"/>
      <c r="I106" s="3"/>
      <c r="J106" s="6"/>
      <c r="K106" s="8"/>
      <c r="L106" s="6"/>
      <c r="M106" s="1"/>
      <c r="N106" s="1"/>
      <c r="O106" s="1" t="s">
        <v>18</v>
      </c>
      <c r="P106" s="4"/>
      <c r="Q106" s="1" t="s">
        <v>17</v>
      </c>
      <c r="R106" s="4"/>
      <c r="S106" s="1"/>
      <c r="T106" s="77"/>
      <c r="U106" s="294"/>
      <c r="X106" s="176">
        <f t="shared" si="137"/>
        <v>0</v>
      </c>
      <c r="Y106" s="34">
        <f>X106/Calculation_sheet!M$67</f>
        <v>0</v>
      </c>
      <c r="Z106" s="176">
        <f ca="1">IF(AN106&gt;0,Y106*Calculation_sheet!C$87,0)</f>
        <v>0</v>
      </c>
      <c r="AA106" s="176">
        <f t="shared" ca="1" si="138"/>
        <v>0</v>
      </c>
      <c r="AB106" s="176">
        <f ca="1">IF(AP106&gt;0,AA106*Calculation_sheet!C$94,0)</f>
        <v>0</v>
      </c>
      <c r="AC106" s="176">
        <f t="shared" ca="1" si="126"/>
        <v>0</v>
      </c>
      <c r="AD106" s="958">
        <f ca="1">AC106*Calculation_sheet!C$99</f>
        <v>0</v>
      </c>
      <c r="AE106" s="176">
        <f t="shared" ca="1" si="126"/>
        <v>0</v>
      </c>
      <c r="AF106" s="176">
        <f t="shared" ca="1" si="139"/>
        <v>0</v>
      </c>
      <c r="AG106" s="958">
        <f ca="1">AF106*User_sheet!B$77/100</f>
        <v>0</v>
      </c>
      <c r="AH106" s="313"/>
      <c r="AI106">
        <v>301</v>
      </c>
      <c r="AK106" s="1018">
        <f t="shared" ca="1" si="105"/>
        <v>174.12131684650063</v>
      </c>
      <c r="AL106" s="924">
        <f ca="1">AK106/'301'!I$24</f>
        <v>1.3796595791523434</v>
      </c>
      <c r="AM106" s="924">
        <f ca="1">0.8*(AK106*30+'301'!D$17*0.34*30*1)</f>
        <v>6270.4828043160151</v>
      </c>
      <c r="AN106" s="954">
        <f ca="1">IF(AM106&lt;User_sheet!B$50,Y106,0)</f>
        <v>0</v>
      </c>
      <c r="AO106" s="954">
        <f ca="1">20-(User_sheet!B$57/(AK106+'301'!D$17*1*0.34))</f>
        <v>-1.8165018977230361</v>
      </c>
      <c r="AP106" s="954">
        <f ca="1">IF(AO106&lt;User_sheet!B$59,0,BC106*AA106)</f>
        <v>0</v>
      </c>
      <c r="AR106" s="2">
        <v>0.32</v>
      </c>
      <c r="AS106" s="2">
        <v>3.7</v>
      </c>
      <c r="AT106" s="2">
        <v>7.9</v>
      </c>
      <c r="AU106" s="2">
        <v>2</v>
      </c>
      <c r="AV106" s="2">
        <v>3.3</v>
      </c>
      <c r="AW106" s="2">
        <v>14356</v>
      </c>
      <c r="AX106" s="2">
        <v>76466.30421774846</v>
      </c>
      <c r="AY106" s="2">
        <v>67352.647733737584</v>
      </c>
      <c r="AZ106" s="27">
        <v>0</v>
      </c>
      <c r="BA106" s="27">
        <v>0</v>
      </c>
      <c r="BB106" s="2">
        <v>0.6</v>
      </c>
      <c r="BC106" s="30">
        <v>0</v>
      </c>
      <c r="BD106" s="34">
        <v>0</v>
      </c>
      <c r="BE106" s="34">
        <v>0</v>
      </c>
      <c r="BF106" s="40">
        <v>1</v>
      </c>
      <c r="BG106" s="34">
        <v>1</v>
      </c>
      <c r="BH106" s="34">
        <v>0</v>
      </c>
      <c r="BI106" s="40">
        <v>0</v>
      </c>
      <c r="BJ106" s="34">
        <v>0</v>
      </c>
      <c r="BK106" s="34">
        <v>0</v>
      </c>
      <c r="BL106" s="34">
        <v>0</v>
      </c>
      <c r="BM106" s="40">
        <v>1</v>
      </c>
      <c r="BN106" s="958">
        <v>0</v>
      </c>
      <c r="BO106" s="959">
        <v>14.9</v>
      </c>
      <c r="BP106" s="1018">
        <f t="shared" ca="1" si="127"/>
        <v>115.19999999999999</v>
      </c>
      <c r="BQ106" s="1018">
        <f t="shared" ca="1" si="128"/>
        <v>191.51999999999995</v>
      </c>
      <c r="BR106" s="1018">
        <f t="shared" ca="1" si="129"/>
        <v>43.295999999999999</v>
      </c>
      <c r="BS106" s="1018">
        <f t="shared" ca="1" si="130"/>
        <v>42.459999999999994</v>
      </c>
      <c r="BT106" s="1018">
        <f t="shared" ca="1" si="131"/>
        <v>38.4</v>
      </c>
      <c r="BU106" s="1018">
        <f t="shared" ca="1" si="132"/>
        <v>7</v>
      </c>
      <c r="BV106" s="1018">
        <f t="shared" ca="1" si="133"/>
        <v>4.3</v>
      </c>
      <c r="BW106" s="1018">
        <v>0</v>
      </c>
      <c r="BX106" s="1018">
        <f t="shared" ca="1" si="134"/>
        <v>13.126629610914604</v>
      </c>
      <c r="BY106" s="1018">
        <f t="shared" ca="1" si="135"/>
        <v>95.716084484159211</v>
      </c>
      <c r="BZ106" s="1018">
        <f t="shared" ca="1" si="106"/>
        <v>42.251885199774904</v>
      </c>
      <c r="CA106" s="1018">
        <f t="shared" ca="1" si="107"/>
        <v>13.999999994400001</v>
      </c>
      <c r="CB106" s="1018">
        <f t="shared" ca="1" si="136"/>
        <v>9.0267175572519083</v>
      </c>
      <c r="CC106" s="1018">
        <f t="shared" si="108"/>
        <v>0</v>
      </c>
      <c r="CD106" s="1018">
        <f t="shared" ca="1" si="140"/>
        <v>174.12131684650063</v>
      </c>
      <c r="CE106" s="1018">
        <f t="shared" ca="1" si="141"/>
        <v>58.755316272361483</v>
      </c>
      <c r="CF106" s="1018">
        <f t="shared" ca="1" si="109"/>
        <v>6.986298993565863</v>
      </c>
      <c r="CG106" s="1018">
        <f t="shared" ca="1" si="110"/>
        <v>11631.908372327422</v>
      </c>
    </row>
    <row r="107" spans="4:85" x14ac:dyDescent="0.25">
      <c r="D107" s="1"/>
      <c r="F107" s="1"/>
      <c r="G107" s="3"/>
      <c r="H107" s="6"/>
      <c r="I107" s="3"/>
      <c r="J107" s="6"/>
      <c r="K107" s="8"/>
      <c r="L107" s="6"/>
      <c r="M107" s="1" t="s">
        <v>17</v>
      </c>
      <c r="N107" s="4"/>
      <c r="O107" s="1" t="s">
        <v>19</v>
      </c>
      <c r="P107" s="4"/>
      <c r="Q107" s="1" t="s">
        <v>17</v>
      </c>
      <c r="R107" s="4"/>
      <c r="S107" s="1"/>
      <c r="T107" s="77"/>
      <c r="U107" s="294"/>
      <c r="X107" s="176">
        <f t="shared" si="137"/>
        <v>0</v>
      </c>
      <c r="Y107" s="34">
        <f>X107/Calculation_sheet!M$67</f>
        <v>0</v>
      </c>
      <c r="Z107" s="176">
        <f ca="1">IF(AN107&gt;0,Y107*Calculation_sheet!C$87,0)</f>
        <v>0</v>
      </c>
      <c r="AA107" s="176">
        <f t="shared" ca="1" si="138"/>
        <v>0</v>
      </c>
      <c r="AB107" s="176">
        <f ca="1">IF(AP107&gt;0,AA107*Calculation_sheet!C$94,0)</f>
        <v>0</v>
      </c>
      <c r="AC107" s="176">
        <f t="shared" ca="1" si="126"/>
        <v>0</v>
      </c>
      <c r="AD107" s="958">
        <f ca="1">AC107*Calculation_sheet!C$99</f>
        <v>0</v>
      </c>
      <c r="AE107" s="176">
        <f t="shared" ca="1" si="126"/>
        <v>0</v>
      </c>
      <c r="AF107" s="176">
        <f t="shared" ca="1" si="139"/>
        <v>0</v>
      </c>
      <c r="AG107" s="958">
        <f ca="1">AF107*User_sheet!B$77/100</f>
        <v>0</v>
      </c>
      <c r="AH107" s="313"/>
      <c r="AI107">
        <v>301</v>
      </c>
      <c r="AK107" s="1018">
        <f t="shared" ca="1" si="105"/>
        <v>174.12131684650063</v>
      </c>
      <c r="AL107" s="924">
        <f ca="1">AK107/'301'!I$24</f>
        <v>1.3796595791523434</v>
      </c>
      <c r="AM107" s="924">
        <f ca="1">0.8*(AK107*30+'301'!D$17*0.34*30*1)</f>
        <v>6270.4828043160151</v>
      </c>
      <c r="AN107" s="954">
        <f ca="1">IF(AM107&lt;User_sheet!B$50,Y107,0)</f>
        <v>0</v>
      </c>
      <c r="AO107" s="954">
        <f ca="1">20-(User_sheet!B$57/(AK107+'301'!D$17*1*0.34))</f>
        <v>-1.8165018977230361</v>
      </c>
      <c r="AP107" s="954">
        <f ca="1">IF(AO107&lt;User_sheet!B$59,0,BC107*AA107)</f>
        <v>0</v>
      </c>
      <c r="AR107" s="2">
        <v>0.32</v>
      </c>
      <c r="AS107" s="2">
        <v>3.7</v>
      </c>
      <c r="AT107" s="2">
        <v>7.9</v>
      </c>
      <c r="AU107" s="2">
        <v>2</v>
      </c>
      <c r="AV107" s="2">
        <v>3.3</v>
      </c>
      <c r="AW107" s="2">
        <v>14356</v>
      </c>
      <c r="AX107" s="2">
        <v>76466.30421774846</v>
      </c>
      <c r="AY107" s="2">
        <v>67352.647733737584</v>
      </c>
      <c r="AZ107" s="27">
        <v>0</v>
      </c>
      <c r="BA107" s="27">
        <v>0</v>
      </c>
      <c r="BB107" s="2">
        <v>0.6</v>
      </c>
      <c r="BC107" s="30">
        <v>0</v>
      </c>
      <c r="BD107" s="34">
        <v>0</v>
      </c>
      <c r="BE107" s="34">
        <v>0</v>
      </c>
      <c r="BF107" s="40">
        <v>1</v>
      </c>
      <c r="BG107" s="34">
        <v>0</v>
      </c>
      <c r="BH107" s="34">
        <v>1</v>
      </c>
      <c r="BI107" s="40">
        <v>0</v>
      </c>
      <c r="BJ107" s="34">
        <v>0</v>
      </c>
      <c r="BK107" s="34">
        <v>0</v>
      </c>
      <c r="BL107" s="34">
        <v>0</v>
      </c>
      <c r="BM107" s="40">
        <v>1</v>
      </c>
      <c r="BN107" s="958">
        <v>0</v>
      </c>
      <c r="BO107" s="959">
        <v>14.9</v>
      </c>
      <c r="BP107" s="1018">
        <f t="shared" ca="1" si="127"/>
        <v>115.19999999999999</v>
      </c>
      <c r="BQ107" s="1018">
        <f t="shared" ca="1" si="128"/>
        <v>191.51999999999995</v>
      </c>
      <c r="BR107" s="1018">
        <f t="shared" ca="1" si="129"/>
        <v>43.295999999999999</v>
      </c>
      <c r="BS107" s="1018">
        <f t="shared" ca="1" si="130"/>
        <v>42.459999999999994</v>
      </c>
      <c r="BT107" s="1018">
        <f t="shared" ca="1" si="131"/>
        <v>38.4</v>
      </c>
      <c r="BU107" s="1018">
        <f t="shared" ca="1" si="132"/>
        <v>7</v>
      </c>
      <c r="BV107" s="1018">
        <f t="shared" ca="1" si="133"/>
        <v>4.3</v>
      </c>
      <c r="BW107" s="1018">
        <v>0</v>
      </c>
      <c r="BX107" s="1018">
        <f t="shared" ca="1" si="134"/>
        <v>13.126629610914604</v>
      </c>
      <c r="BY107" s="1018">
        <f t="shared" ca="1" si="135"/>
        <v>95.716084484159211</v>
      </c>
      <c r="BZ107" s="1018">
        <f t="shared" ca="1" si="106"/>
        <v>42.251885199774904</v>
      </c>
      <c r="CA107" s="1018">
        <f t="shared" ca="1" si="107"/>
        <v>13.999999994400001</v>
      </c>
      <c r="CB107" s="1018">
        <f t="shared" ca="1" si="136"/>
        <v>9.0267175572519083</v>
      </c>
      <c r="CC107" s="1018">
        <f t="shared" si="108"/>
        <v>0</v>
      </c>
      <c r="CD107" s="1018">
        <f t="shared" ca="1" si="140"/>
        <v>174.12131684650063</v>
      </c>
      <c r="CE107" s="1018">
        <f t="shared" ca="1" si="141"/>
        <v>58.755316272361483</v>
      </c>
      <c r="CF107" s="1018">
        <f t="shared" ca="1" si="109"/>
        <v>6.986298993565863</v>
      </c>
      <c r="CG107" s="1018">
        <f t="shared" ca="1" si="110"/>
        <v>11631.908372327422</v>
      </c>
    </row>
    <row r="108" spans="4:85" s="14" customFormat="1" x14ac:dyDescent="0.25">
      <c r="D108" s="15"/>
      <c r="F108" s="15"/>
      <c r="H108" s="15"/>
      <c r="J108" s="15"/>
      <c r="K108" s="16"/>
      <c r="L108" s="15"/>
      <c r="M108" s="15"/>
      <c r="N108" s="15"/>
      <c r="O108" s="15"/>
      <c r="P108" s="15"/>
      <c r="Q108" s="15"/>
      <c r="R108" s="15"/>
      <c r="S108" s="15"/>
      <c r="T108" s="80"/>
      <c r="U108" s="273"/>
      <c r="V108" s="292"/>
      <c r="W108" s="292"/>
      <c r="X108" s="292"/>
      <c r="Y108" s="277"/>
      <c r="Z108" s="292"/>
      <c r="AA108" s="292"/>
      <c r="AB108" s="292"/>
      <c r="AC108" s="292"/>
      <c r="AD108" s="277"/>
      <c r="AE108" s="292"/>
      <c r="AF108" s="292"/>
      <c r="AG108" s="277"/>
      <c r="AH108" s="313"/>
      <c r="AJ108" s="314"/>
      <c r="AK108" s="1018">
        <f t="shared" si="105"/>
        <v>0</v>
      </c>
      <c r="AL108" s="928"/>
      <c r="AM108" s="928"/>
      <c r="AN108" s="986"/>
      <c r="AO108" s="986"/>
      <c r="AP108" s="986"/>
      <c r="AQ108" s="314"/>
      <c r="AR108" s="28"/>
      <c r="AS108" s="28"/>
      <c r="AT108" s="28"/>
      <c r="AU108" s="28"/>
      <c r="AV108" s="28"/>
      <c r="AW108" s="28"/>
      <c r="AX108" s="28"/>
      <c r="AY108" s="28"/>
      <c r="AZ108" s="28"/>
      <c r="BA108" s="28"/>
      <c r="BB108" s="28"/>
      <c r="BC108" s="45"/>
      <c r="BD108" s="277"/>
      <c r="BE108" s="277"/>
      <c r="BF108" s="49"/>
      <c r="BG108" s="28"/>
      <c r="BH108" s="28"/>
      <c r="BI108" s="49"/>
      <c r="BJ108" s="28"/>
      <c r="BK108" s="28"/>
      <c r="BL108" s="28"/>
      <c r="BM108" s="49"/>
      <c r="BN108" s="277"/>
      <c r="BO108" s="49"/>
      <c r="BP108" s="928"/>
      <c r="BQ108" s="928"/>
      <c r="BR108" s="928"/>
      <c r="BS108" s="928"/>
      <c r="BT108" s="928"/>
      <c r="BU108" s="928"/>
      <c r="BV108" s="928"/>
      <c r="BW108" s="928"/>
      <c r="BX108" s="928"/>
      <c r="BY108" s="928"/>
      <c r="BZ108" s="928"/>
      <c r="CA108" s="928"/>
      <c r="CB108" s="928"/>
      <c r="CC108" s="928"/>
      <c r="CD108" s="928"/>
      <c r="CE108" s="928"/>
      <c r="CF108" s="928"/>
      <c r="CG108" s="928"/>
    </row>
    <row r="109" spans="4:85" x14ac:dyDescent="0.25">
      <c r="D109" s="655"/>
      <c r="E109" s="654"/>
      <c r="F109" s="655"/>
      <c r="G109" s="654"/>
      <c r="H109" s="655"/>
      <c r="I109" s="654"/>
      <c r="J109" s="655"/>
      <c r="K109" s="657"/>
      <c r="L109" s="659"/>
      <c r="M109" s="655"/>
      <c r="N109" s="655"/>
      <c r="O109" s="655"/>
      <c r="P109" s="655"/>
      <c r="Q109" s="655" t="s">
        <v>16</v>
      </c>
      <c r="R109" s="656">
        <v>0.73860000000000003</v>
      </c>
      <c r="S109" s="655"/>
      <c r="T109" s="665">
        <v>7.3449800852122922E-3</v>
      </c>
      <c r="U109" s="654"/>
      <c r="V109" s="176">
        <f>T109-T109*Calculation_sheet!F$58</f>
        <v>7.3449800852122922E-3</v>
      </c>
      <c r="W109" s="176">
        <f>V109-V109*Calculation_sheet!E$66</f>
        <v>7.3449800852122922E-3</v>
      </c>
      <c r="X109" s="176">
        <f>W109-W109*Calculation_sheet!E$76</f>
        <v>7.3449800852122922E-3</v>
      </c>
      <c r="Y109" s="34">
        <f>X109/Calculation_sheet!M$67</f>
        <v>7.3451302638236028E-3</v>
      </c>
      <c r="Z109" s="176">
        <f ca="1">IF(AN109&gt;0,Y109*Calculation_sheet!C$87,0)</f>
        <v>0</v>
      </c>
      <c r="AA109" s="176">
        <f ca="1">Y109-Z109</f>
        <v>7.3451302638236028E-3</v>
      </c>
      <c r="AB109" s="176">
        <f ca="1">IF(AP109&gt;0,AA109*Calculation_sheet!C$94,0)</f>
        <v>0</v>
      </c>
      <c r="AC109" s="176">
        <f t="shared" ref="AC109:AE119" ca="1" si="142">AA109-AB109</f>
        <v>7.3451302638236028E-3</v>
      </c>
      <c r="AD109" s="958">
        <f ca="1">AC109*Calculation_sheet!C$99</f>
        <v>4.4070781582941617E-3</v>
      </c>
      <c r="AE109" s="176">
        <f t="shared" ca="1" si="142"/>
        <v>2.9380521055294411E-3</v>
      </c>
      <c r="AF109" s="176">
        <f ca="1">Y109-AB109</f>
        <v>7.3451302638236028E-3</v>
      </c>
      <c r="AG109" s="958">
        <f ca="1">AF109*User_sheet!B$77/100</f>
        <v>0</v>
      </c>
      <c r="AH109" s="313"/>
      <c r="AI109">
        <v>301</v>
      </c>
      <c r="AK109" s="1018">
        <f t="shared" ca="1" si="105"/>
        <v>359.25183006332884</v>
      </c>
      <c r="AL109" s="924">
        <f ca="1">AK109/'301'!I$24</f>
        <v>2.846551115345775</v>
      </c>
      <c r="AM109" s="924">
        <f ca="1">0.8*(AK109*30+'301'!D$17*0.34*30*1)</f>
        <v>10713.615121519892</v>
      </c>
      <c r="AN109" s="954">
        <f ca="1">IF(AM109&lt;User_sheet!B$50,Y109,0)</f>
        <v>0</v>
      </c>
      <c r="AO109" s="954">
        <f ca="1">20-(User_sheet!B$57/(AK109+'301'!D$17*1*0.34))</f>
        <v>7.2312008179930949</v>
      </c>
      <c r="AP109" s="954">
        <f ca="1">IF(AO109&lt;User_sheet!B$59,0,BC109*AA109)</f>
        <v>0</v>
      </c>
      <c r="AR109" s="2">
        <v>14.1</v>
      </c>
      <c r="AS109" s="2">
        <v>3.7</v>
      </c>
      <c r="AT109" s="2">
        <v>7.9</v>
      </c>
      <c r="AU109" s="2">
        <v>5</v>
      </c>
      <c r="AV109" s="2">
        <v>3.3</v>
      </c>
      <c r="AW109" s="2">
        <v>7211.5338771527777</v>
      </c>
      <c r="AX109" s="2">
        <v>76466.30421774846</v>
      </c>
      <c r="AY109" s="2">
        <v>67352.647733737584</v>
      </c>
      <c r="AZ109" s="2">
        <v>0</v>
      </c>
      <c r="BA109" s="2">
        <v>0</v>
      </c>
      <c r="BB109" s="2">
        <v>0.87</v>
      </c>
      <c r="BC109" s="30">
        <v>1</v>
      </c>
      <c r="BD109" s="34">
        <v>0</v>
      </c>
      <c r="BE109" s="34">
        <v>0</v>
      </c>
      <c r="BF109" s="40">
        <v>0</v>
      </c>
      <c r="BG109" s="2">
        <v>1</v>
      </c>
      <c r="BH109" s="2">
        <v>0</v>
      </c>
      <c r="BI109" s="40">
        <v>0</v>
      </c>
      <c r="BJ109" s="2">
        <v>1</v>
      </c>
      <c r="BK109" s="2">
        <v>0</v>
      </c>
      <c r="BL109" s="2">
        <v>0</v>
      </c>
      <c r="BM109" s="40">
        <v>0</v>
      </c>
      <c r="BN109" s="958">
        <v>0</v>
      </c>
      <c r="BO109" s="959">
        <v>14.9</v>
      </c>
      <c r="BP109" s="1018">
        <f t="shared" ref="BP109:BP119" ca="1" si="143">INDIRECT("'"&amp;AI109&amp;"'!"&amp;"B2")</f>
        <v>115.19999999999999</v>
      </c>
      <c r="BQ109" s="1018">
        <f t="shared" ref="BQ109:BQ119" ca="1" si="144">INDIRECT("'"&amp;AI109&amp;"'!"&amp;"C12")+INDIRECT("'"&amp;AI109&amp;"'!"&amp;"C13")+INDIRECT("'"&amp;AI109&amp;"'!"&amp;"C14")+INDIRECT("'"&amp;AI109&amp;"'!"&amp;"C15")+INDIRECT("'"&amp;AI109&amp;"'!"&amp;"C17")</f>
        <v>191.51999999999995</v>
      </c>
      <c r="BR109" s="1018">
        <f t="shared" ref="BR109:BR119" ca="1" si="145">INDIRECT("'"&amp;AI109&amp;"'!"&amp;"G5")</f>
        <v>43.295999999999999</v>
      </c>
      <c r="BS109" s="1018">
        <f t="shared" ref="BS109:BS119" ca="1" si="146">INDIRECT("'"&amp;AI109&amp;"'!"&amp;"G4")</f>
        <v>42.459999999999994</v>
      </c>
      <c r="BT109" s="1018">
        <f t="shared" ref="BT109:BT119" ca="1" si="147">INDIRECT("'"&amp;AI109&amp;"'!"&amp;"G6")</f>
        <v>38.4</v>
      </c>
      <c r="BU109" s="1018">
        <f t="shared" ref="BU109:BU119" ca="1" si="148">INDIRECT("'"&amp;AI109&amp;"'!"&amp;"G2")</f>
        <v>7</v>
      </c>
      <c r="BV109" s="1018">
        <f t="shared" ref="BV109:BV119" ca="1" si="149">INDIRECT("'"&amp;AI109&amp;"'!"&amp;"G3")</f>
        <v>4.3</v>
      </c>
      <c r="BW109" s="1018">
        <v>0</v>
      </c>
      <c r="BX109" s="1018">
        <f t="shared" ref="BX109:BX119" ca="1" si="150">IF(BR109=0,0,1/(1/(BR109*$BY$3)+1/(BR109*AR109)+1/(BR109*$BY$4)))</f>
        <v>177.25714285714281</v>
      </c>
      <c r="BY109" s="1018">
        <f t="shared" ref="BY109:BY119" ca="1" si="151">IF(BS109=0,0,1/(1/(BS109*$BY$3)+1/(BS109*AS109)+1/(BS109*$BY$4)))</f>
        <v>95.716084484159211</v>
      </c>
      <c r="BZ109" s="1018">
        <f t="shared" ca="1" si="106"/>
        <v>42.251885199774904</v>
      </c>
      <c r="CA109" s="1018">
        <f t="shared" ca="1" si="107"/>
        <v>34.999999965000001</v>
      </c>
      <c r="CB109" s="1018">
        <f t="shared" ref="CB109:CB119" ca="1" si="152">IF(BV109=0,0,1/(1/(BV109*$BY$3)+1/(BV109*AV109)+1/(BV109*$BY$4)))</f>
        <v>9.0267175572519083</v>
      </c>
      <c r="CC109" s="1018">
        <f t="shared" si="108"/>
        <v>0</v>
      </c>
      <c r="CD109" s="1018">
        <f ca="1">SUM(BX109:CC109)+(BR109+BS109+BT109+BU109+BV109)*BN109</f>
        <v>359.25183006332884</v>
      </c>
      <c r="CE109" s="1018">
        <f ca="1">0.34*BO109*(1/25)^0.66*(BR109+BS109+BU109+BV109)</f>
        <v>58.755316272361483</v>
      </c>
      <c r="CF109" s="1018">
        <f t="shared" ca="1" si="109"/>
        <v>12.540214390070709</v>
      </c>
      <c r="CG109" s="1018">
        <f t="shared" ca="1" si="110"/>
        <v>20878.955350892127</v>
      </c>
    </row>
    <row r="110" spans="4:85" x14ac:dyDescent="0.25">
      <c r="D110" s="655"/>
      <c r="E110" s="654"/>
      <c r="F110" s="655"/>
      <c r="G110" s="654"/>
      <c r="H110" s="655"/>
      <c r="I110" s="654"/>
      <c r="J110" s="655"/>
      <c r="K110" s="657"/>
      <c r="L110" s="659"/>
      <c r="M110" s="655"/>
      <c r="N110" s="655"/>
      <c r="O110" s="655" t="s">
        <v>18</v>
      </c>
      <c r="P110" s="656">
        <v>0.62953995200000001</v>
      </c>
      <c r="Q110" s="655" t="s">
        <v>7</v>
      </c>
      <c r="R110" s="656">
        <v>0.26140000000000002</v>
      </c>
      <c r="S110" s="655"/>
      <c r="T110" s="665">
        <v>2.599482526772941E-3</v>
      </c>
      <c r="U110" s="654"/>
      <c r="V110" s="176">
        <f>T110-T110*Calculation_sheet!F$58</f>
        <v>2.599482526772941E-3</v>
      </c>
      <c r="W110" s="176">
        <f>V110-V110*Calculation_sheet!E$66</f>
        <v>2.599482526772941E-3</v>
      </c>
      <c r="X110" s="176">
        <f>W110-W110*Calculation_sheet!E$76</f>
        <v>2.599482526772941E-3</v>
      </c>
      <c r="Y110" s="34">
        <f>X110/Calculation_sheet!M$67</f>
        <v>2.5995356769069741E-3</v>
      </c>
      <c r="Z110" s="176">
        <f ca="1">IF(AN110&gt;0,Y110*Calculation_sheet!C$87,0)</f>
        <v>0</v>
      </c>
      <c r="AA110" s="176">
        <f t="shared" ref="AA110:AA119" ca="1" si="153">Y110-Z110</f>
        <v>2.5995356769069741E-3</v>
      </c>
      <c r="AB110" s="176">
        <f ca="1">IF(AP110&gt;0,AA110*Calculation_sheet!C$94,0)</f>
        <v>0</v>
      </c>
      <c r="AC110" s="176">
        <f t="shared" ca="1" si="142"/>
        <v>2.5995356769069741E-3</v>
      </c>
      <c r="AD110" s="958">
        <f ca="1">AC110*Calculation_sheet!C$99</f>
        <v>1.5597214061441845E-3</v>
      </c>
      <c r="AE110" s="176">
        <f t="shared" ca="1" si="142"/>
        <v>1.0398142707627896E-3</v>
      </c>
      <c r="AF110" s="176">
        <f t="shared" ref="AF110:AF119" ca="1" si="154">Y110-AB110</f>
        <v>2.5995356769069741E-3</v>
      </c>
      <c r="AG110" s="958">
        <f ca="1">AF110*User_sheet!B$77/100</f>
        <v>0</v>
      </c>
      <c r="AH110" s="313"/>
      <c r="AI110">
        <v>301</v>
      </c>
      <c r="AK110" s="1018">
        <f t="shared" ca="1" si="105"/>
        <v>359.25183006332884</v>
      </c>
      <c r="AL110" s="924">
        <f ca="1">AK110/'301'!I$24</f>
        <v>2.846551115345775</v>
      </c>
      <c r="AM110" s="924">
        <f ca="1">0.8*(AK110*30+'301'!D$17*0.34*30*1)</f>
        <v>10713.615121519892</v>
      </c>
      <c r="AN110" s="954">
        <f ca="1">IF(AM110&lt;User_sheet!B$50,Y110,0)</f>
        <v>0</v>
      </c>
      <c r="AO110" s="954">
        <f ca="1">20-(User_sheet!B$57/(AK110+'301'!D$17*1*0.34))</f>
        <v>7.2312008179930949</v>
      </c>
      <c r="AP110" s="954">
        <f ca="1">IF(AO110&lt;User_sheet!B$59,0,BC110*AA110)</f>
        <v>0</v>
      </c>
      <c r="AR110" s="2">
        <v>14.1</v>
      </c>
      <c r="AS110" s="2">
        <v>3.7</v>
      </c>
      <c r="AT110" s="2">
        <v>7.9</v>
      </c>
      <c r="AU110" s="2">
        <v>5</v>
      </c>
      <c r="AV110" s="2">
        <v>3.3</v>
      </c>
      <c r="AW110" s="2">
        <v>7211.5338771527777</v>
      </c>
      <c r="AX110" s="2">
        <v>76466.30421774846</v>
      </c>
      <c r="AY110" s="2">
        <v>67352.647733737584</v>
      </c>
      <c r="AZ110" s="2">
        <v>0</v>
      </c>
      <c r="BA110" s="2">
        <v>0</v>
      </c>
      <c r="BB110" s="2">
        <v>0.87</v>
      </c>
      <c r="BC110" s="30">
        <v>1</v>
      </c>
      <c r="BD110" s="34">
        <v>0</v>
      </c>
      <c r="BE110" s="34">
        <v>0</v>
      </c>
      <c r="BF110" s="40">
        <v>0</v>
      </c>
      <c r="BG110" s="2">
        <v>1</v>
      </c>
      <c r="BH110" s="2">
        <v>0</v>
      </c>
      <c r="BI110" s="40">
        <v>0</v>
      </c>
      <c r="BJ110" s="2">
        <v>0</v>
      </c>
      <c r="BK110" s="2">
        <v>0</v>
      </c>
      <c r="BL110" s="2">
        <v>1</v>
      </c>
      <c r="BM110" s="40">
        <v>0</v>
      </c>
      <c r="BN110" s="958">
        <v>0</v>
      </c>
      <c r="BO110" s="959">
        <v>14.9</v>
      </c>
      <c r="BP110" s="1018">
        <f t="shared" ca="1" si="143"/>
        <v>115.19999999999999</v>
      </c>
      <c r="BQ110" s="1018">
        <f t="shared" ca="1" si="144"/>
        <v>191.51999999999995</v>
      </c>
      <c r="BR110" s="1018">
        <f t="shared" ca="1" si="145"/>
        <v>43.295999999999999</v>
      </c>
      <c r="BS110" s="1018">
        <f t="shared" ca="1" si="146"/>
        <v>42.459999999999994</v>
      </c>
      <c r="BT110" s="1018">
        <f t="shared" ca="1" si="147"/>
        <v>38.4</v>
      </c>
      <c r="BU110" s="1018">
        <f t="shared" ca="1" si="148"/>
        <v>7</v>
      </c>
      <c r="BV110" s="1018">
        <f t="shared" ca="1" si="149"/>
        <v>4.3</v>
      </c>
      <c r="BW110" s="1018">
        <v>0</v>
      </c>
      <c r="BX110" s="1018">
        <f t="shared" ca="1" si="150"/>
        <v>177.25714285714281</v>
      </c>
      <c r="BY110" s="1018">
        <f t="shared" ca="1" si="151"/>
        <v>95.716084484159211</v>
      </c>
      <c r="BZ110" s="1018">
        <f t="shared" ca="1" si="106"/>
        <v>42.251885199774904</v>
      </c>
      <c r="CA110" s="1018">
        <f t="shared" ca="1" si="107"/>
        <v>34.999999965000001</v>
      </c>
      <c r="CB110" s="1018">
        <f t="shared" ca="1" si="152"/>
        <v>9.0267175572519083</v>
      </c>
      <c r="CC110" s="1018">
        <f t="shared" si="108"/>
        <v>0</v>
      </c>
      <c r="CD110" s="1018">
        <f t="shared" ref="CD110:CD119" ca="1" si="155">SUM(BX110:CC110)+(BR110+BS110+BT110+BU110+BV110)*BN110</f>
        <v>359.25183006332884</v>
      </c>
      <c r="CE110" s="1018">
        <f t="shared" ref="CE110:CE119" ca="1" si="156">0.34*BO110*(1/25)^0.66*(BR110+BS110+BU110+BV110)</f>
        <v>58.755316272361483</v>
      </c>
      <c r="CF110" s="1018">
        <f t="shared" ca="1" si="109"/>
        <v>12.540214390070709</v>
      </c>
      <c r="CG110" s="1018">
        <f t="shared" ca="1" si="110"/>
        <v>20878.955350892127</v>
      </c>
    </row>
    <row r="111" spans="4:85" x14ac:dyDescent="0.25">
      <c r="D111" s="655"/>
      <c r="E111" s="654"/>
      <c r="F111" s="655"/>
      <c r="G111" s="654"/>
      <c r="H111" s="655"/>
      <c r="I111" s="654"/>
      <c r="J111" s="655"/>
      <c r="K111" s="657"/>
      <c r="L111" s="659"/>
      <c r="M111" s="655"/>
      <c r="N111" s="655"/>
      <c r="O111" s="655"/>
      <c r="P111" s="655"/>
      <c r="Q111" s="655" t="s">
        <v>16</v>
      </c>
      <c r="R111" s="656">
        <v>0.73860000000000003</v>
      </c>
      <c r="S111" s="655"/>
      <c r="T111" s="665">
        <v>4.322238273015578E-3</v>
      </c>
      <c r="U111" s="654"/>
      <c r="V111" s="176">
        <f>T111-T111*Calculation_sheet!F$58</f>
        <v>4.322238273015578E-3</v>
      </c>
      <c r="W111" s="176">
        <f>V111-V111*Calculation_sheet!E$66</f>
        <v>4.322238273015578E-3</v>
      </c>
      <c r="X111" s="176">
        <f>W111-W111*Calculation_sheet!E$76</f>
        <v>4.322238273015578E-3</v>
      </c>
      <c r="Y111" s="34">
        <f>X111/Calculation_sheet!M$67</f>
        <v>4.3223266473520726E-3</v>
      </c>
      <c r="Z111" s="176">
        <f ca="1">IF(AN111&gt;0,Y111*Calculation_sheet!C$87,0)</f>
        <v>0</v>
      </c>
      <c r="AA111" s="176">
        <f t="shared" ca="1" si="153"/>
        <v>4.3223266473520726E-3</v>
      </c>
      <c r="AB111" s="176">
        <f ca="1">IF(AP111&gt;0,AA111*Calculation_sheet!C$94,0)</f>
        <v>0</v>
      </c>
      <c r="AC111" s="176">
        <f t="shared" ca="1" si="142"/>
        <v>4.3223266473520726E-3</v>
      </c>
      <c r="AD111" s="958">
        <f ca="1">AC111*Calculation_sheet!C$99</f>
        <v>2.5933959884112436E-3</v>
      </c>
      <c r="AE111" s="176">
        <f t="shared" ca="1" si="142"/>
        <v>1.728930658940829E-3</v>
      </c>
      <c r="AF111" s="176">
        <f t="shared" ca="1" si="154"/>
        <v>4.3223266473520726E-3</v>
      </c>
      <c r="AG111" s="958">
        <f ca="1">AF111*User_sheet!B$77/100</f>
        <v>0</v>
      </c>
      <c r="AH111" s="313"/>
      <c r="AI111">
        <v>301</v>
      </c>
      <c r="AK111" s="1018">
        <f t="shared" ca="1" si="105"/>
        <v>359.25183006332884</v>
      </c>
      <c r="AL111" s="924">
        <f ca="1">AK111/'301'!I$24</f>
        <v>2.846551115345775</v>
      </c>
      <c r="AM111" s="924">
        <f ca="1">0.8*(AK111*30+'301'!D$17*0.34*30*1)</f>
        <v>10713.615121519892</v>
      </c>
      <c r="AN111" s="954">
        <f ca="1">IF(AM111&lt;User_sheet!B$50,Y111,0)</f>
        <v>0</v>
      </c>
      <c r="AO111" s="954">
        <f ca="1">20-(User_sheet!B$57/(AK111+'301'!D$17*1*0.34))</f>
        <v>7.2312008179930949</v>
      </c>
      <c r="AP111" s="954">
        <f ca="1">IF(AO111&lt;User_sheet!B$59,0,BC111*AA111)</f>
        <v>0</v>
      </c>
      <c r="AR111" s="2">
        <v>14.1</v>
      </c>
      <c r="AS111" s="2">
        <v>3.7</v>
      </c>
      <c r="AT111" s="2">
        <v>7.9</v>
      </c>
      <c r="AU111" s="2">
        <v>5</v>
      </c>
      <c r="AV111" s="2">
        <v>3.3</v>
      </c>
      <c r="AW111" s="2">
        <v>7211.5338771527777</v>
      </c>
      <c r="AX111" s="2">
        <v>76466.30421774846</v>
      </c>
      <c r="AY111" s="2">
        <v>67352.647733737584</v>
      </c>
      <c r="AZ111" s="2">
        <v>0</v>
      </c>
      <c r="BA111" s="2">
        <v>0</v>
      </c>
      <c r="BB111" s="2">
        <v>0.87</v>
      </c>
      <c r="BC111" s="30">
        <v>1</v>
      </c>
      <c r="BD111" s="34">
        <v>0</v>
      </c>
      <c r="BE111" s="34">
        <v>0</v>
      </c>
      <c r="BF111" s="40">
        <v>0</v>
      </c>
      <c r="BG111" s="2">
        <v>0</v>
      </c>
      <c r="BH111" s="2">
        <v>1</v>
      </c>
      <c r="BI111" s="40">
        <v>0</v>
      </c>
      <c r="BJ111" s="2">
        <v>1</v>
      </c>
      <c r="BK111" s="2">
        <v>0</v>
      </c>
      <c r="BL111" s="2">
        <v>0</v>
      </c>
      <c r="BM111" s="40">
        <v>0</v>
      </c>
      <c r="BN111" s="958">
        <v>0</v>
      </c>
      <c r="BO111" s="959">
        <v>14.9</v>
      </c>
      <c r="BP111" s="1018">
        <f t="shared" ca="1" si="143"/>
        <v>115.19999999999999</v>
      </c>
      <c r="BQ111" s="1018">
        <f t="shared" ca="1" si="144"/>
        <v>191.51999999999995</v>
      </c>
      <c r="BR111" s="1018">
        <f t="shared" ca="1" si="145"/>
        <v>43.295999999999999</v>
      </c>
      <c r="BS111" s="1018">
        <f t="shared" ca="1" si="146"/>
        <v>42.459999999999994</v>
      </c>
      <c r="BT111" s="1018">
        <f t="shared" ca="1" si="147"/>
        <v>38.4</v>
      </c>
      <c r="BU111" s="1018">
        <f t="shared" ca="1" si="148"/>
        <v>7</v>
      </c>
      <c r="BV111" s="1018">
        <f t="shared" ca="1" si="149"/>
        <v>4.3</v>
      </c>
      <c r="BW111" s="1018">
        <v>0</v>
      </c>
      <c r="BX111" s="1018">
        <f t="shared" ca="1" si="150"/>
        <v>177.25714285714281</v>
      </c>
      <c r="BY111" s="1018">
        <f t="shared" ca="1" si="151"/>
        <v>95.716084484159211</v>
      </c>
      <c r="BZ111" s="1018">
        <f t="shared" ca="1" si="106"/>
        <v>42.251885199774904</v>
      </c>
      <c r="CA111" s="1018">
        <f t="shared" ca="1" si="107"/>
        <v>34.999999965000001</v>
      </c>
      <c r="CB111" s="1018">
        <f t="shared" ca="1" si="152"/>
        <v>9.0267175572519083</v>
      </c>
      <c r="CC111" s="1018">
        <f t="shared" si="108"/>
        <v>0</v>
      </c>
      <c r="CD111" s="1018">
        <f t="shared" ca="1" si="155"/>
        <v>359.25183006332884</v>
      </c>
      <c r="CE111" s="1018">
        <f t="shared" ca="1" si="156"/>
        <v>58.755316272361483</v>
      </c>
      <c r="CF111" s="1018">
        <f t="shared" ca="1" si="109"/>
        <v>12.540214390070709</v>
      </c>
      <c r="CG111" s="1018">
        <f t="shared" ca="1" si="110"/>
        <v>20878.955350892127</v>
      </c>
    </row>
    <row r="112" spans="4:85" x14ac:dyDescent="0.25">
      <c r="D112" s="655"/>
      <c r="E112" s="654"/>
      <c r="F112" s="655"/>
      <c r="G112" s="654"/>
      <c r="H112" s="655"/>
      <c r="I112" s="654"/>
      <c r="J112" s="655"/>
      <c r="K112" s="657"/>
      <c r="L112" s="659"/>
      <c r="M112" s="655" t="s">
        <v>16</v>
      </c>
      <c r="N112" s="656">
        <v>0.44680851100000002</v>
      </c>
      <c r="O112" s="655" t="s">
        <v>19</v>
      </c>
      <c r="P112" s="656">
        <v>0.37046004799999999</v>
      </c>
      <c r="Q112" s="655" t="s">
        <v>7</v>
      </c>
      <c r="R112" s="656">
        <v>0.26140000000000002</v>
      </c>
      <c r="S112" s="655"/>
      <c r="T112" s="665">
        <v>1.5296954841135556E-3</v>
      </c>
      <c r="U112" s="654"/>
      <c r="V112" s="176">
        <f>T112-T112*Calculation_sheet!F$58</f>
        <v>1.5296954841135556E-3</v>
      </c>
      <c r="W112" s="176">
        <f>V112-V112*Calculation_sheet!E$66</f>
        <v>1.5296954841135556E-3</v>
      </c>
      <c r="X112" s="176">
        <f>W112-W112*Calculation_sheet!E$76</f>
        <v>1.5296954841135556E-3</v>
      </c>
      <c r="Y112" s="34">
        <f>X112/Calculation_sheet!M$67</f>
        <v>1.5297267609231408E-3</v>
      </c>
      <c r="Z112" s="176">
        <f ca="1">IF(AN112&gt;0,Y112*Calculation_sheet!C$87,0)</f>
        <v>0</v>
      </c>
      <c r="AA112" s="176">
        <f t="shared" ca="1" si="153"/>
        <v>1.5297267609231408E-3</v>
      </c>
      <c r="AB112" s="176">
        <f ca="1">IF(AP112&gt;0,AA112*Calculation_sheet!C$94,0)</f>
        <v>0</v>
      </c>
      <c r="AC112" s="176">
        <f t="shared" ca="1" si="142"/>
        <v>1.5297267609231408E-3</v>
      </c>
      <c r="AD112" s="958">
        <f ca="1">AC112*Calculation_sheet!C$99</f>
        <v>9.178360565538844E-4</v>
      </c>
      <c r="AE112" s="176">
        <f t="shared" ca="1" si="142"/>
        <v>6.1189070436925641E-4</v>
      </c>
      <c r="AF112" s="176">
        <f t="shared" ca="1" si="154"/>
        <v>1.5297267609231408E-3</v>
      </c>
      <c r="AG112" s="958">
        <f ca="1">AF112*User_sheet!B$77/100</f>
        <v>0</v>
      </c>
      <c r="AH112" s="313"/>
      <c r="AI112">
        <v>301</v>
      </c>
      <c r="AK112" s="1018">
        <f t="shared" ca="1" si="105"/>
        <v>359.25183006332884</v>
      </c>
      <c r="AL112" s="924">
        <f ca="1">AK112/'301'!I$24</f>
        <v>2.846551115345775</v>
      </c>
      <c r="AM112" s="924">
        <f ca="1">0.8*(AK112*30+'301'!D$17*0.34*30*1)</f>
        <v>10713.615121519892</v>
      </c>
      <c r="AN112" s="954">
        <f ca="1">IF(AM112&lt;User_sheet!B$50,Y112,0)</f>
        <v>0</v>
      </c>
      <c r="AO112" s="954">
        <f ca="1">20-(User_sheet!B$57/(AK112+'301'!D$17*1*0.34))</f>
        <v>7.2312008179930949</v>
      </c>
      <c r="AP112" s="954">
        <f ca="1">IF(AO112&lt;User_sheet!B$59,0,BC112*AA112)</f>
        <v>0</v>
      </c>
      <c r="AR112" s="2">
        <v>14.1</v>
      </c>
      <c r="AS112" s="2">
        <v>3.7</v>
      </c>
      <c r="AT112" s="2">
        <v>7.9</v>
      </c>
      <c r="AU112" s="2">
        <v>5</v>
      </c>
      <c r="AV112" s="2">
        <v>3.3</v>
      </c>
      <c r="AW112" s="2">
        <v>7211.5338771527777</v>
      </c>
      <c r="AX112" s="2">
        <v>76466.30421774846</v>
      </c>
      <c r="AY112" s="2">
        <v>67352.647733737584</v>
      </c>
      <c r="AZ112" s="2">
        <v>0</v>
      </c>
      <c r="BA112" s="2">
        <v>0</v>
      </c>
      <c r="BB112" s="2">
        <v>0.87</v>
      </c>
      <c r="BC112" s="30">
        <v>1</v>
      </c>
      <c r="BD112" s="34">
        <v>0</v>
      </c>
      <c r="BE112" s="34">
        <v>0</v>
      </c>
      <c r="BF112" s="40">
        <v>0</v>
      </c>
      <c r="BG112" s="2">
        <v>0</v>
      </c>
      <c r="BH112" s="2">
        <v>1</v>
      </c>
      <c r="BI112" s="40">
        <v>0</v>
      </c>
      <c r="BJ112" s="2">
        <v>0</v>
      </c>
      <c r="BK112" s="2">
        <v>0</v>
      </c>
      <c r="BL112" s="2">
        <v>1</v>
      </c>
      <c r="BM112" s="40">
        <v>0</v>
      </c>
      <c r="BN112" s="958">
        <v>0</v>
      </c>
      <c r="BO112" s="959">
        <v>14.9</v>
      </c>
      <c r="BP112" s="1018">
        <f t="shared" ca="1" si="143"/>
        <v>115.19999999999999</v>
      </c>
      <c r="BQ112" s="1018">
        <f t="shared" ca="1" si="144"/>
        <v>191.51999999999995</v>
      </c>
      <c r="BR112" s="1018">
        <f t="shared" ca="1" si="145"/>
        <v>43.295999999999999</v>
      </c>
      <c r="BS112" s="1018">
        <f t="shared" ca="1" si="146"/>
        <v>42.459999999999994</v>
      </c>
      <c r="BT112" s="1018">
        <f t="shared" ca="1" si="147"/>
        <v>38.4</v>
      </c>
      <c r="BU112" s="1018">
        <f t="shared" ca="1" si="148"/>
        <v>7</v>
      </c>
      <c r="BV112" s="1018">
        <f t="shared" ca="1" si="149"/>
        <v>4.3</v>
      </c>
      <c r="BW112" s="1018">
        <v>0</v>
      </c>
      <c r="BX112" s="1018">
        <f t="shared" ca="1" si="150"/>
        <v>177.25714285714281</v>
      </c>
      <c r="BY112" s="1018">
        <f t="shared" ca="1" si="151"/>
        <v>95.716084484159211</v>
      </c>
      <c r="BZ112" s="1018">
        <f t="shared" ca="1" si="106"/>
        <v>42.251885199774904</v>
      </c>
      <c r="CA112" s="1018">
        <f t="shared" ca="1" si="107"/>
        <v>34.999999965000001</v>
      </c>
      <c r="CB112" s="1018">
        <f t="shared" ca="1" si="152"/>
        <v>9.0267175572519083</v>
      </c>
      <c r="CC112" s="1018">
        <f t="shared" si="108"/>
        <v>0</v>
      </c>
      <c r="CD112" s="1018">
        <f t="shared" ca="1" si="155"/>
        <v>359.25183006332884</v>
      </c>
      <c r="CE112" s="1018">
        <f t="shared" ca="1" si="156"/>
        <v>58.755316272361483</v>
      </c>
      <c r="CF112" s="1018">
        <f t="shared" ca="1" si="109"/>
        <v>12.540214390070709</v>
      </c>
      <c r="CG112" s="1018">
        <f t="shared" ca="1" si="110"/>
        <v>20878.955350892127</v>
      </c>
    </row>
    <row r="113" spans="4:85" x14ac:dyDescent="0.25">
      <c r="D113" s="655"/>
      <c r="E113" s="654"/>
      <c r="F113" s="655"/>
      <c r="G113" s="654"/>
      <c r="H113" s="655"/>
      <c r="I113" s="654"/>
      <c r="J113" s="655"/>
      <c r="K113" s="657"/>
      <c r="L113" s="659"/>
      <c r="M113" s="655"/>
      <c r="N113" s="655"/>
      <c r="O113" s="655"/>
      <c r="P113" s="655"/>
      <c r="Q113" s="655" t="s">
        <v>22</v>
      </c>
      <c r="R113" s="656">
        <v>0.53710000000000002</v>
      </c>
      <c r="S113" s="655"/>
      <c r="T113" s="665">
        <v>6.8575660376456503E-3</v>
      </c>
      <c r="U113" s="654"/>
      <c r="V113" s="176">
        <f>T113-T113*Calculation_sheet!F$58</f>
        <v>6.8575660376456503E-3</v>
      </c>
      <c r="W113" s="176">
        <f>V113-V113*Calculation_sheet!E$66</f>
        <v>6.8575660376456503E-3</v>
      </c>
      <c r="X113" s="176">
        <f>W113-W113*Calculation_sheet!E$76</f>
        <v>6.8575660376456503E-3</v>
      </c>
      <c r="Y113" s="34">
        <f>X113/Calculation_sheet!M$67</f>
        <v>6.8577062503804107E-3</v>
      </c>
      <c r="Z113" s="176">
        <f ca="1">IF(AN113&gt;0,Y113*Calculation_sheet!C$87,0)</f>
        <v>0</v>
      </c>
      <c r="AA113" s="176">
        <f t="shared" ca="1" si="153"/>
        <v>6.8577062503804107E-3</v>
      </c>
      <c r="AB113" s="176">
        <f ca="1">IF(AP113&gt;0,AA113*Calculation_sheet!C$94,0)</f>
        <v>0</v>
      </c>
      <c r="AC113" s="176">
        <f t="shared" ca="1" si="142"/>
        <v>6.8577062503804107E-3</v>
      </c>
      <c r="AD113" s="958">
        <f ca="1">AC113*Calculation_sheet!C$99</f>
        <v>4.1146237502282463E-3</v>
      </c>
      <c r="AE113" s="176">
        <f t="shared" ca="1" si="142"/>
        <v>2.7430825001521645E-3</v>
      </c>
      <c r="AF113" s="176">
        <f t="shared" ca="1" si="154"/>
        <v>6.8577062503804107E-3</v>
      </c>
      <c r="AG113" s="958">
        <f ca="1">AF113*User_sheet!B$77/100</f>
        <v>0</v>
      </c>
      <c r="AH113" s="313"/>
      <c r="AI113">
        <v>301</v>
      </c>
      <c r="AK113" s="1018">
        <f t="shared" ca="1" si="105"/>
        <v>359.25183006332884</v>
      </c>
      <c r="AL113" s="924">
        <f ca="1">AK113/'301'!I$24</f>
        <v>2.846551115345775</v>
      </c>
      <c r="AM113" s="924">
        <f ca="1">0.8*(AK113*30+'301'!D$17*0.34*30*1)</f>
        <v>10713.615121519892</v>
      </c>
      <c r="AN113" s="954">
        <f ca="1">IF(AM113&lt;User_sheet!B$50,Y113,0)</f>
        <v>0</v>
      </c>
      <c r="AO113" s="954">
        <f ca="1">20-(User_sheet!B$57/(AK113+'301'!D$17*1*0.34))</f>
        <v>7.2312008179930949</v>
      </c>
      <c r="AP113" s="954">
        <f ca="1">IF(AO113&lt;User_sheet!B$59,0,BC113*AA113)</f>
        <v>0</v>
      </c>
      <c r="AR113" s="2">
        <v>14.1</v>
      </c>
      <c r="AS113" s="2">
        <v>3.7</v>
      </c>
      <c r="AT113" s="2">
        <v>7.9</v>
      </c>
      <c r="AU113" s="2">
        <v>5</v>
      </c>
      <c r="AV113" s="2">
        <v>3.3</v>
      </c>
      <c r="AW113" s="2">
        <v>7211.5338771527777</v>
      </c>
      <c r="AX113" s="2">
        <v>76466.30421774846</v>
      </c>
      <c r="AY113" s="2">
        <v>67352.647733737584</v>
      </c>
      <c r="AZ113" s="2">
        <v>0</v>
      </c>
      <c r="BA113" s="2">
        <v>0</v>
      </c>
      <c r="BB113" s="2">
        <v>0.87</v>
      </c>
      <c r="BC113" s="30">
        <v>0</v>
      </c>
      <c r="BD113" s="34">
        <v>1</v>
      </c>
      <c r="BE113" s="34">
        <v>0</v>
      </c>
      <c r="BF113" s="40">
        <v>0</v>
      </c>
      <c r="BG113" s="2">
        <v>1</v>
      </c>
      <c r="BH113" s="2">
        <v>0</v>
      </c>
      <c r="BI113" s="40">
        <v>0</v>
      </c>
      <c r="BJ113" s="2">
        <v>0</v>
      </c>
      <c r="BK113" s="2">
        <v>1</v>
      </c>
      <c r="BL113" s="2">
        <v>0</v>
      </c>
      <c r="BM113" s="40">
        <v>0</v>
      </c>
      <c r="BN113" s="958">
        <v>0</v>
      </c>
      <c r="BO113" s="959">
        <v>14.9</v>
      </c>
      <c r="BP113" s="1018">
        <f t="shared" ca="1" si="143"/>
        <v>115.19999999999999</v>
      </c>
      <c r="BQ113" s="1018">
        <f t="shared" ca="1" si="144"/>
        <v>191.51999999999995</v>
      </c>
      <c r="BR113" s="1018">
        <f t="shared" ca="1" si="145"/>
        <v>43.295999999999999</v>
      </c>
      <c r="BS113" s="1018">
        <f t="shared" ca="1" si="146"/>
        <v>42.459999999999994</v>
      </c>
      <c r="BT113" s="1018">
        <f t="shared" ca="1" si="147"/>
        <v>38.4</v>
      </c>
      <c r="BU113" s="1018">
        <f t="shared" ca="1" si="148"/>
        <v>7</v>
      </c>
      <c r="BV113" s="1018">
        <f t="shared" ca="1" si="149"/>
        <v>4.3</v>
      </c>
      <c r="BW113" s="1018">
        <v>0</v>
      </c>
      <c r="BX113" s="1018">
        <f t="shared" ca="1" si="150"/>
        <v>177.25714285714281</v>
      </c>
      <c r="BY113" s="1018">
        <f t="shared" ca="1" si="151"/>
        <v>95.716084484159211</v>
      </c>
      <c r="BZ113" s="1018">
        <f t="shared" ca="1" si="106"/>
        <v>42.251885199774904</v>
      </c>
      <c r="CA113" s="1018">
        <f t="shared" ca="1" si="107"/>
        <v>34.999999965000001</v>
      </c>
      <c r="CB113" s="1018">
        <f t="shared" ca="1" si="152"/>
        <v>9.0267175572519083</v>
      </c>
      <c r="CC113" s="1018">
        <f t="shared" si="108"/>
        <v>0</v>
      </c>
      <c r="CD113" s="1018">
        <f t="shared" ca="1" si="155"/>
        <v>359.25183006332884</v>
      </c>
      <c r="CE113" s="1018">
        <f t="shared" ca="1" si="156"/>
        <v>58.755316272361483</v>
      </c>
      <c r="CF113" s="1018">
        <f t="shared" ca="1" si="109"/>
        <v>12.540214390070709</v>
      </c>
      <c r="CG113" s="1018">
        <f t="shared" ca="1" si="110"/>
        <v>20878.955350892127</v>
      </c>
    </row>
    <row r="114" spans="4:85" x14ac:dyDescent="0.25">
      <c r="D114" s="655"/>
      <c r="E114" s="654"/>
      <c r="F114" s="655"/>
      <c r="G114" s="654"/>
      <c r="H114" s="655"/>
      <c r="I114" s="654"/>
      <c r="J114" s="655"/>
      <c r="K114" s="657"/>
      <c r="L114" s="659"/>
      <c r="M114" s="655"/>
      <c r="N114" s="655"/>
      <c r="O114" s="655" t="s">
        <v>18</v>
      </c>
      <c r="P114" s="656">
        <v>0.80827067699999999</v>
      </c>
      <c r="Q114" s="655" t="s">
        <v>7</v>
      </c>
      <c r="R114" s="656">
        <v>0.46289999999999998</v>
      </c>
      <c r="S114" s="655"/>
      <c r="T114" s="665">
        <v>5.9101979497787598E-3</v>
      </c>
      <c r="U114" s="654"/>
      <c r="V114" s="176">
        <f>T114-T114*Calculation_sheet!F$58</f>
        <v>5.9101979497787598E-3</v>
      </c>
      <c r="W114" s="176">
        <f>V114-V114*Calculation_sheet!E$66</f>
        <v>5.9101979497787598E-3</v>
      </c>
      <c r="X114" s="176">
        <f>W114-W114*Calculation_sheet!E$76</f>
        <v>5.9101979497787598E-3</v>
      </c>
      <c r="Y114" s="34">
        <f>X114/Calculation_sheet!M$67</f>
        <v>5.9103187922194978E-3</v>
      </c>
      <c r="Z114" s="176">
        <f ca="1">IF(AN114&gt;0,Y114*Calculation_sheet!C$87,0)</f>
        <v>0</v>
      </c>
      <c r="AA114" s="176">
        <f t="shared" ca="1" si="153"/>
        <v>5.9103187922194978E-3</v>
      </c>
      <c r="AB114" s="176">
        <f ca="1">IF(AP114&gt;0,AA114*Calculation_sheet!C$94,0)</f>
        <v>0</v>
      </c>
      <c r="AC114" s="176">
        <f t="shared" ca="1" si="142"/>
        <v>5.9103187922194978E-3</v>
      </c>
      <c r="AD114" s="958">
        <f ca="1">AC114*Calculation_sheet!C$99</f>
        <v>3.5461912753316986E-3</v>
      </c>
      <c r="AE114" s="176">
        <f t="shared" ca="1" si="142"/>
        <v>2.3641275168877992E-3</v>
      </c>
      <c r="AF114" s="176">
        <f t="shared" ca="1" si="154"/>
        <v>5.9103187922194978E-3</v>
      </c>
      <c r="AG114" s="958">
        <f ca="1">AF114*User_sheet!B$77/100</f>
        <v>0</v>
      </c>
      <c r="AH114" s="313"/>
      <c r="AI114">
        <v>301</v>
      </c>
      <c r="AK114" s="1018">
        <f t="shared" ca="1" si="105"/>
        <v>359.25183006332884</v>
      </c>
      <c r="AL114" s="924">
        <f ca="1">AK114/'301'!I$24</f>
        <v>2.846551115345775</v>
      </c>
      <c r="AM114" s="924">
        <f ca="1">0.8*(AK114*30+'301'!D$17*0.34*30*1)</f>
        <v>10713.615121519892</v>
      </c>
      <c r="AN114" s="954">
        <f ca="1">IF(AM114&lt;User_sheet!B$50,Y114,0)</f>
        <v>0</v>
      </c>
      <c r="AO114" s="954">
        <f ca="1">20-(User_sheet!B$57/(AK114+'301'!D$17*1*0.34))</f>
        <v>7.2312008179930949</v>
      </c>
      <c r="AP114" s="954">
        <f ca="1">IF(AO114&lt;User_sheet!B$59,0,BC114*AA114)</f>
        <v>0</v>
      </c>
      <c r="AR114" s="2">
        <v>14.1</v>
      </c>
      <c r="AS114" s="2">
        <v>3.7</v>
      </c>
      <c r="AT114" s="2">
        <v>7.9</v>
      </c>
      <c r="AU114" s="2">
        <v>5</v>
      </c>
      <c r="AV114" s="2">
        <v>3.3</v>
      </c>
      <c r="AW114" s="2">
        <v>7211.5338771527777</v>
      </c>
      <c r="AX114" s="2">
        <v>76466.30421774846</v>
      </c>
      <c r="AY114" s="2">
        <v>67352.647733737584</v>
      </c>
      <c r="AZ114" s="2">
        <v>0</v>
      </c>
      <c r="BA114" s="2">
        <v>0</v>
      </c>
      <c r="BB114" s="2">
        <v>0.87</v>
      </c>
      <c r="BC114" s="30">
        <v>0</v>
      </c>
      <c r="BD114" s="34">
        <v>1</v>
      </c>
      <c r="BE114" s="34">
        <v>0</v>
      </c>
      <c r="BF114" s="40">
        <v>0</v>
      </c>
      <c r="BG114" s="2">
        <v>1</v>
      </c>
      <c r="BH114" s="2">
        <v>0</v>
      </c>
      <c r="BI114" s="40">
        <v>0</v>
      </c>
      <c r="BJ114" s="2">
        <v>0</v>
      </c>
      <c r="BK114" s="2">
        <v>0</v>
      </c>
      <c r="BL114" s="2">
        <v>1</v>
      </c>
      <c r="BM114" s="40">
        <v>0</v>
      </c>
      <c r="BN114" s="958">
        <v>0</v>
      </c>
      <c r="BO114" s="959">
        <v>14.9</v>
      </c>
      <c r="BP114" s="1018">
        <f t="shared" ca="1" si="143"/>
        <v>115.19999999999999</v>
      </c>
      <c r="BQ114" s="1018">
        <f t="shared" ca="1" si="144"/>
        <v>191.51999999999995</v>
      </c>
      <c r="BR114" s="1018">
        <f t="shared" ca="1" si="145"/>
        <v>43.295999999999999</v>
      </c>
      <c r="BS114" s="1018">
        <f t="shared" ca="1" si="146"/>
        <v>42.459999999999994</v>
      </c>
      <c r="BT114" s="1018">
        <f t="shared" ca="1" si="147"/>
        <v>38.4</v>
      </c>
      <c r="BU114" s="1018">
        <f t="shared" ca="1" si="148"/>
        <v>7</v>
      </c>
      <c r="BV114" s="1018">
        <f t="shared" ca="1" si="149"/>
        <v>4.3</v>
      </c>
      <c r="BW114" s="1018">
        <v>0</v>
      </c>
      <c r="BX114" s="1018">
        <f t="shared" ca="1" si="150"/>
        <v>177.25714285714281</v>
      </c>
      <c r="BY114" s="1018">
        <f t="shared" ca="1" si="151"/>
        <v>95.716084484159211</v>
      </c>
      <c r="BZ114" s="1018">
        <f t="shared" ca="1" si="106"/>
        <v>42.251885199774904</v>
      </c>
      <c r="CA114" s="1018">
        <f t="shared" ca="1" si="107"/>
        <v>34.999999965000001</v>
      </c>
      <c r="CB114" s="1018">
        <f t="shared" ca="1" si="152"/>
        <v>9.0267175572519083</v>
      </c>
      <c r="CC114" s="1018">
        <f t="shared" si="108"/>
        <v>0</v>
      </c>
      <c r="CD114" s="1018">
        <f t="shared" ca="1" si="155"/>
        <v>359.25183006332884</v>
      </c>
      <c r="CE114" s="1018">
        <f t="shared" ca="1" si="156"/>
        <v>58.755316272361483</v>
      </c>
      <c r="CF114" s="1018">
        <f t="shared" ca="1" si="109"/>
        <v>12.540214390070709</v>
      </c>
      <c r="CG114" s="1018">
        <f t="shared" ca="1" si="110"/>
        <v>20878.955350892127</v>
      </c>
    </row>
    <row r="115" spans="4:85" x14ac:dyDescent="0.25">
      <c r="D115" s="655"/>
      <c r="E115" s="654"/>
      <c r="F115" s="655"/>
      <c r="G115" s="654"/>
      <c r="H115" s="655"/>
      <c r="I115" s="654"/>
      <c r="J115" s="655"/>
      <c r="K115" s="657"/>
      <c r="L115" s="659"/>
      <c r="M115" s="655"/>
      <c r="N115" s="655"/>
      <c r="O115" s="655"/>
      <c r="P115" s="655"/>
      <c r="Q115" s="655" t="s">
        <v>22</v>
      </c>
      <c r="R115" s="656">
        <v>0.53710000000000002</v>
      </c>
      <c r="S115" s="655"/>
      <c r="T115" s="665">
        <v>1.6266784522056751E-3</v>
      </c>
      <c r="U115" s="654"/>
      <c r="V115" s="176">
        <f>T115-T115*Calculation_sheet!F$58</f>
        <v>1.6266784522056751E-3</v>
      </c>
      <c r="W115" s="176">
        <f>V115-V115*Calculation_sheet!E$66</f>
        <v>1.6266784522056751E-3</v>
      </c>
      <c r="X115" s="176">
        <f>W115-W115*Calculation_sheet!E$76</f>
        <v>1.6266784522056751E-3</v>
      </c>
      <c r="Y115" s="34">
        <f>X115/Calculation_sheet!M$67</f>
        <v>1.6267117119705987E-3</v>
      </c>
      <c r="Z115" s="176">
        <f ca="1">IF(AN115&gt;0,Y115*Calculation_sheet!C$87,0)</f>
        <v>0</v>
      </c>
      <c r="AA115" s="176">
        <f t="shared" ca="1" si="153"/>
        <v>1.6267117119705987E-3</v>
      </c>
      <c r="AB115" s="176">
        <f ca="1">IF(AP115&gt;0,AA115*Calculation_sheet!C$94,0)</f>
        <v>0</v>
      </c>
      <c r="AC115" s="176">
        <f t="shared" ca="1" si="142"/>
        <v>1.6267117119705987E-3</v>
      </c>
      <c r="AD115" s="958">
        <f ca="1">AC115*Calculation_sheet!C$99</f>
        <v>9.760270271823592E-4</v>
      </c>
      <c r="AE115" s="176">
        <f t="shared" ca="1" si="142"/>
        <v>6.5068468478823947E-4</v>
      </c>
      <c r="AF115" s="176">
        <f t="shared" ca="1" si="154"/>
        <v>1.6267117119705987E-3</v>
      </c>
      <c r="AG115" s="958">
        <f ca="1">AF115*User_sheet!B$77/100</f>
        <v>0</v>
      </c>
      <c r="AH115" s="313"/>
      <c r="AI115">
        <v>301</v>
      </c>
      <c r="AK115" s="1018">
        <f t="shared" ca="1" si="105"/>
        <v>359.25183006332884</v>
      </c>
      <c r="AL115" s="924">
        <f ca="1">AK115/'301'!I$24</f>
        <v>2.846551115345775</v>
      </c>
      <c r="AM115" s="924">
        <f ca="1">0.8*(AK115*30+'301'!D$17*0.34*30*1)</f>
        <v>10713.615121519892</v>
      </c>
      <c r="AN115" s="954">
        <f ca="1">IF(AM115&lt;User_sheet!B$50,Y115,0)</f>
        <v>0</v>
      </c>
      <c r="AO115" s="954">
        <f ca="1">20-(User_sheet!B$57/(AK115+'301'!D$17*1*0.34))</f>
        <v>7.2312008179930949</v>
      </c>
      <c r="AP115" s="954">
        <f ca="1">IF(AO115&lt;User_sheet!B$59,0,BC115*AA115)</f>
        <v>0</v>
      </c>
      <c r="AR115" s="2">
        <v>14.1</v>
      </c>
      <c r="AS115" s="2">
        <v>3.7</v>
      </c>
      <c r="AT115" s="2">
        <v>7.9</v>
      </c>
      <c r="AU115" s="2">
        <v>5</v>
      </c>
      <c r="AV115" s="2">
        <v>3.3</v>
      </c>
      <c r="AW115" s="2">
        <v>7211.5338771527777</v>
      </c>
      <c r="AX115" s="2">
        <v>76466.30421774846</v>
      </c>
      <c r="AY115" s="2">
        <v>67352.647733737584</v>
      </c>
      <c r="AZ115" s="2">
        <v>0</v>
      </c>
      <c r="BA115" s="2">
        <v>0</v>
      </c>
      <c r="BB115" s="2">
        <v>0.87</v>
      </c>
      <c r="BC115" s="30">
        <v>0</v>
      </c>
      <c r="BD115" s="34">
        <v>1</v>
      </c>
      <c r="BE115" s="34">
        <v>0</v>
      </c>
      <c r="BF115" s="40">
        <v>0</v>
      </c>
      <c r="BG115" s="2">
        <v>0</v>
      </c>
      <c r="BH115" s="2">
        <v>1</v>
      </c>
      <c r="BI115" s="40">
        <v>0</v>
      </c>
      <c r="BJ115" s="2">
        <v>0</v>
      </c>
      <c r="BK115" s="2">
        <v>1</v>
      </c>
      <c r="BL115" s="2">
        <v>0</v>
      </c>
      <c r="BM115" s="40">
        <v>0</v>
      </c>
      <c r="BN115" s="958">
        <v>0</v>
      </c>
      <c r="BO115" s="959">
        <v>14.9</v>
      </c>
      <c r="BP115" s="1018">
        <f t="shared" ca="1" si="143"/>
        <v>115.19999999999999</v>
      </c>
      <c r="BQ115" s="1018">
        <f t="shared" ca="1" si="144"/>
        <v>191.51999999999995</v>
      </c>
      <c r="BR115" s="1018">
        <f t="shared" ca="1" si="145"/>
        <v>43.295999999999999</v>
      </c>
      <c r="BS115" s="1018">
        <f t="shared" ca="1" si="146"/>
        <v>42.459999999999994</v>
      </c>
      <c r="BT115" s="1018">
        <f t="shared" ca="1" si="147"/>
        <v>38.4</v>
      </c>
      <c r="BU115" s="1018">
        <f t="shared" ca="1" si="148"/>
        <v>7</v>
      </c>
      <c r="BV115" s="1018">
        <f t="shared" ca="1" si="149"/>
        <v>4.3</v>
      </c>
      <c r="BW115" s="1018">
        <v>0</v>
      </c>
      <c r="BX115" s="1018">
        <f t="shared" ca="1" si="150"/>
        <v>177.25714285714281</v>
      </c>
      <c r="BY115" s="1018">
        <f t="shared" ca="1" si="151"/>
        <v>95.716084484159211</v>
      </c>
      <c r="BZ115" s="1018">
        <f t="shared" ca="1" si="106"/>
        <v>42.251885199774904</v>
      </c>
      <c r="CA115" s="1018">
        <f t="shared" ca="1" si="107"/>
        <v>34.999999965000001</v>
      </c>
      <c r="CB115" s="1018">
        <f t="shared" ca="1" si="152"/>
        <v>9.0267175572519083</v>
      </c>
      <c r="CC115" s="1018">
        <f t="shared" si="108"/>
        <v>0</v>
      </c>
      <c r="CD115" s="1018">
        <f t="shared" ca="1" si="155"/>
        <v>359.25183006332884</v>
      </c>
      <c r="CE115" s="1018">
        <f t="shared" ca="1" si="156"/>
        <v>58.755316272361483</v>
      </c>
      <c r="CF115" s="1018">
        <f t="shared" ca="1" si="109"/>
        <v>12.540214390070709</v>
      </c>
      <c r="CG115" s="1018">
        <f t="shared" ca="1" si="110"/>
        <v>20878.955350892127</v>
      </c>
    </row>
    <row r="116" spans="4:85" x14ac:dyDescent="0.25">
      <c r="D116" s="655"/>
      <c r="E116" s="654"/>
      <c r="F116" s="655"/>
      <c r="G116" s="654"/>
      <c r="H116" s="655"/>
      <c r="I116" s="654"/>
      <c r="J116" s="655"/>
      <c r="K116" s="657"/>
      <c r="L116" s="659"/>
      <c r="M116" s="655" t="s">
        <v>22</v>
      </c>
      <c r="N116" s="656">
        <v>0.44680851100000002</v>
      </c>
      <c r="O116" s="655" t="s">
        <v>20</v>
      </c>
      <c r="P116" s="656">
        <v>0.19172932300000001</v>
      </c>
      <c r="Q116" s="655" t="s">
        <v>7</v>
      </c>
      <c r="R116" s="656">
        <v>0.46289999999999998</v>
      </c>
      <c r="S116" s="655"/>
      <c r="T116" s="665">
        <v>1.4019539294842802E-3</v>
      </c>
      <c r="U116" s="654"/>
      <c r="V116" s="176">
        <f>T116-T116*Calculation_sheet!F$58</f>
        <v>1.4019539294842802E-3</v>
      </c>
      <c r="W116" s="176">
        <f>V116-V116*Calculation_sheet!E$66</f>
        <v>1.4019539294842802E-3</v>
      </c>
      <c r="X116" s="176">
        <f>W116-W116*Calculation_sheet!E$76</f>
        <v>1.4019539294842802E-3</v>
      </c>
      <c r="Y116" s="34">
        <f>X116/Calculation_sheet!M$67</f>
        <v>1.401982594435282E-3</v>
      </c>
      <c r="Z116" s="176">
        <f ca="1">IF(AN116&gt;0,Y116*Calculation_sheet!C$87,0)</f>
        <v>0</v>
      </c>
      <c r="AA116" s="176">
        <f t="shared" ca="1" si="153"/>
        <v>1.401982594435282E-3</v>
      </c>
      <c r="AB116" s="176">
        <f ca="1">IF(AP116&gt;0,AA116*Calculation_sheet!C$94,0)</f>
        <v>0</v>
      </c>
      <c r="AC116" s="176">
        <f t="shared" ca="1" si="142"/>
        <v>1.401982594435282E-3</v>
      </c>
      <c r="AD116" s="958">
        <f ca="1">AC116*Calculation_sheet!C$99</f>
        <v>8.411895566611692E-4</v>
      </c>
      <c r="AE116" s="176">
        <f t="shared" ca="1" si="142"/>
        <v>5.607930377741128E-4</v>
      </c>
      <c r="AF116" s="176">
        <f t="shared" ca="1" si="154"/>
        <v>1.401982594435282E-3</v>
      </c>
      <c r="AG116" s="958">
        <f ca="1">AF116*User_sheet!B$77/100</f>
        <v>0</v>
      </c>
      <c r="AH116" s="313"/>
      <c r="AI116">
        <v>301</v>
      </c>
      <c r="AK116" s="1018">
        <f t="shared" ca="1" si="105"/>
        <v>359.25183006332884</v>
      </c>
      <c r="AL116" s="924">
        <f ca="1">AK116/'301'!I$24</f>
        <v>2.846551115345775</v>
      </c>
      <c r="AM116" s="924">
        <f ca="1">0.8*(AK116*30+'301'!D$17*0.34*30*1)</f>
        <v>10713.615121519892</v>
      </c>
      <c r="AN116" s="954">
        <f ca="1">IF(AM116&lt;User_sheet!B$50,Y116,0)</f>
        <v>0</v>
      </c>
      <c r="AO116" s="954">
        <f ca="1">20-(User_sheet!B$57/(AK116+'301'!D$17*1*0.34))</f>
        <v>7.2312008179930949</v>
      </c>
      <c r="AP116" s="954">
        <f ca="1">IF(AO116&lt;User_sheet!B$59,0,BC116*AA116)</f>
        <v>0</v>
      </c>
      <c r="AR116" s="2">
        <v>14.1</v>
      </c>
      <c r="AS116" s="2">
        <v>3.7</v>
      </c>
      <c r="AT116" s="2">
        <v>7.9</v>
      </c>
      <c r="AU116" s="2">
        <v>5</v>
      </c>
      <c r="AV116" s="2">
        <v>3.3</v>
      </c>
      <c r="AW116" s="2">
        <v>7211.5338771527777</v>
      </c>
      <c r="AX116" s="2">
        <v>76466.30421774846</v>
      </c>
      <c r="AY116" s="2">
        <v>67352.647733737584</v>
      </c>
      <c r="AZ116" s="2">
        <v>0</v>
      </c>
      <c r="BA116" s="2">
        <v>0</v>
      </c>
      <c r="BB116" s="2">
        <v>0.87</v>
      </c>
      <c r="BC116" s="30">
        <v>0</v>
      </c>
      <c r="BD116" s="34">
        <v>1</v>
      </c>
      <c r="BE116" s="34">
        <v>0</v>
      </c>
      <c r="BF116" s="40">
        <v>0</v>
      </c>
      <c r="BG116" s="2">
        <v>0</v>
      </c>
      <c r="BH116" s="2">
        <v>1</v>
      </c>
      <c r="BI116" s="40">
        <v>0</v>
      </c>
      <c r="BJ116" s="2">
        <v>0</v>
      </c>
      <c r="BK116" s="2">
        <v>0</v>
      </c>
      <c r="BL116" s="2">
        <v>1</v>
      </c>
      <c r="BM116" s="40">
        <v>0</v>
      </c>
      <c r="BN116" s="958">
        <v>0</v>
      </c>
      <c r="BO116" s="959">
        <v>14.9</v>
      </c>
      <c r="BP116" s="1018">
        <f t="shared" ca="1" si="143"/>
        <v>115.19999999999999</v>
      </c>
      <c r="BQ116" s="1018">
        <f t="shared" ca="1" si="144"/>
        <v>191.51999999999995</v>
      </c>
      <c r="BR116" s="1018">
        <f t="shared" ca="1" si="145"/>
        <v>43.295999999999999</v>
      </c>
      <c r="BS116" s="1018">
        <f t="shared" ca="1" si="146"/>
        <v>42.459999999999994</v>
      </c>
      <c r="BT116" s="1018">
        <f t="shared" ca="1" si="147"/>
        <v>38.4</v>
      </c>
      <c r="BU116" s="1018">
        <f t="shared" ca="1" si="148"/>
        <v>7</v>
      </c>
      <c r="BV116" s="1018">
        <f t="shared" ca="1" si="149"/>
        <v>4.3</v>
      </c>
      <c r="BW116" s="1018">
        <v>0</v>
      </c>
      <c r="BX116" s="1018">
        <f t="shared" ca="1" si="150"/>
        <v>177.25714285714281</v>
      </c>
      <c r="BY116" s="1018">
        <f t="shared" ca="1" si="151"/>
        <v>95.716084484159211</v>
      </c>
      <c r="BZ116" s="1018">
        <f t="shared" ca="1" si="106"/>
        <v>42.251885199774904</v>
      </c>
      <c r="CA116" s="1018">
        <f t="shared" ca="1" si="107"/>
        <v>34.999999965000001</v>
      </c>
      <c r="CB116" s="1018">
        <f t="shared" ca="1" si="152"/>
        <v>9.0267175572519083</v>
      </c>
      <c r="CC116" s="1018">
        <f t="shared" si="108"/>
        <v>0</v>
      </c>
      <c r="CD116" s="1018">
        <f t="shared" ca="1" si="155"/>
        <v>359.25183006332884</v>
      </c>
      <c r="CE116" s="1018">
        <f t="shared" ca="1" si="156"/>
        <v>58.755316272361483</v>
      </c>
      <c r="CF116" s="1018">
        <f t="shared" ca="1" si="109"/>
        <v>12.540214390070709</v>
      </c>
      <c r="CG116" s="1018">
        <f t="shared" ca="1" si="110"/>
        <v>20878.955350892127</v>
      </c>
    </row>
    <row r="117" spans="4:85" x14ac:dyDescent="0.25">
      <c r="D117" s="655"/>
      <c r="E117" s="654"/>
      <c r="F117" s="655"/>
      <c r="G117" s="654"/>
      <c r="H117" s="655"/>
      <c r="I117" s="654"/>
      <c r="J117" s="655"/>
      <c r="K117" s="654"/>
      <c r="L117" s="654"/>
      <c r="M117" s="655" t="s">
        <v>7</v>
      </c>
      <c r="N117" s="656">
        <v>2.1276595999999998E-2</v>
      </c>
      <c r="O117" s="655" t="s">
        <v>23</v>
      </c>
      <c r="P117" s="656">
        <v>1</v>
      </c>
      <c r="Q117" s="655" t="s">
        <v>7</v>
      </c>
      <c r="R117" s="656">
        <v>1</v>
      </c>
      <c r="S117" s="655"/>
      <c r="T117" s="665">
        <v>7.5220935932778865E-4</v>
      </c>
      <c r="U117" s="654"/>
      <c r="V117" s="176">
        <f>T117-T117*Calculation_sheet!F$58</f>
        <v>7.5220935932778865E-4</v>
      </c>
      <c r="W117" s="176">
        <f>V117-V117*Calculation_sheet!E$66</f>
        <v>7.5220935932778865E-4</v>
      </c>
      <c r="X117" s="176">
        <f>W117-W117*Calculation_sheet!E$76</f>
        <v>7.5220935932778865E-4</v>
      </c>
      <c r="Y117" s="34">
        <f>X117/Calculation_sheet!M$67</f>
        <v>7.522247393227905E-4</v>
      </c>
      <c r="Z117" s="176">
        <f ca="1">IF(AN117&gt;0,Y117*Calculation_sheet!C$87,0)</f>
        <v>0</v>
      </c>
      <c r="AA117" s="176">
        <f t="shared" ca="1" si="153"/>
        <v>7.522247393227905E-4</v>
      </c>
      <c r="AB117" s="176">
        <f ca="1">IF(AP117&gt;0,AA117*Calculation_sheet!C$94,0)</f>
        <v>0</v>
      </c>
      <c r="AC117" s="176">
        <f t="shared" ca="1" si="142"/>
        <v>7.522247393227905E-4</v>
      </c>
      <c r="AD117" s="958">
        <f ca="1">AC117*Calculation_sheet!C$99</f>
        <v>4.5133484359367426E-4</v>
      </c>
      <c r="AE117" s="176">
        <f t="shared" ca="1" si="142"/>
        <v>3.0088989572911624E-4</v>
      </c>
      <c r="AF117" s="176">
        <f t="shared" ca="1" si="154"/>
        <v>7.522247393227905E-4</v>
      </c>
      <c r="AG117" s="958">
        <f ca="1">AF117*User_sheet!B$77/100</f>
        <v>0</v>
      </c>
      <c r="AH117" s="313"/>
      <c r="AI117">
        <v>301</v>
      </c>
      <c r="AK117" s="1018">
        <f t="shared" ca="1" si="105"/>
        <v>359.25183006332884</v>
      </c>
      <c r="AL117" s="924">
        <f ca="1">AK117/'301'!I$24</f>
        <v>2.846551115345775</v>
      </c>
      <c r="AM117" s="924">
        <f ca="1">0.8*(AK117*30+'301'!D$17*0.34*30*1)</f>
        <v>10713.615121519892</v>
      </c>
      <c r="AN117" s="954">
        <f ca="1">IF(AM117&lt;User_sheet!B$50,Y117,0)</f>
        <v>0</v>
      </c>
      <c r="AO117" s="954">
        <f ca="1">20-(User_sheet!B$57/(AK117+'301'!D$17*1*0.34))</f>
        <v>7.2312008179930949</v>
      </c>
      <c r="AP117" s="954">
        <f ca="1">IF(AO117&lt;User_sheet!B$59,0,BC117*AA117)</f>
        <v>0</v>
      </c>
      <c r="AR117" s="2">
        <v>14.1</v>
      </c>
      <c r="AS117" s="2">
        <v>3.7</v>
      </c>
      <c r="AT117" s="2">
        <v>7.9</v>
      </c>
      <c r="AU117" s="2">
        <v>5</v>
      </c>
      <c r="AV117" s="2">
        <v>3.3</v>
      </c>
      <c r="AW117" s="2">
        <v>7211.5338771527777</v>
      </c>
      <c r="AX117" s="2">
        <v>76466.30421774846</v>
      </c>
      <c r="AY117" s="2">
        <v>67352.647733737584</v>
      </c>
      <c r="AZ117" s="2">
        <v>0</v>
      </c>
      <c r="BA117" s="2">
        <v>0</v>
      </c>
      <c r="BB117" s="2">
        <v>0.87</v>
      </c>
      <c r="BC117" s="30">
        <v>0</v>
      </c>
      <c r="BD117" s="34">
        <v>0</v>
      </c>
      <c r="BE117" s="34">
        <v>1</v>
      </c>
      <c r="BF117" s="40">
        <v>0</v>
      </c>
      <c r="BG117" s="2">
        <v>0</v>
      </c>
      <c r="BH117" s="2">
        <v>0</v>
      </c>
      <c r="BI117" s="40">
        <v>1</v>
      </c>
      <c r="BJ117" s="2">
        <v>0</v>
      </c>
      <c r="BK117" s="2">
        <v>0</v>
      </c>
      <c r="BL117" s="2">
        <v>1</v>
      </c>
      <c r="BM117" s="40">
        <v>0</v>
      </c>
      <c r="BN117" s="958">
        <v>0</v>
      </c>
      <c r="BO117" s="959">
        <v>14.9</v>
      </c>
      <c r="BP117" s="1018">
        <f t="shared" ca="1" si="143"/>
        <v>115.19999999999999</v>
      </c>
      <c r="BQ117" s="1018">
        <f t="shared" ca="1" si="144"/>
        <v>191.51999999999995</v>
      </c>
      <c r="BR117" s="1018">
        <f t="shared" ca="1" si="145"/>
        <v>43.295999999999999</v>
      </c>
      <c r="BS117" s="1018">
        <f t="shared" ca="1" si="146"/>
        <v>42.459999999999994</v>
      </c>
      <c r="BT117" s="1018">
        <f t="shared" ca="1" si="147"/>
        <v>38.4</v>
      </c>
      <c r="BU117" s="1018">
        <f t="shared" ca="1" si="148"/>
        <v>7</v>
      </c>
      <c r="BV117" s="1018">
        <f t="shared" ca="1" si="149"/>
        <v>4.3</v>
      </c>
      <c r="BW117" s="1018">
        <v>0</v>
      </c>
      <c r="BX117" s="1018">
        <f t="shared" ca="1" si="150"/>
        <v>177.25714285714281</v>
      </c>
      <c r="BY117" s="1018">
        <f t="shared" ca="1" si="151"/>
        <v>95.716084484159211</v>
      </c>
      <c r="BZ117" s="1018">
        <f t="shared" ca="1" si="106"/>
        <v>42.251885199774904</v>
      </c>
      <c r="CA117" s="1018">
        <f t="shared" ca="1" si="107"/>
        <v>34.999999965000001</v>
      </c>
      <c r="CB117" s="1018">
        <f t="shared" ca="1" si="152"/>
        <v>9.0267175572519083</v>
      </c>
      <c r="CC117" s="1018">
        <f t="shared" si="108"/>
        <v>0</v>
      </c>
      <c r="CD117" s="1018">
        <f t="shared" ca="1" si="155"/>
        <v>359.25183006332884</v>
      </c>
      <c r="CE117" s="1018">
        <f t="shared" ca="1" si="156"/>
        <v>58.755316272361483</v>
      </c>
      <c r="CF117" s="1018">
        <f t="shared" ca="1" si="109"/>
        <v>12.540214390070709</v>
      </c>
      <c r="CG117" s="1018">
        <f t="shared" ca="1" si="110"/>
        <v>20878.955350892127</v>
      </c>
    </row>
    <row r="118" spans="4:85" x14ac:dyDescent="0.25">
      <c r="D118" s="655"/>
      <c r="E118" s="654"/>
      <c r="F118" s="655"/>
      <c r="G118" s="654"/>
      <c r="H118" s="655"/>
      <c r="I118" s="654"/>
      <c r="J118" s="655"/>
      <c r="K118" s="655"/>
      <c r="L118" s="655"/>
      <c r="M118" s="655"/>
      <c r="N118" s="655"/>
      <c r="O118" s="655" t="s">
        <v>18</v>
      </c>
      <c r="P118" s="656">
        <v>0.15910607099999999</v>
      </c>
      <c r="Q118" s="655" t="s">
        <v>17</v>
      </c>
      <c r="R118" s="656">
        <v>1</v>
      </c>
      <c r="S118" s="655"/>
      <c r="T118" s="665">
        <v>4.7872429730327605E-4</v>
      </c>
      <c r="U118" s="654"/>
      <c r="V118" s="176">
        <f>T118-T118*Calculation_sheet!F$58</f>
        <v>4.7872429730327605E-4</v>
      </c>
      <c r="W118" s="176">
        <f>V118-V118*Calculation_sheet!E$66</f>
        <v>4.7872429730327605E-4</v>
      </c>
      <c r="X118" s="176">
        <f>W118-W118*Calculation_sheet!E$76</f>
        <v>4.7872429730327605E-4</v>
      </c>
      <c r="Y118" s="34">
        <f>X118/Calculation_sheet!M$67</f>
        <v>4.7873408550546797E-4</v>
      </c>
      <c r="Z118" s="176">
        <f ca="1">IF(AN118&gt;0,Y118*Calculation_sheet!C$87,0)</f>
        <v>0</v>
      </c>
      <c r="AA118" s="176">
        <f t="shared" ca="1" si="153"/>
        <v>4.7873408550546797E-4</v>
      </c>
      <c r="AB118" s="176">
        <f ca="1">IF(AP118&gt;0,AA118*Calculation_sheet!C$94,0)</f>
        <v>0</v>
      </c>
      <c r="AC118" s="176">
        <f t="shared" ca="1" si="142"/>
        <v>4.7873408550546797E-4</v>
      </c>
      <c r="AD118" s="958">
        <f ca="1">AC118*Calculation_sheet!C$99</f>
        <v>2.8724045130328079E-4</v>
      </c>
      <c r="AE118" s="176">
        <f t="shared" ca="1" si="142"/>
        <v>1.9149363420218718E-4</v>
      </c>
      <c r="AF118" s="176">
        <f t="shared" ca="1" si="154"/>
        <v>4.7873408550546797E-4</v>
      </c>
      <c r="AG118" s="958">
        <f ca="1">AF118*User_sheet!B$77/100</f>
        <v>0</v>
      </c>
      <c r="AH118" s="313"/>
      <c r="AI118">
        <v>301</v>
      </c>
      <c r="AK118" s="1018">
        <f t="shared" ca="1" si="105"/>
        <v>359.25183006332884</v>
      </c>
      <c r="AL118" s="924">
        <f ca="1">AK118/'301'!I$24</f>
        <v>2.846551115345775</v>
      </c>
      <c r="AM118" s="924">
        <f ca="1">0.8*(AK118*30+'301'!D$17*0.34*30*1)</f>
        <v>10713.615121519892</v>
      </c>
      <c r="AN118" s="954">
        <f ca="1">IF(AM118&lt;User_sheet!B$50,Y118,0)</f>
        <v>0</v>
      </c>
      <c r="AO118" s="954">
        <f ca="1">20-(User_sheet!B$57/(AK118+'301'!D$17*1*0.34))</f>
        <v>7.2312008179930949</v>
      </c>
      <c r="AP118" s="954">
        <f ca="1">IF(AO118&lt;User_sheet!B$59,0,BC118*AA118)</f>
        <v>0</v>
      </c>
      <c r="AR118" s="2">
        <v>14.1</v>
      </c>
      <c r="AS118" s="2">
        <v>3.7</v>
      </c>
      <c r="AT118" s="2">
        <v>7.9</v>
      </c>
      <c r="AU118" s="2">
        <v>5</v>
      </c>
      <c r="AV118" s="2">
        <v>3.3</v>
      </c>
      <c r="AW118" s="2">
        <v>7211.5338771527777</v>
      </c>
      <c r="AX118" s="2">
        <v>76466.30421774846</v>
      </c>
      <c r="AY118" s="2">
        <v>67352.647733737584</v>
      </c>
      <c r="AZ118" s="2">
        <v>0</v>
      </c>
      <c r="BA118" s="2">
        <v>0</v>
      </c>
      <c r="BB118" s="2">
        <v>0.87</v>
      </c>
      <c r="BC118" s="30">
        <v>0</v>
      </c>
      <c r="BD118" s="34">
        <v>0</v>
      </c>
      <c r="BE118" s="34">
        <v>0</v>
      </c>
      <c r="BF118" s="40">
        <v>1</v>
      </c>
      <c r="BG118" s="2">
        <v>1</v>
      </c>
      <c r="BH118" s="2">
        <v>0</v>
      </c>
      <c r="BI118" s="40">
        <v>0</v>
      </c>
      <c r="BJ118" s="2">
        <v>0</v>
      </c>
      <c r="BK118" s="2">
        <v>0</v>
      </c>
      <c r="BL118" s="2">
        <v>0</v>
      </c>
      <c r="BM118" s="40">
        <v>1</v>
      </c>
      <c r="BN118" s="958">
        <v>0</v>
      </c>
      <c r="BO118" s="959">
        <v>14.9</v>
      </c>
      <c r="BP118" s="1018">
        <f t="shared" ca="1" si="143"/>
        <v>115.19999999999999</v>
      </c>
      <c r="BQ118" s="1018">
        <f t="shared" ca="1" si="144"/>
        <v>191.51999999999995</v>
      </c>
      <c r="BR118" s="1018">
        <f t="shared" ca="1" si="145"/>
        <v>43.295999999999999</v>
      </c>
      <c r="BS118" s="1018">
        <f t="shared" ca="1" si="146"/>
        <v>42.459999999999994</v>
      </c>
      <c r="BT118" s="1018">
        <f t="shared" ca="1" si="147"/>
        <v>38.4</v>
      </c>
      <c r="BU118" s="1018">
        <f t="shared" ca="1" si="148"/>
        <v>7</v>
      </c>
      <c r="BV118" s="1018">
        <f t="shared" ca="1" si="149"/>
        <v>4.3</v>
      </c>
      <c r="BW118" s="1018">
        <v>0</v>
      </c>
      <c r="BX118" s="1018">
        <f t="shared" ca="1" si="150"/>
        <v>177.25714285714281</v>
      </c>
      <c r="BY118" s="1018">
        <f t="shared" ca="1" si="151"/>
        <v>95.716084484159211</v>
      </c>
      <c r="BZ118" s="1018">
        <f t="shared" ca="1" si="106"/>
        <v>42.251885199774904</v>
      </c>
      <c r="CA118" s="1018">
        <f t="shared" ca="1" si="107"/>
        <v>34.999999965000001</v>
      </c>
      <c r="CB118" s="1018">
        <f t="shared" ca="1" si="152"/>
        <v>9.0267175572519083</v>
      </c>
      <c r="CC118" s="1018">
        <f t="shared" si="108"/>
        <v>0</v>
      </c>
      <c r="CD118" s="1018">
        <f t="shared" ca="1" si="155"/>
        <v>359.25183006332884</v>
      </c>
      <c r="CE118" s="1018">
        <f t="shared" ca="1" si="156"/>
        <v>58.755316272361483</v>
      </c>
      <c r="CF118" s="1018">
        <f t="shared" ca="1" si="109"/>
        <v>12.540214390070709</v>
      </c>
      <c r="CG118" s="1018">
        <f t="shared" ca="1" si="110"/>
        <v>20878.955350892127</v>
      </c>
    </row>
    <row r="119" spans="4:85" x14ac:dyDescent="0.25">
      <c r="D119" s="655"/>
      <c r="E119" s="654"/>
      <c r="F119" s="655"/>
      <c r="G119" s="654" t="s">
        <v>11</v>
      </c>
      <c r="H119" s="658">
        <v>0.25059999999999999</v>
      </c>
      <c r="I119" s="654" t="s">
        <v>10</v>
      </c>
      <c r="J119" s="658">
        <v>1</v>
      </c>
      <c r="K119" s="657" t="s">
        <v>13</v>
      </c>
      <c r="L119" s="658">
        <v>1</v>
      </c>
      <c r="M119" s="655" t="s">
        <v>17</v>
      </c>
      <c r="N119" s="656">
        <v>8.5106382999999994E-2</v>
      </c>
      <c r="O119" s="655" t="s">
        <v>19</v>
      </c>
      <c r="P119" s="656">
        <v>0.84089392900000004</v>
      </c>
      <c r="Q119" s="655" t="s">
        <v>17</v>
      </c>
      <c r="R119" s="656">
        <v>1</v>
      </c>
      <c r="S119" s="655"/>
      <c r="T119" s="665">
        <v>2.5301131046540385E-3</v>
      </c>
      <c r="U119" s="663" t="s">
        <v>49</v>
      </c>
      <c r="V119" s="176">
        <f>T119-T119*Calculation_sheet!F$58</f>
        <v>2.5301131046540385E-3</v>
      </c>
      <c r="W119" s="176">
        <f>V119-V119*Calculation_sheet!E$66</f>
        <v>2.5301131046540385E-3</v>
      </c>
      <c r="X119" s="176">
        <f>W119-W119*Calculation_sheet!E$76</f>
        <v>2.5301131046540385E-3</v>
      </c>
      <c r="Y119" s="34">
        <f>X119/Calculation_sheet!M$67</f>
        <v>2.5301648364311311E-3</v>
      </c>
      <c r="Z119" s="176">
        <f ca="1">IF(AN119&gt;0,Y119*Calculation_sheet!C$87,0)</f>
        <v>0</v>
      </c>
      <c r="AA119" s="176">
        <f t="shared" ca="1" si="153"/>
        <v>2.5301648364311311E-3</v>
      </c>
      <c r="AB119" s="176">
        <f ca="1">IF(AP119&gt;0,AA119*Calculation_sheet!C$94,0)</f>
        <v>0</v>
      </c>
      <c r="AC119" s="176">
        <f t="shared" ca="1" si="142"/>
        <v>2.5301648364311311E-3</v>
      </c>
      <c r="AD119" s="958">
        <f ca="1">AC119*Calculation_sheet!C$99</f>
        <v>1.5180989018586785E-3</v>
      </c>
      <c r="AE119" s="176">
        <f t="shared" ca="1" si="142"/>
        <v>1.0120659345724526E-3</v>
      </c>
      <c r="AF119" s="176">
        <f t="shared" ca="1" si="154"/>
        <v>2.5301648364311311E-3</v>
      </c>
      <c r="AG119" s="958">
        <f ca="1">AF119*User_sheet!B$77/100</f>
        <v>0</v>
      </c>
      <c r="AH119" s="313"/>
      <c r="AI119">
        <v>301</v>
      </c>
      <c r="AK119" s="1018">
        <f t="shared" ca="1" si="105"/>
        <v>359.25183006332884</v>
      </c>
      <c r="AL119" s="924">
        <f ca="1">AK119/'301'!I$24</f>
        <v>2.846551115345775</v>
      </c>
      <c r="AM119" s="924">
        <f ca="1">0.8*(AK119*30+'301'!D$17*0.34*30*1)</f>
        <v>10713.615121519892</v>
      </c>
      <c r="AN119" s="954">
        <f ca="1">IF(AM119&lt;User_sheet!B$50,Y119,0)</f>
        <v>0</v>
      </c>
      <c r="AO119" s="954">
        <f ca="1">20-(User_sheet!B$57/(AK119+'301'!D$17*1*0.34))</f>
        <v>7.2312008179930949</v>
      </c>
      <c r="AP119" s="954">
        <f ca="1">IF(AO119&lt;User_sheet!B$59,0,BC119*AA119)</f>
        <v>0</v>
      </c>
      <c r="AR119" s="2">
        <v>14.1</v>
      </c>
      <c r="AS119" s="2">
        <v>3.7</v>
      </c>
      <c r="AT119" s="2">
        <v>7.9</v>
      </c>
      <c r="AU119" s="2">
        <v>5</v>
      </c>
      <c r="AV119" s="2">
        <v>3.3</v>
      </c>
      <c r="AW119" s="2">
        <v>7211.5338771527777</v>
      </c>
      <c r="AX119" s="2">
        <v>76466.30421774846</v>
      </c>
      <c r="AY119" s="2">
        <v>67352.647733737584</v>
      </c>
      <c r="AZ119" s="2">
        <v>0</v>
      </c>
      <c r="BA119" s="2">
        <v>0</v>
      </c>
      <c r="BB119" s="2">
        <v>0.87</v>
      </c>
      <c r="BC119" s="30">
        <v>0</v>
      </c>
      <c r="BD119" s="34">
        <v>0</v>
      </c>
      <c r="BE119" s="34">
        <v>0</v>
      </c>
      <c r="BF119" s="40">
        <v>1</v>
      </c>
      <c r="BG119" s="2">
        <v>0</v>
      </c>
      <c r="BH119" s="2">
        <v>1</v>
      </c>
      <c r="BI119" s="40">
        <v>0</v>
      </c>
      <c r="BJ119" s="2">
        <v>0</v>
      </c>
      <c r="BK119" s="2">
        <v>0</v>
      </c>
      <c r="BL119" s="2">
        <v>0</v>
      </c>
      <c r="BM119" s="40">
        <v>1</v>
      </c>
      <c r="BN119" s="958">
        <v>0</v>
      </c>
      <c r="BO119" s="959">
        <v>14.9</v>
      </c>
      <c r="BP119" s="1018">
        <f t="shared" ca="1" si="143"/>
        <v>115.19999999999999</v>
      </c>
      <c r="BQ119" s="1018">
        <f t="shared" ca="1" si="144"/>
        <v>191.51999999999995</v>
      </c>
      <c r="BR119" s="1018">
        <f t="shared" ca="1" si="145"/>
        <v>43.295999999999999</v>
      </c>
      <c r="BS119" s="1018">
        <f t="shared" ca="1" si="146"/>
        <v>42.459999999999994</v>
      </c>
      <c r="BT119" s="1018">
        <f t="shared" ca="1" si="147"/>
        <v>38.4</v>
      </c>
      <c r="BU119" s="1018">
        <f t="shared" ca="1" si="148"/>
        <v>7</v>
      </c>
      <c r="BV119" s="1018">
        <f t="shared" ca="1" si="149"/>
        <v>4.3</v>
      </c>
      <c r="BW119" s="1018">
        <v>0</v>
      </c>
      <c r="BX119" s="1018">
        <f t="shared" ca="1" si="150"/>
        <v>177.25714285714281</v>
      </c>
      <c r="BY119" s="1018">
        <f t="shared" ca="1" si="151"/>
        <v>95.716084484159211</v>
      </c>
      <c r="BZ119" s="1018">
        <f t="shared" ca="1" si="106"/>
        <v>42.251885199774904</v>
      </c>
      <c r="CA119" s="1018">
        <f t="shared" ca="1" si="107"/>
        <v>34.999999965000001</v>
      </c>
      <c r="CB119" s="1018">
        <f t="shared" ca="1" si="152"/>
        <v>9.0267175572519083</v>
      </c>
      <c r="CC119" s="1018">
        <f t="shared" si="108"/>
        <v>0</v>
      </c>
      <c r="CD119" s="1018">
        <f t="shared" ca="1" si="155"/>
        <v>359.25183006332884</v>
      </c>
      <c r="CE119" s="1018">
        <f t="shared" ca="1" si="156"/>
        <v>58.755316272361483</v>
      </c>
      <c r="CF119" s="1018">
        <f t="shared" ca="1" si="109"/>
        <v>12.540214390070709</v>
      </c>
      <c r="CG119" s="1018">
        <f t="shared" ca="1" si="110"/>
        <v>20878.955350892127</v>
      </c>
    </row>
    <row r="120" spans="4:85" s="660" customFormat="1" x14ac:dyDescent="0.25">
      <c r="D120" s="661"/>
      <c r="F120" s="661"/>
      <c r="H120" s="661"/>
      <c r="J120" s="661"/>
      <c r="K120" s="662"/>
      <c r="L120" s="661"/>
      <c r="M120" s="661"/>
      <c r="N120" s="661"/>
      <c r="O120" s="661"/>
      <c r="P120" s="661"/>
      <c r="Q120" s="661"/>
      <c r="R120" s="661"/>
      <c r="S120" s="661"/>
      <c r="T120" s="666"/>
      <c r="U120" s="661">
        <v>0.16404275999999998</v>
      </c>
      <c r="V120" s="292"/>
      <c r="W120" s="292"/>
      <c r="X120" s="292"/>
      <c r="Y120" s="277"/>
      <c r="Z120" s="292"/>
      <c r="AA120" s="292"/>
      <c r="AB120" s="292"/>
      <c r="AC120" s="292"/>
      <c r="AD120" s="277"/>
      <c r="AE120" s="292"/>
      <c r="AF120" s="292"/>
      <c r="AG120" s="277"/>
      <c r="AH120" s="313"/>
      <c r="AJ120" s="314"/>
      <c r="AK120" s="1018">
        <f t="shared" si="105"/>
        <v>0</v>
      </c>
      <c r="AL120" s="928"/>
      <c r="AM120" s="928"/>
      <c r="AN120" s="986"/>
      <c r="AO120" s="986"/>
      <c r="AP120" s="986"/>
      <c r="AQ120" s="314"/>
      <c r="AR120" s="664"/>
      <c r="AS120" s="664"/>
      <c r="AT120" s="664"/>
      <c r="AU120" s="664"/>
      <c r="AV120" s="664"/>
      <c r="AW120" s="664"/>
      <c r="AX120" s="664"/>
      <c r="AY120" s="664"/>
      <c r="AZ120" s="664"/>
      <c r="BA120" s="664"/>
      <c r="BB120" s="664"/>
      <c r="BC120" s="45"/>
      <c r="BD120" s="277"/>
      <c r="BE120" s="277"/>
      <c r="BF120" s="49"/>
      <c r="BG120" s="664"/>
      <c r="BH120" s="664"/>
      <c r="BI120" s="49"/>
      <c r="BJ120" s="664"/>
      <c r="BK120" s="664"/>
      <c r="BL120" s="664"/>
      <c r="BM120" s="49"/>
      <c r="BN120" s="277"/>
      <c r="BO120" s="49"/>
      <c r="BP120" s="928"/>
      <c r="BQ120" s="928"/>
      <c r="BR120" s="928"/>
      <c r="BS120" s="928"/>
      <c r="BT120" s="928"/>
      <c r="BU120" s="928"/>
      <c r="BV120" s="928"/>
      <c r="BW120" s="928"/>
      <c r="BX120" s="928"/>
      <c r="BY120" s="928"/>
      <c r="BZ120" s="928"/>
      <c r="CA120" s="928"/>
      <c r="CB120" s="928"/>
      <c r="CC120" s="928"/>
      <c r="CD120" s="928"/>
      <c r="CE120" s="928"/>
      <c r="CF120" s="928"/>
      <c r="CG120" s="928"/>
    </row>
    <row r="121" spans="4:85" x14ac:dyDescent="0.25">
      <c r="D121" s="1"/>
      <c r="F121" s="1"/>
      <c r="G121" s="3"/>
      <c r="H121" s="6"/>
      <c r="I121" s="3"/>
      <c r="J121" s="6"/>
      <c r="K121" s="8"/>
      <c r="L121" s="6"/>
      <c r="M121" s="1"/>
      <c r="N121" s="1"/>
      <c r="O121" s="1"/>
      <c r="P121" s="1"/>
      <c r="Q121" s="1" t="s">
        <v>16</v>
      </c>
      <c r="R121" s="4"/>
      <c r="S121" s="1"/>
      <c r="T121" s="77"/>
      <c r="U121" s="294"/>
      <c r="X121" s="176">
        <f>W109-X109</f>
        <v>0</v>
      </c>
      <c r="Y121" s="34">
        <f>X121/Calculation_sheet!M$67</f>
        <v>0</v>
      </c>
      <c r="Z121" s="176">
        <f ca="1">IF(AN121&gt;0,Y121*Calculation_sheet!C$87,0)</f>
        <v>0</v>
      </c>
      <c r="AA121" s="176">
        <f ca="1">Y121-Z121</f>
        <v>0</v>
      </c>
      <c r="AB121" s="176">
        <f ca="1">IF(AP121&gt;0,AA121*Calculation_sheet!C$94,0)</f>
        <v>0</v>
      </c>
      <c r="AC121" s="176">
        <f t="shared" ref="AC121:AE131" ca="1" si="157">AA121-AB121</f>
        <v>0</v>
      </c>
      <c r="AD121" s="958">
        <f ca="1">AC121*Calculation_sheet!C$99</f>
        <v>0</v>
      </c>
      <c r="AE121" s="176">
        <f t="shared" ca="1" si="157"/>
        <v>0</v>
      </c>
      <c r="AF121" s="176">
        <f ca="1">Y121-AB121</f>
        <v>0</v>
      </c>
      <c r="AG121" s="958">
        <f ca="1">AF121*User_sheet!B$77/100</f>
        <v>0</v>
      </c>
      <c r="AH121" s="313"/>
      <c r="AI121">
        <v>301</v>
      </c>
      <c r="AK121" s="1018">
        <f t="shared" ca="1" si="105"/>
        <v>174.12131684650063</v>
      </c>
      <c r="AL121" s="924">
        <f ca="1">AK121/'301'!I$24</f>
        <v>1.3796595791523434</v>
      </c>
      <c r="AM121" s="924">
        <f ca="1">0.8*(AK121*30+'301'!D$17*0.34*30*1)</f>
        <v>6270.4828043160151</v>
      </c>
      <c r="AN121" s="954">
        <f ca="1">IF(AM121&lt;User_sheet!B$50,Y121,0)</f>
        <v>0</v>
      </c>
      <c r="AO121" s="954">
        <f ca="1">20-(User_sheet!B$57/(AK121+'301'!D$17*1*0.34))</f>
        <v>-1.8165018977230361</v>
      </c>
      <c r="AP121" s="954">
        <f ca="1">IF(AO121&lt;User_sheet!B$59,0,BC121*AA121)</f>
        <v>0</v>
      </c>
      <c r="AR121" s="2">
        <v>0.32</v>
      </c>
      <c r="AS121" s="2">
        <v>3.7</v>
      </c>
      <c r="AT121" s="2">
        <v>7.9</v>
      </c>
      <c r="AU121" s="2">
        <v>2</v>
      </c>
      <c r="AV121" s="2">
        <v>3.3</v>
      </c>
      <c r="AW121" s="2">
        <v>14356</v>
      </c>
      <c r="AX121" s="2">
        <v>76466.30421774846</v>
      </c>
      <c r="AY121" s="2">
        <v>67352.647733737584</v>
      </c>
      <c r="AZ121" s="27">
        <v>0</v>
      </c>
      <c r="BA121" s="27">
        <v>0</v>
      </c>
      <c r="BB121" s="2">
        <v>0.6</v>
      </c>
      <c r="BC121" s="30">
        <v>1</v>
      </c>
      <c r="BD121" s="34">
        <v>0</v>
      </c>
      <c r="BE121" s="34">
        <v>0</v>
      </c>
      <c r="BF121" s="40">
        <v>0</v>
      </c>
      <c r="BG121" s="34">
        <v>1</v>
      </c>
      <c r="BH121" s="34">
        <v>0</v>
      </c>
      <c r="BI121" s="40">
        <v>0</v>
      </c>
      <c r="BJ121" s="34">
        <v>1</v>
      </c>
      <c r="BK121" s="34">
        <v>0</v>
      </c>
      <c r="BL121" s="34">
        <v>0</v>
      </c>
      <c r="BM121" s="40">
        <v>0</v>
      </c>
      <c r="BN121" s="958">
        <v>0</v>
      </c>
      <c r="BO121" s="959">
        <v>14.9</v>
      </c>
      <c r="BP121" s="1018">
        <f t="shared" ref="BP121:BP131" ca="1" si="158">INDIRECT("'"&amp;AI121&amp;"'!"&amp;"B2")</f>
        <v>115.19999999999999</v>
      </c>
      <c r="BQ121" s="1018">
        <f t="shared" ref="BQ121:BQ131" ca="1" si="159">INDIRECT("'"&amp;AI121&amp;"'!"&amp;"C12")+INDIRECT("'"&amp;AI121&amp;"'!"&amp;"C13")+INDIRECT("'"&amp;AI121&amp;"'!"&amp;"C14")+INDIRECT("'"&amp;AI121&amp;"'!"&amp;"C15")+INDIRECT("'"&amp;AI121&amp;"'!"&amp;"C17")</f>
        <v>191.51999999999995</v>
      </c>
      <c r="BR121" s="1018">
        <f t="shared" ref="BR121:BR131" ca="1" si="160">INDIRECT("'"&amp;AI121&amp;"'!"&amp;"G5")</f>
        <v>43.295999999999999</v>
      </c>
      <c r="BS121" s="1018">
        <f t="shared" ref="BS121:BS131" ca="1" si="161">INDIRECT("'"&amp;AI121&amp;"'!"&amp;"G4")</f>
        <v>42.459999999999994</v>
      </c>
      <c r="BT121" s="1018">
        <f t="shared" ref="BT121:BT131" ca="1" si="162">INDIRECT("'"&amp;AI121&amp;"'!"&amp;"G6")</f>
        <v>38.4</v>
      </c>
      <c r="BU121" s="1018">
        <f t="shared" ref="BU121:BU131" ca="1" si="163">INDIRECT("'"&amp;AI121&amp;"'!"&amp;"G2")</f>
        <v>7</v>
      </c>
      <c r="BV121" s="1018">
        <f t="shared" ref="BV121:BV131" ca="1" si="164">INDIRECT("'"&amp;AI121&amp;"'!"&amp;"G3")</f>
        <v>4.3</v>
      </c>
      <c r="BW121" s="1018">
        <v>0</v>
      </c>
      <c r="BX121" s="1018">
        <f t="shared" ref="BX121:BX131" ca="1" si="165">IF(BR121=0,0,1/(1/(BR121*$BY$3)+1/(BR121*AR121)+1/(BR121*$BY$4)))</f>
        <v>13.126629610914604</v>
      </c>
      <c r="BY121" s="1018">
        <f t="shared" ref="BY121:BY131" ca="1" si="166">IF(BS121=0,0,1/(1/(BS121*$BY$3)+1/(BS121*AS121)+1/(BS121*$BY$4)))</f>
        <v>95.716084484159211</v>
      </c>
      <c r="BZ121" s="1018">
        <f t="shared" ca="1" si="106"/>
        <v>42.251885199774904</v>
      </c>
      <c r="CA121" s="1018">
        <f t="shared" ca="1" si="107"/>
        <v>13.999999994400001</v>
      </c>
      <c r="CB121" s="1018">
        <f t="shared" ref="CB121:CB131" ca="1" si="167">IF(BV121=0,0,1/(1/(BV121*$BY$3)+1/(BV121*AV121)+1/(BV121*$BY$4)))</f>
        <v>9.0267175572519083</v>
      </c>
      <c r="CC121" s="1018">
        <f t="shared" si="108"/>
        <v>0</v>
      </c>
      <c r="CD121" s="1018">
        <f t="shared" ref="CD121:CD131" ca="1" si="168">SUM(BX121:CC121)+(BR121+BS121+BT121+BU121+BV121)*BN121</f>
        <v>174.12131684650063</v>
      </c>
      <c r="CE121" s="1018">
        <f ca="1">0.34*BO121*(1/25)^0.66*(BR121+BS121+BU121+BV121)</f>
        <v>58.755316272361483</v>
      </c>
      <c r="CF121" s="1018">
        <f t="shared" ca="1" si="109"/>
        <v>6.986298993565863</v>
      </c>
      <c r="CG121" s="1018">
        <f t="shared" ca="1" si="110"/>
        <v>11631.908372327422</v>
      </c>
    </row>
    <row r="122" spans="4:85" x14ac:dyDescent="0.25">
      <c r="D122" s="1"/>
      <c r="F122" s="1"/>
      <c r="G122" s="3"/>
      <c r="H122" s="6"/>
      <c r="I122" s="3"/>
      <c r="J122" s="6"/>
      <c r="K122" s="8"/>
      <c r="L122" s="6"/>
      <c r="M122" s="1"/>
      <c r="N122" s="1"/>
      <c r="O122" s="1" t="s">
        <v>18</v>
      </c>
      <c r="P122" s="4"/>
      <c r="Q122" s="1" t="s">
        <v>7</v>
      </c>
      <c r="R122" s="4"/>
      <c r="S122" s="1"/>
      <c r="T122" s="77"/>
      <c r="U122" s="294"/>
      <c r="X122" s="176">
        <f t="shared" ref="X122:X131" si="169">W110-X110</f>
        <v>0</v>
      </c>
      <c r="Y122" s="34">
        <f>X122/Calculation_sheet!M$67</f>
        <v>0</v>
      </c>
      <c r="Z122" s="176">
        <f ca="1">IF(AN122&gt;0,Y122*Calculation_sheet!C$87,0)</f>
        <v>0</v>
      </c>
      <c r="AA122" s="176">
        <f t="shared" ref="AA122:AA131" ca="1" si="170">Y122-Z122</f>
        <v>0</v>
      </c>
      <c r="AB122" s="176">
        <f ca="1">IF(AP122&gt;0,AA122*Calculation_sheet!C$94,0)</f>
        <v>0</v>
      </c>
      <c r="AC122" s="176">
        <f t="shared" ca="1" si="157"/>
        <v>0</v>
      </c>
      <c r="AD122" s="958">
        <f ca="1">AC122*Calculation_sheet!C$99</f>
        <v>0</v>
      </c>
      <c r="AE122" s="176">
        <f t="shared" ca="1" si="157"/>
        <v>0</v>
      </c>
      <c r="AF122" s="176">
        <f t="shared" ref="AF122:AF131" ca="1" si="171">Y122-AB122</f>
        <v>0</v>
      </c>
      <c r="AG122" s="958">
        <f ca="1">AF122*User_sheet!B$77/100</f>
        <v>0</v>
      </c>
      <c r="AH122" s="313"/>
      <c r="AI122">
        <v>301</v>
      </c>
      <c r="AK122" s="1018">
        <f t="shared" ca="1" si="105"/>
        <v>174.12131684650063</v>
      </c>
      <c r="AL122" s="924">
        <f ca="1">AK122/'301'!I$24</f>
        <v>1.3796595791523434</v>
      </c>
      <c r="AM122" s="924">
        <f ca="1">0.8*(AK122*30+'301'!D$17*0.34*30*1)</f>
        <v>6270.4828043160151</v>
      </c>
      <c r="AN122" s="954">
        <f ca="1">IF(AM122&lt;User_sheet!B$50,Y122,0)</f>
        <v>0</v>
      </c>
      <c r="AO122" s="954">
        <f ca="1">20-(User_sheet!B$57/(AK122+'301'!D$17*1*0.34))</f>
        <v>-1.8165018977230361</v>
      </c>
      <c r="AP122" s="954">
        <f ca="1">IF(AO122&lt;User_sheet!B$59,0,BC122*AA122)</f>
        <v>0</v>
      </c>
      <c r="AR122" s="2">
        <v>0.32</v>
      </c>
      <c r="AS122" s="2">
        <v>3.7</v>
      </c>
      <c r="AT122" s="2">
        <v>7.9</v>
      </c>
      <c r="AU122" s="2">
        <v>2</v>
      </c>
      <c r="AV122" s="2">
        <v>3.3</v>
      </c>
      <c r="AW122" s="2">
        <v>14356</v>
      </c>
      <c r="AX122" s="2">
        <v>76466.30421774846</v>
      </c>
      <c r="AY122" s="2">
        <v>67352.647733737584</v>
      </c>
      <c r="AZ122" s="27">
        <v>0</v>
      </c>
      <c r="BA122" s="27">
        <v>0</v>
      </c>
      <c r="BB122" s="2">
        <v>0.6</v>
      </c>
      <c r="BC122" s="30">
        <v>1</v>
      </c>
      <c r="BD122" s="34">
        <v>0</v>
      </c>
      <c r="BE122" s="34">
        <v>0</v>
      </c>
      <c r="BF122" s="40">
        <v>0</v>
      </c>
      <c r="BG122" s="34">
        <v>1</v>
      </c>
      <c r="BH122" s="34">
        <v>0</v>
      </c>
      <c r="BI122" s="40">
        <v>0</v>
      </c>
      <c r="BJ122" s="34">
        <v>0</v>
      </c>
      <c r="BK122" s="34">
        <v>0</v>
      </c>
      <c r="BL122" s="34">
        <v>1</v>
      </c>
      <c r="BM122" s="40">
        <v>0</v>
      </c>
      <c r="BN122" s="958">
        <v>0</v>
      </c>
      <c r="BO122" s="959">
        <v>14.9</v>
      </c>
      <c r="BP122" s="1018">
        <f t="shared" ca="1" si="158"/>
        <v>115.19999999999999</v>
      </c>
      <c r="BQ122" s="1018">
        <f t="shared" ca="1" si="159"/>
        <v>191.51999999999995</v>
      </c>
      <c r="BR122" s="1018">
        <f t="shared" ca="1" si="160"/>
        <v>43.295999999999999</v>
      </c>
      <c r="BS122" s="1018">
        <f t="shared" ca="1" si="161"/>
        <v>42.459999999999994</v>
      </c>
      <c r="BT122" s="1018">
        <f t="shared" ca="1" si="162"/>
        <v>38.4</v>
      </c>
      <c r="BU122" s="1018">
        <f t="shared" ca="1" si="163"/>
        <v>7</v>
      </c>
      <c r="BV122" s="1018">
        <f t="shared" ca="1" si="164"/>
        <v>4.3</v>
      </c>
      <c r="BW122" s="1018">
        <v>0</v>
      </c>
      <c r="BX122" s="1018">
        <f t="shared" ca="1" si="165"/>
        <v>13.126629610914604</v>
      </c>
      <c r="BY122" s="1018">
        <f t="shared" ca="1" si="166"/>
        <v>95.716084484159211</v>
      </c>
      <c r="BZ122" s="1018">
        <f t="shared" ca="1" si="106"/>
        <v>42.251885199774904</v>
      </c>
      <c r="CA122" s="1018">
        <f t="shared" ca="1" si="107"/>
        <v>13.999999994400001</v>
      </c>
      <c r="CB122" s="1018">
        <f t="shared" ca="1" si="167"/>
        <v>9.0267175572519083</v>
      </c>
      <c r="CC122" s="1018">
        <f t="shared" si="108"/>
        <v>0</v>
      </c>
      <c r="CD122" s="1018">
        <f t="shared" ca="1" si="168"/>
        <v>174.12131684650063</v>
      </c>
      <c r="CE122" s="1018">
        <f t="shared" ref="CE122:CE131" ca="1" si="172">0.34*BO122*(1/25)^0.66*(BR122+BS122+BU122+BV122)</f>
        <v>58.755316272361483</v>
      </c>
      <c r="CF122" s="1018">
        <f t="shared" ca="1" si="109"/>
        <v>6.986298993565863</v>
      </c>
      <c r="CG122" s="1018">
        <f t="shared" ca="1" si="110"/>
        <v>11631.908372327422</v>
      </c>
    </row>
    <row r="123" spans="4:85" x14ac:dyDescent="0.25">
      <c r="D123" s="1"/>
      <c r="F123" s="1"/>
      <c r="G123" s="3"/>
      <c r="H123" s="6"/>
      <c r="I123" s="3"/>
      <c r="J123" s="6"/>
      <c r="K123" s="8"/>
      <c r="L123" s="6"/>
      <c r="M123" s="1"/>
      <c r="N123" s="1"/>
      <c r="O123" s="1"/>
      <c r="P123" s="1"/>
      <c r="Q123" s="1" t="s">
        <v>16</v>
      </c>
      <c r="R123" s="4"/>
      <c r="S123" s="1"/>
      <c r="T123" s="77"/>
      <c r="U123" s="294"/>
      <c r="X123" s="176">
        <f t="shared" si="169"/>
        <v>0</v>
      </c>
      <c r="Y123" s="34">
        <f>X123/Calculation_sheet!M$67</f>
        <v>0</v>
      </c>
      <c r="Z123" s="176">
        <f ca="1">IF(AN123&gt;0,Y123*Calculation_sheet!C$87,0)</f>
        <v>0</v>
      </c>
      <c r="AA123" s="176">
        <f t="shared" ca="1" si="170"/>
        <v>0</v>
      </c>
      <c r="AB123" s="176">
        <f ca="1">IF(AP123&gt;0,AA123*Calculation_sheet!C$94,0)</f>
        <v>0</v>
      </c>
      <c r="AC123" s="176">
        <f t="shared" ca="1" si="157"/>
        <v>0</v>
      </c>
      <c r="AD123" s="958">
        <f ca="1">AC123*Calculation_sheet!C$99</f>
        <v>0</v>
      </c>
      <c r="AE123" s="176">
        <f t="shared" ca="1" si="157"/>
        <v>0</v>
      </c>
      <c r="AF123" s="176">
        <f t="shared" ca="1" si="171"/>
        <v>0</v>
      </c>
      <c r="AG123" s="958">
        <f ca="1">AF123*User_sheet!B$77/100</f>
        <v>0</v>
      </c>
      <c r="AH123" s="313"/>
      <c r="AI123">
        <v>301</v>
      </c>
      <c r="AK123" s="1018">
        <f t="shared" ca="1" si="105"/>
        <v>174.12131684650063</v>
      </c>
      <c r="AL123" s="924">
        <f ca="1">AK123/'301'!I$24</f>
        <v>1.3796595791523434</v>
      </c>
      <c r="AM123" s="924">
        <f ca="1">0.8*(AK123*30+'301'!D$17*0.34*30*1)</f>
        <v>6270.4828043160151</v>
      </c>
      <c r="AN123" s="954">
        <f ca="1">IF(AM123&lt;User_sheet!B$50,Y123,0)</f>
        <v>0</v>
      </c>
      <c r="AO123" s="954">
        <f ca="1">20-(User_sheet!B$57/(AK123+'301'!D$17*1*0.34))</f>
        <v>-1.8165018977230361</v>
      </c>
      <c r="AP123" s="954">
        <f ca="1">IF(AO123&lt;User_sheet!B$59,0,BC123*AA123)</f>
        <v>0</v>
      </c>
      <c r="AR123" s="2">
        <v>0.32</v>
      </c>
      <c r="AS123" s="2">
        <v>3.7</v>
      </c>
      <c r="AT123" s="2">
        <v>7.9</v>
      </c>
      <c r="AU123" s="2">
        <v>2</v>
      </c>
      <c r="AV123" s="2">
        <v>3.3</v>
      </c>
      <c r="AW123" s="2">
        <v>14356</v>
      </c>
      <c r="AX123" s="2">
        <v>76466.30421774846</v>
      </c>
      <c r="AY123" s="2">
        <v>67352.647733737584</v>
      </c>
      <c r="AZ123" s="27">
        <v>0</v>
      </c>
      <c r="BA123" s="27">
        <v>0</v>
      </c>
      <c r="BB123" s="2">
        <v>0.6</v>
      </c>
      <c r="BC123" s="30">
        <v>1</v>
      </c>
      <c r="BD123" s="34">
        <v>0</v>
      </c>
      <c r="BE123" s="34">
        <v>0</v>
      </c>
      <c r="BF123" s="40">
        <v>0</v>
      </c>
      <c r="BG123" s="34">
        <v>0</v>
      </c>
      <c r="BH123" s="34">
        <v>1</v>
      </c>
      <c r="BI123" s="40">
        <v>0</v>
      </c>
      <c r="BJ123" s="34">
        <v>1</v>
      </c>
      <c r="BK123" s="34">
        <v>0</v>
      </c>
      <c r="BL123" s="34">
        <v>0</v>
      </c>
      <c r="BM123" s="40">
        <v>0</v>
      </c>
      <c r="BN123" s="958">
        <v>0</v>
      </c>
      <c r="BO123" s="959">
        <v>14.9</v>
      </c>
      <c r="BP123" s="1018">
        <f t="shared" ca="1" si="158"/>
        <v>115.19999999999999</v>
      </c>
      <c r="BQ123" s="1018">
        <f t="shared" ca="1" si="159"/>
        <v>191.51999999999995</v>
      </c>
      <c r="BR123" s="1018">
        <f t="shared" ca="1" si="160"/>
        <v>43.295999999999999</v>
      </c>
      <c r="BS123" s="1018">
        <f t="shared" ca="1" si="161"/>
        <v>42.459999999999994</v>
      </c>
      <c r="BT123" s="1018">
        <f t="shared" ca="1" si="162"/>
        <v>38.4</v>
      </c>
      <c r="BU123" s="1018">
        <f t="shared" ca="1" si="163"/>
        <v>7</v>
      </c>
      <c r="BV123" s="1018">
        <f t="shared" ca="1" si="164"/>
        <v>4.3</v>
      </c>
      <c r="BW123" s="1018">
        <v>0</v>
      </c>
      <c r="BX123" s="1018">
        <f t="shared" ca="1" si="165"/>
        <v>13.126629610914604</v>
      </c>
      <c r="BY123" s="1018">
        <f t="shared" ca="1" si="166"/>
        <v>95.716084484159211</v>
      </c>
      <c r="BZ123" s="1018">
        <f t="shared" ca="1" si="106"/>
        <v>42.251885199774904</v>
      </c>
      <c r="CA123" s="1018">
        <f t="shared" ca="1" si="107"/>
        <v>13.999999994400001</v>
      </c>
      <c r="CB123" s="1018">
        <f t="shared" ca="1" si="167"/>
        <v>9.0267175572519083</v>
      </c>
      <c r="CC123" s="1018">
        <f t="shared" si="108"/>
        <v>0</v>
      </c>
      <c r="CD123" s="1018">
        <f t="shared" ca="1" si="168"/>
        <v>174.12131684650063</v>
      </c>
      <c r="CE123" s="1018">
        <f t="shared" ca="1" si="172"/>
        <v>58.755316272361483</v>
      </c>
      <c r="CF123" s="1018">
        <f t="shared" ca="1" si="109"/>
        <v>6.986298993565863</v>
      </c>
      <c r="CG123" s="1018">
        <f t="shared" ca="1" si="110"/>
        <v>11631.908372327422</v>
      </c>
    </row>
    <row r="124" spans="4:85" x14ac:dyDescent="0.25">
      <c r="D124" s="1"/>
      <c r="F124" s="1"/>
      <c r="G124" s="3"/>
      <c r="H124" s="6"/>
      <c r="I124" s="3"/>
      <c r="J124" s="6"/>
      <c r="K124" s="8"/>
      <c r="L124" s="6"/>
      <c r="M124" s="1" t="s">
        <v>16</v>
      </c>
      <c r="N124" s="4"/>
      <c r="O124" s="1" t="s">
        <v>19</v>
      </c>
      <c r="P124" s="4"/>
      <c r="Q124" s="1" t="s">
        <v>7</v>
      </c>
      <c r="R124" s="4"/>
      <c r="S124" s="1"/>
      <c r="T124" s="77"/>
      <c r="U124" s="294"/>
      <c r="X124" s="176">
        <f t="shared" si="169"/>
        <v>0</v>
      </c>
      <c r="Y124" s="34">
        <f>X124/Calculation_sheet!M$67</f>
        <v>0</v>
      </c>
      <c r="Z124" s="176">
        <f ca="1">IF(AN124&gt;0,Y124*Calculation_sheet!C$87,0)</f>
        <v>0</v>
      </c>
      <c r="AA124" s="176">
        <f t="shared" ca="1" si="170"/>
        <v>0</v>
      </c>
      <c r="AB124" s="176">
        <f ca="1">IF(AP124&gt;0,AA124*Calculation_sheet!C$94,0)</f>
        <v>0</v>
      </c>
      <c r="AC124" s="176">
        <f t="shared" ca="1" si="157"/>
        <v>0</v>
      </c>
      <c r="AD124" s="958">
        <f ca="1">AC124*Calculation_sheet!C$99</f>
        <v>0</v>
      </c>
      <c r="AE124" s="176">
        <f t="shared" ca="1" si="157"/>
        <v>0</v>
      </c>
      <c r="AF124" s="176">
        <f t="shared" ca="1" si="171"/>
        <v>0</v>
      </c>
      <c r="AG124" s="958">
        <f ca="1">AF124*User_sheet!B$77/100</f>
        <v>0</v>
      </c>
      <c r="AH124" s="313"/>
      <c r="AI124">
        <v>301</v>
      </c>
      <c r="AK124" s="1018">
        <f t="shared" ca="1" si="105"/>
        <v>174.12131684650063</v>
      </c>
      <c r="AL124" s="924">
        <f ca="1">AK124/'301'!I$24</f>
        <v>1.3796595791523434</v>
      </c>
      <c r="AM124" s="924">
        <f ca="1">0.8*(AK124*30+'301'!D$17*0.34*30*1)</f>
        <v>6270.4828043160151</v>
      </c>
      <c r="AN124" s="954">
        <f ca="1">IF(AM124&lt;User_sheet!B$50,Y124,0)</f>
        <v>0</v>
      </c>
      <c r="AO124" s="954">
        <f ca="1">20-(User_sheet!B$57/(AK124+'301'!D$17*1*0.34))</f>
        <v>-1.8165018977230361</v>
      </c>
      <c r="AP124" s="954">
        <f ca="1">IF(AO124&lt;User_sheet!B$59,0,BC124*AA124)</f>
        <v>0</v>
      </c>
      <c r="AR124" s="2">
        <v>0.32</v>
      </c>
      <c r="AS124" s="2">
        <v>3.7</v>
      </c>
      <c r="AT124" s="2">
        <v>7.9</v>
      </c>
      <c r="AU124" s="2">
        <v>2</v>
      </c>
      <c r="AV124" s="2">
        <v>3.3</v>
      </c>
      <c r="AW124" s="2">
        <v>14356</v>
      </c>
      <c r="AX124" s="2">
        <v>76466.30421774846</v>
      </c>
      <c r="AY124" s="2">
        <v>67352.647733737584</v>
      </c>
      <c r="AZ124" s="27">
        <v>0</v>
      </c>
      <c r="BA124" s="27">
        <v>0</v>
      </c>
      <c r="BB124" s="2">
        <v>0.6</v>
      </c>
      <c r="BC124" s="30">
        <v>1</v>
      </c>
      <c r="BD124" s="34">
        <v>0</v>
      </c>
      <c r="BE124" s="34">
        <v>0</v>
      </c>
      <c r="BF124" s="40">
        <v>0</v>
      </c>
      <c r="BG124" s="34">
        <v>0</v>
      </c>
      <c r="BH124" s="34">
        <v>1</v>
      </c>
      <c r="BI124" s="40">
        <v>0</v>
      </c>
      <c r="BJ124" s="34">
        <v>0</v>
      </c>
      <c r="BK124" s="34">
        <v>0</v>
      </c>
      <c r="BL124" s="34">
        <v>1</v>
      </c>
      <c r="BM124" s="40">
        <v>0</v>
      </c>
      <c r="BN124" s="958">
        <v>0</v>
      </c>
      <c r="BO124" s="959">
        <v>14.9</v>
      </c>
      <c r="BP124" s="1018">
        <f t="shared" ca="1" si="158"/>
        <v>115.19999999999999</v>
      </c>
      <c r="BQ124" s="1018">
        <f t="shared" ca="1" si="159"/>
        <v>191.51999999999995</v>
      </c>
      <c r="BR124" s="1018">
        <f t="shared" ca="1" si="160"/>
        <v>43.295999999999999</v>
      </c>
      <c r="BS124" s="1018">
        <f t="shared" ca="1" si="161"/>
        <v>42.459999999999994</v>
      </c>
      <c r="BT124" s="1018">
        <f t="shared" ca="1" si="162"/>
        <v>38.4</v>
      </c>
      <c r="BU124" s="1018">
        <f t="shared" ca="1" si="163"/>
        <v>7</v>
      </c>
      <c r="BV124" s="1018">
        <f t="shared" ca="1" si="164"/>
        <v>4.3</v>
      </c>
      <c r="BW124" s="1018">
        <v>0</v>
      </c>
      <c r="BX124" s="1018">
        <f t="shared" ca="1" si="165"/>
        <v>13.126629610914604</v>
      </c>
      <c r="BY124" s="1018">
        <f t="shared" ca="1" si="166"/>
        <v>95.716084484159211</v>
      </c>
      <c r="BZ124" s="1018">
        <f t="shared" ca="1" si="106"/>
        <v>42.251885199774904</v>
      </c>
      <c r="CA124" s="1018">
        <f t="shared" ca="1" si="107"/>
        <v>13.999999994400001</v>
      </c>
      <c r="CB124" s="1018">
        <f t="shared" ca="1" si="167"/>
        <v>9.0267175572519083</v>
      </c>
      <c r="CC124" s="1018">
        <f t="shared" si="108"/>
        <v>0</v>
      </c>
      <c r="CD124" s="1018">
        <f t="shared" ca="1" si="168"/>
        <v>174.12131684650063</v>
      </c>
      <c r="CE124" s="1018">
        <f t="shared" ca="1" si="172"/>
        <v>58.755316272361483</v>
      </c>
      <c r="CF124" s="1018">
        <f t="shared" ca="1" si="109"/>
        <v>6.986298993565863</v>
      </c>
      <c r="CG124" s="1018">
        <f t="shared" ca="1" si="110"/>
        <v>11631.908372327422</v>
      </c>
    </row>
    <row r="125" spans="4:85" x14ac:dyDescent="0.25">
      <c r="D125" s="1"/>
      <c r="F125" s="1"/>
      <c r="G125" s="3"/>
      <c r="H125" s="6"/>
      <c r="I125" s="3"/>
      <c r="J125" s="6"/>
      <c r="K125" s="8"/>
      <c r="L125" s="6"/>
      <c r="M125" s="1"/>
      <c r="N125" s="1"/>
      <c r="O125" s="1"/>
      <c r="P125" s="1"/>
      <c r="Q125" s="1" t="s">
        <v>22</v>
      </c>
      <c r="R125" s="4"/>
      <c r="S125" s="1"/>
      <c r="T125" s="77"/>
      <c r="U125" s="294"/>
      <c r="X125" s="176">
        <f t="shared" si="169"/>
        <v>0</v>
      </c>
      <c r="Y125" s="34">
        <f>X125/Calculation_sheet!M$67</f>
        <v>0</v>
      </c>
      <c r="Z125" s="176">
        <f ca="1">IF(AN125&gt;0,Y125*Calculation_sheet!C$87,0)</f>
        <v>0</v>
      </c>
      <c r="AA125" s="176">
        <f t="shared" ca="1" si="170"/>
        <v>0</v>
      </c>
      <c r="AB125" s="176">
        <f ca="1">IF(AP125&gt;0,AA125*Calculation_sheet!C$94,0)</f>
        <v>0</v>
      </c>
      <c r="AC125" s="176">
        <f t="shared" ca="1" si="157"/>
        <v>0</v>
      </c>
      <c r="AD125" s="958">
        <f ca="1">AC125*Calculation_sheet!C$99</f>
        <v>0</v>
      </c>
      <c r="AE125" s="176">
        <f t="shared" ca="1" si="157"/>
        <v>0</v>
      </c>
      <c r="AF125" s="176">
        <f t="shared" ca="1" si="171"/>
        <v>0</v>
      </c>
      <c r="AG125" s="958">
        <f ca="1">AF125*User_sheet!B$77/100</f>
        <v>0</v>
      </c>
      <c r="AH125" s="313"/>
      <c r="AI125">
        <v>301</v>
      </c>
      <c r="AK125" s="1018">
        <f t="shared" ca="1" si="105"/>
        <v>174.12131684650063</v>
      </c>
      <c r="AL125" s="924">
        <f ca="1">AK125/'301'!I$24</f>
        <v>1.3796595791523434</v>
      </c>
      <c r="AM125" s="924">
        <f ca="1">0.8*(AK125*30+'301'!D$17*0.34*30*1)</f>
        <v>6270.4828043160151</v>
      </c>
      <c r="AN125" s="954">
        <f ca="1">IF(AM125&lt;User_sheet!B$50,Y125,0)</f>
        <v>0</v>
      </c>
      <c r="AO125" s="954">
        <f ca="1">20-(User_sheet!B$57/(AK125+'301'!D$17*1*0.34))</f>
        <v>-1.8165018977230361</v>
      </c>
      <c r="AP125" s="954">
        <f ca="1">IF(AO125&lt;User_sheet!B$59,0,BC125*AA125)</f>
        <v>0</v>
      </c>
      <c r="AR125" s="2">
        <v>0.32</v>
      </c>
      <c r="AS125" s="2">
        <v>3.7</v>
      </c>
      <c r="AT125" s="2">
        <v>7.9</v>
      </c>
      <c r="AU125" s="2">
        <v>2</v>
      </c>
      <c r="AV125" s="2">
        <v>3.3</v>
      </c>
      <c r="AW125" s="2">
        <v>14356</v>
      </c>
      <c r="AX125" s="2">
        <v>76466.30421774846</v>
      </c>
      <c r="AY125" s="2">
        <v>67352.647733737584</v>
      </c>
      <c r="AZ125" s="27">
        <v>0</v>
      </c>
      <c r="BA125" s="27">
        <v>0</v>
      </c>
      <c r="BB125" s="2">
        <v>0.6</v>
      </c>
      <c r="BC125" s="30">
        <v>0</v>
      </c>
      <c r="BD125" s="34">
        <v>1</v>
      </c>
      <c r="BE125" s="34">
        <v>0</v>
      </c>
      <c r="BF125" s="40">
        <v>0</v>
      </c>
      <c r="BG125" s="34">
        <v>1</v>
      </c>
      <c r="BH125" s="34">
        <v>0</v>
      </c>
      <c r="BI125" s="40">
        <v>0</v>
      </c>
      <c r="BJ125" s="34">
        <v>0</v>
      </c>
      <c r="BK125" s="34">
        <v>1</v>
      </c>
      <c r="BL125" s="34">
        <v>0</v>
      </c>
      <c r="BM125" s="40">
        <v>0</v>
      </c>
      <c r="BN125" s="958">
        <v>0</v>
      </c>
      <c r="BO125" s="959">
        <v>14.9</v>
      </c>
      <c r="BP125" s="1018">
        <f t="shared" ca="1" si="158"/>
        <v>115.19999999999999</v>
      </c>
      <c r="BQ125" s="1018">
        <f t="shared" ca="1" si="159"/>
        <v>191.51999999999995</v>
      </c>
      <c r="BR125" s="1018">
        <f t="shared" ca="1" si="160"/>
        <v>43.295999999999999</v>
      </c>
      <c r="BS125" s="1018">
        <f t="shared" ca="1" si="161"/>
        <v>42.459999999999994</v>
      </c>
      <c r="BT125" s="1018">
        <f t="shared" ca="1" si="162"/>
        <v>38.4</v>
      </c>
      <c r="BU125" s="1018">
        <f t="shared" ca="1" si="163"/>
        <v>7</v>
      </c>
      <c r="BV125" s="1018">
        <f t="shared" ca="1" si="164"/>
        <v>4.3</v>
      </c>
      <c r="BW125" s="1018">
        <v>0</v>
      </c>
      <c r="BX125" s="1018">
        <f t="shared" ca="1" si="165"/>
        <v>13.126629610914604</v>
      </c>
      <c r="BY125" s="1018">
        <f t="shared" ca="1" si="166"/>
        <v>95.716084484159211</v>
      </c>
      <c r="BZ125" s="1018">
        <f t="shared" ca="1" si="106"/>
        <v>42.251885199774904</v>
      </c>
      <c r="CA125" s="1018">
        <f t="shared" ca="1" si="107"/>
        <v>13.999999994400001</v>
      </c>
      <c r="CB125" s="1018">
        <f t="shared" ca="1" si="167"/>
        <v>9.0267175572519083</v>
      </c>
      <c r="CC125" s="1018">
        <f t="shared" si="108"/>
        <v>0</v>
      </c>
      <c r="CD125" s="1018">
        <f t="shared" ca="1" si="168"/>
        <v>174.12131684650063</v>
      </c>
      <c r="CE125" s="1018">
        <f t="shared" ca="1" si="172"/>
        <v>58.755316272361483</v>
      </c>
      <c r="CF125" s="1018">
        <f t="shared" ca="1" si="109"/>
        <v>6.986298993565863</v>
      </c>
      <c r="CG125" s="1018">
        <f t="shared" ca="1" si="110"/>
        <v>11631.908372327422</v>
      </c>
    </row>
    <row r="126" spans="4:85" x14ac:dyDescent="0.25">
      <c r="D126" s="1"/>
      <c r="F126" s="1"/>
      <c r="G126" s="3"/>
      <c r="H126" s="6"/>
      <c r="I126" s="3"/>
      <c r="J126" s="3" t="s">
        <v>144</v>
      </c>
      <c r="K126" s="8"/>
      <c r="L126" s="6"/>
      <c r="M126" s="1"/>
      <c r="N126" s="1"/>
      <c r="O126" s="1" t="s">
        <v>18</v>
      </c>
      <c r="P126" s="4"/>
      <c r="Q126" s="1" t="s">
        <v>7</v>
      </c>
      <c r="R126" s="4"/>
      <c r="S126" s="1"/>
      <c r="T126" s="77"/>
      <c r="U126" s="294"/>
      <c r="X126" s="176">
        <f t="shared" si="169"/>
        <v>0</v>
      </c>
      <c r="Y126" s="34">
        <f>X126/Calculation_sheet!M$67</f>
        <v>0</v>
      </c>
      <c r="Z126" s="176">
        <f ca="1">IF(AN126&gt;0,Y126*Calculation_sheet!C$87,0)</f>
        <v>0</v>
      </c>
      <c r="AA126" s="176">
        <f t="shared" ca="1" si="170"/>
        <v>0</v>
      </c>
      <c r="AB126" s="176">
        <f ca="1">IF(AP126&gt;0,AA126*Calculation_sheet!C$94,0)</f>
        <v>0</v>
      </c>
      <c r="AC126" s="176">
        <f t="shared" ca="1" si="157"/>
        <v>0</v>
      </c>
      <c r="AD126" s="958">
        <f ca="1">AC126*Calculation_sheet!C$99</f>
        <v>0</v>
      </c>
      <c r="AE126" s="176">
        <f t="shared" ca="1" si="157"/>
        <v>0</v>
      </c>
      <c r="AF126" s="176">
        <f t="shared" ca="1" si="171"/>
        <v>0</v>
      </c>
      <c r="AG126" s="958">
        <f ca="1">AF126*User_sheet!B$77/100</f>
        <v>0</v>
      </c>
      <c r="AH126" s="313"/>
      <c r="AI126">
        <v>301</v>
      </c>
      <c r="AK126" s="1018">
        <f t="shared" ca="1" si="105"/>
        <v>174.12131684650063</v>
      </c>
      <c r="AL126" s="924">
        <f ca="1">AK126/'301'!I$24</f>
        <v>1.3796595791523434</v>
      </c>
      <c r="AM126" s="924">
        <f ca="1">0.8*(AK126*30+'301'!D$17*0.34*30*1)</f>
        <v>6270.4828043160151</v>
      </c>
      <c r="AN126" s="954">
        <f ca="1">IF(AM126&lt;User_sheet!B$50,Y126,0)</f>
        <v>0</v>
      </c>
      <c r="AO126" s="954">
        <f ca="1">20-(User_sheet!B$57/(AK126+'301'!D$17*1*0.34))</f>
        <v>-1.8165018977230361</v>
      </c>
      <c r="AP126" s="954">
        <f ca="1">IF(AO126&lt;User_sheet!B$59,0,BC126*AA126)</f>
        <v>0</v>
      </c>
      <c r="AR126" s="2">
        <v>0.32</v>
      </c>
      <c r="AS126" s="2">
        <v>3.7</v>
      </c>
      <c r="AT126" s="2">
        <v>7.9</v>
      </c>
      <c r="AU126" s="2">
        <v>2</v>
      </c>
      <c r="AV126" s="2">
        <v>3.3</v>
      </c>
      <c r="AW126" s="2">
        <v>14356</v>
      </c>
      <c r="AX126" s="2">
        <v>76466.30421774846</v>
      </c>
      <c r="AY126" s="2">
        <v>67352.647733737584</v>
      </c>
      <c r="AZ126" s="27">
        <v>0</v>
      </c>
      <c r="BA126" s="27">
        <v>0</v>
      </c>
      <c r="BB126" s="2">
        <v>0.6</v>
      </c>
      <c r="BC126" s="30">
        <v>0</v>
      </c>
      <c r="BD126" s="34">
        <v>1</v>
      </c>
      <c r="BE126" s="34">
        <v>0</v>
      </c>
      <c r="BF126" s="40">
        <v>0</v>
      </c>
      <c r="BG126" s="34">
        <v>1</v>
      </c>
      <c r="BH126" s="34">
        <v>0</v>
      </c>
      <c r="BI126" s="40">
        <v>0</v>
      </c>
      <c r="BJ126" s="34">
        <v>0</v>
      </c>
      <c r="BK126" s="34">
        <v>0</v>
      </c>
      <c r="BL126" s="34">
        <v>1</v>
      </c>
      <c r="BM126" s="40">
        <v>0</v>
      </c>
      <c r="BN126" s="958">
        <v>0</v>
      </c>
      <c r="BO126" s="959">
        <v>14.9</v>
      </c>
      <c r="BP126" s="1018">
        <f t="shared" ca="1" si="158"/>
        <v>115.19999999999999</v>
      </c>
      <c r="BQ126" s="1018">
        <f t="shared" ca="1" si="159"/>
        <v>191.51999999999995</v>
      </c>
      <c r="BR126" s="1018">
        <f t="shared" ca="1" si="160"/>
        <v>43.295999999999999</v>
      </c>
      <c r="BS126" s="1018">
        <f t="shared" ca="1" si="161"/>
        <v>42.459999999999994</v>
      </c>
      <c r="BT126" s="1018">
        <f t="shared" ca="1" si="162"/>
        <v>38.4</v>
      </c>
      <c r="BU126" s="1018">
        <f t="shared" ca="1" si="163"/>
        <v>7</v>
      </c>
      <c r="BV126" s="1018">
        <f t="shared" ca="1" si="164"/>
        <v>4.3</v>
      </c>
      <c r="BW126" s="1018">
        <v>0</v>
      </c>
      <c r="BX126" s="1018">
        <f t="shared" ca="1" si="165"/>
        <v>13.126629610914604</v>
      </c>
      <c r="BY126" s="1018">
        <f t="shared" ca="1" si="166"/>
        <v>95.716084484159211</v>
      </c>
      <c r="BZ126" s="1018">
        <f t="shared" ca="1" si="106"/>
        <v>42.251885199774904</v>
      </c>
      <c r="CA126" s="1018">
        <f t="shared" ca="1" si="107"/>
        <v>13.999999994400001</v>
      </c>
      <c r="CB126" s="1018">
        <f t="shared" ca="1" si="167"/>
        <v>9.0267175572519083</v>
      </c>
      <c r="CC126" s="1018">
        <f t="shared" si="108"/>
        <v>0</v>
      </c>
      <c r="CD126" s="1018">
        <f t="shared" ca="1" si="168"/>
        <v>174.12131684650063</v>
      </c>
      <c r="CE126" s="1018">
        <f t="shared" ca="1" si="172"/>
        <v>58.755316272361483</v>
      </c>
      <c r="CF126" s="1018">
        <f t="shared" ca="1" si="109"/>
        <v>6.986298993565863</v>
      </c>
      <c r="CG126" s="1018">
        <f t="shared" ca="1" si="110"/>
        <v>11631.908372327422</v>
      </c>
    </row>
    <row r="127" spans="4:85" x14ac:dyDescent="0.25">
      <c r="D127" s="1"/>
      <c r="F127" s="1"/>
      <c r="G127" s="3"/>
      <c r="H127" s="6"/>
      <c r="I127" s="3"/>
      <c r="J127" s="6" t="s">
        <v>190</v>
      </c>
      <c r="K127" s="8"/>
      <c r="L127" s="6"/>
      <c r="M127" s="1"/>
      <c r="N127" s="1"/>
      <c r="O127" s="1"/>
      <c r="P127" s="1"/>
      <c r="Q127" s="1" t="s">
        <v>22</v>
      </c>
      <c r="R127" s="4"/>
      <c r="S127" s="1"/>
      <c r="T127" s="77"/>
      <c r="U127" s="294"/>
      <c r="X127" s="176">
        <f t="shared" si="169"/>
        <v>0</v>
      </c>
      <c r="Y127" s="34">
        <f>X127/Calculation_sheet!M$67</f>
        <v>0</v>
      </c>
      <c r="Z127" s="176">
        <f ca="1">IF(AN127&gt;0,Y127*Calculation_sheet!C$87,0)</f>
        <v>0</v>
      </c>
      <c r="AA127" s="176">
        <f t="shared" ca="1" si="170"/>
        <v>0</v>
      </c>
      <c r="AB127" s="176">
        <f ca="1">IF(AP127&gt;0,AA127*Calculation_sheet!C$94,0)</f>
        <v>0</v>
      </c>
      <c r="AC127" s="176">
        <f t="shared" ca="1" si="157"/>
        <v>0</v>
      </c>
      <c r="AD127" s="958">
        <f ca="1">AC127*Calculation_sheet!C$99</f>
        <v>0</v>
      </c>
      <c r="AE127" s="176">
        <f t="shared" ca="1" si="157"/>
        <v>0</v>
      </c>
      <c r="AF127" s="176">
        <f t="shared" ca="1" si="171"/>
        <v>0</v>
      </c>
      <c r="AG127" s="958">
        <f ca="1">AF127*User_sheet!B$77/100</f>
        <v>0</v>
      </c>
      <c r="AH127" s="313"/>
      <c r="AI127">
        <v>301</v>
      </c>
      <c r="AK127" s="1018">
        <f t="shared" ca="1" si="105"/>
        <v>174.12131684650063</v>
      </c>
      <c r="AL127" s="924">
        <f ca="1">AK127/'301'!I$24</f>
        <v>1.3796595791523434</v>
      </c>
      <c r="AM127" s="924">
        <f ca="1">0.8*(AK127*30+'301'!D$17*0.34*30*1)</f>
        <v>6270.4828043160151</v>
      </c>
      <c r="AN127" s="954">
        <f ca="1">IF(AM127&lt;User_sheet!B$50,Y127,0)</f>
        <v>0</v>
      </c>
      <c r="AO127" s="954">
        <f ca="1">20-(User_sheet!B$57/(AK127+'301'!D$17*1*0.34))</f>
        <v>-1.8165018977230361</v>
      </c>
      <c r="AP127" s="954">
        <f ca="1">IF(AO127&lt;User_sheet!B$59,0,BC127*AA127)</f>
        <v>0</v>
      </c>
      <c r="AR127" s="2">
        <v>0.32</v>
      </c>
      <c r="AS127" s="2">
        <v>3.7</v>
      </c>
      <c r="AT127" s="2">
        <v>7.9</v>
      </c>
      <c r="AU127" s="2">
        <v>2</v>
      </c>
      <c r="AV127" s="2">
        <v>3.3</v>
      </c>
      <c r="AW127" s="2">
        <v>14356</v>
      </c>
      <c r="AX127" s="2">
        <v>76466.30421774846</v>
      </c>
      <c r="AY127" s="2">
        <v>67352.647733737584</v>
      </c>
      <c r="AZ127" s="27">
        <v>0</v>
      </c>
      <c r="BA127" s="27">
        <v>0</v>
      </c>
      <c r="BB127" s="2">
        <v>0.6</v>
      </c>
      <c r="BC127" s="30">
        <v>0</v>
      </c>
      <c r="BD127" s="34">
        <v>1</v>
      </c>
      <c r="BE127" s="34">
        <v>0</v>
      </c>
      <c r="BF127" s="40">
        <v>0</v>
      </c>
      <c r="BG127" s="34">
        <v>0</v>
      </c>
      <c r="BH127" s="34">
        <v>1</v>
      </c>
      <c r="BI127" s="40">
        <v>0</v>
      </c>
      <c r="BJ127" s="34">
        <v>0</v>
      </c>
      <c r="BK127" s="34">
        <v>1</v>
      </c>
      <c r="BL127" s="34">
        <v>0</v>
      </c>
      <c r="BM127" s="40">
        <v>0</v>
      </c>
      <c r="BN127" s="958">
        <v>0</v>
      </c>
      <c r="BO127" s="959">
        <v>14.9</v>
      </c>
      <c r="BP127" s="1018">
        <f t="shared" ca="1" si="158"/>
        <v>115.19999999999999</v>
      </c>
      <c r="BQ127" s="1018">
        <f t="shared" ca="1" si="159"/>
        <v>191.51999999999995</v>
      </c>
      <c r="BR127" s="1018">
        <f t="shared" ca="1" si="160"/>
        <v>43.295999999999999</v>
      </c>
      <c r="BS127" s="1018">
        <f t="shared" ca="1" si="161"/>
        <v>42.459999999999994</v>
      </c>
      <c r="BT127" s="1018">
        <f t="shared" ca="1" si="162"/>
        <v>38.4</v>
      </c>
      <c r="BU127" s="1018">
        <f t="shared" ca="1" si="163"/>
        <v>7</v>
      </c>
      <c r="BV127" s="1018">
        <f t="shared" ca="1" si="164"/>
        <v>4.3</v>
      </c>
      <c r="BW127" s="1018">
        <v>0</v>
      </c>
      <c r="BX127" s="1018">
        <f t="shared" ca="1" si="165"/>
        <v>13.126629610914604</v>
      </c>
      <c r="BY127" s="1018">
        <f t="shared" ca="1" si="166"/>
        <v>95.716084484159211</v>
      </c>
      <c r="BZ127" s="1018">
        <f t="shared" ca="1" si="106"/>
        <v>42.251885199774904</v>
      </c>
      <c r="CA127" s="1018">
        <f t="shared" ca="1" si="107"/>
        <v>13.999999994400001</v>
      </c>
      <c r="CB127" s="1018">
        <f t="shared" ca="1" si="167"/>
        <v>9.0267175572519083</v>
      </c>
      <c r="CC127" s="1018">
        <f t="shared" si="108"/>
        <v>0</v>
      </c>
      <c r="CD127" s="1018">
        <f t="shared" ca="1" si="168"/>
        <v>174.12131684650063</v>
      </c>
      <c r="CE127" s="1018">
        <f t="shared" ca="1" si="172"/>
        <v>58.755316272361483</v>
      </c>
      <c r="CF127" s="1018">
        <f t="shared" ca="1" si="109"/>
        <v>6.986298993565863</v>
      </c>
      <c r="CG127" s="1018">
        <f t="shared" ca="1" si="110"/>
        <v>11631.908372327422</v>
      </c>
    </row>
    <row r="128" spans="4:85" x14ac:dyDescent="0.25">
      <c r="D128" s="1"/>
      <c r="F128" s="1"/>
      <c r="G128" s="3"/>
      <c r="H128" s="6"/>
      <c r="I128" s="3"/>
      <c r="J128" s="6"/>
      <c r="K128" s="8"/>
      <c r="L128" s="6"/>
      <c r="M128" s="1" t="s">
        <v>22</v>
      </c>
      <c r="N128" s="4"/>
      <c r="O128" s="1" t="s">
        <v>20</v>
      </c>
      <c r="P128" s="4"/>
      <c r="Q128" s="1" t="s">
        <v>7</v>
      </c>
      <c r="R128" s="4"/>
      <c r="S128" s="1"/>
      <c r="T128" s="77"/>
      <c r="U128" s="294"/>
      <c r="X128" s="176">
        <f t="shared" si="169"/>
        <v>0</v>
      </c>
      <c r="Y128" s="34">
        <f>X128/Calculation_sheet!M$67</f>
        <v>0</v>
      </c>
      <c r="Z128" s="176">
        <f ca="1">IF(AN128&gt;0,Y128*Calculation_sheet!C$87,0)</f>
        <v>0</v>
      </c>
      <c r="AA128" s="176">
        <f t="shared" ca="1" si="170"/>
        <v>0</v>
      </c>
      <c r="AB128" s="176">
        <f ca="1">IF(AP128&gt;0,AA128*Calculation_sheet!C$94,0)</f>
        <v>0</v>
      </c>
      <c r="AC128" s="176">
        <f t="shared" ca="1" si="157"/>
        <v>0</v>
      </c>
      <c r="AD128" s="958">
        <f ca="1">AC128*Calculation_sheet!C$99</f>
        <v>0</v>
      </c>
      <c r="AE128" s="176">
        <f t="shared" ca="1" si="157"/>
        <v>0</v>
      </c>
      <c r="AF128" s="176">
        <f t="shared" ca="1" si="171"/>
        <v>0</v>
      </c>
      <c r="AG128" s="958">
        <f ca="1">AF128*User_sheet!B$77/100</f>
        <v>0</v>
      </c>
      <c r="AH128" s="313"/>
      <c r="AI128">
        <v>301</v>
      </c>
      <c r="AK128" s="1018">
        <f t="shared" ca="1" si="105"/>
        <v>174.12131684650063</v>
      </c>
      <c r="AL128" s="924">
        <f ca="1">AK128/'301'!I$24</f>
        <v>1.3796595791523434</v>
      </c>
      <c r="AM128" s="924">
        <f ca="1">0.8*(AK128*30+'301'!D$17*0.34*30*1)</f>
        <v>6270.4828043160151</v>
      </c>
      <c r="AN128" s="954">
        <f ca="1">IF(AM128&lt;User_sheet!B$50,Y128,0)</f>
        <v>0</v>
      </c>
      <c r="AO128" s="954">
        <f ca="1">20-(User_sheet!B$57/(AK128+'301'!D$17*1*0.34))</f>
        <v>-1.8165018977230361</v>
      </c>
      <c r="AP128" s="954">
        <f ca="1">IF(AO128&lt;User_sheet!B$59,0,BC128*AA128)</f>
        <v>0</v>
      </c>
      <c r="AR128" s="2">
        <v>0.32</v>
      </c>
      <c r="AS128" s="2">
        <v>3.7</v>
      </c>
      <c r="AT128" s="2">
        <v>7.9</v>
      </c>
      <c r="AU128" s="2">
        <v>2</v>
      </c>
      <c r="AV128" s="2">
        <v>3.3</v>
      </c>
      <c r="AW128" s="2">
        <v>14356</v>
      </c>
      <c r="AX128" s="2">
        <v>76466.30421774846</v>
      </c>
      <c r="AY128" s="2">
        <v>67352.647733737584</v>
      </c>
      <c r="AZ128" s="27">
        <v>0</v>
      </c>
      <c r="BA128" s="27">
        <v>0</v>
      </c>
      <c r="BB128" s="2">
        <v>0.6</v>
      </c>
      <c r="BC128" s="30">
        <v>0</v>
      </c>
      <c r="BD128" s="34">
        <v>1</v>
      </c>
      <c r="BE128" s="34">
        <v>0</v>
      </c>
      <c r="BF128" s="40">
        <v>0</v>
      </c>
      <c r="BG128" s="34">
        <v>0</v>
      </c>
      <c r="BH128" s="34">
        <v>1</v>
      </c>
      <c r="BI128" s="40">
        <v>0</v>
      </c>
      <c r="BJ128" s="34">
        <v>0</v>
      </c>
      <c r="BK128" s="34">
        <v>0</v>
      </c>
      <c r="BL128" s="34">
        <v>1</v>
      </c>
      <c r="BM128" s="40">
        <v>0</v>
      </c>
      <c r="BN128" s="958">
        <v>0</v>
      </c>
      <c r="BO128" s="959">
        <v>14.9</v>
      </c>
      <c r="BP128" s="1018">
        <f t="shared" ca="1" si="158"/>
        <v>115.19999999999999</v>
      </c>
      <c r="BQ128" s="1018">
        <f t="shared" ca="1" si="159"/>
        <v>191.51999999999995</v>
      </c>
      <c r="BR128" s="1018">
        <f t="shared" ca="1" si="160"/>
        <v>43.295999999999999</v>
      </c>
      <c r="BS128" s="1018">
        <f t="shared" ca="1" si="161"/>
        <v>42.459999999999994</v>
      </c>
      <c r="BT128" s="1018">
        <f t="shared" ca="1" si="162"/>
        <v>38.4</v>
      </c>
      <c r="BU128" s="1018">
        <f t="shared" ca="1" si="163"/>
        <v>7</v>
      </c>
      <c r="BV128" s="1018">
        <f t="shared" ca="1" si="164"/>
        <v>4.3</v>
      </c>
      <c r="BW128" s="1018">
        <v>0</v>
      </c>
      <c r="BX128" s="1018">
        <f t="shared" ca="1" si="165"/>
        <v>13.126629610914604</v>
      </c>
      <c r="BY128" s="1018">
        <f t="shared" ca="1" si="166"/>
        <v>95.716084484159211</v>
      </c>
      <c r="BZ128" s="1018">
        <f t="shared" ca="1" si="106"/>
        <v>42.251885199774904</v>
      </c>
      <c r="CA128" s="1018">
        <f t="shared" ca="1" si="107"/>
        <v>13.999999994400001</v>
      </c>
      <c r="CB128" s="1018">
        <f t="shared" ca="1" si="167"/>
        <v>9.0267175572519083</v>
      </c>
      <c r="CC128" s="1018">
        <f t="shared" si="108"/>
        <v>0</v>
      </c>
      <c r="CD128" s="1018">
        <f t="shared" ca="1" si="168"/>
        <v>174.12131684650063</v>
      </c>
      <c r="CE128" s="1018">
        <f t="shared" ca="1" si="172"/>
        <v>58.755316272361483</v>
      </c>
      <c r="CF128" s="1018">
        <f t="shared" ca="1" si="109"/>
        <v>6.986298993565863</v>
      </c>
      <c r="CG128" s="1018">
        <f t="shared" ca="1" si="110"/>
        <v>11631.908372327422</v>
      </c>
    </row>
    <row r="129" spans="4:85" x14ac:dyDescent="0.25">
      <c r="D129" s="1"/>
      <c r="F129" s="1"/>
      <c r="G129" s="3"/>
      <c r="H129" s="6"/>
      <c r="I129" s="3"/>
      <c r="J129" s="6"/>
      <c r="K129" s="8"/>
      <c r="L129" s="6"/>
      <c r="M129" s="1" t="s">
        <v>7</v>
      </c>
      <c r="N129" s="4"/>
      <c r="O129" s="1" t="s">
        <v>23</v>
      </c>
      <c r="P129" s="4"/>
      <c r="Q129" s="1" t="s">
        <v>7</v>
      </c>
      <c r="R129" s="4"/>
      <c r="S129" s="1"/>
      <c r="T129" s="77"/>
      <c r="U129" s="294"/>
      <c r="X129" s="176">
        <f t="shared" si="169"/>
        <v>0</v>
      </c>
      <c r="Y129" s="34">
        <f>X129/Calculation_sheet!M$67</f>
        <v>0</v>
      </c>
      <c r="Z129" s="176">
        <f ca="1">IF(AN129&gt;0,Y129*Calculation_sheet!C$87,0)</f>
        <v>0</v>
      </c>
      <c r="AA129" s="176">
        <f t="shared" ca="1" si="170"/>
        <v>0</v>
      </c>
      <c r="AB129" s="176">
        <f ca="1">IF(AP129&gt;0,AA129*Calculation_sheet!C$94,0)</f>
        <v>0</v>
      </c>
      <c r="AC129" s="176">
        <f t="shared" ca="1" si="157"/>
        <v>0</v>
      </c>
      <c r="AD129" s="958">
        <f ca="1">AC129*Calculation_sheet!C$99</f>
        <v>0</v>
      </c>
      <c r="AE129" s="176">
        <f t="shared" ca="1" si="157"/>
        <v>0</v>
      </c>
      <c r="AF129" s="176">
        <f t="shared" ca="1" si="171"/>
        <v>0</v>
      </c>
      <c r="AG129" s="958">
        <f ca="1">AF129*User_sheet!B$77/100</f>
        <v>0</v>
      </c>
      <c r="AH129" s="313"/>
      <c r="AI129">
        <v>301</v>
      </c>
      <c r="AK129" s="1018">
        <f t="shared" ca="1" si="105"/>
        <v>174.12131684650063</v>
      </c>
      <c r="AL129" s="924">
        <f ca="1">AK129/'301'!I$24</f>
        <v>1.3796595791523434</v>
      </c>
      <c r="AM129" s="924">
        <f ca="1">0.8*(AK129*30+'301'!D$17*0.34*30*1)</f>
        <v>6270.4828043160151</v>
      </c>
      <c r="AN129" s="954">
        <f ca="1">IF(AM129&lt;User_sheet!B$50,Y129,0)</f>
        <v>0</v>
      </c>
      <c r="AO129" s="954">
        <f ca="1">20-(User_sheet!B$57/(AK129+'301'!D$17*1*0.34))</f>
        <v>-1.8165018977230361</v>
      </c>
      <c r="AP129" s="954">
        <f ca="1">IF(AO129&lt;User_sheet!B$59,0,BC129*AA129)</f>
        <v>0</v>
      </c>
      <c r="AR129" s="2">
        <v>0.32</v>
      </c>
      <c r="AS129" s="2">
        <v>3.7</v>
      </c>
      <c r="AT129" s="2">
        <v>7.9</v>
      </c>
      <c r="AU129" s="2">
        <v>2</v>
      </c>
      <c r="AV129" s="2">
        <v>3.3</v>
      </c>
      <c r="AW129" s="2">
        <v>14356</v>
      </c>
      <c r="AX129" s="2">
        <v>76466.30421774846</v>
      </c>
      <c r="AY129" s="2">
        <v>67352.647733737584</v>
      </c>
      <c r="AZ129" s="27">
        <v>0</v>
      </c>
      <c r="BA129" s="27">
        <v>0</v>
      </c>
      <c r="BB129" s="2">
        <v>0.6</v>
      </c>
      <c r="BC129" s="30">
        <v>0</v>
      </c>
      <c r="BD129" s="34">
        <v>0</v>
      </c>
      <c r="BE129" s="34">
        <v>1</v>
      </c>
      <c r="BF129" s="40">
        <v>0</v>
      </c>
      <c r="BG129" s="34">
        <v>0</v>
      </c>
      <c r="BH129" s="34">
        <v>0</v>
      </c>
      <c r="BI129" s="40">
        <v>1</v>
      </c>
      <c r="BJ129" s="34">
        <v>0</v>
      </c>
      <c r="BK129" s="34">
        <v>0</v>
      </c>
      <c r="BL129" s="34">
        <v>1</v>
      </c>
      <c r="BM129" s="40">
        <v>0</v>
      </c>
      <c r="BN129" s="958">
        <v>0</v>
      </c>
      <c r="BO129" s="959">
        <v>14.9</v>
      </c>
      <c r="BP129" s="1018">
        <f t="shared" ca="1" si="158"/>
        <v>115.19999999999999</v>
      </c>
      <c r="BQ129" s="1018">
        <f t="shared" ca="1" si="159"/>
        <v>191.51999999999995</v>
      </c>
      <c r="BR129" s="1018">
        <f t="shared" ca="1" si="160"/>
        <v>43.295999999999999</v>
      </c>
      <c r="BS129" s="1018">
        <f t="shared" ca="1" si="161"/>
        <v>42.459999999999994</v>
      </c>
      <c r="BT129" s="1018">
        <f t="shared" ca="1" si="162"/>
        <v>38.4</v>
      </c>
      <c r="BU129" s="1018">
        <f t="shared" ca="1" si="163"/>
        <v>7</v>
      </c>
      <c r="BV129" s="1018">
        <f t="shared" ca="1" si="164"/>
        <v>4.3</v>
      </c>
      <c r="BW129" s="1018">
        <v>0</v>
      </c>
      <c r="BX129" s="1018">
        <f t="shared" ca="1" si="165"/>
        <v>13.126629610914604</v>
      </c>
      <c r="BY129" s="1018">
        <f t="shared" ca="1" si="166"/>
        <v>95.716084484159211</v>
      </c>
      <c r="BZ129" s="1018">
        <f t="shared" ca="1" si="106"/>
        <v>42.251885199774904</v>
      </c>
      <c r="CA129" s="1018">
        <f t="shared" ca="1" si="107"/>
        <v>13.999999994400001</v>
      </c>
      <c r="CB129" s="1018">
        <f t="shared" ca="1" si="167"/>
        <v>9.0267175572519083</v>
      </c>
      <c r="CC129" s="1018">
        <f t="shared" si="108"/>
        <v>0</v>
      </c>
      <c r="CD129" s="1018">
        <f t="shared" ca="1" si="168"/>
        <v>174.12131684650063</v>
      </c>
      <c r="CE129" s="1018">
        <f t="shared" ca="1" si="172"/>
        <v>58.755316272361483</v>
      </c>
      <c r="CF129" s="1018">
        <f t="shared" ca="1" si="109"/>
        <v>6.986298993565863</v>
      </c>
      <c r="CG129" s="1018">
        <f t="shared" ca="1" si="110"/>
        <v>11631.908372327422</v>
      </c>
    </row>
    <row r="130" spans="4:85" x14ac:dyDescent="0.25">
      <c r="D130" s="1"/>
      <c r="F130" s="1"/>
      <c r="G130" s="3"/>
      <c r="H130" s="6"/>
      <c r="I130" s="3"/>
      <c r="J130" s="6"/>
      <c r="K130" s="8"/>
      <c r="L130" s="6"/>
      <c r="M130" s="1"/>
      <c r="N130" s="1"/>
      <c r="O130" s="1" t="s">
        <v>18</v>
      </c>
      <c r="P130" s="4"/>
      <c r="Q130" s="1" t="s">
        <v>17</v>
      </c>
      <c r="R130" s="4"/>
      <c r="S130" s="1"/>
      <c r="T130" s="77"/>
      <c r="U130" s="294"/>
      <c r="X130" s="176">
        <f t="shared" si="169"/>
        <v>0</v>
      </c>
      <c r="Y130" s="34">
        <f>X130/Calculation_sheet!M$67</f>
        <v>0</v>
      </c>
      <c r="Z130" s="176">
        <f ca="1">IF(AN130&gt;0,Y130*Calculation_sheet!C$87,0)</f>
        <v>0</v>
      </c>
      <c r="AA130" s="176">
        <f t="shared" ca="1" si="170"/>
        <v>0</v>
      </c>
      <c r="AB130" s="176">
        <f ca="1">IF(AP130&gt;0,AA130*Calculation_sheet!C$94,0)</f>
        <v>0</v>
      </c>
      <c r="AC130" s="176">
        <f t="shared" ca="1" si="157"/>
        <v>0</v>
      </c>
      <c r="AD130" s="958">
        <f ca="1">AC130*Calculation_sheet!C$99</f>
        <v>0</v>
      </c>
      <c r="AE130" s="176">
        <f t="shared" ca="1" si="157"/>
        <v>0</v>
      </c>
      <c r="AF130" s="176">
        <f t="shared" ca="1" si="171"/>
        <v>0</v>
      </c>
      <c r="AG130" s="958">
        <f ca="1">AF130*User_sheet!B$77/100</f>
        <v>0</v>
      </c>
      <c r="AH130" s="313"/>
      <c r="AI130">
        <v>301</v>
      </c>
      <c r="AK130" s="1018">
        <f t="shared" ca="1" si="105"/>
        <v>174.12131684650063</v>
      </c>
      <c r="AL130" s="924">
        <f ca="1">AK130/'301'!I$24</f>
        <v>1.3796595791523434</v>
      </c>
      <c r="AM130" s="924">
        <f ca="1">0.8*(AK130*30+'301'!D$17*0.34*30*1)</f>
        <v>6270.4828043160151</v>
      </c>
      <c r="AN130" s="954">
        <f ca="1">IF(AM130&lt;User_sheet!B$50,Y130,0)</f>
        <v>0</v>
      </c>
      <c r="AO130" s="954">
        <f ca="1">20-(User_sheet!B$57/(AK130+'301'!D$17*1*0.34))</f>
        <v>-1.8165018977230361</v>
      </c>
      <c r="AP130" s="954">
        <f ca="1">IF(AO130&lt;User_sheet!B$59,0,BC130*AA130)</f>
        <v>0</v>
      </c>
      <c r="AR130" s="2">
        <v>0.32</v>
      </c>
      <c r="AS130" s="2">
        <v>3.7</v>
      </c>
      <c r="AT130" s="2">
        <v>7.9</v>
      </c>
      <c r="AU130" s="2">
        <v>2</v>
      </c>
      <c r="AV130" s="2">
        <v>3.3</v>
      </c>
      <c r="AW130" s="2">
        <v>14356</v>
      </c>
      <c r="AX130" s="2">
        <v>76466.30421774846</v>
      </c>
      <c r="AY130" s="2">
        <v>67352.647733737584</v>
      </c>
      <c r="AZ130" s="27">
        <v>0</v>
      </c>
      <c r="BA130" s="27">
        <v>0</v>
      </c>
      <c r="BB130" s="2">
        <v>0.6</v>
      </c>
      <c r="BC130" s="30">
        <v>0</v>
      </c>
      <c r="BD130" s="34">
        <v>0</v>
      </c>
      <c r="BE130" s="34">
        <v>0</v>
      </c>
      <c r="BF130" s="40">
        <v>1</v>
      </c>
      <c r="BG130" s="34">
        <v>1</v>
      </c>
      <c r="BH130" s="34">
        <v>0</v>
      </c>
      <c r="BI130" s="40">
        <v>0</v>
      </c>
      <c r="BJ130" s="34">
        <v>0</v>
      </c>
      <c r="BK130" s="34">
        <v>0</v>
      </c>
      <c r="BL130" s="34">
        <v>0</v>
      </c>
      <c r="BM130" s="40">
        <v>1</v>
      </c>
      <c r="BN130" s="958">
        <v>0</v>
      </c>
      <c r="BO130" s="959">
        <v>14.9</v>
      </c>
      <c r="BP130" s="1018">
        <f t="shared" ca="1" si="158"/>
        <v>115.19999999999999</v>
      </c>
      <c r="BQ130" s="1018">
        <f t="shared" ca="1" si="159"/>
        <v>191.51999999999995</v>
      </c>
      <c r="BR130" s="1018">
        <f t="shared" ca="1" si="160"/>
        <v>43.295999999999999</v>
      </c>
      <c r="BS130" s="1018">
        <f t="shared" ca="1" si="161"/>
        <v>42.459999999999994</v>
      </c>
      <c r="BT130" s="1018">
        <f t="shared" ca="1" si="162"/>
        <v>38.4</v>
      </c>
      <c r="BU130" s="1018">
        <f t="shared" ca="1" si="163"/>
        <v>7</v>
      </c>
      <c r="BV130" s="1018">
        <f t="shared" ca="1" si="164"/>
        <v>4.3</v>
      </c>
      <c r="BW130" s="1018">
        <v>0</v>
      </c>
      <c r="BX130" s="1018">
        <f t="shared" ca="1" si="165"/>
        <v>13.126629610914604</v>
      </c>
      <c r="BY130" s="1018">
        <f t="shared" ca="1" si="166"/>
        <v>95.716084484159211</v>
      </c>
      <c r="BZ130" s="1018">
        <f t="shared" ca="1" si="106"/>
        <v>42.251885199774904</v>
      </c>
      <c r="CA130" s="1018">
        <f t="shared" ca="1" si="107"/>
        <v>13.999999994400001</v>
      </c>
      <c r="CB130" s="1018">
        <f t="shared" ca="1" si="167"/>
        <v>9.0267175572519083</v>
      </c>
      <c r="CC130" s="1018">
        <f t="shared" si="108"/>
        <v>0</v>
      </c>
      <c r="CD130" s="1018">
        <f t="shared" ca="1" si="168"/>
        <v>174.12131684650063</v>
      </c>
      <c r="CE130" s="1018">
        <f t="shared" ca="1" si="172"/>
        <v>58.755316272361483</v>
      </c>
      <c r="CF130" s="1018">
        <f t="shared" ca="1" si="109"/>
        <v>6.986298993565863</v>
      </c>
      <c r="CG130" s="1018">
        <f t="shared" ca="1" si="110"/>
        <v>11631.908372327422</v>
      </c>
    </row>
    <row r="131" spans="4:85" x14ac:dyDescent="0.25">
      <c r="D131" s="1"/>
      <c r="F131" s="1"/>
      <c r="G131" s="3"/>
      <c r="H131" s="6"/>
      <c r="I131" s="3"/>
      <c r="J131" s="6"/>
      <c r="K131" s="8"/>
      <c r="L131" s="6"/>
      <c r="M131" s="1" t="s">
        <v>17</v>
      </c>
      <c r="N131" s="4"/>
      <c r="O131" s="1" t="s">
        <v>19</v>
      </c>
      <c r="P131" s="4"/>
      <c r="Q131" s="1" t="s">
        <v>17</v>
      </c>
      <c r="R131" s="4"/>
      <c r="S131" s="1"/>
      <c r="T131" s="77"/>
      <c r="U131" s="294"/>
      <c r="X131" s="176">
        <f t="shared" si="169"/>
        <v>0</v>
      </c>
      <c r="Y131" s="34">
        <f>X131/Calculation_sheet!M$67</f>
        <v>0</v>
      </c>
      <c r="Z131" s="176">
        <f ca="1">IF(AN131&gt;0,Y131*Calculation_sheet!C$87,0)</f>
        <v>0</v>
      </c>
      <c r="AA131" s="176">
        <f t="shared" ca="1" si="170"/>
        <v>0</v>
      </c>
      <c r="AB131" s="176">
        <f ca="1">IF(AP131&gt;0,AA131*Calculation_sheet!C$94,0)</f>
        <v>0</v>
      </c>
      <c r="AC131" s="176">
        <f t="shared" ca="1" si="157"/>
        <v>0</v>
      </c>
      <c r="AD131" s="958">
        <f ca="1">AC131*Calculation_sheet!C$99</f>
        <v>0</v>
      </c>
      <c r="AE131" s="176">
        <f t="shared" ca="1" si="157"/>
        <v>0</v>
      </c>
      <c r="AF131" s="176">
        <f t="shared" ca="1" si="171"/>
        <v>0</v>
      </c>
      <c r="AG131" s="958">
        <f ca="1">AF131*User_sheet!B$77/100</f>
        <v>0</v>
      </c>
      <c r="AH131" s="313"/>
      <c r="AI131">
        <v>301</v>
      </c>
      <c r="AK131" s="1018">
        <f t="shared" ca="1" si="105"/>
        <v>174.12131684650063</v>
      </c>
      <c r="AL131" s="924">
        <f ca="1">AK131/'301'!I$24</f>
        <v>1.3796595791523434</v>
      </c>
      <c r="AM131" s="924">
        <f ca="1">0.8*(AK131*30+'301'!D$17*0.34*30*1)</f>
        <v>6270.4828043160151</v>
      </c>
      <c r="AN131" s="954">
        <f ca="1">IF(AM131&lt;User_sheet!B$50,Y131,0)</f>
        <v>0</v>
      </c>
      <c r="AO131" s="954">
        <f ca="1">20-(User_sheet!B$57/(AK131+'301'!D$17*1*0.34))</f>
        <v>-1.8165018977230361</v>
      </c>
      <c r="AP131" s="954">
        <f ca="1">IF(AO131&lt;User_sheet!B$59,0,BC131*AA131)</f>
        <v>0</v>
      </c>
      <c r="AR131" s="2">
        <v>0.32</v>
      </c>
      <c r="AS131" s="2">
        <v>3.7</v>
      </c>
      <c r="AT131" s="2">
        <v>7.9</v>
      </c>
      <c r="AU131" s="2">
        <v>2</v>
      </c>
      <c r="AV131" s="2">
        <v>3.3</v>
      </c>
      <c r="AW131" s="2">
        <v>14356</v>
      </c>
      <c r="AX131" s="2">
        <v>76466.30421774846</v>
      </c>
      <c r="AY131" s="2">
        <v>67352.647733737584</v>
      </c>
      <c r="AZ131" s="27">
        <v>0</v>
      </c>
      <c r="BA131" s="27">
        <v>0</v>
      </c>
      <c r="BB131" s="2">
        <v>0.6</v>
      </c>
      <c r="BC131" s="30">
        <v>0</v>
      </c>
      <c r="BD131" s="34">
        <v>0</v>
      </c>
      <c r="BE131" s="34">
        <v>0</v>
      </c>
      <c r="BF131" s="40">
        <v>1</v>
      </c>
      <c r="BG131" s="34">
        <v>0</v>
      </c>
      <c r="BH131" s="34">
        <v>1</v>
      </c>
      <c r="BI131" s="40">
        <v>0</v>
      </c>
      <c r="BJ131" s="34">
        <v>0</v>
      </c>
      <c r="BK131" s="34">
        <v>0</v>
      </c>
      <c r="BL131" s="34">
        <v>0</v>
      </c>
      <c r="BM131" s="40">
        <v>1</v>
      </c>
      <c r="BN131" s="958">
        <v>0</v>
      </c>
      <c r="BO131" s="959">
        <v>14.9</v>
      </c>
      <c r="BP131" s="1018">
        <f t="shared" ca="1" si="158"/>
        <v>115.19999999999999</v>
      </c>
      <c r="BQ131" s="1018">
        <f t="shared" ca="1" si="159"/>
        <v>191.51999999999995</v>
      </c>
      <c r="BR131" s="1018">
        <f t="shared" ca="1" si="160"/>
        <v>43.295999999999999</v>
      </c>
      <c r="BS131" s="1018">
        <f t="shared" ca="1" si="161"/>
        <v>42.459999999999994</v>
      </c>
      <c r="BT131" s="1018">
        <f t="shared" ca="1" si="162"/>
        <v>38.4</v>
      </c>
      <c r="BU131" s="1018">
        <f t="shared" ca="1" si="163"/>
        <v>7</v>
      </c>
      <c r="BV131" s="1018">
        <f t="shared" ca="1" si="164"/>
        <v>4.3</v>
      </c>
      <c r="BW131" s="1018">
        <v>0</v>
      </c>
      <c r="BX131" s="1018">
        <f t="shared" ca="1" si="165"/>
        <v>13.126629610914604</v>
      </c>
      <c r="BY131" s="1018">
        <f t="shared" ca="1" si="166"/>
        <v>95.716084484159211</v>
      </c>
      <c r="BZ131" s="1018">
        <f t="shared" ca="1" si="106"/>
        <v>42.251885199774904</v>
      </c>
      <c r="CA131" s="1018">
        <f t="shared" ca="1" si="107"/>
        <v>13.999999994400001</v>
      </c>
      <c r="CB131" s="1018">
        <f t="shared" ca="1" si="167"/>
        <v>9.0267175572519083</v>
      </c>
      <c r="CC131" s="1018">
        <f t="shared" si="108"/>
        <v>0</v>
      </c>
      <c r="CD131" s="1018">
        <f t="shared" ca="1" si="168"/>
        <v>174.12131684650063</v>
      </c>
      <c r="CE131" s="1018">
        <f t="shared" ca="1" si="172"/>
        <v>58.755316272361483</v>
      </c>
      <c r="CF131" s="1018">
        <f t="shared" ca="1" si="109"/>
        <v>6.986298993565863</v>
      </c>
      <c r="CG131" s="1018">
        <f t="shared" ca="1" si="110"/>
        <v>11631.908372327422</v>
      </c>
    </row>
    <row r="132" spans="4:85" s="14" customFormat="1" x14ac:dyDescent="0.25">
      <c r="D132" s="15"/>
      <c r="F132" s="15"/>
      <c r="H132" s="15"/>
      <c r="J132" s="15"/>
      <c r="K132" s="16"/>
      <c r="L132" s="15"/>
      <c r="M132" s="15"/>
      <c r="N132" s="15"/>
      <c r="O132" s="15"/>
      <c r="P132" s="15"/>
      <c r="Q132" s="15"/>
      <c r="R132" s="15"/>
      <c r="S132" s="15"/>
      <c r="T132" s="80"/>
      <c r="U132" s="295"/>
      <c r="V132" s="292"/>
      <c r="W132" s="292"/>
      <c r="X132" s="292"/>
      <c r="Y132" s="277"/>
      <c r="Z132" s="292"/>
      <c r="AA132" s="292"/>
      <c r="AB132" s="292"/>
      <c r="AC132" s="292"/>
      <c r="AD132" s="277"/>
      <c r="AE132" s="292"/>
      <c r="AF132" s="292"/>
      <c r="AG132" s="277"/>
      <c r="AH132" s="313"/>
      <c r="AJ132" s="314"/>
      <c r="AK132" s="1018">
        <f t="shared" si="105"/>
        <v>0</v>
      </c>
      <c r="AL132" s="928"/>
      <c r="AM132" s="928"/>
      <c r="AN132" s="986"/>
      <c r="AO132" s="986"/>
      <c r="AP132" s="986"/>
      <c r="AQ132" s="314"/>
      <c r="AR132" s="28"/>
      <c r="AS132" s="28"/>
      <c r="AT132" s="28"/>
      <c r="AU132" s="28"/>
      <c r="AV132" s="28"/>
      <c r="AW132" s="28"/>
      <c r="AX132" s="28"/>
      <c r="AY132" s="28"/>
      <c r="AZ132" s="28"/>
      <c r="BA132" s="28"/>
      <c r="BB132" s="28"/>
      <c r="BC132" s="45"/>
      <c r="BD132" s="277"/>
      <c r="BE132" s="277"/>
      <c r="BF132" s="49"/>
      <c r="BG132" s="28"/>
      <c r="BH132" s="28"/>
      <c r="BI132" s="49"/>
      <c r="BJ132" s="28"/>
      <c r="BK132" s="28"/>
      <c r="BL132" s="28"/>
      <c r="BM132" s="49"/>
      <c r="BN132" s="277"/>
      <c r="BO132" s="49"/>
      <c r="BP132" s="928"/>
      <c r="BQ132" s="928"/>
      <c r="BR132" s="928"/>
      <c r="BS132" s="928"/>
      <c r="BT132" s="928"/>
      <c r="BU132" s="928"/>
      <c r="BV132" s="928"/>
      <c r="BW132" s="928"/>
      <c r="BX132" s="928"/>
      <c r="BY132" s="928"/>
      <c r="BZ132" s="928"/>
      <c r="CA132" s="928"/>
      <c r="CB132" s="928"/>
      <c r="CC132" s="928"/>
      <c r="CD132" s="928"/>
      <c r="CE132" s="928"/>
      <c r="CF132" s="928"/>
      <c r="CG132" s="928"/>
    </row>
    <row r="133" spans="4:85" x14ac:dyDescent="0.25">
      <c r="D133" s="1"/>
      <c r="F133" s="1"/>
      <c r="G133" s="3"/>
      <c r="H133" s="6"/>
      <c r="I133" s="3"/>
      <c r="J133" s="6"/>
      <c r="K133" s="8"/>
      <c r="L133" s="6"/>
      <c r="M133" s="1"/>
      <c r="N133" s="1"/>
      <c r="O133" s="1"/>
      <c r="P133" s="1"/>
      <c r="Q133" s="1" t="s">
        <v>16</v>
      </c>
      <c r="R133" s="4"/>
      <c r="S133" s="1"/>
      <c r="T133" s="77"/>
      <c r="U133" s="294"/>
      <c r="W133" s="176">
        <f t="shared" ref="W133:W143" si="173">(V109-W109)+(V85-W85)</f>
        <v>0</v>
      </c>
      <c r="X133" s="176">
        <f>W133</f>
        <v>0</v>
      </c>
      <c r="Y133" s="34">
        <f>X133/Calculation_sheet!M$67</f>
        <v>0</v>
      </c>
      <c r="Z133" s="176">
        <f ca="1">IF(AN133&gt;0,Y133*Calculation_sheet!C$87,0)</f>
        <v>0</v>
      </c>
      <c r="AA133" s="176">
        <f ca="1">Y133-Z133</f>
        <v>0</v>
      </c>
      <c r="AB133" s="176">
        <f ca="1">IF(AP133&gt;0,AA133*Calculation_sheet!C$94,0)</f>
        <v>0</v>
      </c>
      <c r="AC133" s="176">
        <f t="shared" ref="AC133:AE143" ca="1" si="174">AA133-AB133</f>
        <v>0</v>
      </c>
      <c r="AD133" s="958">
        <f ca="1">AC133*Calculation_sheet!C$99</f>
        <v>0</v>
      </c>
      <c r="AE133" s="176">
        <f t="shared" ca="1" si="174"/>
        <v>0</v>
      </c>
      <c r="AF133" s="176">
        <f ca="1">Y133-AB133</f>
        <v>0</v>
      </c>
      <c r="AG133" s="958">
        <f ca="1">AF133*User_sheet!B$77/100</f>
        <v>0</v>
      </c>
      <c r="AH133" s="313"/>
      <c r="AI133">
        <v>301</v>
      </c>
      <c r="AK133" s="1018">
        <f t="shared" ca="1" si="105"/>
        <v>60.924844628753377</v>
      </c>
      <c r="AL133" s="924">
        <f ca="1">AK133/'301'!I$24</f>
        <v>0.48274126926416638</v>
      </c>
      <c r="AM133" s="924">
        <f ca="1">0.8*(AK133*30+'301'!D$17*0.34*30*1)</f>
        <v>3553.767471090081</v>
      </c>
      <c r="AN133" s="954">
        <f ca="1">IF(AM133&lt;User_sheet!B$50,Y133,0)</f>
        <v>0</v>
      </c>
      <c r="AO133" s="954">
        <f ca="1">20-(User_sheet!B$57/(AK133+'301'!D$17*1*0.34))</f>
        <v>-18.494358765132723</v>
      </c>
      <c r="AP133" s="954">
        <f ca="1">IF(AO133&lt;User_sheet!B$59,0,BC133*AA133)</f>
        <v>0</v>
      </c>
      <c r="AR133" s="2">
        <v>0.32</v>
      </c>
      <c r="AS133" s="2">
        <v>0.43</v>
      </c>
      <c r="AT133" s="2">
        <v>0.43</v>
      </c>
      <c r="AU133" s="2">
        <v>2</v>
      </c>
      <c r="AV133" s="2">
        <v>3.3</v>
      </c>
      <c r="AW133" s="2">
        <v>14356</v>
      </c>
      <c r="AX133" s="2">
        <v>74834</v>
      </c>
      <c r="AY133" s="2">
        <v>69246</v>
      </c>
      <c r="AZ133" s="27">
        <v>0</v>
      </c>
      <c r="BA133" s="27">
        <v>0</v>
      </c>
      <c r="BB133" s="2">
        <v>0.6</v>
      </c>
      <c r="BC133" s="30">
        <v>1</v>
      </c>
      <c r="BD133" s="34">
        <v>0</v>
      </c>
      <c r="BE133" s="34">
        <v>0</v>
      </c>
      <c r="BF133" s="40">
        <v>0</v>
      </c>
      <c r="BG133" s="34">
        <v>1</v>
      </c>
      <c r="BH133" s="34">
        <v>0</v>
      </c>
      <c r="BI133" s="40">
        <v>0</v>
      </c>
      <c r="BJ133" s="34">
        <v>1</v>
      </c>
      <c r="BK133" s="34">
        <v>0</v>
      </c>
      <c r="BL133" s="34">
        <v>0</v>
      </c>
      <c r="BM133" s="40">
        <v>0</v>
      </c>
      <c r="BN133" s="958">
        <v>0.02</v>
      </c>
      <c r="BO133" s="959">
        <v>2.5</v>
      </c>
      <c r="BP133" s="1018">
        <f t="shared" ref="BP133:BP143" ca="1" si="175">INDIRECT("'"&amp;AI133&amp;"'!"&amp;"B2")</f>
        <v>115.19999999999999</v>
      </c>
      <c r="BQ133" s="1018">
        <f t="shared" ref="BQ133:BQ143" ca="1" si="176">INDIRECT("'"&amp;AI133&amp;"'!"&amp;"C12")+INDIRECT("'"&amp;AI133&amp;"'!"&amp;"C13")+INDIRECT("'"&amp;AI133&amp;"'!"&amp;"C14")+INDIRECT("'"&amp;AI133&amp;"'!"&amp;"C15")+INDIRECT("'"&amp;AI133&amp;"'!"&amp;"C17")</f>
        <v>191.51999999999995</v>
      </c>
      <c r="BR133" s="1018">
        <f t="shared" ref="BR133:BR143" ca="1" si="177">INDIRECT("'"&amp;AI133&amp;"'!"&amp;"G5")</f>
        <v>43.295999999999999</v>
      </c>
      <c r="BS133" s="1018">
        <f t="shared" ref="BS133:BS143" ca="1" si="178">INDIRECT("'"&amp;AI133&amp;"'!"&amp;"G4")</f>
        <v>42.459999999999994</v>
      </c>
      <c r="BT133" s="1018">
        <f t="shared" ref="BT133:BT143" ca="1" si="179">INDIRECT("'"&amp;AI133&amp;"'!"&amp;"G6")</f>
        <v>38.4</v>
      </c>
      <c r="BU133" s="1018">
        <f t="shared" ref="BU133:BU143" ca="1" si="180">INDIRECT("'"&amp;AI133&amp;"'!"&amp;"G2")</f>
        <v>7</v>
      </c>
      <c r="BV133" s="1018">
        <f t="shared" ref="BV133:BV143" ca="1" si="181">INDIRECT("'"&amp;AI133&amp;"'!"&amp;"G3")</f>
        <v>4.3</v>
      </c>
      <c r="BW133" s="1018">
        <v>0</v>
      </c>
      <c r="BX133" s="1018">
        <f t="shared" ref="BX133:BX143" ca="1" si="182">IF(BR133=0,0,1/(1/(BR133*$BY$3)+1/(BR133*AR133)+1/(BR133*$BY$4)))</f>
        <v>13.126629610914604</v>
      </c>
      <c r="BY133" s="1018">
        <f t="shared" ref="BY133:BY143" ca="1" si="183">IF(BS133=0,0,1/(1/(BS133*$BY$3)+1/(BS133*AS133)+1/(BS133*$BY$4)))</f>
        <v>16.991376101253255</v>
      </c>
      <c r="BZ133" s="1018">
        <f t="shared" ca="1" si="106"/>
        <v>5.0710013649336148</v>
      </c>
      <c r="CA133" s="1018">
        <f t="shared" ca="1" si="107"/>
        <v>13.999999994400001</v>
      </c>
      <c r="CB133" s="1018">
        <f t="shared" ref="CB133:CB143" ca="1" si="184">IF(BV133=0,0,1/(1/(BV133*$BY$3)+1/(BV133*AV133)+1/(BV133*$BY$4)))</f>
        <v>9.0267175572519083</v>
      </c>
      <c r="CC133" s="1018">
        <f t="shared" si="108"/>
        <v>0</v>
      </c>
      <c r="CD133" s="1018">
        <f t="shared" ref="CD133:CD143" ca="1" si="185">SUM(BX133:CC133)+(BR133+BS133+BT133+BU133+BV133)*BN133</f>
        <v>60.924844628753377</v>
      </c>
      <c r="CE133" s="1018">
        <f ca="1">0.34*BO133*(1/25)^0.66*(BR133+BS133+BU133+BV133)+0.6*BQ133*0.34</f>
        <v>48.928354542342518</v>
      </c>
      <c r="CF133" s="1018">
        <f t="shared" ca="1" si="109"/>
        <v>3.2955959751328767</v>
      </c>
      <c r="CG133" s="1018">
        <f t="shared" ca="1" si="110"/>
        <v>5487.0354747572337</v>
      </c>
    </row>
    <row r="134" spans="4:85" x14ac:dyDescent="0.25">
      <c r="D134" s="1"/>
      <c r="F134" s="1"/>
      <c r="G134" s="3"/>
      <c r="H134" s="6"/>
      <c r="I134" s="3"/>
      <c r="J134" s="6"/>
      <c r="K134" s="8"/>
      <c r="L134" s="6"/>
      <c r="M134" s="1"/>
      <c r="N134" s="1"/>
      <c r="O134" s="1" t="s">
        <v>18</v>
      </c>
      <c r="P134" s="4"/>
      <c r="Q134" s="1" t="s">
        <v>7</v>
      </c>
      <c r="R134" s="4"/>
      <c r="S134" s="1"/>
      <c r="T134" s="77"/>
      <c r="U134" s="294"/>
      <c r="W134" s="176">
        <f t="shared" si="173"/>
        <v>0</v>
      </c>
      <c r="X134" s="176">
        <f t="shared" ref="X134:X143" si="186">W134</f>
        <v>0</v>
      </c>
      <c r="Y134" s="34">
        <f>X134/Calculation_sheet!M$67</f>
        <v>0</v>
      </c>
      <c r="Z134" s="176">
        <f ca="1">IF(AN134&gt;0,Y134*Calculation_sheet!C$87,0)</f>
        <v>0</v>
      </c>
      <c r="AA134" s="176">
        <f t="shared" ref="AA134:AA143" ca="1" si="187">Y134-Z134</f>
        <v>0</v>
      </c>
      <c r="AB134" s="176">
        <f ca="1">IF(AP134&gt;0,AA134*Calculation_sheet!C$94,0)</f>
        <v>0</v>
      </c>
      <c r="AC134" s="176">
        <f t="shared" ca="1" si="174"/>
        <v>0</v>
      </c>
      <c r="AD134" s="958">
        <f ca="1">AC134*Calculation_sheet!C$99</f>
        <v>0</v>
      </c>
      <c r="AE134" s="176">
        <f t="shared" ca="1" si="174"/>
        <v>0</v>
      </c>
      <c r="AF134" s="176">
        <f t="shared" ref="AF134:AF143" ca="1" si="188">Y134-AB134</f>
        <v>0</v>
      </c>
      <c r="AG134" s="958">
        <f ca="1">AF134*User_sheet!B$77/100</f>
        <v>0</v>
      </c>
      <c r="AH134" s="313"/>
      <c r="AI134">
        <v>301</v>
      </c>
      <c r="AK134" s="1018">
        <f t="shared" ca="1" si="105"/>
        <v>60.924844628753377</v>
      </c>
      <c r="AL134" s="924">
        <f ca="1">AK134/'301'!I$24</f>
        <v>0.48274126926416638</v>
      </c>
      <c r="AM134" s="924">
        <f ca="1">0.8*(AK134*30+'301'!D$17*0.34*30*1)</f>
        <v>3553.767471090081</v>
      </c>
      <c r="AN134" s="954">
        <f ca="1">IF(AM134&lt;User_sheet!B$50,Y134,0)</f>
        <v>0</v>
      </c>
      <c r="AO134" s="954">
        <f ca="1">20-(User_sheet!B$57/(AK134+'301'!D$17*1*0.34))</f>
        <v>-18.494358765132723</v>
      </c>
      <c r="AP134" s="954">
        <f ca="1">IF(AO134&lt;User_sheet!B$59,0,BC134*AA134)</f>
        <v>0</v>
      </c>
      <c r="AR134" s="2">
        <v>0.32</v>
      </c>
      <c r="AS134" s="2">
        <v>0.43</v>
      </c>
      <c r="AT134" s="2">
        <v>0.43</v>
      </c>
      <c r="AU134" s="2">
        <v>2</v>
      </c>
      <c r="AV134" s="2">
        <v>3.3</v>
      </c>
      <c r="AW134" s="2">
        <v>14356</v>
      </c>
      <c r="AX134" s="2">
        <v>74834</v>
      </c>
      <c r="AY134" s="2">
        <v>69246</v>
      </c>
      <c r="AZ134" s="27">
        <v>0</v>
      </c>
      <c r="BA134" s="27">
        <v>0</v>
      </c>
      <c r="BB134" s="2">
        <v>0.6</v>
      </c>
      <c r="BC134" s="30">
        <v>1</v>
      </c>
      <c r="BD134" s="34">
        <v>0</v>
      </c>
      <c r="BE134" s="34">
        <v>0</v>
      </c>
      <c r="BF134" s="40">
        <v>0</v>
      </c>
      <c r="BG134" s="34">
        <v>1</v>
      </c>
      <c r="BH134" s="34">
        <v>0</v>
      </c>
      <c r="BI134" s="40">
        <v>0</v>
      </c>
      <c r="BJ134" s="34">
        <v>0</v>
      </c>
      <c r="BK134" s="34">
        <v>0</v>
      </c>
      <c r="BL134" s="34">
        <v>1</v>
      </c>
      <c r="BM134" s="40">
        <v>0</v>
      </c>
      <c r="BN134" s="958">
        <v>0.02</v>
      </c>
      <c r="BO134" s="959">
        <v>2.5</v>
      </c>
      <c r="BP134" s="1018">
        <f t="shared" ca="1" si="175"/>
        <v>115.19999999999999</v>
      </c>
      <c r="BQ134" s="1018">
        <f t="shared" ca="1" si="176"/>
        <v>191.51999999999995</v>
      </c>
      <c r="BR134" s="1018">
        <f t="shared" ca="1" si="177"/>
        <v>43.295999999999999</v>
      </c>
      <c r="BS134" s="1018">
        <f t="shared" ca="1" si="178"/>
        <v>42.459999999999994</v>
      </c>
      <c r="BT134" s="1018">
        <f t="shared" ca="1" si="179"/>
        <v>38.4</v>
      </c>
      <c r="BU134" s="1018">
        <f t="shared" ca="1" si="180"/>
        <v>7</v>
      </c>
      <c r="BV134" s="1018">
        <f t="shared" ca="1" si="181"/>
        <v>4.3</v>
      </c>
      <c r="BW134" s="1018">
        <v>0</v>
      </c>
      <c r="BX134" s="1018">
        <f t="shared" ca="1" si="182"/>
        <v>13.126629610914604</v>
      </c>
      <c r="BY134" s="1018">
        <f t="shared" ca="1" si="183"/>
        <v>16.991376101253255</v>
      </c>
      <c r="BZ134" s="1018">
        <f t="shared" ca="1" si="106"/>
        <v>5.0710013649336148</v>
      </c>
      <c r="CA134" s="1018">
        <f t="shared" ca="1" si="107"/>
        <v>13.999999994400001</v>
      </c>
      <c r="CB134" s="1018">
        <f t="shared" ca="1" si="184"/>
        <v>9.0267175572519083</v>
      </c>
      <c r="CC134" s="1018">
        <f t="shared" si="108"/>
        <v>0</v>
      </c>
      <c r="CD134" s="1018">
        <f t="shared" ca="1" si="185"/>
        <v>60.924844628753377</v>
      </c>
      <c r="CE134" s="1018">
        <f t="shared" ref="CE134:CE143" ca="1" si="189">0.34*BO134*(1/25)^0.66*(BR134+BS134+BU134+BV134)+0.6*BQ134*0.34</f>
        <v>48.928354542342518</v>
      </c>
      <c r="CF134" s="1018">
        <f t="shared" ca="1" si="109"/>
        <v>3.2955959751328767</v>
      </c>
      <c r="CG134" s="1018">
        <f t="shared" ca="1" si="110"/>
        <v>5487.0354747572337</v>
      </c>
    </row>
    <row r="135" spans="4:85" x14ac:dyDescent="0.25">
      <c r="D135" s="1"/>
      <c r="F135" s="1"/>
      <c r="G135" s="3"/>
      <c r="H135" s="6"/>
      <c r="I135" s="3"/>
      <c r="J135" s="6"/>
      <c r="K135" s="8"/>
      <c r="L135" s="6"/>
      <c r="M135" s="1"/>
      <c r="N135" s="1"/>
      <c r="O135" s="1"/>
      <c r="P135" s="1"/>
      <c r="Q135" s="1" t="s">
        <v>16</v>
      </c>
      <c r="R135" s="4"/>
      <c r="S135" s="1"/>
      <c r="T135" s="77"/>
      <c r="U135" s="294"/>
      <c r="W135" s="176">
        <f t="shared" si="173"/>
        <v>0</v>
      </c>
      <c r="X135" s="176">
        <f t="shared" si="186"/>
        <v>0</v>
      </c>
      <c r="Y135" s="34">
        <f>X135/Calculation_sheet!M$67</f>
        <v>0</v>
      </c>
      <c r="Z135" s="176">
        <f ca="1">IF(AN135&gt;0,Y135*Calculation_sheet!C$87,0)</f>
        <v>0</v>
      </c>
      <c r="AA135" s="176">
        <f t="shared" ca="1" si="187"/>
        <v>0</v>
      </c>
      <c r="AB135" s="176">
        <f ca="1">IF(AP135&gt;0,AA135*Calculation_sheet!C$94,0)</f>
        <v>0</v>
      </c>
      <c r="AC135" s="176">
        <f t="shared" ca="1" si="174"/>
        <v>0</v>
      </c>
      <c r="AD135" s="958">
        <f ca="1">AC135*Calculation_sheet!C$99</f>
        <v>0</v>
      </c>
      <c r="AE135" s="176">
        <f t="shared" ca="1" si="174"/>
        <v>0</v>
      </c>
      <c r="AF135" s="176">
        <f t="shared" ca="1" si="188"/>
        <v>0</v>
      </c>
      <c r="AG135" s="958">
        <f ca="1">AF135*User_sheet!B$77/100</f>
        <v>0</v>
      </c>
      <c r="AH135" s="313"/>
      <c r="AI135">
        <v>301</v>
      </c>
      <c r="AK135" s="1018">
        <f t="shared" ca="1" si="105"/>
        <v>60.924844628753377</v>
      </c>
      <c r="AL135" s="924">
        <f ca="1">AK135/'301'!I$24</f>
        <v>0.48274126926416638</v>
      </c>
      <c r="AM135" s="924">
        <f ca="1">0.8*(AK135*30+'301'!D$17*0.34*30*1)</f>
        <v>3553.767471090081</v>
      </c>
      <c r="AN135" s="954">
        <f ca="1">IF(AM135&lt;User_sheet!B$50,Y135,0)</f>
        <v>0</v>
      </c>
      <c r="AO135" s="954">
        <f ca="1">20-(User_sheet!B$57/(AK135+'301'!D$17*1*0.34))</f>
        <v>-18.494358765132723</v>
      </c>
      <c r="AP135" s="954">
        <f ca="1">IF(AO135&lt;User_sheet!B$59,0,BC135*AA135)</f>
        <v>0</v>
      </c>
      <c r="AR135" s="2">
        <v>0.32</v>
      </c>
      <c r="AS135" s="2">
        <v>0.43</v>
      </c>
      <c r="AT135" s="2">
        <v>0.43</v>
      </c>
      <c r="AU135" s="2">
        <v>2</v>
      </c>
      <c r="AV135" s="2">
        <v>3.3</v>
      </c>
      <c r="AW135" s="2">
        <v>14356</v>
      </c>
      <c r="AX135" s="2">
        <v>74834</v>
      </c>
      <c r="AY135" s="2">
        <v>69246</v>
      </c>
      <c r="AZ135" s="27">
        <v>0</v>
      </c>
      <c r="BA135" s="27">
        <v>0</v>
      </c>
      <c r="BB135" s="2">
        <v>0.6</v>
      </c>
      <c r="BC135" s="30">
        <v>1</v>
      </c>
      <c r="BD135" s="34">
        <v>0</v>
      </c>
      <c r="BE135" s="34">
        <v>0</v>
      </c>
      <c r="BF135" s="40">
        <v>0</v>
      </c>
      <c r="BG135" s="34">
        <v>0</v>
      </c>
      <c r="BH135" s="34">
        <v>1</v>
      </c>
      <c r="BI135" s="40">
        <v>0</v>
      </c>
      <c r="BJ135" s="34">
        <v>1</v>
      </c>
      <c r="BK135" s="34">
        <v>0</v>
      </c>
      <c r="BL135" s="34">
        <v>0</v>
      </c>
      <c r="BM135" s="40">
        <v>0</v>
      </c>
      <c r="BN135" s="958">
        <v>0.02</v>
      </c>
      <c r="BO135" s="959">
        <v>2.5</v>
      </c>
      <c r="BP135" s="1018">
        <f t="shared" ca="1" si="175"/>
        <v>115.19999999999999</v>
      </c>
      <c r="BQ135" s="1018">
        <f t="shared" ca="1" si="176"/>
        <v>191.51999999999995</v>
      </c>
      <c r="BR135" s="1018">
        <f t="shared" ca="1" si="177"/>
        <v>43.295999999999999</v>
      </c>
      <c r="BS135" s="1018">
        <f t="shared" ca="1" si="178"/>
        <v>42.459999999999994</v>
      </c>
      <c r="BT135" s="1018">
        <f t="shared" ca="1" si="179"/>
        <v>38.4</v>
      </c>
      <c r="BU135" s="1018">
        <f t="shared" ca="1" si="180"/>
        <v>7</v>
      </c>
      <c r="BV135" s="1018">
        <f t="shared" ca="1" si="181"/>
        <v>4.3</v>
      </c>
      <c r="BW135" s="1018">
        <v>0</v>
      </c>
      <c r="BX135" s="1018">
        <f t="shared" ca="1" si="182"/>
        <v>13.126629610914604</v>
      </c>
      <c r="BY135" s="1018">
        <f t="shared" ca="1" si="183"/>
        <v>16.991376101253255</v>
      </c>
      <c r="BZ135" s="1018">
        <f t="shared" ca="1" si="106"/>
        <v>5.0710013649336148</v>
      </c>
      <c r="CA135" s="1018">
        <f t="shared" ca="1" si="107"/>
        <v>13.999999994400001</v>
      </c>
      <c r="CB135" s="1018">
        <f t="shared" ca="1" si="184"/>
        <v>9.0267175572519083</v>
      </c>
      <c r="CC135" s="1018">
        <f t="shared" si="108"/>
        <v>0</v>
      </c>
      <c r="CD135" s="1018">
        <f t="shared" ca="1" si="185"/>
        <v>60.924844628753377</v>
      </c>
      <c r="CE135" s="1018">
        <f t="shared" ca="1" si="189"/>
        <v>48.928354542342518</v>
      </c>
      <c r="CF135" s="1018">
        <f t="shared" ca="1" si="109"/>
        <v>3.2955959751328767</v>
      </c>
      <c r="CG135" s="1018">
        <f t="shared" ca="1" si="110"/>
        <v>5487.0354747572337</v>
      </c>
    </row>
    <row r="136" spans="4:85" x14ac:dyDescent="0.25">
      <c r="D136" s="1"/>
      <c r="F136" s="1"/>
      <c r="G136" s="3"/>
      <c r="H136" s="6"/>
      <c r="I136" s="3"/>
      <c r="J136" s="6"/>
      <c r="K136" s="8"/>
      <c r="L136" s="6"/>
      <c r="M136" s="1" t="s">
        <v>16</v>
      </c>
      <c r="N136" s="4"/>
      <c r="O136" s="1" t="s">
        <v>19</v>
      </c>
      <c r="P136" s="4"/>
      <c r="Q136" s="1" t="s">
        <v>7</v>
      </c>
      <c r="R136" s="4"/>
      <c r="S136" s="1"/>
      <c r="T136" s="77"/>
      <c r="U136" s="294"/>
      <c r="W136" s="176">
        <f t="shared" si="173"/>
        <v>0</v>
      </c>
      <c r="X136" s="176">
        <f t="shared" si="186"/>
        <v>0</v>
      </c>
      <c r="Y136" s="34">
        <f>X136/Calculation_sheet!M$67</f>
        <v>0</v>
      </c>
      <c r="Z136" s="176">
        <f ca="1">IF(AN136&gt;0,Y136*Calculation_sheet!C$87,0)</f>
        <v>0</v>
      </c>
      <c r="AA136" s="176">
        <f t="shared" ca="1" si="187"/>
        <v>0</v>
      </c>
      <c r="AB136" s="176">
        <f ca="1">IF(AP136&gt;0,AA136*Calculation_sheet!C$94,0)</f>
        <v>0</v>
      </c>
      <c r="AC136" s="176">
        <f t="shared" ca="1" si="174"/>
        <v>0</v>
      </c>
      <c r="AD136" s="958">
        <f ca="1">AC136*Calculation_sheet!C$99</f>
        <v>0</v>
      </c>
      <c r="AE136" s="176">
        <f t="shared" ca="1" si="174"/>
        <v>0</v>
      </c>
      <c r="AF136" s="176">
        <f t="shared" ca="1" si="188"/>
        <v>0</v>
      </c>
      <c r="AG136" s="958">
        <f ca="1">AF136*User_sheet!B$77/100</f>
        <v>0</v>
      </c>
      <c r="AH136" s="313"/>
      <c r="AI136">
        <v>301</v>
      </c>
      <c r="AK136" s="1018">
        <f t="shared" ca="1" si="105"/>
        <v>60.924844628753377</v>
      </c>
      <c r="AL136" s="924">
        <f ca="1">AK136/'301'!I$24</f>
        <v>0.48274126926416638</v>
      </c>
      <c r="AM136" s="924">
        <f ca="1">0.8*(AK136*30+'301'!D$17*0.34*30*1)</f>
        <v>3553.767471090081</v>
      </c>
      <c r="AN136" s="954">
        <f ca="1">IF(AM136&lt;User_sheet!B$50,Y136,0)</f>
        <v>0</v>
      </c>
      <c r="AO136" s="954">
        <f ca="1">20-(User_sheet!B$57/(AK136+'301'!D$17*1*0.34))</f>
        <v>-18.494358765132723</v>
      </c>
      <c r="AP136" s="954">
        <f ca="1">IF(AO136&lt;User_sheet!B$59,0,BC136*AA136)</f>
        <v>0</v>
      </c>
      <c r="AR136" s="2">
        <v>0.32</v>
      </c>
      <c r="AS136" s="2">
        <v>0.43</v>
      </c>
      <c r="AT136" s="2">
        <v>0.43</v>
      </c>
      <c r="AU136" s="2">
        <v>2</v>
      </c>
      <c r="AV136" s="2">
        <v>3.3</v>
      </c>
      <c r="AW136" s="2">
        <v>14356</v>
      </c>
      <c r="AX136" s="2">
        <v>74834</v>
      </c>
      <c r="AY136" s="2">
        <v>69246</v>
      </c>
      <c r="AZ136" s="27">
        <v>0</v>
      </c>
      <c r="BA136" s="27">
        <v>0</v>
      </c>
      <c r="BB136" s="2">
        <v>0.6</v>
      </c>
      <c r="BC136" s="30">
        <v>1</v>
      </c>
      <c r="BD136" s="34">
        <v>0</v>
      </c>
      <c r="BE136" s="34">
        <v>0</v>
      </c>
      <c r="BF136" s="40">
        <v>0</v>
      </c>
      <c r="BG136" s="34">
        <v>0</v>
      </c>
      <c r="BH136" s="34">
        <v>1</v>
      </c>
      <c r="BI136" s="40">
        <v>0</v>
      </c>
      <c r="BJ136" s="34">
        <v>0</v>
      </c>
      <c r="BK136" s="34">
        <v>0</v>
      </c>
      <c r="BL136" s="34">
        <v>1</v>
      </c>
      <c r="BM136" s="40">
        <v>0</v>
      </c>
      <c r="BN136" s="958">
        <v>0.02</v>
      </c>
      <c r="BO136" s="959">
        <v>2.5</v>
      </c>
      <c r="BP136" s="1018">
        <f t="shared" ca="1" si="175"/>
        <v>115.19999999999999</v>
      </c>
      <c r="BQ136" s="1018">
        <f t="shared" ca="1" si="176"/>
        <v>191.51999999999995</v>
      </c>
      <c r="BR136" s="1018">
        <f t="shared" ca="1" si="177"/>
        <v>43.295999999999999</v>
      </c>
      <c r="BS136" s="1018">
        <f t="shared" ca="1" si="178"/>
        <v>42.459999999999994</v>
      </c>
      <c r="BT136" s="1018">
        <f t="shared" ca="1" si="179"/>
        <v>38.4</v>
      </c>
      <c r="BU136" s="1018">
        <f t="shared" ca="1" si="180"/>
        <v>7</v>
      </c>
      <c r="BV136" s="1018">
        <f t="shared" ca="1" si="181"/>
        <v>4.3</v>
      </c>
      <c r="BW136" s="1018">
        <v>0</v>
      </c>
      <c r="BX136" s="1018">
        <f t="shared" ca="1" si="182"/>
        <v>13.126629610914604</v>
      </c>
      <c r="BY136" s="1018">
        <f t="shared" ca="1" si="183"/>
        <v>16.991376101253255</v>
      </c>
      <c r="BZ136" s="1018">
        <f t="shared" ca="1" si="106"/>
        <v>5.0710013649336148</v>
      </c>
      <c r="CA136" s="1018">
        <f t="shared" ca="1" si="107"/>
        <v>13.999999994400001</v>
      </c>
      <c r="CB136" s="1018">
        <f t="shared" ca="1" si="184"/>
        <v>9.0267175572519083</v>
      </c>
      <c r="CC136" s="1018">
        <f t="shared" si="108"/>
        <v>0</v>
      </c>
      <c r="CD136" s="1018">
        <f t="shared" ca="1" si="185"/>
        <v>60.924844628753377</v>
      </c>
      <c r="CE136" s="1018">
        <f t="shared" ca="1" si="189"/>
        <v>48.928354542342518</v>
      </c>
      <c r="CF136" s="1018">
        <f t="shared" ca="1" si="109"/>
        <v>3.2955959751328767</v>
      </c>
      <c r="CG136" s="1018">
        <f t="shared" ca="1" si="110"/>
        <v>5487.0354747572337</v>
      </c>
    </row>
    <row r="137" spans="4:85" x14ac:dyDescent="0.25">
      <c r="D137" s="1"/>
      <c r="F137" s="1"/>
      <c r="G137" s="3"/>
      <c r="H137" s="6"/>
      <c r="I137" s="3"/>
      <c r="J137" s="6"/>
      <c r="K137" s="8"/>
      <c r="L137" s="6"/>
      <c r="M137" s="1"/>
      <c r="N137" s="1"/>
      <c r="O137" s="1"/>
      <c r="P137" s="1"/>
      <c r="Q137" s="1" t="s">
        <v>22</v>
      </c>
      <c r="R137" s="4"/>
      <c r="S137" s="1"/>
      <c r="T137" s="77"/>
      <c r="U137" s="294"/>
      <c r="W137" s="176">
        <f t="shared" si="173"/>
        <v>0</v>
      </c>
      <c r="X137" s="176">
        <f t="shared" si="186"/>
        <v>0</v>
      </c>
      <c r="Y137" s="34">
        <f>X137/Calculation_sheet!M$67</f>
        <v>0</v>
      </c>
      <c r="Z137" s="176">
        <f ca="1">IF(AN137&gt;0,Y137*Calculation_sheet!C$87,0)</f>
        <v>0</v>
      </c>
      <c r="AA137" s="176">
        <f t="shared" ca="1" si="187"/>
        <v>0</v>
      </c>
      <c r="AB137" s="176">
        <f ca="1">IF(AP137&gt;0,AA137*Calculation_sheet!C$94,0)</f>
        <v>0</v>
      </c>
      <c r="AC137" s="176">
        <f t="shared" ca="1" si="174"/>
        <v>0</v>
      </c>
      <c r="AD137" s="958">
        <f ca="1">AC137*Calculation_sheet!C$99</f>
        <v>0</v>
      </c>
      <c r="AE137" s="176">
        <f t="shared" ca="1" si="174"/>
        <v>0</v>
      </c>
      <c r="AF137" s="176">
        <f t="shared" ca="1" si="188"/>
        <v>0</v>
      </c>
      <c r="AG137" s="958">
        <f ca="1">AF137*User_sheet!B$77/100</f>
        <v>0</v>
      </c>
      <c r="AH137" s="313"/>
      <c r="AI137">
        <v>301</v>
      </c>
      <c r="AK137" s="1018">
        <f t="shared" ca="1" si="105"/>
        <v>60.924844628753377</v>
      </c>
      <c r="AL137" s="924">
        <f ca="1">AK137/'301'!I$24</f>
        <v>0.48274126926416638</v>
      </c>
      <c r="AM137" s="924">
        <f ca="1">0.8*(AK137*30+'301'!D$17*0.34*30*1)</f>
        <v>3553.767471090081</v>
      </c>
      <c r="AN137" s="954">
        <f ca="1">IF(AM137&lt;User_sheet!B$50,Y137,0)</f>
        <v>0</v>
      </c>
      <c r="AO137" s="954">
        <f ca="1">20-(User_sheet!B$57/(AK137+'301'!D$17*1*0.34))</f>
        <v>-18.494358765132723</v>
      </c>
      <c r="AP137" s="954">
        <f ca="1">IF(AO137&lt;User_sheet!B$59,0,BC137*AA137)</f>
        <v>0</v>
      </c>
      <c r="AR137" s="2">
        <v>0.32</v>
      </c>
      <c r="AS137" s="2">
        <v>0.43</v>
      </c>
      <c r="AT137" s="2">
        <v>0.43</v>
      </c>
      <c r="AU137" s="2">
        <v>2</v>
      </c>
      <c r="AV137" s="2">
        <v>3.3</v>
      </c>
      <c r="AW137" s="2">
        <v>14356</v>
      </c>
      <c r="AX137" s="2">
        <v>74834</v>
      </c>
      <c r="AY137" s="2">
        <v>69246</v>
      </c>
      <c r="AZ137" s="27">
        <v>0</v>
      </c>
      <c r="BA137" s="27">
        <v>0</v>
      </c>
      <c r="BB137" s="2">
        <v>0.6</v>
      </c>
      <c r="BC137" s="30">
        <v>0</v>
      </c>
      <c r="BD137" s="34">
        <v>1</v>
      </c>
      <c r="BE137" s="34">
        <v>0</v>
      </c>
      <c r="BF137" s="40">
        <v>0</v>
      </c>
      <c r="BG137" s="34">
        <v>1</v>
      </c>
      <c r="BH137" s="34">
        <v>0</v>
      </c>
      <c r="BI137" s="40">
        <v>0</v>
      </c>
      <c r="BJ137" s="34">
        <v>0</v>
      </c>
      <c r="BK137" s="34">
        <v>1</v>
      </c>
      <c r="BL137" s="34">
        <v>0</v>
      </c>
      <c r="BM137" s="40">
        <v>0</v>
      </c>
      <c r="BN137" s="958">
        <v>0.02</v>
      </c>
      <c r="BO137" s="959">
        <v>2.5</v>
      </c>
      <c r="BP137" s="1018">
        <f t="shared" ca="1" si="175"/>
        <v>115.19999999999999</v>
      </c>
      <c r="BQ137" s="1018">
        <f t="shared" ca="1" si="176"/>
        <v>191.51999999999995</v>
      </c>
      <c r="BR137" s="1018">
        <f t="shared" ca="1" si="177"/>
        <v>43.295999999999999</v>
      </c>
      <c r="BS137" s="1018">
        <f t="shared" ca="1" si="178"/>
        <v>42.459999999999994</v>
      </c>
      <c r="BT137" s="1018">
        <f t="shared" ca="1" si="179"/>
        <v>38.4</v>
      </c>
      <c r="BU137" s="1018">
        <f t="shared" ca="1" si="180"/>
        <v>7</v>
      </c>
      <c r="BV137" s="1018">
        <f t="shared" ca="1" si="181"/>
        <v>4.3</v>
      </c>
      <c r="BW137" s="1018">
        <v>0</v>
      </c>
      <c r="BX137" s="1018">
        <f t="shared" ca="1" si="182"/>
        <v>13.126629610914604</v>
      </c>
      <c r="BY137" s="1018">
        <f t="shared" ca="1" si="183"/>
        <v>16.991376101253255</v>
      </c>
      <c r="BZ137" s="1018">
        <f t="shared" ca="1" si="106"/>
        <v>5.0710013649336148</v>
      </c>
      <c r="CA137" s="1018">
        <f t="shared" ca="1" si="107"/>
        <v>13.999999994400001</v>
      </c>
      <c r="CB137" s="1018">
        <f t="shared" ca="1" si="184"/>
        <v>9.0267175572519083</v>
      </c>
      <c r="CC137" s="1018">
        <f t="shared" si="108"/>
        <v>0</v>
      </c>
      <c r="CD137" s="1018">
        <f t="shared" ca="1" si="185"/>
        <v>60.924844628753377</v>
      </c>
      <c r="CE137" s="1018">
        <f t="shared" ca="1" si="189"/>
        <v>48.928354542342518</v>
      </c>
      <c r="CF137" s="1018">
        <f t="shared" ca="1" si="109"/>
        <v>3.2955959751328767</v>
      </c>
      <c r="CG137" s="1018">
        <f t="shared" ca="1" si="110"/>
        <v>5487.0354747572337</v>
      </c>
    </row>
    <row r="138" spans="4:85" x14ac:dyDescent="0.25">
      <c r="D138" s="1"/>
      <c r="F138" s="1"/>
      <c r="G138" s="3"/>
      <c r="H138" s="6"/>
      <c r="I138" s="3"/>
      <c r="J138" s="3" t="s">
        <v>143</v>
      </c>
      <c r="K138" s="8"/>
      <c r="L138" s="6"/>
      <c r="M138" s="1"/>
      <c r="N138" s="1"/>
      <c r="O138" s="1" t="s">
        <v>18</v>
      </c>
      <c r="P138" s="4"/>
      <c r="Q138" s="1" t="s">
        <v>7</v>
      </c>
      <c r="R138" s="4"/>
      <c r="S138" s="1"/>
      <c r="T138" s="77"/>
      <c r="U138" s="294"/>
      <c r="W138" s="176">
        <f t="shared" si="173"/>
        <v>0</v>
      </c>
      <c r="X138" s="176">
        <f t="shared" si="186"/>
        <v>0</v>
      </c>
      <c r="Y138" s="34">
        <f>X138/Calculation_sheet!M$67</f>
        <v>0</v>
      </c>
      <c r="Z138" s="176">
        <f ca="1">IF(AN138&gt;0,Y138*Calculation_sheet!C$87,0)</f>
        <v>0</v>
      </c>
      <c r="AA138" s="176">
        <f t="shared" ca="1" si="187"/>
        <v>0</v>
      </c>
      <c r="AB138" s="176">
        <f ca="1">IF(AP138&gt;0,AA138*Calculation_sheet!C$94,0)</f>
        <v>0</v>
      </c>
      <c r="AC138" s="176">
        <f t="shared" ca="1" si="174"/>
        <v>0</v>
      </c>
      <c r="AD138" s="958">
        <f ca="1">AC138*Calculation_sheet!C$99</f>
        <v>0</v>
      </c>
      <c r="AE138" s="176">
        <f t="shared" ca="1" si="174"/>
        <v>0</v>
      </c>
      <c r="AF138" s="176">
        <f t="shared" ca="1" si="188"/>
        <v>0</v>
      </c>
      <c r="AG138" s="958">
        <f ca="1">AF138*User_sheet!B$77/100</f>
        <v>0</v>
      </c>
      <c r="AH138" s="313"/>
      <c r="AI138">
        <v>301</v>
      </c>
      <c r="AK138" s="1018">
        <f t="shared" ca="1" si="105"/>
        <v>60.924844628753377</v>
      </c>
      <c r="AL138" s="924">
        <f ca="1">AK138/'301'!I$24</f>
        <v>0.48274126926416638</v>
      </c>
      <c r="AM138" s="924">
        <f ca="1">0.8*(AK138*30+'301'!D$17*0.34*30*1)</f>
        <v>3553.767471090081</v>
      </c>
      <c r="AN138" s="954">
        <f ca="1">IF(AM138&lt;User_sheet!B$50,Y138,0)</f>
        <v>0</v>
      </c>
      <c r="AO138" s="954">
        <f ca="1">20-(User_sheet!B$57/(AK138+'301'!D$17*1*0.34))</f>
        <v>-18.494358765132723</v>
      </c>
      <c r="AP138" s="954">
        <f ca="1">IF(AO138&lt;User_sheet!B$59,0,BC138*AA138)</f>
        <v>0</v>
      </c>
      <c r="AR138" s="2">
        <v>0.32</v>
      </c>
      <c r="AS138" s="2">
        <v>0.43</v>
      </c>
      <c r="AT138" s="2">
        <v>0.43</v>
      </c>
      <c r="AU138" s="2">
        <v>2</v>
      </c>
      <c r="AV138" s="2">
        <v>3.3</v>
      </c>
      <c r="AW138" s="2">
        <v>14356</v>
      </c>
      <c r="AX138" s="2">
        <v>74834</v>
      </c>
      <c r="AY138" s="2">
        <v>69246</v>
      </c>
      <c r="AZ138" s="27">
        <v>0</v>
      </c>
      <c r="BA138" s="27">
        <v>0</v>
      </c>
      <c r="BB138" s="2">
        <v>0.6</v>
      </c>
      <c r="BC138" s="30">
        <v>0</v>
      </c>
      <c r="BD138" s="34">
        <v>1</v>
      </c>
      <c r="BE138" s="34">
        <v>0</v>
      </c>
      <c r="BF138" s="40">
        <v>0</v>
      </c>
      <c r="BG138" s="34">
        <v>1</v>
      </c>
      <c r="BH138" s="34">
        <v>0</v>
      </c>
      <c r="BI138" s="40">
        <v>0</v>
      </c>
      <c r="BJ138" s="34">
        <v>0</v>
      </c>
      <c r="BK138" s="34">
        <v>0</v>
      </c>
      <c r="BL138" s="34">
        <v>1</v>
      </c>
      <c r="BM138" s="40">
        <v>0</v>
      </c>
      <c r="BN138" s="958">
        <v>0.02</v>
      </c>
      <c r="BO138" s="959">
        <v>2.5</v>
      </c>
      <c r="BP138" s="1018">
        <f t="shared" ca="1" si="175"/>
        <v>115.19999999999999</v>
      </c>
      <c r="BQ138" s="1018">
        <f t="shared" ca="1" si="176"/>
        <v>191.51999999999995</v>
      </c>
      <c r="BR138" s="1018">
        <f t="shared" ca="1" si="177"/>
        <v>43.295999999999999</v>
      </c>
      <c r="BS138" s="1018">
        <f t="shared" ca="1" si="178"/>
        <v>42.459999999999994</v>
      </c>
      <c r="BT138" s="1018">
        <f t="shared" ca="1" si="179"/>
        <v>38.4</v>
      </c>
      <c r="BU138" s="1018">
        <f t="shared" ca="1" si="180"/>
        <v>7</v>
      </c>
      <c r="BV138" s="1018">
        <f t="shared" ca="1" si="181"/>
        <v>4.3</v>
      </c>
      <c r="BW138" s="1018">
        <v>0</v>
      </c>
      <c r="BX138" s="1018">
        <f t="shared" ca="1" si="182"/>
        <v>13.126629610914604</v>
      </c>
      <c r="BY138" s="1018">
        <f t="shared" ca="1" si="183"/>
        <v>16.991376101253255</v>
      </c>
      <c r="BZ138" s="1018">
        <f t="shared" ca="1" si="106"/>
        <v>5.0710013649336148</v>
      </c>
      <c r="CA138" s="1018">
        <f t="shared" ca="1" si="107"/>
        <v>13.999999994400001</v>
      </c>
      <c r="CB138" s="1018">
        <f t="shared" ca="1" si="184"/>
        <v>9.0267175572519083</v>
      </c>
      <c r="CC138" s="1018">
        <f t="shared" si="108"/>
        <v>0</v>
      </c>
      <c r="CD138" s="1018">
        <f t="shared" ca="1" si="185"/>
        <v>60.924844628753377</v>
      </c>
      <c r="CE138" s="1018">
        <f t="shared" ca="1" si="189"/>
        <v>48.928354542342518</v>
      </c>
      <c r="CF138" s="1018">
        <f t="shared" ca="1" si="109"/>
        <v>3.2955959751328767</v>
      </c>
      <c r="CG138" s="1018">
        <f t="shared" ca="1" si="110"/>
        <v>5487.0354747572337</v>
      </c>
    </row>
    <row r="139" spans="4:85" x14ac:dyDescent="0.25">
      <c r="D139" s="1"/>
      <c r="F139" s="1"/>
      <c r="G139" s="3"/>
      <c r="H139" s="6"/>
      <c r="I139" s="3"/>
      <c r="J139" s="6" t="s">
        <v>190</v>
      </c>
      <c r="K139" s="8"/>
      <c r="L139" s="6"/>
      <c r="M139" s="1"/>
      <c r="N139" s="1"/>
      <c r="O139" s="1"/>
      <c r="P139" s="1"/>
      <c r="Q139" s="1" t="s">
        <v>22</v>
      </c>
      <c r="R139" s="4"/>
      <c r="S139" s="1"/>
      <c r="T139" s="77"/>
      <c r="U139" s="294"/>
      <c r="W139" s="176">
        <f t="shared" si="173"/>
        <v>0</v>
      </c>
      <c r="X139" s="176">
        <f t="shared" si="186"/>
        <v>0</v>
      </c>
      <c r="Y139" s="34">
        <f>X139/Calculation_sheet!M$67</f>
        <v>0</v>
      </c>
      <c r="Z139" s="176">
        <f ca="1">IF(AN139&gt;0,Y139*Calculation_sheet!C$87,0)</f>
        <v>0</v>
      </c>
      <c r="AA139" s="176">
        <f t="shared" ca="1" si="187"/>
        <v>0</v>
      </c>
      <c r="AB139" s="176">
        <f ca="1">IF(AP139&gt;0,AA139*Calculation_sheet!C$94,0)</f>
        <v>0</v>
      </c>
      <c r="AC139" s="176">
        <f t="shared" ca="1" si="174"/>
        <v>0</v>
      </c>
      <c r="AD139" s="958">
        <f ca="1">AC139*Calculation_sheet!C$99</f>
        <v>0</v>
      </c>
      <c r="AE139" s="176">
        <f t="shared" ca="1" si="174"/>
        <v>0</v>
      </c>
      <c r="AF139" s="176">
        <f t="shared" ca="1" si="188"/>
        <v>0</v>
      </c>
      <c r="AG139" s="958">
        <f ca="1">AF139*User_sheet!B$77/100</f>
        <v>0</v>
      </c>
      <c r="AH139" s="313"/>
      <c r="AI139">
        <v>301</v>
      </c>
      <c r="AK139" s="1018">
        <f t="shared" ca="1" si="105"/>
        <v>60.924844628753377</v>
      </c>
      <c r="AL139" s="924">
        <f ca="1">AK139/'301'!I$24</f>
        <v>0.48274126926416638</v>
      </c>
      <c r="AM139" s="924">
        <f ca="1">0.8*(AK139*30+'301'!D$17*0.34*30*1)</f>
        <v>3553.767471090081</v>
      </c>
      <c r="AN139" s="954">
        <f ca="1">IF(AM139&lt;User_sheet!B$50,Y139,0)</f>
        <v>0</v>
      </c>
      <c r="AO139" s="954">
        <f ca="1">20-(User_sheet!B$57/(AK139+'301'!D$17*1*0.34))</f>
        <v>-18.494358765132723</v>
      </c>
      <c r="AP139" s="954">
        <f ca="1">IF(AO139&lt;User_sheet!B$59,0,BC139*AA139)</f>
        <v>0</v>
      </c>
      <c r="AR139" s="2">
        <v>0.32</v>
      </c>
      <c r="AS139" s="2">
        <v>0.43</v>
      </c>
      <c r="AT139" s="2">
        <v>0.43</v>
      </c>
      <c r="AU139" s="2">
        <v>2</v>
      </c>
      <c r="AV139" s="2">
        <v>3.3</v>
      </c>
      <c r="AW139" s="2">
        <v>14356</v>
      </c>
      <c r="AX139" s="2">
        <v>74834</v>
      </c>
      <c r="AY139" s="2">
        <v>69246</v>
      </c>
      <c r="AZ139" s="27">
        <v>0</v>
      </c>
      <c r="BA139" s="27">
        <v>0</v>
      </c>
      <c r="BB139" s="2">
        <v>0.6</v>
      </c>
      <c r="BC139" s="30">
        <v>0</v>
      </c>
      <c r="BD139" s="34">
        <v>1</v>
      </c>
      <c r="BE139" s="34">
        <v>0</v>
      </c>
      <c r="BF139" s="40">
        <v>0</v>
      </c>
      <c r="BG139" s="34">
        <v>0</v>
      </c>
      <c r="BH139" s="34">
        <v>1</v>
      </c>
      <c r="BI139" s="40">
        <v>0</v>
      </c>
      <c r="BJ139" s="34">
        <v>0</v>
      </c>
      <c r="BK139" s="34">
        <v>1</v>
      </c>
      <c r="BL139" s="34">
        <v>0</v>
      </c>
      <c r="BM139" s="40">
        <v>0</v>
      </c>
      <c r="BN139" s="958">
        <v>0.02</v>
      </c>
      <c r="BO139" s="959">
        <v>2.5</v>
      </c>
      <c r="BP139" s="1018">
        <f t="shared" ca="1" si="175"/>
        <v>115.19999999999999</v>
      </c>
      <c r="BQ139" s="1018">
        <f t="shared" ca="1" si="176"/>
        <v>191.51999999999995</v>
      </c>
      <c r="BR139" s="1018">
        <f t="shared" ca="1" si="177"/>
        <v>43.295999999999999</v>
      </c>
      <c r="BS139" s="1018">
        <f t="shared" ca="1" si="178"/>
        <v>42.459999999999994</v>
      </c>
      <c r="BT139" s="1018">
        <f t="shared" ca="1" si="179"/>
        <v>38.4</v>
      </c>
      <c r="BU139" s="1018">
        <f t="shared" ca="1" si="180"/>
        <v>7</v>
      </c>
      <c r="BV139" s="1018">
        <f t="shared" ca="1" si="181"/>
        <v>4.3</v>
      </c>
      <c r="BW139" s="1018">
        <v>0</v>
      </c>
      <c r="BX139" s="1018">
        <f t="shared" ca="1" si="182"/>
        <v>13.126629610914604</v>
      </c>
      <c r="BY139" s="1018">
        <f t="shared" ca="1" si="183"/>
        <v>16.991376101253255</v>
      </c>
      <c r="BZ139" s="1018">
        <f t="shared" ca="1" si="106"/>
        <v>5.0710013649336148</v>
      </c>
      <c r="CA139" s="1018">
        <f t="shared" ca="1" si="107"/>
        <v>13.999999994400001</v>
      </c>
      <c r="CB139" s="1018">
        <f t="shared" ca="1" si="184"/>
        <v>9.0267175572519083</v>
      </c>
      <c r="CC139" s="1018">
        <f t="shared" si="108"/>
        <v>0</v>
      </c>
      <c r="CD139" s="1018">
        <f t="shared" ca="1" si="185"/>
        <v>60.924844628753377</v>
      </c>
      <c r="CE139" s="1018">
        <f t="shared" ca="1" si="189"/>
        <v>48.928354542342518</v>
      </c>
      <c r="CF139" s="1018">
        <f t="shared" ca="1" si="109"/>
        <v>3.2955959751328767</v>
      </c>
      <c r="CG139" s="1018">
        <f t="shared" ca="1" si="110"/>
        <v>5487.0354747572337</v>
      </c>
    </row>
    <row r="140" spans="4:85" x14ac:dyDescent="0.25">
      <c r="D140" s="1"/>
      <c r="F140" s="1"/>
      <c r="G140" s="3"/>
      <c r="H140" s="6"/>
      <c r="I140" s="3"/>
      <c r="J140" s="6"/>
      <c r="K140" s="8"/>
      <c r="L140" s="6"/>
      <c r="M140" s="1" t="s">
        <v>22</v>
      </c>
      <c r="N140" s="4"/>
      <c r="O140" s="1" t="s">
        <v>20</v>
      </c>
      <c r="P140" s="4"/>
      <c r="Q140" s="1" t="s">
        <v>7</v>
      </c>
      <c r="R140" s="4"/>
      <c r="S140" s="1"/>
      <c r="T140" s="77"/>
      <c r="U140" s="294"/>
      <c r="W140" s="176">
        <f t="shared" si="173"/>
        <v>0</v>
      </c>
      <c r="X140" s="176">
        <f t="shared" si="186"/>
        <v>0</v>
      </c>
      <c r="Y140" s="34">
        <f>X140/Calculation_sheet!M$67</f>
        <v>0</v>
      </c>
      <c r="Z140" s="176">
        <f ca="1">IF(AN140&gt;0,Y140*Calculation_sheet!C$87,0)</f>
        <v>0</v>
      </c>
      <c r="AA140" s="176">
        <f t="shared" ca="1" si="187"/>
        <v>0</v>
      </c>
      <c r="AB140" s="176">
        <f ca="1">IF(AP140&gt;0,AA140*Calculation_sheet!C$94,0)</f>
        <v>0</v>
      </c>
      <c r="AC140" s="176">
        <f t="shared" ca="1" si="174"/>
        <v>0</v>
      </c>
      <c r="AD140" s="958">
        <f ca="1">AC140*Calculation_sheet!C$99</f>
        <v>0</v>
      </c>
      <c r="AE140" s="176">
        <f t="shared" ca="1" si="174"/>
        <v>0</v>
      </c>
      <c r="AF140" s="176">
        <f t="shared" ca="1" si="188"/>
        <v>0</v>
      </c>
      <c r="AG140" s="958">
        <f ca="1">AF140*User_sheet!B$77/100</f>
        <v>0</v>
      </c>
      <c r="AH140" s="313"/>
      <c r="AI140">
        <v>301</v>
      </c>
      <c r="AK140" s="1018">
        <f t="shared" ca="1" si="105"/>
        <v>60.924844628753377</v>
      </c>
      <c r="AL140" s="924">
        <f ca="1">AK140/'301'!I$24</f>
        <v>0.48274126926416638</v>
      </c>
      <c r="AM140" s="924">
        <f ca="1">0.8*(AK140*30+'301'!D$17*0.34*30*1)</f>
        <v>3553.767471090081</v>
      </c>
      <c r="AN140" s="954">
        <f ca="1">IF(AM140&lt;User_sheet!B$50,Y140,0)</f>
        <v>0</v>
      </c>
      <c r="AO140" s="954">
        <f ca="1">20-(User_sheet!B$57/(AK140+'301'!D$17*1*0.34))</f>
        <v>-18.494358765132723</v>
      </c>
      <c r="AP140" s="954">
        <f ca="1">IF(AO140&lt;User_sheet!B$59,0,BC140*AA140)</f>
        <v>0</v>
      </c>
      <c r="AR140" s="2">
        <v>0.32</v>
      </c>
      <c r="AS140" s="2">
        <v>0.43</v>
      </c>
      <c r="AT140" s="2">
        <v>0.43</v>
      </c>
      <c r="AU140" s="2">
        <v>2</v>
      </c>
      <c r="AV140" s="2">
        <v>3.3</v>
      </c>
      <c r="AW140" s="2">
        <v>14356</v>
      </c>
      <c r="AX140" s="2">
        <v>74834</v>
      </c>
      <c r="AY140" s="2">
        <v>69246</v>
      </c>
      <c r="AZ140" s="27">
        <v>0</v>
      </c>
      <c r="BA140" s="27">
        <v>0</v>
      </c>
      <c r="BB140" s="2">
        <v>0.6</v>
      </c>
      <c r="BC140" s="30">
        <v>0</v>
      </c>
      <c r="BD140" s="34">
        <v>1</v>
      </c>
      <c r="BE140" s="34">
        <v>0</v>
      </c>
      <c r="BF140" s="40">
        <v>0</v>
      </c>
      <c r="BG140" s="34">
        <v>0</v>
      </c>
      <c r="BH140" s="34">
        <v>1</v>
      </c>
      <c r="BI140" s="40">
        <v>0</v>
      </c>
      <c r="BJ140" s="34">
        <v>0</v>
      </c>
      <c r="BK140" s="34">
        <v>0</v>
      </c>
      <c r="BL140" s="34">
        <v>1</v>
      </c>
      <c r="BM140" s="40">
        <v>0</v>
      </c>
      <c r="BN140" s="958">
        <v>0.02</v>
      </c>
      <c r="BO140" s="959">
        <v>2.5</v>
      </c>
      <c r="BP140" s="1018">
        <f t="shared" ca="1" si="175"/>
        <v>115.19999999999999</v>
      </c>
      <c r="BQ140" s="1018">
        <f t="shared" ca="1" si="176"/>
        <v>191.51999999999995</v>
      </c>
      <c r="BR140" s="1018">
        <f t="shared" ca="1" si="177"/>
        <v>43.295999999999999</v>
      </c>
      <c r="BS140" s="1018">
        <f t="shared" ca="1" si="178"/>
        <v>42.459999999999994</v>
      </c>
      <c r="BT140" s="1018">
        <f t="shared" ca="1" si="179"/>
        <v>38.4</v>
      </c>
      <c r="BU140" s="1018">
        <f t="shared" ca="1" si="180"/>
        <v>7</v>
      </c>
      <c r="BV140" s="1018">
        <f t="shared" ca="1" si="181"/>
        <v>4.3</v>
      </c>
      <c r="BW140" s="1018">
        <v>0</v>
      </c>
      <c r="BX140" s="1018">
        <f t="shared" ca="1" si="182"/>
        <v>13.126629610914604</v>
      </c>
      <c r="BY140" s="1018">
        <f t="shared" ca="1" si="183"/>
        <v>16.991376101253255</v>
      </c>
      <c r="BZ140" s="1018">
        <f t="shared" ca="1" si="106"/>
        <v>5.0710013649336148</v>
      </c>
      <c r="CA140" s="1018">
        <f t="shared" ca="1" si="107"/>
        <v>13.999999994400001</v>
      </c>
      <c r="CB140" s="1018">
        <f t="shared" ca="1" si="184"/>
        <v>9.0267175572519083</v>
      </c>
      <c r="CC140" s="1018">
        <f t="shared" si="108"/>
        <v>0</v>
      </c>
      <c r="CD140" s="1018">
        <f t="shared" ca="1" si="185"/>
        <v>60.924844628753377</v>
      </c>
      <c r="CE140" s="1018">
        <f t="shared" ca="1" si="189"/>
        <v>48.928354542342518</v>
      </c>
      <c r="CF140" s="1018">
        <f t="shared" ca="1" si="109"/>
        <v>3.2955959751328767</v>
      </c>
      <c r="CG140" s="1018">
        <f t="shared" ca="1" si="110"/>
        <v>5487.0354747572337</v>
      </c>
    </row>
    <row r="141" spans="4:85" x14ac:dyDescent="0.25">
      <c r="D141" s="1"/>
      <c r="F141" s="1"/>
      <c r="G141" s="3"/>
      <c r="H141" s="6"/>
      <c r="I141" s="3"/>
      <c r="J141" s="6"/>
      <c r="K141" s="8"/>
      <c r="L141" s="6"/>
      <c r="M141" s="1" t="s">
        <v>7</v>
      </c>
      <c r="N141" s="4"/>
      <c r="O141" s="1" t="s">
        <v>23</v>
      </c>
      <c r="P141" s="4"/>
      <c r="Q141" s="1" t="s">
        <v>7</v>
      </c>
      <c r="R141" s="4"/>
      <c r="S141" s="1"/>
      <c r="T141" s="77"/>
      <c r="U141" s="294"/>
      <c r="W141" s="176">
        <f t="shared" si="173"/>
        <v>0</v>
      </c>
      <c r="X141" s="176">
        <f t="shared" si="186"/>
        <v>0</v>
      </c>
      <c r="Y141" s="34">
        <f>X141/Calculation_sheet!M$67</f>
        <v>0</v>
      </c>
      <c r="Z141" s="176">
        <f ca="1">IF(AN141&gt;0,Y141*Calculation_sheet!C$87,0)</f>
        <v>0</v>
      </c>
      <c r="AA141" s="176">
        <f t="shared" ca="1" si="187"/>
        <v>0</v>
      </c>
      <c r="AB141" s="176">
        <f ca="1">IF(AP141&gt;0,AA141*Calculation_sheet!C$94,0)</f>
        <v>0</v>
      </c>
      <c r="AC141" s="176">
        <f t="shared" ca="1" si="174"/>
        <v>0</v>
      </c>
      <c r="AD141" s="958">
        <f ca="1">AC141*Calculation_sheet!C$99</f>
        <v>0</v>
      </c>
      <c r="AE141" s="176">
        <f t="shared" ca="1" si="174"/>
        <v>0</v>
      </c>
      <c r="AF141" s="176">
        <f t="shared" ca="1" si="188"/>
        <v>0</v>
      </c>
      <c r="AG141" s="958">
        <f ca="1">AF141*User_sheet!B$77/100</f>
        <v>0</v>
      </c>
      <c r="AH141" s="313"/>
      <c r="AI141">
        <v>301</v>
      </c>
      <c r="AK141" s="1018">
        <f t="shared" ca="1" si="105"/>
        <v>60.924844628753377</v>
      </c>
      <c r="AL141" s="924">
        <f ca="1">AK141/'301'!I$24</f>
        <v>0.48274126926416638</v>
      </c>
      <c r="AM141" s="924">
        <f ca="1">0.8*(AK141*30+'301'!D$17*0.34*30*1)</f>
        <v>3553.767471090081</v>
      </c>
      <c r="AN141" s="954">
        <f ca="1">IF(AM141&lt;User_sheet!B$50,Y141,0)</f>
        <v>0</v>
      </c>
      <c r="AO141" s="954">
        <f ca="1">20-(User_sheet!B$57/(AK141+'301'!D$17*1*0.34))</f>
        <v>-18.494358765132723</v>
      </c>
      <c r="AP141" s="954">
        <f ca="1">IF(AO141&lt;User_sheet!B$59,0,BC141*AA141)</f>
        <v>0</v>
      </c>
      <c r="AR141" s="2">
        <v>0.32</v>
      </c>
      <c r="AS141" s="2">
        <v>0.43</v>
      </c>
      <c r="AT141" s="2">
        <v>0.43</v>
      </c>
      <c r="AU141" s="2">
        <v>2</v>
      </c>
      <c r="AV141" s="2">
        <v>3.3</v>
      </c>
      <c r="AW141" s="2">
        <v>14356</v>
      </c>
      <c r="AX141" s="2">
        <v>74834</v>
      </c>
      <c r="AY141" s="2">
        <v>69246</v>
      </c>
      <c r="AZ141" s="27">
        <v>0</v>
      </c>
      <c r="BA141" s="27">
        <v>0</v>
      </c>
      <c r="BB141" s="2">
        <v>0.6</v>
      </c>
      <c r="BC141" s="30">
        <v>0</v>
      </c>
      <c r="BD141" s="34">
        <v>0</v>
      </c>
      <c r="BE141" s="34">
        <v>1</v>
      </c>
      <c r="BF141" s="40">
        <v>0</v>
      </c>
      <c r="BG141" s="34">
        <v>0</v>
      </c>
      <c r="BH141" s="34">
        <v>0</v>
      </c>
      <c r="BI141" s="40">
        <v>1</v>
      </c>
      <c r="BJ141" s="34">
        <v>0</v>
      </c>
      <c r="BK141" s="34">
        <v>0</v>
      </c>
      <c r="BL141" s="34">
        <v>1</v>
      </c>
      <c r="BM141" s="40">
        <v>0</v>
      </c>
      <c r="BN141" s="958">
        <v>0.02</v>
      </c>
      <c r="BO141" s="959">
        <v>2.5</v>
      </c>
      <c r="BP141" s="1018">
        <f t="shared" ca="1" si="175"/>
        <v>115.19999999999999</v>
      </c>
      <c r="BQ141" s="1018">
        <f t="shared" ca="1" si="176"/>
        <v>191.51999999999995</v>
      </c>
      <c r="BR141" s="1018">
        <f t="shared" ca="1" si="177"/>
        <v>43.295999999999999</v>
      </c>
      <c r="BS141" s="1018">
        <f t="shared" ca="1" si="178"/>
        <v>42.459999999999994</v>
      </c>
      <c r="BT141" s="1018">
        <f t="shared" ca="1" si="179"/>
        <v>38.4</v>
      </c>
      <c r="BU141" s="1018">
        <f t="shared" ca="1" si="180"/>
        <v>7</v>
      </c>
      <c r="BV141" s="1018">
        <f t="shared" ca="1" si="181"/>
        <v>4.3</v>
      </c>
      <c r="BW141" s="1018">
        <v>0</v>
      </c>
      <c r="BX141" s="1018">
        <f t="shared" ca="1" si="182"/>
        <v>13.126629610914604</v>
      </c>
      <c r="BY141" s="1018">
        <f t="shared" ca="1" si="183"/>
        <v>16.991376101253255</v>
      </c>
      <c r="BZ141" s="1018">
        <f t="shared" ca="1" si="106"/>
        <v>5.0710013649336148</v>
      </c>
      <c r="CA141" s="1018">
        <f t="shared" ca="1" si="107"/>
        <v>13.999999994400001</v>
      </c>
      <c r="CB141" s="1018">
        <f t="shared" ca="1" si="184"/>
        <v>9.0267175572519083</v>
      </c>
      <c r="CC141" s="1018">
        <f t="shared" si="108"/>
        <v>0</v>
      </c>
      <c r="CD141" s="1018">
        <f t="shared" ca="1" si="185"/>
        <v>60.924844628753377</v>
      </c>
      <c r="CE141" s="1018">
        <f t="shared" ca="1" si="189"/>
        <v>48.928354542342518</v>
      </c>
      <c r="CF141" s="1018">
        <f t="shared" ca="1" si="109"/>
        <v>3.2955959751328767</v>
      </c>
      <c r="CG141" s="1018">
        <f t="shared" ca="1" si="110"/>
        <v>5487.0354747572337</v>
      </c>
    </row>
    <row r="142" spans="4:85" x14ac:dyDescent="0.25">
      <c r="D142" s="1"/>
      <c r="F142" s="1"/>
      <c r="G142" s="3"/>
      <c r="H142" s="6"/>
      <c r="I142" s="3"/>
      <c r="J142" s="6"/>
      <c r="K142" s="8"/>
      <c r="L142" s="6"/>
      <c r="M142" s="1"/>
      <c r="N142" s="1"/>
      <c r="O142" s="1" t="s">
        <v>18</v>
      </c>
      <c r="P142" s="4"/>
      <c r="Q142" s="1" t="s">
        <v>17</v>
      </c>
      <c r="R142" s="4"/>
      <c r="S142" s="1"/>
      <c r="T142" s="77"/>
      <c r="U142" s="294"/>
      <c r="W142" s="176">
        <f t="shared" si="173"/>
        <v>0</v>
      </c>
      <c r="X142" s="176">
        <f t="shared" si="186"/>
        <v>0</v>
      </c>
      <c r="Y142" s="34">
        <f>X142/Calculation_sheet!M$67</f>
        <v>0</v>
      </c>
      <c r="Z142" s="176">
        <f ca="1">IF(AN142&gt;0,Y142*Calculation_sheet!C$87,0)</f>
        <v>0</v>
      </c>
      <c r="AA142" s="176">
        <f t="shared" ca="1" si="187"/>
        <v>0</v>
      </c>
      <c r="AB142" s="176">
        <f ca="1">IF(AP142&gt;0,AA142*Calculation_sheet!C$94,0)</f>
        <v>0</v>
      </c>
      <c r="AC142" s="176">
        <f t="shared" ca="1" si="174"/>
        <v>0</v>
      </c>
      <c r="AD142" s="958">
        <f ca="1">AC142*Calculation_sheet!C$99</f>
        <v>0</v>
      </c>
      <c r="AE142" s="176">
        <f t="shared" ca="1" si="174"/>
        <v>0</v>
      </c>
      <c r="AF142" s="176">
        <f t="shared" ca="1" si="188"/>
        <v>0</v>
      </c>
      <c r="AG142" s="958">
        <f ca="1">AF142*User_sheet!B$77/100</f>
        <v>0</v>
      </c>
      <c r="AH142" s="313"/>
      <c r="AI142">
        <v>301</v>
      </c>
      <c r="AK142" s="1018">
        <f t="shared" ref="AK142:AK205" ca="1" si="190">CD142</f>
        <v>60.924844628753377</v>
      </c>
      <c r="AL142" s="924">
        <f ca="1">AK142/'301'!I$24</f>
        <v>0.48274126926416638</v>
      </c>
      <c r="AM142" s="924">
        <f ca="1">0.8*(AK142*30+'301'!D$17*0.34*30*1)</f>
        <v>3553.767471090081</v>
      </c>
      <c r="AN142" s="954">
        <f ca="1">IF(AM142&lt;User_sheet!B$50,Y142,0)</f>
        <v>0</v>
      </c>
      <c r="AO142" s="954">
        <f ca="1">20-(User_sheet!B$57/(AK142+'301'!D$17*1*0.34))</f>
        <v>-18.494358765132723</v>
      </c>
      <c r="AP142" s="954">
        <f ca="1">IF(AO142&lt;User_sheet!B$59,0,BC142*AA142)</f>
        <v>0</v>
      </c>
      <c r="AR142" s="2">
        <v>0.32</v>
      </c>
      <c r="AS142" s="2">
        <v>0.43</v>
      </c>
      <c r="AT142" s="2">
        <v>0.43</v>
      </c>
      <c r="AU142" s="2">
        <v>2</v>
      </c>
      <c r="AV142" s="2">
        <v>3.3</v>
      </c>
      <c r="AW142" s="2">
        <v>14356</v>
      </c>
      <c r="AX142" s="2">
        <v>74834</v>
      </c>
      <c r="AY142" s="2">
        <v>69246</v>
      </c>
      <c r="AZ142" s="27">
        <v>0</v>
      </c>
      <c r="BA142" s="27">
        <v>0</v>
      </c>
      <c r="BB142" s="2">
        <v>0.6</v>
      </c>
      <c r="BC142" s="30">
        <v>0</v>
      </c>
      <c r="BD142" s="34">
        <v>0</v>
      </c>
      <c r="BE142" s="34">
        <v>0</v>
      </c>
      <c r="BF142" s="40">
        <v>1</v>
      </c>
      <c r="BG142" s="34">
        <v>1</v>
      </c>
      <c r="BH142" s="34">
        <v>0</v>
      </c>
      <c r="BI142" s="40">
        <v>0</v>
      </c>
      <c r="BJ142" s="34">
        <v>0</v>
      </c>
      <c r="BK142" s="34">
        <v>0</v>
      </c>
      <c r="BL142" s="34">
        <v>0</v>
      </c>
      <c r="BM142" s="40">
        <v>1</v>
      </c>
      <c r="BN142" s="958">
        <v>0.02</v>
      </c>
      <c r="BO142" s="959">
        <v>2.5</v>
      </c>
      <c r="BP142" s="1018">
        <f t="shared" ca="1" si="175"/>
        <v>115.19999999999999</v>
      </c>
      <c r="BQ142" s="1018">
        <f t="shared" ca="1" si="176"/>
        <v>191.51999999999995</v>
      </c>
      <c r="BR142" s="1018">
        <f t="shared" ca="1" si="177"/>
        <v>43.295999999999999</v>
      </c>
      <c r="BS142" s="1018">
        <f t="shared" ca="1" si="178"/>
        <v>42.459999999999994</v>
      </c>
      <c r="BT142" s="1018">
        <f t="shared" ca="1" si="179"/>
        <v>38.4</v>
      </c>
      <c r="BU142" s="1018">
        <f t="shared" ca="1" si="180"/>
        <v>7</v>
      </c>
      <c r="BV142" s="1018">
        <f t="shared" ca="1" si="181"/>
        <v>4.3</v>
      </c>
      <c r="BW142" s="1018">
        <v>0</v>
      </c>
      <c r="BX142" s="1018">
        <f t="shared" ca="1" si="182"/>
        <v>13.126629610914604</v>
      </c>
      <c r="BY142" s="1018">
        <f t="shared" ca="1" si="183"/>
        <v>16.991376101253255</v>
      </c>
      <c r="BZ142" s="1018">
        <f t="shared" ref="BZ142:BZ205" ca="1" si="191">IF(BT142=0,0,1/(1/(BT142*$BY$3)+1/(BT142*AT142)+1/(BT142*$BY$4)))*0.33</f>
        <v>5.0710013649336148</v>
      </c>
      <c r="CA142" s="1018">
        <f t="shared" ref="CA142:CA205" ca="1" si="192">IF(BU142=0,0,1/(1/(BU142*$BY$5)+1/(BU142*AU142)+1/(BU142*$BY$6)))</f>
        <v>13.999999994400001</v>
      </c>
      <c r="CB142" s="1018">
        <f t="shared" ca="1" si="184"/>
        <v>9.0267175572519083</v>
      </c>
      <c r="CC142" s="1018">
        <f t="shared" ref="CC142:CC205" si="193">0.67*IF(BW142=0,0,1/(1/(BW142*$BY$3)+1/(BW142*AS142)+1/(BW142*$BY$4)))</f>
        <v>0</v>
      </c>
      <c r="CD142" s="1018">
        <f t="shared" ca="1" si="185"/>
        <v>60.924844628753377</v>
      </c>
      <c r="CE142" s="1018">
        <f t="shared" ca="1" si="189"/>
        <v>48.928354542342518</v>
      </c>
      <c r="CF142" s="1018">
        <f t="shared" ref="CF142:CF205" ca="1" si="194">(CD142+CE142)*($BY$7-$BV$5)/1000</f>
        <v>3.2955959751328767</v>
      </c>
      <c r="CG142" s="1018">
        <f t="shared" ref="CG142:CG205" ca="1" si="195">$BV$8*(CD142+CE142)*($BY$10-$BV$7)*24/1000</f>
        <v>5487.0354747572337</v>
      </c>
    </row>
    <row r="143" spans="4:85" x14ac:dyDescent="0.25">
      <c r="D143" s="1"/>
      <c r="F143" s="1"/>
      <c r="G143" s="3"/>
      <c r="H143" s="6"/>
      <c r="I143" s="3"/>
      <c r="J143" s="6"/>
      <c r="K143" s="8"/>
      <c r="L143" s="6"/>
      <c r="M143" s="1" t="s">
        <v>17</v>
      </c>
      <c r="N143" s="4"/>
      <c r="O143" s="1" t="s">
        <v>19</v>
      </c>
      <c r="P143" s="4"/>
      <c r="Q143" s="1" t="s">
        <v>17</v>
      </c>
      <c r="R143" s="4"/>
      <c r="S143" s="1"/>
      <c r="T143" s="77"/>
      <c r="U143" s="294" t="s">
        <v>49</v>
      </c>
      <c r="W143" s="176">
        <f t="shared" si="173"/>
        <v>0</v>
      </c>
      <c r="X143" s="176">
        <f t="shared" si="186"/>
        <v>0</v>
      </c>
      <c r="Y143" s="34">
        <f>X143/Calculation_sheet!M$67</f>
        <v>0</v>
      </c>
      <c r="Z143" s="176">
        <f ca="1">IF(AN143&gt;0,Y143*Calculation_sheet!C$87,0)</f>
        <v>0</v>
      </c>
      <c r="AA143" s="176">
        <f t="shared" ca="1" si="187"/>
        <v>0</v>
      </c>
      <c r="AB143" s="176">
        <f ca="1">IF(AP143&gt;0,AA143*Calculation_sheet!C$94,0)</f>
        <v>0</v>
      </c>
      <c r="AC143" s="176">
        <f t="shared" ca="1" si="174"/>
        <v>0</v>
      </c>
      <c r="AD143" s="958">
        <f ca="1">AC143*Calculation_sheet!C$99</f>
        <v>0</v>
      </c>
      <c r="AE143" s="176">
        <f t="shared" ca="1" si="174"/>
        <v>0</v>
      </c>
      <c r="AF143" s="176">
        <f t="shared" ca="1" si="188"/>
        <v>0</v>
      </c>
      <c r="AG143" s="958">
        <f ca="1">AF143*User_sheet!B$77/100</f>
        <v>0</v>
      </c>
      <c r="AH143" s="313"/>
      <c r="AI143">
        <v>301</v>
      </c>
      <c r="AK143" s="1018">
        <f t="shared" ca="1" si="190"/>
        <v>60.924844628753377</v>
      </c>
      <c r="AL143" s="924">
        <f ca="1">AK143/'301'!I$24</f>
        <v>0.48274126926416638</v>
      </c>
      <c r="AM143" s="924">
        <f ca="1">0.8*(AK143*30+'301'!D$17*0.34*30*1)</f>
        <v>3553.767471090081</v>
      </c>
      <c r="AN143" s="954">
        <f ca="1">IF(AM143&lt;User_sheet!B$50,Y143,0)</f>
        <v>0</v>
      </c>
      <c r="AO143" s="954">
        <f ca="1">20-(User_sheet!B$57/(AK143+'301'!D$17*1*0.34))</f>
        <v>-18.494358765132723</v>
      </c>
      <c r="AP143" s="954">
        <f ca="1">IF(AO143&lt;User_sheet!B$59,0,BC143*AA143)</f>
        <v>0</v>
      </c>
      <c r="AR143" s="2">
        <v>0.32</v>
      </c>
      <c r="AS143" s="2">
        <v>0.43</v>
      </c>
      <c r="AT143" s="2">
        <v>0.43</v>
      </c>
      <c r="AU143" s="2">
        <v>2</v>
      </c>
      <c r="AV143" s="2">
        <v>3.3</v>
      </c>
      <c r="AW143" s="2">
        <v>14356</v>
      </c>
      <c r="AX143" s="2">
        <v>74834</v>
      </c>
      <c r="AY143" s="2">
        <v>69246</v>
      </c>
      <c r="AZ143" s="27">
        <v>0</v>
      </c>
      <c r="BA143" s="27">
        <v>0</v>
      </c>
      <c r="BB143" s="2">
        <v>0.6</v>
      </c>
      <c r="BC143" s="30">
        <v>0</v>
      </c>
      <c r="BD143" s="34">
        <v>0</v>
      </c>
      <c r="BE143" s="34">
        <v>0</v>
      </c>
      <c r="BF143" s="40">
        <v>1</v>
      </c>
      <c r="BG143" s="34">
        <v>0</v>
      </c>
      <c r="BH143" s="34">
        <v>1</v>
      </c>
      <c r="BI143" s="40">
        <v>0</v>
      </c>
      <c r="BJ143" s="34">
        <v>0</v>
      </c>
      <c r="BK143" s="34">
        <v>0</v>
      </c>
      <c r="BL143" s="34">
        <v>0</v>
      </c>
      <c r="BM143" s="40">
        <v>1</v>
      </c>
      <c r="BN143" s="958">
        <v>0.02</v>
      </c>
      <c r="BO143" s="959">
        <v>2.5</v>
      </c>
      <c r="BP143" s="1018">
        <f t="shared" ca="1" si="175"/>
        <v>115.19999999999999</v>
      </c>
      <c r="BQ143" s="1018">
        <f t="shared" ca="1" si="176"/>
        <v>191.51999999999995</v>
      </c>
      <c r="BR143" s="1018">
        <f t="shared" ca="1" si="177"/>
        <v>43.295999999999999</v>
      </c>
      <c r="BS143" s="1018">
        <f t="shared" ca="1" si="178"/>
        <v>42.459999999999994</v>
      </c>
      <c r="BT143" s="1018">
        <f t="shared" ca="1" si="179"/>
        <v>38.4</v>
      </c>
      <c r="BU143" s="1018">
        <f t="shared" ca="1" si="180"/>
        <v>7</v>
      </c>
      <c r="BV143" s="1018">
        <f t="shared" ca="1" si="181"/>
        <v>4.3</v>
      </c>
      <c r="BW143" s="1018">
        <v>0</v>
      </c>
      <c r="BX143" s="1018">
        <f t="shared" ca="1" si="182"/>
        <v>13.126629610914604</v>
      </c>
      <c r="BY143" s="1018">
        <f t="shared" ca="1" si="183"/>
        <v>16.991376101253255</v>
      </c>
      <c r="BZ143" s="1018">
        <f t="shared" ca="1" si="191"/>
        <v>5.0710013649336148</v>
      </c>
      <c r="CA143" s="1018">
        <f t="shared" ca="1" si="192"/>
        <v>13.999999994400001</v>
      </c>
      <c r="CB143" s="1018">
        <f t="shared" ca="1" si="184"/>
        <v>9.0267175572519083</v>
      </c>
      <c r="CC143" s="1018">
        <f t="shared" si="193"/>
        <v>0</v>
      </c>
      <c r="CD143" s="1018">
        <f t="shared" ca="1" si="185"/>
        <v>60.924844628753377</v>
      </c>
      <c r="CE143" s="1018">
        <f t="shared" ca="1" si="189"/>
        <v>48.928354542342518</v>
      </c>
      <c r="CF143" s="1018">
        <f t="shared" ca="1" si="194"/>
        <v>3.2955959751328767</v>
      </c>
      <c r="CG143" s="1018">
        <f t="shared" ca="1" si="195"/>
        <v>5487.0354747572337</v>
      </c>
    </row>
    <row r="144" spans="4:85" s="17" customFormat="1" x14ac:dyDescent="0.25">
      <c r="D144" s="18"/>
      <c r="F144" s="18"/>
      <c r="H144" s="18"/>
      <c r="J144" s="18"/>
      <c r="K144" s="19"/>
      <c r="L144" s="18"/>
      <c r="M144" s="18"/>
      <c r="N144" s="18"/>
      <c r="O144" s="18"/>
      <c r="P144" s="18"/>
      <c r="Q144" s="18"/>
      <c r="R144" s="18"/>
      <c r="S144" s="18"/>
      <c r="T144" s="86"/>
      <c r="U144" s="86">
        <f>D70*B276</f>
        <v>0.16404275999999998</v>
      </c>
      <c r="V144" s="298"/>
      <c r="W144" s="283"/>
      <c r="X144" s="283"/>
      <c r="Y144" s="279"/>
      <c r="Z144" s="283"/>
      <c r="AA144" s="283"/>
      <c r="AB144" s="283"/>
      <c r="AC144" s="283"/>
      <c r="AD144" s="279"/>
      <c r="AE144" s="283"/>
      <c r="AF144" s="283"/>
      <c r="AG144" s="279"/>
      <c r="AH144" s="313"/>
      <c r="AJ144" s="314"/>
      <c r="AK144" s="1018">
        <f t="shared" si="190"/>
        <v>0</v>
      </c>
      <c r="AL144" s="9"/>
      <c r="AM144" s="9"/>
      <c r="AN144" s="916"/>
      <c r="AO144" s="916"/>
      <c r="AP144" s="916"/>
      <c r="AQ144" s="314"/>
      <c r="AR144" s="24"/>
      <c r="AS144" s="24"/>
      <c r="AT144" s="24"/>
      <c r="AU144" s="24"/>
      <c r="AV144" s="24"/>
      <c r="AW144" s="24"/>
      <c r="AX144" s="24"/>
      <c r="AY144" s="24"/>
      <c r="AZ144" s="24"/>
      <c r="BA144" s="24"/>
      <c r="BB144" s="24"/>
      <c r="BC144" s="47"/>
      <c r="BD144" s="279"/>
      <c r="BE144" s="279"/>
      <c r="BF144" s="51"/>
      <c r="BG144" s="24"/>
      <c r="BH144" s="24"/>
      <c r="BI144" s="51"/>
      <c r="BJ144" s="24"/>
      <c r="BK144" s="24"/>
      <c r="BL144" s="24"/>
      <c r="BM144" s="51"/>
      <c r="BN144" s="279"/>
      <c r="BO144" s="51"/>
    </row>
    <row r="145" spans="4:85" s="3" customFormat="1" x14ac:dyDescent="0.25">
      <c r="D145" s="673"/>
      <c r="E145" s="669"/>
      <c r="F145" s="673"/>
      <c r="G145" s="669"/>
      <c r="H145" s="673"/>
      <c r="I145" s="669"/>
      <c r="J145" s="673"/>
      <c r="K145" s="673"/>
      <c r="L145" s="673"/>
      <c r="M145" s="673"/>
      <c r="N145" s="673"/>
      <c r="O145" s="673"/>
      <c r="P145" s="673"/>
      <c r="Q145" s="673" t="s">
        <v>16</v>
      </c>
      <c r="R145" s="670">
        <v>0.73860000000000003</v>
      </c>
      <c r="S145" s="673"/>
      <c r="T145" s="678">
        <v>2.6995033108572412E-3</v>
      </c>
      <c r="U145" s="669"/>
      <c r="V145" s="176">
        <f t="shared" ref="V145:V227" si="196">T145</f>
        <v>2.6995033108572412E-3</v>
      </c>
      <c r="W145" s="176">
        <f>V145</f>
        <v>2.6995033108572412E-3</v>
      </c>
      <c r="X145" s="176">
        <f>W145</f>
        <v>2.6995033108572412E-3</v>
      </c>
      <c r="Y145" s="34">
        <f>X145/Calculation_sheet!M$67</f>
        <v>2.6995585060591003E-3</v>
      </c>
      <c r="Z145" s="176">
        <f ca="1">IF(AN145&gt;0,Y145*Calculation_sheet!C$87,0)</f>
        <v>0</v>
      </c>
      <c r="AA145" s="176">
        <f ca="1">Y145-Z145</f>
        <v>2.6995585060591003E-3</v>
      </c>
      <c r="AB145" s="176">
        <f ca="1">IF(AP145&gt;0,AA145*Calculation_sheet!C$94,0)</f>
        <v>0</v>
      </c>
      <c r="AC145" s="176">
        <f t="shared" ref="AC145:AE155" ca="1" si="197">AA145-AB145</f>
        <v>2.6995585060591003E-3</v>
      </c>
      <c r="AD145" s="958">
        <f ca="1">AC145*Calculation_sheet!C$99</f>
        <v>1.6197351036354602E-3</v>
      </c>
      <c r="AE145" s="176">
        <f t="shared" ca="1" si="197"/>
        <v>1.0798234024236401E-3</v>
      </c>
      <c r="AF145" s="176">
        <f ca="1">Y145-AB145</f>
        <v>2.6995585060591003E-3</v>
      </c>
      <c r="AG145" s="958">
        <f ca="1">AF145*User_sheet!B$77/100</f>
        <v>0</v>
      </c>
      <c r="AH145" s="313"/>
      <c r="AI145" s="3">
        <v>302</v>
      </c>
      <c r="AJ145" s="314"/>
      <c r="AK145" s="1018">
        <f t="shared" ca="1" si="190"/>
        <v>337.21965034237752</v>
      </c>
      <c r="AL145" s="924">
        <f ca="1">AK145/'302'!I$24</f>
        <v>0.85959635570323101</v>
      </c>
      <c r="AM145" s="924">
        <f ca="1">0.8*(AK145*30+'302'!D$17*0.34*30*1)</f>
        <v>13159.458608217061</v>
      </c>
      <c r="AN145" s="954">
        <f ca="1">IF(AM145&lt;User_sheet!B$50,Y145,0)</f>
        <v>0</v>
      </c>
      <c r="AO145" s="954">
        <f ca="1">20-(User_sheet!B$57/(AK145+'302'!D$17*1*0.34))</f>
        <v>9.6044355567501078</v>
      </c>
      <c r="AP145" s="954">
        <f ca="1">IF(AO145&lt;User_sheet!B$59,0,BC145*AA145)</f>
        <v>2.6995585060591003E-3</v>
      </c>
      <c r="AQ145" s="314"/>
      <c r="AR145" s="2">
        <v>0.47</v>
      </c>
      <c r="AS145" s="2">
        <v>0.6</v>
      </c>
      <c r="AT145" s="2">
        <v>0.89</v>
      </c>
      <c r="AU145" s="2">
        <v>2.75</v>
      </c>
      <c r="AV145" s="2">
        <v>3.3</v>
      </c>
      <c r="AW145" s="2">
        <v>11617.129718053829</v>
      </c>
      <c r="AX145" s="2">
        <v>69341.450841082013</v>
      </c>
      <c r="AY145" s="2">
        <v>79015.992973719694</v>
      </c>
      <c r="AZ145" s="2">
        <v>0</v>
      </c>
      <c r="BA145" s="2">
        <v>0</v>
      </c>
      <c r="BB145" s="2">
        <v>0.6</v>
      </c>
      <c r="BC145" s="46">
        <v>1</v>
      </c>
      <c r="BD145" s="199">
        <v>0</v>
      </c>
      <c r="BE145" s="199">
        <v>0</v>
      </c>
      <c r="BF145" s="50">
        <v>0</v>
      </c>
      <c r="BG145" s="27">
        <v>1</v>
      </c>
      <c r="BH145" s="27">
        <v>0</v>
      </c>
      <c r="BI145" s="50">
        <v>0</v>
      </c>
      <c r="BJ145" s="27">
        <v>1</v>
      </c>
      <c r="BK145" s="27">
        <v>0</v>
      </c>
      <c r="BL145" s="27">
        <v>0</v>
      </c>
      <c r="BM145" s="50">
        <v>0</v>
      </c>
      <c r="BN145" s="199">
        <v>0.1</v>
      </c>
      <c r="BO145" s="959">
        <v>6</v>
      </c>
      <c r="BP145" s="926">
        <f ca="1">INDIRECT("'"&amp;AI145&amp;"'!"&amp;"B2")/2</f>
        <v>107.825</v>
      </c>
      <c r="BQ145" s="926">
        <f t="shared" ref="BQ145:BQ155" ca="1" si="198">INDIRECT("'"&amp;AI145&amp;"'!"&amp;"C12")+INDIRECT("'"&amp;AI145&amp;"'!"&amp;"C13")+INDIRECT("'"&amp;AI145&amp;"'!"&amp;"C14")+INDIRECT("'"&amp;AI145&amp;"'!"&amp;"C15")+INDIRECT("'"&amp;AI145&amp;"'!"&amp;"C17")</f>
        <v>486.07500000000005</v>
      </c>
      <c r="BR145" s="926">
        <f t="shared" ref="BR145:BR155" ca="1" si="199">INDIRECT("'"&amp;AI145&amp;"'!"&amp;"G5")</f>
        <v>117.8</v>
      </c>
      <c r="BS145" s="926">
        <f t="shared" ref="BS145:BS155" ca="1" si="200">INDIRECT("'"&amp;AI145&amp;"'!"&amp;"G4")</f>
        <v>103.97</v>
      </c>
      <c r="BT145" s="926">
        <f t="shared" ref="BT145:BT155" ca="1" si="201">INDIRECT("'"&amp;AI145&amp;"'!"&amp;"G6")</f>
        <v>53.9</v>
      </c>
      <c r="BU145" s="926">
        <f t="shared" ref="BU145:BU155" ca="1" si="202">INDIRECT("'"&amp;AI145&amp;"'!"&amp;"G2")</f>
        <v>62.730000000000004</v>
      </c>
      <c r="BV145" s="926">
        <f t="shared" ref="BV145:BV155" ca="1" si="203">INDIRECT("'"&amp;AI145&amp;"'!"&amp;"G3")</f>
        <v>4.3</v>
      </c>
      <c r="BW145" s="926">
        <v>0</v>
      </c>
      <c r="BX145" s="926">
        <f t="shared" ref="BX145:BX155" ca="1" si="204">IF(BR145=0,0,1/(1/(BR145*$BY$3)+1/(BR145*AR145)+1/(BR145*$BY$4)))</f>
        <v>51.195290346443095</v>
      </c>
      <c r="BY145" s="926">
        <f t="shared" ref="BY145:BY155" ca="1" si="205">IF(BS145=0,0,1/(1/(BS145*$BY$3)+1/(BS145*AS145)+1/(BS145*$BY$4)))</f>
        <v>56.505434782608681</v>
      </c>
      <c r="BZ145" s="926">
        <f t="shared" ca="1" si="191"/>
        <v>13.714707750952986</v>
      </c>
      <c r="CA145" s="926">
        <f t="shared" ca="1" si="192"/>
        <v>172.50749990512088</v>
      </c>
      <c r="CB145" s="926">
        <f t="shared" ref="CB145:CB155" ca="1" si="206">IF(BV145=0,0,1/(1/(BV145*$BY$3)+1/(BV145*AV145)+1/(BV145*$BY$4)))</f>
        <v>9.0267175572519083</v>
      </c>
      <c r="CC145" s="926">
        <f t="shared" si="193"/>
        <v>0</v>
      </c>
      <c r="CD145" s="1018">
        <f t="shared" ref="CD145:CD155" ca="1" si="207">SUM(BX145:CC145)+(BR145+BS145+BT145+BU145+BV145)*BN145</f>
        <v>337.21965034237752</v>
      </c>
      <c r="CE145" s="1018">
        <f ca="1">0.34*BO145*(1/25)^0.66*(BR145+BS145+BU145+BV145)</f>
        <v>70.402316711882364</v>
      </c>
      <c r="CF145" s="926">
        <f t="shared" ca="1" si="194"/>
        <v>12.228659011627796</v>
      </c>
      <c r="CG145" s="926">
        <f t="shared" ca="1" si="195"/>
        <v>20360.228107999817</v>
      </c>
    </row>
    <row r="146" spans="4:85" x14ac:dyDescent="0.25">
      <c r="D146" s="668"/>
      <c r="E146" s="667"/>
      <c r="F146" s="668"/>
      <c r="G146" s="667"/>
      <c r="H146" s="668"/>
      <c r="I146" s="667"/>
      <c r="J146" s="668"/>
      <c r="K146" s="668"/>
      <c r="L146" s="668"/>
      <c r="M146" s="668"/>
      <c r="N146" s="668"/>
      <c r="O146" s="668" t="s">
        <v>18</v>
      </c>
      <c r="P146" s="670">
        <v>0.62953995200000001</v>
      </c>
      <c r="Q146" s="668" t="s">
        <v>7</v>
      </c>
      <c r="R146" s="670">
        <v>0.26140000000000002</v>
      </c>
      <c r="S146" s="668"/>
      <c r="T146" s="678">
        <v>9.5538879699171811E-4</v>
      </c>
      <c r="U146" s="667"/>
      <c r="V146" s="176">
        <f t="shared" si="196"/>
        <v>9.5538879699171811E-4</v>
      </c>
      <c r="W146" s="176">
        <f t="shared" ref="W146:X155" si="208">V146</f>
        <v>9.5538879699171811E-4</v>
      </c>
      <c r="X146" s="176">
        <f t="shared" si="208"/>
        <v>9.5538879699171811E-4</v>
      </c>
      <c r="Y146" s="34">
        <f>X146/Calculation_sheet!M$67</f>
        <v>9.5540833128059707E-4</v>
      </c>
      <c r="Z146" s="176">
        <f ca="1">IF(AN146&gt;0,Y146*Calculation_sheet!C$87,0)</f>
        <v>0</v>
      </c>
      <c r="AA146" s="176">
        <f t="shared" ref="AA146:AA155" ca="1" si="209">Y146-Z146</f>
        <v>9.5540833128059707E-4</v>
      </c>
      <c r="AB146" s="176">
        <f ca="1">IF(AP146&gt;0,AA146*Calculation_sheet!C$94,0)</f>
        <v>0</v>
      </c>
      <c r="AC146" s="176">
        <f t="shared" ca="1" si="197"/>
        <v>9.5540833128059707E-4</v>
      </c>
      <c r="AD146" s="958">
        <f ca="1">AC146*Calculation_sheet!C$99</f>
        <v>5.7324499876835826E-4</v>
      </c>
      <c r="AE146" s="176">
        <f t="shared" ca="1" si="197"/>
        <v>3.8216333251223881E-4</v>
      </c>
      <c r="AF146" s="176">
        <f t="shared" ref="AF146:AF155" ca="1" si="210">Y146-AB146</f>
        <v>9.5540833128059707E-4</v>
      </c>
      <c r="AG146" s="958">
        <f ca="1">AF146*User_sheet!B$77/100</f>
        <v>0</v>
      </c>
      <c r="AH146" s="313"/>
      <c r="AI146" s="3">
        <v>302</v>
      </c>
      <c r="AK146" s="1018">
        <f t="shared" ca="1" si="190"/>
        <v>337.21965034237752</v>
      </c>
      <c r="AL146" s="924">
        <f ca="1">AK146/'302'!I$24</f>
        <v>0.85959635570323101</v>
      </c>
      <c r="AM146" s="924">
        <f ca="1">0.8*(AK146*30+'302'!D$17*0.34*30*1)</f>
        <v>13159.458608217061</v>
      </c>
      <c r="AN146" s="954">
        <f ca="1">IF(AM146&lt;User_sheet!B$50,Y146,0)</f>
        <v>0</v>
      </c>
      <c r="AO146" s="954">
        <f ca="1">20-(User_sheet!B$57/(AK146+'302'!D$17*1*0.34))</f>
        <v>9.6044355567501078</v>
      </c>
      <c r="AP146" s="954">
        <f ca="1">IF(AO146&lt;User_sheet!B$59,0,BC146*AA146)</f>
        <v>9.5540833128059707E-4</v>
      </c>
      <c r="AR146" s="2">
        <v>0.47</v>
      </c>
      <c r="AS146" s="2">
        <v>0.6</v>
      </c>
      <c r="AT146" s="2">
        <v>0.89</v>
      </c>
      <c r="AU146" s="2">
        <v>2.75</v>
      </c>
      <c r="AV146" s="2">
        <v>3.3</v>
      </c>
      <c r="AW146" s="2">
        <v>11617.129718053829</v>
      </c>
      <c r="AX146" s="2">
        <v>69341.450841082013</v>
      </c>
      <c r="AY146" s="2">
        <v>79015.992973719694</v>
      </c>
      <c r="AZ146" s="2">
        <v>0</v>
      </c>
      <c r="BA146" s="2">
        <v>0</v>
      </c>
      <c r="BB146" s="2">
        <v>0.6</v>
      </c>
      <c r="BC146" s="30">
        <v>1</v>
      </c>
      <c r="BD146" s="34">
        <v>0</v>
      </c>
      <c r="BE146" s="34">
        <v>0</v>
      </c>
      <c r="BF146" s="40">
        <v>0</v>
      </c>
      <c r="BG146" s="2">
        <v>1</v>
      </c>
      <c r="BH146" s="2">
        <v>0</v>
      </c>
      <c r="BI146" s="40">
        <v>0</v>
      </c>
      <c r="BJ146" s="2">
        <v>0</v>
      </c>
      <c r="BK146" s="2">
        <v>0</v>
      </c>
      <c r="BL146" s="2">
        <v>1</v>
      </c>
      <c r="BM146" s="40">
        <v>0</v>
      </c>
      <c r="BN146" s="199">
        <v>0.1</v>
      </c>
      <c r="BO146" s="959">
        <v>6</v>
      </c>
      <c r="BP146" s="1018">
        <f t="shared" ref="BP146:BP155" ca="1" si="211">INDIRECT("'"&amp;AI146&amp;"'!"&amp;"B2")</f>
        <v>215.65</v>
      </c>
      <c r="BQ146" s="1018">
        <f t="shared" ca="1" si="198"/>
        <v>486.07500000000005</v>
      </c>
      <c r="BR146" s="1018">
        <f t="shared" ca="1" si="199"/>
        <v>117.8</v>
      </c>
      <c r="BS146" s="1018">
        <f t="shared" ca="1" si="200"/>
        <v>103.97</v>
      </c>
      <c r="BT146" s="1018">
        <f t="shared" ca="1" si="201"/>
        <v>53.9</v>
      </c>
      <c r="BU146" s="1018">
        <f t="shared" ca="1" si="202"/>
        <v>62.730000000000004</v>
      </c>
      <c r="BV146" s="1018">
        <f t="shared" ca="1" si="203"/>
        <v>4.3</v>
      </c>
      <c r="BW146" s="1018">
        <v>0</v>
      </c>
      <c r="BX146" s="1018">
        <f t="shared" ca="1" si="204"/>
        <v>51.195290346443095</v>
      </c>
      <c r="BY146" s="1018">
        <f t="shared" ca="1" si="205"/>
        <v>56.505434782608681</v>
      </c>
      <c r="BZ146" s="1018">
        <f t="shared" ca="1" si="191"/>
        <v>13.714707750952986</v>
      </c>
      <c r="CA146" s="1018">
        <f t="shared" ca="1" si="192"/>
        <v>172.50749990512088</v>
      </c>
      <c r="CB146" s="1018">
        <f t="shared" ca="1" si="206"/>
        <v>9.0267175572519083</v>
      </c>
      <c r="CC146" s="1018">
        <f t="shared" si="193"/>
        <v>0</v>
      </c>
      <c r="CD146" s="1018">
        <f t="shared" ca="1" si="207"/>
        <v>337.21965034237752</v>
      </c>
      <c r="CE146" s="1018">
        <f t="shared" ref="CE146:CE155" ca="1" si="212">0.34*BO146*(1/25)^0.66*(BR146+BS146+BU146+BV146)</f>
        <v>70.402316711882364</v>
      </c>
      <c r="CF146" s="1018">
        <f t="shared" ca="1" si="194"/>
        <v>12.228659011627796</v>
      </c>
      <c r="CG146" s="1018">
        <f t="shared" ca="1" si="195"/>
        <v>20360.228107999817</v>
      </c>
    </row>
    <row r="147" spans="4:85" x14ac:dyDescent="0.25">
      <c r="D147" s="668"/>
      <c r="E147" s="667"/>
      <c r="F147" s="668"/>
      <c r="G147" s="667"/>
      <c r="H147" s="668"/>
      <c r="I147" s="667"/>
      <c r="J147" s="668"/>
      <c r="K147" s="668"/>
      <c r="L147" s="668"/>
      <c r="M147" s="668"/>
      <c r="N147" s="668"/>
      <c r="O147" s="668"/>
      <c r="P147" s="668"/>
      <c r="Q147" s="668" t="s">
        <v>16</v>
      </c>
      <c r="R147" s="670">
        <v>0.73860000000000003</v>
      </c>
      <c r="S147" s="668"/>
      <c r="T147" s="678">
        <v>1.5885538684863841E-3</v>
      </c>
      <c r="U147" s="667"/>
      <c r="V147" s="176">
        <f t="shared" si="196"/>
        <v>1.5885538684863841E-3</v>
      </c>
      <c r="W147" s="176">
        <f t="shared" si="208"/>
        <v>1.5885538684863841E-3</v>
      </c>
      <c r="X147" s="176">
        <f t="shared" si="208"/>
        <v>1.5885538684863841E-3</v>
      </c>
      <c r="Y147" s="34">
        <f>X147/Calculation_sheet!M$67</f>
        <v>1.5885863487397265E-3</v>
      </c>
      <c r="Z147" s="176">
        <f ca="1">IF(AN147&gt;0,Y147*Calculation_sheet!C$87,0)</f>
        <v>0</v>
      </c>
      <c r="AA147" s="176">
        <f t="shared" ca="1" si="209"/>
        <v>1.5885863487397265E-3</v>
      </c>
      <c r="AB147" s="176">
        <f ca="1">IF(AP147&gt;0,AA147*Calculation_sheet!C$94,0)</f>
        <v>0</v>
      </c>
      <c r="AC147" s="176">
        <f t="shared" ca="1" si="197"/>
        <v>1.5885863487397265E-3</v>
      </c>
      <c r="AD147" s="958">
        <f ca="1">AC147*Calculation_sheet!C$99</f>
        <v>9.5315180924383585E-4</v>
      </c>
      <c r="AE147" s="176">
        <f t="shared" ca="1" si="197"/>
        <v>6.354345394958906E-4</v>
      </c>
      <c r="AF147" s="176">
        <f t="shared" ca="1" si="210"/>
        <v>1.5885863487397265E-3</v>
      </c>
      <c r="AG147" s="958">
        <f ca="1">AF147*User_sheet!B$77/100</f>
        <v>0</v>
      </c>
      <c r="AH147" s="313"/>
      <c r="AI147" s="3">
        <v>302</v>
      </c>
      <c r="AK147" s="1018">
        <f t="shared" ca="1" si="190"/>
        <v>337.21965034237752</v>
      </c>
      <c r="AL147" s="924">
        <f ca="1">AK147/'302'!I$24</f>
        <v>0.85959635570323101</v>
      </c>
      <c r="AM147" s="924">
        <f ca="1">0.8*(AK147*30+'302'!D$17*0.34*30*1)</f>
        <v>13159.458608217061</v>
      </c>
      <c r="AN147" s="954">
        <f ca="1">IF(AM147&lt;User_sheet!B$50,Y147,0)</f>
        <v>0</v>
      </c>
      <c r="AO147" s="954">
        <f ca="1">20-(User_sheet!B$57/(AK147+'302'!D$17*1*0.34))</f>
        <v>9.6044355567501078</v>
      </c>
      <c r="AP147" s="954">
        <f ca="1">IF(AO147&lt;User_sheet!B$59,0,BC147*AA147)</f>
        <v>1.5885863487397265E-3</v>
      </c>
      <c r="AR147" s="2">
        <v>0.47</v>
      </c>
      <c r="AS147" s="2">
        <v>0.6</v>
      </c>
      <c r="AT147" s="2">
        <v>0.89</v>
      </c>
      <c r="AU147" s="2">
        <v>2.75</v>
      </c>
      <c r="AV147" s="2">
        <v>3.3</v>
      </c>
      <c r="AW147" s="2">
        <v>11617.129718053829</v>
      </c>
      <c r="AX147" s="2">
        <v>69341.450841082013</v>
      </c>
      <c r="AY147" s="2">
        <v>79015.992973719694</v>
      </c>
      <c r="AZ147" s="2">
        <v>0</v>
      </c>
      <c r="BA147" s="2">
        <v>0</v>
      </c>
      <c r="BB147" s="2">
        <v>0.6</v>
      </c>
      <c r="BC147" s="30">
        <v>1</v>
      </c>
      <c r="BD147" s="34">
        <v>0</v>
      </c>
      <c r="BE147" s="34">
        <v>0</v>
      </c>
      <c r="BF147" s="40">
        <v>0</v>
      </c>
      <c r="BG147" s="2">
        <v>0</v>
      </c>
      <c r="BH147" s="2">
        <v>1</v>
      </c>
      <c r="BI147" s="40">
        <v>0</v>
      </c>
      <c r="BJ147" s="2">
        <v>1</v>
      </c>
      <c r="BK147" s="2">
        <v>0</v>
      </c>
      <c r="BL147" s="2">
        <v>0</v>
      </c>
      <c r="BM147" s="40">
        <v>0</v>
      </c>
      <c r="BN147" s="199">
        <v>0.1</v>
      </c>
      <c r="BO147" s="959">
        <v>6</v>
      </c>
      <c r="BP147" s="1018">
        <f t="shared" ca="1" si="211"/>
        <v>215.65</v>
      </c>
      <c r="BQ147" s="1018">
        <f t="shared" ca="1" si="198"/>
        <v>486.07500000000005</v>
      </c>
      <c r="BR147" s="1018">
        <f t="shared" ca="1" si="199"/>
        <v>117.8</v>
      </c>
      <c r="BS147" s="1018">
        <f t="shared" ca="1" si="200"/>
        <v>103.97</v>
      </c>
      <c r="BT147" s="1018">
        <f t="shared" ca="1" si="201"/>
        <v>53.9</v>
      </c>
      <c r="BU147" s="1018">
        <f t="shared" ca="1" si="202"/>
        <v>62.730000000000004</v>
      </c>
      <c r="BV147" s="1018">
        <f t="shared" ca="1" si="203"/>
        <v>4.3</v>
      </c>
      <c r="BW147" s="1018">
        <v>0</v>
      </c>
      <c r="BX147" s="1018">
        <f t="shared" ca="1" si="204"/>
        <v>51.195290346443095</v>
      </c>
      <c r="BY147" s="1018">
        <f t="shared" ca="1" si="205"/>
        <v>56.505434782608681</v>
      </c>
      <c r="BZ147" s="1018">
        <f t="shared" ca="1" si="191"/>
        <v>13.714707750952986</v>
      </c>
      <c r="CA147" s="1018">
        <f t="shared" ca="1" si="192"/>
        <v>172.50749990512088</v>
      </c>
      <c r="CB147" s="1018">
        <f t="shared" ca="1" si="206"/>
        <v>9.0267175572519083</v>
      </c>
      <c r="CC147" s="1018">
        <f t="shared" si="193"/>
        <v>0</v>
      </c>
      <c r="CD147" s="1018">
        <f t="shared" ca="1" si="207"/>
        <v>337.21965034237752</v>
      </c>
      <c r="CE147" s="1018">
        <f t="shared" ca="1" si="212"/>
        <v>70.402316711882364</v>
      </c>
      <c r="CF147" s="1018">
        <f t="shared" ca="1" si="194"/>
        <v>12.228659011627796</v>
      </c>
      <c r="CG147" s="1018">
        <f t="shared" ca="1" si="195"/>
        <v>20360.228107999817</v>
      </c>
    </row>
    <row r="148" spans="4:85" x14ac:dyDescent="0.25">
      <c r="D148" s="668"/>
      <c r="E148" s="667"/>
      <c r="F148" s="668"/>
      <c r="G148" s="667"/>
      <c r="H148" s="668"/>
      <c r="I148" s="667"/>
      <c r="J148" s="668"/>
      <c r="K148" s="668"/>
      <c r="L148" s="668"/>
      <c r="M148" s="668" t="s">
        <v>16</v>
      </c>
      <c r="N148" s="670">
        <v>0.44680851100000002</v>
      </c>
      <c r="O148" s="668" t="s">
        <v>19</v>
      </c>
      <c r="P148" s="670">
        <v>0.37046004799999999</v>
      </c>
      <c r="Q148" s="668" t="s">
        <v>7</v>
      </c>
      <c r="R148" s="670">
        <v>0.26140000000000002</v>
      </c>
      <c r="S148" s="668"/>
      <c r="T148" s="678">
        <v>5.6220956027936743E-4</v>
      </c>
      <c r="U148" s="667"/>
      <c r="V148" s="176">
        <f t="shared" si="196"/>
        <v>5.6220956027936743E-4</v>
      </c>
      <c r="W148" s="176">
        <f t="shared" si="208"/>
        <v>5.6220956027936743E-4</v>
      </c>
      <c r="X148" s="176">
        <f t="shared" si="208"/>
        <v>5.6220956027936743E-4</v>
      </c>
      <c r="Y148" s="34">
        <f>X148/Calculation_sheet!M$67</f>
        <v>5.6222105545703286E-4</v>
      </c>
      <c r="Z148" s="176">
        <f ca="1">IF(AN148&gt;0,Y148*Calculation_sheet!C$87,0)</f>
        <v>0</v>
      </c>
      <c r="AA148" s="176">
        <f t="shared" ca="1" si="209"/>
        <v>5.6222105545703286E-4</v>
      </c>
      <c r="AB148" s="176">
        <f ca="1">IF(AP148&gt;0,AA148*Calculation_sheet!C$94,0)</f>
        <v>0</v>
      </c>
      <c r="AC148" s="176">
        <f t="shared" ca="1" si="197"/>
        <v>5.6222105545703286E-4</v>
      </c>
      <c r="AD148" s="958">
        <f ca="1">AC148*Calculation_sheet!C$99</f>
        <v>3.3733263327421971E-4</v>
      </c>
      <c r="AE148" s="176">
        <f t="shared" ca="1" si="197"/>
        <v>2.2488842218281314E-4</v>
      </c>
      <c r="AF148" s="176">
        <f t="shared" ca="1" si="210"/>
        <v>5.6222105545703286E-4</v>
      </c>
      <c r="AG148" s="958">
        <f ca="1">AF148*User_sheet!B$77/100</f>
        <v>0</v>
      </c>
      <c r="AH148" s="313"/>
      <c r="AI148" s="3">
        <v>302</v>
      </c>
      <c r="AK148" s="1018">
        <f t="shared" ca="1" si="190"/>
        <v>337.21965034237752</v>
      </c>
      <c r="AL148" s="924">
        <f ca="1">AK148/'302'!I$24</f>
        <v>0.85959635570323101</v>
      </c>
      <c r="AM148" s="924">
        <f ca="1">0.8*(AK148*30+'302'!D$17*0.34*30*1)</f>
        <v>13159.458608217061</v>
      </c>
      <c r="AN148" s="954">
        <f ca="1">IF(AM148&lt;User_sheet!B$50,Y148,0)</f>
        <v>0</v>
      </c>
      <c r="AO148" s="954">
        <f ca="1">20-(User_sheet!B$57/(AK148+'302'!D$17*1*0.34))</f>
        <v>9.6044355567501078</v>
      </c>
      <c r="AP148" s="954">
        <f ca="1">IF(AO148&lt;User_sheet!B$59,0,BC148*AA148)</f>
        <v>5.6222105545703286E-4</v>
      </c>
      <c r="AR148" s="2">
        <v>0.47</v>
      </c>
      <c r="AS148" s="2">
        <v>0.6</v>
      </c>
      <c r="AT148" s="2">
        <v>0.89</v>
      </c>
      <c r="AU148" s="2">
        <v>2.75</v>
      </c>
      <c r="AV148" s="2">
        <v>3.3</v>
      </c>
      <c r="AW148" s="2">
        <v>11617.129718053829</v>
      </c>
      <c r="AX148" s="2">
        <v>69341.450841082013</v>
      </c>
      <c r="AY148" s="2">
        <v>79015.992973719694</v>
      </c>
      <c r="AZ148" s="2">
        <v>0</v>
      </c>
      <c r="BA148" s="2">
        <v>0</v>
      </c>
      <c r="BB148" s="2">
        <v>0.6</v>
      </c>
      <c r="BC148" s="30">
        <v>1</v>
      </c>
      <c r="BD148" s="34">
        <v>0</v>
      </c>
      <c r="BE148" s="34">
        <v>0</v>
      </c>
      <c r="BF148" s="40">
        <v>0</v>
      </c>
      <c r="BG148" s="2">
        <v>0</v>
      </c>
      <c r="BH148" s="2">
        <v>1</v>
      </c>
      <c r="BI148" s="40">
        <v>0</v>
      </c>
      <c r="BJ148" s="2">
        <v>0</v>
      </c>
      <c r="BK148" s="2">
        <v>0</v>
      </c>
      <c r="BL148" s="2">
        <v>1</v>
      </c>
      <c r="BM148" s="40">
        <v>0</v>
      </c>
      <c r="BN148" s="199">
        <v>0.1</v>
      </c>
      <c r="BO148" s="959">
        <v>6</v>
      </c>
      <c r="BP148" s="1018">
        <f t="shared" ca="1" si="211"/>
        <v>215.65</v>
      </c>
      <c r="BQ148" s="1018">
        <f t="shared" ca="1" si="198"/>
        <v>486.07500000000005</v>
      </c>
      <c r="BR148" s="1018">
        <f t="shared" ca="1" si="199"/>
        <v>117.8</v>
      </c>
      <c r="BS148" s="1018">
        <f t="shared" ca="1" si="200"/>
        <v>103.97</v>
      </c>
      <c r="BT148" s="1018">
        <f t="shared" ca="1" si="201"/>
        <v>53.9</v>
      </c>
      <c r="BU148" s="1018">
        <f t="shared" ca="1" si="202"/>
        <v>62.730000000000004</v>
      </c>
      <c r="BV148" s="1018">
        <f t="shared" ca="1" si="203"/>
        <v>4.3</v>
      </c>
      <c r="BW148" s="1018">
        <v>0</v>
      </c>
      <c r="BX148" s="1018">
        <f t="shared" ca="1" si="204"/>
        <v>51.195290346443095</v>
      </c>
      <c r="BY148" s="1018">
        <f t="shared" ca="1" si="205"/>
        <v>56.505434782608681</v>
      </c>
      <c r="BZ148" s="1018">
        <f t="shared" ca="1" si="191"/>
        <v>13.714707750952986</v>
      </c>
      <c r="CA148" s="1018">
        <f t="shared" ca="1" si="192"/>
        <v>172.50749990512088</v>
      </c>
      <c r="CB148" s="1018">
        <f t="shared" ca="1" si="206"/>
        <v>9.0267175572519083</v>
      </c>
      <c r="CC148" s="1018">
        <f t="shared" si="193"/>
        <v>0</v>
      </c>
      <c r="CD148" s="1018">
        <f t="shared" ca="1" si="207"/>
        <v>337.21965034237752</v>
      </c>
      <c r="CE148" s="1018">
        <f t="shared" ca="1" si="212"/>
        <v>70.402316711882364</v>
      </c>
      <c r="CF148" s="1018">
        <f t="shared" ca="1" si="194"/>
        <v>12.228659011627796</v>
      </c>
      <c r="CG148" s="1018">
        <f t="shared" ca="1" si="195"/>
        <v>20360.228107999817</v>
      </c>
    </row>
    <row r="149" spans="4:85" x14ac:dyDescent="0.25">
      <c r="D149" s="668"/>
      <c r="E149" s="667"/>
      <c r="F149" s="668"/>
      <c r="G149" s="667"/>
      <c r="H149" s="668"/>
      <c r="I149" s="667"/>
      <c r="J149" s="668"/>
      <c r="K149" s="668"/>
      <c r="L149" s="668"/>
      <c r="M149" s="668"/>
      <c r="N149" s="668"/>
      <c r="O149" s="668"/>
      <c r="P149" s="668"/>
      <c r="Q149" s="668" t="s">
        <v>22</v>
      </c>
      <c r="R149" s="670">
        <v>0.53710000000000002</v>
      </c>
      <c r="S149" s="668"/>
      <c r="T149" s="678">
        <v>2.5203638414645958E-3</v>
      </c>
      <c r="U149" s="667"/>
      <c r="V149" s="176">
        <f t="shared" si="196"/>
        <v>2.5203638414645958E-3</v>
      </c>
      <c r="W149" s="176">
        <f t="shared" si="208"/>
        <v>2.5203638414645958E-3</v>
      </c>
      <c r="X149" s="176">
        <f t="shared" si="208"/>
        <v>2.5203638414645958E-3</v>
      </c>
      <c r="Y149" s="34">
        <f>X149/Calculation_sheet!M$67</f>
        <v>2.5204153739040737E-3</v>
      </c>
      <c r="Z149" s="176">
        <f ca="1">IF(AN149&gt;0,Y149*Calculation_sheet!C$87,0)</f>
        <v>0</v>
      </c>
      <c r="AA149" s="176">
        <f t="shared" ca="1" si="209"/>
        <v>2.5204153739040737E-3</v>
      </c>
      <c r="AB149" s="176">
        <f ca="1">IF(AP149&gt;0,AA149*Calculation_sheet!C$94,0)</f>
        <v>0</v>
      </c>
      <c r="AC149" s="176">
        <f t="shared" ca="1" si="197"/>
        <v>2.5204153739040737E-3</v>
      </c>
      <c r="AD149" s="958">
        <f ca="1">AC149*Calculation_sheet!C$99</f>
        <v>1.5122492243424442E-3</v>
      </c>
      <c r="AE149" s="176">
        <f t="shared" ca="1" si="197"/>
        <v>1.0081661495616296E-3</v>
      </c>
      <c r="AF149" s="176">
        <f t="shared" ca="1" si="210"/>
        <v>2.5204153739040737E-3</v>
      </c>
      <c r="AG149" s="958">
        <f ca="1">AF149*User_sheet!B$77/100</f>
        <v>0</v>
      </c>
      <c r="AH149" s="313"/>
      <c r="AI149" s="3">
        <v>302</v>
      </c>
      <c r="AK149" s="1018">
        <f t="shared" ca="1" si="190"/>
        <v>337.21965034237752</v>
      </c>
      <c r="AL149" s="924">
        <f ca="1">AK149/'302'!I$24</f>
        <v>0.85959635570323101</v>
      </c>
      <c r="AM149" s="924">
        <f ca="1">0.8*(AK149*30+'302'!D$17*0.34*30*1)</f>
        <v>13159.458608217061</v>
      </c>
      <c r="AN149" s="954">
        <f ca="1">IF(AM149&lt;User_sheet!B$50,Y149,0)</f>
        <v>0</v>
      </c>
      <c r="AO149" s="954">
        <f ca="1">20-(User_sheet!B$57/(AK149+'302'!D$17*1*0.34))</f>
        <v>9.6044355567501078</v>
      </c>
      <c r="AP149" s="954">
        <f ca="1">IF(AO149&lt;User_sheet!B$59,0,BC149*AA149)</f>
        <v>0</v>
      </c>
      <c r="AR149" s="2">
        <v>0.47</v>
      </c>
      <c r="AS149" s="2">
        <v>0.6</v>
      </c>
      <c r="AT149" s="2">
        <v>0.89</v>
      </c>
      <c r="AU149" s="2">
        <v>2.75</v>
      </c>
      <c r="AV149" s="2">
        <v>3.3</v>
      </c>
      <c r="AW149" s="2">
        <v>11617.129718053829</v>
      </c>
      <c r="AX149" s="2">
        <v>69341.450841082013</v>
      </c>
      <c r="AY149" s="2">
        <v>79015.992973719694</v>
      </c>
      <c r="AZ149" s="2">
        <v>0</v>
      </c>
      <c r="BA149" s="2">
        <v>0</v>
      </c>
      <c r="BB149" s="2">
        <v>0.6</v>
      </c>
      <c r="BC149" s="30">
        <v>0</v>
      </c>
      <c r="BD149" s="34">
        <v>1</v>
      </c>
      <c r="BE149" s="34">
        <v>0</v>
      </c>
      <c r="BF149" s="40">
        <v>0</v>
      </c>
      <c r="BG149" s="2">
        <v>1</v>
      </c>
      <c r="BH149" s="2">
        <v>0</v>
      </c>
      <c r="BI149" s="40">
        <v>0</v>
      </c>
      <c r="BJ149" s="2">
        <v>0</v>
      </c>
      <c r="BK149" s="2">
        <v>1</v>
      </c>
      <c r="BL149" s="2">
        <v>0</v>
      </c>
      <c r="BM149" s="40">
        <v>0</v>
      </c>
      <c r="BN149" s="199">
        <v>0.1</v>
      </c>
      <c r="BO149" s="959">
        <v>6</v>
      </c>
      <c r="BP149" s="1018">
        <f t="shared" ca="1" si="211"/>
        <v>215.65</v>
      </c>
      <c r="BQ149" s="1018">
        <f t="shared" ca="1" si="198"/>
        <v>486.07500000000005</v>
      </c>
      <c r="BR149" s="1018">
        <f t="shared" ca="1" si="199"/>
        <v>117.8</v>
      </c>
      <c r="BS149" s="1018">
        <f t="shared" ca="1" si="200"/>
        <v>103.97</v>
      </c>
      <c r="BT149" s="1018">
        <f t="shared" ca="1" si="201"/>
        <v>53.9</v>
      </c>
      <c r="BU149" s="1018">
        <f t="shared" ca="1" si="202"/>
        <v>62.730000000000004</v>
      </c>
      <c r="BV149" s="1018">
        <f t="shared" ca="1" si="203"/>
        <v>4.3</v>
      </c>
      <c r="BW149" s="1018">
        <v>0</v>
      </c>
      <c r="BX149" s="1018">
        <f t="shared" ca="1" si="204"/>
        <v>51.195290346443095</v>
      </c>
      <c r="BY149" s="1018">
        <f t="shared" ca="1" si="205"/>
        <v>56.505434782608681</v>
      </c>
      <c r="BZ149" s="1018">
        <f t="shared" ca="1" si="191"/>
        <v>13.714707750952986</v>
      </c>
      <c r="CA149" s="1018">
        <f t="shared" ca="1" si="192"/>
        <v>172.50749990512088</v>
      </c>
      <c r="CB149" s="1018">
        <f t="shared" ca="1" si="206"/>
        <v>9.0267175572519083</v>
      </c>
      <c r="CC149" s="1018">
        <f t="shared" si="193"/>
        <v>0</v>
      </c>
      <c r="CD149" s="1018">
        <f t="shared" ca="1" si="207"/>
        <v>337.21965034237752</v>
      </c>
      <c r="CE149" s="1018">
        <f t="shared" ca="1" si="212"/>
        <v>70.402316711882364</v>
      </c>
      <c r="CF149" s="1018">
        <f t="shared" ca="1" si="194"/>
        <v>12.228659011627796</v>
      </c>
      <c r="CG149" s="1018">
        <f t="shared" ca="1" si="195"/>
        <v>20360.228107999817</v>
      </c>
    </row>
    <row r="150" spans="4:85" x14ac:dyDescent="0.25">
      <c r="D150" s="668"/>
      <c r="E150" s="667"/>
      <c r="F150" s="668"/>
      <c r="G150" s="667"/>
      <c r="H150" s="668"/>
      <c r="I150" s="667"/>
      <c r="J150" s="668"/>
      <c r="K150" s="668"/>
      <c r="L150" s="668"/>
      <c r="M150" s="668"/>
      <c r="N150" s="668"/>
      <c r="O150" s="668" t="s">
        <v>18</v>
      </c>
      <c r="P150" s="670">
        <v>0.80827067699999999</v>
      </c>
      <c r="Q150" s="668" t="s">
        <v>7</v>
      </c>
      <c r="R150" s="670">
        <v>0.46289999999999998</v>
      </c>
      <c r="S150" s="668"/>
      <c r="T150" s="678">
        <v>2.1721772895437748E-3</v>
      </c>
      <c r="U150" s="667"/>
      <c r="V150" s="176">
        <f t="shared" si="196"/>
        <v>2.1721772895437748E-3</v>
      </c>
      <c r="W150" s="176">
        <f t="shared" si="208"/>
        <v>2.1721772895437748E-3</v>
      </c>
      <c r="X150" s="176">
        <f t="shared" si="208"/>
        <v>2.1721772895437748E-3</v>
      </c>
      <c r="Y150" s="34">
        <f>X150/Calculation_sheet!M$67</f>
        <v>2.1722217028117591E-3</v>
      </c>
      <c r="Z150" s="176">
        <f ca="1">IF(AN150&gt;0,Y150*Calculation_sheet!C$87,0)</f>
        <v>0</v>
      </c>
      <c r="AA150" s="176">
        <f t="shared" ca="1" si="209"/>
        <v>2.1722217028117591E-3</v>
      </c>
      <c r="AB150" s="176">
        <f ca="1">IF(AP150&gt;0,AA150*Calculation_sheet!C$94,0)</f>
        <v>0</v>
      </c>
      <c r="AC150" s="176">
        <f t="shared" ca="1" si="197"/>
        <v>2.1722217028117591E-3</v>
      </c>
      <c r="AD150" s="958">
        <f ca="1">AC150*Calculation_sheet!C$99</f>
        <v>1.3033330216870554E-3</v>
      </c>
      <c r="AE150" s="176">
        <f t="shared" ca="1" si="197"/>
        <v>8.6888868112470368E-4</v>
      </c>
      <c r="AF150" s="176">
        <f t="shared" ca="1" si="210"/>
        <v>2.1722217028117591E-3</v>
      </c>
      <c r="AG150" s="958">
        <f ca="1">AF150*User_sheet!B$77/100</f>
        <v>0</v>
      </c>
      <c r="AH150" s="313"/>
      <c r="AI150" s="3">
        <v>302</v>
      </c>
      <c r="AK150" s="1018">
        <f t="shared" ca="1" si="190"/>
        <v>337.21965034237752</v>
      </c>
      <c r="AL150" s="924">
        <f ca="1">AK150/'302'!I$24</f>
        <v>0.85959635570323101</v>
      </c>
      <c r="AM150" s="924">
        <f ca="1">0.8*(AK150*30+'302'!D$17*0.34*30*1)</f>
        <v>13159.458608217061</v>
      </c>
      <c r="AN150" s="954">
        <f ca="1">IF(AM150&lt;User_sheet!B$50,Y150,0)</f>
        <v>0</v>
      </c>
      <c r="AO150" s="954">
        <f ca="1">20-(User_sheet!B$57/(AK150+'302'!D$17*1*0.34))</f>
        <v>9.6044355567501078</v>
      </c>
      <c r="AP150" s="954">
        <f ca="1">IF(AO150&lt;User_sheet!B$59,0,BC150*AA150)</f>
        <v>0</v>
      </c>
      <c r="AR150" s="2">
        <v>0.47</v>
      </c>
      <c r="AS150" s="2">
        <v>0.6</v>
      </c>
      <c r="AT150" s="2">
        <v>0.89</v>
      </c>
      <c r="AU150" s="2">
        <v>2.75</v>
      </c>
      <c r="AV150" s="2">
        <v>3.3</v>
      </c>
      <c r="AW150" s="2">
        <v>11617.129718053829</v>
      </c>
      <c r="AX150" s="2">
        <v>69341.450841082013</v>
      </c>
      <c r="AY150" s="2">
        <v>79015.992973719694</v>
      </c>
      <c r="AZ150" s="2">
        <v>0</v>
      </c>
      <c r="BA150" s="2">
        <v>0</v>
      </c>
      <c r="BB150" s="2">
        <v>0.6</v>
      </c>
      <c r="BC150" s="30">
        <v>0</v>
      </c>
      <c r="BD150" s="34">
        <v>1</v>
      </c>
      <c r="BE150" s="34">
        <v>0</v>
      </c>
      <c r="BF150" s="40">
        <v>0</v>
      </c>
      <c r="BG150" s="2">
        <v>1</v>
      </c>
      <c r="BH150" s="2">
        <v>0</v>
      </c>
      <c r="BI150" s="40">
        <v>0</v>
      </c>
      <c r="BJ150" s="2">
        <v>0</v>
      </c>
      <c r="BK150" s="2">
        <v>0</v>
      </c>
      <c r="BL150" s="2">
        <v>1</v>
      </c>
      <c r="BM150" s="40">
        <v>0</v>
      </c>
      <c r="BN150" s="199">
        <v>0.1</v>
      </c>
      <c r="BO150" s="959">
        <v>6</v>
      </c>
      <c r="BP150" s="1018">
        <f t="shared" ca="1" si="211"/>
        <v>215.65</v>
      </c>
      <c r="BQ150" s="1018">
        <f t="shared" ca="1" si="198"/>
        <v>486.07500000000005</v>
      </c>
      <c r="BR150" s="1018">
        <f t="shared" ca="1" si="199"/>
        <v>117.8</v>
      </c>
      <c r="BS150" s="1018">
        <f t="shared" ca="1" si="200"/>
        <v>103.97</v>
      </c>
      <c r="BT150" s="1018">
        <f t="shared" ca="1" si="201"/>
        <v>53.9</v>
      </c>
      <c r="BU150" s="1018">
        <f t="shared" ca="1" si="202"/>
        <v>62.730000000000004</v>
      </c>
      <c r="BV150" s="1018">
        <f t="shared" ca="1" si="203"/>
        <v>4.3</v>
      </c>
      <c r="BW150" s="1018">
        <v>0</v>
      </c>
      <c r="BX150" s="1018">
        <f t="shared" ca="1" si="204"/>
        <v>51.195290346443095</v>
      </c>
      <c r="BY150" s="1018">
        <f t="shared" ca="1" si="205"/>
        <v>56.505434782608681</v>
      </c>
      <c r="BZ150" s="1018">
        <f t="shared" ca="1" si="191"/>
        <v>13.714707750952986</v>
      </c>
      <c r="CA150" s="1018">
        <f t="shared" ca="1" si="192"/>
        <v>172.50749990512088</v>
      </c>
      <c r="CB150" s="1018">
        <f t="shared" ca="1" si="206"/>
        <v>9.0267175572519083</v>
      </c>
      <c r="CC150" s="1018">
        <f t="shared" si="193"/>
        <v>0</v>
      </c>
      <c r="CD150" s="1018">
        <f t="shared" ca="1" si="207"/>
        <v>337.21965034237752</v>
      </c>
      <c r="CE150" s="1018">
        <f t="shared" ca="1" si="212"/>
        <v>70.402316711882364</v>
      </c>
      <c r="CF150" s="1018">
        <f t="shared" ca="1" si="194"/>
        <v>12.228659011627796</v>
      </c>
      <c r="CG150" s="1018">
        <f t="shared" ca="1" si="195"/>
        <v>20360.228107999817</v>
      </c>
    </row>
    <row r="151" spans="4:85" x14ac:dyDescent="0.25">
      <c r="D151" s="668"/>
      <c r="E151" s="667"/>
      <c r="F151" s="668"/>
      <c r="G151" s="667"/>
      <c r="H151" s="668"/>
      <c r="I151" s="667"/>
      <c r="J151" s="668"/>
      <c r="K151" s="668"/>
      <c r="L151" s="668"/>
      <c r="M151" s="668"/>
      <c r="N151" s="668"/>
      <c r="O151" s="668"/>
      <c r="P151" s="668"/>
      <c r="Q151" s="668" t="s">
        <v>22</v>
      </c>
      <c r="R151" s="670">
        <v>0.53710000000000002</v>
      </c>
      <c r="S151" s="668"/>
      <c r="T151" s="678">
        <v>5.9785374725116521E-4</v>
      </c>
      <c r="U151" s="667"/>
      <c r="V151" s="176">
        <f t="shared" si="196"/>
        <v>5.9785374725116521E-4</v>
      </c>
      <c r="W151" s="176">
        <f t="shared" si="208"/>
        <v>5.9785374725116521E-4</v>
      </c>
      <c r="X151" s="176">
        <f t="shared" si="208"/>
        <v>5.9785374725116521E-4</v>
      </c>
      <c r="Y151" s="34">
        <f>X151/Calculation_sheet!M$67</f>
        <v>5.9786597122515666E-4</v>
      </c>
      <c r="Z151" s="176">
        <f ca="1">IF(AN151&gt;0,Y151*Calculation_sheet!C$87,0)</f>
        <v>0</v>
      </c>
      <c r="AA151" s="176">
        <f t="shared" ca="1" si="209"/>
        <v>5.9786597122515666E-4</v>
      </c>
      <c r="AB151" s="176">
        <f ca="1">IF(AP151&gt;0,AA151*Calculation_sheet!C$94,0)</f>
        <v>0</v>
      </c>
      <c r="AC151" s="176">
        <f t="shared" ca="1" si="197"/>
        <v>5.9786597122515666E-4</v>
      </c>
      <c r="AD151" s="958">
        <f ca="1">AC151*Calculation_sheet!C$99</f>
        <v>3.5871958273509398E-4</v>
      </c>
      <c r="AE151" s="176">
        <f t="shared" ca="1" si="197"/>
        <v>2.3914638849006269E-4</v>
      </c>
      <c r="AF151" s="176">
        <f t="shared" ca="1" si="210"/>
        <v>5.9786597122515666E-4</v>
      </c>
      <c r="AG151" s="958">
        <f ca="1">AF151*User_sheet!B$77/100</f>
        <v>0</v>
      </c>
      <c r="AH151" s="313"/>
      <c r="AI151" s="3">
        <v>302</v>
      </c>
      <c r="AK151" s="1018">
        <f t="shared" ca="1" si="190"/>
        <v>337.21965034237752</v>
      </c>
      <c r="AL151" s="924">
        <f ca="1">AK151/'302'!I$24</f>
        <v>0.85959635570323101</v>
      </c>
      <c r="AM151" s="924">
        <f ca="1">0.8*(AK151*30+'302'!D$17*0.34*30*1)</f>
        <v>13159.458608217061</v>
      </c>
      <c r="AN151" s="954">
        <f ca="1">IF(AM151&lt;User_sheet!B$50,Y151,0)</f>
        <v>0</v>
      </c>
      <c r="AO151" s="954">
        <f ca="1">20-(User_sheet!B$57/(AK151+'302'!D$17*1*0.34))</f>
        <v>9.6044355567501078</v>
      </c>
      <c r="AP151" s="954">
        <f ca="1">IF(AO151&lt;User_sheet!B$59,0,BC151*AA151)</f>
        <v>0</v>
      </c>
      <c r="AR151" s="2">
        <v>0.47</v>
      </c>
      <c r="AS151" s="2">
        <v>0.6</v>
      </c>
      <c r="AT151" s="2">
        <v>0.89</v>
      </c>
      <c r="AU151" s="2">
        <v>2.75</v>
      </c>
      <c r="AV151" s="2">
        <v>3.3</v>
      </c>
      <c r="AW151" s="2">
        <v>11617.129718053829</v>
      </c>
      <c r="AX151" s="2">
        <v>69341.450841082013</v>
      </c>
      <c r="AY151" s="2">
        <v>79015.992973719694</v>
      </c>
      <c r="AZ151" s="2">
        <v>0</v>
      </c>
      <c r="BA151" s="2">
        <v>0</v>
      </c>
      <c r="BB151" s="2">
        <v>0.6</v>
      </c>
      <c r="BC151" s="30">
        <v>0</v>
      </c>
      <c r="BD151" s="34">
        <v>1</v>
      </c>
      <c r="BE151" s="34">
        <v>0</v>
      </c>
      <c r="BF151" s="40">
        <v>0</v>
      </c>
      <c r="BG151" s="2">
        <v>0</v>
      </c>
      <c r="BH151" s="2">
        <v>1</v>
      </c>
      <c r="BI151" s="40">
        <v>0</v>
      </c>
      <c r="BJ151" s="2">
        <v>0</v>
      </c>
      <c r="BK151" s="2">
        <v>1</v>
      </c>
      <c r="BL151" s="2">
        <v>0</v>
      </c>
      <c r="BM151" s="40">
        <v>0</v>
      </c>
      <c r="BN151" s="199">
        <v>0.1</v>
      </c>
      <c r="BO151" s="959">
        <v>6</v>
      </c>
      <c r="BP151" s="1018">
        <f t="shared" ca="1" si="211"/>
        <v>215.65</v>
      </c>
      <c r="BQ151" s="1018">
        <f t="shared" ca="1" si="198"/>
        <v>486.07500000000005</v>
      </c>
      <c r="BR151" s="1018">
        <f t="shared" ca="1" si="199"/>
        <v>117.8</v>
      </c>
      <c r="BS151" s="1018">
        <f t="shared" ca="1" si="200"/>
        <v>103.97</v>
      </c>
      <c r="BT151" s="1018">
        <f t="shared" ca="1" si="201"/>
        <v>53.9</v>
      </c>
      <c r="BU151" s="1018">
        <f t="shared" ca="1" si="202"/>
        <v>62.730000000000004</v>
      </c>
      <c r="BV151" s="1018">
        <f t="shared" ca="1" si="203"/>
        <v>4.3</v>
      </c>
      <c r="BW151" s="1018">
        <v>0</v>
      </c>
      <c r="BX151" s="1018">
        <f t="shared" ca="1" si="204"/>
        <v>51.195290346443095</v>
      </c>
      <c r="BY151" s="1018">
        <f t="shared" ca="1" si="205"/>
        <v>56.505434782608681</v>
      </c>
      <c r="BZ151" s="1018">
        <f t="shared" ca="1" si="191"/>
        <v>13.714707750952986</v>
      </c>
      <c r="CA151" s="1018">
        <f t="shared" ca="1" si="192"/>
        <v>172.50749990512088</v>
      </c>
      <c r="CB151" s="1018">
        <f t="shared" ca="1" si="206"/>
        <v>9.0267175572519083</v>
      </c>
      <c r="CC151" s="1018">
        <f t="shared" si="193"/>
        <v>0</v>
      </c>
      <c r="CD151" s="1018">
        <f t="shared" ca="1" si="207"/>
        <v>337.21965034237752</v>
      </c>
      <c r="CE151" s="1018">
        <f t="shared" ca="1" si="212"/>
        <v>70.402316711882364</v>
      </c>
      <c r="CF151" s="1018">
        <f t="shared" ca="1" si="194"/>
        <v>12.228659011627796</v>
      </c>
      <c r="CG151" s="1018">
        <f t="shared" ca="1" si="195"/>
        <v>20360.228107999817</v>
      </c>
    </row>
    <row r="152" spans="4:85" x14ac:dyDescent="0.25">
      <c r="D152" s="668"/>
      <c r="E152" s="667"/>
      <c r="F152" s="668"/>
      <c r="G152" s="667"/>
      <c r="H152" s="668"/>
      <c r="I152" s="667"/>
      <c r="J152" s="668"/>
      <c r="K152" s="668"/>
      <c r="L152" s="668"/>
      <c r="M152" s="668" t="s">
        <v>22</v>
      </c>
      <c r="N152" s="670">
        <v>0.44680851100000002</v>
      </c>
      <c r="O152" s="668" t="s">
        <v>20</v>
      </c>
      <c r="P152" s="670">
        <v>0.19172932300000001</v>
      </c>
      <c r="Q152" s="668" t="s">
        <v>7</v>
      </c>
      <c r="R152" s="670">
        <v>0.46289999999999998</v>
      </c>
      <c r="S152" s="668"/>
      <c r="T152" s="678">
        <v>5.1526065835517476E-4</v>
      </c>
      <c r="U152" s="667"/>
      <c r="V152" s="176">
        <f t="shared" si="196"/>
        <v>5.1526065835517476E-4</v>
      </c>
      <c r="W152" s="176">
        <f t="shared" si="208"/>
        <v>5.1526065835517476E-4</v>
      </c>
      <c r="X152" s="176">
        <f t="shared" si="208"/>
        <v>5.1526065835517476E-4</v>
      </c>
      <c r="Y152" s="34">
        <f>X152/Calculation_sheet!M$67</f>
        <v>5.1527119359546635E-4</v>
      </c>
      <c r="Z152" s="176">
        <f ca="1">IF(AN152&gt;0,Y152*Calculation_sheet!C$87,0)</f>
        <v>0</v>
      </c>
      <c r="AA152" s="176">
        <f t="shared" ca="1" si="209"/>
        <v>5.1527119359546635E-4</v>
      </c>
      <c r="AB152" s="176">
        <f ca="1">IF(AP152&gt;0,AA152*Calculation_sheet!C$94,0)</f>
        <v>0</v>
      </c>
      <c r="AC152" s="176">
        <f t="shared" ca="1" si="197"/>
        <v>5.1527119359546635E-4</v>
      </c>
      <c r="AD152" s="958">
        <f ca="1">AC152*Calculation_sheet!C$99</f>
        <v>3.0916271615727978E-4</v>
      </c>
      <c r="AE152" s="176">
        <f t="shared" ca="1" si="197"/>
        <v>2.0610847743818657E-4</v>
      </c>
      <c r="AF152" s="176">
        <f t="shared" ca="1" si="210"/>
        <v>5.1527119359546635E-4</v>
      </c>
      <c r="AG152" s="958">
        <f ca="1">AF152*User_sheet!B$77/100</f>
        <v>0</v>
      </c>
      <c r="AH152" s="313"/>
      <c r="AI152" s="3">
        <v>302</v>
      </c>
      <c r="AK152" s="1018">
        <f t="shared" ca="1" si="190"/>
        <v>337.21965034237752</v>
      </c>
      <c r="AL152" s="924">
        <f ca="1">AK152/'302'!I$24</f>
        <v>0.85959635570323101</v>
      </c>
      <c r="AM152" s="924">
        <f ca="1">0.8*(AK152*30+'302'!D$17*0.34*30*1)</f>
        <v>13159.458608217061</v>
      </c>
      <c r="AN152" s="954">
        <f ca="1">IF(AM152&lt;User_sheet!B$50,Y152,0)</f>
        <v>0</v>
      </c>
      <c r="AO152" s="954">
        <f ca="1">20-(User_sheet!B$57/(AK152+'302'!D$17*1*0.34))</f>
        <v>9.6044355567501078</v>
      </c>
      <c r="AP152" s="954">
        <f ca="1">IF(AO152&lt;User_sheet!B$59,0,BC152*AA152)</f>
        <v>0</v>
      </c>
      <c r="AR152" s="2">
        <v>0.47</v>
      </c>
      <c r="AS152" s="2">
        <v>0.6</v>
      </c>
      <c r="AT152" s="2">
        <v>0.89</v>
      </c>
      <c r="AU152" s="2">
        <v>2.75</v>
      </c>
      <c r="AV152" s="2">
        <v>3.3</v>
      </c>
      <c r="AW152" s="2">
        <v>11617.129718053829</v>
      </c>
      <c r="AX152" s="2">
        <v>69341.450841082013</v>
      </c>
      <c r="AY152" s="2">
        <v>79015.992973719694</v>
      </c>
      <c r="AZ152" s="2">
        <v>0</v>
      </c>
      <c r="BA152" s="2">
        <v>0</v>
      </c>
      <c r="BB152" s="2">
        <v>0.6</v>
      </c>
      <c r="BC152" s="30">
        <v>0</v>
      </c>
      <c r="BD152" s="34">
        <v>1</v>
      </c>
      <c r="BE152" s="34">
        <v>0</v>
      </c>
      <c r="BF152" s="40">
        <v>0</v>
      </c>
      <c r="BG152" s="2">
        <v>0</v>
      </c>
      <c r="BH152" s="2">
        <v>1</v>
      </c>
      <c r="BI152" s="40">
        <v>0</v>
      </c>
      <c r="BJ152" s="2">
        <v>0</v>
      </c>
      <c r="BK152" s="2">
        <v>0</v>
      </c>
      <c r="BL152" s="2">
        <v>1</v>
      </c>
      <c r="BM152" s="40">
        <v>0</v>
      </c>
      <c r="BN152" s="199">
        <v>0.1</v>
      </c>
      <c r="BO152" s="959">
        <v>6</v>
      </c>
      <c r="BP152" s="1018">
        <f t="shared" ca="1" si="211"/>
        <v>215.65</v>
      </c>
      <c r="BQ152" s="1018">
        <f t="shared" ca="1" si="198"/>
        <v>486.07500000000005</v>
      </c>
      <c r="BR152" s="1018">
        <f t="shared" ca="1" si="199"/>
        <v>117.8</v>
      </c>
      <c r="BS152" s="1018">
        <f t="shared" ca="1" si="200"/>
        <v>103.97</v>
      </c>
      <c r="BT152" s="1018">
        <f t="shared" ca="1" si="201"/>
        <v>53.9</v>
      </c>
      <c r="BU152" s="1018">
        <f t="shared" ca="1" si="202"/>
        <v>62.730000000000004</v>
      </c>
      <c r="BV152" s="1018">
        <f t="shared" ca="1" si="203"/>
        <v>4.3</v>
      </c>
      <c r="BW152" s="1018">
        <v>0</v>
      </c>
      <c r="BX152" s="1018">
        <f t="shared" ca="1" si="204"/>
        <v>51.195290346443095</v>
      </c>
      <c r="BY152" s="1018">
        <f t="shared" ca="1" si="205"/>
        <v>56.505434782608681</v>
      </c>
      <c r="BZ152" s="1018">
        <f t="shared" ca="1" si="191"/>
        <v>13.714707750952986</v>
      </c>
      <c r="CA152" s="1018">
        <f t="shared" ca="1" si="192"/>
        <v>172.50749990512088</v>
      </c>
      <c r="CB152" s="1018">
        <f t="shared" ca="1" si="206"/>
        <v>9.0267175572519083</v>
      </c>
      <c r="CC152" s="1018">
        <f t="shared" si="193"/>
        <v>0</v>
      </c>
      <c r="CD152" s="1018">
        <f t="shared" ca="1" si="207"/>
        <v>337.21965034237752</v>
      </c>
      <c r="CE152" s="1018">
        <f t="shared" ca="1" si="212"/>
        <v>70.402316711882364</v>
      </c>
      <c r="CF152" s="1018">
        <f t="shared" ca="1" si="194"/>
        <v>12.228659011627796</v>
      </c>
      <c r="CG152" s="1018">
        <f t="shared" ca="1" si="195"/>
        <v>20360.228107999817</v>
      </c>
    </row>
    <row r="153" spans="4:85" x14ac:dyDescent="0.25">
      <c r="D153" s="668"/>
      <c r="E153" s="667"/>
      <c r="F153" s="668"/>
      <c r="G153" s="667"/>
      <c r="H153" s="668"/>
      <c r="I153" s="667"/>
      <c r="J153" s="668"/>
      <c r="K153" s="668"/>
      <c r="L153" s="668"/>
      <c r="M153" s="668" t="s">
        <v>7</v>
      </c>
      <c r="N153" s="670">
        <v>2.1276595999999998E-2</v>
      </c>
      <c r="O153" s="668" t="s">
        <v>23</v>
      </c>
      <c r="P153" s="670">
        <v>1</v>
      </c>
      <c r="Q153" s="668" t="s">
        <v>7</v>
      </c>
      <c r="R153" s="670">
        <v>1</v>
      </c>
      <c r="S153" s="668"/>
      <c r="T153" s="678">
        <v>2.7645979055155998E-4</v>
      </c>
      <c r="U153" s="667"/>
      <c r="V153" s="176">
        <f t="shared" si="196"/>
        <v>2.7645979055155998E-4</v>
      </c>
      <c r="W153" s="176">
        <f t="shared" si="208"/>
        <v>2.7645979055155998E-4</v>
      </c>
      <c r="X153" s="176">
        <f t="shared" si="208"/>
        <v>2.7645979055155998E-4</v>
      </c>
      <c r="Y153" s="34">
        <f>X153/Calculation_sheet!M$67</f>
        <v>2.7646544316694448E-4</v>
      </c>
      <c r="Z153" s="176">
        <f ca="1">IF(AN153&gt;0,Y153*Calculation_sheet!C$87,0)</f>
        <v>0</v>
      </c>
      <c r="AA153" s="176">
        <f t="shared" ca="1" si="209"/>
        <v>2.7646544316694448E-4</v>
      </c>
      <c r="AB153" s="176">
        <f ca="1">IF(AP153&gt;0,AA153*Calculation_sheet!C$94,0)</f>
        <v>0</v>
      </c>
      <c r="AC153" s="176">
        <f t="shared" ca="1" si="197"/>
        <v>2.7646544316694448E-4</v>
      </c>
      <c r="AD153" s="958">
        <f ca="1">AC153*Calculation_sheet!C$99</f>
        <v>1.6587926590016667E-4</v>
      </c>
      <c r="AE153" s="176">
        <f t="shared" ca="1" si="197"/>
        <v>1.1058617726677781E-4</v>
      </c>
      <c r="AF153" s="176">
        <f t="shared" ca="1" si="210"/>
        <v>2.7646544316694448E-4</v>
      </c>
      <c r="AG153" s="958">
        <f ca="1">AF153*User_sheet!B$77/100</f>
        <v>0</v>
      </c>
      <c r="AH153" s="313"/>
      <c r="AI153" s="3">
        <v>302</v>
      </c>
      <c r="AK153" s="1018">
        <f t="shared" ca="1" si="190"/>
        <v>337.21965034237752</v>
      </c>
      <c r="AL153" s="924">
        <f ca="1">AK153/'302'!I$24</f>
        <v>0.85959635570323101</v>
      </c>
      <c r="AM153" s="924">
        <f ca="1">0.8*(AK153*30+'302'!D$17*0.34*30*1)</f>
        <v>13159.458608217061</v>
      </c>
      <c r="AN153" s="954">
        <f ca="1">IF(AM153&lt;User_sheet!B$50,Y153,0)</f>
        <v>0</v>
      </c>
      <c r="AO153" s="954">
        <f ca="1">20-(User_sheet!B$57/(AK153+'302'!D$17*1*0.34))</f>
        <v>9.6044355567501078</v>
      </c>
      <c r="AP153" s="954">
        <f ca="1">IF(AO153&lt;User_sheet!B$59,0,BC153*AA153)</f>
        <v>0</v>
      </c>
      <c r="AR153" s="2">
        <v>0.47</v>
      </c>
      <c r="AS153" s="2">
        <v>0.6</v>
      </c>
      <c r="AT153" s="2">
        <v>0.89</v>
      </c>
      <c r="AU153" s="2">
        <v>2.75</v>
      </c>
      <c r="AV153" s="2">
        <v>3.3</v>
      </c>
      <c r="AW153" s="2">
        <v>11617.129718053829</v>
      </c>
      <c r="AX153" s="2">
        <v>69341.450841082013</v>
      </c>
      <c r="AY153" s="2">
        <v>79015.992973719694</v>
      </c>
      <c r="AZ153" s="2">
        <v>0</v>
      </c>
      <c r="BA153" s="2">
        <v>0</v>
      </c>
      <c r="BB153" s="2">
        <v>0.6</v>
      </c>
      <c r="BC153" s="30">
        <v>0</v>
      </c>
      <c r="BD153" s="34">
        <v>0</v>
      </c>
      <c r="BE153" s="34">
        <v>1</v>
      </c>
      <c r="BF153" s="40">
        <v>0</v>
      </c>
      <c r="BG153" s="2">
        <v>0</v>
      </c>
      <c r="BH153" s="2">
        <v>0</v>
      </c>
      <c r="BI153" s="40">
        <v>1</v>
      </c>
      <c r="BJ153" s="2">
        <v>0</v>
      </c>
      <c r="BK153" s="2">
        <v>0</v>
      </c>
      <c r="BL153" s="2">
        <v>1</v>
      </c>
      <c r="BM153" s="40">
        <v>0</v>
      </c>
      <c r="BN153" s="199">
        <v>0.1</v>
      </c>
      <c r="BO153" s="959">
        <v>6</v>
      </c>
      <c r="BP153" s="1018">
        <f t="shared" ca="1" si="211"/>
        <v>215.65</v>
      </c>
      <c r="BQ153" s="1018">
        <f t="shared" ca="1" si="198"/>
        <v>486.07500000000005</v>
      </c>
      <c r="BR153" s="1018">
        <f t="shared" ca="1" si="199"/>
        <v>117.8</v>
      </c>
      <c r="BS153" s="1018">
        <f t="shared" ca="1" si="200"/>
        <v>103.97</v>
      </c>
      <c r="BT153" s="1018">
        <f t="shared" ca="1" si="201"/>
        <v>53.9</v>
      </c>
      <c r="BU153" s="1018">
        <f t="shared" ca="1" si="202"/>
        <v>62.730000000000004</v>
      </c>
      <c r="BV153" s="1018">
        <f t="shared" ca="1" si="203"/>
        <v>4.3</v>
      </c>
      <c r="BW153" s="1018">
        <v>0</v>
      </c>
      <c r="BX153" s="1018">
        <f t="shared" ca="1" si="204"/>
        <v>51.195290346443095</v>
      </c>
      <c r="BY153" s="1018">
        <f t="shared" ca="1" si="205"/>
        <v>56.505434782608681</v>
      </c>
      <c r="BZ153" s="1018">
        <f t="shared" ca="1" si="191"/>
        <v>13.714707750952986</v>
      </c>
      <c r="CA153" s="1018">
        <f t="shared" ca="1" si="192"/>
        <v>172.50749990512088</v>
      </c>
      <c r="CB153" s="1018">
        <f t="shared" ca="1" si="206"/>
        <v>9.0267175572519083</v>
      </c>
      <c r="CC153" s="1018">
        <f t="shared" si="193"/>
        <v>0</v>
      </c>
      <c r="CD153" s="1018">
        <f t="shared" ca="1" si="207"/>
        <v>337.21965034237752</v>
      </c>
      <c r="CE153" s="1018">
        <f t="shared" ca="1" si="212"/>
        <v>70.402316711882364</v>
      </c>
      <c r="CF153" s="1018">
        <f t="shared" ca="1" si="194"/>
        <v>12.228659011627796</v>
      </c>
      <c r="CG153" s="1018">
        <f t="shared" ca="1" si="195"/>
        <v>20360.228107999817</v>
      </c>
    </row>
    <row r="154" spans="4:85" x14ac:dyDescent="0.25">
      <c r="D154" s="668"/>
      <c r="E154" s="667"/>
      <c r="F154" s="668"/>
      <c r="G154" s="667"/>
      <c r="H154" s="668"/>
      <c r="I154" s="667"/>
      <c r="J154" s="668"/>
      <c r="K154" s="668"/>
      <c r="L154" s="668"/>
      <c r="M154" s="668"/>
      <c r="N154" s="668"/>
      <c r="O154" s="668" t="s">
        <v>18</v>
      </c>
      <c r="P154" s="670">
        <v>0.15910607099999999</v>
      </c>
      <c r="Q154" s="668" t="s">
        <v>17</v>
      </c>
      <c r="R154" s="670">
        <v>1</v>
      </c>
      <c r="S154" s="668"/>
      <c r="T154" s="678">
        <v>1.7594572218920427E-4</v>
      </c>
      <c r="U154" s="667"/>
      <c r="V154" s="176">
        <f t="shared" si="196"/>
        <v>1.7594572218920427E-4</v>
      </c>
      <c r="W154" s="176">
        <f t="shared" si="208"/>
        <v>1.7594572218920427E-4</v>
      </c>
      <c r="X154" s="176">
        <f t="shared" si="208"/>
        <v>1.7594572218920427E-4</v>
      </c>
      <c r="Y154" s="34">
        <f>X154/Calculation_sheet!M$67</f>
        <v>1.759493196508608E-4</v>
      </c>
      <c r="Z154" s="176">
        <f ca="1">IF(AN154&gt;0,Y154*Calculation_sheet!C$87,0)</f>
        <v>0</v>
      </c>
      <c r="AA154" s="176">
        <f t="shared" ca="1" si="209"/>
        <v>1.759493196508608E-4</v>
      </c>
      <c r="AB154" s="176">
        <f ca="1">IF(AP154&gt;0,AA154*Calculation_sheet!C$94,0)</f>
        <v>0</v>
      </c>
      <c r="AC154" s="176">
        <f t="shared" ca="1" si="197"/>
        <v>1.759493196508608E-4</v>
      </c>
      <c r="AD154" s="958">
        <f ca="1">AC154*Calculation_sheet!C$99</f>
        <v>1.0556959179051647E-4</v>
      </c>
      <c r="AE154" s="176">
        <f t="shared" ca="1" si="197"/>
        <v>7.0379727860344328E-5</v>
      </c>
      <c r="AF154" s="176">
        <f t="shared" ca="1" si="210"/>
        <v>1.759493196508608E-4</v>
      </c>
      <c r="AG154" s="958">
        <f ca="1">AF154*User_sheet!B$77/100</f>
        <v>0</v>
      </c>
      <c r="AH154" s="313"/>
      <c r="AI154" s="3">
        <v>302</v>
      </c>
      <c r="AK154" s="1018">
        <f t="shared" ca="1" si="190"/>
        <v>337.21965034237752</v>
      </c>
      <c r="AL154" s="924">
        <f ca="1">AK154/'302'!I$24</f>
        <v>0.85959635570323101</v>
      </c>
      <c r="AM154" s="924">
        <f ca="1">0.8*(AK154*30+'302'!D$17*0.34*30*1)</f>
        <v>13159.458608217061</v>
      </c>
      <c r="AN154" s="954">
        <f ca="1">IF(AM154&lt;User_sheet!B$50,Y154,0)</f>
        <v>0</v>
      </c>
      <c r="AO154" s="954">
        <f ca="1">20-(User_sheet!B$57/(AK154+'302'!D$17*1*0.34))</f>
        <v>9.6044355567501078</v>
      </c>
      <c r="AP154" s="954">
        <f ca="1">IF(AO154&lt;User_sheet!B$59,0,BC154*AA154)</f>
        <v>0</v>
      </c>
      <c r="AR154" s="2">
        <v>0.47</v>
      </c>
      <c r="AS154" s="2">
        <v>0.6</v>
      </c>
      <c r="AT154" s="2">
        <v>0.89</v>
      </c>
      <c r="AU154" s="2">
        <v>2.75</v>
      </c>
      <c r="AV154" s="2">
        <v>3.3</v>
      </c>
      <c r="AW154" s="2">
        <v>11617.129718053829</v>
      </c>
      <c r="AX154" s="2">
        <v>69341.450841082013</v>
      </c>
      <c r="AY154" s="2">
        <v>79015.992973719694</v>
      </c>
      <c r="AZ154" s="2">
        <v>0</v>
      </c>
      <c r="BA154" s="2">
        <v>0</v>
      </c>
      <c r="BB154" s="2">
        <v>0.6</v>
      </c>
      <c r="BC154" s="30">
        <v>0</v>
      </c>
      <c r="BD154" s="34">
        <v>0</v>
      </c>
      <c r="BE154" s="34">
        <v>0</v>
      </c>
      <c r="BF154" s="40">
        <v>1</v>
      </c>
      <c r="BG154" s="2">
        <v>1</v>
      </c>
      <c r="BH154" s="2">
        <v>0</v>
      </c>
      <c r="BI154" s="40">
        <v>0</v>
      </c>
      <c r="BJ154" s="2">
        <v>0</v>
      </c>
      <c r="BK154" s="2">
        <v>0</v>
      </c>
      <c r="BL154" s="2">
        <v>0</v>
      </c>
      <c r="BM154" s="40">
        <v>1</v>
      </c>
      <c r="BN154" s="199">
        <v>0.1</v>
      </c>
      <c r="BO154" s="959">
        <v>6</v>
      </c>
      <c r="BP154" s="1018">
        <f t="shared" ca="1" si="211"/>
        <v>215.65</v>
      </c>
      <c r="BQ154" s="1018">
        <f t="shared" ca="1" si="198"/>
        <v>486.07500000000005</v>
      </c>
      <c r="BR154" s="1018">
        <f t="shared" ca="1" si="199"/>
        <v>117.8</v>
      </c>
      <c r="BS154" s="1018">
        <f t="shared" ca="1" si="200"/>
        <v>103.97</v>
      </c>
      <c r="BT154" s="1018">
        <f t="shared" ca="1" si="201"/>
        <v>53.9</v>
      </c>
      <c r="BU154" s="1018">
        <f t="shared" ca="1" si="202"/>
        <v>62.730000000000004</v>
      </c>
      <c r="BV154" s="1018">
        <f t="shared" ca="1" si="203"/>
        <v>4.3</v>
      </c>
      <c r="BW154" s="1018">
        <v>0</v>
      </c>
      <c r="BX154" s="1018">
        <f t="shared" ca="1" si="204"/>
        <v>51.195290346443095</v>
      </c>
      <c r="BY154" s="1018">
        <f t="shared" ca="1" si="205"/>
        <v>56.505434782608681</v>
      </c>
      <c r="BZ154" s="1018">
        <f t="shared" ca="1" si="191"/>
        <v>13.714707750952986</v>
      </c>
      <c r="CA154" s="1018">
        <f t="shared" ca="1" si="192"/>
        <v>172.50749990512088</v>
      </c>
      <c r="CB154" s="1018">
        <f t="shared" ca="1" si="206"/>
        <v>9.0267175572519083</v>
      </c>
      <c r="CC154" s="1018">
        <f t="shared" si="193"/>
        <v>0</v>
      </c>
      <c r="CD154" s="1018">
        <f t="shared" ca="1" si="207"/>
        <v>337.21965034237752</v>
      </c>
      <c r="CE154" s="1018">
        <f t="shared" ca="1" si="212"/>
        <v>70.402316711882364</v>
      </c>
      <c r="CF154" s="1018">
        <f t="shared" ca="1" si="194"/>
        <v>12.228659011627796</v>
      </c>
      <c r="CG154" s="1018">
        <f t="shared" ca="1" si="195"/>
        <v>20360.228107999817</v>
      </c>
    </row>
    <row r="155" spans="4:85" x14ac:dyDescent="0.25">
      <c r="D155" s="668"/>
      <c r="E155" s="667" t="s">
        <v>4</v>
      </c>
      <c r="F155" s="672">
        <v>0.25</v>
      </c>
      <c r="G155" s="667" t="s">
        <v>5</v>
      </c>
      <c r="H155" s="672">
        <v>1</v>
      </c>
      <c r="I155" s="667" t="s">
        <v>6</v>
      </c>
      <c r="J155" s="672">
        <v>1</v>
      </c>
      <c r="K155" s="671" t="s">
        <v>12</v>
      </c>
      <c r="L155" s="672">
        <v>1</v>
      </c>
      <c r="M155" s="668" t="s">
        <v>17</v>
      </c>
      <c r="N155" s="670">
        <v>8.5106382999999994E-2</v>
      </c>
      <c r="O155" s="668" t="s">
        <v>19</v>
      </c>
      <c r="P155" s="670">
        <v>0.84089392900000004</v>
      </c>
      <c r="Q155" s="668" t="s">
        <v>17</v>
      </c>
      <c r="R155" s="670">
        <v>1</v>
      </c>
      <c r="S155" s="668"/>
      <c r="T155" s="678">
        <v>9.2989342702342551E-4</v>
      </c>
      <c r="U155" s="667"/>
      <c r="V155" s="176">
        <f t="shared" si="196"/>
        <v>9.2989342702342551E-4</v>
      </c>
      <c r="W155" s="176">
        <f t="shared" si="208"/>
        <v>9.2989342702342551E-4</v>
      </c>
      <c r="X155" s="176">
        <f t="shared" si="208"/>
        <v>9.2989342702342551E-4</v>
      </c>
      <c r="Y155" s="34">
        <f>X155/Calculation_sheet!M$67</f>
        <v>9.2991244002304119E-4</v>
      </c>
      <c r="Z155" s="176">
        <f ca="1">IF(AN155&gt;0,Y155*Calculation_sheet!C$87,0)</f>
        <v>0</v>
      </c>
      <c r="AA155" s="176">
        <f t="shared" ca="1" si="209"/>
        <v>9.2991244002304119E-4</v>
      </c>
      <c r="AB155" s="176">
        <f ca="1">IF(AP155&gt;0,AA155*Calculation_sheet!C$94,0)</f>
        <v>0</v>
      </c>
      <c r="AC155" s="176">
        <f t="shared" ca="1" si="197"/>
        <v>9.2991244002304119E-4</v>
      </c>
      <c r="AD155" s="958">
        <f ca="1">AC155*Calculation_sheet!C$99</f>
        <v>5.5794746401382469E-4</v>
      </c>
      <c r="AE155" s="176">
        <f t="shared" ca="1" si="197"/>
        <v>3.719649760092165E-4</v>
      </c>
      <c r="AF155" s="176">
        <f t="shared" ca="1" si="210"/>
        <v>9.2991244002304119E-4</v>
      </c>
      <c r="AG155" s="958">
        <f ca="1">AF155*User_sheet!B$77/100</f>
        <v>0</v>
      </c>
      <c r="AH155" s="313"/>
      <c r="AI155" s="3">
        <v>302</v>
      </c>
      <c r="AK155" s="1018">
        <f t="shared" ca="1" si="190"/>
        <v>337.21965034237752</v>
      </c>
      <c r="AL155" s="924">
        <f ca="1">AK155/'302'!I$24</f>
        <v>0.85959635570323101</v>
      </c>
      <c r="AM155" s="924">
        <f ca="1">0.8*(AK155*30+'302'!D$17*0.34*30*1)</f>
        <v>13159.458608217061</v>
      </c>
      <c r="AN155" s="954">
        <f ca="1">IF(AM155&lt;User_sheet!B$50,Y155,0)</f>
        <v>0</v>
      </c>
      <c r="AO155" s="954">
        <f ca="1">20-(User_sheet!B$57/(AK155+'302'!D$17*1*0.34))</f>
        <v>9.6044355567501078</v>
      </c>
      <c r="AP155" s="954">
        <f ca="1">IF(AO155&lt;User_sheet!B$59,0,BC155*AA155)</f>
        <v>0</v>
      </c>
      <c r="AR155" s="2">
        <v>0.47</v>
      </c>
      <c r="AS155" s="2">
        <v>0.6</v>
      </c>
      <c r="AT155" s="2">
        <v>0.89</v>
      </c>
      <c r="AU155" s="2">
        <v>2.75</v>
      </c>
      <c r="AV155" s="2">
        <v>3.3</v>
      </c>
      <c r="AW155" s="2">
        <v>11617.129718053829</v>
      </c>
      <c r="AX155" s="2">
        <v>69341.450841082013</v>
      </c>
      <c r="AY155" s="2">
        <v>79015.992973719694</v>
      </c>
      <c r="AZ155" s="2">
        <v>0</v>
      </c>
      <c r="BA155" s="2">
        <v>0</v>
      </c>
      <c r="BB155" s="2">
        <v>0.6</v>
      </c>
      <c r="BC155" s="30">
        <v>0</v>
      </c>
      <c r="BD155" s="34">
        <v>0</v>
      </c>
      <c r="BE155" s="34">
        <v>0</v>
      </c>
      <c r="BF155" s="40">
        <v>1</v>
      </c>
      <c r="BG155" s="2">
        <v>0</v>
      </c>
      <c r="BH155" s="2">
        <v>1</v>
      </c>
      <c r="BI155" s="40">
        <v>0</v>
      </c>
      <c r="BJ155" s="2">
        <v>0</v>
      </c>
      <c r="BK155" s="2">
        <v>0</v>
      </c>
      <c r="BL155" s="2">
        <v>0</v>
      </c>
      <c r="BM155" s="40">
        <v>1</v>
      </c>
      <c r="BN155" s="199">
        <v>0.1</v>
      </c>
      <c r="BO155" s="959">
        <v>6</v>
      </c>
      <c r="BP155" s="1018">
        <f t="shared" ca="1" si="211"/>
        <v>215.65</v>
      </c>
      <c r="BQ155" s="1018">
        <f t="shared" ca="1" si="198"/>
        <v>486.07500000000005</v>
      </c>
      <c r="BR155" s="1018">
        <f t="shared" ca="1" si="199"/>
        <v>117.8</v>
      </c>
      <c r="BS155" s="1018">
        <f t="shared" ca="1" si="200"/>
        <v>103.97</v>
      </c>
      <c r="BT155" s="1018">
        <f t="shared" ca="1" si="201"/>
        <v>53.9</v>
      </c>
      <c r="BU155" s="1018">
        <f t="shared" ca="1" si="202"/>
        <v>62.730000000000004</v>
      </c>
      <c r="BV155" s="1018">
        <f t="shared" ca="1" si="203"/>
        <v>4.3</v>
      </c>
      <c r="BW155" s="1018">
        <v>0</v>
      </c>
      <c r="BX155" s="1018">
        <f t="shared" ca="1" si="204"/>
        <v>51.195290346443095</v>
      </c>
      <c r="BY155" s="1018">
        <f t="shared" ca="1" si="205"/>
        <v>56.505434782608681</v>
      </c>
      <c r="BZ155" s="1018">
        <f t="shared" ca="1" si="191"/>
        <v>13.714707750952986</v>
      </c>
      <c r="CA155" s="1018">
        <f t="shared" ca="1" si="192"/>
        <v>172.50749990512088</v>
      </c>
      <c r="CB155" s="1018">
        <f t="shared" ca="1" si="206"/>
        <v>9.0267175572519083</v>
      </c>
      <c r="CC155" s="1018">
        <f t="shared" si="193"/>
        <v>0</v>
      </c>
      <c r="CD155" s="1018">
        <f t="shared" ca="1" si="207"/>
        <v>337.21965034237752</v>
      </c>
      <c r="CE155" s="1018">
        <f t="shared" ca="1" si="212"/>
        <v>70.402316711882364</v>
      </c>
      <c r="CF155" s="1018">
        <f t="shared" ca="1" si="194"/>
        <v>12.228659011627796</v>
      </c>
      <c r="CG155" s="1018">
        <f t="shared" ca="1" si="195"/>
        <v>20360.228107999817</v>
      </c>
    </row>
    <row r="156" spans="4:85" s="14" customFormat="1" x14ac:dyDescent="0.25">
      <c r="D156" s="676"/>
      <c r="E156" s="675"/>
      <c r="F156" s="676"/>
      <c r="G156" s="675"/>
      <c r="H156" s="676"/>
      <c r="I156" s="675"/>
      <c r="J156" s="676"/>
      <c r="K156" s="677"/>
      <c r="L156" s="676"/>
      <c r="M156" s="676"/>
      <c r="N156" s="676"/>
      <c r="O156" s="676"/>
      <c r="P156" s="676"/>
      <c r="Q156" s="676"/>
      <c r="R156" s="676"/>
      <c r="S156" s="676"/>
      <c r="T156" s="679"/>
      <c r="U156" s="675"/>
      <c r="V156" s="292"/>
      <c r="W156" s="292"/>
      <c r="X156" s="292"/>
      <c r="Y156" s="277"/>
      <c r="Z156" s="292"/>
      <c r="AA156" s="292"/>
      <c r="AB156" s="292"/>
      <c r="AC156" s="292"/>
      <c r="AD156" s="277"/>
      <c r="AE156" s="292"/>
      <c r="AF156" s="292"/>
      <c r="AG156" s="277"/>
      <c r="AH156" s="313"/>
      <c r="AI156" s="941"/>
      <c r="AJ156" s="985"/>
      <c r="AK156" s="1018">
        <f t="shared" si="190"/>
        <v>0</v>
      </c>
      <c r="AL156" s="928"/>
      <c r="AM156" s="928"/>
      <c r="AN156" s="941"/>
      <c r="AO156" s="941"/>
      <c r="AP156" s="941"/>
      <c r="AQ156" s="985"/>
      <c r="AR156" s="941"/>
      <c r="AS156" s="941"/>
      <c r="AT156" s="941"/>
      <c r="AU156" s="941"/>
      <c r="AV156" s="941"/>
      <c r="AW156" s="941"/>
      <c r="AX156" s="941"/>
      <c r="AY156" s="941"/>
      <c r="AZ156" s="941"/>
      <c r="BA156" s="941"/>
      <c r="BB156" s="941"/>
      <c r="BC156" s="45"/>
      <c r="BD156" s="277"/>
      <c r="BE156" s="277"/>
      <c r="BF156" s="49"/>
      <c r="BG156" s="941"/>
      <c r="BH156" s="941"/>
      <c r="BI156" s="49"/>
      <c r="BJ156" s="941"/>
      <c r="BK156" s="941"/>
      <c r="BL156" s="941"/>
      <c r="BM156" s="49"/>
      <c r="BN156" s="277"/>
      <c r="BO156" s="49"/>
      <c r="BP156" s="928"/>
      <c r="BQ156" s="928"/>
      <c r="BR156" s="928"/>
      <c r="BS156" s="928"/>
      <c r="BT156" s="928"/>
      <c r="BU156" s="928"/>
      <c r="BV156" s="928"/>
      <c r="BW156" s="928"/>
      <c r="BX156" s="928"/>
      <c r="BY156" s="928"/>
      <c r="BZ156" s="928"/>
      <c r="CA156" s="928"/>
      <c r="CB156" s="928"/>
      <c r="CC156" s="928"/>
      <c r="CD156" s="928"/>
      <c r="CE156" s="928"/>
      <c r="CF156" s="928"/>
      <c r="CG156" s="928"/>
    </row>
    <row r="157" spans="4:85" s="3" customFormat="1" x14ac:dyDescent="0.25">
      <c r="D157" s="673"/>
      <c r="E157" s="669"/>
      <c r="F157" s="673"/>
      <c r="G157" s="669"/>
      <c r="H157" s="673"/>
      <c r="I157" s="669"/>
      <c r="J157" s="673"/>
      <c r="K157" s="673"/>
      <c r="L157" s="673"/>
      <c r="M157" s="673"/>
      <c r="N157" s="673"/>
      <c r="O157" s="673"/>
      <c r="P157" s="673"/>
      <c r="Q157" s="673" t="s">
        <v>16</v>
      </c>
      <c r="R157" s="670">
        <v>0.73860000000000003</v>
      </c>
      <c r="S157" s="673"/>
      <c r="T157" s="678">
        <v>0</v>
      </c>
      <c r="U157" s="669"/>
      <c r="V157" s="176">
        <f>T157</f>
        <v>0</v>
      </c>
      <c r="W157" s="176">
        <f>V157</f>
        <v>0</v>
      </c>
      <c r="X157" s="176">
        <f>W157</f>
        <v>0</v>
      </c>
      <c r="Y157" s="958">
        <f>X157/Calculation_sheet!M$67</f>
        <v>0</v>
      </c>
      <c r="Z157" s="176">
        <f ca="1">IF(AN157&gt;0,Y157*Calculation_sheet!C$87,0)</f>
        <v>0</v>
      </c>
      <c r="AA157" s="176">
        <f ca="1">Y157-Z157</f>
        <v>0</v>
      </c>
      <c r="AB157" s="176">
        <f ca="1">IF(AP157&gt;0,AA157*Calculation_sheet!C$94,0)</f>
        <v>0</v>
      </c>
      <c r="AC157" s="176">
        <f t="shared" ref="AC157:AE167" ca="1" si="213">AA157-AB157</f>
        <v>0</v>
      </c>
      <c r="AD157" s="958">
        <f ca="1">AC157*Calculation_sheet!C$99</f>
        <v>0</v>
      </c>
      <c r="AE157" s="176">
        <f t="shared" ca="1" si="213"/>
        <v>0</v>
      </c>
      <c r="AF157" s="176">
        <f ca="1">Y157-AB157</f>
        <v>0</v>
      </c>
      <c r="AG157" s="958">
        <f ca="1">AF157*User_sheet!B$77/100</f>
        <v>0</v>
      </c>
      <c r="AH157" s="313"/>
      <c r="AI157" s="940">
        <v>302</v>
      </c>
      <c r="AJ157" s="985"/>
      <c r="AK157" s="1018">
        <f t="shared" ca="1" si="190"/>
        <v>364.12532683502047</v>
      </c>
      <c r="AL157" s="924">
        <f ca="1">AK157/'302'!I$24</f>
        <v>0.92818079743823723</v>
      </c>
      <c r="AM157" s="924">
        <f ca="1">0.8*(AK157*30+'302'!D$17*0.34*30*1)</f>
        <v>13805.194844040494</v>
      </c>
      <c r="AN157" s="954">
        <f ca="1">IF(AM157&lt;User_sheet!B$50,Y157,0)</f>
        <v>0</v>
      </c>
      <c r="AO157" s="954">
        <f ca="1">20-(User_sheet!B$57/(AK157+'302'!D$17*1*0.34))</f>
        <v>10.090686763537088</v>
      </c>
      <c r="AP157" s="954">
        <f ca="1">IF(AO157&lt;User_sheet!B$59,0,BC157*AA157)</f>
        <v>0</v>
      </c>
      <c r="AQ157" s="985"/>
      <c r="AR157" s="939">
        <v>0.47</v>
      </c>
      <c r="AS157" s="939">
        <v>0.6</v>
      </c>
      <c r="AT157" s="939">
        <v>3.78</v>
      </c>
      <c r="AU157" s="939">
        <v>2.75</v>
      </c>
      <c r="AV157" s="939">
        <v>3.3</v>
      </c>
      <c r="AW157" s="939">
        <v>11617.129718053829</v>
      </c>
      <c r="AX157" s="939">
        <v>69341.450841082013</v>
      </c>
      <c r="AY157" s="939">
        <v>67352.647733737584</v>
      </c>
      <c r="AZ157" s="939">
        <v>0</v>
      </c>
      <c r="BA157" s="939">
        <v>0</v>
      </c>
      <c r="BB157" s="939">
        <v>0.6</v>
      </c>
      <c r="BC157" s="942">
        <v>1</v>
      </c>
      <c r="BD157" s="943">
        <v>0</v>
      </c>
      <c r="BE157" s="943">
        <v>0</v>
      </c>
      <c r="BF157" s="944">
        <v>0</v>
      </c>
      <c r="BG157" s="939">
        <v>1</v>
      </c>
      <c r="BH157" s="939">
        <v>0</v>
      </c>
      <c r="BI157" s="944">
        <v>0</v>
      </c>
      <c r="BJ157" s="939">
        <v>1</v>
      </c>
      <c r="BK157" s="939">
        <v>0</v>
      </c>
      <c r="BL157" s="939">
        <v>0</v>
      </c>
      <c r="BM157" s="944">
        <v>0</v>
      </c>
      <c r="BN157" s="199">
        <v>0.1</v>
      </c>
      <c r="BO157" s="959">
        <v>6</v>
      </c>
      <c r="BP157" s="926">
        <f t="shared" ref="BP157:BP167" ca="1" si="214">INDIRECT("'"&amp;AI157&amp;"'!"&amp;"B2")</f>
        <v>215.65</v>
      </c>
      <c r="BQ157" s="926">
        <f t="shared" ref="BQ157:BQ167" ca="1" si="215">INDIRECT("'"&amp;AI157&amp;"'!"&amp;"C12")+INDIRECT("'"&amp;AI157&amp;"'!"&amp;"C13")+INDIRECT("'"&amp;AI157&amp;"'!"&amp;"C14")+INDIRECT("'"&amp;AI157&amp;"'!"&amp;"C15")+INDIRECT("'"&amp;AI157&amp;"'!"&amp;"C17")</f>
        <v>486.07500000000005</v>
      </c>
      <c r="BR157" s="926">
        <f t="shared" ref="BR157:BR167" ca="1" si="216">INDIRECT("'"&amp;AI157&amp;"'!"&amp;"G5")</f>
        <v>117.8</v>
      </c>
      <c r="BS157" s="926">
        <f t="shared" ref="BS157:BS167" ca="1" si="217">INDIRECT("'"&amp;AI157&amp;"'!"&amp;"G4")</f>
        <v>103.97</v>
      </c>
      <c r="BT157" s="926">
        <f t="shared" ref="BT157:BT167" ca="1" si="218">INDIRECT("'"&amp;AI157&amp;"'!"&amp;"G6")</f>
        <v>53.9</v>
      </c>
      <c r="BU157" s="926">
        <f t="shared" ref="BU157:BU167" ca="1" si="219">INDIRECT("'"&amp;AI157&amp;"'!"&amp;"G2")</f>
        <v>62.730000000000004</v>
      </c>
      <c r="BV157" s="926">
        <f t="shared" ref="BV157:BV167" ca="1" si="220">INDIRECT("'"&amp;AI157&amp;"'!"&amp;"G3")</f>
        <v>4.3</v>
      </c>
      <c r="BW157" s="926">
        <v>0</v>
      </c>
      <c r="BX157" s="926">
        <f t="shared" ref="BX157:BX167" ca="1" si="221">IF(BR157=0,0,1/(1/(BR157*$BY$3)+1/(BR157*AR157)+1/(BR157*$BY$4)))</f>
        <v>51.195290346443095</v>
      </c>
      <c r="BY157" s="926">
        <f t="shared" ref="BY157:BY167" ca="1" si="222">IF(BS157=0,0,1/(1/(BS157*$BY$3)+1/(BS157*AS157)+1/(BS157*$BY$4)))</f>
        <v>56.505434782608681</v>
      </c>
      <c r="BZ157" s="926">
        <f t="shared" ca="1" si="191"/>
        <v>40.620384243595943</v>
      </c>
      <c r="CA157" s="926">
        <f t="shared" ca="1" si="192"/>
        <v>172.50749990512088</v>
      </c>
      <c r="CB157" s="926">
        <f t="shared" ref="CB157:CB167" ca="1" si="223">IF(BV157=0,0,1/(1/(BV157*$BY$3)+1/(BV157*AV157)+1/(BV157*$BY$4)))</f>
        <v>9.0267175572519083</v>
      </c>
      <c r="CC157" s="926">
        <f t="shared" si="193"/>
        <v>0</v>
      </c>
      <c r="CD157" s="1018">
        <f t="shared" ref="CD157:CD167" ca="1" si="224">SUM(BX157:CC157)+(BR157+BS157+BT157+BU157+BV157)*BN157</f>
        <v>364.12532683502047</v>
      </c>
      <c r="CE157" s="1018">
        <f ca="1">0.34*BO157*(1/25)^0.66*(BR157+BS157+BU157+BV157)</f>
        <v>70.402316711882364</v>
      </c>
      <c r="CF157" s="926">
        <f t="shared" ca="1" si="194"/>
        <v>13.035829306407084</v>
      </c>
      <c r="CG157" s="926">
        <f t="shared" ca="1" si="195"/>
        <v>21704.134361995537</v>
      </c>
    </row>
    <row r="158" spans="4:85" s="3" customFormat="1" x14ac:dyDescent="0.25">
      <c r="D158" s="673"/>
      <c r="E158" s="669"/>
      <c r="F158" s="673"/>
      <c r="G158" s="669"/>
      <c r="H158" s="673"/>
      <c r="I158" s="669"/>
      <c r="J158" s="673"/>
      <c r="K158" s="668"/>
      <c r="L158" s="668"/>
      <c r="M158" s="668"/>
      <c r="N158" s="668"/>
      <c r="O158" s="668" t="s">
        <v>18</v>
      </c>
      <c r="P158" s="670">
        <v>0.62953995200000001</v>
      </c>
      <c r="Q158" s="668" t="s">
        <v>7</v>
      </c>
      <c r="R158" s="670">
        <v>0.26140000000000002</v>
      </c>
      <c r="S158" s="668"/>
      <c r="T158" s="678">
        <v>0</v>
      </c>
      <c r="U158" s="667"/>
      <c r="V158" s="176">
        <f t="shared" ref="V158:V167" si="225">T158</f>
        <v>0</v>
      </c>
      <c r="W158" s="176">
        <f t="shared" ref="W158:W167" si="226">V158</f>
        <v>0</v>
      </c>
      <c r="X158" s="176">
        <f t="shared" ref="X158:X167" si="227">W158</f>
        <v>0</v>
      </c>
      <c r="Y158" s="958">
        <f>X158/Calculation_sheet!M$67</f>
        <v>0</v>
      </c>
      <c r="Z158" s="176">
        <f ca="1">IF(AN158&gt;0,Y158*Calculation_sheet!C$87,0)</f>
        <v>0</v>
      </c>
      <c r="AA158" s="176">
        <f t="shared" ref="AA158:AA167" ca="1" si="228">Y158-Z158</f>
        <v>0</v>
      </c>
      <c r="AB158" s="176">
        <f ca="1">IF(AP158&gt;0,AA158*Calculation_sheet!C$94,0)</f>
        <v>0</v>
      </c>
      <c r="AC158" s="176">
        <f t="shared" ca="1" si="213"/>
        <v>0</v>
      </c>
      <c r="AD158" s="958">
        <f ca="1">AC158*Calculation_sheet!C$99</f>
        <v>0</v>
      </c>
      <c r="AE158" s="176">
        <f t="shared" ca="1" si="213"/>
        <v>0</v>
      </c>
      <c r="AF158" s="176">
        <f t="shared" ref="AF158:AF167" ca="1" si="229">Y158-AB158</f>
        <v>0</v>
      </c>
      <c r="AG158" s="958">
        <f ca="1">AF158*User_sheet!B$77/100</f>
        <v>0</v>
      </c>
      <c r="AH158" s="313"/>
      <c r="AI158" s="940">
        <v>302</v>
      </c>
      <c r="AJ158" s="985"/>
      <c r="AK158" s="1018">
        <f t="shared" ca="1" si="190"/>
        <v>364.12532683502047</v>
      </c>
      <c r="AL158" s="924">
        <f ca="1">AK158/'302'!I$24</f>
        <v>0.92818079743823723</v>
      </c>
      <c r="AM158" s="924">
        <f ca="1">0.8*(AK158*30+'302'!D$17*0.34*30*1)</f>
        <v>13805.194844040494</v>
      </c>
      <c r="AN158" s="954">
        <f ca="1">IF(AM158&lt;User_sheet!B$50,Y158,0)</f>
        <v>0</v>
      </c>
      <c r="AO158" s="954">
        <f ca="1">20-(User_sheet!B$57/(AK158+'302'!D$17*1*0.34))</f>
        <v>10.090686763537088</v>
      </c>
      <c r="AP158" s="954">
        <f ca="1">IF(AO158&lt;User_sheet!B$59,0,BC158*AA158)</f>
        <v>0</v>
      </c>
      <c r="AQ158" s="985"/>
      <c r="AR158" s="939">
        <v>0.47</v>
      </c>
      <c r="AS158" s="939">
        <v>0.6</v>
      </c>
      <c r="AT158" s="939">
        <v>3.78</v>
      </c>
      <c r="AU158" s="939">
        <v>2.75</v>
      </c>
      <c r="AV158" s="939">
        <v>3.3</v>
      </c>
      <c r="AW158" s="939">
        <v>11617.129718053829</v>
      </c>
      <c r="AX158" s="939">
        <v>69341.450841082013</v>
      </c>
      <c r="AY158" s="939">
        <v>67352.647733737584</v>
      </c>
      <c r="AZ158" s="939">
        <v>0</v>
      </c>
      <c r="BA158" s="939">
        <v>0</v>
      </c>
      <c r="BB158" s="939">
        <v>0.6</v>
      </c>
      <c r="BC158" s="942">
        <v>1</v>
      </c>
      <c r="BD158" s="943">
        <v>0</v>
      </c>
      <c r="BE158" s="943">
        <v>0</v>
      </c>
      <c r="BF158" s="944">
        <v>0</v>
      </c>
      <c r="BG158" s="939">
        <v>1</v>
      </c>
      <c r="BH158" s="939">
        <v>0</v>
      </c>
      <c r="BI158" s="944">
        <v>0</v>
      </c>
      <c r="BJ158" s="939">
        <v>0</v>
      </c>
      <c r="BK158" s="939">
        <v>0</v>
      </c>
      <c r="BL158" s="939">
        <v>1</v>
      </c>
      <c r="BM158" s="944">
        <v>0</v>
      </c>
      <c r="BN158" s="199">
        <v>0.1</v>
      </c>
      <c r="BO158" s="959">
        <v>6</v>
      </c>
      <c r="BP158" s="926">
        <f t="shared" ca="1" si="214"/>
        <v>215.65</v>
      </c>
      <c r="BQ158" s="926">
        <f t="shared" ca="1" si="215"/>
        <v>486.07500000000005</v>
      </c>
      <c r="BR158" s="926">
        <f t="shared" ca="1" si="216"/>
        <v>117.8</v>
      </c>
      <c r="BS158" s="926">
        <f t="shared" ca="1" si="217"/>
        <v>103.97</v>
      </c>
      <c r="BT158" s="926">
        <f t="shared" ca="1" si="218"/>
        <v>53.9</v>
      </c>
      <c r="BU158" s="926">
        <f t="shared" ca="1" si="219"/>
        <v>62.730000000000004</v>
      </c>
      <c r="BV158" s="926">
        <f t="shared" ca="1" si="220"/>
        <v>4.3</v>
      </c>
      <c r="BW158" s="926">
        <v>0</v>
      </c>
      <c r="BX158" s="926">
        <f t="shared" ca="1" si="221"/>
        <v>51.195290346443095</v>
      </c>
      <c r="BY158" s="926">
        <f t="shared" ca="1" si="222"/>
        <v>56.505434782608681</v>
      </c>
      <c r="BZ158" s="926">
        <f t="shared" ca="1" si="191"/>
        <v>40.620384243595943</v>
      </c>
      <c r="CA158" s="926">
        <f t="shared" ca="1" si="192"/>
        <v>172.50749990512088</v>
      </c>
      <c r="CB158" s="926">
        <f t="shared" ca="1" si="223"/>
        <v>9.0267175572519083</v>
      </c>
      <c r="CC158" s="926">
        <f t="shared" si="193"/>
        <v>0</v>
      </c>
      <c r="CD158" s="1018">
        <f t="shared" ca="1" si="224"/>
        <v>364.12532683502047</v>
      </c>
      <c r="CE158" s="1018">
        <f t="shared" ref="CE158:CE167" ca="1" si="230">0.34*BO158*(1/25)^0.66*(BR158+BS158+BU158+BV158)</f>
        <v>70.402316711882364</v>
      </c>
      <c r="CF158" s="926">
        <f t="shared" ca="1" si="194"/>
        <v>13.035829306407084</v>
      </c>
      <c r="CG158" s="926">
        <f t="shared" ca="1" si="195"/>
        <v>21704.134361995537</v>
      </c>
    </row>
    <row r="159" spans="4:85" s="3" customFormat="1" x14ac:dyDescent="0.25">
      <c r="D159" s="673"/>
      <c r="E159" s="669"/>
      <c r="F159" s="673"/>
      <c r="G159" s="669"/>
      <c r="H159" s="673"/>
      <c r="I159" s="669"/>
      <c r="J159" s="673"/>
      <c r="K159" s="668"/>
      <c r="L159" s="668"/>
      <c r="M159" s="668"/>
      <c r="N159" s="668"/>
      <c r="O159" s="668"/>
      <c r="P159" s="668"/>
      <c r="Q159" s="668" t="s">
        <v>16</v>
      </c>
      <c r="R159" s="670">
        <v>0.73860000000000003</v>
      </c>
      <c r="S159" s="668"/>
      <c r="T159" s="678">
        <v>0</v>
      </c>
      <c r="U159" s="667"/>
      <c r="V159" s="176">
        <f t="shared" si="225"/>
        <v>0</v>
      </c>
      <c r="W159" s="176">
        <f t="shared" si="226"/>
        <v>0</v>
      </c>
      <c r="X159" s="176">
        <f t="shared" si="227"/>
        <v>0</v>
      </c>
      <c r="Y159" s="958">
        <f>X159/Calculation_sheet!M$67</f>
        <v>0</v>
      </c>
      <c r="Z159" s="176">
        <f ca="1">IF(AN159&gt;0,Y159*Calculation_sheet!C$87,0)</f>
        <v>0</v>
      </c>
      <c r="AA159" s="176">
        <f t="shared" ca="1" si="228"/>
        <v>0</v>
      </c>
      <c r="AB159" s="176">
        <f ca="1">IF(AP159&gt;0,AA159*Calculation_sheet!C$94,0)</f>
        <v>0</v>
      </c>
      <c r="AC159" s="176">
        <f t="shared" ca="1" si="213"/>
        <v>0</v>
      </c>
      <c r="AD159" s="958">
        <f ca="1">AC159*Calculation_sheet!C$99</f>
        <v>0</v>
      </c>
      <c r="AE159" s="176">
        <f t="shared" ca="1" si="213"/>
        <v>0</v>
      </c>
      <c r="AF159" s="176">
        <f t="shared" ca="1" si="229"/>
        <v>0</v>
      </c>
      <c r="AG159" s="958">
        <f ca="1">AF159*User_sheet!B$77/100</f>
        <v>0</v>
      </c>
      <c r="AH159" s="313"/>
      <c r="AI159" s="940">
        <v>302</v>
      </c>
      <c r="AJ159" s="985"/>
      <c r="AK159" s="1018">
        <f t="shared" ca="1" si="190"/>
        <v>364.12532683502047</v>
      </c>
      <c r="AL159" s="924">
        <f ca="1">AK159/'302'!I$24</f>
        <v>0.92818079743823723</v>
      </c>
      <c r="AM159" s="924">
        <f ca="1">0.8*(AK159*30+'302'!D$17*0.34*30*1)</f>
        <v>13805.194844040494</v>
      </c>
      <c r="AN159" s="954">
        <f ca="1">IF(AM159&lt;User_sheet!B$50,Y159,0)</f>
        <v>0</v>
      </c>
      <c r="AO159" s="954">
        <f ca="1">20-(User_sheet!B$57/(AK159+'302'!D$17*1*0.34))</f>
        <v>10.090686763537088</v>
      </c>
      <c r="AP159" s="954">
        <f ca="1">IF(AO159&lt;User_sheet!B$59,0,BC159*AA159)</f>
        <v>0</v>
      </c>
      <c r="AQ159" s="985"/>
      <c r="AR159" s="939">
        <v>0.47</v>
      </c>
      <c r="AS159" s="939">
        <v>0.6</v>
      </c>
      <c r="AT159" s="939">
        <v>3.78</v>
      </c>
      <c r="AU159" s="939">
        <v>2.75</v>
      </c>
      <c r="AV159" s="939">
        <v>3.3</v>
      </c>
      <c r="AW159" s="939">
        <v>11617.129718053829</v>
      </c>
      <c r="AX159" s="939">
        <v>69341.450841082013</v>
      </c>
      <c r="AY159" s="939">
        <v>67352.647733737584</v>
      </c>
      <c r="AZ159" s="939">
        <v>0</v>
      </c>
      <c r="BA159" s="939">
        <v>0</v>
      </c>
      <c r="BB159" s="939">
        <v>0.6</v>
      </c>
      <c r="BC159" s="942">
        <v>1</v>
      </c>
      <c r="BD159" s="943">
        <v>0</v>
      </c>
      <c r="BE159" s="943">
        <v>0</v>
      </c>
      <c r="BF159" s="944">
        <v>0</v>
      </c>
      <c r="BG159" s="939">
        <v>0</v>
      </c>
      <c r="BH159" s="939">
        <v>1</v>
      </c>
      <c r="BI159" s="944">
        <v>0</v>
      </c>
      <c r="BJ159" s="939">
        <v>1</v>
      </c>
      <c r="BK159" s="939">
        <v>0</v>
      </c>
      <c r="BL159" s="939">
        <v>0</v>
      </c>
      <c r="BM159" s="944">
        <v>0</v>
      </c>
      <c r="BN159" s="199">
        <v>0.1</v>
      </c>
      <c r="BO159" s="959">
        <v>6</v>
      </c>
      <c r="BP159" s="926">
        <f t="shared" ca="1" si="214"/>
        <v>215.65</v>
      </c>
      <c r="BQ159" s="926">
        <f t="shared" ca="1" si="215"/>
        <v>486.07500000000005</v>
      </c>
      <c r="BR159" s="926">
        <f t="shared" ca="1" si="216"/>
        <v>117.8</v>
      </c>
      <c r="BS159" s="926">
        <f t="shared" ca="1" si="217"/>
        <v>103.97</v>
      </c>
      <c r="BT159" s="926">
        <f t="shared" ca="1" si="218"/>
        <v>53.9</v>
      </c>
      <c r="BU159" s="926">
        <f t="shared" ca="1" si="219"/>
        <v>62.730000000000004</v>
      </c>
      <c r="BV159" s="926">
        <f t="shared" ca="1" si="220"/>
        <v>4.3</v>
      </c>
      <c r="BW159" s="926">
        <v>0</v>
      </c>
      <c r="BX159" s="926">
        <f t="shared" ca="1" si="221"/>
        <v>51.195290346443095</v>
      </c>
      <c r="BY159" s="926">
        <f t="shared" ca="1" si="222"/>
        <v>56.505434782608681</v>
      </c>
      <c r="BZ159" s="926">
        <f t="shared" ca="1" si="191"/>
        <v>40.620384243595943</v>
      </c>
      <c r="CA159" s="926">
        <f t="shared" ca="1" si="192"/>
        <v>172.50749990512088</v>
      </c>
      <c r="CB159" s="926">
        <f t="shared" ca="1" si="223"/>
        <v>9.0267175572519083</v>
      </c>
      <c r="CC159" s="926">
        <f t="shared" si="193"/>
        <v>0</v>
      </c>
      <c r="CD159" s="1018">
        <f t="shared" ca="1" si="224"/>
        <v>364.12532683502047</v>
      </c>
      <c r="CE159" s="1018">
        <f t="shared" ca="1" si="230"/>
        <v>70.402316711882364</v>
      </c>
      <c r="CF159" s="926">
        <f t="shared" ca="1" si="194"/>
        <v>13.035829306407084</v>
      </c>
      <c r="CG159" s="926">
        <f t="shared" ca="1" si="195"/>
        <v>21704.134361995537</v>
      </c>
    </row>
    <row r="160" spans="4:85" s="3" customFormat="1" x14ac:dyDescent="0.25">
      <c r="D160" s="673"/>
      <c r="E160" s="669"/>
      <c r="F160" s="673"/>
      <c r="G160" s="669"/>
      <c r="H160" s="673"/>
      <c r="I160" s="669"/>
      <c r="J160" s="673"/>
      <c r="K160" s="668"/>
      <c r="L160" s="668"/>
      <c r="M160" s="668" t="s">
        <v>16</v>
      </c>
      <c r="N160" s="670">
        <v>0.44680851100000002</v>
      </c>
      <c r="O160" s="668" t="s">
        <v>19</v>
      </c>
      <c r="P160" s="670">
        <v>0.37046004799999999</v>
      </c>
      <c r="Q160" s="668" t="s">
        <v>7</v>
      </c>
      <c r="R160" s="670">
        <v>0.26140000000000002</v>
      </c>
      <c r="S160" s="668"/>
      <c r="T160" s="678">
        <v>0</v>
      </c>
      <c r="U160" s="667"/>
      <c r="V160" s="176">
        <f t="shared" si="225"/>
        <v>0</v>
      </c>
      <c r="W160" s="176">
        <f t="shared" si="226"/>
        <v>0</v>
      </c>
      <c r="X160" s="176">
        <f t="shared" si="227"/>
        <v>0</v>
      </c>
      <c r="Y160" s="958">
        <f>X160/Calculation_sheet!M$67</f>
        <v>0</v>
      </c>
      <c r="Z160" s="176">
        <f ca="1">IF(AN160&gt;0,Y160*Calculation_sheet!C$87,0)</f>
        <v>0</v>
      </c>
      <c r="AA160" s="176">
        <f t="shared" ca="1" si="228"/>
        <v>0</v>
      </c>
      <c r="AB160" s="176">
        <f ca="1">IF(AP160&gt;0,AA160*Calculation_sheet!C$94,0)</f>
        <v>0</v>
      </c>
      <c r="AC160" s="176">
        <f t="shared" ca="1" si="213"/>
        <v>0</v>
      </c>
      <c r="AD160" s="958">
        <f ca="1">AC160*Calculation_sheet!C$99</f>
        <v>0</v>
      </c>
      <c r="AE160" s="176">
        <f t="shared" ca="1" si="213"/>
        <v>0</v>
      </c>
      <c r="AF160" s="176">
        <f t="shared" ca="1" si="229"/>
        <v>0</v>
      </c>
      <c r="AG160" s="958">
        <f ca="1">AF160*User_sheet!B$77/100</f>
        <v>0</v>
      </c>
      <c r="AH160" s="313"/>
      <c r="AI160" s="940">
        <v>302</v>
      </c>
      <c r="AJ160" s="985"/>
      <c r="AK160" s="1018">
        <f t="shared" ca="1" si="190"/>
        <v>364.12532683502047</v>
      </c>
      <c r="AL160" s="924">
        <f ca="1">AK160/'302'!I$24</f>
        <v>0.92818079743823723</v>
      </c>
      <c r="AM160" s="924">
        <f ca="1">0.8*(AK160*30+'302'!D$17*0.34*30*1)</f>
        <v>13805.194844040494</v>
      </c>
      <c r="AN160" s="954">
        <f ca="1">IF(AM160&lt;User_sheet!B$50,Y160,0)</f>
        <v>0</v>
      </c>
      <c r="AO160" s="954">
        <f ca="1">20-(User_sheet!B$57/(AK160+'302'!D$17*1*0.34))</f>
        <v>10.090686763537088</v>
      </c>
      <c r="AP160" s="954">
        <f ca="1">IF(AO160&lt;User_sheet!B$59,0,BC160*AA160)</f>
        <v>0</v>
      </c>
      <c r="AQ160" s="985"/>
      <c r="AR160" s="939">
        <v>0.47</v>
      </c>
      <c r="AS160" s="939">
        <v>0.6</v>
      </c>
      <c r="AT160" s="939">
        <v>3.78</v>
      </c>
      <c r="AU160" s="939">
        <v>2.75</v>
      </c>
      <c r="AV160" s="939">
        <v>3.3</v>
      </c>
      <c r="AW160" s="939">
        <v>11617.129718053829</v>
      </c>
      <c r="AX160" s="939">
        <v>69341.450841082013</v>
      </c>
      <c r="AY160" s="939">
        <v>67352.647733737584</v>
      </c>
      <c r="AZ160" s="939">
        <v>0</v>
      </c>
      <c r="BA160" s="939">
        <v>0</v>
      </c>
      <c r="BB160" s="939">
        <v>0.6</v>
      </c>
      <c r="BC160" s="942">
        <v>1</v>
      </c>
      <c r="BD160" s="943">
        <v>0</v>
      </c>
      <c r="BE160" s="943">
        <v>0</v>
      </c>
      <c r="BF160" s="944">
        <v>0</v>
      </c>
      <c r="BG160" s="939">
        <v>0</v>
      </c>
      <c r="BH160" s="939">
        <v>1</v>
      </c>
      <c r="BI160" s="944">
        <v>0</v>
      </c>
      <c r="BJ160" s="939">
        <v>0</v>
      </c>
      <c r="BK160" s="939">
        <v>0</v>
      </c>
      <c r="BL160" s="939">
        <v>1</v>
      </c>
      <c r="BM160" s="944">
        <v>0</v>
      </c>
      <c r="BN160" s="199">
        <v>0.1</v>
      </c>
      <c r="BO160" s="959">
        <v>6</v>
      </c>
      <c r="BP160" s="926">
        <f t="shared" ca="1" si="214"/>
        <v>215.65</v>
      </c>
      <c r="BQ160" s="926">
        <f t="shared" ca="1" si="215"/>
        <v>486.07500000000005</v>
      </c>
      <c r="BR160" s="926">
        <f t="shared" ca="1" si="216"/>
        <v>117.8</v>
      </c>
      <c r="BS160" s="926">
        <f t="shared" ca="1" si="217"/>
        <v>103.97</v>
      </c>
      <c r="BT160" s="926">
        <f t="shared" ca="1" si="218"/>
        <v>53.9</v>
      </c>
      <c r="BU160" s="926">
        <f t="shared" ca="1" si="219"/>
        <v>62.730000000000004</v>
      </c>
      <c r="BV160" s="926">
        <f t="shared" ca="1" si="220"/>
        <v>4.3</v>
      </c>
      <c r="BW160" s="926">
        <v>0</v>
      </c>
      <c r="BX160" s="926">
        <f t="shared" ca="1" si="221"/>
        <v>51.195290346443095</v>
      </c>
      <c r="BY160" s="926">
        <f t="shared" ca="1" si="222"/>
        <v>56.505434782608681</v>
      </c>
      <c r="BZ160" s="926">
        <f t="shared" ca="1" si="191"/>
        <v>40.620384243595943</v>
      </c>
      <c r="CA160" s="926">
        <f t="shared" ca="1" si="192"/>
        <v>172.50749990512088</v>
      </c>
      <c r="CB160" s="926">
        <f t="shared" ca="1" si="223"/>
        <v>9.0267175572519083</v>
      </c>
      <c r="CC160" s="926">
        <f t="shared" si="193"/>
        <v>0</v>
      </c>
      <c r="CD160" s="1018">
        <f t="shared" ca="1" si="224"/>
        <v>364.12532683502047</v>
      </c>
      <c r="CE160" s="1018">
        <f t="shared" ca="1" si="230"/>
        <v>70.402316711882364</v>
      </c>
      <c r="CF160" s="926">
        <f t="shared" ca="1" si="194"/>
        <v>13.035829306407084</v>
      </c>
      <c r="CG160" s="926">
        <f t="shared" ca="1" si="195"/>
        <v>21704.134361995537</v>
      </c>
    </row>
    <row r="161" spans="4:85" s="3" customFormat="1" x14ac:dyDescent="0.25">
      <c r="D161" s="673"/>
      <c r="E161" s="669"/>
      <c r="F161" s="673"/>
      <c r="G161" s="669"/>
      <c r="H161" s="673"/>
      <c r="I161" s="669"/>
      <c r="J161" s="673"/>
      <c r="K161" s="668"/>
      <c r="L161" s="668"/>
      <c r="M161" s="668"/>
      <c r="N161" s="668"/>
      <c r="O161" s="668"/>
      <c r="P161" s="668"/>
      <c r="Q161" s="668" t="s">
        <v>22</v>
      </c>
      <c r="R161" s="670">
        <v>0.53710000000000002</v>
      </c>
      <c r="S161" s="668"/>
      <c r="T161" s="678">
        <v>0</v>
      </c>
      <c r="U161" s="667"/>
      <c r="V161" s="176">
        <f t="shared" si="225"/>
        <v>0</v>
      </c>
      <c r="W161" s="176">
        <f t="shared" si="226"/>
        <v>0</v>
      </c>
      <c r="X161" s="176">
        <f t="shared" si="227"/>
        <v>0</v>
      </c>
      <c r="Y161" s="958">
        <f>X161/Calculation_sheet!M$67</f>
        <v>0</v>
      </c>
      <c r="Z161" s="176">
        <f ca="1">IF(AN161&gt;0,Y161*Calculation_sheet!C$87,0)</f>
        <v>0</v>
      </c>
      <c r="AA161" s="176">
        <f t="shared" ca="1" si="228"/>
        <v>0</v>
      </c>
      <c r="AB161" s="176">
        <f ca="1">IF(AP161&gt;0,AA161*Calculation_sheet!C$94,0)</f>
        <v>0</v>
      </c>
      <c r="AC161" s="176">
        <f t="shared" ca="1" si="213"/>
        <v>0</v>
      </c>
      <c r="AD161" s="958">
        <f ca="1">AC161*Calculation_sheet!C$99</f>
        <v>0</v>
      </c>
      <c r="AE161" s="176">
        <f t="shared" ca="1" si="213"/>
        <v>0</v>
      </c>
      <c r="AF161" s="176">
        <f t="shared" ca="1" si="229"/>
        <v>0</v>
      </c>
      <c r="AG161" s="958">
        <f ca="1">AF161*User_sheet!B$77/100</f>
        <v>0</v>
      </c>
      <c r="AH161" s="313"/>
      <c r="AI161" s="940">
        <v>302</v>
      </c>
      <c r="AJ161" s="985"/>
      <c r="AK161" s="1018">
        <f t="shared" ca="1" si="190"/>
        <v>364.12532683502047</v>
      </c>
      <c r="AL161" s="924">
        <f ca="1">AK161/'302'!I$24</f>
        <v>0.92818079743823723</v>
      </c>
      <c r="AM161" s="924">
        <f ca="1">0.8*(AK161*30+'302'!D$17*0.34*30*1)</f>
        <v>13805.194844040494</v>
      </c>
      <c r="AN161" s="954">
        <f ca="1">IF(AM161&lt;User_sheet!B$50,Y161,0)</f>
        <v>0</v>
      </c>
      <c r="AO161" s="954">
        <f ca="1">20-(User_sheet!B$57/(AK161+'302'!D$17*1*0.34))</f>
        <v>10.090686763537088</v>
      </c>
      <c r="AP161" s="954">
        <f ca="1">IF(AO161&lt;User_sheet!B$59,0,BC161*AA161)</f>
        <v>0</v>
      </c>
      <c r="AQ161" s="985"/>
      <c r="AR161" s="939">
        <v>0.47</v>
      </c>
      <c r="AS161" s="939">
        <v>0.6</v>
      </c>
      <c r="AT161" s="939">
        <v>3.78</v>
      </c>
      <c r="AU161" s="939">
        <v>2.75</v>
      </c>
      <c r="AV161" s="939">
        <v>3.3</v>
      </c>
      <c r="AW161" s="939">
        <v>11617.129718053829</v>
      </c>
      <c r="AX161" s="939">
        <v>69341.450841082013</v>
      </c>
      <c r="AY161" s="939">
        <v>67352.647733737584</v>
      </c>
      <c r="AZ161" s="939">
        <v>0</v>
      </c>
      <c r="BA161" s="939">
        <v>0</v>
      </c>
      <c r="BB161" s="939">
        <v>0.6</v>
      </c>
      <c r="BC161" s="942">
        <v>0</v>
      </c>
      <c r="BD161" s="943">
        <v>1</v>
      </c>
      <c r="BE161" s="943">
        <v>0</v>
      </c>
      <c r="BF161" s="944">
        <v>0</v>
      </c>
      <c r="BG161" s="939">
        <v>1</v>
      </c>
      <c r="BH161" s="939">
        <v>0</v>
      </c>
      <c r="BI161" s="944">
        <v>0</v>
      </c>
      <c r="BJ161" s="939">
        <v>0</v>
      </c>
      <c r="BK161" s="939">
        <v>1</v>
      </c>
      <c r="BL161" s="939">
        <v>0</v>
      </c>
      <c r="BM161" s="944">
        <v>0</v>
      </c>
      <c r="BN161" s="199">
        <v>0.1</v>
      </c>
      <c r="BO161" s="959">
        <v>6</v>
      </c>
      <c r="BP161" s="926">
        <f t="shared" ca="1" si="214"/>
        <v>215.65</v>
      </c>
      <c r="BQ161" s="926">
        <f t="shared" ca="1" si="215"/>
        <v>486.07500000000005</v>
      </c>
      <c r="BR161" s="926">
        <f t="shared" ca="1" si="216"/>
        <v>117.8</v>
      </c>
      <c r="BS161" s="926">
        <f t="shared" ca="1" si="217"/>
        <v>103.97</v>
      </c>
      <c r="BT161" s="926">
        <f t="shared" ca="1" si="218"/>
        <v>53.9</v>
      </c>
      <c r="BU161" s="926">
        <f t="shared" ca="1" si="219"/>
        <v>62.730000000000004</v>
      </c>
      <c r="BV161" s="926">
        <f t="shared" ca="1" si="220"/>
        <v>4.3</v>
      </c>
      <c r="BW161" s="926">
        <v>0</v>
      </c>
      <c r="BX161" s="926">
        <f t="shared" ca="1" si="221"/>
        <v>51.195290346443095</v>
      </c>
      <c r="BY161" s="926">
        <f t="shared" ca="1" si="222"/>
        <v>56.505434782608681</v>
      </c>
      <c r="BZ161" s="926">
        <f t="shared" ca="1" si="191"/>
        <v>40.620384243595943</v>
      </c>
      <c r="CA161" s="926">
        <f t="shared" ca="1" si="192"/>
        <v>172.50749990512088</v>
      </c>
      <c r="CB161" s="926">
        <f t="shared" ca="1" si="223"/>
        <v>9.0267175572519083</v>
      </c>
      <c r="CC161" s="926">
        <f t="shared" si="193"/>
        <v>0</v>
      </c>
      <c r="CD161" s="1018">
        <f t="shared" ca="1" si="224"/>
        <v>364.12532683502047</v>
      </c>
      <c r="CE161" s="1018">
        <f t="shared" ca="1" si="230"/>
        <v>70.402316711882364</v>
      </c>
      <c r="CF161" s="926">
        <f t="shared" ca="1" si="194"/>
        <v>13.035829306407084</v>
      </c>
      <c r="CG161" s="926">
        <f t="shared" ca="1" si="195"/>
        <v>21704.134361995537</v>
      </c>
    </row>
    <row r="162" spans="4:85" s="3" customFormat="1" x14ac:dyDescent="0.25">
      <c r="D162" s="673"/>
      <c r="E162" s="669"/>
      <c r="F162" s="673"/>
      <c r="G162" s="669"/>
      <c r="H162" s="673"/>
      <c r="I162" s="669"/>
      <c r="J162" s="673"/>
      <c r="K162" s="668"/>
      <c r="L162" s="668"/>
      <c r="M162" s="668"/>
      <c r="N162" s="668"/>
      <c r="O162" s="668" t="s">
        <v>18</v>
      </c>
      <c r="P162" s="670">
        <v>0.80827067699999999</v>
      </c>
      <c r="Q162" s="668" t="s">
        <v>7</v>
      </c>
      <c r="R162" s="670">
        <v>0.46289999999999998</v>
      </c>
      <c r="S162" s="668"/>
      <c r="T162" s="678">
        <v>0</v>
      </c>
      <c r="U162" s="667"/>
      <c r="V162" s="176">
        <f t="shared" si="225"/>
        <v>0</v>
      </c>
      <c r="W162" s="176">
        <f t="shared" si="226"/>
        <v>0</v>
      </c>
      <c r="X162" s="176">
        <f t="shared" si="227"/>
        <v>0</v>
      </c>
      <c r="Y162" s="958">
        <f>X162/Calculation_sheet!M$67</f>
        <v>0</v>
      </c>
      <c r="Z162" s="176">
        <f ca="1">IF(AN162&gt;0,Y162*Calculation_sheet!C$87,0)</f>
        <v>0</v>
      </c>
      <c r="AA162" s="176">
        <f t="shared" ca="1" si="228"/>
        <v>0</v>
      </c>
      <c r="AB162" s="176">
        <f ca="1">IF(AP162&gt;0,AA162*Calculation_sheet!C$94,0)</f>
        <v>0</v>
      </c>
      <c r="AC162" s="176">
        <f t="shared" ca="1" si="213"/>
        <v>0</v>
      </c>
      <c r="AD162" s="958">
        <f ca="1">AC162*Calculation_sheet!C$99</f>
        <v>0</v>
      </c>
      <c r="AE162" s="176">
        <f t="shared" ca="1" si="213"/>
        <v>0</v>
      </c>
      <c r="AF162" s="176">
        <f t="shared" ca="1" si="229"/>
        <v>0</v>
      </c>
      <c r="AG162" s="958">
        <f ca="1">AF162*User_sheet!B$77/100</f>
        <v>0</v>
      </c>
      <c r="AH162" s="313"/>
      <c r="AI162" s="940">
        <v>302</v>
      </c>
      <c r="AJ162" s="985"/>
      <c r="AK162" s="1018">
        <f t="shared" ca="1" si="190"/>
        <v>364.12532683502047</v>
      </c>
      <c r="AL162" s="924">
        <f ca="1">AK162/'302'!I$24</f>
        <v>0.92818079743823723</v>
      </c>
      <c r="AM162" s="924">
        <f ca="1">0.8*(AK162*30+'302'!D$17*0.34*30*1)</f>
        <v>13805.194844040494</v>
      </c>
      <c r="AN162" s="954">
        <f ca="1">IF(AM162&lt;User_sheet!B$50,Y162,0)</f>
        <v>0</v>
      </c>
      <c r="AO162" s="954">
        <f ca="1">20-(User_sheet!B$57/(AK162+'302'!D$17*1*0.34))</f>
        <v>10.090686763537088</v>
      </c>
      <c r="AP162" s="954">
        <f ca="1">IF(AO162&lt;User_sheet!B$59,0,BC162*AA162)</f>
        <v>0</v>
      </c>
      <c r="AQ162" s="985"/>
      <c r="AR162" s="939">
        <v>0.47</v>
      </c>
      <c r="AS162" s="939">
        <v>0.6</v>
      </c>
      <c r="AT162" s="939">
        <v>3.78</v>
      </c>
      <c r="AU162" s="939">
        <v>2.75</v>
      </c>
      <c r="AV162" s="939">
        <v>3.3</v>
      </c>
      <c r="AW162" s="939">
        <v>11617.129718053829</v>
      </c>
      <c r="AX162" s="939">
        <v>69341.450841082013</v>
      </c>
      <c r="AY162" s="939">
        <v>67352.647733737584</v>
      </c>
      <c r="AZ162" s="939">
        <v>0</v>
      </c>
      <c r="BA162" s="939">
        <v>0</v>
      </c>
      <c r="BB162" s="939">
        <v>0.6</v>
      </c>
      <c r="BC162" s="942">
        <v>0</v>
      </c>
      <c r="BD162" s="943">
        <v>1</v>
      </c>
      <c r="BE162" s="943">
        <v>0</v>
      </c>
      <c r="BF162" s="944">
        <v>0</v>
      </c>
      <c r="BG162" s="939">
        <v>1</v>
      </c>
      <c r="BH162" s="939">
        <v>0</v>
      </c>
      <c r="BI162" s="944">
        <v>0</v>
      </c>
      <c r="BJ162" s="939">
        <v>0</v>
      </c>
      <c r="BK162" s="939">
        <v>0</v>
      </c>
      <c r="BL162" s="939">
        <v>1</v>
      </c>
      <c r="BM162" s="944">
        <v>0</v>
      </c>
      <c r="BN162" s="199">
        <v>0.1</v>
      </c>
      <c r="BO162" s="959">
        <v>6</v>
      </c>
      <c r="BP162" s="926">
        <f t="shared" ca="1" si="214"/>
        <v>215.65</v>
      </c>
      <c r="BQ162" s="926">
        <f t="shared" ca="1" si="215"/>
        <v>486.07500000000005</v>
      </c>
      <c r="BR162" s="926">
        <f t="shared" ca="1" si="216"/>
        <v>117.8</v>
      </c>
      <c r="BS162" s="926">
        <f t="shared" ca="1" si="217"/>
        <v>103.97</v>
      </c>
      <c r="BT162" s="926">
        <f t="shared" ca="1" si="218"/>
        <v>53.9</v>
      </c>
      <c r="BU162" s="926">
        <f t="shared" ca="1" si="219"/>
        <v>62.730000000000004</v>
      </c>
      <c r="BV162" s="926">
        <f t="shared" ca="1" si="220"/>
        <v>4.3</v>
      </c>
      <c r="BW162" s="926">
        <v>0</v>
      </c>
      <c r="BX162" s="926">
        <f t="shared" ca="1" si="221"/>
        <v>51.195290346443095</v>
      </c>
      <c r="BY162" s="926">
        <f t="shared" ca="1" si="222"/>
        <v>56.505434782608681</v>
      </c>
      <c r="BZ162" s="926">
        <f t="shared" ca="1" si="191"/>
        <v>40.620384243595943</v>
      </c>
      <c r="CA162" s="926">
        <f t="shared" ca="1" si="192"/>
        <v>172.50749990512088</v>
      </c>
      <c r="CB162" s="926">
        <f t="shared" ca="1" si="223"/>
        <v>9.0267175572519083</v>
      </c>
      <c r="CC162" s="926">
        <f t="shared" si="193"/>
        <v>0</v>
      </c>
      <c r="CD162" s="1018">
        <f t="shared" ca="1" si="224"/>
        <v>364.12532683502047</v>
      </c>
      <c r="CE162" s="1018">
        <f t="shared" ca="1" si="230"/>
        <v>70.402316711882364</v>
      </c>
      <c r="CF162" s="926">
        <f t="shared" ca="1" si="194"/>
        <v>13.035829306407084</v>
      </c>
      <c r="CG162" s="926">
        <f t="shared" ca="1" si="195"/>
        <v>21704.134361995537</v>
      </c>
    </row>
    <row r="163" spans="4:85" s="3" customFormat="1" x14ac:dyDescent="0.25">
      <c r="D163" s="673"/>
      <c r="E163" s="669"/>
      <c r="F163" s="673"/>
      <c r="G163" s="669"/>
      <c r="H163" s="673"/>
      <c r="I163" s="669"/>
      <c r="J163" s="673"/>
      <c r="K163" s="668"/>
      <c r="L163" s="668"/>
      <c r="M163" s="668"/>
      <c r="N163" s="668"/>
      <c r="O163" s="668"/>
      <c r="P163" s="668"/>
      <c r="Q163" s="668" t="s">
        <v>22</v>
      </c>
      <c r="R163" s="670">
        <v>0.53710000000000002</v>
      </c>
      <c r="S163" s="668"/>
      <c r="T163" s="678">
        <v>0</v>
      </c>
      <c r="U163" s="667"/>
      <c r="V163" s="176">
        <f t="shared" si="225"/>
        <v>0</v>
      </c>
      <c r="W163" s="176">
        <f t="shared" si="226"/>
        <v>0</v>
      </c>
      <c r="X163" s="176">
        <f t="shared" si="227"/>
        <v>0</v>
      </c>
      <c r="Y163" s="958">
        <f>X163/Calculation_sheet!M$67</f>
        <v>0</v>
      </c>
      <c r="Z163" s="176">
        <f ca="1">IF(AN163&gt;0,Y163*Calculation_sheet!C$87,0)</f>
        <v>0</v>
      </c>
      <c r="AA163" s="176">
        <f t="shared" ca="1" si="228"/>
        <v>0</v>
      </c>
      <c r="AB163" s="176">
        <f ca="1">IF(AP163&gt;0,AA163*Calculation_sheet!C$94,0)</f>
        <v>0</v>
      </c>
      <c r="AC163" s="176">
        <f t="shared" ca="1" si="213"/>
        <v>0</v>
      </c>
      <c r="AD163" s="958">
        <f ca="1">AC163*Calculation_sheet!C$99</f>
        <v>0</v>
      </c>
      <c r="AE163" s="176">
        <f t="shared" ca="1" si="213"/>
        <v>0</v>
      </c>
      <c r="AF163" s="176">
        <f t="shared" ca="1" si="229"/>
        <v>0</v>
      </c>
      <c r="AG163" s="958">
        <f ca="1">AF163*User_sheet!B$77/100</f>
        <v>0</v>
      </c>
      <c r="AH163" s="313"/>
      <c r="AI163" s="940">
        <v>302</v>
      </c>
      <c r="AJ163" s="985"/>
      <c r="AK163" s="1018">
        <f t="shared" ca="1" si="190"/>
        <v>364.12532683502047</v>
      </c>
      <c r="AL163" s="924">
        <f ca="1">AK163/'302'!I$24</f>
        <v>0.92818079743823723</v>
      </c>
      <c r="AM163" s="924">
        <f ca="1">0.8*(AK163*30+'302'!D$17*0.34*30*1)</f>
        <v>13805.194844040494</v>
      </c>
      <c r="AN163" s="954">
        <f ca="1">IF(AM163&lt;User_sheet!B$50,Y163,0)</f>
        <v>0</v>
      </c>
      <c r="AO163" s="954">
        <f ca="1">20-(User_sheet!B$57/(AK163+'302'!D$17*1*0.34))</f>
        <v>10.090686763537088</v>
      </c>
      <c r="AP163" s="954">
        <f ca="1">IF(AO163&lt;User_sheet!B$59,0,BC163*AA163)</f>
        <v>0</v>
      </c>
      <c r="AQ163" s="985"/>
      <c r="AR163" s="939">
        <v>0.47</v>
      </c>
      <c r="AS163" s="939">
        <v>0.6</v>
      </c>
      <c r="AT163" s="939">
        <v>3.78</v>
      </c>
      <c r="AU163" s="939">
        <v>2.75</v>
      </c>
      <c r="AV163" s="939">
        <v>3.3</v>
      </c>
      <c r="AW163" s="939">
        <v>11617.129718053829</v>
      </c>
      <c r="AX163" s="939">
        <v>69341.450841082013</v>
      </c>
      <c r="AY163" s="939">
        <v>67352.647733737584</v>
      </c>
      <c r="AZ163" s="939">
        <v>0</v>
      </c>
      <c r="BA163" s="939">
        <v>0</v>
      </c>
      <c r="BB163" s="939">
        <v>0.6</v>
      </c>
      <c r="BC163" s="942">
        <v>0</v>
      </c>
      <c r="BD163" s="943">
        <v>1</v>
      </c>
      <c r="BE163" s="943">
        <v>0</v>
      </c>
      <c r="BF163" s="944">
        <v>0</v>
      </c>
      <c r="BG163" s="939">
        <v>0</v>
      </c>
      <c r="BH163" s="939">
        <v>1</v>
      </c>
      <c r="BI163" s="944">
        <v>0</v>
      </c>
      <c r="BJ163" s="939">
        <v>0</v>
      </c>
      <c r="BK163" s="939">
        <v>1</v>
      </c>
      <c r="BL163" s="939">
        <v>0</v>
      </c>
      <c r="BM163" s="944">
        <v>0</v>
      </c>
      <c r="BN163" s="199">
        <v>0.1</v>
      </c>
      <c r="BO163" s="959">
        <v>6</v>
      </c>
      <c r="BP163" s="926">
        <f t="shared" ca="1" si="214"/>
        <v>215.65</v>
      </c>
      <c r="BQ163" s="926">
        <f t="shared" ca="1" si="215"/>
        <v>486.07500000000005</v>
      </c>
      <c r="BR163" s="926">
        <f t="shared" ca="1" si="216"/>
        <v>117.8</v>
      </c>
      <c r="BS163" s="926">
        <f t="shared" ca="1" si="217"/>
        <v>103.97</v>
      </c>
      <c r="BT163" s="926">
        <f t="shared" ca="1" si="218"/>
        <v>53.9</v>
      </c>
      <c r="BU163" s="926">
        <f t="shared" ca="1" si="219"/>
        <v>62.730000000000004</v>
      </c>
      <c r="BV163" s="926">
        <f t="shared" ca="1" si="220"/>
        <v>4.3</v>
      </c>
      <c r="BW163" s="926">
        <v>0</v>
      </c>
      <c r="BX163" s="926">
        <f t="shared" ca="1" si="221"/>
        <v>51.195290346443095</v>
      </c>
      <c r="BY163" s="926">
        <f t="shared" ca="1" si="222"/>
        <v>56.505434782608681</v>
      </c>
      <c r="BZ163" s="926">
        <f t="shared" ca="1" si="191"/>
        <v>40.620384243595943</v>
      </c>
      <c r="CA163" s="926">
        <f t="shared" ca="1" si="192"/>
        <v>172.50749990512088</v>
      </c>
      <c r="CB163" s="926">
        <f t="shared" ca="1" si="223"/>
        <v>9.0267175572519083</v>
      </c>
      <c r="CC163" s="926">
        <f t="shared" si="193"/>
        <v>0</v>
      </c>
      <c r="CD163" s="1018">
        <f t="shared" ca="1" si="224"/>
        <v>364.12532683502047</v>
      </c>
      <c r="CE163" s="1018">
        <f t="shared" ca="1" si="230"/>
        <v>70.402316711882364</v>
      </c>
      <c r="CF163" s="926">
        <f t="shared" ca="1" si="194"/>
        <v>13.035829306407084</v>
      </c>
      <c r="CG163" s="926">
        <f t="shared" ca="1" si="195"/>
        <v>21704.134361995537</v>
      </c>
    </row>
    <row r="164" spans="4:85" s="3" customFormat="1" x14ac:dyDescent="0.25">
      <c r="D164" s="673"/>
      <c r="E164" s="669"/>
      <c r="F164" s="673"/>
      <c r="G164" s="669"/>
      <c r="H164" s="673"/>
      <c r="I164" s="669"/>
      <c r="J164" s="673"/>
      <c r="K164" s="668"/>
      <c r="L164" s="668"/>
      <c r="M164" s="668" t="s">
        <v>22</v>
      </c>
      <c r="N164" s="670">
        <v>0.44680851100000002</v>
      </c>
      <c r="O164" s="668" t="s">
        <v>20</v>
      </c>
      <c r="P164" s="670">
        <v>0.19172932300000001</v>
      </c>
      <c r="Q164" s="668" t="s">
        <v>7</v>
      </c>
      <c r="R164" s="670">
        <v>0.46289999999999998</v>
      </c>
      <c r="S164" s="668"/>
      <c r="T164" s="678">
        <v>0</v>
      </c>
      <c r="U164" s="667"/>
      <c r="V164" s="176">
        <f t="shared" si="225"/>
        <v>0</v>
      </c>
      <c r="W164" s="176">
        <f t="shared" si="226"/>
        <v>0</v>
      </c>
      <c r="X164" s="176">
        <f t="shared" si="227"/>
        <v>0</v>
      </c>
      <c r="Y164" s="958">
        <f>X164/Calculation_sheet!M$67</f>
        <v>0</v>
      </c>
      <c r="Z164" s="176">
        <f ca="1">IF(AN164&gt;0,Y164*Calculation_sheet!C$87,0)</f>
        <v>0</v>
      </c>
      <c r="AA164" s="176">
        <f t="shared" ca="1" si="228"/>
        <v>0</v>
      </c>
      <c r="AB164" s="176">
        <f ca="1">IF(AP164&gt;0,AA164*Calculation_sheet!C$94,0)</f>
        <v>0</v>
      </c>
      <c r="AC164" s="176">
        <f t="shared" ca="1" si="213"/>
        <v>0</v>
      </c>
      <c r="AD164" s="958">
        <f ca="1">AC164*Calculation_sheet!C$99</f>
        <v>0</v>
      </c>
      <c r="AE164" s="176">
        <f t="shared" ca="1" si="213"/>
        <v>0</v>
      </c>
      <c r="AF164" s="176">
        <f t="shared" ca="1" si="229"/>
        <v>0</v>
      </c>
      <c r="AG164" s="958">
        <f ca="1">AF164*User_sheet!B$77/100</f>
        <v>0</v>
      </c>
      <c r="AH164" s="313"/>
      <c r="AI164" s="940">
        <v>302</v>
      </c>
      <c r="AJ164" s="985"/>
      <c r="AK164" s="1018">
        <f t="shared" ca="1" si="190"/>
        <v>364.12532683502047</v>
      </c>
      <c r="AL164" s="924">
        <f ca="1">AK164/'302'!I$24</f>
        <v>0.92818079743823723</v>
      </c>
      <c r="AM164" s="924">
        <f ca="1">0.8*(AK164*30+'302'!D$17*0.34*30*1)</f>
        <v>13805.194844040494</v>
      </c>
      <c r="AN164" s="954">
        <f ca="1">IF(AM164&lt;User_sheet!B$50,Y164,0)</f>
        <v>0</v>
      </c>
      <c r="AO164" s="954">
        <f ca="1">20-(User_sheet!B$57/(AK164+'302'!D$17*1*0.34))</f>
        <v>10.090686763537088</v>
      </c>
      <c r="AP164" s="954">
        <f ca="1">IF(AO164&lt;User_sheet!B$59,0,BC164*AA164)</f>
        <v>0</v>
      </c>
      <c r="AQ164" s="985"/>
      <c r="AR164" s="939">
        <v>0.47</v>
      </c>
      <c r="AS164" s="939">
        <v>0.6</v>
      </c>
      <c r="AT164" s="939">
        <v>3.78</v>
      </c>
      <c r="AU164" s="939">
        <v>2.75</v>
      </c>
      <c r="AV164" s="939">
        <v>3.3</v>
      </c>
      <c r="AW164" s="939">
        <v>11617.129718053829</v>
      </c>
      <c r="AX164" s="939">
        <v>69341.450841082013</v>
      </c>
      <c r="AY164" s="939">
        <v>67352.647733737584</v>
      </c>
      <c r="AZ164" s="939">
        <v>0</v>
      </c>
      <c r="BA164" s="939">
        <v>0</v>
      </c>
      <c r="BB164" s="939">
        <v>0.6</v>
      </c>
      <c r="BC164" s="942">
        <v>0</v>
      </c>
      <c r="BD164" s="943">
        <v>1</v>
      </c>
      <c r="BE164" s="943">
        <v>0</v>
      </c>
      <c r="BF164" s="944">
        <v>0</v>
      </c>
      <c r="BG164" s="939">
        <v>0</v>
      </c>
      <c r="BH164" s="939">
        <v>1</v>
      </c>
      <c r="BI164" s="944">
        <v>0</v>
      </c>
      <c r="BJ164" s="939">
        <v>0</v>
      </c>
      <c r="BK164" s="939">
        <v>0</v>
      </c>
      <c r="BL164" s="939">
        <v>1</v>
      </c>
      <c r="BM164" s="944">
        <v>0</v>
      </c>
      <c r="BN164" s="199">
        <v>0.1</v>
      </c>
      <c r="BO164" s="959">
        <v>6</v>
      </c>
      <c r="BP164" s="926">
        <f t="shared" ca="1" si="214"/>
        <v>215.65</v>
      </c>
      <c r="BQ164" s="926">
        <f t="shared" ca="1" si="215"/>
        <v>486.07500000000005</v>
      </c>
      <c r="BR164" s="926">
        <f t="shared" ca="1" si="216"/>
        <v>117.8</v>
      </c>
      <c r="BS164" s="926">
        <f t="shared" ca="1" si="217"/>
        <v>103.97</v>
      </c>
      <c r="BT164" s="926">
        <f t="shared" ca="1" si="218"/>
        <v>53.9</v>
      </c>
      <c r="BU164" s="926">
        <f t="shared" ca="1" si="219"/>
        <v>62.730000000000004</v>
      </c>
      <c r="BV164" s="926">
        <f t="shared" ca="1" si="220"/>
        <v>4.3</v>
      </c>
      <c r="BW164" s="926">
        <v>0</v>
      </c>
      <c r="BX164" s="926">
        <f t="shared" ca="1" si="221"/>
        <v>51.195290346443095</v>
      </c>
      <c r="BY164" s="926">
        <f t="shared" ca="1" si="222"/>
        <v>56.505434782608681</v>
      </c>
      <c r="BZ164" s="926">
        <f t="shared" ca="1" si="191"/>
        <v>40.620384243595943</v>
      </c>
      <c r="CA164" s="926">
        <f t="shared" ca="1" si="192"/>
        <v>172.50749990512088</v>
      </c>
      <c r="CB164" s="926">
        <f t="shared" ca="1" si="223"/>
        <v>9.0267175572519083</v>
      </c>
      <c r="CC164" s="926">
        <f t="shared" si="193"/>
        <v>0</v>
      </c>
      <c r="CD164" s="1018">
        <f t="shared" ca="1" si="224"/>
        <v>364.12532683502047</v>
      </c>
      <c r="CE164" s="1018">
        <f t="shared" ca="1" si="230"/>
        <v>70.402316711882364</v>
      </c>
      <c r="CF164" s="926">
        <f t="shared" ca="1" si="194"/>
        <v>13.035829306407084</v>
      </c>
      <c r="CG164" s="926">
        <f t="shared" ca="1" si="195"/>
        <v>21704.134361995537</v>
      </c>
    </row>
    <row r="165" spans="4:85" s="3" customFormat="1" x14ac:dyDescent="0.25">
      <c r="D165" s="673"/>
      <c r="E165" s="669"/>
      <c r="F165" s="673"/>
      <c r="G165" s="669"/>
      <c r="H165" s="673"/>
      <c r="I165" s="669"/>
      <c r="J165" s="673"/>
      <c r="K165" s="668"/>
      <c r="L165" s="668"/>
      <c r="M165" s="668" t="s">
        <v>7</v>
      </c>
      <c r="N165" s="670">
        <v>2.1276595999999998E-2</v>
      </c>
      <c r="O165" s="668" t="s">
        <v>23</v>
      </c>
      <c r="P165" s="670">
        <v>1</v>
      </c>
      <c r="Q165" s="668" t="s">
        <v>7</v>
      </c>
      <c r="R165" s="670">
        <v>1</v>
      </c>
      <c r="S165" s="668"/>
      <c r="T165" s="678">
        <v>0</v>
      </c>
      <c r="U165" s="667"/>
      <c r="V165" s="176">
        <f t="shared" si="225"/>
        <v>0</v>
      </c>
      <c r="W165" s="176">
        <f t="shared" si="226"/>
        <v>0</v>
      </c>
      <c r="X165" s="176">
        <f t="shared" si="227"/>
        <v>0</v>
      </c>
      <c r="Y165" s="958">
        <f>X165/Calculation_sheet!M$67</f>
        <v>0</v>
      </c>
      <c r="Z165" s="176">
        <f ca="1">IF(AN165&gt;0,Y165*Calculation_sheet!C$87,0)</f>
        <v>0</v>
      </c>
      <c r="AA165" s="176">
        <f t="shared" ca="1" si="228"/>
        <v>0</v>
      </c>
      <c r="AB165" s="176">
        <f ca="1">IF(AP165&gt;0,AA165*Calculation_sheet!C$94,0)</f>
        <v>0</v>
      </c>
      <c r="AC165" s="176">
        <f t="shared" ca="1" si="213"/>
        <v>0</v>
      </c>
      <c r="AD165" s="958">
        <f ca="1">AC165*Calculation_sheet!C$99</f>
        <v>0</v>
      </c>
      <c r="AE165" s="176">
        <f t="shared" ca="1" si="213"/>
        <v>0</v>
      </c>
      <c r="AF165" s="176">
        <f t="shared" ca="1" si="229"/>
        <v>0</v>
      </c>
      <c r="AG165" s="958">
        <f ca="1">AF165*User_sheet!B$77/100</f>
        <v>0</v>
      </c>
      <c r="AH165" s="313"/>
      <c r="AI165" s="940">
        <v>302</v>
      </c>
      <c r="AJ165" s="985"/>
      <c r="AK165" s="1018">
        <f t="shared" ca="1" si="190"/>
        <v>364.12532683502047</v>
      </c>
      <c r="AL165" s="924">
        <f ca="1">AK165/'302'!I$24</f>
        <v>0.92818079743823723</v>
      </c>
      <c r="AM165" s="924">
        <f ca="1">0.8*(AK165*30+'302'!D$17*0.34*30*1)</f>
        <v>13805.194844040494</v>
      </c>
      <c r="AN165" s="954">
        <f ca="1">IF(AM165&lt;User_sheet!B$50,Y165,0)</f>
        <v>0</v>
      </c>
      <c r="AO165" s="954">
        <f ca="1">20-(User_sheet!B$57/(AK165+'302'!D$17*1*0.34))</f>
        <v>10.090686763537088</v>
      </c>
      <c r="AP165" s="954">
        <f ca="1">IF(AO165&lt;User_sheet!B$59,0,BC165*AA165)</f>
        <v>0</v>
      </c>
      <c r="AQ165" s="985"/>
      <c r="AR165" s="939">
        <v>0.47</v>
      </c>
      <c r="AS165" s="939">
        <v>0.6</v>
      </c>
      <c r="AT165" s="939">
        <v>3.78</v>
      </c>
      <c r="AU165" s="939">
        <v>2.75</v>
      </c>
      <c r="AV165" s="939">
        <v>3.3</v>
      </c>
      <c r="AW165" s="939">
        <v>11617.129718053829</v>
      </c>
      <c r="AX165" s="939">
        <v>69341.450841082013</v>
      </c>
      <c r="AY165" s="939">
        <v>67352.647733737584</v>
      </c>
      <c r="AZ165" s="939">
        <v>0</v>
      </c>
      <c r="BA165" s="939">
        <v>0</v>
      </c>
      <c r="BB165" s="939">
        <v>0.6</v>
      </c>
      <c r="BC165" s="942">
        <v>0</v>
      </c>
      <c r="BD165" s="943">
        <v>0</v>
      </c>
      <c r="BE165" s="943">
        <v>1</v>
      </c>
      <c r="BF165" s="944">
        <v>0</v>
      </c>
      <c r="BG165" s="939">
        <v>0</v>
      </c>
      <c r="BH165" s="939">
        <v>0</v>
      </c>
      <c r="BI165" s="944">
        <v>1</v>
      </c>
      <c r="BJ165" s="939">
        <v>0</v>
      </c>
      <c r="BK165" s="939">
        <v>0</v>
      </c>
      <c r="BL165" s="939">
        <v>1</v>
      </c>
      <c r="BM165" s="944">
        <v>0</v>
      </c>
      <c r="BN165" s="199">
        <v>0.1</v>
      </c>
      <c r="BO165" s="959">
        <v>6</v>
      </c>
      <c r="BP165" s="926">
        <f t="shared" ca="1" si="214"/>
        <v>215.65</v>
      </c>
      <c r="BQ165" s="926">
        <f t="shared" ca="1" si="215"/>
        <v>486.07500000000005</v>
      </c>
      <c r="BR165" s="926">
        <f t="shared" ca="1" si="216"/>
        <v>117.8</v>
      </c>
      <c r="BS165" s="926">
        <f t="shared" ca="1" si="217"/>
        <v>103.97</v>
      </c>
      <c r="BT165" s="926">
        <f t="shared" ca="1" si="218"/>
        <v>53.9</v>
      </c>
      <c r="BU165" s="926">
        <f t="shared" ca="1" si="219"/>
        <v>62.730000000000004</v>
      </c>
      <c r="BV165" s="926">
        <f t="shared" ca="1" si="220"/>
        <v>4.3</v>
      </c>
      <c r="BW165" s="926">
        <v>0</v>
      </c>
      <c r="BX165" s="926">
        <f t="shared" ca="1" si="221"/>
        <v>51.195290346443095</v>
      </c>
      <c r="BY165" s="926">
        <f t="shared" ca="1" si="222"/>
        <v>56.505434782608681</v>
      </c>
      <c r="BZ165" s="926">
        <f t="shared" ca="1" si="191"/>
        <v>40.620384243595943</v>
      </c>
      <c r="CA165" s="926">
        <f t="shared" ca="1" si="192"/>
        <v>172.50749990512088</v>
      </c>
      <c r="CB165" s="926">
        <f t="shared" ca="1" si="223"/>
        <v>9.0267175572519083</v>
      </c>
      <c r="CC165" s="926">
        <f t="shared" si="193"/>
        <v>0</v>
      </c>
      <c r="CD165" s="1018">
        <f t="shared" ca="1" si="224"/>
        <v>364.12532683502047</v>
      </c>
      <c r="CE165" s="1018">
        <f t="shared" ca="1" si="230"/>
        <v>70.402316711882364</v>
      </c>
      <c r="CF165" s="926">
        <f t="shared" ca="1" si="194"/>
        <v>13.035829306407084</v>
      </c>
      <c r="CG165" s="926">
        <f t="shared" ca="1" si="195"/>
        <v>21704.134361995537</v>
      </c>
    </row>
    <row r="166" spans="4:85" s="3" customFormat="1" x14ac:dyDescent="0.25">
      <c r="D166" s="673"/>
      <c r="E166" s="669"/>
      <c r="F166" s="673"/>
      <c r="G166" s="669"/>
      <c r="H166" s="673"/>
      <c r="I166" s="669"/>
      <c r="J166" s="673"/>
      <c r="K166" s="668"/>
      <c r="L166" s="668"/>
      <c r="M166" s="668"/>
      <c r="N166" s="668"/>
      <c r="O166" s="668" t="s">
        <v>18</v>
      </c>
      <c r="P166" s="670">
        <v>0.15910607099999999</v>
      </c>
      <c r="Q166" s="668" t="s">
        <v>17</v>
      </c>
      <c r="R166" s="670">
        <v>1</v>
      </c>
      <c r="S166" s="668"/>
      <c r="T166" s="678">
        <v>0</v>
      </c>
      <c r="U166" s="667"/>
      <c r="V166" s="176">
        <f t="shared" si="225"/>
        <v>0</v>
      </c>
      <c r="W166" s="176">
        <f t="shared" si="226"/>
        <v>0</v>
      </c>
      <c r="X166" s="176">
        <f t="shared" si="227"/>
        <v>0</v>
      </c>
      <c r="Y166" s="958">
        <f>X166/Calculation_sheet!M$67</f>
        <v>0</v>
      </c>
      <c r="Z166" s="176">
        <f ca="1">IF(AN166&gt;0,Y166*Calculation_sheet!C$87,0)</f>
        <v>0</v>
      </c>
      <c r="AA166" s="176">
        <f t="shared" ca="1" si="228"/>
        <v>0</v>
      </c>
      <c r="AB166" s="176">
        <f ca="1">IF(AP166&gt;0,AA166*Calculation_sheet!C$94,0)</f>
        <v>0</v>
      </c>
      <c r="AC166" s="176">
        <f t="shared" ca="1" si="213"/>
        <v>0</v>
      </c>
      <c r="AD166" s="958">
        <f ca="1">AC166*Calculation_sheet!C$99</f>
        <v>0</v>
      </c>
      <c r="AE166" s="176">
        <f t="shared" ca="1" si="213"/>
        <v>0</v>
      </c>
      <c r="AF166" s="176">
        <f t="shared" ca="1" si="229"/>
        <v>0</v>
      </c>
      <c r="AG166" s="958">
        <f ca="1">AF166*User_sheet!B$77/100</f>
        <v>0</v>
      </c>
      <c r="AH166" s="313"/>
      <c r="AI166" s="940">
        <v>302</v>
      </c>
      <c r="AJ166" s="985"/>
      <c r="AK166" s="1018">
        <f t="shared" ca="1" si="190"/>
        <v>364.12532683502047</v>
      </c>
      <c r="AL166" s="924">
        <f ca="1">AK166/'302'!I$24</f>
        <v>0.92818079743823723</v>
      </c>
      <c r="AM166" s="924">
        <f ca="1">0.8*(AK166*30+'302'!D$17*0.34*30*1)</f>
        <v>13805.194844040494</v>
      </c>
      <c r="AN166" s="954">
        <f ca="1">IF(AM166&lt;User_sheet!B$50,Y166,0)</f>
        <v>0</v>
      </c>
      <c r="AO166" s="954">
        <f ca="1">20-(User_sheet!B$57/(AK166+'302'!D$17*1*0.34))</f>
        <v>10.090686763537088</v>
      </c>
      <c r="AP166" s="954">
        <f ca="1">IF(AO166&lt;User_sheet!B$59,0,BC166*AA166)</f>
        <v>0</v>
      </c>
      <c r="AQ166" s="985"/>
      <c r="AR166" s="939">
        <v>0.47</v>
      </c>
      <c r="AS166" s="939">
        <v>0.6</v>
      </c>
      <c r="AT166" s="939">
        <v>3.78</v>
      </c>
      <c r="AU166" s="939">
        <v>2.75</v>
      </c>
      <c r="AV166" s="939">
        <v>3.3</v>
      </c>
      <c r="AW166" s="939">
        <v>11617.129718053829</v>
      </c>
      <c r="AX166" s="939">
        <v>69341.450841082013</v>
      </c>
      <c r="AY166" s="939">
        <v>67352.647733737584</v>
      </c>
      <c r="AZ166" s="939">
        <v>0</v>
      </c>
      <c r="BA166" s="939">
        <v>0</v>
      </c>
      <c r="BB166" s="939">
        <v>0.6</v>
      </c>
      <c r="BC166" s="942">
        <v>0</v>
      </c>
      <c r="BD166" s="943">
        <v>0</v>
      </c>
      <c r="BE166" s="943">
        <v>0</v>
      </c>
      <c r="BF166" s="944">
        <v>1</v>
      </c>
      <c r="BG166" s="939">
        <v>1</v>
      </c>
      <c r="BH166" s="939">
        <v>0</v>
      </c>
      <c r="BI166" s="944">
        <v>0</v>
      </c>
      <c r="BJ166" s="939">
        <v>0</v>
      </c>
      <c r="BK166" s="939">
        <v>0</v>
      </c>
      <c r="BL166" s="939">
        <v>0</v>
      </c>
      <c r="BM166" s="944">
        <v>1</v>
      </c>
      <c r="BN166" s="199">
        <v>0.1</v>
      </c>
      <c r="BO166" s="959">
        <v>6</v>
      </c>
      <c r="BP166" s="926">
        <f t="shared" ca="1" si="214"/>
        <v>215.65</v>
      </c>
      <c r="BQ166" s="926">
        <f t="shared" ca="1" si="215"/>
        <v>486.07500000000005</v>
      </c>
      <c r="BR166" s="926">
        <f t="shared" ca="1" si="216"/>
        <v>117.8</v>
      </c>
      <c r="BS166" s="926">
        <f t="shared" ca="1" si="217"/>
        <v>103.97</v>
      </c>
      <c r="BT166" s="926">
        <f t="shared" ca="1" si="218"/>
        <v>53.9</v>
      </c>
      <c r="BU166" s="926">
        <f t="shared" ca="1" si="219"/>
        <v>62.730000000000004</v>
      </c>
      <c r="BV166" s="926">
        <f t="shared" ca="1" si="220"/>
        <v>4.3</v>
      </c>
      <c r="BW166" s="926">
        <v>0</v>
      </c>
      <c r="BX166" s="926">
        <f t="shared" ca="1" si="221"/>
        <v>51.195290346443095</v>
      </c>
      <c r="BY166" s="926">
        <f t="shared" ca="1" si="222"/>
        <v>56.505434782608681</v>
      </c>
      <c r="BZ166" s="926">
        <f t="shared" ca="1" si="191"/>
        <v>40.620384243595943</v>
      </c>
      <c r="CA166" s="926">
        <f t="shared" ca="1" si="192"/>
        <v>172.50749990512088</v>
      </c>
      <c r="CB166" s="926">
        <f t="shared" ca="1" si="223"/>
        <v>9.0267175572519083</v>
      </c>
      <c r="CC166" s="926">
        <f t="shared" si="193"/>
        <v>0</v>
      </c>
      <c r="CD166" s="1018">
        <f t="shared" ca="1" si="224"/>
        <v>364.12532683502047</v>
      </c>
      <c r="CE166" s="1018">
        <f t="shared" ca="1" si="230"/>
        <v>70.402316711882364</v>
      </c>
      <c r="CF166" s="926">
        <f t="shared" ca="1" si="194"/>
        <v>13.035829306407084</v>
      </c>
      <c r="CG166" s="926">
        <f t="shared" ca="1" si="195"/>
        <v>21704.134361995537</v>
      </c>
    </row>
    <row r="167" spans="4:85" s="3" customFormat="1" x14ac:dyDescent="0.25">
      <c r="D167" s="673"/>
      <c r="E167" s="669"/>
      <c r="F167" s="673"/>
      <c r="G167" s="669"/>
      <c r="H167" s="673"/>
      <c r="I167" s="669"/>
      <c r="J167" s="673"/>
      <c r="K167" s="671" t="s">
        <v>228</v>
      </c>
      <c r="L167" s="672">
        <v>0</v>
      </c>
      <c r="M167" s="668" t="s">
        <v>17</v>
      </c>
      <c r="N167" s="670">
        <v>8.5106382999999994E-2</v>
      </c>
      <c r="O167" s="668" t="s">
        <v>19</v>
      </c>
      <c r="P167" s="670">
        <v>0.84089392900000004</v>
      </c>
      <c r="Q167" s="668" t="s">
        <v>17</v>
      </c>
      <c r="R167" s="670">
        <v>1</v>
      </c>
      <c r="S167" s="668"/>
      <c r="T167" s="678">
        <v>0</v>
      </c>
      <c r="U167" s="667"/>
      <c r="V167" s="176">
        <f t="shared" si="225"/>
        <v>0</v>
      </c>
      <c r="W167" s="176">
        <f t="shared" si="226"/>
        <v>0</v>
      </c>
      <c r="X167" s="176">
        <f t="shared" si="227"/>
        <v>0</v>
      </c>
      <c r="Y167" s="958">
        <f>X167/Calculation_sheet!M$67</f>
        <v>0</v>
      </c>
      <c r="Z167" s="176">
        <f ca="1">IF(AN167&gt;0,Y167*Calculation_sheet!C$87,0)</f>
        <v>0</v>
      </c>
      <c r="AA167" s="176">
        <f t="shared" ca="1" si="228"/>
        <v>0</v>
      </c>
      <c r="AB167" s="176">
        <f ca="1">IF(AP167&gt;0,AA167*Calculation_sheet!C$94,0)</f>
        <v>0</v>
      </c>
      <c r="AC167" s="176">
        <f t="shared" ca="1" si="213"/>
        <v>0</v>
      </c>
      <c r="AD167" s="958">
        <f ca="1">AC167*Calculation_sheet!C$99</f>
        <v>0</v>
      </c>
      <c r="AE167" s="176">
        <f t="shared" ca="1" si="213"/>
        <v>0</v>
      </c>
      <c r="AF167" s="176">
        <f t="shared" ca="1" si="229"/>
        <v>0</v>
      </c>
      <c r="AG167" s="958">
        <f ca="1">AF167*User_sheet!B$77/100</f>
        <v>0</v>
      </c>
      <c r="AH167" s="313"/>
      <c r="AI167" s="940">
        <v>302</v>
      </c>
      <c r="AJ167" s="985"/>
      <c r="AK167" s="1018">
        <f t="shared" ca="1" si="190"/>
        <v>364.12532683502047</v>
      </c>
      <c r="AL167" s="924">
        <f ca="1">AK167/'302'!I$24</f>
        <v>0.92818079743823723</v>
      </c>
      <c r="AM167" s="924">
        <f ca="1">0.8*(AK167*30+'302'!D$17*0.34*30*1)</f>
        <v>13805.194844040494</v>
      </c>
      <c r="AN167" s="954">
        <f ca="1">IF(AM167&lt;User_sheet!B$50,Y167,0)</f>
        <v>0</v>
      </c>
      <c r="AO167" s="954">
        <f ca="1">20-(User_sheet!B$57/(AK167+'302'!D$17*1*0.34))</f>
        <v>10.090686763537088</v>
      </c>
      <c r="AP167" s="954">
        <f ca="1">IF(AO167&lt;User_sheet!B$59,0,BC167*AA167)</f>
        <v>0</v>
      </c>
      <c r="AQ167" s="985"/>
      <c r="AR167" s="939">
        <v>0.47</v>
      </c>
      <c r="AS167" s="939">
        <v>0.6</v>
      </c>
      <c r="AT167" s="939">
        <v>3.78</v>
      </c>
      <c r="AU167" s="939">
        <v>2.75</v>
      </c>
      <c r="AV167" s="939">
        <v>3.3</v>
      </c>
      <c r="AW167" s="939">
        <v>11617.129718053829</v>
      </c>
      <c r="AX167" s="939">
        <v>69341.450841082013</v>
      </c>
      <c r="AY167" s="939">
        <v>67352.647733737584</v>
      </c>
      <c r="AZ167" s="939">
        <v>0</v>
      </c>
      <c r="BA167" s="939">
        <v>0</v>
      </c>
      <c r="BB167" s="939">
        <v>0.6</v>
      </c>
      <c r="BC167" s="942">
        <v>0</v>
      </c>
      <c r="BD167" s="943">
        <v>0</v>
      </c>
      <c r="BE167" s="943">
        <v>0</v>
      </c>
      <c r="BF167" s="944">
        <v>1</v>
      </c>
      <c r="BG167" s="939">
        <v>0</v>
      </c>
      <c r="BH167" s="939">
        <v>1</v>
      </c>
      <c r="BI167" s="944">
        <v>0</v>
      </c>
      <c r="BJ167" s="939">
        <v>0</v>
      </c>
      <c r="BK167" s="939">
        <v>0</v>
      </c>
      <c r="BL167" s="939">
        <v>0</v>
      </c>
      <c r="BM167" s="944">
        <v>1</v>
      </c>
      <c r="BN167" s="199">
        <v>0.1</v>
      </c>
      <c r="BO167" s="959">
        <v>6</v>
      </c>
      <c r="BP167" s="926">
        <f t="shared" ca="1" si="214"/>
        <v>215.65</v>
      </c>
      <c r="BQ167" s="926">
        <f t="shared" ca="1" si="215"/>
        <v>486.07500000000005</v>
      </c>
      <c r="BR167" s="926">
        <f t="shared" ca="1" si="216"/>
        <v>117.8</v>
      </c>
      <c r="BS167" s="926">
        <f t="shared" ca="1" si="217"/>
        <v>103.97</v>
      </c>
      <c r="BT167" s="926">
        <f t="shared" ca="1" si="218"/>
        <v>53.9</v>
      </c>
      <c r="BU167" s="926">
        <f t="shared" ca="1" si="219"/>
        <v>62.730000000000004</v>
      </c>
      <c r="BV167" s="926">
        <f t="shared" ca="1" si="220"/>
        <v>4.3</v>
      </c>
      <c r="BW167" s="926">
        <v>0</v>
      </c>
      <c r="BX167" s="926">
        <f t="shared" ca="1" si="221"/>
        <v>51.195290346443095</v>
      </c>
      <c r="BY167" s="926">
        <f t="shared" ca="1" si="222"/>
        <v>56.505434782608681</v>
      </c>
      <c r="BZ167" s="926">
        <f t="shared" ca="1" si="191"/>
        <v>40.620384243595943</v>
      </c>
      <c r="CA167" s="926">
        <f t="shared" ca="1" si="192"/>
        <v>172.50749990512088</v>
      </c>
      <c r="CB167" s="926">
        <f t="shared" ca="1" si="223"/>
        <v>9.0267175572519083</v>
      </c>
      <c r="CC167" s="926">
        <f t="shared" si="193"/>
        <v>0</v>
      </c>
      <c r="CD167" s="1018">
        <f t="shared" ca="1" si="224"/>
        <v>364.12532683502047</v>
      </c>
      <c r="CE167" s="1018">
        <f t="shared" ca="1" si="230"/>
        <v>70.402316711882364</v>
      </c>
      <c r="CF167" s="926">
        <f t="shared" ca="1" si="194"/>
        <v>13.035829306407084</v>
      </c>
      <c r="CG167" s="926">
        <f t="shared" ca="1" si="195"/>
        <v>21704.134361995537</v>
      </c>
    </row>
    <row r="168" spans="4:85" s="14" customFormat="1" x14ac:dyDescent="0.25">
      <c r="D168" s="676"/>
      <c r="E168" s="675"/>
      <c r="F168" s="676"/>
      <c r="G168" s="675"/>
      <c r="H168" s="676"/>
      <c r="I168" s="675"/>
      <c r="J168" s="676"/>
      <c r="K168" s="677"/>
      <c r="L168" s="676"/>
      <c r="M168" s="676"/>
      <c r="N168" s="676"/>
      <c r="O168" s="676"/>
      <c r="P168" s="676"/>
      <c r="Q168" s="676"/>
      <c r="R168" s="676"/>
      <c r="S168" s="676"/>
      <c r="T168" s="679"/>
      <c r="U168" s="675"/>
      <c r="V168" s="292"/>
      <c r="W168" s="292"/>
      <c r="X168" s="292"/>
      <c r="Y168" s="277"/>
      <c r="Z168" s="292"/>
      <c r="AA168" s="292"/>
      <c r="AB168" s="292"/>
      <c r="AC168" s="292"/>
      <c r="AD168" s="277"/>
      <c r="AE168" s="292"/>
      <c r="AF168" s="292"/>
      <c r="AG168" s="277"/>
      <c r="AH168" s="313"/>
      <c r="AI168" s="941"/>
      <c r="AJ168" s="985"/>
      <c r="AK168" s="1018">
        <f t="shared" si="190"/>
        <v>0</v>
      </c>
      <c r="AL168" s="928"/>
      <c r="AM168" s="928"/>
      <c r="AN168" s="941"/>
      <c r="AO168" s="941"/>
      <c r="AP168" s="941"/>
      <c r="AQ168" s="985"/>
      <c r="AR168" s="941"/>
      <c r="AS168" s="941"/>
      <c r="AT168" s="941"/>
      <c r="AU168" s="941"/>
      <c r="AV168" s="941"/>
      <c r="AW168" s="941"/>
      <c r="AX168" s="941"/>
      <c r="AY168" s="941"/>
      <c r="AZ168" s="941"/>
      <c r="BA168" s="941"/>
      <c r="BB168" s="941"/>
      <c r="BC168" s="45"/>
      <c r="BD168" s="277"/>
      <c r="BE168" s="277"/>
      <c r="BF168" s="49"/>
      <c r="BG168" s="941"/>
      <c r="BH168" s="941"/>
      <c r="BI168" s="49"/>
      <c r="BJ168" s="941"/>
      <c r="BK168" s="941"/>
      <c r="BL168" s="941"/>
      <c r="BM168" s="49"/>
      <c r="BN168" s="277"/>
      <c r="BO168" s="49"/>
      <c r="BP168" s="928"/>
      <c r="BQ168" s="928"/>
      <c r="BR168" s="928"/>
      <c r="BS168" s="928"/>
      <c r="BT168" s="928"/>
      <c r="BU168" s="928"/>
      <c r="BV168" s="928"/>
      <c r="BW168" s="928"/>
      <c r="BX168" s="928"/>
      <c r="BY168" s="928"/>
      <c r="BZ168" s="928"/>
      <c r="CA168" s="928"/>
      <c r="CB168" s="928"/>
      <c r="CC168" s="928"/>
      <c r="CD168" s="928"/>
      <c r="CE168" s="928"/>
      <c r="CF168" s="928"/>
      <c r="CG168" s="928"/>
    </row>
    <row r="169" spans="4:85" x14ac:dyDescent="0.25">
      <c r="D169" s="668"/>
      <c r="E169" s="667"/>
      <c r="F169" s="673"/>
      <c r="G169" s="669"/>
      <c r="H169" s="673"/>
      <c r="I169" s="669"/>
      <c r="J169" s="673"/>
      <c r="K169" s="674"/>
      <c r="L169" s="673"/>
      <c r="M169" s="668"/>
      <c r="N169" s="668"/>
      <c r="O169" s="668"/>
      <c r="P169" s="668"/>
      <c r="Q169" s="668" t="s">
        <v>16</v>
      </c>
      <c r="R169" s="670">
        <v>0.73860000000000003</v>
      </c>
      <c r="S169" s="668"/>
      <c r="T169" s="678">
        <v>3.976624372411386E-5</v>
      </c>
      <c r="U169" s="667"/>
      <c r="V169" s="176">
        <f t="shared" si="196"/>
        <v>3.976624372411386E-5</v>
      </c>
      <c r="W169" s="176">
        <f>V169</f>
        <v>3.976624372411386E-5</v>
      </c>
      <c r="X169" s="176">
        <f>W169</f>
        <v>3.976624372411386E-5</v>
      </c>
      <c r="Y169" s="34">
        <f>X169/Calculation_sheet!M$67</f>
        <v>3.9767056801779182E-5</v>
      </c>
      <c r="Z169" s="176">
        <f ca="1">IF(AN169&gt;0,Y169*Calculation_sheet!C$87,0)</f>
        <v>0</v>
      </c>
      <c r="AA169" s="176">
        <f ca="1">Y169-Z169</f>
        <v>3.9767056801779182E-5</v>
      </c>
      <c r="AB169" s="176">
        <f ca="1">IF(AP169&gt;0,AA169*Calculation_sheet!C$94,0)</f>
        <v>0</v>
      </c>
      <c r="AC169" s="176">
        <f t="shared" ref="AC169:AE179" ca="1" si="231">AA169-AB169</f>
        <v>3.9767056801779182E-5</v>
      </c>
      <c r="AD169" s="958">
        <f ca="1">AC169*Calculation_sheet!C$99</f>
        <v>2.3860234081067509E-5</v>
      </c>
      <c r="AE169" s="176">
        <f t="shared" ca="1" si="231"/>
        <v>1.5906822720711673E-5</v>
      </c>
      <c r="AF169" s="176">
        <f ca="1">Y169-AB169</f>
        <v>3.9767056801779182E-5</v>
      </c>
      <c r="AG169" s="958">
        <f ca="1">AF169*User_sheet!B$77/100</f>
        <v>0</v>
      </c>
      <c r="AH169" s="313"/>
      <c r="AI169" s="3">
        <v>302</v>
      </c>
      <c r="AK169" s="1018">
        <f t="shared" ca="1" si="190"/>
        <v>406.51532992927037</v>
      </c>
      <c r="AL169" s="924">
        <f ca="1">AK169/'302'!I$24</f>
        <v>1.0362358652288308</v>
      </c>
      <c r="AM169" s="924">
        <f ca="1">0.8*(AK169*30+'302'!D$17*0.34*30*1)</f>
        <v>14822.554918302492</v>
      </c>
      <c r="AN169" s="954">
        <f ca="1">IF(AM169&lt;User_sheet!B$50,Y169,0)</f>
        <v>0</v>
      </c>
      <c r="AO169" s="954">
        <f ca="1">20-(User_sheet!B$57/(AK169+'302'!D$17*1*0.34))</f>
        <v>10.770821848594869</v>
      </c>
      <c r="AP169" s="954">
        <f ca="1">IF(AO169&lt;User_sheet!B$59,0,BC169*AA169)</f>
        <v>3.9767056801779182E-5</v>
      </c>
      <c r="AR169" s="2">
        <v>0.47</v>
      </c>
      <c r="AS169" s="2">
        <v>2.1</v>
      </c>
      <c r="AT169" s="2">
        <v>0.89</v>
      </c>
      <c r="AU169" s="2">
        <v>2.75</v>
      </c>
      <c r="AV169" s="2">
        <v>3.3</v>
      </c>
      <c r="AW169" s="2">
        <v>11617.129718053829</v>
      </c>
      <c r="AX169" s="2">
        <v>74715.401027665983</v>
      </c>
      <c r="AY169" s="2">
        <v>79015.992973719694</v>
      </c>
      <c r="AZ169" s="2">
        <v>0</v>
      </c>
      <c r="BA169" s="2">
        <v>0</v>
      </c>
      <c r="BB169" s="2">
        <v>0.6</v>
      </c>
      <c r="BC169" s="30">
        <v>1</v>
      </c>
      <c r="BD169" s="34">
        <v>0</v>
      </c>
      <c r="BE169" s="34">
        <v>0</v>
      </c>
      <c r="BF169" s="40">
        <v>0</v>
      </c>
      <c r="BG169" s="2">
        <v>1</v>
      </c>
      <c r="BH169" s="2">
        <v>0</v>
      </c>
      <c r="BI169" s="40">
        <v>0</v>
      </c>
      <c r="BJ169" s="2">
        <v>1</v>
      </c>
      <c r="BK169" s="2">
        <v>0</v>
      </c>
      <c r="BL169" s="2">
        <v>0</v>
      </c>
      <c r="BM169" s="40">
        <v>0</v>
      </c>
      <c r="BN169" s="958">
        <v>0</v>
      </c>
      <c r="BO169" s="959">
        <v>14.9</v>
      </c>
      <c r="BP169" s="1018">
        <f t="shared" ref="BP169:BP179" ca="1" si="232">INDIRECT("'"&amp;AI169&amp;"'!"&amp;"B2")</f>
        <v>215.65</v>
      </c>
      <c r="BQ169" s="1018">
        <f t="shared" ref="BQ169:BQ179" ca="1" si="233">INDIRECT("'"&amp;AI169&amp;"'!"&amp;"C12")+INDIRECT("'"&amp;AI169&amp;"'!"&amp;"C13")+INDIRECT("'"&amp;AI169&amp;"'!"&amp;"C14")+INDIRECT("'"&amp;AI169&amp;"'!"&amp;"C15")+INDIRECT("'"&amp;AI169&amp;"'!"&amp;"C17")</f>
        <v>486.07500000000005</v>
      </c>
      <c r="BR169" s="1018">
        <f t="shared" ref="BR169:BR179" ca="1" si="234">INDIRECT("'"&amp;AI169&amp;"'!"&amp;"G5")</f>
        <v>117.8</v>
      </c>
      <c r="BS169" s="1018">
        <f t="shared" ref="BS169:BS179" ca="1" si="235">INDIRECT("'"&amp;AI169&amp;"'!"&amp;"G4")</f>
        <v>103.97</v>
      </c>
      <c r="BT169" s="1018">
        <f t="shared" ref="BT169:BT179" ca="1" si="236">INDIRECT("'"&amp;AI169&amp;"'!"&amp;"G6")</f>
        <v>53.9</v>
      </c>
      <c r="BU169" s="1018">
        <f t="shared" ref="BU169:BU179" ca="1" si="237">INDIRECT("'"&amp;AI169&amp;"'!"&amp;"G2")</f>
        <v>62.730000000000004</v>
      </c>
      <c r="BV169" s="1018">
        <f t="shared" ref="BV169:BV179" ca="1" si="238">INDIRECT("'"&amp;AI169&amp;"'!"&amp;"G3")</f>
        <v>4.3</v>
      </c>
      <c r="BW169" s="1018">
        <v>0</v>
      </c>
      <c r="BX169" s="1018">
        <f t="shared" ref="BX169:BX179" ca="1" si="239">IF(BR169=0,0,1/(1/(BR169*$BY$3)+1/(BR169*AR169)+1/(BR169*$BY$4)))</f>
        <v>51.195290346443095</v>
      </c>
      <c r="BY169" s="1018">
        <f t="shared" ref="BY169:BY179" ca="1" si="240">IF(BS169=0,0,1/(1/(BS169*$BY$3)+1/(BS169*AS169)+1/(BS169*$BY$4)))</f>
        <v>160.07111436950146</v>
      </c>
      <c r="BZ169" s="1018">
        <f t="shared" ca="1" si="191"/>
        <v>13.714707750952986</v>
      </c>
      <c r="CA169" s="1018">
        <f t="shared" ca="1" si="192"/>
        <v>172.50749990512088</v>
      </c>
      <c r="CB169" s="1018">
        <f t="shared" ref="CB169:CB179" ca="1" si="241">IF(BV169=0,0,1/(1/(BV169*$BY$3)+1/(BV169*AV169)+1/(BV169*$BY$4)))</f>
        <v>9.0267175572519083</v>
      </c>
      <c r="CC169" s="1018">
        <f t="shared" si="193"/>
        <v>0</v>
      </c>
      <c r="CD169" s="1018">
        <f t="shared" ref="CD169:CD179" ca="1" si="242">SUM(BX169:CC169)+(BR169+BS169+BT169+BU169+BV169)*BN169</f>
        <v>406.51532992927037</v>
      </c>
      <c r="CE169" s="1018">
        <f ca="1">0.34*BO169*(1/25)^0.66*(BR169+BS169+BU169+BV169)</f>
        <v>174.83241983450787</v>
      </c>
      <c r="CF169" s="1018">
        <f t="shared" ca="1" si="194"/>
        <v>17.440432492913349</v>
      </c>
      <c r="CG169" s="1018">
        <f t="shared" ca="1" si="195"/>
        <v>29037.622483401003</v>
      </c>
    </row>
    <row r="170" spans="4:85" x14ac:dyDescent="0.25">
      <c r="D170" s="668"/>
      <c r="E170" s="667"/>
      <c r="F170" s="673"/>
      <c r="G170" s="669"/>
      <c r="H170" s="673"/>
      <c r="I170" s="669"/>
      <c r="J170" s="673"/>
      <c r="K170" s="674"/>
      <c r="L170" s="673"/>
      <c r="M170" s="668"/>
      <c r="N170" s="668"/>
      <c r="O170" s="668" t="s">
        <v>18</v>
      </c>
      <c r="P170" s="670">
        <v>0.62953995200000001</v>
      </c>
      <c r="Q170" s="668" t="s">
        <v>7</v>
      </c>
      <c r="R170" s="670">
        <v>0.26140000000000002</v>
      </c>
      <c r="S170" s="668"/>
      <c r="T170" s="678">
        <v>1.4073782980616526E-5</v>
      </c>
      <c r="U170" s="667"/>
      <c r="V170" s="176">
        <f t="shared" si="196"/>
        <v>1.4073782980616526E-5</v>
      </c>
      <c r="W170" s="176">
        <f t="shared" ref="W170:X179" si="243">V170</f>
        <v>1.4073782980616526E-5</v>
      </c>
      <c r="X170" s="176">
        <f t="shared" si="243"/>
        <v>1.4073782980616526E-5</v>
      </c>
      <c r="Y170" s="34">
        <f>X170/Calculation_sheet!M$67</f>
        <v>1.4074070739216196E-5</v>
      </c>
      <c r="Z170" s="176">
        <f ca="1">IF(AN170&gt;0,Y170*Calculation_sheet!C$87,0)</f>
        <v>0</v>
      </c>
      <c r="AA170" s="176">
        <f t="shared" ref="AA170:AA179" ca="1" si="244">Y170-Z170</f>
        <v>1.4074070739216196E-5</v>
      </c>
      <c r="AB170" s="176">
        <f ca="1">IF(AP170&gt;0,AA170*Calculation_sheet!C$94,0)</f>
        <v>0</v>
      </c>
      <c r="AC170" s="176">
        <f t="shared" ca="1" si="231"/>
        <v>1.4074070739216196E-5</v>
      </c>
      <c r="AD170" s="958">
        <f ca="1">AC170*Calculation_sheet!C$99</f>
        <v>8.4444424435297174E-6</v>
      </c>
      <c r="AE170" s="176">
        <f t="shared" ca="1" si="231"/>
        <v>5.6296282956864788E-6</v>
      </c>
      <c r="AF170" s="176">
        <f t="shared" ref="AF170:AF179" ca="1" si="245">Y170-AB170</f>
        <v>1.4074070739216196E-5</v>
      </c>
      <c r="AG170" s="958">
        <f ca="1">AF170*User_sheet!B$77/100</f>
        <v>0</v>
      </c>
      <c r="AH170" s="313"/>
      <c r="AI170" s="3">
        <v>302</v>
      </c>
      <c r="AK170" s="1018">
        <f t="shared" ca="1" si="190"/>
        <v>406.51532992927037</v>
      </c>
      <c r="AL170" s="924">
        <f ca="1">AK170/'302'!I$24</f>
        <v>1.0362358652288308</v>
      </c>
      <c r="AM170" s="924">
        <f ca="1">0.8*(AK170*30+'302'!D$17*0.34*30*1)</f>
        <v>14822.554918302492</v>
      </c>
      <c r="AN170" s="954">
        <f ca="1">IF(AM170&lt;User_sheet!B$50,Y170,0)</f>
        <v>0</v>
      </c>
      <c r="AO170" s="954">
        <f ca="1">20-(User_sheet!B$57/(AK170+'302'!D$17*1*0.34))</f>
        <v>10.770821848594869</v>
      </c>
      <c r="AP170" s="954">
        <f ca="1">IF(AO170&lt;User_sheet!B$59,0,BC170*AA170)</f>
        <v>1.4074070739216196E-5</v>
      </c>
      <c r="AR170" s="2">
        <v>0.47</v>
      </c>
      <c r="AS170" s="2">
        <v>2.1</v>
      </c>
      <c r="AT170" s="2">
        <v>0.89</v>
      </c>
      <c r="AU170" s="2">
        <v>2.75</v>
      </c>
      <c r="AV170" s="2">
        <v>3.3</v>
      </c>
      <c r="AW170" s="2">
        <v>11617.129718053829</v>
      </c>
      <c r="AX170" s="2">
        <v>74715.401027665983</v>
      </c>
      <c r="AY170" s="2">
        <v>79015.992973719694</v>
      </c>
      <c r="AZ170" s="2">
        <v>0</v>
      </c>
      <c r="BA170" s="2">
        <v>0</v>
      </c>
      <c r="BB170" s="2">
        <v>0.6</v>
      </c>
      <c r="BC170" s="30">
        <v>1</v>
      </c>
      <c r="BD170" s="34">
        <v>0</v>
      </c>
      <c r="BE170" s="34">
        <v>0</v>
      </c>
      <c r="BF170" s="40">
        <v>0</v>
      </c>
      <c r="BG170" s="2">
        <v>1</v>
      </c>
      <c r="BH170" s="2">
        <v>0</v>
      </c>
      <c r="BI170" s="40">
        <v>0</v>
      </c>
      <c r="BJ170" s="2">
        <v>0</v>
      </c>
      <c r="BK170" s="2">
        <v>0</v>
      </c>
      <c r="BL170" s="2">
        <v>1</v>
      </c>
      <c r="BM170" s="40">
        <v>0</v>
      </c>
      <c r="BN170" s="958">
        <v>0</v>
      </c>
      <c r="BO170" s="959">
        <v>14.9</v>
      </c>
      <c r="BP170" s="1018">
        <f t="shared" ca="1" si="232"/>
        <v>215.65</v>
      </c>
      <c r="BQ170" s="1018">
        <f t="shared" ca="1" si="233"/>
        <v>486.07500000000005</v>
      </c>
      <c r="BR170" s="1018">
        <f t="shared" ca="1" si="234"/>
        <v>117.8</v>
      </c>
      <c r="BS170" s="1018">
        <f t="shared" ca="1" si="235"/>
        <v>103.97</v>
      </c>
      <c r="BT170" s="1018">
        <f t="shared" ca="1" si="236"/>
        <v>53.9</v>
      </c>
      <c r="BU170" s="1018">
        <f t="shared" ca="1" si="237"/>
        <v>62.730000000000004</v>
      </c>
      <c r="BV170" s="1018">
        <f t="shared" ca="1" si="238"/>
        <v>4.3</v>
      </c>
      <c r="BW170" s="1018">
        <v>0</v>
      </c>
      <c r="BX170" s="1018">
        <f t="shared" ca="1" si="239"/>
        <v>51.195290346443095</v>
      </c>
      <c r="BY170" s="1018">
        <f t="shared" ca="1" si="240"/>
        <v>160.07111436950146</v>
      </c>
      <c r="BZ170" s="1018">
        <f t="shared" ca="1" si="191"/>
        <v>13.714707750952986</v>
      </c>
      <c r="CA170" s="1018">
        <f t="shared" ca="1" si="192"/>
        <v>172.50749990512088</v>
      </c>
      <c r="CB170" s="1018">
        <f t="shared" ca="1" si="241"/>
        <v>9.0267175572519083</v>
      </c>
      <c r="CC170" s="1018">
        <f t="shared" si="193"/>
        <v>0</v>
      </c>
      <c r="CD170" s="1018">
        <f t="shared" ca="1" si="242"/>
        <v>406.51532992927037</v>
      </c>
      <c r="CE170" s="1018">
        <f t="shared" ref="CE170:CE179" ca="1" si="246">0.34*BO170*(1/25)^0.66*(BR170+BS170+BU170+BV170)</f>
        <v>174.83241983450787</v>
      </c>
      <c r="CF170" s="1018">
        <f t="shared" ca="1" si="194"/>
        <v>17.440432492913349</v>
      </c>
      <c r="CG170" s="1018">
        <f t="shared" ca="1" si="195"/>
        <v>29037.622483401003</v>
      </c>
    </row>
    <row r="171" spans="4:85" x14ac:dyDescent="0.25">
      <c r="D171" s="668"/>
      <c r="E171" s="667"/>
      <c r="F171" s="673"/>
      <c r="G171" s="669"/>
      <c r="H171" s="673"/>
      <c r="I171" s="669"/>
      <c r="J171" s="673"/>
      <c r="K171" s="674"/>
      <c r="L171" s="673"/>
      <c r="M171" s="668"/>
      <c r="N171" s="668"/>
      <c r="O171" s="668"/>
      <c r="P171" s="668"/>
      <c r="Q171" s="668" t="s">
        <v>16</v>
      </c>
      <c r="R171" s="670">
        <v>0.73860000000000003</v>
      </c>
      <c r="S171" s="668"/>
      <c r="T171" s="678">
        <v>2.3400904917969252E-5</v>
      </c>
      <c r="U171" s="667"/>
      <c r="V171" s="176">
        <f t="shared" si="196"/>
        <v>2.3400904917969252E-5</v>
      </c>
      <c r="W171" s="176">
        <f t="shared" si="243"/>
        <v>2.3400904917969252E-5</v>
      </c>
      <c r="X171" s="176">
        <f t="shared" si="243"/>
        <v>2.3400904917969252E-5</v>
      </c>
      <c r="Y171" s="34">
        <f>X171/Calculation_sheet!M$67</f>
        <v>2.3401383382902202E-5</v>
      </c>
      <c r="Z171" s="176">
        <f ca="1">IF(AN171&gt;0,Y171*Calculation_sheet!C$87,0)</f>
        <v>0</v>
      </c>
      <c r="AA171" s="176">
        <f t="shared" ca="1" si="244"/>
        <v>2.3401383382902202E-5</v>
      </c>
      <c r="AB171" s="176">
        <f ca="1">IF(AP171&gt;0,AA171*Calculation_sheet!C$94,0)</f>
        <v>0</v>
      </c>
      <c r="AC171" s="176">
        <f t="shared" ca="1" si="231"/>
        <v>2.3401383382902202E-5</v>
      </c>
      <c r="AD171" s="958">
        <f ca="1">AC171*Calculation_sheet!C$99</f>
        <v>1.4040830029741321E-5</v>
      </c>
      <c r="AE171" s="176">
        <f t="shared" ca="1" si="231"/>
        <v>9.3605533531608815E-6</v>
      </c>
      <c r="AF171" s="176">
        <f t="shared" ca="1" si="245"/>
        <v>2.3401383382902202E-5</v>
      </c>
      <c r="AG171" s="958">
        <f ca="1">AF171*User_sheet!B$77/100</f>
        <v>0</v>
      </c>
      <c r="AH171" s="313"/>
      <c r="AI171" s="3">
        <v>302</v>
      </c>
      <c r="AK171" s="1018">
        <f t="shared" ca="1" si="190"/>
        <v>406.51532992927037</v>
      </c>
      <c r="AL171" s="924">
        <f ca="1">AK171/'302'!I$24</f>
        <v>1.0362358652288308</v>
      </c>
      <c r="AM171" s="924">
        <f ca="1">0.8*(AK171*30+'302'!D$17*0.34*30*1)</f>
        <v>14822.554918302492</v>
      </c>
      <c r="AN171" s="954">
        <f ca="1">IF(AM171&lt;User_sheet!B$50,Y171,0)</f>
        <v>0</v>
      </c>
      <c r="AO171" s="954">
        <f ca="1">20-(User_sheet!B$57/(AK171+'302'!D$17*1*0.34))</f>
        <v>10.770821848594869</v>
      </c>
      <c r="AP171" s="954">
        <f ca="1">IF(AO171&lt;User_sheet!B$59,0,BC171*AA171)</f>
        <v>2.3401383382902202E-5</v>
      </c>
      <c r="AR171" s="2">
        <v>0.47</v>
      </c>
      <c r="AS171" s="2">
        <v>2.1</v>
      </c>
      <c r="AT171" s="2">
        <v>0.89</v>
      </c>
      <c r="AU171" s="2">
        <v>2.75</v>
      </c>
      <c r="AV171" s="2">
        <v>3.3</v>
      </c>
      <c r="AW171" s="2">
        <v>11617.129718053829</v>
      </c>
      <c r="AX171" s="2">
        <v>74715.401027665983</v>
      </c>
      <c r="AY171" s="2">
        <v>79015.992973719694</v>
      </c>
      <c r="AZ171" s="2">
        <v>0</v>
      </c>
      <c r="BA171" s="2">
        <v>0</v>
      </c>
      <c r="BB171" s="2">
        <v>0.6</v>
      </c>
      <c r="BC171" s="30">
        <v>1</v>
      </c>
      <c r="BD171" s="34">
        <v>0</v>
      </c>
      <c r="BE171" s="34">
        <v>0</v>
      </c>
      <c r="BF171" s="40">
        <v>0</v>
      </c>
      <c r="BG171" s="2">
        <v>0</v>
      </c>
      <c r="BH171" s="2">
        <v>1</v>
      </c>
      <c r="BI171" s="40">
        <v>0</v>
      </c>
      <c r="BJ171" s="2">
        <v>1</v>
      </c>
      <c r="BK171" s="2">
        <v>0</v>
      </c>
      <c r="BL171" s="2">
        <v>0</v>
      </c>
      <c r="BM171" s="40">
        <v>0</v>
      </c>
      <c r="BN171" s="958">
        <v>0</v>
      </c>
      <c r="BO171" s="959">
        <v>14.9</v>
      </c>
      <c r="BP171" s="1018">
        <f t="shared" ca="1" si="232"/>
        <v>215.65</v>
      </c>
      <c r="BQ171" s="1018">
        <f t="shared" ca="1" si="233"/>
        <v>486.07500000000005</v>
      </c>
      <c r="BR171" s="1018">
        <f t="shared" ca="1" si="234"/>
        <v>117.8</v>
      </c>
      <c r="BS171" s="1018">
        <f t="shared" ca="1" si="235"/>
        <v>103.97</v>
      </c>
      <c r="BT171" s="1018">
        <f t="shared" ca="1" si="236"/>
        <v>53.9</v>
      </c>
      <c r="BU171" s="1018">
        <f t="shared" ca="1" si="237"/>
        <v>62.730000000000004</v>
      </c>
      <c r="BV171" s="1018">
        <f t="shared" ca="1" si="238"/>
        <v>4.3</v>
      </c>
      <c r="BW171" s="1018">
        <v>0</v>
      </c>
      <c r="BX171" s="1018">
        <f t="shared" ca="1" si="239"/>
        <v>51.195290346443095</v>
      </c>
      <c r="BY171" s="1018">
        <f t="shared" ca="1" si="240"/>
        <v>160.07111436950146</v>
      </c>
      <c r="BZ171" s="1018">
        <f t="shared" ca="1" si="191"/>
        <v>13.714707750952986</v>
      </c>
      <c r="CA171" s="1018">
        <f t="shared" ca="1" si="192"/>
        <v>172.50749990512088</v>
      </c>
      <c r="CB171" s="1018">
        <f t="shared" ca="1" si="241"/>
        <v>9.0267175572519083</v>
      </c>
      <c r="CC171" s="1018">
        <f t="shared" si="193"/>
        <v>0</v>
      </c>
      <c r="CD171" s="1018">
        <f t="shared" ca="1" si="242"/>
        <v>406.51532992927037</v>
      </c>
      <c r="CE171" s="1018">
        <f t="shared" ca="1" si="246"/>
        <v>174.83241983450787</v>
      </c>
      <c r="CF171" s="1018">
        <f t="shared" ca="1" si="194"/>
        <v>17.440432492913349</v>
      </c>
      <c r="CG171" s="1018">
        <f t="shared" ca="1" si="195"/>
        <v>29037.622483401003</v>
      </c>
    </row>
    <row r="172" spans="4:85" x14ac:dyDescent="0.25">
      <c r="D172" s="668"/>
      <c r="E172" s="667"/>
      <c r="F172" s="673"/>
      <c r="G172" s="669"/>
      <c r="H172" s="673"/>
      <c r="I172" s="669"/>
      <c r="J172" s="673"/>
      <c r="K172" s="674"/>
      <c r="L172" s="673"/>
      <c r="M172" s="668" t="s">
        <v>16</v>
      </c>
      <c r="N172" s="670">
        <v>0.44680851100000002</v>
      </c>
      <c r="O172" s="668" t="s">
        <v>19</v>
      </c>
      <c r="P172" s="670">
        <v>0.37046004799999999</v>
      </c>
      <c r="Q172" s="668" t="s">
        <v>7</v>
      </c>
      <c r="R172" s="670">
        <v>0.26140000000000002</v>
      </c>
      <c r="S172" s="668"/>
      <c r="T172" s="678">
        <v>8.2818799696143546E-6</v>
      </c>
      <c r="U172" s="667"/>
      <c r="V172" s="176">
        <f t="shared" si="196"/>
        <v>8.2818799696143546E-6</v>
      </c>
      <c r="W172" s="176">
        <f t="shared" si="243"/>
        <v>8.2818799696143546E-6</v>
      </c>
      <c r="X172" s="176">
        <f t="shared" si="243"/>
        <v>8.2818799696143546E-6</v>
      </c>
      <c r="Y172" s="34">
        <f>X172/Calculation_sheet!M$67</f>
        <v>8.2820493044823122E-6</v>
      </c>
      <c r="Z172" s="176">
        <f ca="1">IF(AN172&gt;0,Y172*Calculation_sheet!C$87,0)</f>
        <v>0</v>
      </c>
      <c r="AA172" s="176">
        <f t="shared" ca="1" si="244"/>
        <v>8.2820493044823122E-6</v>
      </c>
      <c r="AB172" s="176">
        <f ca="1">IF(AP172&gt;0,AA172*Calculation_sheet!C$94,0)</f>
        <v>0</v>
      </c>
      <c r="AC172" s="176">
        <f t="shared" ca="1" si="231"/>
        <v>8.2820493044823122E-6</v>
      </c>
      <c r="AD172" s="958">
        <f ca="1">AC172*Calculation_sheet!C$99</f>
        <v>4.9692295826893871E-6</v>
      </c>
      <c r="AE172" s="176">
        <f t="shared" ca="1" si="231"/>
        <v>3.312819721792925E-6</v>
      </c>
      <c r="AF172" s="176">
        <f t="shared" ca="1" si="245"/>
        <v>8.2820493044823122E-6</v>
      </c>
      <c r="AG172" s="958">
        <f ca="1">AF172*User_sheet!B$77/100</f>
        <v>0</v>
      </c>
      <c r="AH172" s="313"/>
      <c r="AI172" s="3">
        <v>302</v>
      </c>
      <c r="AK172" s="1018">
        <f t="shared" ca="1" si="190"/>
        <v>406.51532992927037</v>
      </c>
      <c r="AL172" s="924">
        <f ca="1">AK172/'302'!I$24</f>
        <v>1.0362358652288308</v>
      </c>
      <c r="AM172" s="924">
        <f ca="1">0.8*(AK172*30+'302'!D$17*0.34*30*1)</f>
        <v>14822.554918302492</v>
      </c>
      <c r="AN172" s="954">
        <f ca="1">IF(AM172&lt;User_sheet!B$50,Y172,0)</f>
        <v>0</v>
      </c>
      <c r="AO172" s="954">
        <f ca="1">20-(User_sheet!B$57/(AK172+'302'!D$17*1*0.34))</f>
        <v>10.770821848594869</v>
      </c>
      <c r="AP172" s="954">
        <f ca="1">IF(AO172&lt;User_sheet!B$59,0,BC172*AA172)</f>
        <v>8.2820493044823122E-6</v>
      </c>
      <c r="AR172" s="2">
        <v>0.47</v>
      </c>
      <c r="AS172" s="2">
        <v>2.1</v>
      </c>
      <c r="AT172" s="2">
        <v>0.89</v>
      </c>
      <c r="AU172" s="2">
        <v>2.75</v>
      </c>
      <c r="AV172" s="2">
        <v>3.3</v>
      </c>
      <c r="AW172" s="2">
        <v>11617.129718053829</v>
      </c>
      <c r="AX172" s="2">
        <v>74715.401027665983</v>
      </c>
      <c r="AY172" s="2">
        <v>79015.992973719694</v>
      </c>
      <c r="AZ172" s="2">
        <v>0</v>
      </c>
      <c r="BA172" s="2">
        <v>0</v>
      </c>
      <c r="BB172" s="2">
        <v>0.6</v>
      </c>
      <c r="BC172" s="30">
        <v>1</v>
      </c>
      <c r="BD172" s="34">
        <v>0</v>
      </c>
      <c r="BE172" s="34">
        <v>0</v>
      </c>
      <c r="BF172" s="40">
        <v>0</v>
      </c>
      <c r="BG172" s="2">
        <v>0</v>
      </c>
      <c r="BH172" s="2">
        <v>1</v>
      </c>
      <c r="BI172" s="40">
        <v>0</v>
      </c>
      <c r="BJ172" s="2">
        <v>0</v>
      </c>
      <c r="BK172" s="2">
        <v>0</v>
      </c>
      <c r="BL172" s="2">
        <v>1</v>
      </c>
      <c r="BM172" s="40">
        <v>0</v>
      </c>
      <c r="BN172" s="958">
        <v>0</v>
      </c>
      <c r="BO172" s="959">
        <v>14.9</v>
      </c>
      <c r="BP172" s="1018">
        <f t="shared" ca="1" si="232"/>
        <v>215.65</v>
      </c>
      <c r="BQ172" s="1018">
        <f t="shared" ca="1" si="233"/>
        <v>486.07500000000005</v>
      </c>
      <c r="BR172" s="1018">
        <f t="shared" ca="1" si="234"/>
        <v>117.8</v>
      </c>
      <c r="BS172" s="1018">
        <f t="shared" ca="1" si="235"/>
        <v>103.97</v>
      </c>
      <c r="BT172" s="1018">
        <f t="shared" ca="1" si="236"/>
        <v>53.9</v>
      </c>
      <c r="BU172" s="1018">
        <f t="shared" ca="1" si="237"/>
        <v>62.730000000000004</v>
      </c>
      <c r="BV172" s="1018">
        <f t="shared" ca="1" si="238"/>
        <v>4.3</v>
      </c>
      <c r="BW172" s="1018">
        <v>0</v>
      </c>
      <c r="BX172" s="1018">
        <f t="shared" ca="1" si="239"/>
        <v>51.195290346443095</v>
      </c>
      <c r="BY172" s="1018">
        <f t="shared" ca="1" si="240"/>
        <v>160.07111436950146</v>
      </c>
      <c r="BZ172" s="1018">
        <f t="shared" ca="1" si="191"/>
        <v>13.714707750952986</v>
      </c>
      <c r="CA172" s="1018">
        <f t="shared" ca="1" si="192"/>
        <v>172.50749990512088</v>
      </c>
      <c r="CB172" s="1018">
        <f t="shared" ca="1" si="241"/>
        <v>9.0267175572519083</v>
      </c>
      <c r="CC172" s="1018">
        <f t="shared" si="193"/>
        <v>0</v>
      </c>
      <c r="CD172" s="1018">
        <f t="shared" ca="1" si="242"/>
        <v>406.51532992927037</v>
      </c>
      <c r="CE172" s="1018">
        <f t="shared" ca="1" si="246"/>
        <v>174.83241983450787</v>
      </c>
      <c r="CF172" s="1018">
        <f t="shared" ca="1" si="194"/>
        <v>17.440432492913349</v>
      </c>
      <c r="CG172" s="1018">
        <f t="shared" ca="1" si="195"/>
        <v>29037.622483401003</v>
      </c>
    </row>
    <row r="173" spans="4:85" x14ac:dyDescent="0.25">
      <c r="D173" s="668"/>
      <c r="E173" s="667"/>
      <c r="F173" s="673"/>
      <c r="G173" s="669"/>
      <c r="H173" s="673"/>
      <c r="I173" s="669"/>
      <c r="J173" s="673"/>
      <c r="K173" s="674"/>
      <c r="L173" s="673"/>
      <c r="M173" s="668"/>
      <c r="N173" s="668"/>
      <c r="O173" s="668"/>
      <c r="P173" s="668"/>
      <c r="Q173" s="668" t="s">
        <v>22</v>
      </c>
      <c r="R173" s="670">
        <v>0.53710000000000002</v>
      </c>
      <c r="S173" s="668"/>
      <c r="T173" s="678">
        <v>3.7127349460926538E-5</v>
      </c>
      <c r="U173" s="667"/>
      <c r="V173" s="176">
        <f t="shared" si="196"/>
        <v>3.7127349460926538E-5</v>
      </c>
      <c r="W173" s="176">
        <f t="shared" si="243"/>
        <v>3.7127349460926538E-5</v>
      </c>
      <c r="X173" s="176">
        <f t="shared" si="243"/>
        <v>3.7127349460926538E-5</v>
      </c>
      <c r="Y173" s="34">
        <f>X173/Calculation_sheet!M$67</f>
        <v>3.7128108582628573E-5</v>
      </c>
      <c r="Z173" s="176">
        <f ca="1">IF(AN173&gt;0,Y173*Calculation_sheet!C$87,0)</f>
        <v>0</v>
      </c>
      <c r="AA173" s="176">
        <f t="shared" ca="1" si="244"/>
        <v>3.7128108582628573E-5</v>
      </c>
      <c r="AB173" s="176">
        <f ca="1">IF(AP173&gt;0,AA173*Calculation_sheet!C$94,0)</f>
        <v>0</v>
      </c>
      <c r="AC173" s="176">
        <f t="shared" ca="1" si="231"/>
        <v>3.7128108582628573E-5</v>
      </c>
      <c r="AD173" s="958">
        <f ca="1">AC173*Calculation_sheet!C$99</f>
        <v>2.2276865149577143E-5</v>
      </c>
      <c r="AE173" s="176">
        <f t="shared" ca="1" si="231"/>
        <v>1.4851243433051431E-5</v>
      </c>
      <c r="AF173" s="176">
        <f t="shared" ca="1" si="245"/>
        <v>3.7128108582628573E-5</v>
      </c>
      <c r="AG173" s="958">
        <f ca="1">AF173*User_sheet!B$77/100</f>
        <v>0</v>
      </c>
      <c r="AH173" s="313"/>
      <c r="AI173" s="3">
        <v>302</v>
      </c>
      <c r="AK173" s="1018">
        <f t="shared" ca="1" si="190"/>
        <v>406.51532992927037</v>
      </c>
      <c r="AL173" s="924">
        <f ca="1">AK173/'302'!I$24</f>
        <v>1.0362358652288308</v>
      </c>
      <c r="AM173" s="924">
        <f ca="1">0.8*(AK173*30+'302'!D$17*0.34*30*1)</f>
        <v>14822.554918302492</v>
      </c>
      <c r="AN173" s="954">
        <f ca="1">IF(AM173&lt;User_sheet!B$50,Y173,0)</f>
        <v>0</v>
      </c>
      <c r="AO173" s="954">
        <f ca="1">20-(User_sheet!B$57/(AK173+'302'!D$17*1*0.34))</f>
        <v>10.770821848594869</v>
      </c>
      <c r="AP173" s="954">
        <f ca="1">IF(AO173&lt;User_sheet!B$59,0,BC173*AA173)</f>
        <v>0</v>
      </c>
      <c r="AR173" s="2">
        <v>0.47</v>
      </c>
      <c r="AS173" s="2">
        <v>2.1</v>
      </c>
      <c r="AT173" s="2">
        <v>0.89</v>
      </c>
      <c r="AU173" s="2">
        <v>2.75</v>
      </c>
      <c r="AV173" s="2">
        <v>3.3</v>
      </c>
      <c r="AW173" s="2">
        <v>11617.129718053829</v>
      </c>
      <c r="AX173" s="2">
        <v>74715.401027665983</v>
      </c>
      <c r="AY173" s="2">
        <v>79015.992973719694</v>
      </c>
      <c r="AZ173" s="2">
        <v>0</v>
      </c>
      <c r="BA173" s="2">
        <v>0</v>
      </c>
      <c r="BB173" s="2">
        <v>0.6</v>
      </c>
      <c r="BC173" s="30">
        <v>0</v>
      </c>
      <c r="BD173" s="34">
        <v>1</v>
      </c>
      <c r="BE173" s="34">
        <v>0</v>
      </c>
      <c r="BF173" s="40">
        <v>0</v>
      </c>
      <c r="BG173" s="2">
        <v>1</v>
      </c>
      <c r="BH173" s="2">
        <v>0</v>
      </c>
      <c r="BI173" s="40">
        <v>0</v>
      </c>
      <c r="BJ173" s="2">
        <v>0</v>
      </c>
      <c r="BK173" s="2">
        <v>1</v>
      </c>
      <c r="BL173" s="2">
        <v>0</v>
      </c>
      <c r="BM173" s="40">
        <v>0</v>
      </c>
      <c r="BN173" s="958">
        <v>0</v>
      </c>
      <c r="BO173" s="959">
        <v>14.9</v>
      </c>
      <c r="BP173" s="1018">
        <f t="shared" ca="1" si="232"/>
        <v>215.65</v>
      </c>
      <c r="BQ173" s="1018">
        <f t="shared" ca="1" si="233"/>
        <v>486.07500000000005</v>
      </c>
      <c r="BR173" s="1018">
        <f t="shared" ca="1" si="234"/>
        <v>117.8</v>
      </c>
      <c r="BS173" s="1018">
        <f t="shared" ca="1" si="235"/>
        <v>103.97</v>
      </c>
      <c r="BT173" s="1018">
        <f t="shared" ca="1" si="236"/>
        <v>53.9</v>
      </c>
      <c r="BU173" s="1018">
        <f t="shared" ca="1" si="237"/>
        <v>62.730000000000004</v>
      </c>
      <c r="BV173" s="1018">
        <f t="shared" ca="1" si="238"/>
        <v>4.3</v>
      </c>
      <c r="BW173" s="1018">
        <v>0</v>
      </c>
      <c r="BX173" s="1018">
        <f t="shared" ca="1" si="239"/>
        <v>51.195290346443095</v>
      </c>
      <c r="BY173" s="1018">
        <f t="shared" ca="1" si="240"/>
        <v>160.07111436950146</v>
      </c>
      <c r="BZ173" s="1018">
        <f t="shared" ca="1" si="191"/>
        <v>13.714707750952986</v>
      </c>
      <c r="CA173" s="1018">
        <f t="shared" ca="1" si="192"/>
        <v>172.50749990512088</v>
      </c>
      <c r="CB173" s="1018">
        <f t="shared" ca="1" si="241"/>
        <v>9.0267175572519083</v>
      </c>
      <c r="CC173" s="1018">
        <f t="shared" si="193"/>
        <v>0</v>
      </c>
      <c r="CD173" s="1018">
        <f t="shared" ca="1" si="242"/>
        <v>406.51532992927037</v>
      </c>
      <c r="CE173" s="1018">
        <f t="shared" ca="1" si="246"/>
        <v>174.83241983450787</v>
      </c>
      <c r="CF173" s="1018">
        <f t="shared" ca="1" si="194"/>
        <v>17.440432492913349</v>
      </c>
      <c r="CG173" s="1018">
        <f t="shared" ca="1" si="195"/>
        <v>29037.622483401003</v>
      </c>
    </row>
    <row r="174" spans="4:85" x14ac:dyDescent="0.25">
      <c r="D174" s="668"/>
      <c r="E174" s="667"/>
      <c r="F174" s="673"/>
      <c r="G174" s="669"/>
      <c r="H174" s="673"/>
      <c r="I174" s="669"/>
      <c r="J174" s="673"/>
      <c r="K174" s="674"/>
      <c r="L174" s="673"/>
      <c r="M174" s="668"/>
      <c r="N174" s="668"/>
      <c r="O174" s="668" t="s">
        <v>18</v>
      </c>
      <c r="P174" s="670">
        <v>0.80827067699999999</v>
      </c>
      <c r="Q174" s="668" t="s">
        <v>7</v>
      </c>
      <c r="R174" s="670">
        <v>0.46289999999999998</v>
      </c>
      <c r="S174" s="668"/>
      <c r="T174" s="678">
        <v>3.199823136373654E-5</v>
      </c>
      <c r="U174" s="667"/>
      <c r="V174" s="176">
        <f t="shared" si="196"/>
        <v>3.199823136373654E-5</v>
      </c>
      <c r="W174" s="176">
        <f t="shared" si="243"/>
        <v>3.199823136373654E-5</v>
      </c>
      <c r="X174" s="176">
        <f t="shared" si="243"/>
        <v>3.199823136373654E-5</v>
      </c>
      <c r="Y174" s="34">
        <f>X174/Calculation_sheet!M$67</f>
        <v>3.1998885613291321E-5</v>
      </c>
      <c r="Z174" s="176">
        <f ca="1">IF(AN174&gt;0,Y174*Calculation_sheet!C$87,0)</f>
        <v>0</v>
      </c>
      <c r="AA174" s="176">
        <f t="shared" ca="1" si="244"/>
        <v>3.1998885613291321E-5</v>
      </c>
      <c r="AB174" s="176">
        <f ca="1">IF(AP174&gt;0,AA174*Calculation_sheet!C$94,0)</f>
        <v>0</v>
      </c>
      <c r="AC174" s="176">
        <f t="shared" ca="1" si="231"/>
        <v>3.1998885613291321E-5</v>
      </c>
      <c r="AD174" s="958">
        <f ca="1">AC174*Calculation_sheet!C$99</f>
        <v>1.9199331367974791E-5</v>
      </c>
      <c r="AE174" s="176">
        <f t="shared" ca="1" si="231"/>
        <v>1.279955424531653E-5</v>
      </c>
      <c r="AF174" s="176">
        <f t="shared" ca="1" si="245"/>
        <v>3.1998885613291321E-5</v>
      </c>
      <c r="AG174" s="958">
        <f ca="1">AF174*User_sheet!B$77/100</f>
        <v>0</v>
      </c>
      <c r="AH174" s="313"/>
      <c r="AI174" s="3">
        <v>302</v>
      </c>
      <c r="AK174" s="1018">
        <f t="shared" ca="1" si="190"/>
        <v>406.51532992927037</v>
      </c>
      <c r="AL174" s="924">
        <f ca="1">AK174/'302'!I$24</f>
        <v>1.0362358652288308</v>
      </c>
      <c r="AM174" s="924">
        <f ca="1">0.8*(AK174*30+'302'!D$17*0.34*30*1)</f>
        <v>14822.554918302492</v>
      </c>
      <c r="AN174" s="954">
        <f ca="1">IF(AM174&lt;User_sheet!B$50,Y174,0)</f>
        <v>0</v>
      </c>
      <c r="AO174" s="954">
        <f ca="1">20-(User_sheet!B$57/(AK174+'302'!D$17*1*0.34))</f>
        <v>10.770821848594869</v>
      </c>
      <c r="AP174" s="954">
        <f ca="1">IF(AO174&lt;User_sheet!B$59,0,BC174*AA174)</f>
        <v>0</v>
      </c>
      <c r="AR174" s="2">
        <v>0.47</v>
      </c>
      <c r="AS174" s="2">
        <v>2.1</v>
      </c>
      <c r="AT174" s="2">
        <v>0.89</v>
      </c>
      <c r="AU174" s="2">
        <v>2.75</v>
      </c>
      <c r="AV174" s="2">
        <v>3.3</v>
      </c>
      <c r="AW174" s="2">
        <v>11617.129718053829</v>
      </c>
      <c r="AX174" s="2">
        <v>74715.401027665983</v>
      </c>
      <c r="AY174" s="2">
        <v>79015.992973719694</v>
      </c>
      <c r="AZ174" s="2">
        <v>0</v>
      </c>
      <c r="BA174" s="2">
        <v>0</v>
      </c>
      <c r="BB174" s="2">
        <v>0.6</v>
      </c>
      <c r="BC174" s="30">
        <v>0</v>
      </c>
      <c r="BD174" s="34">
        <v>1</v>
      </c>
      <c r="BE174" s="34">
        <v>0</v>
      </c>
      <c r="BF174" s="40">
        <v>0</v>
      </c>
      <c r="BG174" s="2">
        <v>1</v>
      </c>
      <c r="BH174" s="2">
        <v>0</v>
      </c>
      <c r="BI174" s="40">
        <v>0</v>
      </c>
      <c r="BJ174" s="2">
        <v>0</v>
      </c>
      <c r="BK174" s="2">
        <v>0</v>
      </c>
      <c r="BL174" s="2">
        <v>1</v>
      </c>
      <c r="BM174" s="40">
        <v>0</v>
      </c>
      <c r="BN174" s="958">
        <v>0</v>
      </c>
      <c r="BO174" s="959">
        <v>14.9</v>
      </c>
      <c r="BP174" s="1018">
        <f t="shared" ca="1" si="232"/>
        <v>215.65</v>
      </c>
      <c r="BQ174" s="1018">
        <f t="shared" ca="1" si="233"/>
        <v>486.07500000000005</v>
      </c>
      <c r="BR174" s="1018">
        <f t="shared" ca="1" si="234"/>
        <v>117.8</v>
      </c>
      <c r="BS174" s="1018">
        <f t="shared" ca="1" si="235"/>
        <v>103.97</v>
      </c>
      <c r="BT174" s="1018">
        <f t="shared" ca="1" si="236"/>
        <v>53.9</v>
      </c>
      <c r="BU174" s="1018">
        <f t="shared" ca="1" si="237"/>
        <v>62.730000000000004</v>
      </c>
      <c r="BV174" s="1018">
        <f t="shared" ca="1" si="238"/>
        <v>4.3</v>
      </c>
      <c r="BW174" s="1018">
        <v>0</v>
      </c>
      <c r="BX174" s="1018">
        <f t="shared" ca="1" si="239"/>
        <v>51.195290346443095</v>
      </c>
      <c r="BY174" s="1018">
        <f t="shared" ca="1" si="240"/>
        <v>160.07111436950146</v>
      </c>
      <c r="BZ174" s="1018">
        <f t="shared" ca="1" si="191"/>
        <v>13.714707750952986</v>
      </c>
      <c r="CA174" s="1018">
        <f t="shared" ca="1" si="192"/>
        <v>172.50749990512088</v>
      </c>
      <c r="CB174" s="1018">
        <f t="shared" ca="1" si="241"/>
        <v>9.0267175572519083</v>
      </c>
      <c r="CC174" s="1018">
        <f t="shared" si="193"/>
        <v>0</v>
      </c>
      <c r="CD174" s="1018">
        <f t="shared" ca="1" si="242"/>
        <v>406.51532992927037</v>
      </c>
      <c r="CE174" s="1018">
        <f t="shared" ca="1" si="246"/>
        <v>174.83241983450787</v>
      </c>
      <c r="CF174" s="1018">
        <f t="shared" ca="1" si="194"/>
        <v>17.440432492913349</v>
      </c>
      <c r="CG174" s="1018">
        <f t="shared" ca="1" si="195"/>
        <v>29037.622483401003</v>
      </c>
    </row>
    <row r="175" spans="4:85" x14ac:dyDescent="0.25">
      <c r="D175" s="668"/>
      <c r="E175" s="667"/>
      <c r="F175" s="673"/>
      <c r="G175" s="669"/>
      <c r="H175" s="673"/>
      <c r="I175" s="669"/>
      <c r="J175" s="673"/>
      <c r="K175" s="674"/>
      <c r="L175" s="673"/>
      <c r="M175" s="668"/>
      <c r="N175" s="668"/>
      <c r="O175" s="668"/>
      <c r="P175" s="668"/>
      <c r="Q175" s="668" t="s">
        <v>22</v>
      </c>
      <c r="R175" s="670">
        <v>0.53710000000000002</v>
      </c>
      <c r="S175" s="668"/>
      <c r="T175" s="678">
        <v>8.8069526453053043E-6</v>
      </c>
      <c r="U175" s="667"/>
      <c r="V175" s="176">
        <f t="shared" si="196"/>
        <v>8.8069526453053043E-6</v>
      </c>
      <c r="W175" s="176">
        <f t="shared" si="243"/>
        <v>8.8069526453053043E-6</v>
      </c>
      <c r="X175" s="176">
        <f t="shared" si="243"/>
        <v>8.8069526453053043E-6</v>
      </c>
      <c r="Y175" s="34">
        <f>X175/Calculation_sheet!M$67</f>
        <v>8.8071327160342655E-6</v>
      </c>
      <c r="Z175" s="176">
        <f ca="1">IF(AN175&gt;0,Y175*Calculation_sheet!C$87,0)</f>
        <v>0</v>
      </c>
      <c r="AA175" s="176">
        <f t="shared" ca="1" si="244"/>
        <v>8.8071327160342655E-6</v>
      </c>
      <c r="AB175" s="176">
        <f ca="1">IF(AP175&gt;0,AA175*Calculation_sheet!C$94,0)</f>
        <v>0</v>
      </c>
      <c r="AC175" s="176">
        <f t="shared" ca="1" si="231"/>
        <v>8.8071327160342655E-6</v>
      </c>
      <c r="AD175" s="958">
        <f ca="1">AC175*Calculation_sheet!C$99</f>
        <v>5.2842796296205593E-6</v>
      </c>
      <c r="AE175" s="176">
        <f t="shared" ca="1" si="231"/>
        <v>3.5228530864137062E-6</v>
      </c>
      <c r="AF175" s="176">
        <f t="shared" ca="1" si="245"/>
        <v>8.8071327160342655E-6</v>
      </c>
      <c r="AG175" s="958">
        <f ca="1">AF175*User_sheet!B$77/100</f>
        <v>0</v>
      </c>
      <c r="AH175" s="313"/>
      <c r="AI175" s="3">
        <v>302</v>
      </c>
      <c r="AK175" s="1018">
        <f t="shared" ca="1" si="190"/>
        <v>406.51532992927037</v>
      </c>
      <c r="AL175" s="924">
        <f ca="1">AK175/'302'!I$24</f>
        <v>1.0362358652288308</v>
      </c>
      <c r="AM175" s="924">
        <f ca="1">0.8*(AK175*30+'302'!D$17*0.34*30*1)</f>
        <v>14822.554918302492</v>
      </c>
      <c r="AN175" s="954">
        <f ca="1">IF(AM175&lt;User_sheet!B$50,Y175,0)</f>
        <v>0</v>
      </c>
      <c r="AO175" s="954">
        <f ca="1">20-(User_sheet!B$57/(AK175+'302'!D$17*1*0.34))</f>
        <v>10.770821848594869</v>
      </c>
      <c r="AP175" s="954">
        <f ca="1">IF(AO175&lt;User_sheet!B$59,0,BC175*AA175)</f>
        <v>0</v>
      </c>
      <c r="AR175" s="2">
        <v>0.47</v>
      </c>
      <c r="AS175" s="2">
        <v>2.1</v>
      </c>
      <c r="AT175" s="2">
        <v>0.89</v>
      </c>
      <c r="AU175" s="2">
        <v>2.75</v>
      </c>
      <c r="AV175" s="2">
        <v>3.3</v>
      </c>
      <c r="AW175" s="2">
        <v>11617.129718053829</v>
      </c>
      <c r="AX175" s="2">
        <v>74715.401027665983</v>
      </c>
      <c r="AY175" s="2">
        <v>79015.992973719694</v>
      </c>
      <c r="AZ175" s="2">
        <v>0</v>
      </c>
      <c r="BA175" s="2">
        <v>0</v>
      </c>
      <c r="BB175" s="2">
        <v>0.6</v>
      </c>
      <c r="BC175" s="30">
        <v>0</v>
      </c>
      <c r="BD175" s="34">
        <v>1</v>
      </c>
      <c r="BE175" s="34">
        <v>0</v>
      </c>
      <c r="BF175" s="40">
        <v>0</v>
      </c>
      <c r="BG175" s="2">
        <v>0</v>
      </c>
      <c r="BH175" s="2">
        <v>1</v>
      </c>
      <c r="BI175" s="40">
        <v>0</v>
      </c>
      <c r="BJ175" s="2">
        <v>0</v>
      </c>
      <c r="BK175" s="2">
        <v>1</v>
      </c>
      <c r="BL175" s="2">
        <v>0</v>
      </c>
      <c r="BM175" s="40">
        <v>0</v>
      </c>
      <c r="BN175" s="958">
        <v>0</v>
      </c>
      <c r="BO175" s="959">
        <v>14.9</v>
      </c>
      <c r="BP175" s="1018">
        <f t="shared" ca="1" si="232"/>
        <v>215.65</v>
      </c>
      <c r="BQ175" s="1018">
        <f t="shared" ca="1" si="233"/>
        <v>486.07500000000005</v>
      </c>
      <c r="BR175" s="1018">
        <f t="shared" ca="1" si="234"/>
        <v>117.8</v>
      </c>
      <c r="BS175" s="1018">
        <f t="shared" ca="1" si="235"/>
        <v>103.97</v>
      </c>
      <c r="BT175" s="1018">
        <f t="shared" ca="1" si="236"/>
        <v>53.9</v>
      </c>
      <c r="BU175" s="1018">
        <f t="shared" ca="1" si="237"/>
        <v>62.730000000000004</v>
      </c>
      <c r="BV175" s="1018">
        <f t="shared" ca="1" si="238"/>
        <v>4.3</v>
      </c>
      <c r="BW175" s="1018">
        <v>0</v>
      </c>
      <c r="BX175" s="1018">
        <f t="shared" ca="1" si="239"/>
        <v>51.195290346443095</v>
      </c>
      <c r="BY175" s="1018">
        <f t="shared" ca="1" si="240"/>
        <v>160.07111436950146</v>
      </c>
      <c r="BZ175" s="1018">
        <f t="shared" ca="1" si="191"/>
        <v>13.714707750952986</v>
      </c>
      <c r="CA175" s="1018">
        <f t="shared" ca="1" si="192"/>
        <v>172.50749990512088</v>
      </c>
      <c r="CB175" s="1018">
        <f t="shared" ca="1" si="241"/>
        <v>9.0267175572519083</v>
      </c>
      <c r="CC175" s="1018">
        <f t="shared" si="193"/>
        <v>0</v>
      </c>
      <c r="CD175" s="1018">
        <f t="shared" ca="1" si="242"/>
        <v>406.51532992927037</v>
      </c>
      <c r="CE175" s="1018">
        <f t="shared" ca="1" si="246"/>
        <v>174.83241983450787</v>
      </c>
      <c r="CF175" s="1018">
        <f t="shared" ca="1" si="194"/>
        <v>17.440432492913349</v>
      </c>
      <c r="CG175" s="1018">
        <f t="shared" ca="1" si="195"/>
        <v>29037.622483401003</v>
      </c>
    </row>
    <row r="176" spans="4:85" x14ac:dyDescent="0.25">
      <c r="D176" s="668"/>
      <c r="E176" s="667"/>
      <c r="F176" s="673"/>
      <c r="G176" s="669"/>
      <c r="H176" s="673"/>
      <c r="I176" s="669"/>
      <c r="J176" s="673"/>
      <c r="K176" s="674"/>
      <c r="L176" s="673"/>
      <c r="M176" s="668" t="s">
        <v>22</v>
      </c>
      <c r="N176" s="670">
        <v>0.44680851100000002</v>
      </c>
      <c r="O176" s="668" t="s">
        <v>20</v>
      </c>
      <c r="P176" s="670">
        <v>0.19172932300000001</v>
      </c>
      <c r="Q176" s="668" t="s">
        <v>7</v>
      </c>
      <c r="R176" s="670">
        <v>0.46289999999999998</v>
      </c>
      <c r="S176" s="668"/>
      <c r="T176" s="678">
        <v>7.5902781223456073E-6</v>
      </c>
      <c r="U176" s="667"/>
      <c r="V176" s="176">
        <f t="shared" si="196"/>
        <v>7.5902781223456073E-6</v>
      </c>
      <c r="W176" s="176">
        <f t="shared" si="243"/>
        <v>7.5902781223456073E-6</v>
      </c>
      <c r="X176" s="176">
        <f t="shared" si="243"/>
        <v>7.5902781223456073E-6</v>
      </c>
      <c r="Y176" s="34">
        <f>X176/Calculation_sheet!M$67</f>
        <v>7.5904333164257344E-6</v>
      </c>
      <c r="Z176" s="176">
        <f ca="1">IF(AN176&gt;0,Y176*Calculation_sheet!C$87,0)</f>
        <v>0</v>
      </c>
      <c r="AA176" s="176">
        <f t="shared" ca="1" si="244"/>
        <v>7.5904333164257344E-6</v>
      </c>
      <c r="AB176" s="176">
        <f ca="1">IF(AP176&gt;0,AA176*Calculation_sheet!C$94,0)</f>
        <v>0</v>
      </c>
      <c r="AC176" s="176">
        <f t="shared" ca="1" si="231"/>
        <v>7.5904333164257344E-6</v>
      </c>
      <c r="AD176" s="958">
        <f ca="1">AC176*Calculation_sheet!C$99</f>
        <v>4.5542599898554408E-6</v>
      </c>
      <c r="AE176" s="176">
        <f t="shared" ca="1" si="231"/>
        <v>3.0361733265702936E-6</v>
      </c>
      <c r="AF176" s="176">
        <f t="shared" ca="1" si="245"/>
        <v>7.5904333164257344E-6</v>
      </c>
      <c r="AG176" s="958">
        <f ca="1">AF176*User_sheet!B$77/100</f>
        <v>0</v>
      </c>
      <c r="AH176" s="313"/>
      <c r="AI176" s="3">
        <v>302</v>
      </c>
      <c r="AK176" s="1018">
        <f t="shared" ca="1" si="190"/>
        <v>406.51532992927037</v>
      </c>
      <c r="AL176" s="924">
        <f ca="1">AK176/'302'!I$24</f>
        <v>1.0362358652288308</v>
      </c>
      <c r="AM176" s="924">
        <f ca="1">0.8*(AK176*30+'302'!D$17*0.34*30*1)</f>
        <v>14822.554918302492</v>
      </c>
      <c r="AN176" s="954">
        <f ca="1">IF(AM176&lt;User_sheet!B$50,Y176,0)</f>
        <v>0</v>
      </c>
      <c r="AO176" s="954">
        <f ca="1">20-(User_sheet!B$57/(AK176+'302'!D$17*1*0.34))</f>
        <v>10.770821848594869</v>
      </c>
      <c r="AP176" s="954">
        <f ca="1">IF(AO176&lt;User_sheet!B$59,0,BC176*AA176)</f>
        <v>0</v>
      </c>
      <c r="AR176" s="2">
        <v>0.47</v>
      </c>
      <c r="AS176" s="2">
        <v>2.1</v>
      </c>
      <c r="AT176" s="2">
        <v>0.89</v>
      </c>
      <c r="AU176" s="2">
        <v>2.75</v>
      </c>
      <c r="AV176" s="2">
        <v>3.3</v>
      </c>
      <c r="AW176" s="2">
        <v>11617.129718053829</v>
      </c>
      <c r="AX176" s="2">
        <v>74715.401027665983</v>
      </c>
      <c r="AY176" s="2">
        <v>79015.992973719694</v>
      </c>
      <c r="AZ176" s="2">
        <v>0</v>
      </c>
      <c r="BA176" s="2">
        <v>0</v>
      </c>
      <c r="BB176" s="2">
        <v>0.6</v>
      </c>
      <c r="BC176" s="30">
        <v>0</v>
      </c>
      <c r="BD176" s="34">
        <v>1</v>
      </c>
      <c r="BE176" s="34">
        <v>0</v>
      </c>
      <c r="BF176" s="40">
        <v>0</v>
      </c>
      <c r="BG176" s="2">
        <v>0</v>
      </c>
      <c r="BH176" s="2">
        <v>1</v>
      </c>
      <c r="BI176" s="40">
        <v>0</v>
      </c>
      <c r="BJ176" s="2">
        <v>0</v>
      </c>
      <c r="BK176" s="2">
        <v>0</v>
      </c>
      <c r="BL176" s="2">
        <v>1</v>
      </c>
      <c r="BM176" s="40">
        <v>0</v>
      </c>
      <c r="BN176" s="958">
        <v>0</v>
      </c>
      <c r="BO176" s="959">
        <v>14.9</v>
      </c>
      <c r="BP176" s="1018">
        <f t="shared" ca="1" si="232"/>
        <v>215.65</v>
      </c>
      <c r="BQ176" s="1018">
        <f t="shared" ca="1" si="233"/>
        <v>486.07500000000005</v>
      </c>
      <c r="BR176" s="1018">
        <f t="shared" ca="1" si="234"/>
        <v>117.8</v>
      </c>
      <c r="BS176" s="1018">
        <f t="shared" ca="1" si="235"/>
        <v>103.97</v>
      </c>
      <c r="BT176" s="1018">
        <f t="shared" ca="1" si="236"/>
        <v>53.9</v>
      </c>
      <c r="BU176" s="1018">
        <f t="shared" ca="1" si="237"/>
        <v>62.730000000000004</v>
      </c>
      <c r="BV176" s="1018">
        <f t="shared" ca="1" si="238"/>
        <v>4.3</v>
      </c>
      <c r="BW176" s="1018">
        <v>0</v>
      </c>
      <c r="BX176" s="1018">
        <f t="shared" ca="1" si="239"/>
        <v>51.195290346443095</v>
      </c>
      <c r="BY176" s="1018">
        <f t="shared" ca="1" si="240"/>
        <v>160.07111436950146</v>
      </c>
      <c r="BZ176" s="1018">
        <f t="shared" ca="1" si="191"/>
        <v>13.714707750952986</v>
      </c>
      <c r="CA176" s="1018">
        <f t="shared" ca="1" si="192"/>
        <v>172.50749990512088</v>
      </c>
      <c r="CB176" s="1018">
        <f t="shared" ca="1" si="241"/>
        <v>9.0267175572519083</v>
      </c>
      <c r="CC176" s="1018">
        <f t="shared" si="193"/>
        <v>0</v>
      </c>
      <c r="CD176" s="1018">
        <f t="shared" ca="1" si="242"/>
        <v>406.51532992927037</v>
      </c>
      <c r="CE176" s="1018">
        <f t="shared" ca="1" si="246"/>
        <v>174.83241983450787</v>
      </c>
      <c r="CF176" s="1018">
        <f t="shared" ca="1" si="194"/>
        <v>17.440432492913349</v>
      </c>
      <c r="CG176" s="1018">
        <f t="shared" ca="1" si="195"/>
        <v>29037.622483401003</v>
      </c>
    </row>
    <row r="177" spans="4:85" x14ac:dyDescent="0.25">
      <c r="D177" s="668"/>
      <c r="E177" s="667"/>
      <c r="F177" s="668"/>
      <c r="G177" s="667"/>
      <c r="H177" s="668"/>
      <c r="I177" s="667"/>
      <c r="J177" s="668"/>
      <c r="K177" s="667"/>
      <c r="L177" s="667"/>
      <c r="M177" s="668" t="s">
        <v>7</v>
      </c>
      <c r="N177" s="670">
        <v>2.1276595999999998E-2</v>
      </c>
      <c r="O177" s="668" t="s">
        <v>23</v>
      </c>
      <c r="P177" s="670">
        <v>1</v>
      </c>
      <c r="Q177" s="668" t="s">
        <v>7</v>
      </c>
      <c r="R177" s="670">
        <v>1</v>
      </c>
      <c r="S177" s="668"/>
      <c r="T177" s="678">
        <v>4.072514883302618E-6</v>
      </c>
      <c r="U177" s="667"/>
      <c r="V177" s="176">
        <f t="shared" si="196"/>
        <v>4.072514883302618E-6</v>
      </c>
      <c r="W177" s="176">
        <f t="shared" si="243"/>
        <v>4.072514883302618E-6</v>
      </c>
      <c r="X177" s="176">
        <f t="shared" si="243"/>
        <v>4.072514883302618E-6</v>
      </c>
      <c r="Y177" s="34">
        <f>X177/Calculation_sheet!M$67</f>
        <v>4.0725981516876403E-6</v>
      </c>
      <c r="Z177" s="176">
        <f ca="1">IF(AN177&gt;0,Y177*Calculation_sheet!C$87,0)</f>
        <v>0</v>
      </c>
      <c r="AA177" s="176">
        <f t="shared" ca="1" si="244"/>
        <v>4.0725981516876403E-6</v>
      </c>
      <c r="AB177" s="176">
        <f ca="1">IF(AP177&gt;0,AA177*Calculation_sheet!C$94,0)</f>
        <v>0</v>
      </c>
      <c r="AC177" s="176">
        <f t="shared" ca="1" si="231"/>
        <v>4.0725981516876403E-6</v>
      </c>
      <c r="AD177" s="958">
        <f ca="1">AC177*Calculation_sheet!C$99</f>
        <v>2.4435588910125842E-6</v>
      </c>
      <c r="AE177" s="176">
        <f t="shared" ca="1" si="231"/>
        <v>1.6290392606750561E-6</v>
      </c>
      <c r="AF177" s="176">
        <f t="shared" ca="1" si="245"/>
        <v>4.0725981516876403E-6</v>
      </c>
      <c r="AG177" s="958">
        <f ca="1">AF177*User_sheet!B$77/100</f>
        <v>0</v>
      </c>
      <c r="AH177" s="313"/>
      <c r="AI177" s="3">
        <v>302</v>
      </c>
      <c r="AK177" s="1018">
        <f t="shared" ca="1" si="190"/>
        <v>406.51532992927037</v>
      </c>
      <c r="AL177" s="924">
        <f ca="1">AK177/'302'!I$24</f>
        <v>1.0362358652288308</v>
      </c>
      <c r="AM177" s="924">
        <f ca="1">0.8*(AK177*30+'302'!D$17*0.34*30*1)</f>
        <v>14822.554918302492</v>
      </c>
      <c r="AN177" s="954">
        <f ca="1">IF(AM177&lt;User_sheet!B$50,Y177,0)</f>
        <v>0</v>
      </c>
      <c r="AO177" s="954">
        <f ca="1">20-(User_sheet!B$57/(AK177+'302'!D$17*1*0.34))</f>
        <v>10.770821848594869</v>
      </c>
      <c r="AP177" s="954">
        <f ca="1">IF(AO177&lt;User_sheet!B$59,0,BC177*AA177)</f>
        <v>0</v>
      </c>
      <c r="AR177" s="2">
        <v>0.47</v>
      </c>
      <c r="AS177" s="2">
        <v>2.1</v>
      </c>
      <c r="AT177" s="2">
        <v>0.89</v>
      </c>
      <c r="AU177" s="2">
        <v>2.75</v>
      </c>
      <c r="AV177" s="2">
        <v>3.3</v>
      </c>
      <c r="AW177" s="2">
        <v>11617.129718053829</v>
      </c>
      <c r="AX177" s="2">
        <v>74715.401027665983</v>
      </c>
      <c r="AY177" s="2">
        <v>79015.992973719694</v>
      </c>
      <c r="AZ177" s="2">
        <v>0</v>
      </c>
      <c r="BA177" s="2">
        <v>0</v>
      </c>
      <c r="BB177" s="2">
        <v>0.6</v>
      </c>
      <c r="BC177" s="30">
        <v>0</v>
      </c>
      <c r="BD177" s="34">
        <v>0</v>
      </c>
      <c r="BE177" s="34">
        <v>1</v>
      </c>
      <c r="BF177" s="40">
        <v>0</v>
      </c>
      <c r="BG177" s="2">
        <v>0</v>
      </c>
      <c r="BH177" s="2">
        <v>0</v>
      </c>
      <c r="BI177" s="40">
        <v>1</v>
      </c>
      <c r="BJ177" s="2">
        <v>0</v>
      </c>
      <c r="BK177" s="2">
        <v>0</v>
      </c>
      <c r="BL177" s="2">
        <v>1</v>
      </c>
      <c r="BM177" s="40">
        <v>0</v>
      </c>
      <c r="BN177" s="958">
        <v>0</v>
      </c>
      <c r="BO177" s="959">
        <v>14.9</v>
      </c>
      <c r="BP177" s="1018">
        <f t="shared" ca="1" si="232"/>
        <v>215.65</v>
      </c>
      <c r="BQ177" s="1018">
        <f t="shared" ca="1" si="233"/>
        <v>486.07500000000005</v>
      </c>
      <c r="BR177" s="1018">
        <f t="shared" ca="1" si="234"/>
        <v>117.8</v>
      </c>
      <c r="BS177" s="1018">
        <f t="shared" ca="1" si="235"/>
        <v>103.97</v>
      </c>
      <c r="BT177" s="1018">
        <f t="shared" ca="1" si="236"/>
        <v>53.9</v>
      </c>
      <c r="BU177" s="1018">
        <f t="shared" ca="1" si="237"/>
        <v>62.730000000000004</v>
      </c>
      <c r="BV177" s="1018">
        <f t="shared" ca="1" si="238"/>
        <v>4.3</v>
      </c>
      <c r="BW177" s="1018">
        <v>0</v>
      </c>
      <c r="BX177" s="1018">
        <f t="shared" ca="1" si="239"/>
        <v>51.195290346443095</v>
      </c>
      <c r="BY177" s="1018">
        <f t="shared" ca="1" si="240"/>
        <v>160.07111436950146</v>
      </c>
      <c r="BZ177" s="1018">
        <f t="shared" ca="1" si="191"/>
        <v>13.714707750952986</v>
      </c>
      <c r="CA177" s="1018">
        <f t="shared" ca="1" si="192"/>
        <v>172.50749990512088</v>
      </c>
      <c r="CB177" s="1018">
        <f t="shared" ca="1" si="241"/>
        <v>9.0267175572519083</v>
      </c>
      <c r="CC177" s="1018">
        <f t="shared" si="193"/>
        <v>0</v>
      </c>
      <c r="CD177" s="1018">
        <f t="shared" ca="1" si="242"/>
        <v>406.51532992927037</v>
      </c>
      <c r="CE177" s="1018">
        <f t="shared" ca="1" si="246"/>
        <v>174.83241983450787</v>
      </c>
      <c r="CF177" s="1018">
        <f t="shared" ca="1" si="194"/>
        <v>17.440432492913349</v>
      </c>
      <c r="CG177" s="1018">
        <f t="shared" ca="1" si="195"/>
        <v>29037.622483401003</v>
      </c>
    </row>
    <row r="178" spans="4:85" x14ac:dyDescent="0.25">
      <c r="D178" s="668"/>
      <c r="E178" s="667"/>
      <c r="F178" s="668"/>
      <c r="G178" s="667"/>
      <c r="H178" s="668"/>
      <c r="I178" s="667"/>
      <c r="J178" s="668"/>
      <c r="K178" s="668"/>
      <c r="L178" s="668"/>
      <c r="M178" s="668"/>
      <c r="N178" s="668"/>
      <c r="O178" s="668" t="s">
        <v>18</v>
      </c>
      <c r="P178" s="670">
        <v>0.15910607099999999</v>
      </c>
      <c r="Q178" s="668" t="s">
        <v>17</v>
      </c>
      <c r="R178" s="670">
        <v>1</v>
      </c>
      <c r="S178" s="668"/>
      <c r="T178" s="678">
        <v>2.5918473382310053E-6</v>
      </c>
      <c r="U178" s="667"/>
      <c r="V178" s="176">
        <f t="shared" si="196"/>
        <v>2.5918473382310053E-6</v>
      </c>
      <c r="W178" s="176">
        <f t="shared" si="243"/>
        <v>2.5918473382310053E-6</v>
      </c>
      <c r="X178" s="176">
        <f t="shared" si="243"/>
        <v>2.5918473382310053E-6</v>
      </c>
      <c r="Y178" s="34">
        <f>X178/Calculation_sheet!M$67</f>
        <v>2.5919003322527005E-6</v>
      </c>
      <c r="Z178" s="176">
        <f ca="1">IF(AN178&gt;0,Y178*Calculation_sheet!C$87,0)</f>
        <v>0</v>
      </c>
      <c r="AA178" s="176">
        <f t="shared" ca="1" si="244"/>
        <v>2.5919003322527005E-6</v>
      </c>
      <c r="AB178" s="176">
        <f ca="1">IF(AP178&gt;0,AA178*Calculation_sheet!C$94,0)</f>
        <v>0</v>
      </c>
      <c r="AC178" s="176">
        <f t="shared" ca="1" si="231"/>
        <v>2.5919003322527005E-6</v>
      </c>
      <c r="AD178" s="958">
        <f ca="1">AC178*Calculation_sheet!C$99</f>
        <v>1.5551401993516203E-6</v>
      </c>
      <c r="AE178" s="176">
        <f t="shared" ca="1" si="231"/>
        <v>1.0367601329010802E-6</v>
      </c>
      <c r="AF178" s="176">
        <f t="shared" ca="1" si="245"/>
        <v>2.5919003322527005E-6</v>
      </c>
      <c r="AG178" s="958">
        <f ca="1">AF178*User_sheet!B$77/100</f>
        <v>0</v>
      </c>
      <c r="AH178" s="313"/>
      <c r="AI178" s="3">
        <v>302</v>
      </c>
      <c r="AK178" s="1018">
        <f t="shared" ca="1" si="190"/>
        <v>406.51532992927037</v>
      </c>
      <c r="AL178" s="924">
        <f ca="1">AK178/'302'!I$24</f>
        <v>1.0362358652288308</v>
      </c>
      <c r="AM178" s="924">
        <f ca="1">0.8*(AK178*30+'302'!D$17*0.34*30*1)</f>
        <v>14822.554918302492</v>
      </c>
      <c r="AN178" s="954">
        <f ca="1">IF(AM178&lt;User_sheet!B$50,Y178,0)</f>
        <v>0</v>
      </c>
      <c r="AO178" s="954">
        <f ca="1">20-(User_sheet!B$57/(AK178+'302'!D$17*1*0.34))</f>
        <v>10.770821848594869</v>
      </c>
      <c r="AP178" s="954">
        <f ca="1">IF(AO178&lt;User_sheet!B$59,0,BC178*AA178)</f>
        <v>0</v>
      </c>
      <c r="AR178" s="2">
        <v>0.47</v>
      </c>
      <c r="AS178" s="2">
        <v>2.1</v>
      </c>
      <c r="AT178" s="2">
        <v>0.89</v>
      </c>
      <c r="AU178" s="2">
        <v>2.75</v>
      </c>
      <c r="AV178" s="2">
        <v>3.3</v>
      </c>
      <c r="AW178" s="2">
        <v>11617.129718053829</v>
      </c>
      <c r="AX178" s="2">
        <v>74715.401027665983</v>
      </c>
      <c r="AY178" s="2">
        <v>79015.992973719694</v>
      </c>
      <c r="AZ178" s="2">
        <v>0</v>
      </c>
      <c r="BA178" s="2">
        <v>0</v>
      </c>
      <c r="BB178" s="2">
        <v>0.6</v>
      </c>
      <c r="BC178" s="30">
        <v>0</v>
      </c>
      <c r="BD178" s="34">
        <v>0</v>
      </c>
      <c r="BE178" s="34">
        <v>0</v>
      </c>
      <c r="BF178" s="40">
        <v>1</v>
      </c>
      <c r="BG178" s="2">
        <v>1</v>
      </c>
      <c r="BH178" s="2">
        <v>0</v>
      </c>
      <c r="BI178" s="40">
        <v>0</v>
      </c>
      <c r="BJ178" s="2">
        <v>0</v>
      </c>
      <c r="BK178" s="2">
        <v>0</v>
      </c>
      <c r="BL178" s="2">
        <v>0</v>
      </c>
      <c r="BM178" s="40">
        <v>1</v>
      </c>
      <c r="BN178" s="958">
        <v>0</v>
      </c>
      <c r="BO178" s="959">
        <v>14.9</v>
      </c>
      <c r="BP178" s="1018">
        <f t="shared" ca="1" si="232"/>
        <v>215.65</v>
      </c>
      <c r="BQ178" s="1018">
        <f t="shared" ca="1" si="233"/>
        <v>486.07500000000005</v>
      </c>
      <c r="BR178" s="1018">
        <f t="shared" ca="1" si="234"/>
        <v>117.8</v>
      </c>
      <c r="BS178" s="1018">
        <f t="shared" ca="1" si="235"/>
        <v>103.97</v>
      </c>
      <c r="BT178" s="1018">
        <f t="shared" ca="1" si="236"/>
        <v>53.9</v>
      </c>
      <c r="BU178" s="1018">
        <f t="shared" ca="1" si="237"/>
        <v>62.730000000000004</v>
      </c>
      <c r="BV178" s="1018">
        <f t="shared" ca="1" si="238"/>
        <v>4.3</v>
      </c>
      <c r="BW178" s="1018">
        <v>0</v>
      </c>
      <c r="BX178" s="1018">
        <f t="shared" ca="1" si="239"/>
        <v>51.195290346443095</v>
      </c>
      <c r="BY178" s="1018">
        <f t="shared" ca="1" si="240"/>
        <v>160.07111436950146</v>
      </c>
      <c r="BZ178" s="1018">
        <f t="shared" ca="1" si="191"/>
        <v>13.714707750952986</v>
      </c>
      <c r="CA178" s="1018">
        <f t="shared" ca="1" si="192"/>
        <v>172.50749990512088</v>
      </c>
      <c r="CB178" s="1018">
        <f t="shared" ca="1" si="241"/>
        <v>9.0267175572519083</v>
      </c>
      <c r="CC178" s="1018">
        <f t="shared" si="193"/>
        <v>0</v>
      </c>
      <c r="CD178" s="1018">
        <f t="shared" ca="1" si="242"/>
        <v>406.51532992927037</v>
      </c>
      <c r="CE178" s="1018">
        <f t="shared" ca="1" si="246"/>
        <v>174.83241983450787</v>
      </c>
      <c r="CF178" s="1018">
        <f t="shared" ca="1" si="194"/>
        <v>17.440432492913349</v>
      </c>
      <c r="CG178" s="1018">
        <f t="shared" ca="1" si="195"/>
        <v>29037.622483401003</v>
      </c>
    </row>
    <row r="179" spans="4:85" x14ac:dyDescent="0.25">
      <c r="D179" s="668"/>
      <c r="E179" s="667"/>
      <c r="F179" s="668"/>
      <c r="G179" s="667"/>
      <c r="H179" s="668"/>
      <c r="I179" s="667"/>
      <c r="J179" s="668"/>
      <c r="K179" s="671" t="s">
        <v>12</v>
      </c>
      <c r="L179" s="672">
        <v>1.1099999999999999E-2</v>
      </c>
      <c r="M179" s="668" t="s">
        <v>17</v>
      </c>
      <c r="N179" s="670">
        <v>8.5106382999999994E-2</v>
      </c>
      <c r="O179" s="668" t="s">
        <v>19</v>
      </c>
      <c r="P179" s="670">
        <v>0.84089392900000004</v>
      </c>
      <c r="Q179" s="668" t="s">
        <v>17</v>
      </c>
      <c r="R179" s="670">
        <v>1</v>
      </c>
      <c r="S179" s="668"/>
      <c r="T179" s="678">
        <v>1.3698212003571267E-5</v>
      </c>
      <c r="U179" s="667"/>
      <c r="V179" s="176">
        <f t="shared" si="196"/>
        <v>1.3698212003571267E-5</v>
      </c>
      <c r="W179" s="176">
        <f t="shared" si="243"/>
        <v>1.3698212003571267E-5</v>
      </c>
      <c r="X179" s="176">
        <f t="shared" si="243"/>
        <v>1.3698212003571267E-5</v>
      </c>
      <c r="Y179" s="34">
        <f>X179/Calculation_sheet!M$67</f>
        <v>1.3698492083085749E-5</v>
      </c>
      <c r="Z179" s="176">
        <f ca="1">IF(AN179&gt;0,Y179*Calculation_sheet!C$87,0)</f>
        <v>0</v>
      </c>
      <c r="AA179" s="176">
        <f t="shared" ca="1" si="244"/>
        <v>1.3698492083085749E-5</v>
      </c>
      <c r="AB179" s="176">
        <f ca="1">IF(AP179&gt;0,AA179*Calculation_sheet!C$94,0)</f>
        <v>0</v>
      </c>
      <c r="AC179" s="176">
        <f t="shared" ca="1" si="231"/>
        <v>1.3698492083085749E-5</v>
      </c>
      <c r="AD179" s="958">
        <f ca="1">AC179*Calculation_sheet!C$99</f>
        <v>8.2190952498514483E-6</v>
      </c>
      <c r="AE179" s="176">
        <f t="shared" ca="1" si="231"/>
        <v>5.4793968332343006E-6</v>
      </c>
      <c r="AF179" s="176">
        <f t="shared" ca="1" si="245"/>
        <v>1.3698492083085749E-5</v>
      </c>
      <c r="AG179" s="958">
        <f ca="1">AF179*User_sheet!B$77/100</f>
        <v>0</v>
      </c>
      <c r="AH179" s="313"/>
      <c r="AI179" s="3">
        <v>302</v>
      </c>
      <c r="AK179" s="1018">
        <f t="shared" ca="1" si="190"/>
        <v>406.51532992927037</v>
      </c>
      <c r="AL179" s="924">
        <f ca="1">AK179/'302'!I$24</f>
        <v>1.0362358652288308</v>
      </c>
      <c r="AM179" s="924">
        <f ca="1">0.8*(AK179*30+'302'!D$17*0.34*30*1)</f>
        <v>14822.554918302492</v>
      </c>
      <c r="AN179" s="954">
        <f ca="1">IF(AM179&lt;User_sheet!B$50,Y179,0)</f>
        <v>0</v>
      </c>
      <c r="AO179" s="954">
        <f ca="1">20-(User_sheet!B$57/(AK179+'302'!D$17*1*0.34))</f>
        <v>10.770821848594869</v>
      </c>
      <c r="AP179" s="954">
        <f ca="1">IF(AO179&lt;User_sheet!B$59,0,BC179*AA179)</f>
        <v>0</v>
      </c>
      <c r="AR179" s="2">
        <v>0.47</v>
      </c>
      <c r="AS179" s="2">
        <v>2.1</v>
      </c>
      <c r="AT179" s="2">
        <v>0.89</v>
      </c>
      <c r="AU179" s="2">
        <v>2.75</v>
      </c>
      <c r="AV179" s="2">
        <v>3.3</v>
      </c>
      <c r="AW179" s="2">
        <v>11617.129718053829</v>
      </c>
      <c r="AX179" s="2">
        <v>74715.401027665983</v>
      </c>
      <c r="AY179" s="2">
        <v>79015.992973719694</v>
      </c>
      <c r="AZ179" s="2">
        <v>0</v>
      </c>
      <c r="BA179" s="2">
        <v>0</v>
      </c>
      <c r="BB179" s="2">
        <v>0.6</v>
      </c>
      <c r="BC179" s="30">
        <v>0</v>
      </c>
      <c r="BD179" s="34">
        <v>0</v>
      </c>
      <c r="BE179" s="34">
        <v>0</v>
      </c>
      <c r="BF179" s="40">
        <v>1</v>
      </c>
      <c r="BG179" s="2">
        <v>0</v>
      </c>
      <c r="BH179" s="2">
        <v>1</v>
      </c>
      <c r="BI179" s="40">
        <v>0</v>
      </c>
      <c r="BJ179" s="2">
        <v>0</v>
      </c>
      <c r="BK179" s="2">
        <v>0</v>
      </c>
      <c r="BL179" s="2">
        <v>0</v>
      </c>
      <c r="BM179" s="40">
        <v>1</v>
      </c>
      <c r="BN179" s="958">
        <v>0</v>
      </c>
      <c r="BO179" s="959">
        <v>14.9</v>
      </c>
      <c r="BP179" s="1018">
        <f t="shared" ca="1" si="232"/>
        <v>215.65</v>
      </c>
      <c r="BQ179" s="1018">
        <f t="shared" ca="1" si="233"/>
        <v>486.07500000000005</v>
      </c>
      <c r="BR179" s="1018">
        <f t="shared" ca="1" si="234"/>
        <v>117.8</v>
      </c>
      <c r="BS179" s="1018">
        <f t="shared" ca="1" si="235"/>
        <v>103.97</v>
      </c>
      <c r="BT179" s="1018">
        <f t="shared" ca="1" si="236"/>
        <v>53.9</v>
      </c>
      <c r="BU179" s="1018">
        <f t="shared" ca="1" si="237"/>
        <v>62.730000000000004</v>
      </c>
      <c r="BV179" s="1018">
        <f t="shared" ca="1" si="238"/>
        <v>4.3</v>
      </c>
      <c r="BW179" s="1018">
        <v>0</v>
      </c>
      <c r="BX179" s="1018">
        <f t="shared" ca="1" si="239"/>
        <v>51.195290346443095</v>
      </c>
      <c r="BY179" s="1018">
        <f t="shared" ca="1" si="240"/>
        <v>160.07111436950146</v>
      </c>
      <c r="BZ179" s="1018">
        <f t="shared" ca="1" si="191"/>
        <v>13.714707750952986</v>
      </c>
      <c r="CA179" s="1018">
        <f t="shared" ca="1" si="192"/>
        <v>172.50749990512088</v>
      </c>
      <c r="CB179" s="1018">
        <f t="shared" ca="1" si="241"/>
        <v>9.0267175572519083</v>
      </c>
      <c r="CC179" s="1018">
        <f t="shared" si="193"/>
        <v>0</v>
      </c>
      <c r="CD179" s="1018">
        <f t="shared" ca="1" si="242"/>
        <v>406.51532992927037</v>
      </c>
      <c r="CE179" s="1018">
        <f t="shared" ca="1" si="246"/>
        <v>174.83241983450787</v>
      </c>
      <c r="CF179" s="1018">
        <f t="shared" ca="1" si="194"/>
        <v>17.440432492913349</v>
      </c>
      <c r="CG179" s="1018">
        <f t="shared" ca="1" si="195"/>
        <v>29037.622483401003</v>
      </c>
    </row>
    <row r="180" spans="4:85" s="14" customFormat="1" x14ac:dyDescent="0.25">
      <c r="D180" s="676"/>
      <c r="E180" s="675"/>
      <c r="F180" s="676"/>
      <c r="G180" s="675"/>
      <c r="H180" s="676"/>
      <c r="I180" s="675"/>
      <c r="J180" s="676"/>
      <c r="K180" s="677"/>
      <c r="L180" s="676"/>
      <c r="M180" s="676"/>
      <c r="N180" s="676"/>
      <c r="O180" s="676"/>
      <c r="P180" s="676"/>
      <c r="Q180" s="676"/>
      <c r="R180" s="676"/>
      <c r="S180" s="676"/>
      <c r="T180" s="679"/>
      <c r="U180" s="675"/>
      <c r="V180" s="292"/>
      <c r="W180" s="292"/>
      <c r="X180" s="292"/>
      <c r="Y180" s="277"/>
      <c r="Z180" s="292"/>
      <c r="AA180" s="292"/>
      <c r="AB180" s="292"/>
      <c r="AC180" s="292"/>
      <c r="AD180" s="277"/>
      <c r="AE180" s="292"/>
      <c r="AF180" s="292"/>
      <c r="AG180" s="277"/>
      <c r="AH180" s="313"/>
      <c r="AJ180" s="314"/>
      <c r="AK180" s="1018">
        <f t="shared" si="190"/>
        <v>0</v>
      </c>
      <c r="AL180" s="928"/>
      <c r="AM180" s="928"/>
      <c r="AN180" s="941"/>
      <c r="AO180" s="941"/>
      <c r="AP180" s="941"/>
      <c r="AQ180" s="314"/>
      <c r="AR180" s="28"/>
      <c r="AS180" s="28"/>
      <c r="AT180" s="28"/>
      <c r="AU180" s="28"/>
      <c r="AV180" s="28"/>
      <c r="AW180" s="28"/>
      <c r="AX180" s="28"/>
      <c r="AY180" s="28"/>
      <c r="AZ180" s="28"/>
      <c r="BA180" s="28"/>
      <c r="BB180" s="28"/>
      <c r="BC180" s="45"/>
      <c r="BD180" s="277"/>
      <c r="BE180" s="277"/>
      <c r="BF180" s="49"/>
      <c r="BG180" s="28"/>
      <c r="BH180" s="28"/>
      <c r="BI180" s="49"/>
      <c r="BJ180" s="28"/>
      <c r="BK180" s="28"/>
      <c r="BL180" s="28"/>
      <c r="BM180" s="49"/>
      <c r="BN180" s="277"/>
      <c r="BO180" s="49"/>
      <c r="BP180" s="928"/>
      <c r="BQ180" s="928"/>
      <c r="BR180" s="928"/>
      <c r="BS180" s="928"/>
      <c r="BT180" s="928"/>
      <c r="BU180" s="928"/>
      <c r="BV180" s="928"/>
      <c r="BW180" s="928"/>
      <c r="BX180" s="928"/>
      <c r="BY180" s="928"/>
      <c r="BZ180" s="928"/>
      <c r="CA180" s="928"/>
      <c r="CB180" s="928"/>
      <c r="CC180" s="928"/>
      <c r="CD180" s="928"/>
      <c r="CE180" s="928"/>
      <c r="CF180" s="928"/>
      <c r="CG180" s="928"/>
    </row>
    <row r="181" spans="4:85" x14ac:dyDescent="0.25">
      <c r="D181" s="668"/>
      <c r="E181" s="667"/>
      <c r="F181" s="668"/>
      <c r="G181" s="667"/>
      <c r="H181" s="668"/>
      <c r="I181" s="667"/>
      <c r="J181" s="668"/>
      <c r="K181" s="671"/>
      <c r="L181" s="673"/>
      <c r="M181" s="668"/>
      <c r="N181" s="668"/>
      <c r="O181" s="668"/>
      <c r="P181" s="668"/>
      <c r="Q181" s="668" t="s">
        <v>16</v>
      </c>
      <c r="R181" s="670">
        <v>0.73860000000000003</v>
      </c>
      <c r="S181" s="668"/>
      <c r="T181" s="678">
        <v>3.5427782359257845E-3</v>
      </c>
      <c r="U181" s="667"/>
      <c r="V181" s="176">
        <f t="shared" si="196"/>
        <v>3.5427782359257845E-3</v>
      </c>
      <c r="W181" s="176">
        <f>V181</f>
        <v>3.5427782359257845E-3</v>
      </c>
      <c r="X181" s="176">
        <f>W181</f>
        <v>3.5427782359257845E-3</v>
      </c>
      <c r="Y181" s="34">
        <f>X181/Calculation_sheet!M$67</f>
        <v>3.5428506730882385E-3</v>
      </c>
      <c r="Z181" s="176">
        <f ca="1">IF(AN181&gt;0,Y181*Calculation_sheet!C$87,0)</f>
        <v>0</v>
      </c>
      <c r="AA181" s="176">
        <f ca="1">Y181-Z181</f>
        <v>3.5428506730882385E-3</v>
      </c>
      <c r="AB181" s="176">
        <f ca="1">IF(AP181&gt;0,AA181*Calculation_sheet!C$94,0)</f>
        <v>0</v>
      </c>
      <c r="AC181" s="176">
        <f t="shared" ref="AC181:AE191" ca="1" si="247">AA181-AB181</f>
        <v>3.5428506730882385E-3</v>
      </c>
      <c r="AD181" s="958">
        <f ca="1">AC181*Calculation_sheet!C$99</f>
        <v>2.1257104038529431E-3</v>
      </c>
      <c r="AE181" s="176">
        <f t="shared" ca="1" si="247"/>
        <v>1.4171402692352954E-3</v>
      </c>
      <c r="AF181" s="176">
        <f ca="1">Y181-AB181</f>
        <v>3.5428506730882385E-3</v>
      </c>
      <c r="AG181" s="958">
        <f ca="1">AF181*User_sheet!B$77/100</f>
        <v>0</v>
      </c>
      <c r="AH181" s="313"/>
      <c r="AI181" s="3">
        <v>302</v>
      </c>
      <c r="AK181" s="1018">
        <f t="shared" ca="1" si="190"/>
        <v>433.42100642191326</v>
      </c>
      <c r="AL181" s="924">
        <f ca="1">AK181/'302'!I$24</f>
        <v>1.1048203069638369</v>
      </c>
      <c r="AM181" s="924">
        <f ca="1">0.8*(AK181*30+'302'!D$17*0.34*30*1)</f>
        <v>15468.291154125922</v>
      </c>
      <c r="AN181" s="954">
        <f ca="1">IF(AM181&lt;User_sheet!B$50,Y181,0)</f>
        <v>0</v>
      </c>
      <c r="AO181" s="954">
        <f ca="1">20-(User_sheet!B$57/(AK181+'302'!D$17*1*0.34))</f>
        <v>11.156101301887455</v>
      </c>
      <c r="AP181" s="954">
        <f ca="1">IF(AO181&lt;User_sheet!B$59,0,BC181*AA181)</f>
        <v>3.5428506730882385E-3</v>
      </c>
      <c r="AR181" s="2">
        <v>0.47</v>
      </c>
      <c r="AS181" s="2">
        <v>2.1</v>
      </c>
      <c r="AT181" s="2">
        <v>3.78</v>
      </c>
      <c r="AU181" s="2">
        <v>2.75</v>
      </c>
      <c r="AV181" s="2">
        <v>3.3</v>
      </c>
      <c r="AW181" s="2">
        <v>11617.129718053829</v>
      </c>
      <c r="AX181" s="2">
        <v>74715.401027665983</v>
      </c>
      <c r="AY181" s="2">
        <v>67352.647733737584</v>
      </c>
      <c r="AZ181" s="2">
        <v>0</v>
      </c>
      <c r="BA181" s="2">
        <v>0</v>
      </c>
      <c r="BB181" s="2">
        <v>0.6</v>
      </c>
      <c r="BC181" s="30">
        <v>1</v>
      </c>
      <c r="BD181" s="34">
        <v>0</v>
      </c>
      <c r="BE181" s="34">
        <v>0</v>
      </c>
      <c r="BF181" s="40">
        <v>0</v>
      </c>
      <c r="BG181" s="2">
        <v>1</v>
      </c>
      <c r="BH181" s="2">
        <v>0</v>
      </c>
      <c r="BI181" s="40">
        <v>0</v>
      </c>
      <c r="BJ181" s="2">
        <v>1</v>
      </c>
      <c r="BK181" s="2">
        <v>0</v>
      </c>
      <c r="BL181" s="2">
        <v>0</v>
      </c>
      <c r="BM181" s="40">
        <v>0</v>
      </c>
      <c r="BN181" s="958">
        <v>0</v>
      </c>
      <c r="BO181" s="959">
        <v>14.9</v>
      </c>
      <c r="BP181" s="1018">
        <f t="shared" ref="BP181:BP191" ca="1" si="248">INDIRECT("'"&amp;AI181&amp;"'!"&amp;"B2")</f>
        <v>215.65</v>
      </c>
      <c r="BQ181" s="1018">
        <f t="shared" ref="BQ181:BQ191" ca="1" si="249">INDIRECT("'"&amp;AI181&amp;"'!"&amp;"C12")+INDIRECT("'"&amp;AI181&amp;"'!"&amp;"C13")+INDIRECT("'"&amp;AI181&amp;"'!"&amp;"C14")+INDIRECT("'"&amp;AI181&amp;"'!"&amp;"C15")+INDIRECT("'"&amp;AI181&amp;"'!"&amp;"C17")</f>
        <v>486.07500000000005</v>
      </c>
      <c r="BR181" s="1018">
        <f t="shared" ref="BR181:BR191" ca="1" si="250">INDIRECT("'"&amp;AI181&amp;"'!"&amp;"G5")</f>
        <v>117.8</v>
      </c>
      <c r="BS181" s="1018">
        <f t="shared" ref="BS181:BS191" ca="1" si="251">INDIRECT("'"&amp;AI181&amp;"'!"&amp;"G4")</f>
        <v>103.97</v>
      </c>
      <c r="BT181" s="1018">
        <f t="shared" ref="BT181:BT191" ca="1" si="252">INDIRECT("'"&amp;AI181&amp;"'!"&amp;"G6")</f>
        <v>53.9</v>
      </c>
      <c r="BU181" s="1018">
        <f t="shared" ref="BU181:BU191" ca="1" si="253">INDIRECT("'"&amp;AI181&amp;"'!"&amp;"G2")</f>
        <v>62.730000000000004</v>
      </c>
      <c r="BV181" s="1018">
        <f t="shared" ref="BV181:BV191" ca="1" si="254">INDIRECT("'"&amp;AI181&amp;"'!"&amp;"G3")</f>
        <v>4.3</v>
      </c>
      <c r="BW181" s="1018">
        <v>0</v>
      </c>
      <c r="BX181" s="1018">
        <f t="shared" ref="BX181:BX191" ca="1" si="255">IF(BR181=0,0,1/(1/(BR181*$BY$3)+1/(BR181*AR181)+1/(BR181*$BY$4)))</f>
        <v>51.195290346443095</v>
      </c>
      <c r="BY181" s="1018">
        <f t="shared" ref="BY181:BY191" ca="1" si="256">IF(BS181=0,0,1/(1/(BS181*$BY$3)+1/(BS181*AS181)+1/(BS181*$BY$4)))</f>
        <v>160.07111436950146</v>
      </c>
      <c r="BZ181" s="1018">
        <f t="shared" ca="1" si="191"/>
        <v>40.620384243595943</v>
      </c>
      <c r="CA181" s="1018">
        <f t="shared" ca="1" si="192"/>
        <v>172.50749990512088</v>
      </c>
      <c r="CB181" s="1018">
        <f t="shared" ref="CB181:CB191" ca="1" si="257">IF(BV181=0,0,1/(1/(BV181*$BY$3)+1/(BV181*AV181)+1/(BV181*$BY$4)))</f>
        <v>9.0267175572519083</v>
      </c>
      <c r="CC181" s="1018">
        <f t="shared" si="193"/>
        <v>0</v>
      </c>
      <c r="CD181" s="1018">
        <f t="shared" ref="CD181:CD191" ca="1" si="258">SUM(BX181:CC181)+(BR181+BS181+BT181+BU181+BV181)*BN181</f>
        <v>433.42100642191326</v>
      </c>
      <c r="CE181" s="1018">
        <f ca="1">0.34*BO181*(1/25)^0.66*(BR181+BS181+BU181+BV181)</f>
        <v>174.83241983450787</v>
      </c>
      <c r="CF181" s="1018">
        <f t="shared" ca="1" si="194"/>
        <v>18.247602787692635</v>
      </c>
      <c r="CG181" s="1018">
        <f t="shared" ca="1" si="195"/>
        <v>30381.528737396726</v>
      </c>
    </row>
    <row r="182" spans="4:85" x14ac:dyDescent="0.25">
      <c r="D182" s="668"/>
      <c r="E182" s="667"/>
      <c r="F182" s="668"/>
      <c r="G182" s="667"/>
      <c r="H182" s="668"/>
      <c r="I182" s="667"/>
      <c r="J182" s="668"/>
      <c r="K182" s="671"/>
      <c r="L182" s="673"/>
      <c r="M182" s="668"/>
      <c r="N182" s="668"/>
      <c r="O182" s="668" t="s">
        <v>18</v>
      </c>
      <c r="P182" s="670">
        <v>0.62953995200000001</v>
      </c>
      <c r="Q182" s="668" t="s">
        <v>7</v>
      </c>
      <c r="R182" s="670">
        <v>0.26140000000000002</v>
      </c>
      <c r="S182" s="668"/>
      <c r="T182" s="678">
        <v>1.2538345936515031E-3</v>
      </c>
      <c r="U182" s="667"/>
      <c r="V182" s="176">
        <f t="shared" si="196"/>
        <v>1.2538345936515031E-3</v>
      </c>
      <c r="W182" s="176">
        <f t="shared" ref="W182:X191" si="259">V182</f>
        <v>1.2538345936515031E-3</v>
      </c>
      <c r="X182" s="176">
        <f t="shared" si="259"/>
        <v>1.2538345936515031E-3</v>
      </c>
      <c r="Y182" s="34">
        <f>X182/Calculation_sheet!M$67</f>
        <v>1.2538602300910719E-3</v>
      </c>
      <c r="Z182" s="176">
        <f ca="1">IF(AN182&gt;0,Y182*Calculation_sheet!C$87,0)</f>
        <v>0</v>
      </c>
      <c r="AA182" s="176">
        <f t="shared" ref="AA182:AA191" ca="1" si="260">Y182-Z182</f>
        <v>1.2538602300910719E-3</v>
      </c>
      <c r="AB182" s="176">
        <f ca="1">IF(AP182&gt;0,AA182*Calculation_sheet!C$94,0)</f>
        <v>0</v>
      </c>
      <c r="AC182" s="176">
        <f t="shared" ca="1" si="247"/>
        <v>1.2538602300910719E-3</v>
      </c>
      <c r="AD182" s="958">
        <f ca="1">AC182*Calculation_sheet!C$99</f>
        <v>7.5231613805464318E-4</v>
      </c>
      <c r="AE182" s="176">
        <f t="shared" ca="1" si="247"/>
        <v>5.0154409203642875E-4</v>
      </c>
      <c r="AF182" s="176">
        <f t="shared" ref="AF182:AF191" ca="1" si="261">Y182-AB182</f>
        <v>1.2538602300910719E-3</v>
      </c>
      <c r="AG182" s="958">
        <f ca="1">AF182*User_sheet!B$77/100</f>
        <v>0</v>
      </c>
      <c r="AH182" s="313"/>
      <c r="AI182" s="3">
        <v>302</v>
      </c>
      <c r="AK182" s="1018">
        <f t="shared" ca="1" si="190"/>
        <v>433.42100642191326</v>
      </c>
      <c r="AL182" s="924">
        <f ca="1">AK182/'302'!I$24</f>
        <v>1.1048203069638369</v>
      </c>
      <c r="AM182" s="924">
        <f ca="1">0.8*(AK182*30+'302'!D$17*0.34*30*1)</f>
        <v>15468.291154125922</v>
      </c>
      <c r="AN182" s="954">
        <f ca="1">IF(AM182&lt;User_sheet!B$50,Y182,0)</f>
        <v>0</v>
      </c>
      <c r="AO182" s="954">
        <f ca="1">20-(User_sheet!B$57/(AK182+'302'!D$17*1*0.34))</f>
        <v>11.156101301887455</v>
      </c>
      <c r="AP182" s="954">
        <f ca="1">IF(AO182&lt;User_sheet!B$59,0,BC182*AA182)</f>
        <v>1.2538602300910719E-3</v>
      </c>
      <c r="AR182" s="2">
        <v>0.47</v>
      </c>
      <c r="AS182" s="2">
        <v>2.1</v>
      </c>
      <c r="AT182" s="2">
        <v>3.78</v>
      </c>
      <c r="AU182" s="2">
        <v>2.75</v>
      </c>
      <c r="AV182" s="2">
        <v>3.3</v>
      </c>
      <c r="AW182" s="2">
        <v>11617.129718053829</v>
      </c>
      <c r="AX182" s="2">
        <v>74715.401027665983</v>
      </c>
      <c r="AY182" s="2">
        <v>67352.647733737584</v>
      </c>
      <c r="AZ182" s="2">
        <v>0</v>
      </c>
      <c r="BA182" s="2">
        <v>0</v>
      </c>
      <c r="BB182" s="2">
        <v>0.6</v>
      </c>
      <c r="BC182" s="30">
        <v>1</v>
      </c>
      <c r="BD182" s="34">
        <v>0</v>
      </c>
      <c r="BE182" s="34">
        <v>0</v>
      </c>
      <c r="BF182" s="40">
        <v>0</v>
      </c>
      <c r="BG182" s="2">
        <v>1</v>
      </c>
      <c r="BH182" s="2">
        <v>0</v>
      </c>
      <c r="BI182" s="40">
        <v>0</v>
      </c>
      <c r="BJ182" s="2">
        <v>0</v>
      </c>
      <c r="BK182" s="2">
        <v>0</v>
      </c>
      <c r="BL182" s="2">
        <v>1</v>
      </c>
      <c r="BM182" s="40">
        <v>0</v>
      </c>
      <c r="BN182" s="958">
        <v>0</v>
      </c>
      <c r="BO182" s="959">
        <v>14.9</v>
      </c>
      <c r="BP182" s="1018">
        <f t="shared" ca="1" si="248"/>
        <v>215.65</v>
      </c>
      <c r="BQ182" s="1018">
        <f t="shared" ca="1" si="249"/>
        <v>486.07500000000005</v>
      </c>
      <c r="BR182" s="1018">
        <f t="shared" ca="1" si="250"/>
        <v>117.8</v>
      </c>
      <c r="BS182" s="1018">
        <f t="shared" ca="1" si="251"/>
        <v>103.97</v>
      </c>
      <c r="BT182" s="1018">
        <f t="shared" ca="1" si="252"/>
        <v>53.9</v>
      </c>
      <c r="BU182" s="1018">
        <f t="shared" ca="1" si="253"/>
        <v>62.730000000000004</v>
      </c>
      <c r="BV182" s="1018">
        <f t="shared" ca="1" si="254"/>
        <v>4.3</v>
      </c>
      <c r="BW182" s="1018">
        <v>0</v>
      </c>
      <c r="BX182" s="1018">
        <f t="shared" ca="1" si="255"/>
        <v>51.195290346443095</v>
      </c>
      <c r="BY182" s="1018">
        <f t="shared" ca="1" si="256"/>
        <v>160.07111436950146</v>
      </c>
      <c r="BZ182" s="1018">
        <f t="shared" ca="1" si="191"/>
        <v>40.620384243595943</v>
      </c>
      <c r="CA182" s="1018">
        <f t="shared" ca="1" si="192"/>
        <v>172.50749990512088</v>
      </c>
      <c r="CB182" s="1018">
        <f t="shared" ca="1" si="257"/>
        <v>9.0267175572519083</v>
      </c>
      <c r="CC182" s="1018">
        <f t="shared" si="193"/>
        <v>0</v>
      </c>
      <c r="CD182" s="1018">
        <f t="shared" ca="1" si="258"/>
        <v>433.42100642191326</v>
      </c>
      <c r="CE182" s="1018">
        <f t="shared" ref="CE182:CE191" ca="1" si="262">0.34*BO182*(1/25)^0.66*(BR182+BS182+BU182+BV182)</f>
        <v>174.83241983450787</v>
      </c>
      <c r="CF182" s="1018">
        <f t="shared" ca="1" si="194"/>
        <v>18.247602787692635</v>
      </c>
      <c r="CG182" s="1018">
        <f t="shared" ca="1" si="195"/>
        <v>30381.528737396726</v>
      </c>
    </row>
    <row r="183" spans="4:85" x14ac:dyDescent="0.25">
      <c r="D183" s="668"/>
      <c r="E183" s="667"/>
      <c r="F183" s="668"/>
      <c r="G183" s="667"/>
      <c r="H183" s="668"/>
      <c r="I183" s="667"/>
      <c r="J183" s="668"/>
      <c r="K183" s="671"/>
      <c r="L183" s="673"/>
      <c r="M183" s="668"/>
      <c r="N183" s="668"/>
      <c r="O183" s="668"/>
      <c r="P183" s="668"/>
      <c r="Q183" s="668" t="s">
        <v>16</v>
      </c>
      <c r="R183" s="670">
        <v>0.73860000000000003</v>
      </c>
      <c r="S183" s="668"/>
      <c r="T183" s="678">
        <v>2.0847887273315125E-3</v>
      </c>
      <c r="U183" s="667"/>
      <c r="V183" s="176">
        <f t="shared" si="196"/>
        <v>2.0847887273315125E-3</v>
      </c>
      <c r="W183" s="176">
        <f t="shared" si="259"/>
        <v>2.0847887273315125E-3</v>
      </c>
      <c r="X183" s="176">
        <f t="shared" si="259"/>
        <v>2.0847887273315125E-3</v>
      </c>
      <c r="Y183" s="34">
        <f>X183/Calculation_sheet!M$67</f>
        <v>2.0848313538154939E-3</v>
      </c>
      <c r="Z183" s="176">
        <f ca="1">IF(AN183&gt;0,Y183*Calculation_sheet!C$87,0)</f>
        <v>0</v>
      </c>
      <c r="AA183" s="176">
        <f t="shared" ca="1" si="260"/>
        <v>2.0848313538154939E-3</v>
      </c>
      <c r="AB183" s="176">
        <f ca="1">IF(AP183&gt;0,AA183*Calculation_sheet!C$94,0)</f>
        <v>0</v>
      </c>
      <c r="AC183" s="176">
        <f t="shared" ca="1" si="247"/>
        <v>2.0848313538154939E-3</v>
      </c>
      <c r="AD183" s="958">
        <f ca="1">AC183*Calculation_sheet!C$99</f>
        <v>1.2508988122892962E-3</v>
      </c>
      <c r="AE183" s="176">
        <f t="shared" ca="1" si="247"/>
        <v>8.339325415261977E-4</v>
      </c>
      <c r="AF183" s="176">
        <f t="shared" ca="1" si="261"/>
        <v>2.0848313538154939E-3</v>
      </c>
      <c r="AG183" s="958">
        <f ca="1">AF183*User_sheet!B$77/100</f>
        <v>0</v>
      </c>
      <c r="AH183" s="313"/>
      <c r="AI183" s="3">
        <v>302</v>
      </c>
      <c r="AK183" s="1018">
        <f t="shared" ca="1" si="190"/>
        <v>433.42100642191326</v>
      </c>
      <c r="AL183" s="924">
        <f ca="1">AK183/'302'!I$24</f>
        <v>1.1048203069638369</v>
      </c>
      <c r="AM183" s="924">
        <f ca="1">0.8*(AK183*30+'302'!D$17*0.34*30*1)</f>
        <v>15468.291154125922</v>
      </c>
      <c r="AN183" s="954">
        <f ca="1">IF(AM183&lt;User_sheet!B$50,Y183,0)</f>
        <v>0</v>
      </c>
      <c r="AO183" s="954">
        <f ca="1">20-(User_sheet!B$57/(AK183+'302'!D$17*1*0.34))</f>
        <v>11.156101301887455</v>
      </c>
      <c r="AP183" s="954">
        <f ca="1">IF(AO183&lt;User_sheet!B$59,0,BC183*AA183)</f>
        <v>2.0848313538154939E-3</v>
      </c>
      <c r="AR183" s="2">
        <v>0.47</v>
      </c>
      <c r="AS183" s="2">
        <v>2.1</v>
      </c>
      <c r="AT183" s="2">
        <v>3.78</v>
      </c>
      <c r="AU183" s="2">
        <v>2.75</v>
      </c>
      <c r="AV183" s="2">
        <v>3.3</v>
      </c>
      <c r="AW183" s="2">
        <v>11617.129718053829</v>
      </c>
      <c r="AX183" s="2">
        <v>74715.401027665983</v>
      </c>
      <c r="AY183" s="2">
        <v>67352.647733737584</v>
      </c>
      <c r="AZ183" s="2">
        <v>0</v>
      </c>
      <c r="BA183" s="2">
        <v>0</v>
      </c>
      <c r="BB183" s="2">
        <v>0.6</v>
      </c>
      <c r="BC183" s="30">
        <v>1</v>
      </c>
      <c r="BD183" s="34">
        <v>0</v>
      </c>
      <c r="BE183" s="34">
        <v>0</v>
      </c>
      <c r="BF183" s="40">
        <v>0</v>
      </c>
      <c r="BG183" s="2">
        <v>0</v>
      </c>
      <c r="BH183" s="2">
        <v>1</v>
      </c>
      <c r="BI183" s="40">
        <v>0</v>
      </c>
      <c r="BJ183" s="2">
        <v>1</v>
      </c>
      <c r="BK183" s="2">
        <v>0</v>
      </c>
      <c r="BL183" s="2">
        <v>0</v>
      </c>
      <c r="BM183" s="40">
        <v>0</v>
      </c>
      <c r="BN183" s="958">
        <v>0</v>
      </c>
      <c r="BO183" s="959">
        <v>14.9</v>
      </c>
      <c r="BP183" s="1018">
        <f t="shared" ca="1" si="248"/>
        <v>215.65</v>
      </c>
      <c r="BQ183" s="1018">
        <f t="shared" ca="1" si="249"/>
        <v>486.07500000000005</v>
      </c>
      <c r="BR183" s="1018">
        <f t="shared" ca="1" si="250"/>
        <v>117.8</v>
      </c>
      <c r="BS183" s="1018">
        <f t="shared" ca="1" si="251"/>
        <v>103.97</v>
      </c>
      <c r="BT183" s="1018">
        <f t="shared" ca="1" si="252"/>
        <v>53.9</v>
      </c>
      <c r="BU183" s="1018">
        <f t="shared" ca="1" si="253"/>
        <v>62.730000000000004</v>
      </c>
      <c r="BV183" s="1018">
        <f t="shared" ca="1" si="254"/>
        <v>4.3</v>
      </c>
      <c r="BW183" s="1018">
        <v>0</v>
      </c>
      <c r="BX183" s="1018">
        <f t="shared" ca="1" si="255"/>
        <v>51.195290346443095</v>
      </c>
      <c r="BY183" s="1018">
        <f t="shared" ca="1" si="256"/>
        <v>160.07111436950146</v>
      </c>
      <c r="BZ183" s="1018">
        <f t="shared" ca="1" si="191"/>
        <v>40.620384243595943</v>
      </c>
      <c r="CA183" s="1018">
        <f t="shared" ca="1" si="192"/>
        <v>172.50749990512088</v>
      </c>
      <c r="CB183" s="1018">
        <f t="shared" ca="1" si="257"/>
        <v>9.0267175572519083</v>
      </c>
      <c r="CC183" s="1018">
        <f t="shared" si="193"/>
        <v>0</v>
      </c>
      <c r="CD183" s="1018">
        <f t="shared" ca="1" si="258"/>
        <v>433.42100642191326</v>
      </c>
      <c r="CE183" s="1018">
        <f t="shared" ca="1" si="262"/>
        <v>174.83241983450787</v>
      </c>
      <c r="CF183" s="1018">
        <f t="shared" ca="1" si="194"/>
        <v>18.247602787692635</v>
      </c>
      <c r="CG183" s="1018">
        <f t="shared" ca="1" si="195"/>
        <v>30381.528737396726</v>
      </c>
    </row>
    <row r="184" spans="4:85" x14ac:dyDescent="0.25">
      <c r="D184" s="668"/>
      <c r="E184" s="667"/>
      <c r="F184" s="668"/>
      <c r="G184" s="667"/>
      <c r="H184" s="668"/>
      <c r="I184" s="667"/>
      <c r="J184" s="668"/>
      <c r="K184" s="671"/>
      <c r="L184" s="673"/>
      <c r="M184" s="668" t="s">
        <v>16</v>
      </c>
      <c r="N184" s="670">
        <v>0.44680851100000002</v>
      </c>
      <c r="O184" s="668" t="s">
        <v>19</v>
      </c>
      <c r="P184" s="670">
        <v>0.37046004799999999</v>
      </c>
      <c r="Q184" s="668" t="s">
        <v>7</v>
      </c>
      <c r="R184" s="670">
        <v>0.26140000000000002</v>
      </c>
      <c r="S184" s="668"/>
      <c r="T184" s="678">
        <v>7.3783343260825534E-4</v>
      </c>
      <c r="U184" s="667"/>
      <c r="V184" s="176">
        <f t="shared" si="196"/>
        <v>7.3783343260825534E-4</v>
      </c>
      <c r="W184" s="176">
        <f t="shared" si="259"/>
        <v>7.3783343260825534E-4</v>
      </c>
      <c r="X184" s="176">
        <f t="shared" si="259"/>
        <v>7.3783343260825534E-4</v>
      </c>
      <c r="Y184" s="34">
        <f>X184/Calculation_sheet!M$67</f>
        <v>7.3784851866689712E-4</v>
      </c>
      <c r="Z184" s="176">
        <f ca="1">IF(AN184&gt;0,Y184*Calculation_sheet!C$87,0)</f>
        <v>0</v>
      </c>
      <c r="AA184" s="176">
        <f t="shared" ca="1" si="260"/>
        <v>7.3784851866689712E-4</v>
      </c>
      <c r="AB184" s="176">
        <f ca="1">IF(AP184&gt;0,AA184*Calculation_sheet!C$94,0)</f>
        <v>0</v>
      </c>
      <c r="AC184" s="176">
        <f t="shared" ca="1" si="247"/>
        <v>7.3784851866689712E-4</v>
      </c>
      <c r="AD184" s="958">
        <f ca="1">AC184*Calculation_sheet!C$99</f>
        <v>4.4270911120013824E-4</v>
      </c>
      <c r="AE184" s="176">
        <f t="shared" ca="1" si="247"/>
        <v>2.9513940746675888E-4</v>
      </c>
      <c r="AF184" s="176">
        <f t="shared" ca="1" si="261"/>
        <v>7.3784851866689712E-4</v>
      </c>
      <c r="AG184" s="958">
        <f ca="1">AF184*User_sheet!B$77/100</f>
        <v>0</v>
      </c>
      <c r="AH184" s="313"/>
      <c r="AI184" s="3">
        <v>302</v>
      </c>
      <c r="AK184" s="1018">
        <f t="shared" ca="1" si="190"/>
        <v>433.42100642191326</v>
      </c>
      <c r="AL184" s="924">
        <f ca="1">AK184/'302'!I$24</f>
        <v>1.1048203069638369</v>
      </c>
      <c r="AM184" s="924">
        <f ca="1">0.8*(AK184*30+'302'!D$17*0.34*30*1)</f>
        <v>15468.291154125922</v>
      </c>
      <c r="AN184" s="954">
        <f ca="1">IF(AM184&lt;User_sheet!B$50,Y184,0)</f>
        <v>0</v>
      </c>
      <c r="AO184" s="954">
        <f ca="1">20-(User_sheet!B$57/(AK184+'302'!D$17*1*0.34))</f>
        <v>11.156101301887455</v>
      </c>
      <c r="AP184" s="954">
        <f ca="1">IF(AO184&lt;User_sheet!B$59,0,BC184*AA184)</f>
        <v>7.3784851866689712E-4</v>
      </c>
      <c r="AR184" s="2">
        <v>0.47</v>
      </c>
      <c r="AS184" s="2">
        <v>2.1</v>
      </c>
      <c r="AT184" s="2">
        <v>3.78</v>
      </c>
      <c r="AU184" s="2">
        <v>2.75</v>
      </c>
      <c r="AV184" s="2">
        <v>3.3</v>
      </c>
      <c r="AW184" s="2">
        <v>11617.129718053829</v>
      </c>
      <c r="AX184" s="2">
        <v>74715.401027665983</v>
      </c>
      <c r="AY184" s="2">
        <v>67352.647733737584</v>
      </c>
      <c r="AZ184" s="2">
        <v>0</v>
      </c>
      <c r="BA184" s="2">
        <v>0</v>
      </c>
      <c r="BB184" s="2">
        <v>0.6</v>
      </c>
      <c r="BC184" s="30">
        <v>1</v>
      </c>
      <c r="BD184" s="34">
        <v>0</v>
      </c>
      <c r="BE184" s="34">
        <v>0</v>
      </c>
      <c r="BF184" s="40">
        <v>0</v>
      </c>
      <c r="BG184" s="2">
        <v>0</v>
      </c>
      <c r="BH184" s="2">
        <v>1</v>
      </c>
      <c r="BI184" s="40">
        <v>0</v>
      </c>
      <c r="BJ184" s="2">
        <v>0</v>
      </c>
      <c r="BK184" s="2">
        <v>0</v>
      </c>
      <c r="BL184" s="2">
        <v>1</v>
      </c>
      <c r="BM184" s="40">
        <v>0</v>
      </c>
      <c r="BN184" s="958">
        <v>0</v>
      </c>
      <c r="BO184" s="959">
        <v>14.9</v>
      </c>
      <c r="BP184" s="1018">
        <f t="shared" ca="1" si="248"/>
        <v>215.65</v>
      </c>
      <c r="BQ184" s="1018">
        <f t="shared" ca="1" si="249"/>
        <v>486.07500000000005</v>
      </c>
      <c r="BR184" s="1018">
        <f t="shared" ca="1" si="250"/>
        <v>117.8</v>
      </c>
      <c r="BS184" s="1018">
        <f t="shared" ca="1" si="251"/>
        <v>103.97</v>
      </c>
      <c r="BT184" s="1018">
        <f t="shared" ca="1" si="252"/>
        <v>53.9</v>
      </c>
      <c r="BU184" s="1018">
        <f t="shared" ca="1" si="253"/>
        <v>62.730000000000004</v>
      </c>
      <c r="BV184" s="1018">
        <f t="shared" ca="1" si="254"/>
        <v>4.3</v>
      </c>
      <c r="BW184" s="1018">
        <v>0</v>
      </c>
      <c r="BX184" s="1018">
        <f t="shared" ca="1" si="255"/>
        <v>51.195290346443095</v>
      </c>
      <c r="BY184" s="1018">
        <f t="shared" ca="1" si="256"/>
        <v>160.07111436950146</v>
      </c>
      <c r="BZ184" s="1018">
        <f t="shared" ca="1" si="191"/>
        <v>40.620384243595943</v>
      </c>
      <c r="CA184" s="1018">
        <f t="shared" ca="1" si="192"/>
        <v>172.50749990512088</v>
      </c>
      <c r="CB184" s="1018">
        <f t="shared" ca="1" si="257"/>
        <v>9.0267175572519083</v>
      </c>
      <c r="CC184" s="1018">
        <f t="shared" si="193"/>
        <v>0</v>
      </c>
      <c r="CD184" s="1018">
        <f t="shared" ca="1" si="258"/>
        <v>433.42100642191326</v>
      </c>
      <c r="CE184" s="1018">
        <f t="shared" ca="1" si="262"/>
        <v>174.83241983450787</v>
      </c>
      <c r="CF184" s="1018">
        <f t="shared" ca="1" si="194"/>
        <v>18.247602787692635</v>
      </c>
      <c r="CG184" s="1018">
        <f t="shared" ca="1" si="195"/>
        <v>30381.528737396726</v>
      </c>
    </row>
    <row r="185" spans="4:85" x14ac:dyDescent="0.25">
      <c r="D185" s="668"/>
      <c r="E185" s="667"/>
      <c r="F185" s="668"/>
      <c r="G185" s="667"/>
      <c r="H185" s="668"/>
      <c r="I185" s="667"/>
      <c r="J185" s="668"/>
      <c r="K185" s="671"/>
      <c r="L185" s="673"/>
      <c r="M185" s="668"/>
      <c r="N185" s="668"/>
      <c r="O185" s="668"/>
      <c r="P185" s="668"/>
      <c r="Q185" s="668" t="s">
        <v>22</v>
      </c>
      <c r="R185" s="670">
        <v>0.53710000000000002</v>
      </c>
      <c r="S185" s="668"/>
      <c r="T185" s="678">
        <v>3.3076789082802037E-3</v>
      </c>
      <c r="U185" s="667"/>
      <c r="V185" s="176">
        <f t="shared" si="196"/>
        <v>3.3076789082802037E-3</v>
      </c>
      <c r="W185" s="176">
        <f t="shared" si="259"/>
        <v>3.3076789082802037E-3</v>
      </c>
      <c r="X185" s="176">
        <f t="shared" si="259"/>
        <v>3.3076789082802037E-3</v>
      </c>
      <c r="Y185" s="34">
        <f>X185/Calculation_sheet!M$67</f>
        <v>3.3077465385010275E-3</v>
      </c>
      <c r="Z185" s="176">
        <f ca="1">IF(AN185&gt;0,Y185*Calculation_sheet!C$87,0)</f>
        <v>0</v>
      </c>
      <c r="AA185" s="176">
        <f t="shared" ca="1" si="260"/>
        <v>3.3077465385010275E-3</v>
      </c>
      <c r="AB185" s="176">
        <f ca="1">IF(AP185&gt;0,AA185*Calculation_sheet!C$94,0)</f>
        <v>0</v>
      </c>
      <c r="AC185" s="176">
        <f t="shared" ca="1" si="247"/>
        <v>3.3077465385010275E-3</v>
      </c>
      <c r="AD185" s="958">
        <f ca="1">AC185*Calculation_sheet!C$99</f>
        <v>1.9846479231006163E-3</v>
      </c>
      <c r="AE185" s="176">
        <f t="shared" ca="1" si="247"/>
        <v>1.3230986154004112E-3</v>
      </c>
      <c r="AF185" s="176">
        <f t="shared" ca="1" si="261"/>
        <v>3.3077465385010275E-3</v>
      </c>
      <c r="AG185" s="958">
        <f ca="1">AF185*User_sheet!B$77/100</f>
        <v>0</v>
      </c>
      <c r="AH185" s="313"/>
      <c r="AI185" s="3">
        <v>302</v>
      </c>
      <c r="AK185" s="1018">
        <f t="shared" ca="1" si="190"/>
        <v>433.42100642191326</v>
      </c>
      <c r="AL185" s="924">
        <f ca="1">AK185/'302'!I$24</f>
        <v>1.1048203069638369</v>
      </c>
      <c r="AM185" s="924">
        <f ca="1">0.8*(AK185*30+'302'!D$17*0.34*30*1)</f>
        <v>15468.291154125922</v>
      </c>
      <c r="AN185" s="954">
        <f ca="1">IF(AM185&lt;User_sheet!B$50,Y185,0)</f>
        <v>0</v>
      </c>
      <c r="AO185" s="954">
        <f ca="1">20-(User_sheet!B$57/(AK185+'302'!D$17*1*0.34))</f>
        <v>11.156101301887455</v>
      </c>
      <c r="AP185" s="954">
        <f ca="1">IF(AO185&lt;User_sheet!B$59,0,BC185*AA185)</f>
        <v>0</v>
      </c>
      <c r="AR185" s="2">
        <v>0.47</v>
      </c>
      <c r="AS185" s="2">
        <v>2.1</v>
      </c>
      <c r="AT185" s="2">
        <v>3.78</v>
      </c>
      <c r="AU185" s="2">
        <v>2.75</v>
      </c>
      <c r="AV185" s="2">
        <v>3.3</v>
      </c>
      <c r="AW185" s="2">
        <v>11617.129718053829</v>
      </c>
      <c r="AX185" s="2">
        <v>74715.401027665983</v>
      </c>
      <c r="AY185" s="2">
        <v>67352.647733737584</v>
      </c>
      <c r="AZ185" s="2">
        <v>0</v>
      </c>
      <c r="BA185" s="2">
        <v>0</v>
      </c>
      <c r="BB185" s="2">
        <v>0.6</v>
      </c>
      <c r="BC185" s="30">
        <v>0</v>
      </c>
      <c r="BD185" s="34">
        <v>1</v>
      </c>
      <c r="BE185" s="34">
        <v>0</v>
      </c>
      <c r="BF185" s="40">
        <v>0</v>
      </c>
      <c r="BG185" s="2">
        <v>1</v>
      </c>
      <c r="BH185" s="2">
        <v>0</v>
      </c>
      <c r="BI185" s="40">
        <v>0</v>
      </c>
      <c r="BJ185" s="2">
        <v>0</v>
      </c>
      <c r="BK185" s="2">
        <v>1</v>
      </c>
      <c r="BL185" s="2">
        <v>0</v>
      </c>
      <c r="BM185" s="40">
        <v>0</v>
      </c>
      <c r="BN185" s="958">
        <v>0</v>
      </c>
      <c r="BO185" s="959">
        <v>14.9</v>
      </c>
      <c r="BP185" s="1018">
        <f t="shared" ca="1" si="248"/>
        <v>215.65</v>
      </c>
      <c r="BQ185" s="1018">
        <f t="shared" ca="1" si="249"/>
        <v>486.07500000000005</v>
      </c>
      <c r="BR185" s="1018">
        <f t="shared" ca="1" si="250"/>
        <v>117.8</v>
      </c>
      <c r="BS185" s="1018">
        <f t="shared" ca="1" si="251"/>
        <v>103.97</v>
      </c>
      <c r="BT185" s="1018">
        <f t="shared" ca="1" si="252"/>
        <v>53.9</v>
      </c>
      <c r="BU185" s="1018">
        <f t="shared" ca="1" si="253"/>
        <v>62.730000000000004</v>
      </c>
      <c r="BV185" s="1018">
        <f t="shared" ca="1" si="254"/>
        <v>4.3</v>
      </c>
      <c r="BW185" s="1018">
        <v>0</v>
      </c>
      <c r="BX185" s="1018">
        <f t="shared" ca="1" si="255"/>
        <v>51.195290346443095</v>
      </c>
      <c r="BY185" s="1018">
        <f t="shared" ca="1" si="256"/>
        <v>160.07111436950146</v>
      </c>
      <c r="BZ185" s="1018">
        <f t="shared" ca="1" si="191"/>
        <v>40.620384243595943</v>
      </c>
      <c r="CA185" s="1018">
        <f t="shared" ca="1" si="192"/>
        <v>172.50749990512088</v>
      </c>
      <c r="CB185" s="1018">
        <f t="shared" ca="1" si="257"/>
        <v>9.0267175572519083</v>
      </c>
      <c r="CC185" s="1018">
        <f t="shared" si="193"/>
        <v>0</v>
      </c>
      <c r="CD185" s="1018">
        <f t="shared" ca="1" si="258"/>
        <v>433.42100642191326</v>
      </c>
      <c r="CE185" s="1018">
        <f t="shared" ca="1" si="262"/>
        <v>174.83241983450787</v>
      </c>
      <c r="CF185" s="1018">
        <f t="shared" ca="1" si="194"/>
        <v>18.247602787692635</v>
      </c>
      <c r="CG185" s="1018">
        <f t="shared" ca="1" si="195"/>
        <v>30381.528737396726</v>
      </c>
    </row>
    <row r="186" spans="4:85" x14ac:dyDescent="0.25">
      <c r="D186" s="668"/>
      <c r="E186" s="667"/>
      <c r="F186" s="668"/>
      <c r="G186" s="667"/>
      <c r="H186" s="668"/>
      <c r="I186" s="667"/>
      <c r="J186" s="668"/>
      <c r="K186" s="671"/>
      <c r="L186" s="673"/>
      <c r="M186" s="668"/>
      <c r="N186" s="668"/>
      <c r="O186" s="668" t="s">
        <v>18</v>
      </c>
      <c r="P186" s="670">
        <v>0.80827067699999999</v>
      </c>
      <c r="Q186" s="668" t="s">
        <v>7</v>
      </c>
      <c r="R186" s="670">
        <v>0.46289999999999998</v>
      </c>
      <c r="S186" s="668"/>
      <c r="T186" s="678">
        <v>2.8507253149188346E-3</v>
      </c>
      <c r="U186" s="667"/>
      <c r="V186" s="176">
        <f t="shared" si="196"/>
        <v>2.8507253149188346E-3</v>
      </c>
      <c r="W186" s="176">
        <f t="shared" si="259"/>
        <v>2.8507253149188346E-3</v>
      </c>
      <c r="X186" s="176">
        <f t="shared" si="259"/>
        <v>2.8507253149188346E-3</v>
      </c>
      <c r="Y186" s="34">
        <f>X186/Calculation_sheet!M$67</f>
        <v>2.8507836020706112E-3</v>
      </c>
      <c r="Z186" s="176">
        <f ca="1">IF(AN186&gt;0,Y186*Calculation_sheet!C$87,0)</f>
        <v>0</v>
      </c>
      <c r="AA186" s="176">
        <f t="shared" ca="1" si="260"/>
        <v>2.8507836020706112E-3</v>
      </c>
      <c r="AB186" s="176">
        <f ca="1">IF(AP186&gt;0,AA186*Calculation_sheet!C$94,0)</f>
        <v>0</v>
      </c>
      <c r="AC186" s="176">
        <f t="shared" ca="1" si="247"/>
        <v>2.8507836020706112E-3</v>
      </c>
      <c r="AD186" s="958">
        <f ca="1">AC186*Calculation_sheet!C$99</f>
        <v>1.7104701612423666E-3</v>
      </c>
      <c r="AE186" s="176">
        <f t="shared" ca="1" si="247"/>
        <v>1.1403134408282446E-3</v>
      </c>
      <c r="AF186" s="176">
        <f t="shared" ca="1" si="261"/>
        <v>2.8507836020706112E-3</v>
      </c>
      <c r="AG186" s="958">
        <f ca="1">AF186*User_sheet!B$77/100</f>
        <v>0</v>
      </c>
      <c r="AH186" s="313"/>
      <c r="AI186" s="3">
        <v>302</v>
      </c>
      <c r="AK186" s="1018">
        <f t="shared" ca="1" si="190"/>
        <v>433.42100642191326</v>
      </c>
      <c r="AL186" s="924">
        <f ca="1">AK186/'302'!I$24</f>
        <v>1.1048203069638369</v>
      </c>
      <c r="AM186" s="924">
        <f ca="1">0.8*(AK186*30+'302'!D$17*0.34*30*1)</f>
        <v>15468.291154125922</v>
      </c>
      <c r="AN186" s="954">
        <f ca="1">IF(AM186&lt;User_sheet!B$50,Y186,0)</f>
        <v>0</v>
      </c>
      <c r="AO186" s="954">
        <f ca="1">20-(User_sheet!B$57/(AK186+'302'!D$17*1*0.34))</f>
        <v>11.156101301887455</v>
      </c>
      <c r="AP186" s="954">
        <f ca="1">IF(AO186&lt;User_sheet!B$59,0,BC186*AA186)</f>
        <v>0</v>
      </c>
      <c r="AR186" s="2">
        <v>0.47</v>
      </c>
      <c r="AS186" s="2">
        <v>2.1</v>
      </c>
      <c r="AT186" s="2">
        <v>3.78</v>
      </c>
      <c r="AU186" s="2">
        <v>2.75</v>
      </c>
      <c r="AV186" s="2">
        <v>3.3</v>
      </c>
      <c r="AW186" s="2">
        <v>11617.129718053829</v>
      </c>
      <c r="AX186" s="2">
        <v>74715.401027665983</v>
      </c>
      <c r="AY186" s="2">
        <v>67352.647733737584</v>
      </c>
      <c r="AZ186" s="2">
        <v>0</v>
      </c>
      <c r="BA186" s="2">
        <v>0</v>
      </c>
      <c r="BB186" s="2">
        <v>0.6</v>
      </c>
      <c r="BC186" s="30">
        <v>0</v>
      </c>
      <c r="BD186" s="34">
        <v>1</v>
      </c>
      <c r="BE186" s="34">
        <v>0</v>
      </c>
      <c r="BF186" s="40">
        <v>0</v>
      </c>
      <c r="BG186" s="2">
        <v>1</v>
      </c>
      <c r="BH186" s="2">
        <v>0</v>
      </c>
      <c r="BI186" s="40">
        <v>0</v>
      </c>
      <c r="BJ186" s="2">
        <v>0</v>
      </c>
      <c r="BK186" s="2">
        <v>0</v>
      </c>
      <c r="BL186" s="2">
        <v>1</v>
      </c>
      <c r="BM186" s="40">
        <v>0</v>
      </c>
      <c r="BN186" s="958">
        <v>0</v>
      </c>
      <c r="BO186" s="959">
        <v>14.9</v>
      </c>
      <c r="BP186" s="1018">
        <f t="shared" ca="1" si="248"/>
        <v>215.65</v>
      </c>
      <c r="BQ186" s="1018">
        <f t="shared" ca="1" si="249"/>
        <v>486.07500000000005</v>
      </c>
      <c r="BR186" s="1018">
        <f t="shared" ca="1" si="250"/>
        <v>117.8</v>
      </c>
      <c r="BS186" s="1018">
        <f t="shared" ca="1" si="251"/>
        <v>103.97</v>
      </c>
      <c r="BT186" s="1018">
        <f t="shared" ca="1" si="252"/>
        <v>53.9</v>
      </c>
      <c r="BU186" s="1018">
        <f t="shared" ca="1" si="253"/>
        <v>62.730000000000004</v>
      </c>
      <c r="BV186" s="1018">
        <f t="shared" ca="1" si="254"/>
        <v>4.3</v>
      </c>
      <c r="BW186" s="1018">
        <v>0</v>
      </c>
      <c r="BX186" s="1018">
        <f t="shared" ca="1" si="255"/>
        <v>51.195290346443095</v>
      </c>
      <c r="BY186" s="1018">
        <f t="shared" ca="1" si="256"/>
        <v>160.07111436950146</v>
      </c>
      <c r="BZ186" s="1018">
        <f t="shared" ca="1" si="191"/>
        <v>40.620384243595943</v>
      </c>
      <c r="CA186" s="1018">
        <f t="shared" ca="1" si="192"/>
        <v>172.50749990512088</v>
      </c>
      <c r="CB186" s="1018">
        <f t="shared" ca="1" si="257"/>
        <v>9.0267175572519083</v>
      </c>
      <c r="CC186" s="1018">
        <f t="shared" si="193"/>
        <v>0</v>
      </c>
      <c r="CD186" s="1018">
        <f t="shared" ca="1" si="258"/>
        <v>433.42100642191326</v>
      </c>
      <c r="CE186" s="1018">
        <f t="shared" ca="1" si="262"/>
        <v>174.83241983450787</v>
      </c>
      <c r="CF186" s="1018">
        <f t="shared" ca="1" si="194"/>
        <v>18.247602787692635</v>
      </c>
      <c r="CG186" s="1018">
        <f t="shared" ca="1" si="195"/>
        <v>30381.528737396726</v>
      </c>
    </row>
    <row r="187" spans="4:85" x14ac:dyDescent="0.25">
      <c r="D187" s="668"/>
      <c r="E187" s="667"/>
      <c r="F187" s="668"/>
      <c r="G187" s="667"/>
      <c r="H187" s="668"/>
      <c r="I187" s="667"/>
      <c r="J187" s="668"/>
      <c r="K187" s="671"/>
      <c r="L187" s="673"/>
      <c r="M187" s="668"/>
      <c r="N187" s="668"/>
      <c r="O187" s="668"/>
      <c r="P187" s="668"/>
      <c r="Q187" s="668" t="s">
        <v>22</v>
      </c>
      <c r="R187" s="670">
        <v>0.53710000000000002</v>
      </c>
      <c r="S187" s="668"/>
      <c r="T187" s="678">
        <v>7.8461220458940712E-4</v>
      </c>
      <c r="U187" s="667"/>
      <c r="V187" s="176">
        <f t="shared" si="196"/>
        <v>7.8461220458940712E-4</v>
      </c>
      <c r="W187" s="176">
        <f t="shared" si="259"/>
        <v>7.8461220458940712E-4</v>
      </c>
      <c r="X187" s="176">
        <f t="shared" si="259"/>
        <v>7.8461220458940712E-4</v>
      </c>
      <c r="Y187" s="34">
        <f>X187/Calculation_sheet!M$67</f>
        <v>7.8462824710687294E-4</v>
      </c>
      <c r="Z187" s="176">
        <f ca="1">IF(AN187&gt;0,Y187*Calculation_sheet!C$87,0)</f>
        <v>0</v>
      </c>
      <c r="AA187" s="176">
        <f t="shared" ca="1" si="260"/>
        <v>7.8462824710687294E-4</v>
      </c>
      <c r="AB187" s="176">
        <f ca="1">IF(AP187&gt;0,AA187*Calculation_sheet!C$94,0)</f>
        <v>0</v>
      </c>
      <c r="AC187" s="176">
        <f t="shared" ca="1" si="247"/>
        <v>7.8462824710687294E-4</v>
      </c>
      <c r="AD187" s="958">
        <f ca="1">AC187*Calculation_sheet!C$99</f>
        <v>4.7077694826412375E-4</v>
      </c>
      <c r="AE187" s="176">
        <f t="shared" ca="1" si="247"/>
        <v>3.1385129884274919E-4</v>
      </c>
      <c r="AF187" s="176">
        <f t="shared" ca="1" si="261"/>
        <v>7.8462824710687294E-4</v>
      </c>
      <c r="AG187" s="958">
        <f ca="1">AF187*User_sheet!B$77/100</f>
        <v>0</v>
      </c>
      <c r="AH187" s="313"/>
      <c r="AI187" s="3">
        <v>302</v>
      </c>
      <c r="AK187" s="1018">
        <f t="shared" ca="1" si="190"/>
        <v>433.42100642191326</v>
      </c>
      <c r="AL187" s="924">
        <f ca="1">AK187/'302'!I$24</f>
        <v>1.1048203069638369</v>
      </c>
      <c r="AM187" s="924">
        <f ca="1">0.8*(AK187*30+'302'!D$17*0.34*30*1)</f>
        <v>15468.291154125922</v>
      </c>
      <c r="AN187" s="954">
        <f ca="1">IF(AM187&lt;User_sheet!B$50,Y187,0)</f>
        <v>0</v>
      </c>
      <c r="AO187" s="954">
        <f ca="1">20-(User_sheet!B$57/(AK187+'302'!D$17*1*0.34))</f>
        <v>11.156101301887455</v>
      </c>
      <c r="AP187" s="954">
        <f ca="1">IF(AO187&lt;User_sheet!B$59,0,BC187*AA187)</f>
        <v>0</v>
      </c>
      <c r="AR187" s="2">
        <v>0.47</v>
      </c>
      <c r="AS187" s="2">
        <v>2.1</v>
      </c>
      <c r="AT187" s="2">
        <v>3.78</v>
      </c>
      <c r="AU187" s="2">
        <v>2.75</v>
      </c>
      <c r="AV187" s="2">
        <v>3.3</v>
      </c>
      <c r="AW187" s="2">
        <v>11617.129718053829</v>
      </c>
      <c r="AX187" s="2">
        <v>74715.401027665983</v>
      </c>
      <c r="AY187" s="2">
        <v>67352.647733737584</v>
      </c>
      <c r="AZ187" s="2">
        <v>0</v>
      </c>
      <c r="BA187" s="2">
        <v>0</v>
      </c>
      <c r="BB187" s="2">
        <v>0.6</v>
      </c>
      <c r="BC187" s="30">
        <v>0</v>
      </c>
      <c r="BD187" s="34">
        <v>1</v>
      </c>
      <c r="BE187" s="34">
        <v>0</v>
      </c>
      <c r="BF187" s="40">
        <v>0</v>
      </c>
      <c r="BG187" s="2">
        <v>0</v>
      </c>
      <c r="BH187" s="2">
        <v>1</v>
      </c>
      <c r="BI187" s="40">
        <v>0</v>
      </c>
      <c r="BJ187" s="2">
        <v>0</v>
      </c>
      <c r="BK187" s="2">
        <v>1</v>
      </c>
      <c r="BL187" s="2">
        <v>0</v>
      </c>
      <c r="BM187" s="40">
        <v>0</v>
      </c>
      <c r="BN187" s="958">
        <v>0</v>
      </c>
      <c r="BO187" s="959">
        <v>14.9</v>
      </c>
      <c r="BP187" s="1018">
        <f t="shared" ca="1" si="248"/>
        <v>215.65</v>
      </c>
      <c r="BQ187" s="1018">
        <f t="shared" ca="1" si="249"/>
        <v>486.07500000000005</v>
      </c>
      <c r="BR187" s="1018">
        <f t="shared" ca="1" si="250"/>
        <v>117.8</v>
      </c>
      <c r="BS187" s="1018">
        <f t="shared" ca="1" si="251"/>
        <v>103.97</v>
      </c>
      <c r="BT187" s="1018">
        <f t="shared" ca="1" si="252"/>
        <v>53.9</v>
      </c>
      <c r="BU187" s="1018">
        <f t="shared" ca="1" si="253"/>
        <v>62.730000000000004</v>
      </c>
      <c r="BV187" s="1018">
        <f t="shared" ca="1" si="254"/>
        <v>4.3</v>
      </c>
      <c r="BW187" s="1018">
        <v>0</v>
      </c>
      <c r="BX187" s="1018">
        <f t="shared" ca="1" si="255"/>
        <v>51.195290346443095</v>
      </c>
      <c r="BY187" s="1018">
        <f t="shared" ca="1" si="256"/>
        <v>160.07111436950146</v>
      </c>
      <c r="BZ187" s="1018">
        <f t="shared" ca="1" si="191"/>
        <v>40.620384243595943</v>
      </c>
      <c r="CA187" s="1018">
        <f t="shared" ca="1" si="192"/>
        <v>172.50749990512088</v>
      </c>
      <c r="CB187" s="1018">
        <f t="shared" ca="1" si="257"/>
        <v>9.0267175572519083</v>
      </c>
      <c r="CC187" s="1018">
        <f t="shared" si="193"/>
        <v>0</v>
      </c>
      <c r="CD187" s="1018">
        <f t="shared" ca="1" si="258"/>
        <v>433.42100642191326</v>
      </c>
      <c r="CE187" s="1018">
        <f t="shared" ca="1" si="262"/>
        <v>174.83241983450787</v>
      </c>
      <c r="CF187" s="1018">
        <f t="shared" ca="1" si="194"/>
        <v>18.247602787692635</v>
      </c>
      <c r="CG187" s="1018">
        <f t="shared" ca="1" si="195"/>
        <v>30381.528737396726</v>
      </c>
    </row>
    <row r="188" spans="4:85" x14ac:dyDescent="0.25">
      <c r="D188" s="668"/>
      <c r="E188" s="667"/>
      <c r="F188" s="668"/>
      <c r="G188" s="667"/>
      <c r="H188" s="668"/>
      <c r="I188" s="667"/>
      <c r="J188" s="668"/>
      <c r="K188" s="668"/>
      <c r="L188" s="668"/>
      <c r="M188" s="668" t="s">
        <v>22</v>
      </c>
      <c r="N188" s="670">
        <v>0.44680851100000002</v>
      </c>
      <c r="O188" s="668" t="s">
        <v>20</v>
      </c>
      <c r="P188" s="670">
        <v>0.19172932300000001</v>
      </c>
      <c r="Q188" s="668" t="s">
        <v>7</v>
      </c>
      <c r="R188" s="670">
        <v>0.46289999999999998</v>
      </c>
      <c r="S188" s="668"/>
      <c r="T188" s="678">
        <v>6.7621856172861005E-4</v>
      </c>
      <c r="U188" s="667"/>
      <c r="V188" s="176">
        <f t="shared" si="196"/>
        <v>6.7621856172861005E-4</v>
      </c>
      <c r="W188" s="176">
        <f t="shared" si="259"/>
        <v>6.7621856172861005E-4</v>
      </c>
      <c r="X188" s="176">
        <f t="shared" si="259"/>
        <v>6.7621856172861005E-4</v>
      </c>
      <c r="Y188" s="34">
        <f>X188/Calculation_sheet!M$67</f>
        <v>6.7623238798319009E-4</v>
      </c>
      <c r="Z188" s="176">
        <f ca="1">IF(AN188&gt;0,Y188*Calculation_sheet!C$87,0)</f>
        <v>0</v>
      </c>
      <c r="AA188" s="176">
        <f t="shared" ca="1" si="260"/>
        <v>6.7623238798319009E-4</v>
      </c>
      <c r="AB188" s="176">
        <f ca="1">IF(AP188&gt;0,AA188*Calculation_sheet!C$94,0)</f>
        <v>0</v>
      </c>
      <c r="AC188" s="176">
        <f t="shared" ca="1" si="247"/>
        <v>6.7623238798319009E-4</v>
      </c>
      <c r="AD188" s="958">
        <f ca="1">AC188*Calculation_sheet!C$99</f>
        <v>4.0573943278991405E-4</v>
      </c>
      <c r="AE188" s="176">
        <f t="shared" ca="1" si="247"/>
        <v>2.7049295519327604E-4</v>
      </c>
      <c r="AF188" s="176">
        <f t="shared" ca="1" si="261"/>
        <v>6.7623238798319009E-4</v>
      </c>
      <c r="AG188" s="958">
        <f ca="1">AF188*User_sheet!B$77/100</f>
        <v>0</v>
      </c>
      <c r="AH188" s="313"/>
      <c r="AI188" s="3">
        <v>302</v>
      </c>
      <c r="AK188" s="1018">
        <f t="shared" ca="1" si="190"/>
        <v>433.42100642191326</v>
      </c>
      <c r="AL188" s="924">
        <f ca="1">AK188/'302'!I$24</f>
        <v>1.1048203069638369</v>
      </c>
      <c r="AM188" s="924">
        <f ca="1">0.8*(AK188*30+'302'!D$17*0.34*30*1)</f>
        <v>15468.291154125922</v>
      </c>
      <c r="AN188" s="954">
        <f ca="1">IF(AM188&lt;User_sheet!B$50,Y188,0)</f>
        <v>0</v>
      </c>
      <c r="AO188" s="954">
        <f ca="1">20-(User_sheet!B$57/(AK188+'302'!D$17*1*0.34))</f>
        <v>11.156101301887455</v>
      </c>
      <c r="AP188" s="954">
        <f ca="1">IF(AO188&lt;User_sheet!B$59,0,BC188*AA188)</f>
        <v>0</v>
      </c>
      <c r="AR188" s="2">
        <v>0.47</v>
      </c>
      <c r="AS188" s="2">
        <v>2.1</v>
      </c>
      <c r="AT188" s="2">
        <v>3.78</v>
      </c>
      <c r="AU188" s="2">
        <v>2.75</v>
      </c>
      <c r="AV188" s="2">
        <v>3.3</v>
      </c>
      <c r="AW188" s="2">
        <v>11617.129718053829</v>
      </c>
      <c r="AX188" s="2">
        <v>74715.401027665983</v>
      </c>
      <c r="AY188" s="2">
        <v>67352.647733737584</v>
      </c>
      <c r="AZ188" s="2">
        <v>0</v>
      </c>
      <c r="BA188" s="2">
        <v>0</v>
      </c>
      <c r="BB188" s="2">
        <v>0.6</v>
      </c>
      <c r="BC188" s="30">
        <v>0</v>
      </c>
      <c r="BD188" s="34">
        <v>1</v>
      </c>
      <c r="BE188" s="34">
        <v>0</v>
      </c>
      <c r="BF188" s="40">
        <v>0</v>
      </c>
      <c r="BG188" s="2">
        <v>0</v>
      </c>
      <c r="BH188" s="2">
        <v>1</v>
      </c>
      <c r="BI188" s="40">
        <v>0</v>
      </c>
      <c r="BJ188" s="2">
        <v>0</v>
      </c>
      <c r="BK188" s="2">
        <v>0</v>
      </c>
      <c r="BL188" s="2">
        <v>1</v>
      </c>
      <c r="BM188" s="40">
        <v>0</v>
      </c>
      <c r="BN188" s="958">
        <v>0</v>
      </c>
      <c r="BO188" s="959">
        <v>14.9</v>
      </c>
      <c r="BP188" s="1018">
        <f t="shared" ca="1" si="248"/>
        <v>215.65</v>
      </c>
      <c r="BQ188" s="1018">
        <f t="shared" ca="1" si="249"/>
        <v>486.07500000000005</v>
      </c>
      <c r="BR188" s="1018">
        <f t="shared" ca="1" si="250"/>
        <v>117.8</v>
      </c>
      <c r="BS188" s="1018">
        <f t="shared" ca="1" si="251"/>
        <v>103.97</v>
      </c>
      <c r="BT188" s="1018">
        <f t="shared" ca="1" si="252"/>
        <v>53.9</v>
      </c>
      <c r="BU188" s="1018">
        <f t="shared" ca="1" si="253"/>
        <v>62.730000000000004</v>
      </c>
      <c r="BV188" s="1018">
        <f t="shared" ca="1" si="254"/>
        <v>4.3</v>
      </c>
      <c r="BW188" s="1018">
        <v>0</v>
      </c>
      <c r="BX188" s="1018">
        <f t="shared" ca="1" si="255"/>
        <v>51.195290346443095</v>
      </c>
      <c r="BY188" s="1018">
        <f t="shared" ca="1" si="256"/>
        <v>160.07111436950146</v>
      </c>
      <c r="BZ188" s="1018">
        <f t="shared" ca="1" si="191"/>
        <v>40.620384243595943</v>
      </c>
      <c r="CA188" s="1018">
        <f t="shared" ca="1" si="192"/>
        <v>172.50749990512088</v>
      </c>
      <c r="CB188" s="1018">
        <f t="shared" ca="1" si="257"/>
        <v>9.0267175572519083</v>
      </c>
      <c r="CC188" s="1018">
        <f t="shared" si="193"/>
        <v>0</v>
      </c>
      <c r="CD188" s="1018">
        <f t="shared" ca="1" si="258"/>
        <v>433.42100642191326</v>
      </c>
      <c r="CE188" s="1018">
        <f t="shared" ca="1" si="262"/>
        <v>174.83241983450787</v>
      </c>
      <c r="CF188" s="1018">
        <f t="shared" ca="1" si="194"/>
        <v>18.247602787692635</v>
      </c>
      <c r="CG188" s="1018">
        <f t="shared" ca="1" si="195"/>
        <v>30381.528737396726</v>
      </c>
    </row>
    <row r="189" spans="4:85" x14ac:dyDescent="0.25">
      <c r="D189" s="668"/>
      <c r="E189" s="667"/>
      <c r="F189" s="668"/>
      <c r="G189" s="667"/>
      <c r="H189" s="668"/>
      <c r="I189" s="667" t="s">
        <v>6</v>
      </c>
      <c r="J189" s="672">
        <v>0.59030000000000005</v>
      </c>
      <c r="K189" s="668"/>
      <c r="L189" s="668"/>
      <c r="M189" s="668" t="s">
        <v>7</v>
      </c>
      <c r="N189" s="670">
        <v>2.1276595999999998E-2</v>
      </c>
      <c r="O189" s="668" t="s">
        <v>23</v>
      </c>
      <c r="P189" s="670">
        <v>1</v>
      </c>
      <c r="Q189" s="668" t="s">
        <v>7</v>
      </c>
      <c r="R189" s="670">
        <v>1</v>
      </c>
      <c r="S189" s="668"/>
      <c r="T189" s="678">
        <v>3.62820717846663E-4</v>
      </c>
      <c r="U189" s="667"/>
      <c r="V189" s="176">
        <f t="shared" si="196"/>
        <v>3.62820717846663E-4</v>
      </c>
      <c r="W189" s="176">
        <f t="shared" si="259"/>
        <v>3.62820717846663E-4</v>
      </c>
      <c r="X189" s="176">
        <f t="shared" si="259"/>
        <v>3.62820717846663E-4</v>
      </c>
      <c r="Y189" s="34">
        <f>X189/Calculation_sheet!M$67</f>
        <v>3.6282813623458632E-4</v>
      </c>
      <c r="Z189" s="176">
        <f ca="1">IF(AN189&gt;0,Y189*Calculation_sheet!C$87,0)</f>
        <v>0</v>
      </c>
      <c r="AA189" s="176">
        <f t="shared" ca="1" si="260"/>
        <v>3.6282813623458632E-4</v>
      </c>
      <c r="AB189" s="176">
        <f ca="1">IF(AP189&gt;0,AA189*Calculation_sheet!C$94,0)</f>
        <v>0</v>
      </c>
      <c r="AC189" s="176">
        <f t="shared" ca="1" si="247"/>
        <v>3.6282813623458632E-4</v>
      </c>
      <c r="AD189" s="958">
        <f ca="1">AC189*Calculation_sheet!C$99</f>
        <v>2.1769688174075178E-4</v>
      </c>
      <c r="AE189" s="176">
        <f t="shared" ca="1" si="247"/>
        <v>1.4513125449383454E-4</v>
      </c>
      <c r="AF189" s="176">
        <f t="shared" ca="1" si="261"/>
        <v>3.6282813623458632E-4</v>
      </c>
      <c r="AG189" s="958">
        <f ca="1">AF189*User_sheet!B$77/100</f>
        <v>0</v>
      </c>
      <c r="AH189" s="313"/>
      <c r="AI189" s="3">
        <v>302</v>
      </c>
      <c r="AK189" s="1018">
        <f t="shared" ca="1" si="190"/>
        <v>433.42100642191326</v>
      </c>
      <c r="AL189" s="924">
        <f ca="1">AK189/'302'!I$24</f>
        <v>1.1048203069638369</v>
      </c>
      <c r="AM189" s="924">
        <f ca="1">0.8*(AK189*30+'302'!D$17*0.34*30*1)</f>
        <v>15468.291154125922</v>
      </c>
      <c r="AN189" s="954">
        <f ca="1">IF(AM189&lt;User_sheet!B$50,Y189,0)</f>
        <v>0</v>
      </c>
      <c r="AO189" s="954">
        <f ca="1">20-(User_sheet!B$57/(AK189+'302'!D$17*1*0.34))</f>
        <v>11.156101301887455</v>
      </c>
      <c r="AP189" s="954">
        <f ca="1">IF(AO189&lt;User_sheet!B$59,0,BC189*AA189)</f>
        <v>0</v>
      </c>
      <c r="AR189" s="2">
        <v>0.47</v>
      </c>
      <c r="AS189" s="2">
        <v>2.1</v>
      </c>
      <c r="AT189" s="2">
        <v>3.78</v>
      </c>
      <c r="AU189" s="2">
        <v>2.75</v>
      </c>
      <c r="AV189" s="2">
        <v>3.3</v>
      </c>
      <c r="AW189" s="2">
        <v>11617.129718053829</v>
      </c>
      <c r="AX189" s="2">
        <v>74715.401027665983</v>
      </c>
      <c r="AY189" s="2">
        <v>67352.647733737584</v>
      </c>
      <c r="AZ189" s="2">
        <v>0</v>
      </c>
      <c r="BA189" s="2">
        <v>0</v>
      </c>
      <c r="BB189" s="2">
        <v>0.6</v>
      </c>
      <c r="BC189" s="30">
        <v>0</v>
      </c>
      <c r="BD189" s="34">
        <v>0</v>
      </c>
      <c r="BE189" s="34">
        <v>1</v>
      </c>
      <c r="BF189" s="40">
        <v>0</v>
      </c>
      <c r="BG189" s="2">
        <v>0</v>
      </c>
      <c r="BH189" s="2">
        <v>0</v>
      </c>
      <c r="BI189" s="40">
        <v>1</v>
      </c>
      <c r="BJ189" s="2">
        <v>0</v>
      </c>
      <c r="BK189" s="2">
        <v>0</v>
      </c>
      <c r="BL189" s="2">
        <v>1</v>
      </c>
      <c r="BM189" s="40">
        <v>0</v>
      </c>
      <c r="BN189" s="958">
        <v>0</v>
      </c>
      <c r="BO189" s="959">
        <v>14.9</v>
      </c>
      <c r="BP189" s="1018">
        <f t="shared" ca="1" si="248"/>
        <v>215.65</v>
      </c>
      <c r="BQ189" s="1018">
        <f t="shared" ca="1" si="249"/>
        <v>486.07500000000005</v>
      </c>
      <c r="BR189" s="1018">
        <f t="shared" ca="1" si="250"/>
        <v>117.8</v>
      </c>
      <c r="BS189" s="1018">
        <f t="shared" ca="1" si="251"/>
        <v>103.97</v>
      </c>
      <c r="BT189" s="1018">
        <f t="shared" ca="1" si="252"/>
        <v>53.9</v>
      </c>
      <c r="BU189" s="1018">
        <f t="shared" ca="1" si="253"/>
        <v>62.730000000000004</v>
      </c>
      <c r="BV189" s="1018">
        <f t="shared" ca="1" si="254"/>
        <v>4.3</v>
      </c>
      <c r="BW189" s="1018">
        <v>0</v>
      </c>
      <c r="BX189" s="1018">
        <f t="shared" ca="1" si="255"/>
        <v>51.195290346443095</v>
      </c>
      <c r="BY189" s="1018">
        <f t="shared" ca="1" si="256"/>
        <v>160.07111436950146</v>
      </c>
      <c r="BZ189" s="1018">
        <f t="shared" ca="1" si="191"/>
        <v>40.620384243595943</v>
      </c>
      <c r="CA189" s="1018">
        <f t="shared" ca="1" si="192"/>
        <v>172.50749990512088</v>
      </c>
      <c r="CB189" s="1018">
        <f t="shared" ca="1" si="257"/>
        <v>9.0267175572519083</v>
      </c>
      <c r="CC189" s="1018">
        <f t="shared" si="193"/>
        <v>0</v>
      </c>
      <c r="CD189" s="1018">
        <f t="shared" ca="1" si="258"/>
        <v>433.42100642191326</v>
      </c>
      <c r="CE189" s="1018">
        <f t="shared" ca="1" si="262"/>
        <v>174.83241983450787</v>
      </c>
      <c r="CF189" s="1018">
        <f t="shared" ca="1" si="194"/>
        <v>18.247602787692635</v>
      </c>
      <c r="CG189" s="1018">
        <f t="shared" ca="1" si="195"/>
        <v>30381.528737396726</v>
      </c>
    </row>
    <row r="190" spans="4:85" x14ac:dyDescent="0.25">
      <c r="D190" s="668"/>
      <c r="E190" s="667"/>
      <c r="F190" s="668"/>
      <c r="G190" s="667"/>
      <c r="H190" s="668"/>
      <c r="I190" s="667"/>
      <c r="J190" s="668"/>
      <c r="K190" s="668"/>
      <c r="L190" s="668"/>
      <c r="M190" s="668"/>
      <c r="N190" s="668"/>
      <c r="O190" s="668" t="s">
        <v>18</v>
      </c>
      <c r="P190" s="670">
        <v>0.15910607099999999</v>
      </c>
      <c r="Q190" s="668" t="s">
        <v>17</v>
      </c>
      <c r="R190" s="670">
        <v>1</v>
      </c>
      <c r="S190" s="668"/>
      <c r="T190" s="678">
        <v>2.3090791286276048E-4</v>
      </c>
      <c r="U190" s="667"/>
      <c r="V190" s="176">
        <f t="shared" si="196"/>
        <v>2.3090791286276048E-4</v>
      </c>
      <c r="W190" s="176">
        <f t="shared" si="259"/>
        <v>2.3090791286276048E-4</v>
      </c>
      <c r="X190" s="176">
        <f t="shared" si="259"/>
        <v>2.3090791286276048E-4</v>
      </c>
      <c r="Y190" s="34">
        <f>X190/Calculation_sheet!M$67</f>
        <v>2.3091263410492753E-4</v>
      </c>
      <c r="Z190" s="176">
        <f ca="1">IF(AN190&gt;0,Y190*Calculation_sheet!C$87,0)</f>
        <v>0</v>
      </c>
      <c r="AA190" s="176">
        <f t="shared" ca="1" si="260"/>
        <v>2.3091263410492753E-4</v>
      </c>
      <c r="AB190" s="176">
        <f ca="1">IF(AP190&gt;0,AA190*Calculation_sheet!C$94,0)</f>
        <v>0</v>
      </c>
      <c r="AC190" s="176">
        <f t="shared" ca="1" si="247"/>
        <v>2.3091263410492753E-4</v>
      </c>
      <c r="AD190" s="958">
        <f ca="1">AC190*Calculation_sheet!C$99</f>
        <v>1.3854758046295652E-4</v>
      </c>
      <c r="AE190" s="176">
        <f t="shared" ca="1" si="247"/>
        <v>9.2365053641971006E-5</v>
      </c>
      <c r="AF190" s="176">
        <f t="shared" ca="1" si="261"/>
        <v>2.3091263410492753E-4</v>
      </c>
      <c r="AG190" s="958">
        <f ca="1">AF190*User_sheet!B$77/100</f>
        <v>0</v>
      </c>
      <c r="AH190" s="313"/>
      <c r="AI190" s="3">
        <v>302</v>
      </c>
      <c r="AK190" s="1018">
        <f t="shared" ca="1" si="190"/>
        <v>433.42100642191326</v>
      </c>
      <c r="AL190" s="924">
        <f ca="1">AK190/'302'!I$24</f>
        <v>1.1048203069638369</v>
      </c>
      <c r="AM190" s="924">
        <f ca="1">0.8*(AK190*30+'302'!D$17*0.34*30*1)</f>
        <v>15468.291154125922</v>
      </c>
      <c r="AN190" s="954">
        <f ca="1">IF(AM190&lt;User_sheet!B$50,Y190,0)</f>
        <v>0</v>
      </c>
      <c r="AO190" s="954">
        <f ca="1">20-(User_sheet!B$57/(AK190+'302'!D$17*1*0.34))</f>
        <v>11.156101301887455</v>
      </c>
      <c r="AP190" s="954">
        <f ca="1">IF(AO190&lt;User_sheet!B$59,0,BC190*AA190)</f>
        <v>0</v>
      </c>
      <c r="AR190" s="2">
        <v>0.47</v>
      </c>
      <c r="AS190" s="2">
        <v>2.1</v>
      </c>
      <c r="AT190" s="2">
        <v>3.78</v>
      </c>
      <c r="AU190" s="2">
        <v>2.75</v>
      </c>
      <c r="AV190" s="2">
        <v>3.3</v>
      </c>
      <c r="AW190" s="2">
        <v>11617.129718053829</v>
      </c>
      <c r="AX190" s="2">
        <v>74715.401027665983</v>
      </c>
      <c r="AY190" s="2">
        <v>67352.647733737584</v>
      </c>
      <c r="AZ190" s="2">
        <v>0</v>
      </c>
      <c r="BA190" s="2">
        <v>0</v>
      </c>
      <c r="BB190" s="2">
        <v>0.6</v>
      </c>
      <c r="BC190" s="30">
        <v>0</v>
      </c>
      <c r="BD190" s="34">
        <v>0</v>
      </c>
      <c r="BE190" s="34">
        <v>0</v>
      </c>
      <c r="BF190" s="40">
        <v>1</v>
      </c>
      <c r="BG190" s="2">
        <v>1</v>
      </c>
      <c r="BH190" s="2">
        <v>0</v>
      </c>
      <c r="BI190" s="40">
        <v>0</v>
      </c>
      <c r="BJ190" s="2">
        <v>0</v>
      </c>
      <c r="BK190" s="2">
        <v>0</v>
      </c>
      <c r="BL190" s="2">
        <v>0</v>
      </c>
      <c r="BM190" s="40">
        <v>1</v>
      </c>
      <c r="BN190" s="958">
        <v>0</v>
      </c>
      <c r="BO190" s="959">
        <v>14.9</v>
      </c>
      <c r="BP190" s="1018">
        <f t="shared" ca="1" si="248"/>
        <v>215.65</v>
      </c>
      <c r="BQ190" s="1018">
        <f t="shared" ca="1" si="249"/>
        <v>486.07500000000005</v>
      </c>
      <c r="BR190" s="1018">
        <f t="shared" ca="1" si="250"/>
        <v>117.8</v>
      </c>
      <c r="BS190" s="1018">
        <f t="shared" ca="1" si="251"/>
        <v>103.97</v>
      </c>
      <c r="BT190" s="1018">
        <f t="shared" ca="1" si="252"/>
        <v>53.9</v>
      </c>
      <c r="BU190" s="1018">
        <f t="shared" ca="1" si="253"/>
        <v>62.730000000000004</v>
      </c>
      <c r="BV190" s="1018">
        <f t="shared" ca="1" si="254"/>
        <v>4.3</v>
      </c>
      <c r="BW190" s="1018">
        <v>0</v>
      </c>
      <c r="BX190" s="1018">
        <f t="shared" ca="1" si="255"/>
        <v>51.195290346443095</v>
      </c>
      <c r="BY190" s="1018">
        <f t="shared" ca="1" si="256"/>
        <v>160.07111436950146</v>
      </c>
      <c r="BZ190" s="1018">
        <f t="shared" ca="1" si="191"/>
        <v>40.620384243595943</v>
      </c>
      <c r="CA190" s="1018">
        <f t="shared" ca="1" si="192"/>
        <v>172.50749990512088</v>
      </c>
      <c r="CB190" s="1018">
        <f t="shared" ca="1" si="257"/>
        <v>9.0267175572519083</v>
      </c>
      <c r="CC190" s="1018">
        <f t="shared" si="193"/>
        <v>0</v>
      </c>
      <c r="CD190" s="1018">
        <f t="shared" ca="1" si="258"/>
        <v>433.42100642191326</v>
      </c>
      <c r="CE190" s="1018">
        <f t="shared" ca="1" si="262"/>
        <v>174.83241983450787</v>
      </c>
      <c r="CF190" s="1018">
        <f t="shared" ca="1" si="194"/>
        <v>18.247602787692635</v>
      </c>
      <c r="CG190" s="1018">
        <f t="shared" ca="1" si="195"/>
        <v>30381.528737396726</v>
      </c>
    </row>
    <row r="191" spans="4:85" x14ac:dyDescent="0.25">
      <c r="D191" s="668"/>
      <c r="E191" s="667"/>
      <c r="F191" s="668"/>
      <c r="G191" s="667"/>
      <c r="H191" s="668"/>
      <c r="I191" s="667"/>
      <c r="J191" s="668"/>
      <c r="K191" s="671" t="s">
        <v>13</v>
      </c>
      <c r="L191" s="672">
        <v>0.9889</v>
      </c>
      <c r="M191" s="668" t="s">
        <v>17</v>
      </c>
      <c r="N191" s="670">
        <v>8.5106382999999994E-2</v>
      </c>
      <c r="O191" s="668" t="s">
        <v>19</v>
      </c>
      <c r="P191" s="670">
        <v>0.84089392900000004</v>
      </c>
      <c r="Q191" s="668" t="s">
        <v>17</v>
      </c>
      <c r="R191" s="670">
        <v>1</v>
      </c>
      <c r="S191" s="668"/>
      <c r="T191" s="678">
        <v>1.2203749414713176E-3</v>
      </c>
      <c r="U191" s="667"/>
      <c r="V191" s="176">
        <f t="shared" si="196"/>
        <v>1.2203749414713176E-3</v>
      </c>
      <c r="W191" s="176">
        <f t="shared" si="259"/>
        <v>1.2203749414713176E-3</v>
      </c>
      <c r="X191" s="176">
        <f t="shared" si="259"/>
        <v>1.2203749414713176E-3</v>
      </c>
      <c r="Y191" s="34">
        <f>X191/Calculation_sheet!M$67</f>
        <v>1.220399893780495E-3</v>
      </c>
      <c r="Z191" s="176">
        <f ca="1">IF(AN191&gt;0,Y191*Calculation_sheet!C$87,0)</f>
        <v>0</v>
      </c>
      <c r="AA191" s="176">
        <f t="shared" ca="1" si="260"/>
        <v>1.220399893780495E-3</v>
      </c>
      <c r="AB191" s="176">
        <f ca="1">IF(AP191&gt;0,AA191*Calculation_sheet!C$94,0)</f>
        <v>0</v>
      </c>
      <c r="AC191" s="176">
        <f t="shared" ca="1" si="247"/>
        <v>1.220399893780495E-3</v>
      </c>
      <c r="AD191" s="958">
        <f ca="1">AC191*Calculation_sheet!C$99</f>
        <v>7.3223993626829692E-4</v>
      </c>
      <c r="AE191" s="176">
        <f t="shared" ca="1" si="247"/>
        <v>4.8815995751219806E-4</v>
      </c>
      <c r="AF191" s="176">
        <f t="shared" ca="1" si="261"/>
        <v>1.220399893780495E-3</v>
      </c>
      <c r="AG191" s="958">
        <f ca="1">AF191*User_sheet!B$77/100</f>
        <v>0</v>
      </c>
      <c r="AH191" s="313"/>
      <c r="AI191" s="3">
        <v>302</v>
      </c>
      <c r="AK191" s="1018">
        <f t="shared" ca="1" si="190"/>
        <v>433.42100642191326</v>
      </c>
      <c r="AL191" s="924">
        <f ca="1">AK191/'302'!I$24</f>
        <v>1.1048203069638369</v>
      </c>
      <c r="AM191" s="924">
        <f ca="1">0.8*(AK191*30+'302'!D$17*0.34*30*1)</f>
        <v>15468.291154125922</v>
      </c>
      <c r="AN191" s="954">
        <f ca="1">IF(AM191&lt;User_sheet!B$50,Y191,0)</f>
        <v>0</v>
      </c>
      <c r="AO191" s="954">
        <f ca="1">20-(User_sheet!B$57/(AK191+'302'!D$17*1*0.34))</f>
        <v>11.156101301887455</v>
      </c>
      <c r="AP191" s="954">
        <f ca="1">IF(AO191&lt;User_sheet!B$59,0,BC191*AA191)</f>
        <v>0</v>
      </c>
      <c r="AR191" s="2">
        <v>0.47</v>
      </c>
      <c r="AS191" s="2">
        <v>2.1</v>
      </c>
      <c r="AT191" s="2">
        <v>3.78</v>
      </c>
      <c r="AU191" s="2">
        <v>2.75</v>
      </c>
      <c r="AV191" s="2">
        <v>3.3</v>
      </c>
      <c r="AW191" s="2">
        <v>11617.129718053829</v>
      </c>
      <c r="AX191" s="2">
        <v>74715.401027665983</v>
      </c>
      <c r="AY191" s="2">
        <v>67352.647733737584</v>
      </c>
      <c r="AZ191" s="2">
        <v>0</v>
      </c>
      <c r="BA191" s="2">
        <v>0</v>
      </c>
      <c r="BB191" s="2">
        <v>0.6</v>
      </c>
      <c r="BC191" s="30">
        <v>0</v>
      </c>
      <c r="BD191" s="34">
        <v>0</v>
      </c>
      <c r="BE191" s="34">
        <v>0</v>
      </c>
      <c r="BF191" s="40">
        <v>1</v>
      </c>
      <c r="BG191" s="2">
        <v>0</v>
      </c>
      <c r="BH191" s="2">
        <v>1</v>
      </c>
      <c r="BI191" s="40">
        <v>0</v>
      </c>
      <c r="BJ191" s="2">
        <v>0</v>
      </c>
      <c r="BK191" s="2">
        <v>0</v>
      </c>
      <c r="BL191" s="2">
        <v>0</v>
      </c>
      <c r="BM191" s="40">
        <v>1</v>
      </c>
      <c r="BN191" s="958">
        <v>0</v>
      </c>
      <c r="BO191" s="959">
        <v>14.9</v>
      </c>
      <c r="BP191" s="1018">
        <f t="shared" ca="1" si="248"/>
        <v>215.65</v>
      </c>
      <c r="BQ191" s="1018">
        <f t="shared" ca="1" si="249"/>
        <v>486.07500000000005</v>
      </c>
      <c r="BR191" s="1018">
        <f t="shared" ca="1" si="250"/>
        <v>117.8</v>
      </c>
      <c r="BS191" s="1018">
        <f t="shared" ca="1" si="251"/>
        <v>103.97</v>
      </c>
      <c r="BT191" s="1018">
        <f t="shared" ca="1" si="252"/>
        <v>53.9</v>
      </c>
      <c r="BU191" s="1018">
        <f t="shared" ca="1" si="253"/>
        <v>62.730000000000004</v>
      </c>
      <c r="BV191" s="1018">
        <f t="shared" ca="1" si="254"/>
        <v>4.3</v>
      </c>
      <c r="BW191" s="1018">
        <v>0</v>
      </c>
      <c r="BX191" s="1018">
        <f t="shared" ca="1" si="255"/>
        <v>51.195290346443095</v>
      </c>
      <c r="BY191" s="1018">
        <f t="shared" ca="1" si="256"/>
        <v>160.07111436950146</v>
      </c>
      <c r="BZ191" s="1018">
        <f t="shared" ca="1" si="191"/>
        <v>40.620384243595943</v>
      </c>
      <c r="CA191" s="1018">
        <f t="shared" ca="1" si="192"/>
        <v>172.50749990512088</v>
      </c>
      <c r="CB191" s="1018">
        <f t="shared" ca="1" si="257"/>
        <v>9.0267175572519083</v>
      </c>
      <c r="CC191" s="1018">
        <f t="shared" si="193"/>
        <v>0</v>
      </c>
      <c r="CD191" s="1018">
        <f t="shared" ca="1" si="258"/>
        <v>433.42100642191326</v>
      </c>
      <c r="CE191" s="1018">
        <f t="shared" ca="1" si="262"/>
        <v>174.83241983450787</v>
      </c>
      <c r="CF191" s="1018">
        <f t="shared" ca="1" si="194"/>
        <v>18.247602787692635</v>
      </c>
      <c r="CG191" s="1018">
        <f t="shared" ca="1" si="195"/>
        <v>30381.528737396726</v>
      </c>
    </row>
    <row r="192" spans="4:85" s="14" customFormat="1" x14ac:dyDescent="0.25">
      <c r="D192" s="676"/>
      <c r="E192" s="675"/>
      <c r="F192" s="676"/>
      <c r="G192" s="675"/>
      <c r="H192" s="676"/>
      <c r="I192" s="675"/>
      <c r="J192" s="676"/>
      <c r="K192" s="677"/>
      <c r="L192" s="676"/>
      <c r="M192" s="676"/>
      <c r="N192" s="676"/>
      <c r="O192" s="676"/>
      <c r="P192" s="676"/>
      <c r="Q192" s="676"/>
      <c r="R192" s="676"/>
      <c r="S192" s="676"/>
      <c r="T192" s="679"/>
      <c r="U192" s="675"/>
      <c r="V192" s="292"/>
      <c r="W192" s="292"/>
      <c r="X192" s="292"/>
      <c r="Y192" s="277"/>
      <c r="Z192" s="292"/>
      <c r="AA192" s="292"/>
      <c r="AB192" s="292"/>
      <c r="AC192" s="292"/>
      <c r="AD192" s="277"/>
      <c r="AE192" s="292"/>
      <c r="AF192" s="292"/>
      <c r="AG192" s="277"/>
      <c r="AH192" s="313"/>
      <c r="AJ192" s="314"/>
      <c r="AK192" s="1018">
        <f t="shared" si="190"/>
        <v>0</v>
      </c>
      <c r="AL192" s="928"/>
      <c r="AM192" s="928"/>
      <c r="AN192" s="941"/>
      <c r="AO192" s="941"/>
      <c r="AP192" s="941"/>
      <c r="AQ192" s="314"/>
      <c r="AR192" s="28"/>
      <c r="AS192" s="28"/>
      <c r="AT192" s="28"/>
      <c r="AU192" s="28"/>
      <c r="AV192" s="28"/>
      <c r="AW192" s="28"/>
      <c r="AX192" s="28"/>
      <c r="AY192" s="28"/>
      <c r="AZ192" s="28"/>
      <c r="BA192" s="28"/>
      <c r="BB192" s="28"/>
      <c r="BC192" s="45"/>
      <c r="BD192" s="277"/>
      <c r="BE192" s="277"/>
      <c r="BF192" s="49"/>
      <c r="BG192" s="28"/>
      <c r="BH192" s="28"/>
      <c r="BI192" s="49"/>
      <c r="BJ192" s="28"/>
      <c r="BK192" s="28"/>
      <c r="BL192" s="28"/>
      <c r="BM192" s="49"/>
      <c r="BN192" s="277"/>
      <c r="BO192" s="49"/>
      <c r="BP192" s="928"/>
      <c r="BQ192" s="928"/>
      <c r="BR192" s="928"/>
      <c r="BS192" s="928"/>
      <c r="BT192" s="928"/>
      <c r="BU192" s="928"/>
      <c r="BV192" s="928"/>
      <c r="BW192" s="928"/>
      <c r="BX192" s="928"/>
      <c r="BY192" s="928"/>
      <c r="BZ192" s="928"/>
      <c r="CA192" s="928"/>
      <c r="CB192" s="928"/>
      <c r="CC192" s="928"/>
      <c r="CD192" s="928"/>
      <c r="CE192" s="928"/>
      <c r="CF192" s="928"/>
      <c r="CG192" s="928"/>
    </row>
    <row r="193" spans="3:85" s="3" customFormat="1" x14ac:dyDescent="0.25">
      <c r="C193" s="669"/>
      <c r="D193" s="673"/>
      <c r="E193" s="669"/>
      <c r="F193" s="673"/>
      <c r="G193" s="669"/>
      <c r="H193" s="673"/>
      <c r="I193" s="669"/>
      <c r="J193" s="673"/>
      <c r="K193" s="674"/>
      <c r="L193" s="673"/>
      <c r="M193" s="673"/>
      <c r="N193" s="673"/>
      <c r="O193" s="673"/>
      <c r="P193" s="673"/>
      <c r="Q193" s="673" t="s">
        <v>16</v>
      </c>
      <c r="R193" s="670">
        <v>0.73860000000000003</v>
      </c>
      <c r="S193" s="673"/>
      <c r="T193" s="678">
        <v>0</v>
      </c>
      <c r="U193" s="669"/>
      <c r="V193" s="176">
        <f t="shared" si="196"/>
        <v>0</v>
      </c>
      <c r="W193" s="176">
        <f>V193</f>
        <v>0</v>
      </c>
      <c r="X193" s="176">
        <f>W193-W193*Calculation_sheet!O$77</f>
        <v>0</v>
      </c>
      <c r="Y193" s="34">
        <f>X193/Calculation_sheet!M$67</f>
        <v>0</v>
      </c>
      <c r="Z193" s="176">
        <f ca="1">IF(AN193&gt;0,Y193*Calculation_sheet!C$87,0)</f>
        <v>0</v>
      </c>
      <c r="AA193" s="176">
        <f ca="1">Y193-Z193</f>
        <v>0</v>
      </c>
      <c r="AB193" s="176">
        <f ca="1">IF(AP193&gt;0,AA193*Calculation_sheet!C$94,0)</f>
        <v>0</v>
      </c>
      <c r="AC193" s="176">
        <f t="shared" ref="AC193:AE203" ca="1" si="263">AA193-AB193</f>
        <v>0</v>
      </c>
      <c r="AD193" s="958">
        <f ca="1">AC193*Calculation_sheet!C$99</f>
        <v>0</v>
      </c>
      <c r="AE193" s="176">
        <f t="shared" ca="1" si="263"/>
        <v>0</v>
      </c>
      <c r="AF193" s="176">
        <f ca="1">Y193-AB193</f>
        <v>0</v>
      </c>
      <c r="AG193" s="958">
        <f ca="1">AF193*User_sheet!B$77/100</f>
        <v>0</v>
      </c>
      <c r="AH193" s="313"/>
      <c r="AI193" s="3">
        <v>302</v>
      </c>
      <c r="AJ193" s="314"/>
      <c r="AK193" s="1018">
        <f t="shared" ca="1" si="190"/>
        <v>604.03548467539645</v>
      </c>
      <c r="AL193" s="924">
        <f ca="1">AK193/'302'!I$24</f>
        <v>1.5397284850252266</v>
      </c>
      <c r="AM193" s="924">
        <f ca="1">0.8*(AK193*30+'302'!D$17*0.34*30*1)</f>
        <v>19563.038632209518</v>
      </c>
      <c r="AN193" s="954">
        <f ca="1">IF(AM193&lt;User_sheet!B$50,Y193,0)</f>
        <v>0</v>
      </c>
      <c r="AO193" s="954">
        <f ca="1">20-(User_sheet!B$57/(AK193+'302'!D$17*1*0.34))</f>
        <v>13.007221292567198</v>
      </c>
      <c r="AP193" s="954">
        <f ca="1">IF(AO193&lt;User_sheet!B$59,0,BC193*AA193)</f>
        <v>0</v>
      </c>
      <c r="AQ193" s="314"/>
      <c r="AR193" s="2">
        <v>3.33</v>
      </c>
      <c r="AS193" s="2">
        <v>2.1</v>
      </c>
      <c r="AT193" s="2">
        <v>0.89</v>
      </c>
      <c r="AU193" s="2">
        <v>2.75</v>
      </c>
      <c r="AV193" s="2">
        <v>3.3</v>
      </c>
      <c r="AW193" s="2">
        <v>11357.186356387729</v>
      </c>
      <c r="AX193" s="2">
        <v>74715.401027665983</v>
      </c>
      <c r="AY193" s="2">
        <v>79015.992973719694</v>
      </c>
      <c r="AZ193" s="2">
        <v>0</v>
      </c>
      <c r="BA193" s="2">
        <v>0</v>
      </c>
      <c r="BB193" s="2">
        <v>0.6</v>
      </c>
      <c r="BC193" s="46">
        <v>1</v>
      </c>
      <c r="BD193" s="199">
        <v>0</v>
      </c>
      <c r="BE193" s="199">
        <v>0</v>
      </c>
      <c r="BF193" s="50">
        <v>0</v>
      </c>
      <c r="BG193" s="27">
        <v>1</v>
      </c>
      <c r="BH193" s="27">
        <v>0</v>
      </c>
      <c r="BI193" s="50">
        <v>0</v>
      </c>
      <c r="BJ193" s="27">
        <v>1</v>
      </c>
      <c r="BK193" s="27">
        <v>0</v>
      </c>
      <c r="BL193" s="27">
        <v>0</v>
      </c>
      <c r="BM193" s="50">
        <v>0</v>
      </c>
      <c r="BN193" s="958">
        <v>0</v>
      </c>
      <c r="BO193" s="959">
        <v>14.9</v>
      </c>
      <c r="BP193" s="926">
        <f t="shared" ref="BP193:BP203" ca="1" si="264">INDIRECT("'"&amp;AI193&amp;"'!"&amp;"B2")</f>
        <v>215.65</v>
      </c>
      <c r="BQ193" s="926">
        <f t="shared" ref="BQ193:BQ203" ca="1" si="265">INDIRECT("'"&amp;AI193&amp;"'!"&amp;"C12")+INDIRECT("'"&amp;AI193&amp;"'!"&amp;"C13")+INDIRECT("'"&amp;AI193&amp;"'!"&amp;"C14")+INDIRECT("'"&amp;AI193&amp;"'!"&amp;"C15")+INDIRECT("'"&amp;AI193&amp;"'!"&amp;"C17")</f>
        <v>486.07500000000005</v>
      </c>
      <c r="BR193" s="926">
        <f t="shared" ref="BR193:BR203" ca="1" si="266">INDIRECT("'"&amp;AI193&amp;"'!"&amp;"G5")</f>
        <v>117.8</v>
      </c>
      <c r="BS193" s="926">
        <f t="shared" ref="BS193:BS203" ca="1" si="267">INDIRECT("'"&amp;AI193&amp;"'!"&amp;"G4")</f>
        <v>103.97</v>
      </c>
      <c r="BT193" s="926">
        <f t="shared" ref="BT193:BT203" ca="1" si="268">INDIRECT("'"&amp;AI193&amp;"'!"&amp;"G6")</f>
        <v>53.9</v>
      </c>
      <c r="BU193" s="926">
        <f t="shared" ref="BU193:BU203" ca="1" si="269">INDIRECT("'"&amp;AI193&amp;"'!"&amp;"G2")</f>
        <v>62.730000000000004</v>
      </c>
      <c r="BV193" s="926">
        <f t="shared" ref="BV193:BV203" ca="1" si="270">INDIRECT("'"&amp;AI193&amp;"'!"&amp;"G3")</f>
        <v>4.3</v>
      </c>
      <c r="BW193" s="926">
        <v>0</v>
      </c>
      <c r="BX193" s="926">
        <f t="shared" ref="BX193:BX203" ca="1" si="271">IF(BR193=0,0,1/(1/(BR193*$BY$3)+1/(BR193*AR193)+1/(BR193*$BY$4)))</f>
        <v>248.71544509256913</v>
      </c>
      <c r="BY193" s="926">
        <f t="shared" ref="BY193:BY203" ca="1" si="272">IF(BS193=0,0,1/(1/(BS193*$BY$3)+1/(BS193*AS193)+1/(BS193*$BY$4)))</f>
        <v>160.07111436950146</v>
      </c>
      <c r="BZ193" s="926">
        <f t="shared" ca="1" si="191"/>
        <v>13.714707750952986</v>
      </c>
      <c r="CA193" s="926">
        <f t="shared" ca="1" si="192"/>
        <v>172.50749990512088</v>
      </c>
      <c r="CB193" s="926">
        <f t="shared" ref="CB193:CB203" ca="1" si="273">IF(BV193=0,0,1/(1/(BV193*$BY$3)+1/(BV193*AV193)+1/(BV193*$BY$4)))</f>
        <v>9.0267175572519083</v>
      </c>
      <c r="CC193" s="926">
        <f t="shared" si="193"/>
        <v>0</v>
      </c>
      <c r="CD193" s="1018">
        <f t="shared" ref="CD193:CD203" ca="1" si="274">SUM(BX193:CC193)+(BR193+BS193+BT193+BU193+BV193)*BN193</f>
        <v>604.03548467539645</v>
      </c>
      <c r="CE193" s="1018">
        <f ca="1">0.34*BO193*(1/25)^0.66*(BR193+BS193+BU193+BV193)</f>
        <v>174.83241983450787</v>
      </c>
      <c r="CF193" s="926">
        <f t="shared" ca="1" si="194"/>
        <v>23.366037135297127</v>
      </c>
      <c r="CG193" s="926">
        <f t="shared" ca="1" si="195"/>
        <v>38903.51718878431</v>
      </c>
    </row>
    <row r="194" spans="3:85" x14ac:dyDescent="0.25">
      <c r="C194" s="667"/>
      <c r="D194" s="668"/>
      <c r="E194" s="667"/>
      <c r="F194" s="668"/>
      <c r="G194" s="667"/>
      <c r="H194" s="668"/>
      <c r="I194" s="667"/>
      <c r="J194" s="668"/>
      <c r="K194" s="671"/>
      <c r="L194" s="673"/>
      <c r="M194" s="668"/>
      <c r="N194" s="668"/>
      <c r="O194" s="668" t="s">
        <v>18</v>
      </c>
      <c r="P194" s="670">
        <v>0.62953995200000001</v>
      </c>
      <c r="Q194" s="668" t="s">
        <v>7</v>
      </c>
      <c r="R194" s="670">
        <v>0.26140000000000002</v>
      </c>
      <c r="S194" s="668"/>
      <c r="T194" s="678">
        <v>0</v>
      </c>
      <c r="U194" s="667"/>
      <c r="V194" s="176">
        <f t="shared" si="196"/>
        <v>0</v>
      </c>
      <c r="W194" s="176">
        <f t="shared" ref="W194:W203" si="275">V194</f>
        <v>0</v>
      </c>
      <c r="X194" s="176">
        <f>W194-W194*Calculation_sheet!O$77</f>
        <v>0</v>
      </c>
      <c r="Y194" s="34">
        <f>X194/Calculation_sheet!M$67</f>
        <v>0</v>
      </c>
      <c r="Z194" s="176">
        <f ca="1">IF(AN194&gt;0,Y194*Calculation_sheet!C$87,0)</f>
        <v>0</v>
      </c>
      <c r="AA194" s="176">
        <f t="shared" ref="AA194:AA203" ca="1" si="276">Y194-Z194</f>
        <v>0</v>
      </c>
      <c r="AB194" s="176">
        <f ca="1">IF(AP194&gt;0,AA194*Calculation_sheet!C$94,0)</f>
        <v>0</v>
      </c>
      <c r="AC194" s="176">
        <f t="shared" ca="1" si="263"/>
        <v>0</v>
      </c>
      <c r="AD194" s="958">
        <f ca="1">AC194*Calculation_sheet!C$99</f>
        <v>0</v>
      </c>
      <c r="AE194" s="176">
        <f t="shared" ca="1" si="263"/>
        <v>0</v>
      </c>
      <c r="AF194" s="176">
        <f t="shared" ref="AF194:AF203" ca="1" si="277">Y194-AB194</f>
        <v>0</v>
      </c>
      <c r="AG194" s="958">
        <f ca="1">AF194*User_sheet!B$77/100</f>
        <v>0</v>
      </c>
      <c r="AH194" s="313"/>
      <c r="AI194" s="3">
        <v>302</v>
      </c>
      <c r="AK194" s="1018">
        <f t="shared" ca="1" si="190"/>
        <v>604.03548467539645</v>
      </c>
      <c r="AL194" s="924">
        <f ca="1">AK194/'302'!I$24</f>
        <v>1.5397284850252266</v>
      </c>
      <c r="AM194" s="924">
        <f ca="1">0.8*(AK194*30+'302'!D$17*0.34*30*1)</f>
        <v>19563.038632209518</v>
      </c>
      <c r="AN194" s="954">
        <f ca="1">IF(AM194&lt;User_sheet!B$50,Y194,0)</f>
        <v>0</v>
      </c>
      <c r="AO194" s="954">
        <f ca="1">20-(User_sheet!B$57/(AK194+'302'!D$17*1*0.34))</f>
        <v>13.007221292567198</v>
      </c>
      <c r="AP194" s="954">
        <f ca="1">IF(AO194&lt;User_sheet!B$59,0,BC194*AA194)</f>
        <v>0</v>
      </c>
      <c r="AR194" s="2">
        <v>3.33</v>
      </c>
      <c r="AS194" s="2">
        <v>2.1</v>
      </c>
      <c r="AT194" s="2">
        <v>0.89</v>
      </c>
      <c r="AU194" s="2">
        <v>2.75</v>
      </c>
      <c r="AV194" s="2">
        <v>3.3</v>
      </c>
      <c r="AW194" s="2">
        <v>11357.186356387729</v>
      </c>
      <c r="AX194" s="2">
        <v>74715.401027665983</v>
      </c>
      <c r="AY194" s="2">
        <v>79015.992973719694</v>
      </c>
      <c r="AZ194" s="2">
        <v>0</v>
      </c>
      <c r="BA194" s="2">
        <v>0</v>
      </c>
      <c r="BB194" s="2">
        <v>0.6</v>
      </c>
      <c r="BC194" s="30">
        <v>1</v>
      </c>
      <c r="BD194" s="34">
        <v>0</v>
      </c>
      <c r="BE194" s="34">
        <v>0</v>
      </c>
      <c r="BF194" s="40">
        <v>0</v>
      </c>
      <c r="BG194" s="2">
        <v>1</v>
      </c>
      <c r="BH194" s="2">
        <v>0</v>
      </c>
      <c r="BI194" s="40">
        <v>0</v>
      </c>
      <c r="BJ194" s="2">
        <v>0</v>
      </c>
      <c r="BK194" s="2">
        <v>0</v>
      </c>
      <c r="BL194" s="2">
        <v>1</v>
      </c>
      <c r="BM194" s="40">
        <v>0</v>
      </c>
      <c r="BN194" s="958">
        <v>0</v>
      </c>
      <c r="BO194" s="959">
        <v>14.9</v>
      </c>
      <c r="BP194" s="1018">
        <f t="shared" ca="1" si="264"/>
        <v>215.65</v>
      </c>
      <c r="BQ194" s="1018">
        <f t="shared" ca="1" si="265"/>
        <v>486.07500000000005</v>
      </c>
      <c r="BR194" s="1018">
        <f t="shared" ca="1" si="266"/>
        <v>117.8</v>
      </c>
      <c r="BS194" s="1018">
        <f t="shared" ca="1" si="267"/>
        <v>103.97</v>
      </c>
      <c r="BT194" s="1018">
        <f t="shared" ca="1" si="268"/>
        <v>53.9</v>
      </c>
      <c r="BU194" s="1018">
        <f t="shared" ca="1" si="269"/>
        <v>62.730000000000004</v>
      </c>
      <c r="BV194" s="1018">
        <f t="shared" ca="1" si="270"/>
        <v>4.3</v>
      </c>
      <c r="BW194" s="1018">
        <v>0</v>
      </c>
      <c r="BX194" s="1018">
        <f t="shared" ca="1" si="271"/>
        <v>248.71544509256913</v>
      </c>
      <c r="BY194" s="1018">
        <f t="shared" ca="1" si="272"/>
        <v>160.07111436950146</v>
      </c>
      <c r="BZ194" s="1018">
        <f t="shared" ca="1" si="191"/>
        <v>13.714707750952986</v>
      </c>
      <c r="CA194" s="1018">
        <f t="shared" ca="1" si="192"/>
        <v>172.50749990512088</v>
      </c>
      <c r="CB194" s="1018">
        <f t="shared" ca="1" si="273"/>
        <v>9.0267175572519083</v>
      </c>
      <c r="CC194" s="1018">
        <f t="shared" si="193"/>
        <v>0</v>
      </c>
      <c r="CD194" s="1018">
        <f t="shared" ca="1" si="274"/>
        <v>604.03548467539645</v>
      </c>
      <c r="CE194" s="1018">
        <f t="shared" ref="CE194:CE203" ca="1" si="278">0.34*BO194*(1/25)^0.66*(BR194+BS194+BU194+BV194)</f>
        <v>174.83241983450787</v>
      </c>
      <c r="CF194" s="1018">
        <f t="shared" ca="1" si="194"/>
        <v>23.366037135297127</v>
      </c>
      <c r="CG194" s="1018">
        <f t="shared" ca="1" si="195"/>
        <v>38903.51718878431</v>
      </c>
    </row>
    <row r="195" spans="3:85" x14ac:dyDescent="0.25">
      <c r="C195" s="667"/>
      <c r="D195" s="668"/>
      <c r="E195" s="667"/>
      <c r="F195" s="668"/>
      <c r="G195" s="667"/>
      <c r="H195" s="668"/>
      <c r="I195" s="667"/>
      <c r="J195" s="668"/>
      <c r="K195" s="671"/>
      <c r="L195" s="673"/>
      <c r="M195" s="668"/>
      <c r="N195" s="668"/>
      <c r="O195" s="668"/>
      <c r="P195" s="668"/>
      <c r="Q195" s="668" t="s">
        <v>16</v>
      </c>
      <c r="R195" s="670">
        <v>0.73860000000000003</v>
      </c>
      <c r="S195" s="668"/>
      <c r="T195" s="678">
        <v>0</v>
      </c>
      <c r="U195" s="667"/>
      <c r="V195" s="176">
        <f t="shared" si="196"/>
        <v>0</v>
      </c>
      <c r="W195" s="176">
        <f t="shared" si="275"/>
        <v>0</v>
      </c>
      <c r="X195" s="176">
        <f>W195-W195*Calculation_sheet!O$77</f>
        <v>0</v>
      </c>
      <c r="Y195" s="34">
        <f>X195/Calculation_sheet!M$67</f>
        <v>0</v>
      </c>
      <c r="Z195" s="176">
        <f ca="1">IF(AN195&gt;0,Y195*Calculation_sheet!C$87,0)</f>
        <v>0</v>
      </c>
      <c r="AA195" s="176">
        <f t="shared" ca="1" si="276"/>
        <v>0</v>
      </c>
      <c r="AB195" s="176">
        <f ca="1">IF(AP195&gt;0,AA195*Calculation_sheet!C$94,0)</f>
        <v>0</v>
      </c>
      <c r="AC195" s="176">
        <f t="shared" ca="1" si="263"/>
        <v>0</v>
      </c>
      <c r="AD195" s="958">
        <f ca="1">AC195*Calculation_sheet!C$99</f>
        <v>0</v>
      </c>
      <c r="AE195" s="176">
        <f t="shared" ca="1" si="263"/>
        <v>0</v>
      </c>
      <c r="AF195" s="176">
        <f t="shared" ca="1" si="277"/>
        <v>0</v>
      </c>
      <c r="AG195" s="958">
        <f ca="1">AF195*User_sheet!B$77/100</f>
        <v>0</v>
      </c>
      <c r="AH195" s="313"/>
      <c r="AI195" s="3">
        <v>302</v>
      </c>
      <c r="AK195" s="1018">
        <f t="shared" ca="1" si="190"/>
        <v>604.03548467539645</v>
      </c>
      <c r="AL195" s="924">
        <f ca="1">AK195/'302'!I$24</f>
        <v>1.5397284850252266</v>
      </c>
      <c r="AM195" s="924">
        <f ca="1">0.8*(AK195*30+'302'!D$17*0.34*30*1)</f>
        <v>19563.038632209518</v>
      </c>
      <c r="AN195" s="954">
        <f ca="1">IF(AM195&lt;User_sheet!B$50,Y195,0)</f>
        <v>0</v>
      </c>
      <c r="AO195" s="954">
        <f ca="1">20-(User_sheet!B$57/(AK195+'302'!D$17*1*0.34))</f>
        <v>13.007221292567198</v>
      </c>
      <c r="AP195" s="954">
        <f ca="1">IF(AO195&lt;User_sheet!B$59,0,BC195*AA195)</f>
        <v>0</v>
      </c>
      <c r="AR195" s="2">
        <v>3.33</v>
      </c>
      <c r="AS195" s="2">
        <v>2.1</v>
      </c>
      <c r="AT195" s="2">
        <v>0.89</v>
      </c>
      <c r="AU195" s="2">
        <v>2.75</v>
      </c>
      <c r="AV195" s="2">
        <v>3.3</v>
      </c>
      <c r="AW195" s="2">
        <v>11357.186356387729</v>
      </c>
      <c r="AX195" s="2">
        <v>74715.401027665983</v>
      </c>
      <c r="AY195" s="2">
        <v>79015.992973719694</v>
      </c>
      <c r="AZ195" s="2">
        <v>0</v>
      </c>
      <c r="BA195" s="2">
        <v>0</v>
      </c>
      <c r="BB195" s="2">
        <v>0.6</v>
      </c>
      <c r="BC195" s="30">
        <v>1</v>
      </c>
      <c r="BD195" s="34">
        <v>0</v>
      </c>
      <c r="BE195" s="34">
        <v>0</v>
      </c>
      <c r="BF195" s="40">
        <v>0</v>
      </c>
      <c r="BG195" s="2">
        <v>0</v>
      </c>
      <c r="BH195" s="2">
        <v>1</v>
      </c>
      <c r="BI195" s="40">
        <v>0</v>
      </c>
      <c r="BJ195" s="2">
        <v>1</v>
      </c>
      <c r="BK195" s="2">
        <v>0</v>
      </c>
      <c r="BL195" s="2">
        <v>0</v>
      </c>
      <c r="BM195" s="40">
        <v>0</v>
      </c>
      <c r="BN195" s="958">
        <v>0</v>
      </c>
      <c r="BO195" s="959">
        <v>14.9</v>
      </c>
      <c r="BP195" s="1018">
        <f t="shared" ca="1" si="264"/>
        <v>215.65</v>
      </c>
      <c r="BQ195" s="1018">
        <f t="shared" ca="1" si="265"/>
        <v>486.07500000000005</v>
      </c>
      <c r="BR195" s="1018">
        <f t="shared" ca="1" si="266"/>
        <v>117.8</v>
      </c>
      <c r="BS195" s="1018">
        <f t="shared" ca="1" si="267"/>
        <v>103.97</v>
      </c>
      <c r="BT195" s="1018">
        <f t="shared" ca="1" si="268"/>
        <v>53.9</v>
      </c>
      <c r="BU195" s="1018">
        <f t="shared" ca="1" si="269"/>
        <v>62.730000000000004</v>
      </c>
      <c r="BV195" s="1018">
        <f t="shared" ca="1" si="270"/>
        <v>4.3</v>
      </c>
      <c r="BW195" s="1018">
        <v>0</v>
      </c>
      <c r="BX195" s="1018">
        <f t="shared" ca="1" si="271"/>
        <v>248.71544509256913</v>
      </c>
      <c r="BY195" s="1018">
        <f t="shared" ca="1" si="272"/>
        <v>160.07111436950146</v>
      </c>
      <c r="BZ195" s="1018">
        <f t="shared" ca="1" si="191"/>
        <v>13.714707750952986</v>
      </c>
      <c r="CA195" s="1018">
        <f t="shared" ca="1" si="192"/>
        <v>172.50749990512088</v>
      </c>
      <c r="CB195" s="1018">
        <f t="shared" ca="1" si="273"/>
        <v>9.0267175572519083</v>
      </c>
      <c r="CC195" s="1018">
        <f t="shared" si="193"/>
        <v>0</v>
      </c>
      <c r="CD195" s="1018">
        <f t="shared" ca="1" si="274"/>
        <v>604.03548467539645</v>
      </c>
      <c r="CE195" s="1018">
        <f t="shared" ca="1" si="278"/>
        <v>174.83241983450787</v>
      </c>
      <c r="CF195" s="1018">
        <f t="shared" ca="1" si="194"/>
        <v>23.366037135297127</v>
      </c>
      <c r="CG195" s="1018">
        <f t="shared" ca="1" si="195"/>
        <v>38903.51718878431</v>
      </c>
    </row>
    <row r="196" spans="3:85" x14ac:dyDescent="0.25">
      <c r="C196" s="667"/>
      <c r="D196" s="668"/>
      <c r="E196" s="667"/>
      <c r="F196" s="668"/>
      <c r="G196" s="667"/>
      <c r="H196" s="668"/>
      <c r="I196" s="667"/>
      <c r="J196" s="668"/>
      <c r="K196" s="671"/>
      <c r="L196" s="673"/>
      <c r="M196" s="668" t="s">
        <v>16</v>
      </c>
      <c r="N196" s="670">
        <v>0.44680851100000002</v>
      </c>
      <c r="O196" s="668" t="s">
        <v>19</v>
      </c>
      <c r="P196" s="670">
        <v>0.37046004799999999</v>
      </c>
      <c r="Q196" s="668" t="s">
        <v>7</v>
      </c>
      <c r="R196" s="670">
        <v>0.26140000000000002</v>
      </c>
      <c r="S196" s="668"/>
      <c r="T196" s="678">
        <v>0</v>
      </c>
      <c r="U196" s="667"/>
      <c r="V196" s="176">
        <f t="shared" si="196"/>
        <v>0</v>
      </c>
      <c r="W196" s="176">
        <f t="shared" si="275"/>
        <v>0</v>
      </c>
      <c r="X196" s="176">
        <f>W196-W196*Calculation_sheet!O$77</f>
        <v>0</v>
      </c>
      <c r="Y196" s="34">
        <f>X196/Calculation_sheet!M$67</f>
        <v>0</v>
      </c>
      <c r="Z196" s="176">
        <f ca="1">IF(AN196&gt;0,Y196*Calculation_sheet!C$87,0)</f>
        <v>0</v>
      </c>
      <c r="AA196" s="176">
        <f t="shared" ca="1" si="276"/>
        <v>0</v>
      </c>
      <c r="AB196" s="176">
        <f ca="1">IF(AP196&gt;0,AA196*Calculation_sheet!C$94,0)</f>
        <v>0</v>
      </c>
      <c r="AC196" s="176">
        <f t="shared" ca="1" si="263"/>
        <v>0</v>
      </c>
      <c r="AD196" s="958">
        <f ca="1">AC196*Calculation_sheet!C$99</f>
        <v>0</v>
      </c>
      <c r="AE196" s="176">
        <f t="shared" ca="1" si="263"/>
        <v>0</v>
      </c>
      <c r="AF196" s="176">
        <f t="shared" ca="1" si="277"/>
        <v>0</v>
      </c>
      <c r="AG196" s="958">
        <f ca="1">AF196*User_sheet!B$77/100</f>
        <v>0</v>
      </c>
      <c r="AH196" s="313"/>
      <c r="AI196" s="3">
        <v>302</v>
      </c>
      <c r="AK196" s="1018">
        <f t="shared" ca="1" si="190"/>
        <v>604.03548467539645</v>
      </c>
      <c r="AL196" s="924">
        <f ca="1">AK196/'302'!I$24</f>
        <v>1.5397284850252266</v>
      </c>
      <c r="AM196" s="924">
        <f ca="1">0.8*(AK196*30+'302'!D$17*0.34*30*1)</f>
        <v>19563.038632209518</v>
      </c>
      <c r="AN196" s="954">
        <f ca="1">IF(AM196&lt;User_sheet!B$50,Y196,0)</f>
        <v>0</v>
      </c>
      <c r="AO196" s="954">
        <f ca="1">20-(User_sheet!B$57/(AK196+'302'!D$17*1*0.34))</f>
        <v>13.007221292567198</v>
      </c>
      <c r="AP196" s="954">
        <f ca="1">IF(AO196&lt;User_sheet!B$59,0,BC196*AA196)</f>
        <v>0</v>
      </c>
      <c r="AR196" s="2">
        <v>3.33</v>
      </c>
      <c r="AS196" s="2">
        <v>2.1</v>
      </c>
      <c r="AT196" s="2">
        <v>0.89</v>
      </c>
      <c r="AU196" s="2">
        <v>2.75</v>
      </c>
      <c r="AV196" s="2">
        <v>3.3</v>
      </c>
      <c r="AW196" s="2">
        <v>11357.186356387729</v>
      </c>
      <c r="AX196" s="2">
        <v>74715.401027665983</v>
      </c>
      <c r="AY196" s="2">
        <v>79015.992973719694</v>
      </c>
      <c r="AZ196" s="2">
        <v>0</v>
      </c>
      <c r="BA196" s="2">
        <v>0</v>
      </c>
      <c r="BB196" s="2">
        <v>0.6</v>
      </c>
      <c r="BC196" s="30">
        <v>1</v>
      </c>
      <c r="BD196" s="34">
        <v>0</v>
      </c>
      <c r="BE196" s="34">
        <v>0</v>
      </c>
      <c r="BF196" s="40">
        <v>0</v>
      </c>
      <c r="BG196" s="2">
        <v>0</v>
      </c>
      <c r="BH196" s="2">
        <v>1</v>
      </c>
      <c r="BI196" s="40">
        <v>0</v>
      </c>
      <c r="BJ196" s="2">
        <v>0</v>
      </c>
      <c r="BK196" s="2">
        <v>0</v>
      </c>
      <c r="BL196" s="2">
        <v>1</v>
      </c>
      <c r="BM196" s="40">
        <v>0</v>
      </c>
      <c r="BN196" s="958">
        <v>0</v>
      </c>
      <c r="BO196" s="959">
        <v>14.9</v>
      </c>
      <c r="BP196" s="1018">
        <f t="shared" ca="1" si="264"/>
        <v>215.65</v>
      </c>
      <c r="BQ196" s="1018">
        <f t="shared" ca="1" si="265"/>
        <v>486.07500000000005</v>
      </c>
      <c r="BR196" s="1018">
        <f t="shared" ca="1" si="266"/>
        <v>117.8</v>
      </c>
      <c r="BS196" s="1018">
        <f t="shared" ca="1" si="267"/>
        <v>103.97</v>
      </c>
      <c r="BT196" s="1018">
        <f t="shared" ca="1" si="268"/>
        <v>53.9</v>
      </c>
      <c r="BU196" s="1018">
        <f t="shared" ca="1" si="269"/>
        <v>62.730000000000004</v>
      </c>
      <c r="BV196" s="1018">
        <f t="shared" ca="1" si="270"/>
        <v>4.3</v>
      </c>
      <c r="BW196" s="1018">
        <v>0</v>
      </c>
      <c r="BX196" s="1018">
        <f t="shared" ca="1" si="271"/>
        <v>248.71544509256913</v>
      </c>
      <c r="BY196" s="1018">
        <f t="shared" ca="1" si="272"/>
        <v>160.07111436950146</v>
      </c>
      <c r="BZ196" s="1018">
        <f t="shared" ca="1" si="191"/>
        <v>13.714707750952986</v>
      </c>
      <c r="CA196" s="1018">
        <f t="shared" ca="1" si="192"/>
        <v>172.50749990512088</v>
      </c>
      <c r="CB196" s="1018">
        <f t="shared" ca="1" si="273"/>
        <v>9.0267175572519083</v>
      </c>
      <c r="CC196" s="1018">
        <f t="shared" si="193"/>
        <v>0</v>
      </c>
      <c r="CD196" s="1018">
        <f t="shared" ca="1" si="274"/>
        <v>604.03548467539645</v>
      </c>
      <c r="CE196" s="1018">
        <f t="shared" ca="1" si="278"/>
        <v>174.83241983450787</v>
      </c>
      <c r="CF196" s="1018">
        <f t="shared" ca="1" si="194"/>
        <v>23.366037135297127</v>
      </c>
      <c r="CG196" s="1018">
        <f t="shared" ca="1" si="195"/>
        <v>38903.51718878431</v>
      </c>
    </row>
    <row r="197" spans="3:85" x14ac:dyDescent="0.25">
      <c r="C197" s="667"/>
      <c r="D197" s="668"/>
      <c r="E197" s="667"/>
      <c r="F197" s="668"/>
      <c r="G197" s="667"/>
      <c r="H197" s="668"/>
      <c r="I197" s="667"/>
      <c r="J197" s="668"/>
      <c r="K197" s="671"/>
      <c r="L197" s="673"/>
      <c r="M197" s="668"/>
      <c r="N197" s="668"/>
      <c r="O197" s="668"/>
      <c r="P197" s="668"/>
      <c r="Q197" s="668" t="s">
        <v>22</v>
      </c>
      <c r="R197" s="670">
        <v>0.53710000000000002</v>
      </c>
      <c r="S197" s="668"/>
      <c r="T197" s="678">
        <v>0</v>
      </c>
      <c r="U197" s="667"/>
      <c r="V197" s="176">
        <f t="shared" si="196"/>
        <v>0</v>
      </c>
      <c r="W197" s="176">
        <f t="shared" si="275"/>
        <v>0</v>
      </c>
      <c r="X197" s="176">
        <f>W197-W197*Calculation_sheet!O$77</f>
        <v>0</v>
      </c>
      <c r="Y197" s="34">
        <f>X197/Calculation_sheet!M$67</f>
        <v>0</v>
      </c>
      <c r="Z197" s="176">
        <f ca="1">IF(AN197&gt;0,Y197*Calculation_sheet!C$87,0)</f>
        <v>0</v>
      </c>
      <c r="AA197" s="176">
        <f t="shared" ca="1" si="276"/>
        <v>0</v>
      </c>
      <c r="AB197" s="176">
        <f ca="1">IF(AP197&gt;0,AA197*Calculation_sheet!C$94,0)</f>
        <v>0</v>
      </c>
      <c r="AC197" s="176">
        <f t="shared" ca="1" si="263"/>
        <v>0</v>
      </c>
      <c r="AD197" s="958">
        <f ca="1">AC197*Calculation_sheet!C$99</f>
        <v>0</v>
      </c>
      <c r="AE197" s="176">
        <f t="shared" ca="1" si="263"/>
        <v>0</v>
      </c>
      <c r="AF197" s="176">
        <f t="shared" ca="1" si="277"/>
        <v>0</v>
      </c>
      <c r="AG197" s="958">
        <f ca="1">AF197*User_sheet!B$77/100</f>
        <v>0</v>
      </c>
      <c r="AH197" s="313"/>
      <c r="AI197" s="3">
        <v>302</v>
      </c>
      <c r="AK197" s="1018">
        <f t="shared" ca="1" si="190"/>
        <v>604.03548467539645</v>
      </c>
      <c r="AL197" s="924">
        <f ca="1">AK197/'302'!I$24</f>
        <v>1.5397284850252266</v>
      </c>
      <c r="AM197" s="924">
        <f ca="1">0.8*(AK197*30+'302'!D$17*0.34*30*1)</f>
        <v>19563.038632209518</v>
      </c>
      <c r="AN197" s="954">
        <f ca="1">IF(AM197&lt;User_sheet!B$50,Y197,0)</f>
        <v>0</v>
      </c>
      <c r="AO197" s="954">
        <f ca="1">20-(User_sheet!B$57/(AK197+'302'!D$17*1*0.34))</f>
        <v>13.007221292567198</v>
      </c>
      <c r="AP197" s="954">
        <f ca="1">IF(AO197&lt;User_sheet!B$59,0,BC197*AA197)</f>
        <v>0</v>
      </c>
      <c r="AR197" s="2">
        <v>3.33</v>
      </c>
      <c r="AS197" s="2">
        <v>2.1</v>
      </c>
      <c r="AT197" s="2">
        <v>0.89</v>
      </c>
      <c r="AU197" s="2">
        <v>2.75</v>
      </c>
      <c r="AV197" s="2">
        <v>3.3</v>
      </c>
      <c r="AW197" s="2">
        <v>11357.186356387729</v>
      </c>
      <c r="AX197" s="2">
        <v>74715.401027665983</v>
      </c>
      <c r="AY197" s="2">
        <v>79015.992973719694</v>
      </c>
      <c r="AZ197" s="2">
        <v>0</v>
      </c>
      <c r="BA197" s="2">
        <v>0</v>
      </c>
      <c r="BB197" s="2">
        <v>0.6</v>
      </c>
      <c r="BC197" s="30">
        <v>0</v>
      </c>
      <c r="BD197" s="34">
        <v>1</v>
      </c>
      <c r="BE197" s="34">
        <v>0</v>
      </c>
      <c r="BF197" s="40">
        <v>0</v>
      </c>
      <c r="BG197" s="2">
        <v>1</v>
      </c>
      <c r="BH197" s="2">
        <v>0</v>
      </c>
      <c r="BI197" s="40">
        <v>0</v>
      </c>
      <c r="BJ197" s="2">
        <v>0</v>
      </c>
      <c r="BK197" s="2">
        <v>1</v>
      </c>
      <c r="BL197" s="2">
        <v>0</v>
      </c>
      <c r="BM197" s="40">
        <v>0</v>
      </c>
      <c r="BN197" s="958">
        <v>0</v>
      </c>
      <c r="BO197" s="959">
        <v>14.9</v>
      </c>
      <c r="BP197" s="1018">
        <f t="shared" ca="1" si="264"/>
        <v>215.65</v>
      </c>
      <c r="BQ197" s="1018">
        <f t="shared" ca="1" si="265"/>
        <v>486.07500000000005</v>
      </c>
      <c r="BR197" s="1018">
        <f t="shared" ca="1" si="266"/>
        <v>117.8</v>
      </c>
      <c r="BS197" s="1018">
        <f t="shared" ca="1" si="267"/>
        <v>103.97</v>
      </c>
      <c r="BT197" s="1018">
        <f t="shared" ca="1" si="268"/>
        <v>53.9</v>
      </c>
      <c r="BU197" s="1018">
        <f t="shared" ca="1" si="269"/>
        <v>62.730000000000004</v>
      </c>
      <c r="BV197" s="1018">
        <f t="shared" ca="1" si="270"/>
        <v>4.3</v>
      </c>
      <c r="BW197" s="1018">
        <v>0</v>
      </c>
      <c r="BX197" s="1018">
        <f t="shared" ca="1" si="271"/>
        <v>248.71544509256913</v>
      </c>
      <c r="BY197" s="1018">
        <f t="shared" ca="1" si="272"/>
        <v>160.07111436950146</v>
      </c>
      <c r="BZ197" s="1018">
        <f t="shared" ca="1" si="191"/>
        <v>13.714707750952986</v>
      </c>
      <c r="CA197" s="1018">
        <f t="shared" ca="1" si="192"/>
        <v>172.50749990512088</v>
      </c>
      <c r="CB197" s="1018">
        <f t="shared" ca="1" si="273"/>
        <v>9.0267175572519083</v>
      </c>
      <c r="CC197" s="1018">
        <f t="shared" si="193"/>
        <v>0</v>
      </c>
      <c r="CD197" s="1018">
        <f t="shared" ca="1" si="274"/>
        <v>604.03548467539645</v>
      </c>
      <c r="CE197" s="1018">
        <f t="shared" ca="1" si="278"/>
        <v>174.83241983450787</v>
      </c>
      <c r="CF197" s="1018">
        <f t="shared" ca="1" si="194"/>
        <v>23.366037135297127</v>
      </c>
      <c r="CG197" s="1018">
        <f t="shared" ca="1" si="195"/>
        <v>38903.51718878431</v>
      </c>
    </row>
    <row r="198" spans="3:85" x14ac:dyDescent="0.25">
      <c r="C198" s="667"/>
      <c r="D198" s="668"/>
      <c r="E198" s="667"/>
      <c r="F198" s="668"/>
      <c r="G198" s="667"/>
      <c r="H198" s="668"/>
      <c r="I198" s="667"/>
      <c r="J198" s="668"/>
      <c r="K198" s="671"/>
      <c r="L198" s="673"/>
      <c r="M198" s="668"/>
      <c r="N198" s="668"/>
      <c r="O198" s="668" t="s">
        <v>18</v>
      </c>
      <c r="P198" s="670">
        <v>0.80827067699999999</v>
      </c>
      <c r="Q198" s="668" t="s">
        <v>7</v>
      </c>
      <c r="R198" s="670">
        <v>0.46289999999999998</v>
      </c>
      <c r="S198" s="668"/>
      <c r="T198" s="678">
        <v>0</v>
      </c>
      <c r="U198" s="667"/>
      <c r="V198" s="176">
        <f t="shared" si="196"/>
        <v>0</v>
      </c>
      <c r="W198" s="176">
        <f t="shared" si="275"/>
        <v>0</v>
      </c>
      <c r="X198" s="176">
        <f>W198-W198*Calculation_sheet!O$77</f>
        <v>0</v>
      </c>
      <c r="Y198" s="34">
        <f>X198/Calculation_sheet!M$67</f>
        <v>0</v>
      </c>
      <c r="Z198" s="176">
        <f ca="1">IF(AN198&gt;0,Y198*Calculation_sheet!C$87,0)</f>
        <v>0</v>
      </c>
      <c r="AA198" s="176">
        <f t="shared" ca="1" si="276"/>
        <v>0</v>
      </c>
      <c r="AB198" s="176">
        <f ca="1">IF(AP198&gt;0,AA198*Calculation_sheet!C$94,0)</f>
        <v>0</v>
      </c>
      <c r="AC198" s="176">
        <f t="shared" ca="1" si="263"/>
        <v>0</v>
      </c>
      <c r="AD198" s="958">
        <f ca="1">AC198*Calculation_sheet!C$99</f>
        <v>0</v>
      </c>
      <c r="AE198" s="176">
        <f t="shared" ca="1" si="263"/>
        <v>0</v>
      </c>
      <c r="AF198" s="176">
        <f t="shared" ca="1" si="277"/>
        <v>0</v>
      </c>
      <c r="AG198" s="958">
        <f ca="1">AF198*User_sheet!B$77/100</f>
        <v>0</v>
      </c>
      <c r="AH198" s="313"/>
      <c r="AI198" s="3">
        <v>302</v>
      </c>
      <c r="AK198" s="1018">
        <f t="shared" ca="1" si="190"/>
        <v>604.03548467539645</v>
      </c>
      <c r="AL198" s="924">
        <f ca="1">AK198/'302'!I$24</f>
        <v>1.5397284850252266</v>
      </c>
      <c r="AM198" s="924">
        <f ca="1">0.8*(AK198*30+'302'!D$17*0.34*30*1)</f>
        <v>19563.038632209518</v>
      </c>
      <c r="AN198" s="954">
        <f ca="1">IF(AM198&lt;User_sheet!B$50,Y198,0)</f>
        <v>0</v>
      </c>
      <c r="AO198" s="954">
        <f ca="1">20-(User_sheet!B$57/(AK198+'302'!D$17*1*0.34))</f>
        <v>13.007221292567198</v>
      </c>
      <c r="AP198" s="954">
        <f ca="1">IF(AO198&lt;User_sheet!B$59,0,BC198*AA198)</f>
        <v>0</v>
      </c>
      <c r="AR198" s="2">
        <v>3.33</v>
      </c>
      <c r="AS198" s="2">
        <v>2.1</v>
      </c>
      <c r="AT198" s="2">
        <v>0.89</v>
      </c>
      <c r="AU198" s="2">
        <v>2.75</v>
      </c>
      <c r="AV198" s="2">
        <v>3.3</v>
      </c>
      <c r="AW198" s="2">
        <v>11357.186356387729</v>
      </c>
      <c r="AX198" s="2">
        <v>74715.401027665983</v>
      </c>
      <c r="AY198" s="2">
        <v>79015.992973719694</v>
      </c>
      <c r="AZ198" s="2">
        <v>0</v>
      </c>
      <c r="BA198" s="2">
        <v>0</v>
      </c>
      <c r="BB198" s="2">
        <v>0.6</v>
      </c>
      <c r="BC198" s="30">
        <v>0</v>
      </c>
      <c r="BD198" s="34">
        <v>1</v>
      </c>
      <c r="BE198" s="34">
        <v>0</v>
      </c>
      <c r="BF198" s="40">
        <v>0</v>
      </c>
      <c r="BG198" s="2">
        <v>1</v>
      </c>
      <c r="BH198" s="2">
        <v>0</v>
      </c>
      <c r="BI198" s="40">
        <v>0</v>
      </c>
      <c r="BJ198" s="2">
        <v>0</v>
      </c>
      <c r="BK198" s="2">
        <v>0</v>
      </c>
      <c r="BL198" s="2">
        <v>1</v>
      </c>
      <c r="BM198" s="40">
        <v>0</v>
      </c>
      <c r="BN198" s="958">
        <v>0</v>
      </c>
      <c r="BO198" s="959">
        <v>14.9</v>
      </c>
      <c r="BP198" s="1018">
        <f t="shared" ca="1" si="264"/>
        <v>215.65</v>
      </c>
      <c r="BQ198" s="1018">
        <f t="shared" ca="1" si="265"/>
        <v>486.07500000000005</v>
      </c>
      <c r="BR198" s="1018">
        <f t="shared" ca="1" si="266"/>
        <v>117.8</v>
      </c>
      <c r="BS198" s="1018">
        <f t="shared" ca="1" si="267"/>
        <v>103.97</v>
      </c>
      <c r="BT198" s="1018">
        <f t="shared" ca="1" si="268"/>
        <v>53.9</v>
      </c>
      <c r="BU198" s="1018">
        <f t="shared" ca="1" si="269"/>
        <v>62.730000000000004</v>
      </c>
      <c r="BV198" s="1018">
        <f t="shared" ca="1" si="270"/>
        <v>4.3</v>
      </c>
      <c r="BW198" s="1018">
        <v>0</v>
      </c>
      <c r="BX198" s="1018">
        <f t="shared" ca="1" si="271"/>
        <v>248.71544509256913</v>
      </c>
      <c r="BY198" s="1018">
        <f t="shared" ca="1" si="272"/>
        <v>160.07111436950146</v>
      </c>
      <c r="BZ198" s="1018">
        <f t="shared" ca="1" si="191"/>
        <v>13.714707750952986</v>
      </c>
      <c r="CA198" s="1018">
        <f t="shared" ca="1" si="192"/>
        <v>172.50749990512088</v>
      </c>
      <c r="CB198" s="1018">
        <f t="shared" ca="1" si="273"/>
        <v>9.0267175572519083</v>
      </c>
      <c r="CC198" s="1018">
        <f t="shared" si="193"/>
        <v>0</v>
      </c>
      <c r="CD198" s="1018">
        <f t="shared" ca="1" si="274"/>
        <v>604.03548467539645</v>
      </c>
      <c r="CE198" s="1018">
        <f t="shared" ca="1" si="278"/>
        <v>174.83241983450787</v>
      </c>
      <c r="CF198" s="1018">
        <f t="shared" ca="1" si="194"/>
        <v>23.366037135297127</v>
      </c>
      <c r="CG198" s="1018">
        <f t="shared" ca="1" si="195"/>
        <v>38903.51718878431</v>
      </c>
    </row>
    <row r="199" spans="3:85" x14ac:dyDescent="0.25">
      <c r="C199" s="667"/>
      <c r="D199" s="668"/>
      <c r="E199" s="667"/>
      <c r="F199" s="668"/>
      <c r="G199" s="667"/>
      <c r="H199" s="668"/>
      <c r="I199" s="667"/>
      <c r="J199" s="668"/>
      <c r="K199" s="671"/>
      <c r="L199" s="673"/>
      <c r="M199" s="668"/>
      <c r="N199" s="668"/>
      <c r="O199" s="668"/>
      <c r="P199" s="668"/>
      <c r="Q199" s="668" t="s">
        <v>22</v>
      </c>
      <c r="R199" s="670">
        <v>0.53710000000000002</v>
      </c>
      <c r="S199" s="668"/>
      <c r="T199" s="678">
        <v>0</v>
      </c>
      <c r="U199" s="667"/>
      <c r="V199" s="176">
        <f t="shared" si="196"/>
        <v>0</v>
      </c>
      <c r="W199" s="176">
        <f t="shared" si="275"/>
        <v>0</v>
      </c>
      <c r="X199" s="176">
        <f>W199-W199*Calculation_sheet!O$77</f>
        <v>0</v>
      </c>
      <c r="Y199" s="34">
        <f>X199/Calculation_sheet!M$67</f>
        <v>0</v>
      </c>
      <c r="Z199" s="176">
        <f ca="1">IF(AN199&gt;0,Y199*Calculation_sheet!C$87,0)</f>
        <v>0</v>
      </c>
      <c r="AA199" s="176">
        <f t="shared" ca="1" si="276"/>
        <v>0</v>
      </c>
      <c r="AB199" s="176">
        <f ca="1">IF(AP199&gt;0,AA199*Calculation_sheet!C$94,0)</f>
        <v>0</v>
      </c>
      <c r="AC199" s="176">
        <f t="shared" ca="1" si="263"/>
        <v>0</v>
      </c>
      <c r="AD199" s="958">
        <f ca="1">AC199*Calculation_sheet!C$99</f>
        <v>0</v>
      </c>
      <c r="AE199" s="176">
        <f t="shared" ca="1" si="263"/>
        <v>0</v>
      </c>
      <c r="AF199" s="176">
        <f t="shared" ca="1" si="277"/>
        <v>0</v>
      </c>
      <c r="AG199" s="958">
        <f ca="1">AF199*User_sheet!B$77/100</f>
        <v>0</v>
      </c>
      <c r="AH199" s="313"/>
      <c r="AI199" s="3">
        <v>302</v>
      </c>
      <c r="AK199" s="1018">
        <f t="shared" ca="1" si="190"/>
        <v>604.03548467539645</v>
      </c>
      <c r="AL199" s="924">
        <f ca="1">AK199/'302'!I$24</f>
        <v>1.5397284850252266</v>
      </c>
      <c r="AM199" s="924">
        <f ca="1">0.8*(AK199*30+'302'!D$17*0.34*30*1)</f>
        <v>19563.038632209518</v>
      </c>
      <c r="AN199" s="954">
        <f ca="1">IF(AM199&lt;User_sheet!B$50,Y199,0)</f>
        <v>0</v>
      </c>
      <c r="AO199" s="954">
        <f ca="1">20-(User_sheet!B$57/(AK199+'302'!D$17*1*0.34))</f>
        <v>13.007221292567198</v>
      </c>
      <c r="AP199" s="954">
        <f ca="1">IF(AO199&lt;User_sheet!B$59,0,BC199*AA199)</f>
        <v>0</v>
      </c>
      <c r="AR199" s="2">
        <v>3.33</v>
      </c>
      <c r="AS199" s="2">
        <v>2.1</v>
      </c>
      <c r="AT199" s="2">
        <v>0.89</v>
      </c>
      <c r="AU199" s="2">
        <v>2.75</v>
      </c>
      <c r="AV199" s="2">
        <v>3.3</v>
      </c>
      <c r="AW199" s="2">
        <v>11357.186356387729</v>
      </c>
      <c r="AX199" s="2">
        <v>74715.401027665983</v>
      </c>
      <c r="AY199" s="2">
        <v>79015.992973719694</v>
      </c>
      <c r="AZ199" s="2">
        <v>0</v>
      </c>
      <c r="BA199" s="2">
        <v>0</v>
      </c>
      <c r="BB199" s="2">
        <v>0.6</v>
      </c>
      <c r="BC199" s="30">
        <v>0</v>
      </c>
      <c r="BD199" s="34">
        <v>1</v>
      </c>
      <c r="BE199" s="34">
        <v>0</v>
      </c>
      <c r="BF199" s="40">
        <v>0</v>
      </c>
      <c r="BG199" s="2">
        <v>0</v>
      </c>
      <c r="BH199" s="2">
        <v>1</v>
      </c>
      <c r="BI199" s="40">
        <v>0</v>
      </c>
      <c r="BJ199" s="2">
        <v>0</v>
      </c>
      <c r="BK199" s="2">
        <v>1</v>
      </c>
      <c r="BL199" s="2">
        <v>0</v>
      </c>
      <c r="BM199" s="40">
        <v>0</v>
      </c>
      <c r="BN199" s="958">
        <v>0</v>
      </c>
      <c r="BO199" s="959">
        <v>14.9</v>
      </c>
      <c r="BP199" s="1018">
        <f t="shared" ca="1" si="264"/>
        <v>215.65</v>
      </c>
      <c r="BQ199" s="1018">
        <f t="shared" ca="1" si="265"/>
        <v>486.07500000000005</v>
      </c>
      <c r="BR199" s="1018">
        <f t="shared" ca="1" si="266"/>
        <v>117.8</v>
      </c>
      <c r="BS199" s="1018">
        <f t="shared" ca="1" si="267"/>
        <v>103.97</v>
      </c>
      <c r="BT199" s="1018">
        <f t="shared" ca="1" si="268"/>
        <v>53.9</v>
      </c>
      <c r="BU199" s="1018">
        <f t="shared" ca="1" si="269"/>
        <v>62.730000000000004</v>
      </c>
      <c r="BV199" s="1018">
        <f t="shared" ca="1" si="270"/>
        <v>4.3</v>
      </c>
      <c r="BW199" s="1018">
        <v>0</v>
      </c>
      <c r="BX199" s="1018">
        <f t="shared" ca="1" si="271"/>
        <v>248.71544509256913</v>
      </c>
      <c r="BY199" s="1018">
        <f t="shared" ca="1" si="272"/>
        <v>160.07111436950146</v>
      </c>
      <c r="BZ199" s="1018">
        <f t="shared" ca="1" si="191"/>
        <v>13.714707750952986</v>
      </c>
      <c r="CA199" s="1018">
        <f t="shared" ca="1" si="192"/>
        <v>172.50749990512088</v>
      </c>
      <c r="CB199" s="1018">
        <f t="shared" ca="1" si="273"/>
        <v>9.0267175572519083</v>
      </c>
      <c r="CC199" s="1018">
        <f t="shared" si="193"/>
        <v>0</v>
      </c>
      <c r="CD199" s="1018">
        <f t="shared" ca="1" si="274"/>
        <v>604.03548467539645</v>
      </c>
      <c r="CE199" s="1018">
        <f t="shared" ca="1" si="278"/>
        <v>174.83241983450787</v>
      </c>
      <c r="CF199" s="1018">
        <f t="shared" ca="1" si="194"/>
        <v>23.366037135297127</v>
      </c>
      <c r="CG199" s="1018">
        <f t="shared" ca="1" si="195"/>
        <v>38903.51718878431</v>
      </c>
    </row>
    <row r="200" spans="3:85" x14ac:dyDescent="0.25">
      <c r="C200" s="667"/>
      <c r="D200" s="668"/>
      <c r="E200" s="667"/>
      <c r="F200" s="668"/>
      <c r="G200" s="667"/>
      <c r="H200" s="668"/>
      <c r="I200" s="667"/>
      <c r="J200" s="668"/>
      <c r="K200" s="671"/>
      <c r="L200" s="673"/>
      <c r="M200" s="668" t="s">
        <v>22</v>
      </c>
      <c r="N200" s="670">
        <v>0.44680851100000002</v>
      </c>
      <c r="O200" s="668" t="s">
        <v>20</v>
      </c>
      <c r="P200" s="670">
        <v>0.19172932300000001</v>
      </c>
      <c r="Q200" s="668" t="s">
        <v>7</v>
      </c>
      <c r="R200" s="670">
        <v>0.46289999999999998</v>
      </c>
      <c r="S200" s="668"/>
      <c r="T200" s="678">
        <v>0</v>
      </c>
      <c r="U200" s="667"/>
      <c r="V200" s="176">
        <f t="shared" si="196"/>
        <v>0</v>
      </c>
      <c r="W200" s="176">
        <f t="shared" si="275"/>
        <v>0</v>
      </c>
      <c r="X200" s="176">
        <f>W200-W200*Calculation_sheet!O$77</f>
        <v>0</v>
      </c>
      <c r="Y200" s="34">
        <f>X200/Calculation_sheet!M$67</f>
        <v>0</v>
      </c>
      <c r="Z200" s="176">
        <f ca="1">IF(AN200&gt;0,Y200*Calculation_sheet!C$87,0)</f>
        <v>0</v>
      </c>
      <c r="AA200" s="176">
        <f t="shared" ca="1" si="276"/>
        <v>0</v>
      </c>
      <c r="AB200" s="176">
        <f ca="1">IF(AP200&gt;0,AA200*Calculation_sheet!C$94,0)</f>
        <v>0</v>
      </c>
      <c r="AC200" s="176">
        <f t="shared" ca="1" si="263"/>
        <v>0</v>
      </c>
      <c r="AD200" s="958">
        <f ca="1">AC200*Calculation_sheet!C$99</f>
        <v>0</v>
      </c>
      <c r="AE200" s="176">
        <f t="shared" ca="1" si="263"/>
        <v>0</v>
      </c>
      <c r="AF200" s="176">
        <f t="shared" ca="1" si="277"/>
        <v>0</v>
      </c>
      <c r="AG200" s="958">
        <f ca="1">AF200*User_sheet!B$77/100</f>
        <v>0</v>
      </c>
      <c r="AH200" s="313"/>
      <c r="AI200" s="3">
        <v>302</v>
      </c>
      <c r="AK200" s="1018">
        <f t="shared" ca="1" si="190"/>
        <v>604.03548467539645</v>
      </c>
      <c r="AL200" s="924">
        <f ca="1">AK200/'302'!I$24</f>
        <v>1.5397284850252266</v>
      </c>
      <c r="AM200" s="924">
        <f ca="1">0.8*(AK200*30+'302'!D$17*0.34*30*1)</f>
        <v>19563.038632209518</v>
      </c>
      <c r="AN200" s="954">
        <f ca="1">IF(AM200&lt;User_sheet!B$50,Y200,0)</f>
        <v>0</v>
      </c>
      <c r="AO200" s="954">
        <f ca="1">20-(User_sheet!B$57/(AK200+'302'!D$17*1*0.34))</f>
        <v>13.007221292567198</v>
      </c>
      <c r="AP200" s="954">
        <f ca="1">IF(AO200&lt;User_sheet!B$59,0,BC200*AA200)</f>
        <v>0</v>
      </c>
      <c r="AR200" s="2">
        <v>3.33</v>
      </c>
      <c r="AS200" s="2">
        <v>2.1</v>
      </c>
      <c r="AT200" s="2">
        <v>0.89</v>
      </c>
      <c r="AU200" s="2">
        <v>2.75</v>
      </c>
      <c r="AV200" s="2">
        <v>3.3</v>
      </c>
      <c r="AW200" s="2">
        <v>11357.186356387729</v>
      </c>
      <c r="AX200" s="2">
        <v>74715.401027665983</v>
      </c>
      <c r="AY200" s="2">
        <v>79015.992973719694</v>
      </c>
      <c r="AZ200" s="2">
        <v>0</v>
      </c>
      <c r="BA200" s="2">
        <v>0</v>
      </c>
      <c r="BB200" s="2">
        <v>0.6</v>
      </c>
      <c r="BC200" s="30">
        <v>0</v>
      </c>
      <c r="BD200" s="34">
        <v>1</v>
      </c>
      <c r="BE200" s="34">
        <v>0</v>
      </c>
      <c r="BF200" s="40">
        <v>0</v>
      </c>
      <c r="BG200" s="2">
        <v>0</v>
      </c>
      <c r="BH200" s="2">
        <v>1</v>
      </c>
      <c r="BI200" s="40">
        <v>0</v>
      </c>
      <c r="BJ200" s="2">
        <v>0</v>
      </c>
      <c r="BK200" s="2">
        <v>0</v>
      </c>
      <c r="BL200" s="2">
        <v>1</v>
      </c>
      <c r="BM200" s="40">
        <v>0</v>
      </c>
      <c r="BN200" s="958">
        <v>0</v>
      </c>
      <c r="BO200" s="959">
        <v>14.9</v>
      </c>
      <c r="BP200" s="1018">
        <f t="shared" ca="1" si="264"/>
        <v>215.65</v>
      </c>
      <c r="BQ200" s="1018">
        <f t="shared" ca="1" si="265"/>
        <v>486.07500000000005</v>
      </c>
      <c r="BR200" s="1018">
        <f t="shared" ca="1" si="266"/>
        <v>117.8</v>
      </c>
      <c r="BS200" s="1018">
        <f t="shared" ca="1" si="267"/>
        <v>103.97</v>
      </c>
      <c r="BT200" s="1018">
        <f t="shared" ca="1" si="268"/>
        <v>53.9</v>
      </c>
      <c r="BU200" s="1018">
        <f t="shared" ca="1" si="269"/>
        <v>62.730000000000004</v>
      </c>
      <c r="BV200" s="1018">
        <f t="shared" ca="1" si="270"/>
        <v>4.3</v>
      </c>
      <c r="BW200" s="1018">
        <v>0</v>
      </c>
      <c r="BX200" s="1018">
        <f t="shared" ca="1" si="271"/>
        <v>248.71544509256913</v>
      </c>
      <c r="BY200" s="1018">
        <f t="shared" ca="1" si="272"/>
        <v>160.07111436950146</v>
      </c>
      <c r="BZ200" s="1018">
        <f t="shared" ca="1" si="191"/>
        <v>13.714707750952986</v>
      </c>
      <c r="CA200" s="1018">
        <f t="shared" ca="1" si="192"/>
        <v>172.50749990512088</v>
      </c>
      <c r="CB200" s="1018">
        <f t="shared" ca="1" si="273"/>
        <v>9.0267175572519083</v>
      </c>
      <c r="CC200" s="1018">
        <f t="shared" si="193"/>
        <v>0</v>
      </c>
      <c r="CD200" s="1018">
        <f t="shared" ca="1" si="274"/>
        <v>604.03548467539645</v>
      </c>
      <c r="CE200" s="1018">
        <f t="shared" ca="1" si="278"/>
        <v>174.83241983450787</v>
      </c>
      <c r="CF200" s="1018">
        <f t="shared" ca="1" si="194"/>
        <v>23.366037135297127</v>
      </c>
      <c r="CG200" s="1018">
        <f t="shared" ca="1" si="195"/>
        <v>38903.51718878431</v>
      </c>
    </row>
    <row r="201" spans="3:85" x14ac:dyDescent="0.25">
      <c r="C201" s="667"/>
      <c r="D201" s="668"/>
      <c r="E201" s="667"/>
      <c r="F201" s="668"/>
      <c r="G201" s="667"/>
      <c r="H201" s="668"/>
      <c r="I201" s="667"/>
      <c r="J201" s="668"/>
      <c r="K201" s="671"/>
      <c r="L201" s="673"/>
      <c r="M201" s="668" t="s">
        <v>7</v>
      </c>
      <c r="N201" s="670">
        <v>2.1276595999999998E-2</v>
      </c>
      <c r="O201" s="668" t="s">
        <v>23</v>
      </c>
      <c r="P201" s="670">
        <v>1</v>
      </c>
      <c r="Q201" s="668" t="s">
        <v>7</v>
      </c>
      <c r="R201" s="670">
        <v>1</v>
      </c>
      <c r="S201" s="668"/>
      <c r="T201" s="678">
        <v>0</v>
      </c>
      <c r="U201" s="667"/>
      <c r="V201" s="176">
        <f t="shared" si="196"/>
        <v>0</v>
      </c>
      <c r="W201" s="176">
        <f t="shared" si="275"/>
        <v>0</v>
      </c>
      <c r="X201" s="176">
        <f>W201-W201*Calculation_sheet!O$77</f>
        <v>0</v>
      </c>
      <c r="Y201" s="34">
        <f>X201/Calculation_sheet!M$67</f>
        <v>0</v>
      </c>
      <c r="Z201" s="176">
        <f ca="1">IF(AN201&gt;0,Y201*Calculation_sheet!C$87,0)</f>
        <v>0</v>
      </c>
      <c r="AA201" s="176">
        <f t="shared" ca="1" si="276"/>
        <v>0</v>
      </c>
      <c r="AB201" s="176">
        <f ca="1">IF(AP201&gt;0,AA201*Calculation_sheet!C$94,0)</f>
        <v>0</v>
      </c>
      <c r="AC201" s="176">
        <f t="shared" ca="1" si="263"/>
        <v>0</v>
      </c>
      <c r="AD201" s="958">
        <f ca="1">AC201*Calculation_sheet!C$99</f>
        <v>0</v>
      </c>
      <c r="AE201" s="176">
        <f t="shared" ca="1" si="263"/>
        <v>0</v>
      </c>
      <c r="AF201" s="176">
        <f t="shared" ca="1" si="277"/>
        <v>0</v>
      </c>
      <c r="AG201" s="958">
        <f ca="1">AF201*User_sheet!B$77/100</f>
        <v>0</v>
      </c>
      <c r="AH201" s="313"/>
      <c r="AI201" s="3">
        <v>302</v>
      </c>
      <c r="AK201" s="1018">
        <f t="shared" ca="1" si="190"/>
        <v>604.03548467539645</v>
      </c>
      <c r="AL201" s="924">
        <f ca="1">AK201/'302'!I$24</f>
        <v>1.5397284850252266</v>
      </c>
      <c r="AM201" s="924">
        <f ca="1">0.8*(AK201*30+'302'!D$17*0.34*30*1)</f>
        <v>19563.038632209518</v>
      </c>
      <c r="AN201" s="954">
        <f ca="1">IF(AM201&lt;User_sheet!B$50,Y201,0)</f>
        <v>0</v>
      </c>
      <c r="AO201" s="954">
        <f ca="1">20-(User_sheet!B$57/(AK201+'302'!D$17*1*0.34))</f>
        <v>13.007221292567198</v>
      </c>
      <c r="AP201" s="954">
        <f ca="1">IF(AO201&lt;User_sheet!B$59,0,BC201*AA201)</f>
        <v>0</v>
      </c>
      <c r="AR201" s="2">
        <v>3.33</v>
      </c>
      <c r="AS201" s="2">
        <v>2.1</v>
      </c>
      <c r="AT201" s="2">
        <v>0.89</v>
      </c>
      <c r="AU201" s="2">
        <v>2.75</v>
      </c>
      <c r="AV201" s="2">
        <v>3.3</v>
      </c>
      <c r="AW201" s="2">
        <v>11357.186356387729</v>
      </c>
      <c r="AX201" s="2">
        <v>74715.401027665983</v>
      </c>
      <c r="AY201" s="2">
        <v>79015.992973719694</v>
      </c>
      <c r="AZ201" s="2">
        <v>0</v>
      </c>
      <c r="BA201" s="2">
        <v>0</v>
      </c>
      <c r="BB201" s="2">
        <v>0.6</v>
      </c>
      <c r="BC201" s="30">
        <v>0</v>
      </c>
      <c r="BD201" s="34">
        <v>0</v>
      </c>
      <c r="BE201" s="34">
        <v>1</v>
      </c>
      <c r="BF201" s="40">
        <v>0</v>
      </c>
      <c r="BG201" s="2">
        <v>0</v>
      </c>
      <c r="BH201" s="2">
        <v>0</v>
      </c>
      <c r="BI201" s="40">
        <v>1</v>
      </c>
      <c r="BJ201" s="2">
        <v>0</v>
      </c>
      <c r="BK201" s="2">
        <v>0</v>
      </c>
      <c r="BL201" s="2">
        <v>1</v>
      </c>
      <c r="BM201" s="40">
        <v>0</v>
      </c>
      <c r="BN201" s="958">
        <v>0</v>
      </c>
      <c r="BO201" s="959">
        <v>14.9</v>
      </c>
      <c r="BP201" s="1018">
        <f t="shared" ca="1" si="264"/>
        <v>215.65</v>
      </c>
      <c r="BQ201" s="1018">
        <f t="shared" ca="1" si="265"/>
        <v>486.07500000000005</v>
      </c>
      <c r="BR201" s="1018">
        <f t="shared" ca="1" si="266"/>
        <v>117.8</v>
      </c>
      <c r="BS201" s="1018">
        <f t="shared" ca="1" si="267"/>
        <v>103.97</v>
      </c>
      <c r="BT201" s="1018">
        <f t="shared" ca="1" si="268"/>
        <v>53.9</v>
      </c>
      <c r="BU201" s="1018">
        <f t="shared" ca="1" si="269"/>
        <v>62.730000000000004</v>
      </c>
      <c r="BV201" s="1018">
        <f t="shared" ca="1" si="270"/>
        <v>4.3</v>
      </c>
      <c r="BW201" s="1018">
        <v>0</v>
      </c>
      <c r="BX201" s="1018">
        <f t="shared" ca="1" si="271"/>
        <v>248.71544509256913</v>
      </c>
      <c r="BY201" s="1018">
        <f t="shared" ca="1" si="272"/>
        <v>160.07111436950146</v>
      </c>
      <c r="BZ201" s="1018">
        <f t="shared" ca="1" si="191"/>
        <v>13.714707750952986</v>
      </c>
      <c r="CA201" s="1018">
        <f t="shared" ca="1" si="192"/>
        <v>172.50749990512088</v>
      </c>
      <c r="CB201" s="1018">
        <f t="shared" ca="1" si="273"/>
        <v>9.0267175572519083</v>
      </c>
      <c r="CC201" s="1018">
        <f t="shared" si="193"/>
        <v>0</v>
      </c>
      <c r="CD201" s="1018">
        <f t="shared" ca="1" si="274"/>
        <v>604.03548467539645</v>
      </c>
      <c r="CE201" s="1018">
        <f t="shared" ca="1" si="278"/>
        <v>174.83241983450787</v>
      </c>
      <c r="CF201" s="1018">
        <f t="shared" ca="1" si="194"/>
        <v>23.366037135297127</v>
      </c>
      <c r="CG201" s="1018">
        <f t="shared" ca="1" si="195"/>
        <v>38903.51718878431</v>
      </c>
    </row>
    <row r="202" spans="3:85" x14ac:dyDescent="0.25">
      <c r="C202" s="667" t="s">
        <v>2</v>
      </c>
      <c r="D202" s="670">
        <v>0.2074</v>
      </c>
      <c r="E202" s="667"/>
      <c r="F202" s="668"/>
      <c r="G202" s="667"/>
      <c r="H202" s="668"/>
      <c r="I202" s="667"/>
      <c r="J202" s="668"/>
      <c r="K202" s="667"/>
      <c r="L202" s="669"/>
      <c r="M202" s="668"/>
      <c r="N202" s="668"/>
      <c r="O202" s="668" t="s">
        <v>18</v>
      </c>
      <c r="P202" s="670">
        <v>0.15910607099999999</v>
      </c>
      <c r="Q202" s="668" t="s">
        <v>17</v>
      </c>
      <c r="R202" s="670">
        <v>1</v>
      </c>
      <c r="S202" s="668"/>
      <c r="T202" s="678">
        <v>0</v>
      </c>
      <c r="U202" s="667"/>
      <c r="V202" s="176">
        <f t="shared" si="196"/>
        <v>0</v>
      </c>
      <c r="W202" s="176">
        <f t="shared" si="275"/>
        <v>0</v>
      </c>
      <c r="X202" s="176">
        <f>W202-W202*Calculation_sheet!O$77</f>
        <v>0</v>
      </c>
      <c r="Y202" s="34">
        <f>X202/Calculation_sheet!M$67</f>
        <v>0</v>
      </c>
      <c r="Z202" s="176">
        <f ca="1">IF(AN202&gt;0,Y202*Calculation_sheet!C$87,0)</f>
        <v>0</v>
      </c>
      <c r="AA202" s="176">
        <f t="shared" ca="1" si="276"/>
        <v>0</v>
      </c>
      <c r="AB202" s="176">
        <f ca="1">IF(AP202&gt;0,AA202*Calculation_sheet!C$94,0)</f>
        <v>0</v>
      </c>
      <c r="AC202" s="176">
        <f t="shared" ca="1" si="263"/>
        <v>0</v>
      </c>
      <c r="AD202" s="958">
        <f ca="1">AC202*Calculation_sheet!C$99</f>
        <v>0</v>
      </c>
      <c r="AE202" s="176">
        <f t="shared" ca="1" si="263"/>
        <v>0</v>
      </c>
      <c r="AF202" s="176">
        <f t="shared" ca="1" si="277"/>
        <v>0</v>
      </c>
      <c r="AG202" s="958">
        <f ca="1">AF202*User_sheet!B$77/100</f>
        <v>0</v>
      </c>
      <c r="AH202" s="313"/>
      <c r="AI202" s="3">
        <v>302</v>
      </c>
      <c r="AK202" s="1018">
        <f t="shared" ca="1" si="190"/>
        <v>604.03548467539645</v>
      </c>
      <c r="AL202" s="924">
        <f ca="1">AK202/'302'!I$24</f>
        <v>1.5397284850252266</v>
      </c>
      <c r="AM202" s="924">
        <f ca="1">0.8*(AK202*30+'302'!D$17*0.34*30*1)</f>
        <v>19563.038632209518</v>
      </c>
      <c r="AN202" s="954">
        <f ca="1">IF(AM202&lt;User_sheet!B$50,Y202,0)</f>
        <v>0</v>
      </c>
      <c r="AO202" s="954">
        <f ca="1">20-(User_sheet!B$57/(AK202+'302'!D$17*1*0.34))</f>
        <v>13.007221292567198</v>
      </c>
      <c r="AP202" s="954">
        <f ca="1">IF(AO202&lt;User_sheet!B$59,0,BC202*AA202)</f>
        <v>0</v>
      </c>
      <c r="AR202" s="2">
        <v>3.33</v>
      </c>
      <c r="AS202" s="2">
        <v>2.1</v>
      </c>
      <c r="AT202" s="2">
        <v>0.89</v>
      </c>
      <c r="AU202" s="2">
        <v>2.75</v>
      </c>
      <c r="AV202" s="2">
        <v>3.3</v>
      </c>
      <c r="AW202" s="2">
        <v>11357.186356387729</v>
      </c>
      <c r="AX202" s="2">
        <v>74715.401027665983</v>
      </c>
      <c r="AY202" s="2">
        <v>79015.992973719694</v>
      </c>
      <c r="AZ202" s="2">
        <v>0</v>
      </c>
      <c r="BA202" s="2">
        <v>0</v>
      </c>
      <c r="BB202" s="2">
        <v>0.6</v>
      </c>
      <c r="BC202" s="30">
        <v>0</v>
      </c>
      <c r="BD202" s="34">
        <v>0</v>
      </c>
      <c r="BE202" s="34">
        <v>0</v>
      </c>
      <c r="BF202" s="40">
        <v>1</v>
      </c>
      <c r="BG202" s="2">
        <v>1</v>
      </c>
      <c r="BH202" s="2">
        <v>0</v>
      </c>
      <c r="BI202" s="40">
        <v>0</v>
      </c>
      <c r="BJ202" s="2">
        <v>0</v>
      </c>
      <c r="BK202" s="2">
        <v>0</v>
      </c>
      <c r="BL202" s="2">
        <v>0</v>
      </c>
      <c r="BM202" s="40">
        <v>1</v>
      </c>
      <c r="BN202" s="958">
        <v>0</v>
      </c>
      <c r="BO202" s="959">
        <v>14.9</v>
      </c>
      <c r="BP202" s="1018">
        <f t="shared" ca="1" si="264"/>
        <v>215.65</v>
      </c>
      <c r="BQ202" s="1018">
        <f t="shared" ca="1" si="265"/>
        <v>486.07500000000005</v>
      </c>
      <c r="BR202" s="1018">
        <f t="shared" ca="1" si="266"/>
        <v>117.8</v>
      </c>
      <c r="BS202" s="1018">
        <f t="shared" ca="1" si="267"/>
        <v>103.97</v>
      </c>
      <c r="BT202" s="1018">
        <f t="shared" ca="1" si="268"/>
        <v>53.9</v>
      </c>
      <c r="BU202" s="1018">
        <f t="shared" ca="1" si="269"/>
        <v>62.730000000000004</v>
      </c>
      <c r="BV202" s="1018">
        <f t="shared" ca="1" si="270"/>
        <v>4.3</v>
      </c>
      <c r="BW202" s="1018">
        <v>0</v>
      </c>
      <c r="BX202" s="1018">
        <f t="shared" ca="1" si="271"/>
        <v>248.71544509256913</v>
      </c>
      <c r="BY202" s="1018">
        <f t="shared" ca="1" si="272"/>
        <v>160.07111436950146</v>
      </c>
      <c r="BZ202" s="1018">
        <f t="shared" ca="1" si="191"/>
        <v>13.714707750952986</v>
      </c>
      <c r="CA202" s="1018">
        <f t="shared" ca="1" si="192"/>
        <v>172.50749990512088</v>
      </c>
      <c r="CB202" s="1018">
        <f t="shared" ca="1" si="273"/>
        <v>9.0267175572519083</v>
      </c>
      <c r="CC202" s="1018">
        <f t="shared" si="193"/>
        <v>0</v>
      </c>
      <c r="CD202" s="1018">
        <f t="shared" ca="1" si="274"/>
        <v>604.03548467539645</v>
      </c>
      <c r="CE202" s="1018">
        <f t="shared" ca="1" si="278"/>
        <v>174.83241983450787</v>
      </c>
      <c r="CF202" s="1018">
        <f t="shared" ca="1" si="194"/>
        <v>23.366037135297127</v>
      </c>
      <c r="CG202" s="1018">
        <f t="shared" ca="1" si="195"/>
        <v>38903.51718878431</v>
      </c>
    </row>
    <row r="203" spans="3:85" x14ac:dyDescent="0.25">
      <c r="C203" s="667"/>
      <c r="D203" s="668"/>
      <c r="E203" s="667"/>
      <c r="F203" s="668"/>
      <c r="G203" s="667" t="s">
        <v>9</v>
      </c>
      <c r="H203" s="672">
        <v>0.74940000000000007</v>
      </c>
      <c r="I203" s="667"/>
      <c r="J203" s="668"/>
      <c r="K203" s="671" t="s">
        <v>12</v>
      </c>
      <c r="L203" s="672">
        <v>0</v>
      </c>
      <c r="M203" s="668" t="s">
        <v>17</v>
      </c>
      <c r="N203" s="670">
        <v>8.5106382999999994E-2</v>
      </c>
      <c r="O203" s="668" t="s">
        <v>19</v>
      </c>
      <c r="P203" s="670">
        <v>0.84089392900000004</v>
      </c>
      <c r="Q203" s="668" t="s">
        <v>17</v>
      </c>
      <c r="R203" s="670">
        <v>1</v>
      </c>
      <c r="S203" s="668"/>
      <c r="T203" s="678">
        <v>0</v>
      </c>
      <c r="U203" s="667"/>
      <c r="V203" s="176">
        <f t="shared" si="196"/>
        <v>0</v>
      </c>
      <c r="W203" s="176">
        <f t="shared" si="275"/>
        <v>0</v>
      </c>
      <c r="X203" s="176">
        <f>W203-W203*Calculation_sheet!O$77</f>
        <v>0</v>
      </c>
      <c r="Y203" s="34">
        <f>X203/Calculation_sheet!M$67</f>
        <v>0</v>
      </c>
      <c r="Z203" s="176">
        <f ca="1">IF(AN203&gt;0,Y203*Calculation_sheet!C$87,0)</f>
        <v>0</v>
      </c>
      <c r="AA203" s="176">
        <f t="shared" ca="1" si="276"/>
        <v>0</v>
      </c>
      <c r="AB203" s="176">
        <f ca="1">IF(AP203&gt;0,AA203*Calculation_sheet!C$94,0)</f>
        <v>0</v>
      </c>
      <c r="AC203" s="176">
        <f t="shared" ca="1" si="263"/>
        <v>0</v>
      </c>
      <c r="AD203" s="958">
        <f ca="1">AC203*Calculation_sheet!C$99</f>
        <v>0</v>
      </c>
      <c r="AE203" s="176">
        <f t="shared" ca="1" si="263"/>
        <v>0</v>
      </c>
      <c r="AF203" s="176">
        <f t="shared" ca="1" si="277"/>
        <v>0</v>
      </c>
      <c r="AG203" s="958">
        <f ca="1">AF203*User_sheet!B$77/100</f>
        <v>0</v>
      </c>
      <c r="AH203" s="313"/>
      <c r="AI203" s="3">
        <v>302</v>
      </c>
      <c r="AK203" s="1018">
        <f t="shared" ca="1" si="190"/>
        <v>604.03548467539645</v>
      </c>
      <c r="AL203" s="924">
        <f ca="1">AK203/'302'!I$24</f>
        <v>1.5397284850252266</v>
      </c>
      <c r="AM203" s="924">
        <f ca="1">0.8*(AK203*30+'302'!D$17*0.34*30*1)</f>
        <v>19563.038632209518</v>
      </c>
      <c r="AN203" s="954">
        <f ca="1">IF(AM203&lt;User_sheet!B$50,Y203,0)</f>
        <v>0</v>
      </c>
      <c r="AO203" s="954">
        <f ca="1">20-(User_sheet!B$57/(AK203+'302'!D$17*1*0.34))</f>
        <v>13.007221292567198</v>
      </c>
      <c r="AP203" s="954">
        <f ca="1">IF(AO203&lt;User_sheet!B$59,0,BC203*AA203)</f>
        <v>0</v>
      </c>
      <c r="AR203" s="2">
        <v>3.33</v>
      </c>
      <c r="AS203" s="2">
        <v>2.1</v>
      </c>
      <c r="AT203" s="2">
        <v>0.89</v>
      </c>
      <c r="AU203" s="2">
        <v>2.75</v>
      </c>
      <c r="AV203" s="2">
        <v>3.3</v>
      </c>
      <c r="AW203" s="2">
        <v>11357.186356387729</v>
      </c>
      <c r="AX203" s="2">
        <v>74715.401027665983</v>
      </c>
      <c r="AY203" s="2">
        <v>79015.992973719694</v>
      </c>
      <c r="AZ203" s="2">
        <v>0</v>
      </c>
      <c r="BA203" s="2">
        <v>0</v>
      </c>
      <c r="BB203" s="2">
        <v>0.6</v>
      </c>
      <c r="BC203" s="30">
        <v>0</v>
      </c>
      <c r="BD203" s="34">
        <v>0</v>
      </c>
      <c r="BE203" s="34">
        <v>0</v>
      </c>
      <c r="BF203" s="40">
        <v>1</v>
      </c>
      <c r="BG203" s="2">
        <v>0</v>
      </c>
      <c r="BH203" s="2">
        <v>1</v>
      </c>
      <c r="BI203" s="40">
        <v>0</v>
      </c>
      <c r="BJ203" s="2">
        <v>0</v>
      </c>
      <c r="BK203" s="2">
        <v>0</v>
      </c>
      <c r="BL203" s="2">
        <v>0</v>
      </c>
      <c r="BM203" s="40">
        <v>1</v>
      </c>
      <c r="BN203" s="958">
        <v>0</v>
      </c>
      <c r="BO203" s="959">
        <v>14.9</v>
      </c>
      <c r="BP203" s="1018">
        <f t="shared" ca="1" si="264"/>
        <v>215.65</v>
      </c>
      <c r="BQ203" s="1018">
        <f t="shared" ca="1" si="265"/>
        <v>486.07500000000005</v>
      </c>
      <c r="BR203" s="1018">
        <f t="shared" ca="1" si="266"/>
        <v>117.8</v>
      </c>
      <c r="BS203" s="1018">
        <f t="shared" ca="1" si="267"/>
        <v>103.97</v>
      </c>
      <c r="BT203" s="1018">
        <f t="shared" ca="1" si="268"/>
        <v>53.9</v>
      </c>
      <c r="BU203" s="1018">
        <f t="shared" ca="1" si="269"/>
        <v>62.730000000000004</v>
      </c>
      <c r="BV203" s="1018">
        <f t="shared" ca="1" si="270"/>
        <v>4.3</v>
      </c>
      <c r="BW203" s="1018">
        <v>0</v>
      </c>
      <c r="BX203" s="1018">
        <f t="shared" ca="1" si="271"/>
        <v>248.71544509256913</v>
      </c>
      <c r="BY203" s="1018">
        <f t="shared" ca="1" si="272"/>
        <v>160.07111436950146</v>
      </c>
      <c r="BZ203" s="1018">
        <f t="shared" ca="1" si="191"/>
        <v>13.714707750952986</v>
      </c>
      <c r="CA203" s="1018">
        <f t="shared" ca="1" si="192"/>
        <v>172.50749990512088</v>
      </c>
      <c r="CB203" s="1018">
        <f t="shared" ca="1" si="273"/>
        <v>9.0267175572519083</v>
      </c>
      <c r="CC203" s="1018">
        <f t="shared" si="193"/>
        <v>0</v>
      </c>
      <c r="CD203" s="1018">
        <f t="shared" ca="1" si="274"/>
        <v>604.03548467539645</v>
      </c>
      <c r="CE203" s="1018">
        <f t="shared" ca="1" si="278"/>
        <v>174.83241983450787</v>
      </c>
      <c r="CF203" s="1018">
        <f t="shared" ca="1" si="194"/>
        <v>23.366037135297127</v>
      </c>
      <c r="CG203" s="1018">
        <f t="shared" ca="1" si="195"/>
        <v>38903.51718878431</v>
      </c>
    </row>
    <row r="204" spans="3:85" s="14" customFormat="1" x14ac:dyDescent="0.25">
      <c r="C204" s="675"/>
      <c r="D204" s="676"/>
      <c r="E204" s="675"/>
      <c r="F204" s="676"/>
      <c r="G204" s="675"/>
      <c r="H204" s="676"/>
      <c r="I204" s="675"/>
      <c r="J204" s="676"/>
      <c r="K204" s="677"/>
      <c r="L204" s="676"/>
      <c r="M204" s="676"/>
      <c r="N204" s="676"/>
      <c r="O204" s="676"/>
      <c r="P204" s="676"/>
      <c r="Q204" s="676"/>
      <c r="R204" s="676"/>
      <c r="S204" s="676"/>
      <c r="T204" s="679"/>
      <c r="U204" s="675"/>
      <c r="V204" s="292"/>
      <c r="W204" s="292"/>
      <c r="X204" s="292"/>
      <c r="Y204" s="277"/>
      <c r="Z204" s="292"/>
      <c r="AA204" s="292"/>
      <c r="AB204" s="292"/>
      <c r="AC204" s="292"/>
      <c r="AD204" s="277"/>
      <c r="AE204" s="292"/>
      <c r="AF204" s="292"/>
      <c r="AG204" s="277"/>
      <c r="AH204" s="313"/>
      <c r="AJ204" s="314"/>
      <c r="AK204" s="1018">
        <f t="shared" si="190"/>
        <v>0</v>
      </c>
      <c r="AL204" s="928"/>
      <c r="AM204" s="928"/>
      <c r="AN204" s="941"/>
      <c r="AO204" s="941"/>
      <c r="AP204" s="941"/>
      <c r="AQ204" s="314"/>
      <c r="AR204" s="28"/>
      <c r="AS204" s="28"/>
      <c r="AT204" s="28"/>
      <c r="AU204" s="28"/>
      <c r="AV204" s="28"/>
      <c r="AW204" s="28"/>
      <c r="AX204" s="28"/>
      <c r="AY204" s="28"/>
      <c r="AZ204" s="28"/>
      <c r="BA204" s="28"/>
      <c r="BB204" s="28"/>
      <c r="BC204" s="45"/>
      <c r="BD204" s="277"/>
      <c r="BE204" s="277"/>
      <c r="BF204" s="49"/>
      <c r="BG204" s="28"/>
      <c r="BH204" s="28"/>
      <c r="BI204" s="49"/>
      <c r="BJ204" s="28"/>
      <c r="BK204" s="28"/>
      <c r="BL204" s="28"/>
      <c r="BM204" s="49"/>
      <c r="BN204" s="277"/>
      <c r="BO204" s="49"/>
      <c r="BP204" s="928"/>
      <c r="BQ204" s="928"/>
      <c r="BR204" s="928"/>
      <c r="BS204" s="928"/>
      <c r="BT204" s="928"/>
      <c r="BU204" s="928"/>
      <c r="BV204" s="928"/>
      <c r="BW204" s="928"/>
      <c r="BX204" s="928"/>
      <c r="BY204" s="928"/>
      <c r="BZ204" s="928"/>
      <c r="CA204" s="928"/>
      <c r="CB204" s="928"/>
      <c r="CC204" s="928"/>
      <c r="CD204" s="928"/>
      <c r="CE204" s="928"/>
      <c r="CF204" s="928"/>
      <c r="CG204" s="928"/>
    </row>
    <row r="205" spans="3:85" x14ac:dyDescent="0.25">
      <c r="D205" s="1"/>
      <c r="F205" s="1"/>
      <c r="G205" s="3"/>
      <c r="H205" s="6"/>
      <c r="I205" s="3"/>
      <c r="J205" s="6"/>
      <c r="K205" s="8"/>
      <c r="L205" s="6"/>
      <c r="M205" s="1"/>
      <c r="N205" s="1"/>
      <c r="O205" s="1"/>
      <c r="P205" s="1"/>
      <c r="Q205" s="1" t="s">
        <v>16</v>
      </c>
      <c r="R205" s="4"/>
      <c r="S205" s="1"/>
      <c r="T205" s="77"/>
      <c r="U205" s="294"/>
      <c r="X205" s="176">
        <f>W193-X193</f>
        <v>0</v>
      </c>
      <c r="Y205" s="34">
        <f>X205/Calculation_sheet!M$67</f>
        <v>0</v>
      </c>
      <c r="Z205" s="176">
        <f ca="1">IF(AN205&gt;0,Y205*Calculation_sheet!C$87,0)</f>
        <v>0</v>
      </c>
      <c r="AA205" s="176">
        <f ca="1">Y205-Z205</f>
        <v>0</v>
      </c>
      <c r="AB205" s="176">
        <f ca="1">IF(AP205&gt;0,AA205*Calculation_sheet!C$94,0)</f>
        <v>0</v>
      </c>
      <c r="AC205" s="176">
        <f t="shared" ref="AC205:AE215" ca="1" si="279">AA205-AB205</f>
        <v>0</v>
      </c>
      <c r="AD205" s="958">
        <f ca="1">AC205*Calculation_sheet!C$99</f>
        <v>0</v>
      </c>
      <c r="AE205" s="176">
        <f t="shared" ca="1" si="279"/>
        <v>0</v>
      </c>
      <c r="AF205" s="176">
        <f ca="1">Y205-AB205</f>
        <v>0</v>
      </c>
      <c r="AG205" s="958">
        <f ca="1">AF205*User_sheet!B$77/100</f>
        <v>0</v>
      </c>
      <c r="AH205" s="313"/>
      <c r="AI205" s="3">
        <v>302</v>
      </c>
      <c r="AK205" s="1018">
        <f t="shared" ca="1" si="190"/>
        <v>343.98754720710804</v>
      </c>
      <c r="AL205" s="924">
        <f ca="1">AK205/'302'!I$24</f>
        <v>0.87684819578666329</v>
      </c>
      <c r="AM205" s="924">
        <f ca="1">0.8*(AK205*30+'302'!D$17*0.34*30*1)</f>
        <v>13321.888132970595</v>
      </c>
      <c r="AN205" s="954">
        <f ca="1">IF(AM205&lt;User_sheet!B$50,Y205,0)</f>
        <v>0</v>
      </c>
      <c r="AO205" s="954">
        <f ca="1">20-(User_sheet!B$57/(AK205+'302'!D$17*1*0.34))</f>
        <v>9.7311853519148617</v>
      </c>
      <c r="AP205" s="954">
        <f ca="1">IF(AO205&lt;User_sheet!B$59,0,BC205*AA205)</f>
        <v>0</v>
      </c>
      <c r="AR205" s="2">
        <v>0.32</v>
      </c>
      <c r="AS205" s="2">
        <v>2.1</v>
      </c>
      <c r="AT205" s="2">
        <v>0.89</v>
      </c>
      <c r="AU205" s="2">
        <v>2</v>
      </c>
      <c r="AV205" s="2">
        <v>3.3</v>
      </c>
      <c r="AW205" s="2">
        <v>14356</v>
      </c>
      <c r="AX205" s="2">
        <v>74715.401027665983</v>
      </c>
      <c r="AY205" s="2">
        <v>79015.992973719694</v>
      </c>
      <c r="AZ205" s="27">
        <v>0</v>
      </c>
      <c r="BA205" s="27">
        <v>0</v>
      </c>
      <c r="BB205" s="2">
        <v>0.6</v>
      </c>
      <c r="BC205" s="30">
        <v>1</v>
      </c>
      <c r="BD205" s="34">
        <v>0</v>
      </c>
      <c r="BE205" s="34">
        <v>0</v>
      </c>
      <c r="BF205" s="40">
        <v>0</v>
      </c>
      <c r="BG205" s="34">
        <v>1</v>
      </c>
      <c r="BH205" s="34">
        <v>0</v>
      </c>
      <c r="BI205" s="40">
        <v>0</v>
      </c>
      <c r="BJ205" s="34">
        <v>1</v>
      </c>
      <c r="BK205" s="34">
        <v>0</v>
      </c>
      <c r="BL205" s="34">
        <v>0</v>
      </c>
      <c r="BM205" s="40">
        <v>0</v>
      </c>
      <c r="BN205" s="958">
        <v>0</v>
      </c>
      <c r="BO205" s="959">
        <v>14.9</v>
      </c>
      <c r="BP205" s="1018">
        <f t="shared" ref="BP205:BP215" ca="1" si="280">INDIRECT("'"&amp;AI205&amp;"'!"&amp;"B2")</f>
        <v>215.65</v>
      </c>
      <c r="BQ205" s="1018">
        <f t="shared" ref="BQ205:BQ215" ca="1" si="281">INDIRECT("'"&amp;AI205&amp;"'!"&amp;"C12")+INDIRECT("'"&amp;AI205&amp;"'!"&amp;"C13")+INDIRECT("'"&amp;AI205&amp;"'!"&amp;"C14")+INDIRECT("'"&amp;AI205&amp;"'!"&amp;"C15")+INDIRECT("'"&amp;AI205&amp;"'!"&amp;"C17")</f>
        <v>486.07500000000005</v>
      </c>
      <c r="BR205" s="1018">
        <f t="shared" ref="BR205:BR215" ca="1" si="282">INDIRECT("'"&amp;AI205&amp;"'!"&amp;"G5")</f>
        <v>117.8</v>
      </c>
      <c r="BS205" s="1018">
        <f t="shared" ref="BS205:BS215" ca="1" si="283">INDIRECT("'"&amp;AI205&amp;"'!"&amp;"G4")</f>
        <v>103.97</v>
      </c>
      <c r="BT205" s="1018">
        <f t="shared" ref="BT205:BT215" ca="1" si="284">INDIRECT("'"&amp;AI205&amp;"'!"&amp;"G6")</f>
        <v>53.9</v>
      </c>
      <c r="BU205" s="1018">
        <f t="shared" ref="BU205:BU215" ca="1" si="285">INDIRECT("'"&amp;AI205&amp;"'!"&amp;"G2")</f>
        <v>62.730000000000004</v>
      </c>
      <c r="BV205" s="1018">
        <f t="shared" ref="BV205:BV215" ca="1" si="286">INDIRECT("'"&amp;AI205&amp;"'!"&amp;"G3")</f>
        <v>4.3</v>
      </c>
      <c r="BW205" s="1018">
        <v>0</v>
      </c>
      <c r="BX205" s="1018">
        <f t="shared" ref="BX205:BX215" ca="1" si="287">IF(BR205=0,0,1/(1/(BR205*$BY$3)+1/(BR205*AR205)+1/(BR205*$BY$4)))</f>
        <v>35.715007579585652</v>
      </c>
      <c r="BY205" s="1018">
        <f t="shared" ref="BY205:BY215" ca="1" si="288">IF(BS205=0,0,1/(1/(BS205*$BY$3)+1/(BS205*AS205)+1/(BS205*$BY$4)))</f>
        <v>160.07111436950146</v>
      </c>
      <c r="BZ205" s="1018">
        <f t="shared" ca="1" si="191"/>
        <v>13.714707750952986</v>
      </c>
      <c r="CA205" s="1018">
        <f t="shared" ca="1" si="192"/>
        <v>125.45999994981604</v>
      </c>
      <c r="CB205" s="1018">
        <f t="shared" ref="CB205:CB215" ca="1" si="289">IF(BV205=0,0,1/(1/(BV205*$BY$3)+1/(BV205*AV205)+1/(BV205*$BY$4)))</f>
        <v>9.0267175572519083</v>
      </c>
      <c r="CC205" s="1018">
        <f t="shared" si="193"/>
        <v>0</v>
      </c>
      <c r="CD205" s="1018">
        <f t="shared" ref="CD205:CD215" ca="1" si="290">SUM(BX205:CC205)+(BR205+BS205+BT205+BU205+BV205)*BN205</f>
        <v>343.98754720710804</v>
      </c>
      <c r="CE205" s="1018">
        <f ca="1">0.34*BO205*(1/25)^0.66*(BR205+BS205+BU205+BV205)</f>
        <v>174.83241983450787</v>
      </c>
      <c r="CF205" s="1018">
        <f t="shared" ca="1" si="194"/>
        <v>15.564599011248475</v>
      </c>
      <c r="CG205" s="1018">
        <f t="shared" ca="1" si="195"/>
        <v>25914.434769768261</v>
      </c>
    </row>
    <row r="206" spans="3:85" x14ac:dyDescent="0.25">
      <c r="D206" s="1"/>
      <c r="F206" s="1"/>
      <c r="G206" s="3"/>
      <c r="H206" s="6"/>
      <c r="I206" s="3"/>
      <c r="J206" s="6"/>
      <c r="K206" s="8"/>
      <c r="L206" s="6"/>
      <c r="M206" s="1"/>
      <c r="N206" s="1"/>
      <c r="O206" s="1" t="s">
        <v>18</v>
      </c>
      <c r="P206" s="4"/>
      <c r="Q206" s="1" t="s">
        <v>7</v>
      </c>
      <c r="R206" s="4"/>
      <c r="S206" s="1"/>
      <c r="T206" s="77"/>
      <c r="U206" s="294"/>
      <c r="X206" s="176">
        <f t="shared" ref="X206:X215" si="291">W194-X194</f>
        <v>0</v>
      </c>
      <c r="Y206" s="34">
        <f>X206/Calculation_sheet!M$67</f>
        <v>0</v>
      </c>
      <c r="Z206" s="176">
        <f ca="1">IF(AN206&gt;0,Y206*Calculation_sheet!C$87,0)</f>
        <v>0</v>
      </c>
      <c r="AA206" s="176">
        <f t="shared" ref="AA206:AA215" ca="1" si="292">Y206-Z206</f>
        <v>0</v>
      </c>
      <c r="AB206" s="176">
        <f ca="1">IF(AP206&gt;0,AA206*Calculation_sheet!C$94,0)</f>
        <v>0</v>
      </c>
      <c r="AC206" s="176">
        <f t="shared" ca="1" si="279"/>
        <v>0</v>
      </c>
      <c r="AD206" s="958">
        <f ca="1">AC206*Calculation_sheet!C$99</f>
        <v>0</v>
      </c>
      <c r="AE206" s="176">
        <f t="shared" ca="1" si="279"/>
        <v>0</v>
      </c>
      <c r="AF206" s="176">
        <f t="shared" ref="AF206:AF215" ca="1" si="293">Y206-AB206</f>
        <v>0</v>
      </c>
      <c r="AG206" s="958">
        <f ca="1">AF206*User_sheet!B$77/100</f>
        <v>0</v>
      </c>
      <c r="AH206" s="313"/>
      <c r="AI206" s="3">
        <v>302</v>
      </c>
      <c r="AK206" s="1018">
        <f t="shared" ref="AK206:AK269" ca="1" si="294">CD206</f>
        <v>343.98754720710804</v>
      </c>
      <c r="AL206" s="924">
        <f ca="1">AK206/'302'!I$24</f>
        <v>0.87684819578666329</v>
      </c>
      <c r="AM206" s="924">
        <f ca="1">0.8*(AK206*30+'302'!D$17*0.34*30*1)</f>
        <v>13321.888132970595</v>
      </c>
      <c r="AN206" s="954">
        <f ca="1">IF(AM206&lt;User_sheet!B$50,Y206,0)</f>
        <v>0</v>
      </c>
      <c r="AO206" s="954">
        <f ca="1">20-(User_sheet!B$57/(AK206+'302'!D$17*1*0.34))</f>
        <v>9.7311853519148617</v>
      </c>
      <c r="AP206" s="954">
        <f ca="1">IF(AO206&lt;User_sheet!B$59,0,BC206*AA206)</f>
        <v>0</v>
      </c>
      <c r="AR206" s="2">
        <v>0.32</v>
      </c>
      <c r="AS206" s="2">
        <v>2.1</v>
      </c>
      <c r="AT206" s="2">
        <v>0.89</v>
      </c>
      <c r="AU206" s="2">
        <v>2</v>
      </c>
      <c r="AV206" s="2">
        <v>3.3</v>
      </c>
      <c r="AW206" s="2">
        <v>14356</v>
      </c>
      <c r="AX206" s="2">
        <v>74715.401027665983</v>
      </c>
      <c r="AY206" s="2">
        <v>79015.992973719694</v>
      </c>
      <c r="AZ206" s="27">
        <v>0</v>
      </c>
      <c r="BA206" s="27">
        <v>0</v>
      </c>
      <c r="BB206" s="2">
        <v>0.6</v>
      </c>
      <c r="BC206" s="30">
        <v>1</v>
      </c>
      <c r="BD206" s="34">
        <v>0</v>
      </c>
      <c r="BE206" s="34">
        <v>0</v>
      </c>
      <c r="BF206" s="40">
        <v>0</v>
      </c>
      <c r="BG206" s="34">
        <v>1</v>
      </c>
      <c r="BH206" s="34">
        <v>0</v>
      </c>
      <c r="BI206" s="40">
        <v>0</v>
      </c>
      <c r="BJ206" s="34">
        <v>0</v>
      </c>
      <c r="BK206" s="34">
        <v>0</v>
      </c>
      <c r="BL206" s="34">
        <v>1</v>
      </c>
      <c r="BM206" s="40">
        <v>0</v>
      </c>
      <c r="BN206" s="958">
        <v>0</v>
      </c>
      <c r="BO206" s="959">
        <v>14.9</v>
      </c>
      <c r="BP206" s="1018">
        <f t="shared" ca="1" si="280"/>
        <v>215.65</v>
      </c>
      <c r="BQ206" s="1018">
        <f t="shared" ca="1" si="281"/>
        <v>486.07500000000005</v>
      </c>
      <c r="BR206" s="1018">
        <f t="shared" ca="1" si="282"/>
        <v>117.8</v>
      </c>
      <c r="BS206" s="1018">
        <f t="shared" ca="1" si="283"/>
        <v>103.97</v>
      </c>
      <c r="BT206" s="1018">
        <f t="shared" ca="1" si="284"/>
        <v>53.9</v>
      </c>
      <c r="BU206" s="1018">
        <f t="shared" ca="1" si="285"/>
        <v>62.730000000000004</v>
      </c>
      <c r="BV206" s="1018">
        <f t="shared" ca="1" si="286"/>
        <v>4.3</v>
      </c>
      <c r="BW206" s="1018">
        <v>0</v>
      </c>
      <c r="BX206" s="1018">
        <f t="shared" ca="1" si="287"/>
        <v>35.715007579585652</v>
      </c>
      <c r="BY206" s="1018">
        <f t="shared" ca="1" si="288"/>
        <v>160.07111436950146</v>
      </c>
      <c r="BZ206" s="1018">
        <f t="shared" ref="BZ206:BZ269" ca="1" si="295">IF(BT206=0,0,1/(1/(BT206*$BY$3)+1/(BT206*AT206)+1/(BT206*$BY$4)))*0.33</f>
        <v>13.714707750952986</v>
      </c>
      <c r="CA206" s="1018">
        <f t="shared" ref="CA206:CA269" ca="1" si="296">IF(BU206=0,0,1/(1/(BU206*$BY$5)+1/(BU206*AU206)+1/(BU206*$BY$6)))</f>
        <v>125.45999994981604</v>
      </c>
      <c r="CB206" s="1018">
        <f t="shared" ca="1" si="289"/>
        <v>9.0267175572519083</v>
      </c>
      <c r="CC206" s="1018">
        <f t="shared" ref="CC206:CC269" si="297">0.67*IF(BW206=0,0,1/(1/(BW206*$BY$3)+1/(BW206*AS206)+1/(BW206*$BY$4)))</f>
        <v>0</v>
      </c>
      <c r="CD206" s="1018">
        <f t="shared" ca="1" si="290"/>
        <v>343.98754720710804</v>
      </c>
      <c r="CE206" s="1018">
        <f t="shared" ref="CE206:CE215" ca="1" si="298">0.34*BO206*(1/25)^0.66*(BR206+BS206+BU206+BV206)</f>
        <v>174.83241983450787</v>
      </c>
      <c r="CF206" s="1018">
        <f t="shared" ref="CF206:CF269" ca="1" si="299">(CD206+CE206)*($BY$7-$BV$5)/1000</f>
        <v>15.564599011248475</v>
      </c>
      <c r="CG206" s="1018">
        <f t="shared" ref="CG206:CG269" ca="1" si="300">$BV$8*(CD206+CE206)*($BY$10-$BV$7)*24/1000</f>
        <v>25914.434769768261</v>
      </c>
    </row>
    <row r="207" spans="3:85" x14ac:dyDescent="0.25">
      <c r="D207" s="1"/>
      <c r="F207" s="1"/>
      <c r="G207" s="3"/>
      <c r="H207" s="6"/>
      <c r="I207" s="3"/>
      <c r="J207" s="6"/>
      <c r="K207" s="8"/>
      <c r="L207" s="6"/>
      <c r="M207" s="1"/>
      <c r="N207" s="1"/>
      <c r="O207" s="1"/>
      <c r="P207" s="1"/>
      <c r="Q207" s="1" t="s">
        <v>16</v>
      </c>
      <c r="R207" s="4"/>
      <c r="S207" s="1"/>
      <c r="T207" s="77"/>
      <c r="U207" s="294"/>
      <c r="X207" s="176">
        <f t="shared" si="291"/>
        <v>0</v>
      </c>
      <c r="Y207" s="34">
        <f>X207/Calculation_sheet!M$67</f>
        <v>0</v>
      </c>
      <c r="Z207" s="176">
        <f ca="1">IF(AN207&gt;0,Y207*Calculation_sheet!C$87,0)</f>
        <v>0</v>
      </c>
      <c r="AA207" s="176">
        <f t="shared" ca="1" si="292"/>
        <v>0</v>
      </c>
      <c r="AB207" s="176">
        <f ca="1">IF(AP207&gt;0,AA207*Calculation_sheet!C$94,0)</f>
        <v>0</v>
      </c>
      <c r="AC207" s="176">
        <f t="shared" ca="1" si="279"/>
        <v>0</v>
      </c>
      <c r="AD207" s="958">
        <f ca="1">AC207*Calculation_sheet!C$99</f>
        <v>0</v>
      </c>
      <c r="AE207" s="176">
        <f t="shared" ca="1" si="279"/>
        <v>0</v>
      </c>
      <c r="AF207" s="176">
        <f t="shared" ca="1" si="293"/>
        <v>0</v>
      </c>
      <c r="AG207" s="958">
        <f ca="1">AF207*User_sheet!B$77/100</f>
        <v>0</v>
      </c>
      <c r="AH207" s="313"/>
      <c r="AI207" s="3">
        <v>302</v>
      </c>
      <c r="AK207" s="1018">
        <f t="shared" ca="1" si="294"/>
        <v>343.98754720710804</v>
      </c>
      <c r="AL207" s="924">
        <f ca="1">AK207/'302'!I$24</f>
        <v>0.87684819578666329</v>
      </c>
      <c r="AM207" s="924">
        <f ca="1">0.8*(AK207*30+'302'!D$17*0.34*30*1)</f>
        <v>13321.888132970595</v>
      </c>
      <c r="AN207" s="954">
        <f ca="1">IF(AM207&lt;User_sheet!B$50,Y207,0)</f>
        <v>0</v>
      </c>
      <c r="AO207" s="954">
        <f ca="1">20-(User_sheet!B$57/(AK207+'302'!D$17*1*0.34))</f>
        <v>9.7311853519148617</v>
      </c>
      <c r="AP207" s="954">
        <f ca="1">IF(AO207&lt;User_sheet!B$59,0,BC207*AA207)</f>
        <v>0</v>
      </c>
      <c r="AR207" s="2">
        <v>0.32</v>
      </c>
      <c r="AS207" s="2">
        <v>2.1</v>
      </c>
      <c r="AT207" s="2">
        <v>0.89</v>
      </c>
      <c r="AU207" s="2">
        <v>2</v>
      </c>
      <c r="AV207" s="2">
        <v>3.3</v>
      </c>
      <c r="AW207" s="2">
        <v>14356</v>
      </c>
      <c r="AX207" s="2">
        <v>74715.401027665983</v>
      </c>
      <c r="AY207" s="2">
        <v>79015.992973719694</v>
      </c>
      <c r="AZ207" s="27">
        <v>0</v>
      </c>
      <c r="BA207" s="27">
        <v>0</v>
      </c>
      <c r="BB207" s="2">
        <v>0.6</v>
      </c>
      <c r="BC207" s="30">
        <v>1</v>
      </c>
      <c r="BD207" s="34">
        <v>0</v>
      </c>
      <c r="BE207" s="34">
        <v>0</v>
      </c>
      <c r="BF207" s="40">
        <v>0</v>
      </c>
      <c r="BG207" s="34">
        <v>0</v>
      </c>
      <c r="BH207" s="34">
        <v>1</v>
      </c>
      <c r="BI207" s="40">
        <v>0</v>
      </c>
      <c r="BJ207" s="34">
        <v>1</v>
      </c>
      <c r="BK207" s="34">
        <v>0</v>
      </c>
      <c r="BL207" s="34">
        <v>0</v>
      </c>
      <c r="BM207" s="40">
        <v>0</v>
      </c>
      <c r="BN207" s="958">
        <v>0</v>
      </c>
      <c r="BO207" s="959">
        <v>14.9</v>
      </c>
      <c r="BP207" s="1018">
        <f t="shared" ca="1" si="280"/>
        <v>215.65</v>
      </c>
      <c r="BQ207" s="1018">
        <f t="shared" ca="1" si="281"/>
        <v>486.07500000000005</v>
      </c>
      <c r="BR207" s="1018">
        <f t="shared" ca="1" si="282"/>
        <v>117.8</v>
      </c>
      <c r="BS207" s="1018">
        <f t="shared" ca="1" si="283"/>
        <v>103.97</v>
      </c>
      <c r="BT207" s="1018">
        <f t="shared" ca="1" si="284"/>
        <v>53.9</v>
      </c>
      <c r="BU207" s="1018">
        <f t="shared" ca="1" si="285"/>
        <v>62.730000000000004</v>
      </c>
      <c r="BV207" s="1018">
        <f t="shared" ca="1" si="286"/>
        <v>4.3</v>
      </c>
      <c r="BW207" s="1018">
        <v>0</v>
      </c>
      <c r="BX207" s="1018">
        <f t="shared" ca="1" si="287"/>
        <v>35.715007579585652</v>
      </c>
      <c r="BY207" s="1018">
        <f t="shared" ca="1" si="288"/>
        <v>160.07111436950146</v>
      </c>
      <c r="BZ207" s="1018">
        <f t="shared" ca="1" si="295"/>
        <v>13.714707750952986</v>
      </c>
      <c r="CA207" s="1018">
        <f t="shared" ca="1" si="296"/>
        <v>125.45999994981604</v>
      </c>
      <c r="CB207" s="1018">
        <f t="shared" ca="1" si="289"/>
        <v>9.0267175572519083</v>
      </c>
      <c r="CC207" s="1018">
        <f t="shared" si="297"/>
        <v>0</v>
      </c>
      <c r="CD207" s="1018">
        <f t="shared" ca="1" si="290"/>
        <v>343.98754720710804</v>
      </c>
      <c r="CE207" s="1018">
        <f t="shared" ca="1" si="298"/>
        <v>174.83241983450787</v>
      </c>
      <c r="CF207" s="1018">
        <f t="shared" ca="1" si="299"/>
        <v>15.564599011248475</v>
      </c>
      <c r="CG207" s="1018">
        <f t="shared" ca="1" si="300"/>
        <v>25914.434769768261</v>
      </c>
    </row>
    <row r="208" spans="3:85" x14ac:dyDescent="0.25">
      <c r="D208" s="1"/>
      <c r="F208" s="1"/>
      <c r="G208" s="3"/>
      <c r="H208" s="6"/>
      <c r="I208" s="3"/>
      <c r="J208" s="6"/>
      <c r="K208" s="8"/>
      <c r="L208" s="6"/>
      <c r="M208" s="1" t="s">
        <v>16</v>
      </c>
      <c r="N208" s="4"/>
      <c r="O208" s="1" t="s">
        <v>19</v>
      </c>
      <c r="P208" s="4"/>
      <c r="Q208" s="1" t="s">
        <v>7</v>
      </c>
      <c r="R208" s="4"/>
      <c r="S208" s="1"/>
      <c r="T208" s="77"/>
      <c r="U208" s="294"/>
      <c r="X208" s="176">
        <f t="shared" si="291"/>
        <v>0</v>
      </c>
      <c r="Y208" s="34">
        <f>X208/Calculation_sheet!M$67</f>
        <v>0</v>
      </c>
      <c r="Z208" s="176">
        <f ca="1">IF(AN208&gt;0,Y208*Calculation_sheet!C$87,0)</f>
        <v>0</v>
      </c>
      <c r="AA208" s="176">
        <f t="shared" ca="1" si="292"/>
        <v>0</v>
      </c>
      <c r="AB208" s="176">
        <f ca="1">IF(AP208&gt;0,AA208*Calculation_sheet!C$94,0)</f>
        <v>0</v>
      </c>
      <c r="AC208" s="176">
        <f t="shared" ca="1" si="279"/>
        <v>0</v>
      </c>
      <c r="AD208" s="958">
        <f ca="1">AC208*Calculation_sheet!C$99</f>
        <v>0</v>
      </c>
      <c r="AE208" s="176">
        <f t="shared" ca="1" si="279"/>
        <v>0</v>
      </c>
      <c r="AF208" s="176">
        <f t="shared" ca="1" si="293"/>
        <v>0</v>
      </c>
      <c r="AG208" s="958">
        <f ca="1">AF208*User_sheet!B$77/100</f>
        <v>0</v>
      </c>
      <c r="AH208" s="313"/>
      <c r="AI208" s="3">
        <v>302</v>
      </c>
      <c r="AK208" s="1018">
        <f t="shared" ca="1" si="294"/>
        <v>343.98754720710804</v>
      </c>
      <c r="AL208" s="924">
        <f ca="1">AK208/'302'!I$24</f>
        <v>0.87684819578666329</v>
      </c>
      <c r="AM208" s="924">
        <f ca="1">0.8*(AK208*30+'302'!D$17*0.34*30*1)</f>
        <v>13321.888132970595</v>
      </c>
      <c r="AN208" s="954">
        <f ca="1">IF(AM208&lt;User_sheet!B$50,Y208,0)</f>
        <v>0</v>
      </c>
      <c r="AO208" s="954">
        <f ca="1">20-(User_sheet!B$57/(AK208+'302'!D$17*1*0.34))</f>
        <v>9.7311853519148617</v>
      </c>
      <c r="AP208" s="954">
        <f ca="1">IF(AO208&lt;User_sheet!B$59,0,BC208*AA208)</f>
        <v>0</v>
      </c>
      <c r="AR208" s="2">
        <v>0.32</v>
      </c>
      <c r="AS208" s="2">
        <v>2.1</v>
      </c>
      <c r="AT208" s="2">
        <v>0.89</v>
      </c>
      <c r="AU208" s="2">
        <v>2</v>
      </c>
      <c r="AV208" s="2">
        <v>3.3</v>
      </c>
      <c r="AW208" s="2">
        <v>14356</v>
      </c>
      <c r="AX208" s="2">
        <v>74715.401027665983</v>
      </c>
      <c r="AY208" s="2">
        <v>79015.992973719694</v>
      </c>
      <c r="AZ208" s="27">
        <v>0</v>
      </c>
      <c r="BA208" s="27">
        <v>0</v>
      </c>
      <c r="BB208" s="2">
        <v>0.6</v>
      </c>
      <c r="BC208" s="30">
        <v>1</v>
      </c>
      <c r="BD208" s="34">
        <v>0</v>
      </c>
      <c r="BE208" s="34">
        <v>0</v>
      </c>
      <c r="BF208" s="40">
        <v>0</v>
      </c>
      <c r="BG208" s="34">
        <v>0</v>
      </c>
      <c r="BH208" s="34">
        <v>1</v>
      </c>
      <c r="BI208" s="40">
        <v>0</v>
      </c>
      <c r="BJ208" s="34">
        <v>0</v>
      </c>
      <c r="BK208" s="34">
        <v>0</v>
      </c>
      <c r="BL208" s="34">
        <v>1</v>
      </c>
      <c r="BM208" s="40">
        <v>0</v>
      </c>
      <c r="BN208" s="958">
        <v>0</v>
      </c>
      <c r="BO208" s="959">
        <v>14.9</v>
      </c>
      <c r="BP208" s="1018">
        <f t="shared" ca="1" si="280"/>
        <v>215.65</v>
      </c>
      <c r="BQ208" s="1018">
        <f t="shared" ca="1" si="281"/>
        <v>486.07500000000005</v>
      </c>
      <c r="BR208" s="1018">
        <f t="shared" ca="1" si="282"/>
        <v>117.8</v>
      </c>
      <c r="BS208" s="1018">
        <f t="shared" ca="1" si="283"/>
        <v>103.97</v>
      </c>
      <c r="BT208" s="1018">
        <f t="shared" ca="1" si="284"/>
        <v>53.9</v>
      </c>
      <c r="BU208" s="1018">
        <f t="shared" ca="1" si="285"/>
        <v>62.730000000000004</v>
      </c>
      <c r="BV208" s="1018">
        <f t="shared" ca="1" si="286"/>
        <v>4.3</v>
      </c>
      <c r="BW208" s="1018">
        <v>0</v>
      </c>
      <c r="BX208" s="1018">
        <f t="shared" ca="1" si="287"/>
        <v>35.715007579585652</v>
      </c>
      <c r="BY208" s="1018">
        <f t="shared" ca="1" si="288"/>
        <v>160.07111436950146</v>
      </c>
      <c r="BZ208" s="1018">
        <f t="shared" ca="1" si="295"/>
        <v>13.714707750952986</v>
      </c>
      <c r="CA208" s="1018">
        <f t="shared" ca="1" si="296"/>
        <v>125.45999994981604</v>
      </c>
      <c r="CB208" s="1018">
        <f t="shared" ca="1" si="289"/>
        <v>9.0267175572519083</v>
      </c>
      <c r="CC208" s="1018">
        <f t="shared" si="297"/>
        <v>0</v>
      </c>
      <c r="CD208" s="1018">
        <f t="shared" ca="1" si="290"/>
        <v>343.98754720710804</v>
      </c>
      <c r="CE208" s="1018">
        <f t="shared" ca="1" si="298"/>
        <v>174.83241983450787</v>
      </c>
      <c r="CF208" s="1018">
        <f t="shared" ca="1" si="299"/>
        <v>15.564599011248475</v>
      </c>
      <c r="CG208" s="1018">
        <f t="shared" ca="1" si="300"/>
        <v>25914.434769768261</v>
      </c>
    </row>
    <row r="209" spans="3:85" x14ac:dyDescent="0.25">
      <c r="D209" s="1"/>
      <c r="F209" s="1"/>
      <c r="G209" s="3"/>
      <c r="H209" s="6"/>
      <c r="I209" s="3"/>
      <c r="J209" s="6"/>
      <c r="K209" s="8"/>
      <c r="L209" s="6"/>
      <c r="M209" s="1"/>
      <c r="N209" s="1"/>
      <c r="O209" s="1"/>
      <c r="P209" s="1"/>
      <c r="Q209" s="1" t="s">
        <v>22</v>
      </c>
      <c r="R209" s="4"/>
      <c r="S209" s="1"/>
      <c r="T209" s="77"/>
      <c r="U209" s="294"/>
      <c r="X209" s="176">
        <f t="shared" si="291"/>
        <v>0</v>
      </c>
      <c r="Y209" s="34">
        <f>X209/Calculation_sheet!M$67</f>
        <v>0</v>
      </c>
      <c r="Z209" s="176">
        <f ca="1">IF(AN209&gt;0,Y209*Calculation_sheet!C$87,0)</f>
        <v>0</v>
      </c>
      <c r="AA209" s="176">
        <f t="shared" ca="1" si="292"/>
        <v>0</v>
      </c>
      <c r="AB209" s="176">
        <f ca="1">IF(AP209&gt;0,AA209*Calculation_sheet!C$94,0)</f>
        <v>0</v>
      </c>
      <c r="AC209" s="176">
        <f t="shared" ca="1" si="279"/>
        <v>0</v>
      </c>
      <c r="AD209" s="958">
        <f ca="1">AC209*Calculation_sheet!C$99</f>
        <v>0</v>
      </c>
      <c r="AE209" s="176">
        <f t="shared" ca="1" si="279"/>
        <v>0</v>
      </c>
      <c r="AF209" s="176">
        <f t="shared" ca="1" si="293"/>
        <v>0</v>
      </c>
      <c r="AG209" s="958">
        <f ca="1">AF209*User_sheet!B$77/100</f>
        <v>0</v>
      </c>
      <c r="AH209" s="313"/>
      <c r="AI209" s="3">
        <v>302</v>
      </c>
      <c r="AK209" s="1018">
        <f t="shared" ca="1" si="294"/>
        <v>343.98754720710804</v>
      </c>
      <c r="AL209" s="924">
        <f ca="1">AK209/'302'!I$24</f>
        <v>0.87684819578666329</v>
      </c>
      <c r="AM209" s="924">
        <f ca="1">0.8*(AK209*30+'302'!D$17*0.34*30*1)</f>
        <v>13321.888132970595</v>
      </c>
      <c r="AN209" s="954">
        <f ca="1">IF(AM209&lt;User_sheet!B$50,Y209,0)</f>
        <v>0</v>
      </c>
      <c r="AO209" s="954">
        <f ca="1">20-(User_sheet!B$57/(AK209+'302'!D$17*1*0.34))</f>
        <v>9.7311853519148617</v>
      </c>
      <c r="AP209" s="954">
        <f ca="1">IF(AO209&lt;User_sheet!B$59,0,BC209*AA209)</f>
        <v>0</v>
      </c>
      <c r="AR209" s="2">
        <v>0.32</v>
      </c>
      <c r="AS209" s="2">
        <v>2.1</v>
      </c>
      <c r="AT209" s="2">
        <v>0.89</v>
      </c>
      <c r="AU209" s="2">
        <v>2</v>
      </c>
      <c r="AV209" s="2">
        <v>3.3</v>
      </c>
      <c r="AW209" s="2">
        <v>14356</v>
      </c>
      <c r="AX209" s="2">
        <v>74715.401027665983</v>
      </c>
      <c r="AY209" s="2">
        <v>79015.992973719694</v>
      </c>
      <c r="AZ209" s="27">
        <v>0</v>
      </c>
      <c r="BA209" s="27">
        <v>0</v>
      </c>
      <c r="BB209" s="2">
        <v>0.6</v>
      </c>
      <c r="BC209" s="30">
        <v>0</v>
      </c>
      <c r="BD209" s="34">
        <v>1</v>
      </c>
      <c r="BE209" s="34">
        <v>0</v>
      </c>
      <c r="BF209" s="40">
        <v>0</v>
      </c>
      <c r="BG209" s="34">
        <v>1</v>
      </c>
      <c r="BH209" s="34">
        <v>0</v>
      </c>
      <c r="BI209" s="40">
        <v>0</v>
      </c>
      <c r="BJ209" s="34">
        <v>0</v>
      </c>
      <c r="BK209" s="34">
        <v>1</v>
      </c>
      <c r="BL209" s="34">
        <v>0</v>
      </c>
      <c r="BM209" s="40">
        <v>0</v>
      </c>
      <c r="BN209" s="958">
        <v>0</v>
      </c>
      <c r="BO209" s="959">
        <v>14.9</v>
      </c>
      <c r="BP209" s="1018">
        <f t="shared" ca="1" si="280"/>
        <v>215.65</v>
      </c>
      <c r="BQ209" s="1018">
        <f t="shared" ca="1" si="281"/>
        <v>486.07500000000005</v>
      </c>
      <c r="BR209" s="1018">
        <f t="shared" ca="1" si="282"/>
        <v>117.8</v>
      </c>
      <c r="BS209" s="1018">
        <f t="shared" ca="1" si="283"/>
        <v>103.97</v>
      </c>
      <c r="BT209" s="1018">
        <f t="shared" ca="1" si="284"/>
        <v>53.9</v>
      </c>
      <c r="BU209" s="1018">
        <f t="shared" ca="1" si="285"/>
        <v>62.730000000000004</v>
      </c>
      <c r="BV209" s="1018">
        <f t="shared" ca="1" si="286"/>
        <v>4.3</v>
      </c>
      <c r="BW209" s="1018">
        <v>0</v>
      </c>
      <c r="BX209" s="1018">
        <f t="shared" ca="1" si="287"/>
        <v>35.715007579585652</v>
      </c>
      <c r="BY209" s="1018">
        <f t="shared" ca="1" si="288"/>
        <v>160.07111436950146</v>
      </c>
      <c r="BZ209" s="1018">
        <f t="shared" ca="1" si="295"/>
        <v>13.714707750952986</v>
      </c>
      <c r="CA209" s="1018">
        <f t="shared" ca="1" si="296"/>
        <v>125.45999994981604</v>
      </c>
      <c r="CB209" s="1018">
        <f t="shared" ca="1" si="289"/>
        <v>9.0267175572519083</v>
      </c>
      <c r="CC209" s="1018">
        <f t="shared" si="297"/>
        <v>0</v>
      </c>
      <c r="CD209" s="1018">
        <f t="shared" ca="1" si="290"/>
        <v>343.98754720710804</v>
      </c>
      <c r="CE209" s="1018">
        <f t="shared" ca="1" si="298"/>
        <v>174.83241983450787</v>
      </c>
      <c r="CF209" s="1018">
        <f t="shared" ca="1" si="299"/>
        <v>15.564599011248475</v>
      </c>
      <c r="CG209" s="1018">
        <f t="shared" ca="1" si="300"/>
        <v>25914.434769768261</v>
      </c>
    </row>
    <row r="210" spans="3:85" x14ac:dyDescent="0.25">
      <c r="D210" s="1"/>
      <c r="F210" s="1"/>
      <c r="G210" s="3"/>
      <c r="H210" s="6"/>
      <c r="I210" s="3"/>
      <c r="J210" s="3" t="s">
        <v>144</v>
      </c>
      <c r="K210" s="8"/>
      <c r="L210" s="6"/>
      <c r="M210" s="1"/>
      <c r="N210" s="1"/>
      <c r="O210" s="1" t="s">
        <v>18</v>
      </c>
      <c r="P210" s="4"/>
      <c r="Q210" s="1" t="s">
        <v>7</v>
      </c>
      <c r="R210" s="4"/>
      <c r="S210" s="1"/>
      <c r="T210" s="77"/>
      <c r="U210" s="294"/>
      <c r="X210" s="176">
        <f t="shared" si="291"/>
        <v>0</v>
      </c>
      <c r="Y210" s="34">
        <f>X210/Calculation_sheet!M$67</f>
        <v>0</v>
      </c>
      <c r="Z210" s="176">
        <f ca="1">IF(AN210&gt;0,Y210*Calculation_sheet!C$87,0)</f>
        <v>0</v>
      </c>
      <c r="AA210" s="176">
        <f t="shared" ca="1" si="292"/>
        <v>0</v>
      </c>
      <c r="AB210" s="176">
        <f ca="1">IF(AP210&gt;0,AA210*Calculation_sheet!C$94,0)</f>
        <v>0</v>
      </c>
      <c r="AC210" s="176">
        <f t="shared" ca="1" si="279"/>
        <v>0</v>
      </c>
      <c r="AD210" s="958">
        <f ca="1">AC210*Calculation_sheet!C$99</f>
        <v>0</v>
      </c>
      <c r="AE210" s="176">
        <f t="shared" ca="1" si="279"/>
        <v>0</v>
      </c>
      <c r="AF210" s="176">
        <f t="shared" ca="1" si="293"/>
        <v>0</v>
      </c>
      <c r="AG210" s="958">
        <f ca="1">AF210*User_sheet!B$77/100</f>
        <v>0</v>
      </c>
      <c r="AH210" s="313"/>
      <c r="AI210" s="3">
        <v>302</v>
      </c>
      <c r="AK210" s="1018">
        <f t="shared" ca="1" si="294"/>
        <v>343.98754720710804</v>
      </c>
      <c r="AL210" s="924">
        <f ca="1">AK210/'302'!I$24</f>
        <v>0.87684819578666329</v>
      </c>
      <c r="AM210" s="924">
        <f ca="1">0.8*(AK210*30+'302'!D$17*0.34*30*1)</f>
        <v>13321.888132970595</v>
      </c>
      <c r="AN210" s="954">
        <f ca="1">IF(AM210&lt;User_sheet!B$50,Y210,0)</f>
        <v>0</v>
      </c>
      <c r="AO210" s="954">
        <f ca="1">20-(User_sheet!B$57/(AK210+'302'!D$17*1*0.34))</f>
        <v>9.7311853519148617</v>
      </c>
      <c r="AP210" s="954">
        <f ca="1">IF(AO210&lt;User_sheet!B$59,0,BC210*AA210)</f>
        <v>0</v>
      </c>
      <c r="AR210" s="2">
        <v>0.32</v>
      </c>
      <c r="AS210" s="2">
        <v>2.1</v>
      </c>
      <c r="AT210" s="2">
        <v>0.89</v>
      </c>
      <c r="AU210" s="2">
        <v>2</v>
      </c>
      <c r="AV210" s="2">
        <v>3.3</v>
      </c>
      <c r="AW210" s="2">
        <v>14356</v>
      </c>
      <c r="AX210" s="2">
        <v>74715.401027665983</v>
      </c>
      <c r="AY210" s="2">
        <v>79015.992973719694</v>
      </c>
      <c r="AZ210" s="27">
        <v>0</v>
      </c>
      <c r="BA210" s="27">
        <v>0</v>
      </c>
      <c r="BB210" s="2">
        <v>0.6</v>
      </c>
      <c r="BC210" s="30">
        <v>0</v>
      </c>
      <c r="BD210" s="34">
        <v>1</v>
      </c>
      <c r="BE210" s="34">
        <v>0</v>
      </c>
      <c r="BF210" s="40">
        <v>0</v>
      </c>
      <c r="BG210" s="34">
        <v>1</v>
      </c>
      <c r="BH210" s="34">
        <v>0</v>
      </c>
      <c r="BI210" s="40">
        <v>0</v>
      </c>
      <c r="BJ210" s="34">
        <v>0</v>
      </c>
      <c r="BK210" s="34">
        <v>0</v>
      </c>
      <c r="BL210" s="34">
        <v>1</v>
      </c>
      <c r="BM210" s="40">
        <v>0</v>
      </c>
      <c r="BN210" s="958">
        <v>0</v>
      </c>
      <c r="BO210" s="959">
        <v>14.9</v>
      </c>
      <c r="BP210" s="1018">
        <f t="shared" ca="1" si="280"/>
        <v>215.65</v>
      </c>
      <c r="BQ210" s="1018">
        <f t="shared" ca="1" si="281"/>
        <v>486.07500000000005</v>
      </c>
      <c r="BR210" s="1018">
        <f t="shared" ca="1" si="282"/>
        <v>117.8</v>
      </c>
      <c r="BS210" s="1018">
        <f t="shared" ca="1" si="283"/>
        <v>103.97</v>
      </c>
      <c r="BT210" s="1018">
        <f t="shared" ca="1" si="284"/>
        <v>53.9</v>
      </c>
      <c r="BU210" s="1018">
        <f t="shared" ca="1" si="285"/>
        <v>62.730000000000004</v>
      </c>
      <c r="BV210" s="1018">
        <f t="shared" ca="1" si="286"/>
        <v>4.3</v>
      </c>
      <c r="BW210" s="1018">
        <v>0</v>
      </c>
      <c r="BX210" s="1018">
        <f t="shared" ca="1" si="287"/>
        <v>35.715007579585652</v>
      </c>
      <c r="BY210" s="1018">
        <f t="shared" ca="1" si="288"/>
        <v>160.07111436950146</v>
      </c>
      <c r="BZ210" s="1018">
        <f t="shared" ca="1" si="295"/>
        <v>13.714707750952986</v>
      </c>
      <c r="CA210" s="1018">
        <f t="shared" ca="1" si="296"/>
        <v>125.45999994981604</v>
      </c>
      <c r="CB210" s="1018">
        <f t="shared" ca="1" si="289"/>
        <v>9.0267175572519083</v>
      </c>
      <c r="CC210" s="1018">
        <f t="shared" si="297"/>
        <v>0</v>
      </c>
      <c r="CD210" s="1018">
        <f t="shared" ca="1" si="290"/>
        <v>343.98754720710804</v>
      </c>
      <c r="CE210" s="1018">
        <f t="shared" ca="1" si="298"/>
        <v>174.83241983450787</v>
      </c>
      <c r="CF210" s="1018">
        <f t="shared" ca="1" si="299"/>
        <v>15.564599011248475</v>
      </c>
      <c r="CG210" s="1018">
        <f t="shared" ca="1" si="300"/>
        <v>25914.434769768261</v>
      </c>
    </row>
    <row r="211" spans="3:85" x14ac:dyDescent="0.25">
      <c r="D211" s="1"/>
      <c r="F211" s="1"/>
      <c r="G211" s="3"/>
      <c r="H211" s="6"/>
      <c r="I211" s="3"/>
      <c r="J211" s="6" t="s">
        <v>190</v>
      </c>
      <c r="K211" s="8"/>
      <c r="L211" s="6"/>
      <c r="M211" s="1"/>
      <c r="N211" s="1"/>
      <c r="O211" s="1"/>
      <c r="P211" s="1"/>
      <c r="Q211" s="1" t="s">
        <v>22</v>
      </c>
      <c r="R211" s="4"/>
      <c r="S211" s="1"/>
      <c r="T211" s="77"/>
      <c r="U211" s="294"/>
      <c r="X211" s="176">
        <f t="shared" si="291"/>
        <v>0</v>
      </c>
      <c r="Y211" s="34">
        <f>X211/Calculation_sheet!M$67</f>
        <v>0</v>
      </c>
      <c r="Z211" s="176">
        <f ca="1">IF(AN211&gt;0,Y211*Calculation_sheet!C$87,0)</f>
        <v>0</v>
      </c>
      <c r="AA211" s="176">
        <f t="shared" ca="1" si="292"/>
        <v>0</v>
      </c>
      <c r="AB211" s="176">
        <f ca="1">IF(AP211&gt;0,AA211*Calculation_sheet!C$94,0)</f>
        <v>0</v>
      </c>
      <c r="AC211" s="176">
        <f t="shared" ca="1" si="279"/>
        <v>0</v>
      </c>
      <c r="AD211" s="958">
        <f ca="1">AC211*Calculation_sheet!C$99</f>
        <v>0</v>
      </c>
      <c r="AE211" s="176">
        <f t="shared" ca="1" si="279"/>
        <v>0</v>
      </c>
      <c r="AF211" s="176">
        <f t="shared" ca="1" si="293"/>
        <v>0</v>
      </c>
      <c r="AG211" s="958">
        <f ca="1">AF211*User_sheet!B$77/100</f>
        <v>0</v>
      </c>
      <c r="AH211" s="313"/>
      <c r="AI211" s="3">
        <v>302</v>
      </c>
      <c r="AK211" s="1018">
        <f t="shared" ca="1" si="294"/>
        <v>343.98754720710804</v>
      </c>
      <c r="AL211" s="924">
        <f ca="1">AK211/'302'!I$24</f>
        <v>0.87684819578666329</v>
      </c>
      <c r="AM211" s="924">
        <f ca="1">0.8*(AK211*30+'302'!D$17*0.34*30*1)</f>
        <v>13321.888132970595</v>
      </c>
      <c r="AN211" s="954">
        <f ca="1">IF(AM211&lt;User_sheet!B$50,Y211,0)</f>
        <v>0</v>
      </c>
      <c r="AO211" s="954">
        <f ca="1">20-(User_sheet!B$57/(AK211+'302'!D$17*1*0.34))</f>
        <v>9.7311853519148617</v>
      </c>
      <c r="AP211" s="954">
        <f ca="1">IF(AO211&lt;User_sheet!B$59,0,BC211*AA211)</f>
        <v>0</v>
      </c>
      <c r="AR211" s="2">
        <v>0.32</v>
      </c>
      <c r="AS211" s="2">
        <v>2.1</v>
      </c>
      <c r="AT211" s="2">
        <v>0.89</v>
      </c>
      <c r="AU211" s="2">
        <v>2</v>
      </c>
      <c r="AV211" s="2">
        <v>3.3</v>
      </c>
      <c r="AW211" s="2">
        <v>14356</v>
      </c>
      <c r="AX211" s="2">
        <v>74715.401027665983</v>
      </c>
      <c r="AY211" s="2">
        <v>79015.992973719694</v>
      </c>
      <c r="AZ211" s="27">
        <v>0</v>
      </c>
      <c r="BA211" s="27">
        <v>0</v>
      </c>
      <c r="BB211" s="2">
        <v>0.6</v>
      </c>
      <c r="BC211" s="30">
        <v>0</v>
      </c>
      <c r="BD211" s="34">
        <v>1</v>
      </c>
      <c r="BE211" s="34">
        <v>0</v>
      </c>
      <c r="BF211" s="40">
        <v>0</v>
      </c>
      <c r="BG211" s="34">
        <v>0</v>
      </c>
      <c r="BH211" s="34">
        <v>1</v>
      </c>
      <c r="BI211" s="40">
        <v>0</v>
      </c>
      <c r="BJ211" s="34">
        <v>0</v>
      </c>
      <c r="BK211" s="34">
        <v>1</v>
      </c>
      <c r="BL211" s="34">
        <v>0</v>
      </c>
      <c r="BM211" s="40">
        <v>0</v>
      </c>
      <c r="BN211" s="958">
        <v>0</v>
      </c>
      <c r="BO211" s="959">
        <v>14.9</v>
      </c>
      <c r="BP211" s="1018">
        <f t="shared" ca="1" si="280"/>
        <v>215.65</v>
      </c>
      <c r="BQ211" s="1018">
        <f t="shared" ca="1" si="281"/>
        <v>486.07500000000005</v>
      </c>
      <c r="BR211" s="1018">
        <f t="shared" ca="1" si="282"/>
        <v>117.8</v>
      </c>
      <c r="BS211" s="1018">
        <f t="shared" ca="1" si="283"/>
        <v>103.97</v>
      </c>
      <c r="BT211" s="1018">
        <f t="shared" ca="1" si="284"/>
        <v>53.9</v>
      </c>
      <c r="BU211" s="1018">
        <f t="shared" ca="1" si="285"/>
        <v>62.730000000000004</v>
      </c>
      <c r="BV211" s="1018">
        <f t="shared" ca="1" si="286"/>
        <v>4.3</v>
      </c>
      <c r="BW211" s="1018">
        <v>0</v>
      </c>
      <c r="BX211" s="1018">
        <f t="shared" ca="1" si="287"/>
        <v>35.715007579585652</v>
      </c>
      <c r="BY211" s="1018">
        <f t="shared" ca="1" si="288"/>
        <v>160.07111436950146</v>
      </c>
      <c r="BZ211" s="1018">
        <f t="shared" ca="1" si="295"/>
        <v>13.714707750952986</v>
      </c>
      <c r="CA211" s="1018">
        <f t="shared" ca="1" si="296"/>
        <v>125.45999994981604</v>
      </c>
      <c r="CB211" s="1018">
        <f t="shared" ca="1" si="289"/>
        <v>9.0267175572519083</v>
      </c>
      <c r="CC211" s="1018">
        <f t="shared" si="297"/>
        <v>0</v>
      </c>
      <c r="CD211" s="1018">
        <f t="shared" ca="1" si="290"/>
        <v>343.98754720710804</v>
      </c>
      <c r="CE211" s="1018">
        <f t="shared" ca="1" si="298"/>
        <v>174.83241983450787</v>
      </c>
      <c r="CF211" s="1018">
        <f t="shared" ca="1" si="299"/>
        <v>15.564599011248475</v>
      </c>
      <c r="CG211" s="1018">
        <f t="shared" ca="1" si="300"/>
        <v>25914.434769768261</v>
      </c>
    </row>
    <row r="212" spans="3:85" x14ac:dyDescent="0.25">
      <c r="D212" s="1"/>
      <c r="F212" s="1"/>
      <c r="G212" s="3"/>
      <c r="H212" s="6"/>
      <c r="I212" s="3"/>
      <c r="J212" s="6"/>
      <c r="K212" s="8"/>
      <c r="L212" s="6"/>
      <c r="M212" s="1" t="s">
        <v>22</v>
      </c>
      <c r="N212" s="4"/>
      <c r="O212" s="1" t="s">
        <v>20</v>
      </c>
      <c r="P212" s="4"/>
      <c r="Q212" s="1" t="s">
        <v>7</v>
      </c>
      <c r="R212" s="4"/>
      <c r="S212" s="1"/>
      <c r="T212" s="77"/>
      <c r="U212" s="294"/>
      <c r="X212" s="176">
        <f t="shared" si="291"/>
        <v>0</v>
      </c>
      <c r="Y212" s="34">
        <f>X212/Calculation_sheet!M$67</f>
        <v>0</v>
      </c>
      <c r="Z212" s="176">
        <f ca="1">IF(AN212&gt;0,Y212*Calculation_sheet!C$87,0)</f>
        <v>0</v>
      </c>
      <c r="AA212" s="176">
        <f t="shared" ca="1" si="292"/>
        <v>0</v>
      </c>
      <c r="AB212" s="176">
        <f ca="1">IF(AP212&gt;0,AA212*Calculation_sheet!C$94,0)</f>
        <v>0</v>
      </c>
      <c r="AC212" s="176">
        <f t="shared" ca="1" si="279"/>
        <v>0</v>
      </c>
      <c r="AD212" s="958">
        <f ca="1">AC212*Calculation_sheet!C$99</f>
        <v>0</v>
      </c>
      <c r="AE212" s="176">
        <f t="shared" ca="1" si="279"/>
        <v>0</v>
      </c>
      <c r="AF212" s="176">
        <f t="shared" ca="1" si="293"/>
        <v>0</v>
      </c>
      <c r="AG212" s="958">
        <f ca="1">AF212*User_sheet!B$77/100</f>
        <v>0</v>
      </c>
      <c r="AH212" s="313"/>
      <c r="AI212" s="3">
        <v>302</v>
      </c>
      <c r="AK212" s="1018">
        <f t="shared" ca="1" si="294"/>
        <v>343.98754720710804</v>
      </c>
      <c r="AL212" s="924">
        <f ca="1">AK212/'302'!I$24</f>
        <v>0.87684819578666329</v>
      </c>
      <c r="AM212" s="924">
        <f ca="1">0.8*(AK212*30+'302'!D$17*0.34*30*1)</f>
        <v>13321.888132970595</v>
      </c>
      <c r="AN212" s="954">
        <f ca="1">IF(AM212&lt;User_sheet!B$50,Y212,0)</f>
        <v>0</v>
      </c>
      <c r="AO212" s="954">
        <f ca="1">20-(User_sheet!B$57/(AK212+'302'!D$17*1*0.34))</f>
        <v>9.7311853519148617</v>
      </c>
      <c r="AP212" s="954">
        <f ca="1">IF(AO212&lt;User_sheet!B$59,0,BC212*AA212)</f>
        <v>0</v>
      </c>
      <c r="AR212" s="2">
        <v>0.32</v>
      </c>
      <c r="AS212" s="2">
        <v>2.1</v>
      </c>
      <c r="AT212" s="2">
        <v>0.89</v>
      </c>
      <c r="AU212" s="2">
        <v>2</v>
      </c>
      <c r="AV212" s="2">
        <v>3.3</v>
      </c>
      <c r="AW212" s="2">
        <v>14356</v>
      </c>
      <c r="AX212" s="2">
        <v>74715.401027665983</v>
      </c>
      <c r="AY212" s="2">
        <v>79015.992973719694</v>
      </c>
      <c r="AZ212" s="27">
        <v>0</v>
      </c>
      <c r="BA212" s="27">
        <v>0</v>
      </c>
      <c r="BB212" s="2">
        <v>0.6</v>
      </c>
      <c r="BC212" s="30">
        <v>0</v>
      </c>
      <c r="BD212" s="34">
        <v>1</v>
      </c>
      <c r="BE212" s="34">
        <v>0</v>
      </c>
      <c r="BF212" s="40">
        <v>0</v>
      </c>
      <c r="BG212" s="34">
        <v>0</v>
      </c>
      <c r="BH212" s="34">
        <v>1</v>
      </c>
      <c r="BI212" s="40">
        <v>0</v>
      </c>
      <c r="BJ212" s="34">
        <v>0</v>
      </c>
      <c r="BK212" s="34">
        <v>0</v>
      </c>
      <c r="BL212" s="34">
        <v>1</v>
      </c>
      <c r="BM212" s="40">
        <v>0</v>
      </c>
      <c r="BN212" s="958">
        <v>0</v>
      </c>
      <c r="BO212" s="959">
        <v>14.9</v>
      </c>
      <c r="BP212" s="1018">
        <f t="shared" ca="1" si="280"/>
        <v>215.65</v>
      </c>
      <c r="BQ212" s="1018">
        <f t="shared" ca="1" si="281"/>
        <v>486.07500000000005</v>
      </c>
      <c r="BR212" s="1018">
        <f t="shared" ca="1" si="282"/>
        <v>117.8</v>
      </c>
      <c r="BS212" s="1018">
        <f t="shared" ca="1" si="283"/>
        <v>103.97</v>
      </c>
      <c r="BT212" s="1018">
        <f t="shared" ca="1" si="284"/>
        <v>53.9</v>
      </c>
      <c r="BU212" s="1018">
        <f t="shared" ca="1" si="285"/>
        <v>62.730000000000004</v>
      </c>
      <c r="BV212" s="1018">
        <f t="shared" ca="1" si="286"/>
        <v>4.3</v>
      </c>
      <c r="BW212" s="1018">
        <v>0</v>
      </c>
      <c r="BX212" s="1018">
        <f t="shared" ca="1" si="287"/>
        <v>35.715007579585652</v>
      </c>
      <c r="BY212" s="1018">
        <f t="shared" ca="1" si="288"/>
        <v>160.07111436950146</v>
      </c>
      <c r="BZ212" s="1018">
        <f t="shared" ca="1" si="295"/>
        <v>13.714707750952986</v>
      </c>
      <c r="CA212" s="1018">
        <f t="shared" ca="1" si="296"/>
        <v>125.45999994981604</v>
      </c>
      <c r="CB212" s="1018">
        <f t="shared" ca="1" si="289"/>
        <v>9.0267175572519083</v>
      </c>
      <c r="CC212" s="1018">
        <f t="shared" si="297"/>
        <v>0</v>
      </c>
      <c r="CD212" s="1018">
        <f t="shared" ca="1" si="290"/>
        <v>343.98754720710804</v>
      </c>
      <c r="CE212" s="1018">
        <f t="shared" ca="1" si="298"/>
        <v>174.83241983450787</v>
      </c>
      <c r="CF212" s="1018">
        <f t="shared" ca="1" si="299"/>
        <v>15.564599011248475</v>
      </c>
      <c r="CG212" s="1018">
        <f t="shared" ca="1" si="300"/>
        <v>25914.434769768261</v>
      </c>
    </row>
    <row r="213" spans="3:85" x14ac:dyDescent="0.25">
      <c r="D213" s="1"/>
      <c r="F213" s="1"/>
      <c r="G213" s="3"/>
      <c r="H213" s="6"/>
      <c r="I213" s="3"/>
      <c r="J213" s="6"/>
      <c r="K213" s="8"/>
      <c r="L213" s="6"/>
      <c r="M213" s="1" t="s">
        <v>7</v>
      </c>
      <c r="N213" s="4"/>
      <c r="O213" s="1" t="s">
        <v>23</v>
      </c>
      <c r="P213" s="4"/>
      <c r="Q213" s="1" t="s">
        <v>7</v>
      </c>
      <c r="R213" s="4"/>
      <c r="S213" s="1"/>
      <c r="T213" s="77"/>
      <c r="U213" s="294"/>
      <c r="X213" s="176">
        <f t="shared" si="291"/>
        <v>0</v>
      </c>
      <c r="Y213" s="34">
        <f>X213/Calculation_sheet!M$67</f>
        <v>0</v>
      </c>
      <c r="Z213" s="176">
        <f ca="1">IF(AN213&gt;0,Y213*Calculation_sheet!C$87,0)</f>
        <v>0</v>
      </c>
      <c r="AA213" s="176">
        <f t="shared" ca="1" si="292"/>
        <v>0</v>
      </c>
      <c r="AB213" s="176">
        <f ca="1">IF(AP213&gt;0,AA213*Calculation_sheet!C$94,0)</f>
        <v>0</v>
      </c>
      <c r="AC213" s="176">
        <f t="shared" ca="1" si="279"/>
        <v>0</v>
      </c>
      <c r="AD213" s="958">
        <f ca="1">AC213*Calculation_sheet!C$99</f>
        <v>0</v>
      </c>
      <c r="AE213" s="176">
        <f t="shared" ca="1" si="279"/>
        <v>0</v>
      </c>
      <c r="AF213" s="176">
        <f t="shared" ca="1" si="293"/>
        <v>0</v>
      </c>
      <c r="AG213" s="958">
        <f ca="1">AF213*User_sheet!B$77/100</f>
        <v>0</v>
      </c>
      <c r="AH213" s="313"/>
      <c r="AI213" s="3">
        <v>302</v>
      </c>
      <c r="AK213" s="1018">
        <f t="shared" ca="1" si="294"/>
        <v>343.98754720710804</v>
      </c>
      <c r="AL213" s="924">
        <f ca="1">AK213/'302'!I$24</f>
        <v>0.87684819578666329</v>
      </c>
      <c r="AM213" s="924">
        <f ca="1">0.8*(AK213*30+'302'!D$17*0.34*30*1)</f>
        <v>13321.888132970595</v>
      </c>
      <c r="AN213" s="954">
        <f ca="1">IF(AM213&lt;User_sheet!B$50,Y213,0)</f>
        <v>0</v>
      </c>
      <c r="AO213" s="954">
        <f ca="1">20-(User_sheet!B$57/(AK213+'302'!D$17*1*0.34))</f>
        <v>9.7311853519148617</v>
      </c>
      <c r="AP213" s="954">
        <f ca="1">IF(AO213&lt;User_sheet!B$59,0,BC213*AA213)</f>
        <v>0</v>
      </c>
      <c r="AR213" s="2">
        <v>0.32</v>
      </c>
      <c r="AS213" s="2">
        <v>2.1</v>
      </c>
      <c r="AT213" s="2">
        <v>0.89</v>
      </c>
      <c r="AU213" s="2">
        <v>2</v>
      </c>
      <c r="AV213" s="2">
        <v>3.3</v>
      </c>
      <c r="AW213" s="2">
        <v>14356</v>
      </c>
      <c r="AX213" s="2">
        <v>74715.401027665983</v>
      </c>
      <c r="AY213" s="2">
        <v>79015.992973719694</v>
      </c>
      <c r="AZ213" s="27">
        <v>0</v>
      </c>
      <c r="BA213" s="27">
        <v>0</v>
      </c>
      <c r="BB213" s="2">
        <v>0.6</v>
      </c>
      <c r="BC213" s="30">
        <v>0</v>
      </c>
      <c r="BD213" s="34">
        <v>0</v>
      </c>
      <c r="BE213" s="34">
        <v>1</v>
      </c>
      <c r="BF213" s="40">
        <v>0</v>
      </c>
      <c r="BG213" s="34">
        <v>0</v>
      </c>
      <c r="BH213" s="34">
        <v>0</v>
      </c>
      <c r="BI213" s="40">
        <v>1</v>
      </c>
      <c r="BJ213" s="34">
        <v>0</v>
      </c>
      <c r="BK213" s="34">
        <v>0</v>
      </c>
      <c r="BL213" s="34">
        <v>1</v>
      </c>
      <c r="BM213" s="40">
        <v>0</v>
      </c>
      <c r="BN213" s="958">
        <v>0</v>
      </c>
      <c r="BO213" s="959">
        <v>14.9</v>
      </c>
      <c r="BP213" s="1018">
        <f t="shared" ca="1" si="280"/>
        <v>215.65</v>
      </c>
      <c r="BQ213" s="1018">
        <f t="shared" ca="1" si="281"/>
        <v>486.07500000000005</v>
      </c>
      <c r="BR213" s="1018">
        <f t="shared" ca="1" si="282"/>
        <v>117.8</v>
      </c>
      <c r="BS213" s="1018">
        <f t="shared" ca="1" si="283"/>
        <v>103.97</v>
      </c>
      <c r="BT213" s="1018">
        <f t="shared" ca="1" si="284"/>
        <v>53.9</v>
      </c>
      <c r="BU213" s="1018">
        <f t="shared" ca="1" si="285"/>
        <v>62.730000000000004</v>
      </c>
      <c r="BV213" s="1018">
        <f t="shared" ca="1" si="286"/>
        <v>4.3</v>
      </c>
      <c r="BW213" s="1018">
        <v>0</v>
      </c>
      <c r="BX213" s="1018">
        <f t="shared" ca="1" si="287"/>
        <v>35.715007579585652</v>
      </c>
      <c r="BY213" s="1018">
        <f t="shared" ca="1" si="288"/>
        <v>160.07111436950146</v>
      </c>
      <c r="BZ213" s="1018">
        <f t="shared" ca="1" si="295"/>
        <v>13.714707750952986</v>
      </c>
      <c r="CA213" s="1018">
        <f t="shared" ca="1" si="296"/>
        <v>125.45999994981604</v>
      </c>
      <c r="CB213" s="1018">
        <f t="shared" ca="1" si="289"/>
        <v>9.0267175572519083</v>
      </c>
      <c r="CC213" s="1018">
        <f t="shared" si="297"/>
        <v>0</v>
      </c>
      <c r="CD213" s="1018">
        <f t="shared" ca="1" si="290"/>
        <v>343.98754720710804</v>
      </c>
      <c r="CE213" s="1018">
        <f t="shared" ca="1" si="298"/>
        <v>174.83241983450787</v>
      </c>
      <c r="CF213" s="1018">
        <f t="shared" ca="1" si="299"/>
        <v>15.564599011248475</v>
      </c>
      <c r="CG213" s="1018">
        <f t="shared" ca="1" si="300"/>
        <v>25914.434769768261</v>
      </c>
    </row>
    <row r="214" spans="3:85" x14ac:dyDescent="0.25">
      <c r="D214" s="1"/>
      <c r="F214" s="1"/>
      <c r="G214" s="3"/>
      <c r="H214" s="6"/>
      <c r="I214" s="3"/>
      <c r="J214" s="6"/>
      <c r="K214" s="8"/>
      <c r="L214" s="6"/>
      <c r="M214" s="1"/>
      <c r="N214" s="1"/>
      <c r="O214" s="1" t="s">
        <v>18</v>
      </c>
      <c r="P214" s="4"/>
      <c r="Q214" s="1" t="s">
        <v>17</v>
      </c>
      <c r="R214" s="4"/>
      <c r="S214" s="1"/>
      <c r="T214" s="77"/>
      <c r="U214" s="294"/>
      <c r="X214" s="176">
        <f t="shared" si="291"/>
        <v>0</v>
      </c>
      <c r="Y214" s="34">
        <f>X214/Calculation_sheet!M$67</f>
        <v>0</v>
      </c>
      <c r="Z214" s="176">
        <f ca="1">IF(AN214&gt;0,Y214*Calculation_sheet!C$87,0)</f>
        <v>0</v>
      </c>
      <c r="AA214" s="176">
        <f t="shared" ca="1" si="292"/>
        <v>0</v>
      </c>
      <c r="AB214" s="176">
        <f ca="1">IF(AP214&gt;0,AA214*Calculation_sheet!C$94,0)</f>
        <v>0</v>
      </c>
      <c r="AC214" s="176">
        <f t="shared" ca="1" si="279"/>
        <v>0</v>
      </c>
      <c r="AD214" s="958">
        <f ca="1">AC214*Calculation_sheet!C$99</f>
        <v>0</v>
      </c>
      <c r="AE214" s="176">
        <f t="shared" ca="1" si="279"/>
        <v>0</v>
      </c>
      <c r="AF214" s="176">
        <f t="shared" ca="1" si="293"/>
        <v>0</v>
      </c>
      <c r="AG214" s="958">
        <f ca="1">AF214*User_sheet!B$77/100</f>
        <v>0</v>
      </c>
      <c r="AH214" s="313"/>
      <c r="AI214" s="3">
        <v>302</v>
      </c>
      <c r="AK214" s="1018">
        <f t="shared" ca="1" si="294"/>
        <v>343.98754720710804</v>
      </c>
      <c r="AL214" s="924">
        <f ca="1">AK214/'302'!I$24</f>
        <v>0.87684819578666329</v>
      </c>
      <c r="AM214" s="924">
        <f ca="1">0.8*(AK214*30+'302'!D$17*0.34*30*1)</f>
        <v>13321.888132970595</v>
      </c>
      <c r="AN214" s="954">
        <f ca="1">IF(AM214&lt;User_sheet!B$50,Y214,0)</f>
        <v>0</v>
      </c>
      <c r="AO214" s="954">
        <f ca="1">20-(User_sheet!B$57/(AK214+'302'!D$17*1*0.34))</f>
        <v>9.7311853519148617</v>
      </c>
      <c r="AP214" s="954">
        <f ca="1">IF(AO214&lt;User_sheet!B$59,0,BC214*AA214)</f>
        <v>0</v>
      </c>
      <c r="AR214" s="2">
        <v>0.32</v>
      </c>
      <c r="AS214" s="2">
        <v>2.1</v>
      </c>
      <c r="AT214" s="2">
        <v>0.89</v>
      </c>
      <c r="AU214" s="2">
        <v>2</v>
      </c>
      <c r="AV214" s="2">
        <v>3.3</v>
      </c>
      <c r="AW214" s="2">
        <v>14356</v>
      </c>
      <c r="AX214" s="2">
        <v>74715.401027665983</v>
      </c>
      <c r="AY214" s="2">
        <v>79015.992973719694</v>
      </c>
      <c r="AZ214" s="27">
        <v>0</v>
      </c>
      <c r="BA214" s="27">
        <v>0</v>
      </c>
      <c r="BB214" s="2">
        <v>0.6</v>
      </c>
      <c r="BC214" s="30">
        <v>0</v>
      </c>
      <c r="BD214" s="34">
        <v>0</v>
      </c>
      <c r="BE214" s="34">
        <v>0</v>
      </c>
      <c r="BF214" s="40">
        <v>1</v>
      </c>
      <c r="BG214" s="34">
        <v>1</v>
      </c>
      <c r="BH214" s="34">
        <v>0</v>
      </c>
      <c r="BI214" s="40">
        <v>0</v>
      </c>
      <c r="BJ214" s="34">
        <v>0</v>
      </c>
      <c r="BK214" s="34">
        <v>0</v>
      </c>
      <c r="BL214" s="34">
        <v>0</v>
      </c>
      <c r="BM214" s="40">
        <v>1</v>
      </c>
      <c r="BN214" s="958">
        <v>0</v>
      </c>
      <c r="BO214" s="959">
        <v>14.9</v>
      </c>
      <c r="BP214" s="1018">
        <f t="shared" ca="1" si="280"/>
        <v>215.65</v>
      </c>
      <c r="BQ214" s="1018">
        <f t="shared" ca="1" si="281"/>
        <v>486.07500000000005</v>
      </c>
      <c r="BR214" s="1018">
        <f t="shared" ca="1" si="282"/>
        <v>117.8</v>
      </c>
      <c r="BS214" s="1018">
        <f t="shared" ca="1" si="283"/>
        <v>103.97</v>
      </c>
      <c r="BT214" s="1018">
        <f t="shared" ca="1" si="284"/>
        <v>53.9</v>
      </c>
      <c r="BU214" s="1018">
        <f t="shared" ca="1" si="285"/>
        <v>62.730000000000004</v>
      </c>
      <c r="BV214" s="1018">
        <f t="shared" ca="1" si="286"/>
        <v>4.3</v>
      </c>
      <c r="BW214" s="1018">
        <v>0</v>
      </c>
      <c r="BX214" s="1018">
        <f t="shared" ca="1" si="287"/>
        <v>35.715007579585652</v>
      </c>
      <c r="BY214" s="1018">
        <f t="shared" ca="1" si="288"/>
        <v>160.07111436950146</v>
      </c>
      <c r="BZ214" s="1018">
        <f t="shared" ca="1" si="295"/>
        <v>13.714707750952986</v>
      </c>
      <c r="CA214" s="1018">
        <f t="shared" ca="1" si="296"/>
        <v>125.45999994981604</v>
      </c>
      <c r="CB214" s="1018">
        <f t="shared" ca="1" si="289"/>
        <v>9.0267175572519083</v>
      </c>
      <c r="CC214" s="1018">
        <f t="shared" si="297"/>
        <v>0</v>
      </c>
      <c r="CD214" s="1018">
        <f t="shared" ca="1" si="290"/>
        <v>343.98754720710804</v>
      </c>
      <c r="CE214" s="1018">
        <f t="shared" ca="1" si="298"/>
        <v>174.83241983450787</v>
      </c>
      <c r="CF214" s="1018">
        <f t="shared" ca="1" si="299"/>
        <v>15.564599011248475</v>
      </c>
      <c r="CG214" s="1018">
        <f t="shared" ca="1" si="300"/>
        <v>25914.434769768261</v>
      </c>
    </row>
    <row r="215" spans="3:85" x14ac:dyDescent="0.25">
      <c r="D215" s="1"/>
      <c r="F215" s="1"/>
      <c r="G215" s="3"/>
      <c r="H215" s="6"/>
      <c r="I215" s="3"/>
      <c r="J215" s="6"/>
      <c r="K215" s="8"/>
      <c r="L215" s="6"/>
      <c r="M215" s="1" t="s">
        <v>17</v>
      </c>
      <c r="N215" s="4"/>
      <c r="O215" s="1" t="s">
        <v>19</v>
      </c>
      <c r="P215" s="4"/>
      <c r="Q215" s="1" t="s">
        <v>17</v>
      </c>
      <c r="R215" s="4"/>
      <c r="S215" s="1"/>
      <c r="T215" s="77"/>
      <c r="U215" s="294"/>
      <c r="X215" s="176">
        <f t="shared" si="291"/>
        <v>0</v>
      </c>
      <c r="Y215" s="34">
        <f>X215/Calculation_sheet!M$67</f>
        <v>0</v>
      </c>
      <c r="Z215" s="176">
        <f ca="1">IF(AN215&gt;0,Y215*Calculation_sheet!C$87,0)</f>
        <v>0</v>
      </c>
      <c r="AA215" s="176">
        <f t="shared" ca="1" si="292"/>
        <v>0</v>
      </c>
      <c r="AB215" s="176">
        <f ca="1">IF(AP215&gt;0,AA215*Calculation_sheet!C$94,0)</f>
        <v>0</v>
      </c>
      <c r="AC215" s="176">
        <f t="shared" ca="1" si="279"/>
        <v>0</v>
      </c>
      <c r="AD215" s="958">
        <f ca="1">AC215*Calculation_sheet!C$99</f>
        <v>0</v>
      </c>
      <c r="AE215" s="176">
        <f t="shared" ca="1" si="279"/>
        <v>0</v>
      </c>
      <c r="AF215" s="176">
        <f t="shared" ca="1" si="293"/>
        <v>0</v>
      </c>
      <c r="AG215" s="958">
        <f ca="1">AF215*User_sheet!B$77/100</f>
        <v>0</v>
      </c>
      <c r="AH215" s="313"/>
      <c r="AI215" s="3">
        <v>302</v>
      </c>
      <c r="AK215" s="1018">
        <f t="shared" ca="1" si="294"/>
        <v>343.98754720710804</v>
      </c>
      <c r="AL215" s="924">
        <f ca="1">AK215/'302'!I$24</f>
        <v>0.87684819578666329</v>
      </c>
      <c r="AM215" s="924">
        <f ca="1">0.8*(AK215*30+'302'!D$17*0.34*30*1)</f>
        <v>13321.888132970595</v>
      </c>
      <c r="AN215" s="954">
        <f ca="1">IF(AM215&lt;User_sheet!B$50,Y215,0)</f>
        <v>0</v>
      </c>
      <c r="AO215" s="954">
        <f ca="1">20-(User_sheet!B$57/(AK215+'302'!D$17*1*0.34))</f>
        <v>9.7311853519148617</v>
      </c>
      <c r="AP215" s="954">
        <f ca="1">IF(AO215&lt;User_sheet!B$59,0,BC215*AA215)</f>
        <v>0</v>
      </c>
      <c r="AR215" s="2">
        <v>0.32</v>
      </c>
      <c r="AS215" s="2">
        <v>2.1</v>
      </c>
      <c r="AT215" s="2">
        <v>0.89</v>
      </c>
      <c r="AU215" s="2">
        <v>2</v>
      </c>
      <c r="AV215" s="2">
        <v>3.3</v>
      </c>
      <c r="AW215" s="2">
        <v>14356</v>
      </c>
      <c r="AX215" s="2">
        <v>74715.401027665983</v>
      </c>
      <c r="AY215" s="2">
        <v>79015.992973719694</v>
      </c>
      <c r="AZ215" s="27">
        <v>0</v>
      </c>
      <c r="BA215" s="27">
        <v>0</v>
      </c>
      <c r="BB215" s="2">
        <v>0.6</v>
      </c>
      <c r="BC215" s="30">
        <v>0</v>
      </c>
      <c r="BD215" s="34">
        <v>0</v>
      </c>
      <c r="BE215" s="34">
        <v>0</v>
      </c>
      <c r="BF215" s="40">
        <v>1</v>
      </c>
      <c r="BG215" s="34">
        <v>0</v>
      </c>
      <c r="BH215" s="34">
        <v>1</v>
      </c>
      <c r="BI215" s="40">
        <v>0</v>
      </c>
      <c r="BJ215" s="34">
        <v>0</v>
      </c>
      <c r="BK215" s="34">
        <v>0</v>
      </c>
      <c r="BL215" s="34">
        <v>0</v>
      </c>
      <c r="BM215" s="40">
        <v>1</v>
      </c>
      <c r="BN215" s="958">
        <v>0</v>
      </c>
      <c r="BO215" s="959">
        <v>14.9</v>
      </c>
      <c r="BP215" s="1018">
        <f t="shared" ca="1" si="280"/>
        <v>215.65</v>
      </c>
      <c r="BQ215" s="1018">
        <f t="shared" ca="1" si="281"/>
        <v>486.07500000000005</v>
      </c>
      <c r="BR215" s="1018">
        <f t="shared" ca="1" si="282"/>
        <v>117.8</v>
      </c>
      <c r="BS215" s="1018">
        <f t="shared" ca="1" si="283"/>
        <v>103.97</v>
      </c>
      <c r="BT215" s="1018">
        <f t="shared" ca="1" si="284"/>
        <v>53.9</v>
      </c>
      <c r="BU215" s="1018">
        <f t="shared" ca="1" si="285"/>
        <v>62.730000000000004</v>
      </c>
      <c r="BV215" s="1018">
        <f t="shared" ca="1" si="286"/>
        <v>4.3</v>
      </c>
      <c r="BW215" s="1018">
        <v>0</v>
      </c>
      <c r="BX215" s="1018">
        <f t="shared" ca="1" si="287"/>
        <v>35.715007579585652</v>
      </c>
      <c r="BY215" s="1018">
        <f t="shared" ca="1" si="288"/>
        <v>160.07111436950146</v>
      </c>
      <c r="BZ215" s="1018">
        <f t="shared" ca="1" si="295"/>
        <v>13.714707750952986</v>
      </c>
      <c r="CA215" s="1018">
        <f t="shared" ca="1" si="296"/>
        <v>125.45999994981604</v>
      </c>
      <c r="CB215" s="1018">
        <f t="shared" ca="1" si="289"/>
        <v>9.0267175572519083</v>
      </c>
      <c r="CC215" s="1018">
        <f t="shared" si="297"/>
        <v>0</v>
      </c>
      <c r="CD215" s="1018">
        <f t="shared" ca="1" si="290"/>
        <v>343.98754720710804</v>
      </c>
      <c r="CE215" s="1018">
        <f t="shared" ca="1" si="298"/>
        <v>174.83241983450787</v>
      </c>
      <c r="CF215" s="1018">
        <f t="shared" ca="1" si="299"/>
        <v>15.564599011248475</v>
      </c>
      <c r="CG215" s="1018">
        <f t="shared" ca="1" si="300"/>
        <v>25914.434769768261</v>
      </c>
    </row>
    <row r="216" spans="3:85" s="14" customFormat="1" x14ac:dyDescent="0.25">
      <c r="D216" s="15"/>
      <c r="F216" s="15"/>
      <c r="H216" s="15"/>
      <c r="J216" s="15"/>
      <c r="K216" s="16"/>
      <c r="L216" s="15"/>
      <c r="M216" s="15"/>
      <c r="N216" s="15"/>
      <c r="O216" s="15"/>
      <c r="P216" s="15"/>
      <c r="Q216" s="15"/>
      <c r="R216" s="15"/>
      <c r="S216" s="15"/>
      <c r="T216" s="80"/>
      <c r="U216" s="273"/>
      <c r="V216" s="292"/>
      <c r="W216" s="292"/>
      <c r="X216" s="292"/>
      <c r="Y216" s="277"/>
      <c r="Z216" s="292"/>
      <c r="AA216" s="292"/>
      <c r="AB216" s="292"/>
      <c r="AC216" s="292"/>
      <c r="AD216" s="277"/>
      <c r="AE216" s="292"/>
      <c r="AF216" s="292"/>
      <c r="AG216" s="277"/>
      <c r="AH216" s="313"/>
      <c r="AJ216" s="314"/>
      <c r="AK216" s="1018">
        <f t="shared" si="294"/>
        <v>0</v>
      </c>
      <c r="AL216" s="928"/>
      <c r="AM216" s="928"/>
      <c r="AN216" s="941"/>
      <c r="AO216" s="941"/>
      <c r="AP216" s="941"/>
      <c r="AQ216" s="314"/>
      <c r="AR216" s="28"/>
      <c r="AS216" s="28"/>
      <c r="AT216" s="28"/>
      <c r="AU216" s="28"/>
      <c r="AV216" s="28"/>
      <c r="AW216" s="28"/>
      <c r="AX216" s="28"/>
      <c r="AY216" s="28"/>
      <c r="AZ216" s="28"/>
      <c r="BA216" s="28"/>
      <c r="BB216" s="28"/>
      <c r="BC216" s="45"/>
      <c r="BD216" s="277"/>
      <c r="BE216" s="277"/>
      <c r="BF216" s="49"/>
      <c r="BG216" s="28"/>
      <c r="BH216" s="28"/>
      <c r="BI216" s="49"/>
      <c r="BJ216" s="28"/>
      <c r="BK216" s="28"/>
      <c r="BL216" s="28"/>
      <c r="BM216" s="49"/>
      <c r="BN216" s="277"/>
      <c r="BO216" s="49"/>
      <c r="BP216" s="928"/>
      <c r="BQ216" s="928"/>
      <c r="BR216" s="928"/>
      <c r="BS216" s="928"/>
      <c r="BT216" s="928"/>
      <c r="BU216" s="928"/>
      <c r="BV216" s="928"/>
      <c r="BW216" s="928"/>
      <c r="BX216" s="928"/>
      <c r="BY216" s="928"/>
      <c r="BZ216" s="928"/>
      <c r="CA216" s="928"/>
      <c r="CB216" s="928"/>
      <c r="CC216" s="928"/>
      <c r="CD216" s="928"/>
      <c r="CE216" s="928"/>
      <c r="CF216" s="928"/>
      <c r="CG216" s="928"/>
    </row>
    <row r="217" spans="3:85" x14ac:dyDescent="0.25">
      <c r="C217" s="680"/>
      <c r="D217" s="681"/>
      <c r="E217" s="680"/>
      <c r="F217" s="681"/>
      <c r="G217" s="680"/>
      <c r="H217" s="686"/>
      <c r="I217" s="682"/>
      <c r="J217" s="686"/>
      <c r="K217" s="687"/>
      <c r="L217" s="686"/>
      <c r="M217" s="681"/>
      <c r="N217" s="681"/>
      <c r="O217" s="681"/>
      <c r="P217" s="681"/>
      <c r="Q217" s="681" t="s">
        <v>16</v>
      </c>
      <c r="R217" s="683">
        <v>0.73860000000000003</v>
      </c>
      <c r="S217" s="681"/>
      <c r="T217" s="688">
        <v>2.4864788638193519E-3</v>
      </c>
      <c r="U217" s="680"/>
      <c r="V217" s="176">
        <f t="shared" si="196"/>
        <v>2.4864788638193519E-3</v>
      </c>
      <c r="W217" s="176">
        <f>V217-V217*Calculation_sheet!J$67</f>
        <v>2.4864788638193519E-3</v>
      </c>
      <c r="X217" s="176">
        <f>W217-W217*Calculation_sheet!J$77</f>
        <v>2.4864788638193519E-3</v>
      </c>
      <c r="Y217" s="34">
        <f>X217/Calculation_sheet!M$67</f>
        <v>2.4865297034320521E-3</v>
      </c>
      <c r="Z217" s="176">
        <f ca="1">IF(AN217&gt;0,Y217*Calculation_sheet!C$87,0)</f>
        <v>0</v>
      </c>
      <c r="AA217" s="176">
        <f ca="1">Y217-Z217</f>
        <v>2.4865297034320521E-3</v>
      </c>
      <c r="AB217" s="176">
        <f ca="1">IF(AP217&gt;0,AA217*Calculation_sheet!C$94,0)</f>
        <v>0</v>
      </c>
      <c r="AC217" s="176">
        <f t="shared" ref="AC217:AE227" ca="1" si="301">AA217-AB217</f>
        <v>2.4865297034320521E-3</v>
      </c>
      <c r="AD217" s="958">
        <f ca="1">AC217*Calculation_sheet!C$99</f>
        <v>1.4919178220592312E-3</v>
      </c>
      <c r="AE217" s="176">
        <f t="shared" ca="1" si="301"/>
        <v>9.9461188137282093E-4</v>
      </c>
      <c r="AF217" s="176">
        <f ca="1">Y217-AB217</f>
        <v>2.4865297034320521E-3</v>
      </c>
      <c r="AG217" s="958">
        <f ca="1">AF217*User_sheet!B$77/100</f>
        <v>0</v>
      </c>
      <c r="AH217" s="313"/>
      <c r="AI217" s="3">
        <v>302</v>
      </c>
      <c r="AK217" s="1018">
        <f t="shared" ca="1" si="294"/>
        <v>789.43000416317648</v>
      </c>
      <c r="AL217" s="924">
        <f ca="1">AK217/'302'!I$24</f>
        <v>2.0123120167299935</v>
      </c>
      <c r="AM217" s="924">
        <f ca="1">0.8*(AK217*30+'302'!D$17*0.34*30*1)</f>
        <v>24012.507099916242</v>
      </c>
      <c r="AN217" s="954">
        <f ca="1">IF(AM217&lt;User_sheet!B$50,Y217,0)</f>
        <v>0</v>
      </c>
      <c r="AO217" s="954">
        <f ca="1">20-(User_sheet!B$57/(AK217+'302'!D$17*1*0.34))</f>
        <v>14.302968889055437</v>
      </c>
      <c r="AP217" s="954">
        <f ca="1">IF(AO217&lt;User_sheet!B$59,0,BC217*AA217)</f>
        <v>2.4865297034320521E-3</v>
      </c>
      <c r="AR217" s="2">
        <v>7.7</v>
      </c>
      <c r="AS217" s="2">
        <v>2.1</v>
      </c>
      <c r="AT217" s="2">
        <v>7.9</v>
      </c>
      <c r="AU217" s="2">
        <v>2.75</v>
      </c>
      <c r="AV217" s="2">
        <v>3.3</v>
      </c>
      <c r="AW217" s="2">
        <v>11357.186356387729</v>
      </c>
      <c r="AX217" s="2">
        <v>74715.401027665983</v>
      </c>
      <c r="AY217" s="2">
        <v>67352.647733737584</v>
      </c>
      <c r="AZ217" s="2">
        <v>0</v>
      </c>
      <c r="BA217" s="2">
        <v>0</v>
      </c>
      <c r="BB217" s="2">
        <v>0.6</v>
      </c>
      <c r="BC217" s="30">
        <v>1</v>
      </c>
      <c r="BD217" s="34">
        <v>0</v>
      </c>
      <c r="BE217" s="34">
        <v>0</v>
      </c>
      <c r="BF217" s="40">
        <v>0</v>
      </c>
      <c r="BG217" s="2">
        <v>1</v>
      </c>
      <c r="BH217" s="2">
        <v>0</v>
      </c>
      <c r="BI217" s="40">
        <v>0</v>
      </c>
      <c r="BJ217" s="2">
        <v>1</v>
      </c>
      <c r="BK217" s="2">
        <v>0</v>
      </c>
      <c r="BL217" s="2">
        <v>0</v>
      </c>
      <c r="BM217" s="40">
        <v>0</v>
      </c>
      <c r="BN217" s="958">
        <v>0</v>
      </c>
      <c r="BO217" s="959">
        <v>14.9</v>
      </c>
      <c r="BP217" s="1018">
        <f t="shared" ref="BP217:BP227" ca="1" si="302">INDIRECT("'"&amp;AI217&amp;"'!"&amp;"B2")</f>
        <v>215.65</v>
      </c>
      <c r="BQ217" s="1018">
        <f t="shared" ref="BQ217:BQ227" ca="1" si="303">INDIRECT("'"&amp;AI217&amp;"'!"&amp;"C12")+INDIRECT("'"&amp;AI217&amp;"'!"&amp;"C13")+INDIRECT("'"&amp;AI217&amp;"'!"&amp;"C14")+INDIRECT("'"&amp;AI217&amp;"'!"&amp;"C15")+INDIRECT("'"&amp;AI217&amp;"'!"&amp;"C17")</f>
        <v>486.07500000000005</v>
      </c>
      <c r="BR217" s="1018">
        <f t="shared" ref="BR217:BR227" ca="1" si="304">INDIRECT("'"&amp;AI217&amp;"'!"&amp;"G5")</f>
        <v>117.8</v>
      </c>
      <c r="BS217" s="1018">
        <f t="shared" ref="BS217:BS227" ca="1" si="305">INDIRECT("'"&amp;AI217&amp;"'!"&amp;"G4")</f>
        <v>103.97</v>
      </c>
      <c r="BT217" s="1018">
        <f t="shared" ref="BT217:BT227" ca="1" si="306">INDIRECT("'"&amp;AI217&amp;"'!"&amp;"G6")</f>
        <v>53.9</v>
      </c>
      <c r="BU217" s="1018">
        <f t="shared" ref="BU217:BU227" ca="1" si="307">INDIRECT("'"&amp;AI217&amp;"'!"&amp;"G2")</f>
        <v>62.730000000000004</v>
      </c>
      <c r="BV217" s="1018">
        <f t="shared" ref="BV217:BV227" ca="1" si="308">INDIRECT("'"&amp;AI217&amp;"'!"&amp;"G3")</f>
        <v>4.3</v>
      </c>
      <c r="BW217" s="1018">
        <v>0</v>
      </c>
      <c r="BX217" s="1018">
        <f t="shared" ref="BX217:BX227" ca="1" si="309">IF(BR217=0,0,1/(1/(BR217*$BY$3)+1/(BR217*AR217)+1/(BR217*$BY$4)))</f>
        <v>388.5179897201599</v>
      </c>
      <c r="BY217" s="1018">
        <f t="shared" ref="BY217:BY227" ca="1" si="310">IF(BS217=0,0,1/(1/(BS217*$BY$3)+1/(BS217*AS217)+1/(BS217*$BY$4)))</f>
        <v>160.07111436950146</v>
      </c>
      <c r="BZ217" s="1018">
        <f t="shared" ca="1" si="295"/>
        <v>59.306682611142385</v>
      </c>
      <c r="CA217" s="1018">
        <f t="shared" ca="1" si="296"/>
        <v>172.50749990512088</v>
      </c>
      <c r="CB217" s="1018">
        <f t="shared" ref="CB217:CB227" ca="1" si="311">IF(BV217=0,0,1/(1/(BV217*$BY$3)+1/(BV217*AV217)+1/(BV217*$BY$4)))</f>
        <v>9.0267175572519083</v>
      </c>
      <c r="CC217" s="1018">
        <f t="shared" si="297"/>
        <v>0</v>
      </c>
      <c r="CD217" s="1018">
        <f t="shared" ref="CD217:CD227" ca="1" si="312">SUM(BX217:CC217)+(BR217+BS217+BT217+BU217+BV217)*BN217</f>
        <v>789.43000416317648</v>
      </c>
      <c r="CE217" s="1018">
        <f ca="1">0.34*BO217*(1/25)^0.66*(BR217+BS217+BU217+BV217)</f>
        <v>174.83241983450787</v>
      </c>
      <c r="CF217" s="1018">
        <f t="shared" ca="1" si="299"/>
        <v>28.92787271993053</v>
      </c>
      <c r="CG217" s="1018">
        <f t="shared" ca="1" si="300"/>
        <v>48163.750963775528</v>
      </c>
    </row>
    <row r="218" spans="3:85" x14ac:dyDescent="0.25">
      <c r="C218" s="680"/>
      <c r="D218" s="681"/>
      <c r="E218" s="680"/>
      <c r="F218" s="681"/>
      <c r="G218" s="680"/>
      <c r="H218" s="686"/>
      <c r="I218" s="682"/>
      <c r="J218" s="686"/>
      <c r="K218" s="687"/>
      <c r="L218" s="686"/>
      <c r="M218" s="681"/>
      <c r="N218" s="681"/>
      <c r="O218" s="681" t="s">
        <v>18</v>
      </c>
      <c r="P218" s="683">
        <v>0.62953995200000001</v>
      </c>
      <c r="Q218" s="681" t="s">
        <v>7</v>
      </c>
      <c r="R218" s="683">
        <v>0.26140000000000002</v>
      </c>
      <c r="S218" s="681"/>
      <c r="T218" s="688">
        <v>8.7999671676466116E-4</v>
      </c>
      <c r="U218" s="680"/>
      <c r="V218" s="176">
        <f t="shared" si="196"/>
        <v>8.7999671676466116E-4</v>
      </c>
      <c r="W218" s="176">
        <f>V218-V218*Calculation_sheet!J$67</f>
        <v>8.7999671676466116E-4</v>
      </c>
      <c r="X218" s="176">
        <f>W218-W218*Calculation_sheet!J$77</f>
        <v>8.7999671676466116E-4</v>
      </c>
      <c r="Y218" s="34">
        <f>X218/Calculation_sheet!M$67</f>
        <v>8.8001470955475028E-4</v>
      </c>
      <c r="Z218" s="176">
        <f ca="1">IF(AN218&gt;0,Y218*Calculation_sheet!C$87,0)</f>
        <v>0</v>
      </c>
      <c r="AA218" s="176">
        <f t="shared" ref="AA218:AA227" ca="1" si="313">Y218-Z218</f>
        <v>8.8001470955475028E-4</v>
      </c>
      <c r="AB218" s="176">
        <f ca="1">IF(AP218&gt;0,AA218*Calculation_sheet!C$94,0)</f>
        <v>0</v>
      </c>
      <c r="AC218" s="176">
        <f t="shared" ca="1" si="301"/>
        <v>8.8001470955475028E-4</v>
      </c>
      <c r="AD218" s="958">
        <f ca="1">AC218*Calculation_sheet!C$99</f>
        <v>5.280088257328501E-4</v>
      </c>
      <c r="AE218" s="176">
        <f t="shared" ca="1" si="301"/>
        <v>3.5200588382190018E-4</v>
      </c>
      <c r="AF218" s="176">
        <f t="shared" ref="AF218:AF227" ca="1" si="314">Y218-AB218</f>
        <v>8.8001470955475028E-4</v>
      </c>
      <c r="AG218" s="958">
        <f ca="1">AF218*User_sheet!B$77/100</f>
        <v>0</v>
      </c>
      <c r="AH218" s="313"/>
      <c r="AI218" s="3">
        <v>302</v>
      </c>
      <c r="AK218" s="1018">
        <f t="shared" ca="1" si="294"/>
        <v>789.43000416317648</v>
      </c>
      <c r="AL218" s="924">
        <f ca="1">AK218/'302'!I$24</f>
        <v>2.0123120167299935</v>
      </c>
      <c r="AM218" s="924">
        <f ca="1">0.8*(AK218*30+'302'!D$17*0.34*30*1)</f>
        <v>24012.507099916242</v>
      </c>
      <c r="AN218" s="954">
        <f ca="1">IF(AM218&lt;User_sheet!B$50,Y218,0)</f>
        <v>0</v>
      </c>
      <c r="AO218" s="954">
        <f ca="1">20-(User_sheet!B$57/(AK218+'302'!D$17*1*0.34))</f>
        <v>14.302968889055437</v>
      </c>
      <c r="AP218" s="954">
        <f ca="1">IF(AO218&lt;User_sheet!B$59,0,BC218*AA218)</f>
        <v>8.8001470955475028E-4</v>
      </c>
      <c r="AR218" s="2">
        <v>7.7</v>
      </c>
      <c r="AS218" s="2">
        <v>2.1</v>
      </c>
      <c r="AT218" s="2">
        <v>7.9</v>
      </c>
      <c r="AU218" s="2">
        <v>2.75</v>
      </c>
      <c r="AV218" s="2">
        <v>3.3</v>
      </c>
      <c r="AW218" s="2">
        <v>11357.186356387729</v>
      </c>
      <c r="AX218" s="2">
        <v>74715.401027665983</v>
      </c>
      <c r="AY218" s="2">
        <v>67352.647733737584</v>
      </c>
      <c r="AZ218" s="2">
        <v>0</v>
      </c>
      <c r="BA218" s="2">
        <v>0</v>
      </c>
      <c r="BB218" s="2">
        <v>0.6</v>
      </c>
      <c r="BC218" s="30">
        <v>1</v>
      </c>
      <c r="BD218" s="34">
        <v>0</v>
      </c>
      <c r="BE218" s="34">
        <v>0</v>
      </c>
      <c r="BF218" s="40">
        <v>0</v>
      </c>
      <c r="BG218" s="2">
        <v>1</v>
      </c>
      <c r="BH218" s="2">
        <v>0</v>
      </c>
      <c r="BI218" s="40">
        <v>0</v>
      </c>
      <c r="BJ218" s="2">
        <v>0</v>
      </c>
      <c r="BK218" s="2">
        <v>0</v>
      </c>
      <c r="BL218" s="2">
        <v>1</v>
      </c>
      <c r="BM218" s="40">
        <v>0</v>
      </c>
      <c r="BN218" s="958">
        <v>0</v>
      </c>
      <c r="BO218" s="959">
        <v>14.9</v>
      </c>
      <c r="BP218" s="1018">
        <f t="shared" ca="1" si="302"/>
        <v>215.65</v>
      </c>
      <c r="BQ218" s="1018">
        <f t="shared" ca="1" si="303"/>
        <v>486.07500000000005</v>
      </c>
      <c r="BR218" s="1018">
        <f t="shared" ca="1" si="304"/>
        <v>117.8</v>
      </c>
      <c r="BS218" s="1018">
        <f t="shared" ca="1" si="305"/>
        <v>103.97</v>
      </c>
      <c r="BT218" s="1018">
        <f t="shared" ca="1" si="306"/>
        <v>53.9</v>
      </c>
      <c r="BU218" s="1018">
        <f t="shared" ca="1" si="307"/>
        <v>62.730000000000004</v>
      </c>
      <c r="BV218" s="1018">
        <f t="shared" ca="1" si="308"/>
        <v>4.3</v>
      </c>
      <c r="BW218" s="1018">
        <v>0</v>
      </c>
      <c r="BX218" s="1018">
        <f t="shared" ca="1" si="309"/>
        <v>388.5179897201599</v>
      </c>
      <c r="BY218" s="1018">
        <f t="shared" ca="1" si="310"/>
        <v>160.07111436950146</v>
      </c>
      <c r="BZ218" s="1018">
        <f t="shared" ca="1" si="295"/>
        <v>59.306682611142385</v>
      </c>
      <c r="CA218" s="1018">
        <f t="shared" ca="1" si="296"/>
        <v>172.50749990512088</v>
      </c>
      <c r="CB218" s="1018">
        <f t="shared" ca="1" si="311"/>
        <v>9.0267175572519083</v>
      </c>
      <c r="CC218" s="1018">
        <f t="shared" si="297"/>
        <v>0</v>
      </c>
      <c r="CD218" s="1018">
        <f t="shared" ca="1" si="312"/>
        <v>789.43000416317648</v>
      </c>
      <c r="CE218" s="1018">
        <f t="shared" ref="CE218:CE227" ca="1" si="315">0.34*BO218*(1/25)^0.66*(BR218+BS218+BU218+BV218)</f>
        <v>174.83241983450787</v>
      </c>
      <c r="CF218" s="1018">
        <f t="shared" ca="1" si="299"/>
        <v>28.92787271993053</v>
      </c>
      <c r="CG218" s="1018">
        <f t="shared" ca="1" si="300"/>
        <v>48163.750963775528</v>
      </c>
    </row>
    <row r="219" spans="3:85" x14ac:dyDescent="0.25">
      <c r="C219" s="680"/>
      <c r="D219" s="681"/>
      <c r="E219" s="680"/>
      <c r="F219" s="681"/>
      <c r="G219" s="680"/>
      <c r="H219" s="686"/>
      <c r="I219" s="682"/>
      <c r="J219" s="686"/>
      <c r="K219" s="687"/>
      <c r="L219" s="686"/>
      <c r="M219" s="681"/>
      <c r="N219" s="681"/>
      <c r="O219" s="681"/>
      <c r="P219" s="681"/>
      <c r="Q219" s="681" t="s">
        <v>16</v>
      </c>
      <c r="R219" s="683">
        <v>0.73860000000000003</v>
      </c>
      <c r="S219" s="681"/>
      <c r="T219" s="688">
        <v>1.4631971748816071E-3</v>
      </c>
      <c r="U219" s="680"/>
      <c r="V219" s="176">
        <f t="shared" si="196"/>
        <v>1.4631971748816071E-3</v>
      </c>
      <c r="W219" s="176">
        <f>V219-V219*Calculation_sheet!J$67</f>
        <v>1.4631971748816071E-3</v>
      </c>
      <c r="X219" s="176">
        <f>W219-W219*Calculation_sheet!J$77</f>
        <v>1.4631971748816071E-3</v>
      </c>
      <c r="Y219" s="34">
        <f>X219/Calculation_sheet!M$67</f>
        <v>1.4632270920382567E-3</v>
      </c>
      <c r="Z219" s="176">
        <f ca="1">IF(AN219&gt;0,Y219*Calculation_sheet!C$87,0)</f>
        <v>0</v>
      </c>
      <c r="AA219" s="176">
        <f t="shared" ca="1" si="313"/>
        <v>1.4632270920382567E-3</v>
      </c>
      <c r="AB219" s="176">
        <f ca="1">IF(AP219&gt;0,AA219*Calculation_sheet!C$94,0)</f>
        <v>0</v>
      </c>
      <c r="AC219" s="176">
        <f t="shared" ca="1" si="301"/>
        <v>1.4632270920382567E-3</v>
      </c>
      <c r="AD219" s="958">
        <f ca="1">AC219*Calculation_sheet!C$99</f>
        <v>8.7793625522295394E-4</v>
      </c>
      <c r="AE219" s="176">
        <f t="shared" ca="1" si="301"/>
        <v>5.8529083681530274E-4</v>
      </c>
      <c r="AF219" s="176">
        <f t="shared" ca="1" si="314"/>
        <v>1.4632270920382567E-3</v>
      </c>
      <c r="AG219" s="958">
        <f ca="1">AF219*User_sheet!B$77/100</f>
        <v>0</v>
      </c>
      <c r="AH219" s="313"/>
      <c r="AI219" s="3">
        <v>302</v>
      </c>
      <c r="AK219" s="1018">
        <f t="shared" ca="1" si="294"/>
        <v>789.43000416317648</v>
      </c>
      <c r="AL219" s="924">
        <f ca="1">AK219/'302'!I$24</f>
        <v>2.0123120167299935</v>
      </c>
      <c r="AM219" s="924">
        <f ca="1">0.8*(AK219*30+'302'!D$17*0.34*30*1)</f>
        <v>24012.507099916242</v>
      </c>
      <c r="AN219" s="954">
        <f ca="1">IF(AM219&lt;User_sheet!B$50,Y219,0)</f>
        <v>0</v>
      </c>
      <c r="AO219" s="954">
        <f ca="1">20-(User_sheet!B$57/(AK219+'302'!D$17*1*0.34))</f>
        <v>14.302968889055437</v>
      </c>
      <c r="AP219" s="954">
        <f ca="1">IF(AO219&lt;User_sheet!B$59,0,BC219*AA219)</f>
        <v>1.4632270920382567E-3</v>
      </c>
      <c r="AR219" s="2">
        <v>7.7</v>
      </c>
      <c r="AS219" s="2">
        <v>2.1</v>
      </c>
      <c r="AT219" s="2">
        <v>7.9</v>
      </c>
      <c r="AU219" s="2">
        <v>2.75</v>
      </c>
      <c r="AV219" s="2">
        <v>3.3</v>
      </c>
      <c r="AW219" s="2">
        <v>11357.186356387729</v>
      </c>
      <c r="AX219" s="2">
        <v>74715.401027665983</v>
      </c>
      <c r="AY219" s="2">
        <v>67352.647733737584</v>
      </c>
      <c r="AZ219" s="2">
        <v>0</v>
      </c>
      <c r="BA219" s="2">
        <v>0</v>
      </c>
      <c r="BB219" s="2">
        <v>0.6</v>
      </c>
      <c r="BC219" s="30">
        <v>1</v>
      </c>
      <c r="BD219" s="34">
        <v>0</v>
      </c>
      <c r="BE219" s="34">
        <v>0</v>
      </c>
      <c r="BF219" s="40">
        <v>0</v>
      </c>
      <c r="BG219" s="2">
        <v>0</v>
      </c>
      <c r="BH219" s="2">
        <v>1</v>
      </c>
      <c r="BI219" s="40">
        <v>0</v>
      </c>
      <c r="BJ219" s="2">
        <v>1</v>
      </c>
      <c r="BK219" s="2">
        <v>0</v>
      </c>
      <c r="BL219" s="2">
        <v>0</v>
      </c>
      <c r="BM219" s="40">
        <v>0</v>
      </c>
      <c r="BN219" s="958">
        <v>0</v>
      </c>
      <c r="BO219" s="959">
        <v>14.9</v>
      </c>
      <c r="BP219" s="1018">
        <f t="shared" ca="1" si="302"/>
        <v>215.65</v>
      </c>
      <c r="BQ219" s="1018">
        <f t="shared" ca="1" si="303"/>
        <v>486.07500000000005</v>
      </c>
      <c r="BR219" s="1018">
        <f t="shared" ca="1" si="304"/>
        <v>117.8</v>
      </c>
      <c r="BS219" s="1018">
        <f t="shared" ca="1" si="305"/>
        <v>103.97</v>
      </c>
      <c r="BT219" s="1018">
        <f t="shared" ca="1" si="306"/>
        <v>53.9</v>
      </c>
      <c r="BU219" s="1018">
        <f t="shared" ca="1" si="307"/>
        <v>62.730000000000004</v>
      </c>
      <c r="BV219" s="1018">
        <f t="shared" ca="1" si="308"/>
        <v>4.3</v>
      </c>
      <c r="BW219" s="1018">
        <v>0</v>
      </c>
      <c r="BX219" s="1018">
        <f t="shared" ca="1" si="309"/>
        <v>388.5179897201599</v>
      </c>
      <c r="BY219" s="1018">
        <f t="shared" ca="1" si="310"/>
        <v>160.07111436950146</v>
      </c>
      <c r="BZ219" s="1018">
        <f t="shared" ca="1" si="295"/>
        <v>59.306682611142385</v>
      </c>
      <c r="CA219" s="1018">
        <f t="shared" ca="1" si="296"/>
        <v>172.50749990512088</v>
      </c>
      <c r="CB219" s="1018">
        <f t="shared" ca="1" si="311"/>
        <v>9.0267175572519083</v>
      </c>
      <c r="CC219" s="1018">
        <f t="shared" si="297"/>
        <v>0</v>
      </c>
      <c r="CD219" s="1018">
        <f t="shared" ca="1" si="312"/>
        <v>789.43000416317648</v>
      </c>
      <c r="CE219" s="1018">
        <f t="shared" ca="1" si="315"/>
        <v>174.83241983450787</v>
      </c>
      <c r="CF219" s="1018">
        <f t="shared" ca="1" si="299"/>
        <v>28.92787271993053</v>
      </c>
      <c r="CG219" s="1018">
        <f t="shared" ca="1" si="300"/>
        <v>48163.750963775528</v>
      </c>
    </row>
    <row r="220" spans="3:85" x14ac:dyDescent="0.25">
      <c r="C220" s="680"/>
      <c r="D220" s="681"/>
      <c r="E220" s="680"/>
      <c r="F220" s="681"/>
      <c r="G220" s="680"/>
      <c r="H220" s="686"/>
      <c r="I220" s="682"/>
      <c r="J220" s="686"/>
      <c r="K220" s="687"/>
      <c r="L220" s="686"/>
      <c r="M220" s="681" t="s">
        <v>16</v>
      </c>
      <c r="N220" s="683">
        <v>0.44680851100000002</v>
      </c>
      <c r="O220" s="681" t="s">
        <v>19</v>
      </c>
      <c r="P220" s="683">
        <v>0.37046004799999999</v>
      </c>
      <c r="Q220" s="681" t="s">
        <v>7</v>
      </c>
      <c r="R220" s="683">
        <v>0.26140000000000002</v>
      </c>
      <c r="S220" s="681"/>
      <c r="T220" s="688">
        <v>5.1784422084220438E-4</v>
      </c>
      <c r="U220" s="680"/>
      <c r="V220" s="176">
        <f t="shared" si="196"/>
        <v>5.1784422084220438E-4</v>
      </c>
      <c r="W220" s="176">
        <f>V220-V220*Calculation_sheet!J$67</f>
        <v>5.1784422084220438E-4</v>
      </c>
      <c r="X220" s="176">
        <f>W220-W220*Calculation_sheet!J$77</f>
        <v>5.1784422084220438E-4</v>
      </c>
      <c r="Y220" s="34">
        <f>X220/Calculation_sheet!M$67</f>
        <v>5.1785480890712205E-4</v>
      </c>
      <c r="Z220" s="176">
        <f ca="1">IF(AN220&gt;0,Y220*Calculation_sheet!C$87,0)</f>
        <v>0</v>
      </c>
      <c r="AA220" s="176">
        <f t="shared" ca="1" si="313"/>
        <v>5.1785480890712205E-4</v>
      </c>
      <c r="AB220" s="176">
        <f ca="1">IF(AP220&gt;0,AA220*Calculation_sheet!C$94,0)</f>
        <v>0</v>
      </c>
      <c r="AC220" s="176">
        <f t="shared" ca="1" si="301"/>
        <v>5.1785480890712205E-4</v>
      </c>
      <c r="AD220" s="958">
        <f ca="1">AC220*Calculation_sheet!C$99</f>
        <v>3.107128853442732E-4</v>
      </c>
      <c r="AE220" s="176">
        <f t="shared" ca="1" si="301"/>
        <v>2.0714192356284885E-4</v>
      </c>
      <c r="AF220" s="176">
        <f t="shared" ca="1" si="314"/>
        <v>5.1785480890712205E-4</v>
      </c>
      <c r="AG220" s="958">
        <f ca="1">AF220*User_sheet!B$77/100</f>
        <v>0</v>
      </c>
      <c r="AH220" s="313"/>
      <c r="AI220" s="3">
        <v>302</v>
      </c>
      <c r="AK220" s="1018">
        <f t="shared" ca="1" si="294"/>
        <v>789.43000416317648</v>
      </c>
      <c r="AL220" s="924">
        <f ca="1">AK220/'302'!I$24</f>
        <v>2.0123120167299935</v>
      </c>
      <c r="AM220" s="924">
        <f ca="1">0.8*(AK220*30+'302'!D$17*0.34*30*1)</f>
        <v>24012.507099916242</v>
      </c>
      <c r="AN220" s="954">
        <f ca="1">IF(AM220&lt;User_sheet!B$50,Y220,0)</f>
        <v>0</v>
      </c>
      <c r="AO220" s="954">
        <f ca="1">20-(User_sheet!B$57/(AK220+'302'!D$17*1*0.34))</f>
        <v>14.302968889055437</v>
      </c>
      <c r="AP220" s="954">
        <f ca="1">IF(AO220&lt;User_sheet!B$59,0,BC220*AA220)</f>
        <v>5.1785480890712205E-4</v>
      </c>
      <c r="AR220" s="2">
        <v>7.7</v>
      </c>
      <c r="AS220" s="2">
        <v>2.1</v>
      </c>
      <c r="AT220" s="2">
        <v>7.9</v>
      </c>
      <c r="AU220" s="2">
        <v>2.75</v>
      </c>
      <c r="AV220" s="2">
        <v>3.3</v>
      </c>
      <c r="AW220" s="2">
        <v>11357.186356387729</v>
      </c>
      <c r="AX220" s="2">
        <v>74715.401027665983</v>
      </c>
      <c r="AY220" s="2">
        <v>67352.647733737584</v>
      </c>
      <c r="AZ220" s="2">
        <v>0</v>
      </c>
      <c r="BA220" s="2">
        <v>0</v>
      </c>
      <c r="BB220" s="2">
        <v>0.6</v>
      </c>
      <c r="BC220" s="30">
        <v>1</v>
      </c>
      <c r="BD220" s="34">
        <v>0</v>
      </c>
      <c r="BE220" s="34">
        <v>0</v>
      </c>
      <c r="BF220" s="40">
        <v>0</v>
      </c>
      <c r="BG220" s="2">
        <v>0</v>
      </c>
      <c r="BH220" s="2">
        <v>1</v>
      </c>
      <c r="BI220" s="40">
        <v>0</v>
      </c>
      <c r="BJ220" s="2">
        <v>0</v>
      </c>
      <c r="BK220" s="2">
        <v>0</v>
      </c>
      <c r="BL220" s="2">
        <v>1</v>
      </c>
      <c r="BM220" s="40">
        <v>0</v>
      </c>
      <c r="BN220" s="958">
        <v>0</v>
      </c>
      <c r="BO220" s="959">
        <v>14.9</v>
      </c>
      <c r="BP220" s="1018">
        <f t="shared" ca="1" si="302"/>
        <v>215.65</v>
      </c>
      <c r="BQ220" s="1018">
        <f t="shared" ca="1" si="303"/>
        <v>486.07500000000005</v>
      </c>
      <c r="BR220" s="1018">
        <f t="shared" ca="1" si="304"/>
        <v>117.8</v>
      </c>
      <c r="BS220" s="1018">
        <f t="shared" ca="1" si="305"/>
        <v>103.97</v>
      </c>
      <c r="BT220" s="1018">
        <f t="shared" ca="1" si="306"/>
        <v>53.9</v>
      </c>
      <c r="BU220" s="1018">
        <f t="shared" ca="1" si="307"/>
        <v>62.730000000000004</v>
      </c>
      <c r="BV220" s="1018">
        <f t="shared" ca="1" si="308"/>
        <v>4.3</v>
      </c>
      <c r="BW220" s="1018">
        <v>0</v>
      </c>
      <c r="BX220" s="1018">
        <f t="shared" ca="1" si="309"/>
        <v>388.5179897201599</v>
      </c>
      <c r="BY220" s="1018">
        <f t="shared" ca="1" si="310"/>
        <v>160.07111436950146</v>
      </c>
      <c r="BZ220" s="1018">
        <f t="shared" ca="1" si="295"/>
        <v>59.306682611142385</v>
      </c>
      <c r="CA220" s="1018">
        <f t="shared" ca="1" si="296"/>
        <v>172.50749990512088</v>
      </c>
      <c r="CB220" s="1018">
        <f t="shared" ca="1" si="311"/>
        <v>9.0267175572519083</v>
      </c>
      <c r="CC220" s="1018">
        <f t="shared" si="297"/>
        <v>0</v>
      </c>
      <c r="CD220" s="1018">
        <f t="shared" ca="1" si="312"/>
        <v>789.43000416317648</v>
      </c>
      <c r="CE220" s="1018">
        <f t="shared" ca="1" si="315"/>
        <v>174.83241983450787</v>
      </c>
      <c r="CF220" s="1018">
        <f t="shared" ca="1" si="299"/>
        <v>28.92787271993053</v>
      </c>
      <c r="CG220" s="1018">
        <f t="shared" ca="1" si="300"/>
        <v>48163.750963775528</v>
      </c>
    </row>
    <row r="221" spans="3:85" x14ac:dyDescent="0.25">
      <c r="D221" s="681"/>
      <c r="E221" s="680"/>
      <c r="F221" s="681"/>
      <c r="G221" s="680"/>
      <c r="H221" s="686"/>
      <c r="I221" s="682"/>
      <c r="J221" s="686"/>
      <c r="K221" s="687"/>
      <c r="L221" s="686"/>
      <c r="M221" s="681"/>
      <c r="N221" s="681"/>
      <c r="O221" s="681"/>
      <c r="P221" s="681"/>
      <c r="Q221" s="681" t="s">
        <v>22</v>
      </c>
      <c r="R221" s="683">
        <v>0.53710000000000002</v>
      </c>
      <c r="S221" s="681"/>
      <c r="T221" s="688">
        <v>2.3214757306395748E-3</v>
      </c>
      <c r="U221" s="680"/>
      <c r="V221" s="176">
        <f t="shared" si="196"/>
        <v>2.3214757306395748E-3</v>
      </c>
      <c r="W221" s="176">
        <f>V221-V221*Calculation_sheet!J$67</f>
        <v>2.3214757306395748E-3</v>
      </c>
      <c r="X221" s="176">
        <f>W221-W221*Calculation_sheet!J$77</f>
        <v>2.3214757306395748E-3</v>
      </c>
      <c r="Y221" s="34">
        <f>X221/Calculation_sheet!M$67</f>
        <v>2.3215231965274838E-3</v>
      </c>
      <c r="Z221" s="176">
        <f ca="1">IF(AN221&gt;0,Y221*Calculation_sheet!C$87,0)</f>
        <v>0</v>
      </c>
      <c r="AA221" s="176">
        <f t="shared" ca="1" si="313"/>
        <v>2.3215231965274838E-3</v>
      </c>
      <c r="AB221" s="176">
        <f ca="1">IF(AP221&gt;0,AA221*Calculation_sheet!C$94,0)</f>
        <v>0</v>
      </c>
      <c r="AC221" s="176">
        <f t="shared" ca="1" si="301"/>
        <v>2.3215231965274838E-3</v>
      </c>
      <c r="AD221" s="958">
        <f ca="1">AC221*Calculation_sheet!C$99</f>
        <v>1.3929139179164902E-3</v>
      </c>
      <c r="AE221" s="176">
        <f t="shared" ca="1" si="301"/>
        <v>9.286092786109936E-4</v>
      </c>
      <c r="AF221" s="176">
        <f t="shared" ca="1" si="314"/>
        <v>2.3215231965274838E-3</v>
      </c>
      <c r="AG221" s="958">
        <f ca="1">AF221*User_sheet!B$77/100</f>
        <v>0</v>
      </c>
      <c r="AH221" s="313"/>
      <c r="AI221" s="3">
        <v>302</v>
      </c>
      <c r="AK221" s="1018">
        <f t="shared" ca="1" si="294"/>
        <v>789.43000416317648</v>
      </c>
      <c r="AL221" s="924">
        <f ca="1">AK221/'302'!I$24</f>
        <v>2.0123120167299935</v>
      </c>
      <c r="AM221" s="924">
        <f ca="1">0.8*(AK221*30+'302'!D$17*0.34*30*1)</f>
        <v>24012.507099916242</v>
      </c>
      <c r="AN221" s="954">
        <f ca="1">IF(AM221&lt;User_sheet!B$50,Y221,0)</f>
        <v>0</v>
      </c>
      <c r="AO221" s="954">
        <f ca="1">20-(User_sheet!B$57/(AK221+'302'!D$17*1*0.34))</f>
        <v>14.302968889055437</v>
      </c>
      <c r="AP221" s="954">
        <f ca="1">IF(AO221&lt;User_sheet!B$59,0,BC221*AA221)</f>
        <v>0</v>
      </c>
      <c r="AR221" s="2">
        <v>7.7</v>
      </c>
      <c r="AS221" s="2">
        <v>2.1</v>
      </c>
      <c r="AT221" s="2">
        <v>7.9</v>
      </c>
      <c r="AU221" s="2">
        <v>2.75</v>
      </c>
      <c r="AV221" s="2">
        <v>3.3</v>
      </c>
      <c r="AW221" s="2">
        <v>11357.186356387729</v>
      </c>
      <c r="AX221" s="2">
        <v>74715.401027665983</v>
      </c>
      <c r="AY221" s="2">
        <v>67352.647733737584</v>
      </c>
      <c r="AZ221" s="2">
        <v>0</v>
      </c>
      <c r="BA221" s="2">
        <v>0</v>
      </c>
      <c r="BB221" s="2">
        <v>0.6</v>
      </c>
      <c r="BC221" s="30">
        <v>0</v>
      </c>
      <c r="BD221" s="34">
        <v>1</v>
      </c>
      <c r="BE221" s="34">
        <v>0</v>
      </c>
      <c r="BF221" s="40">
        <v>0</v>
      </c>
      <c r="BG221" s="2">
        <v>1</v>
      </c>
      <c r="BH221" s="2">
        <v>0</v>
      </c>
      <c r="BI221" s="40">
        <v>0</v>
      </c>
      <c r="BJ221" s="2">
        <v>0</v>
      </c>
      <c r="BK221" s="2">
        <v>1</v>
      </c>
      <c r="BL221" s="2">
        <v>0</v>
      </c>
      <c r="BM221" s="40">
        <v>0</v>
      </c>
      <c r="BN221" s="958">
        <v>0</v>
      </c>
      <c r="BO221" s="959">
        <v>14.9</v>
      </c>
      <c r="BP221" s="1018">
        <f t="shared" ca="1" si="302"/>
        <v>215.65</v>
      </c>
      <c r="BQ221" s="1018">
        <f t="shared" ca="1" si="303"/>
        <v>486.07500000000005</v>
      </c>
      <c r="BR221" s="1018">
        <f t="shared" ca="1" si="304"/>
        <v>117.8</v>
      </c>
      <c r="BS221" s="1018">
        <f t="shared" ca="1" si="305"/>
        <v>103.97</v>
      </c>
      <c r="BT221" s="1018">
        <f t="shared" ca="1" si="306"/>
        <v>53.9</v>
      </c>
      <c r="BU221" s="1018">
        <f t="shared" ca="1" si="307"/>
        <v>62.730000000000004</v>
      </c>
      <c r="BV221" s="1018">
        <f t="shared" ca="1" si="308"/>
        <v>4.3</v>
      </c>
      <c r="BW221" s="1018">
        <v>0</v>
      </c>
      <c r="BX221" s="1018">
        <f t="shared" ca="1" si="309"/>
        <v>388.5179897201599</v>
      </c>
      <c r="BY221" s="1018">
        <f t="shared" ca="1" si="310"/>
        <v>160.07111436950146</v>
      </c>
      <c r="BZ221" s="1018">
        <f t="shared" ca="1" si="295"/>
        <v>59.306682611142385</v>
      </c>
      <c r="CA221" s="1018">
        <f t="shared" ca="1" si="296"/>
        <v>172.50749990512088</v>
      </c>
      <c r="CB221" s="1018">
        <f t="shared" ca="1" si="311"/>
        <v>9.0267175572519083</v>
      </c>
      <c r="CC221" s="1018">
        <f t="shared" si="297"/>
        <v>0</v>
      </c>
      <c r="CD221" s="1018">
        <f t="shared" ca="1" si="312"/>
        <v>789.43000416317648</v>
      </c>
      <c r="CE221" s="1018">
        <f t="shared" ca="1" si="315"/>
        <v>174.83241983450787</v>
      </c>
      <c r="CF221" s="1018">
        <f t="shared" ca="1" si="299"/>
        <v>28.92787271993053</v>
      </c>
      <c r="CG221" s="1018">
        <f t="shared" ca="1" si="300"/>
        <v>48163.750963775528</v>
      </c>
    </row>
    <row r="222" spans="3:85" x14ac:dyDescent="0.25">
      <c r="D222" s="681"/>
      <c r="E222" s="680"/>
      <c r="F222" s="681"/>
      <c r="G222" s="680"/>
      <c r="H222" s="686"/>
      <c r="I222" s="682"/>
      <c r="J222" s="686"/>
      <c r="K222" s="687"/>
      <c r="L222" s="686"/>
      <c r="M222" s="681"/>
      <c r="N222" s="681"/>
      <c r="O222" s="681" t="s">
        <v>18</v>
      </c>
      <c r="P222" s="683">
        <v>0.80827067699999999</v>
      </c>
      <c r="Q222" s="681" t="s">
        <v>7</v>
      </c>
      <c r="R222" s="683">
        <v>0.46289999999999998</v>
      </c>
      <c r="S222" s="681"/>
      <c r="T222" s="688">
        <v>2.0007654360697435E-3</v>
      </c>
      <c r="U222" s="680"/>
      <c r="V222" s="176">
        <f t="shared" si="196"/>
        <v>2.0007654360697435E-3</v>
      </c>
      <c r="W222" s="176">
        <f>V222-V222*Calculation_sheet!J$67</f>
        <v>2.0007654360697435E-3</v>
      </c>
      <c r="X222" s="176">
        <f>W222-W222*Calculation_sheet!J$77</f>
        <v>2.0007654360697435E-3</v>
      </c>
      <c r="Y222" s="34">
        <f>X222/Calculation_sheet!M$67</f>
        <v>2.0008063445774945E-3</v>
      </c>
      <c r="Z222" s="176">
        <f ca="1">IF(AN222&gt;0,Y222*Calculation_sheet!C$87,0)</f>
        <v>0</v>
      </c>
      <c r="AA222" s="176">
        <f t="shared" ca="1" si="313"/>
        <v>2.0008063445774945E-3</v>
      </c>
      <c r="AB222" s="176">
        <f ca="1">IF(AP222&gt;0,AA222*Calculation_sheet!C$94,0)</f>
        <v>0</v>
      </c>
      <c r="AC222" s="176">
        <f t="shared" ca="1" si="301"/>
        <v>2.0008063445774945E-3</v>
      </c>
      <c r="AD222" s="958">
        <f ca="1">AC222*Calculation_sheet!C$99</f>
        <v>1.2004838067464967E-3</v>
      </c>
      <c r="AE222" s="176">
        <f t="shared" ca="1" si="301"/>
        <v>8.0032253783099785E-4</v>
      </c>
      <c r="AF222" s="176">
        <f t="shared" ca="1" si="314"/>
        <v>2.0008063445774945E-3</v>
      </c>
      <c r="AG222" s="958">
        <f ca="1">AF222*User_sheet!B$77/100</f>
        <v>0</v>
      </c>
      <c r="AH222" s="313"/>
      <c r="AI222" s="3">
        <v>302</v>
      </c>
      <c r="AK222" s="1018">
        <f t="shared" ca="1" si="294"/>
        <v>789.43000416317648</v>
      </c>
      <c r="AL222" s="924">
        <f ca="1">AK222/'302'!I$24</f>
        <v>2.0123120167299935</v>
      </c>
      <c r="AM222" s="924">
        <f ca="1">0.8*(AK222*30+'302'!D$17*0.34*30*1)</f>
        <v>24012.507099916242</v>
      </c>
      <c r="AN222" s="954">
        <f ca="1">IF(AM222&lt;User_sheet!B$50,Y222,0)</f>
        <v>0</v>
      </c>
      <c r="AO222" s="954">
        <f ca="1">20-(User_sheet!B$57/(AK222+'302'!D$17*1*0.34))</f>
        <v>14.302968889055437</v>
      </c>
      <c r="AP222" s="954">
        <f ca="1">IF(AO222&lt;User_sheet!B$59,0,BC222*AA222)</f>
        <v>0</v>
      </c>
      <c r="AR222" s="2">
        <v>7.7</v>
      </c>
      <c r="AS222" s="2">
        <v>2.1</v>
      </c>
      <c r="AT222" s="2">
        <v>7.9</v>
      </c>
      <c r="AU222" s="2">
        <v>2.75</v>
      </c>
      <c r="AV222" s="2">
        <v>3.3</v>
      </c>
      <c r="AW222" s="2">
        <v>11357.186356387729</v>
      </c>
      <c r="AX222" s="2">
        <v>74715.401027665983</v>
      </c>
      <c r="AY222" s="2">
        <v>67352.647733737584</v>
      </c>
      <c r="AZ222" s="2">
        <v>0</v>
      </c>
      <c r="BA222" s="2">
        <v>0</v>
      </c>
      <c r="BB222" s="2">
        <v>0.6</v>
      </c>
      <c r="BC222" s="30">
        <v>0</v>
      </c>
      <c r="BD222" s="34">
        <v>1</v>
      </c>
      <c r="BE222" s="34">
        <v>0</v>
      </c>
      <c r="BF222" s="40">
        <v>0</v>
      </c>
      <c r="BG222" s="2">
        <v>1</v>
      </c>
      <c r="BH222" s="2">
        <v>0</v>
      </c>
      <c r="BI222" s="40">
        <v>0</v>
      </c>
      <c r="BJ222" s="2">
        <v>0</v>
      </c>
      <c r="BK222" s="2">
        <v>0</v>
      </c>
      <c r="BL222" s="2">
        <v>1</v>
      </c>
      <c r="BM222" s="40">
        <v>0</v>
      </c>
      <c r="BN222" s="958">
        <v>0</v>
      </c>
      <c r="BO222" s="959">
        <v>14.9</v>
      </c>
      <c r="BP222" s="1018">
        <f t="shared" ca="1" si="302"/>
        <v>215.65</v>
      </c>
      <c r="BQ222" s="1018">
        <f t="shared" ca="1" si="303"/>
        <v>486.07500000000005</v>
      </c>
      <c r="BR222" s="1018">
        <f t="shared" ca="1" si="304"/>
        <v>117.8</v>
      </c>
      <c r="BS222" s="1018">
        <f t="shared" ca="1" si="305"/>
        <v>103.97</v>
      </c>
      <c r="BT222" s="1018">
        <f t="shared" ca="1" si="306"/>
        <v>53.9</v>
      </c>
      <c r="BU222" s="1018">
        <f t="shared" ca="1" si="307"/>
        <v>62.730000000000004</v>
      </c>
      <c r="BV222" s="1018">
        <f t="shared" ca="1" si="308"/>
        <v>4.3</v>
      </c>
      <c r="BW222" s="1018">
        <v>0</v>
      </c>
      <c r="BX222" s="1018">
        <f t="shared" ca="1" si="309"/>
        <v>388.5179897201599</v>
      </c>
      <c r="BY222" s="1018">
        <f t="shared" ca="1" si="310"/>
        <v>160.07111436950146</v>
      </c>
      <c r="BZ222" s="1018">
        <f t="shared" ca="1" si="295"/>
        <v>59.306682611142385</v>
      </c>
      <c r="CA222" s="1018">
        <f t="shared" ca="1" si="296"/>
        <v>172.50749990512088</v>
      </c>
      <c r="CB222" s="1018">
        <f t="shared" ca="1" si="311"/>
        <v>9.0267175572519083</v>
      </c>
      <c r="CC222" s="1018">
        <f t="shared" si="297"/>
        <v>0</v>
      </c>
      <c r="CD222" s="1018">
        <f t="shared" ca="1" si="312"/>
        <v>789.43000416317648</v>
      </c>
      <c r="CE222" s="1018">
        <f t="shared" ca="1" si="315"/>
        <v>174.83241983450787</v>
      </c>
      <c r="CF222" s="1018">
        <f t="shared" ca="1" si="299"/>
        <v>28.92787271993053</v>
      </c>
      <c r="CG222" s="1018">
        <f t="shared" ca="1" si="300"/>
        <v>48163.750963775528</v>
      </c>
    </row>
    <row r="223" spans="3:85" x14ac:dyDescent="0.25">
      <c r="D223" s="681"/>
      <c r="E223" s="680"/>
      <c r="F223" s="681"/>
      <c r="G223" s="680"/>
      <c r="H223" s="686"/>
      <c r="I223" s="682"/>
      <c r="J223" s="686"/>
      <c r="K223" s="687"/>
      <c r="L223" s="686"/>
      <c r="M223" s="681"/>
      <c r="N223" s="681"/>
      <c r="O223" s="681"/>
      <c r="P223" s="681"/>
      <c r="Q223" s="681" t="s">
        <v>22</v>
      </c>
      <c r="R223" s="683">
        <v>0.53710000000000002</v>
      </c>
      <c r="S223" s="681"/>
      <c r="T223" s="688">
        <v>5.5067563733535749E-4</v>
      </c>
      <c r="U223" s="680"/>
      <c r="V223" s="176">
        <f t="shared" si="196"/>
        <v>5.5067563733535749E-4</v>
      </c>
      <c r="W223" s="176">
        <f>V223-V223*Calculation_sheet!J$67</f>
        <v>5.5067563733535749E-4</v>
      </c>
      <c r="X223" s="176">
        <f>W223-W223*Calculation_sheet!J$77</f>
        <v>5.5067563733535749E-4</v>
      </c>
      <c r="Y223" s="34">
        <f>X223/Calculation_sheet!M$67</f>
        <v>5.5068689668549028E-4</v>
      </c>
      <c r="Z223" s="176">
        <f ca="1">IF(AN223&gt;0,Y223*Calculation_sheet!C$87,0)</f>
        <v>0</v>
      </c>
      <c r="AA223" s="176">
        <f t="shared" ca="1" si="313"/>
        <v>5.5068689668549028E-4</v>
      </c>
      <c r="AB223" s="176">
        <f ca="1">IF(AP223&gt;0,AA223*Calculation_sheet!C$94,0)</f>
        <v>0</v>
      </c>
      <c r="AC223" s="176">
        <f t="shared" ca="1" si="301"/>
        <v>5.5068689668549028E-4</v>
      </c>
      <c r="AD223" s="958">
        <f ca="1">AC223*Calculation_sheet!C$99</f>
        <v>3.3041213801129416E-4</v>
      </c>
      <c r="AE223" s="176">
        <f t="shared" ca="1" si="301"/>
        <v>2.2027475867419612E-4</v>
      </c>
      <c r="AF223" s="176">
        <f t="shared" ca="1" si="314"/>
        <v>5.5068689668549028E-4</v>
      </c>
      <c r="AG223" s="958">
        <f ca="1">AF223*User_sheet!B$77/100</f>
        <v>0</v>
      </c>
      <c r="AH223" s="313"/>
      <c r="AI223" s="3">
        <v>302</v>
      </c>
      <c r="AK223" s="1018">
        <f t="shared" ca="1" si="294"/>
        <v>789.43000416317648</v>
      </c>
      <c r="AL223" s="924">
        <f ca="1">AK223/'302'!I$24</f>
        <v>2.0123120167299935</v>
      </c>
      <c r="AM223" s="924">
        <f ca="1">0.8*(AK223*30+'302'!D$17*0.34*30*1)</f>
        <v>24012.507099916242</v>
      </c>
      <c r="AN223" s="954">
        <f ca="1">IF(AM223&lt;User_sheet!B$50,Y223,0)</f>
        <v>0</v>
      </c>
      <c r="AO223" s="954">
        <f ca="1">20-(User_sheet!B$57/(AK223+'302'!D$17*1*0.34))</f>
        <v>14.302968889055437</v>
      </c>
      <c r="AP223" s="954">
        <f ca="1">IF(AO223&lt;User_sheet!B$59,0,BC223*AA223)</f>
        <v>0</v>
      </c>
      <c r="AR223" s="2">
        <v>7.7</v>
      </c>
      <c r="AS223" s="2">
        <v>2.1</v>
      </c>
      <c r="AT223" s="2">
        <v>7.9</v>
      </c>
      <c r="AU223" s="2">
        <v>2.75</v>
      </c>
      <c r="AV223" s="2">
        <v>3.3</v>
      </c>
      <c r="AW223" s="2">
        <v>11357.186356387729</v>
      </c>
      <c r="AX223" s="2">
        <v>74715.401027665983</v>
      </c>
      <c r="AY223" s="2">
        <v>67352.647733737584</v>
      </c>
      <c r="AZ223" s="2">
        <v>0</v>
      </c>
      <c r="BA223" s="2">
        <v>0</v>
      </c>
      <c r="BB223" s="2">
        <v>0.6</v>
      </c>
      <c r="BC223" s="30">
        <v>0</v>
      </c>
      <c r="BD223" s="34">
        <v>1</v>
      </c>
      <c r="BE223" s="34">
        <v>0</v>
      </c>
      <c r="BF223" s="40">
        <v>0</v>
      </c>
      <c r="BG223" s="2">
        <v>0</v>
      </c>
      <c r="BH223" s="2">
        <v>1</v>
      </c>
      <c r="BI223" s="40">
        <v>0</v>
      </c>
      <c r="BJ223" s="2">
        <v>0</v>
      </c>
      <c r="BK223" s="2">
        <v>1</v>
      </c>
      <c r="BL223" s="2">
        <v>0</v>
      </c>
      <c r="BM223" s="40">
        <v>0</v>
      </c>
      <c r="BN223" s="958">
        <v>0</v>
      </c>
      <c r="BO223" s="959">
        <v>14.9</v>
      </c>
      <c r="BP223" s="1018">
        <f t="shared" ca="1" si="302"/>
        <v>215.65</v>
      </c>
      <c r="BQ223" s="1018">
        <f t="shared" ca="1" si="303"/>
        <v>486.07500000000005</v>
      </c>
      <c r="BR223" s="1018">
        <f t="shared" ca="1" si="304"/>
        <v>117.8</v>
      </c>
      <c r="BS223" s="1018">
        <f t="shared" ca="1" si="305"/>
        <v>103.97</v>
      </c>
      <c r="BT223" s="1018">
        <f t="shared" ca="1" si="306"/>
        <v>53.9</v>
      </c>
      <c r="BU223" s="1018">
        <f t="shared" ca="1" si="307"/>
        <v>62.730000000000004</v>
      </c>
      <c r="BV223" s="1018">
        <f t="shared" ca="1" si="308"/>
        <v>4.3</v>
      </c>
      <c r="BW223" s="1018">
        <v>0</v>
      </c>
      <c r="BX223" s="1018">
        <f t="shared" ca="1" si="309"/>
        <v>388.5179897201599</v>
      </c>
      <c r="BY223" s="1018">
        <f t="shared" ca="1" si="310"/>
        <v>160.07111436950146</v>
      </c>
      <c r="BZ223" s="1018">
        <f t="shared" ca="1" si="295"/>
        <v>59.306682611142385</v>
      </c>
      <c r="CA223" s="1018">
        <f t="shared" ca="1" si="296"/>
        <v>172.50749990512088</v>
      </c>
      <c r="CB223" s="1018">
        <f t="shared" ca="1" si="311"/>
        <v>9.0267175572519083</v>
      </c>
      <c r="CC223" s="1018">
        <f t="shared" si="297"/>
        <v>0</v>
      </c>
      <c r="CD223" s="1018">
        <f t="shared" ca="1" si="312"/>
        <v>789.43000416317648</v>
      </c>
      <c r="CE223" s="1018">
        <f t="shared" ca="1" si="315"/>
        <v>174.83241983450787</v>
      </c>
      <c r="CF223" s="1018">
        <f t="shared" ca="1" si="299"/>
        <v>28.92787271993053</v>
      </c>
      <c r="CG223" s="1018">
        <f t="shared" ca="1" si="300"/>
        <v>48163.750963775528</v>
      </c>
    </row>
    <row r="224" spans="3:85" x14ac:dyDescent="0.25">
      <c r="D224" s="681"/>
      <c r="E224" s="680"/>
      <c r="F224" s="681"/>
      <c r="G224" s="680"/>
      <c r="H224" s="681"/>
      <c r="I224" s="680"/>
      <c r="J224" s="681"/>
      <c r="K224" s="681"/>
      <c r="L224" s="681"/>
      <c r="M224" s="681" t="s">
        <v>22</v>
      </c>
      <c r="N224" s="683">
        <v>0.44680851100000002</v>
      </c>
      <c r="O224" s="681" t="s">
        <v>20</v>
      </c>
      <c r="P224" s="683">
        <v>0.19172932300000001</v>
      </c>
      <c r="Q224" s="681" t="s">
        <v>7</v>
      </c>
      <c r="R224" s="683">
        <v>0.46289999999999998</v>
      </c>
      <c r="S224" s="681"/>
      <c r="T224" s="688">
        <v>4.7460017226314845E-4</v>
      </c>
      <c r="U224" s="680"/>
      <c r="V224" s="176">
        <f t="shared" si="196"/>
        <v>4.7460017226314845E-4</v>
      </c>
      <c r="W224" s="176">
        <f>V224-V224*Calculation_sheet!J$67</f>
        <v>4.7460017226314845E-4</v>
      </c>
      <c r="X224" s="176">
        <f>W224-W224*Calculation_sheet!J$77</f>
        <v>4.7460017226314845E-4</v>
      </c>
      <c r="Y224" s="34">
        <f>X224/Calculation_sheet!M$67</f>
        <v>4.7460987614171199E-4</v>
      </c>
      <c r="Z224" s="176">
        <f ca="1">IF(AN224&gt;0,Y224*Calculation_sheet!C$87,0)</f>
        <v>0</v>
      </c>
      <c r="AA224" s="176">
        <f t="shared" ca="1" si="313"/>
        <v>4.7460987614171199E-4</v>
      </c>
      <c r="AB224" s="176">
        <f ca="1">IF(AP224&gt;0,AA224*Calculation_sheet!C$94,0)</f>
        <v>0</v>
      </c>
      <c r="AC224" s="176">
        <f t="shared" ca="1" si="301"/>
        <v>4.7460987614171199E-4</v>
      </c>
      <c r="AD224" s="958">
        <f ca="1">AC224*Calculation_sheet!C$99</f>
        <v>2.847659256850272E-4</v>
      </c>
      <c r="AE224" s="176">
        <f t="shared" ca="1" si="301"/>
        <v>1.898439504566848E-4</v>
      </c>
      <c r="AF224" s="176">
        <f t="shared" ca="1" si="314"/>
        <v>4.7460987614171199E-4</v>
      </c>
      <c r="AG224" s="958">
        <f ca="1">AF224*User_sheet!B$77/100</f>
        <v>0</v>
      </c>
      <c r="AH224" s="313"/>
      <c r="AI224" s="3">
        <v>302</v>
      </c>
      <c r="AK224" s="1018">
        <f t="shared" ca="1" si="294"/>
        <v>789.43000416317648</v>
      </c>
      <c r="AL224" s="924">
        <f ca="1">AK224/'302'!I$24</f>
        <v>2.0123120167299935</v>
      </c>
      <c r="AM224" s="924">
        <f ca="1">0.8*(AK224*30+'302'!D$17*0.34*30*1)</f>
        <v>24012.507099916242</v>
      </c>
      <c r="AN224" s="954">
        <f ca="1">IF(AM224&lt;User_sheet!B$50,Y224,0)</f>
        <v>0</v>
      </c>
      <c r="AO224" s="954">
        <f ca="1">20-(User_sheet!B$57/(AK224+'302'!D$17*1*0.34))</f>
        <v>14.302968889055437</v>
      </c>
      <c r="AP224" s="954">
        <f ca="1">IF(AO224&lt;User_sheet!B$59,0,BC224*AA224)</f>
        <v>0</v>
      </c>
      <c r="AR224" s="2">
        <v>7.7</v>
      </c>
      <c r="AS224" s="2">
        <v>2.1</v>
      </c>
      <c r="AT224" s="2">
        <v>7.9</v>
      </c>
      <c r="AU224" s="2">
        <v>2.75</v>
      </c>
      <c r="AV224" s="2">
        <v>3.3</v>
      </c>
      <c r="AW224" s="2">
        <v>11357.186356387729</v>
      </c>
      <c r="AX224" s="2">
        <v>74715.401027665983</v>
      </c>
      <c r="AY224" s="2">
        <v>67352.647733737584</v>
      </c>
      <c r="AZ224" s="2">
        <v>0</v>
      </c>
      <c r="BA224" s="2">
        <v>0</v>
      </c>
      <c r="BB224" s="2">
        <v>0.6</v>
      </c>
      <c r="BC224" s="30">
        <v>0</v>
      </c>
      <c r="BD224" s="34">
        <v>1</v>
      </c>
      <c r="BE224" s="34">
        <v>0</v>
      </c>
      <c r="BF224" s="40">
        <v>0</v>
      </c>
      <c r="BG224" s="2">
        <v>0</v>
      </c>
      <c r="BH224" s="2">
        <v>1</v>
      </c>
      <c r="BI224" s="40">
        <v>0</v>
      </c>
      <c r="BJ224" s="2">
        <v>0</v>
      </c>
      <c r="BK224" s="2">
        <v>0</v>
      </c>
      <c r="BL224" s="2">
        <v>1</v>
      </c>
      <c r="BM224" s="40">
        <v>0</v>
      </c>
      <c r="BN224" s="958">
        <v>0</v>
      </c>
      <c r="BO224" s="959">
        <v>14.9</v>
      </c>
      <c r="BP224" s="1018">
        <f t="shared" ca="1" si="302"/>
        <v>215.65</v>
      </c>
      <c r="BQ224" s="1018">
        <f t="shared" ca="1" si="303"/>
        <v>486.07500000000005</v>
      </c>
      <c r="BR224" s="1018">
        <f t="shared" ca="1" si="304"/>
        <v>117.8</v>
      </c>
      <c r="BS224" s="1018">
        <f t="shared" ca="1" si="305"/>
        <v>103.97</v>
      </c>
      <c r="BT224" s="1018">
        <f t="shared" ca="1" si="306"/>
        <v>53.9</v>
      </c>
      <c r="BU224" s="1018">
        <f t="shared" ca="1" si="307"/>
        <v>62.730000000000004</v>
      </c>
      <c r="BV224" s="1018">
        <f t="shared" ca="1" si="308"/>
        <v>4.3</v>
      </c>
      <c r="BW224" s="1018">
        <v>0</v>
      </c>
      <c r="BX224" s="1018">
        <f t="shared" ca="1" si="309"/>
        <v>388.5179897201599</v>
      </c>
      <c r="BY224" s="1018">
        <f t="shared" ca="1" si="310"/>
        <v>160.07111436950146</v>
      </c>
      <c r="BZ224" s="1018">
        <f t="shared" ca="1" si="295"/>
        <v>59.306682611142385</v>
      </c>
      <c r="CA224" s="1018">
        <f t="shared" ca="1" si="296"/>
        <v>172.50749990512088</v>
      </c>
      <c r="CB224" s="1018">
        <f t="shared" ca="1" si="311"/>
        <v>9.0267175572519083</v>
      </c>
      <c r="CC224" s="1018">
        <f t="shared" si="297"/>
        <v>0</v>
      </c>
      <c r="CD224" s="1018">
        <f t="shared" ca="1" si="312"/>
        <v>789.43000416317648</v>
      </c>
      <c r="CE224" s="1018">
        <f t="shared" ca="1" si="315"/>
        <v>174.83241983450787</v>
      </c>
      <c r="CF224" s="1018">
        <f t="shared" ca="1" si="299"/>
        <v>28.92787271993053</v>
      </c>
      <c r="CG224" s="1018">
        <f t="shared" ca="1" si="300"/>
        <v>48163.750963775528</v>
      </c>
    </row>
    <row r="225" spans="4:85" x14ac:dyDescent="0.25">
      <c r="D225" s="681"/>
      <c r="E225" s="680" t="s">
        <v>8</v>
      </c>
      <c r="F225" s="685">
        <v>0.75</v>
      </c>
      <c r="G225" s="680"/>
      <c r="H225" s="681"/>
      <c r="I225" s="680" t="s">
        <v>10</v>
      </c>
      <c r="J225" s="685">
        <v>0.40970000000000001</v>
      </c>
      <c r="K225" s="681"/>
      <c r="L225" s="681"/>
      <c r="M225" s="681" t="s">
        <v>7</v>
      </c>
      <c r="N225" s="683">
        <v>2.1276595999999998E-2</v>
      </c>
      <c r="O225" s="681" t="s">
        <v>23</v>
      </c>
      <c r="P225" s="683">
        <v>1</v>
      </c>
      <c r="Q225" s="681" t="s">
        <v>7</v>
      </c>
      <c r="R225" s="683">
        <v>1</v>
      </c>
      <c r="S225" s="681"/>
      <c r="T225" s="688">
        <v>2.5464366838805159E-4</v>
      </c>
      <c r="U225" s="680"/>
      <c r="V225" s="176">
        <f t="shared" si="196"/>
        <v>2.5464366838805159E-4</v>
      </c>
      <c r="W225" s="176">
        <f>V225-V225*Calculation_sheet!J$67</f>
        <v>2.5464366838805159E-4</v>
      </c>
      <c r="X225" s="176">
        <f>W225-W225*Calculation_sheet!J$77</f>
        <v>2.5464366838805159E-4</v>
      </c>
      <c r="Y225" s="34">
        <f>X225/Calculation_sheet!M$67</f>
        <v>2.5464887494165066E-4</v>
      </c>
      <c r="Z225" s="176">
        <f ca="1">IF(AN225&gt;0,Y225*Calculation_sheet!C$87,0)</f>
        <v>0</v>
      </c>
      <c r="AA225" s="176">
        <f t="shared" ca="1" si="313"/>
        <v>2.5464887494165066E-4</v>
      </c>
      <c r="AB225" s="176">
        <f ca="1">IF(AP225&gt;0,AA225*Calculation_sheet!C$94,0)</f>
        <v>0</v>
      </c>
      <c r="AC225" s="176">
        <f t="shared" ca="1" si="301"/>
        <v>2.5464887494165066E-4</v>
      </c>
      <c r="AD225" s="958">
        <f ca="1">AC225*Calculation_sheet!C$99</f>
        <v>1.527893249649904E-4</v>
      </c>
      <c r="AE225" s="176">
        <f t="shared" ca="1" si="301"/>
        <v>1.0185954997666026E-4</v>
      </c>
      <c r="AF225" s="176">
        <f t="shared" ca="1" si="314"/>
        <v>2.5464887494165066E-4</v>
      </c>
      <c r="AG225" s="958">
        <f ca="1">AF225*User_sheet!B$77/100</f>
        <v>0</v>
      </c>
      <c r="AH225" s="313"/>
      <c r="AI225" s="3">
        <v>302</v>
      </c>
      <c r="AK225" s="1018">
        <f t="shared" ca="1" si="294"/>
        <v>789.43000416317648</v>
      </c>
      <c r="AL225" s="924">
        <f ca="1">AK225/'302'!I$24</f>
        <v>2.0123120167299935</v>
      </c>
      <c r="AM225" s="924">
        <f ca="1">0.8*(AK225*30+'302'!D$17*0.34*30*1)</f>
        <v>24012.507099916242</v>
      </c>
      <c r="AN225" s="954">
        <f ca="1">IF(AM225&lt;User_sheet!B$50,Y225,0)</f>
        <v>0</v>
      </c>
      <c r="AO225" s="954">
        <f ca="1">20-(User_sheet!B$57/(AK225+'302'!D$17*1*0.34))</f>
        <v>14.302968889055437</v>
      </c>
      <c r="AP225" s="954">
        <f ca="1">IF(AO225&lt;User_sheet!B$59,0,BC225*AA225)</f>
        <v>0</v>
      </c>
      <c r="AR225" s="2">
        <v>7.7</v>
      </c>
      <c r="AS225" s="2">
        <v>2.1</v>
      </c>
      <c r="AT225" s="2">
        <v>7.9</v>
      </c>
      <c r="AU225" s="2">
        <v>2.75</v>
      </c>
      <c r="AV225" s="2">
        <v>3.3</v>
      </c>
      <c r="AW225" s="2">
        <v>11357.186356387729</v>
      </c>
      <c r="AX225" s="2">
        <v>74715.401027665983</v>
      </c>
      <c r="AY225" s="2">
        <v>67352.647733737584</v>
      </c>
      <c r="AZ225" s="2">
        <v>0</v>
      </c>
      <c r="BA225" s="2">
        <v>0</v>
      </c>
      <c r="BB225" s="2">
        <v>0.6</v>
      </c>
      <c r="BC225" s="30">
        <v>0</v>
      </c>
      <c r="BD225" s="34">
        <v>0</v>
      </c>
      <c r="BE225" s="34">
        <v>1</v>
      </c>
      <c r="BF225" s="40">
        <v>0</v>
      </c>
      <c r="BG225" s="2">
        <v>0</v>
      </c>
      <c r="BH225" s="2">
        <v>0</v>
      </c>
      <c r="BI225" s="40">
        <v>1</v>
      </c>
      <c r="BJ225" s="2">
        <v>0</v>
      </c>
      <c r="BK225" s="2">
        <v>0</v>
      </c>
      <c r="BL225" s="2">
        <v>1</v>
      </c>
      <c r="BM225" s="40">
        <v>0</v>
      </c>
      <c r="BN225" s="958">
        <v>0</v>
      </c>
      <c r="BO225" s="959">
        <v>14.9</v>
      </c>
      <c r="BP225" s="1018">
        <f t="shared" ca="1" si="302"/>
        <v>215.65</v>
      </c>
      <c r="BQ225" s="1018">
        <f t="shared" ca="1" si="303"/>
        <v>486.07500000000005</v>
      </c>
      <c r="BR225" s="1018">
        <f t="shared" ca="1" si="304"/>
        <v>117.8</v>
      </c>
      <c r="BS225" s="1018">
        <f t="shared" ca="1" si="305"/>
        <v>103.97</v>
      </c>
      <c r="BT225" s="1018">
        <f t="shared" ca="1" si="306"/>
        <v>53.9</v>
      </c>
      <c r="BU225" s="1018">
        <f t="shared" ca="1" si="307"/>
        <v>62.730000000000004</v>
      </c>
      <c r="BV225" s="1018">
        <f t="shared" ca="1" si="308"/>
        <v>4.3</v>
      </c>
      <c r="BW225" s="1018">
        <v>0</v>
      </c>
      <c r="BX225" s="1018">
        <f t="shared" ca="1" si="309"/>
        <v>388.5179897201599</v>
      </c>
      <c r="BY225" s="1018">
        <f t="shared" ca="1" si="310"/>
        <v>160.07111436950146</v>
      </c>
      <c r="BZ225" s="1018">
        <f t="shared" ca="1" si="295"/>
        <v>59.306682611142385</v>
      </c>
      <c r="CA225" s="1018">
        <f t="shared" ca="1" si="296"/>
        <v>172.50749990512088</v>
      </c>
      <c r="CB225" s="1018">
        <f t="shared" ca="1" si="311"/>
        <v>9.0267175572519083</v>
      </c>
      <c r="CC225" s="1018">
        <f t="shared" si="297"/>
        <v>0</v>
      </c>
      <c r="CD225" s="1018">
        <f t="shared" ca="1" si="312"/>
        <v>789.43000416317648</v>
      </c>
      <c r="CE225" s="1018">
        <f t="shared" ca="1" si="315"/>
        <v>174.83241983450787</v>
      </c>
      <c r="CF225" s="1018">
        <f t="shared" ca="1" si="299"/>
        <v>28.92787271993053</v>
      </c>
      <c r="CG225" s="1018">
        <f t="shared" ca="1" si="300"/>
        <v>48163.750963775528</v>
      </c>
    </row>
    <row r="226" spans="4:85" x14ac:dyDescent="0.25">
      <c r="D226" s="681"/>
      <c r="E226" s="680"/>
      <c r="F226" s="681"/>
      <c r="G226" s="680"/>
      <c r="H226" s="681"/>
      <c r="I226" s="680"/>
      <c r="J226" s="681"/>
      <c r="K226" s="681"/>
      <c r="L226" s="681"/>
      <c r="M226" s="681"/>
      <c r="N226" s="681"/>
      <c r="O226" s="681" t="s">
        <v>18</v>
      </c>
      <c r="P226" s="683">
        <v>0.15910607099999999</v>
      </c>
      <c r="Q226" s="681" t="s">
        <v>17</v>
      </c>
      <c r="R226" s="683">
        <v>1</v>
      </c>
      <c r="S226" s="681"/>
      <c r="T226" s="688">
        <v>1.6206141242477759E-4</v>
      </c>
      <c r="U226" s="680"/>
      <c r="V226" s="176">
        <f t="shared" si="196"/>
        <v>1.6206141242477759E-4</v>
      </c>
      <c r="W226" s="176">
        <f>V226-V226*Calculation_sheet!J$67</f>
        <v>1.6206141242477759E-4</v>
      </c>
      <c r="X226" s="176">
        <f>W226-W226*Calculation_sheet!J$77</f>
        <v>1.6206141242477759E-4</v>
      </c>
      <c r="Y226" s="34">
        <f>X226/Calculation_sheet!M$67</f>
        <v>1.6206472600188503E-4</v>
      </c>
      <c r="Z226" s="176">
        <f ca="1">IF(AN226&gt;0,Y226*Calculation_sheet!C$87,0)</f>
        <v>0</v>
      </c>
      <c r="AA226" s="176">
        <f t="shared" ca="1" si="313"/>
        <v>1.6206472600188503E-4</v>
      </c>
      <c r="AB226" s="176">
        <f ca="1">IF(AP226&gt;0,AA226*Calculation_sheet!C$94,0)</f>
        <v>0</v>
      </c>
      <c r="AC226" s="176">
        <f t="shared" ca="1" si="301"/>
        <v>1.6206472600188503E-4</v>
      </c>
      <c r="AD226" s="958">
        <f ca="1">AC226*Calculation_sheet!C$99</f>
        <v>9.723883560113102E-5</v>
      </c>
      <c r="AE226" s="176">
        <f t="shared" ca="1" si="301"/>
        <v>6.4825890400754013E-5</v>
      </c>
      <c r="AF226" s="176">
        <f t="shared" ca="1" si="314"/>
        <v>1.6206472600188503E-4</v>
      </c>
      <c r="AG226" s="958">
        <f ca="1">AF226*User_sheet!B$77/100</f>
        <v>0</v>
      </c>
      <c r="AH226" s="313"/>
      <c r="AI226" s="3">
        <v>302</v>
      </c>
      <c r="AK226" s="1018">
        <f t="shared" ca="1" si="294"/>
        <v>789.43000416317648</v>
      </c>
      <c r="AL226" s="924">
        <f ca="1">AK226/'302'!I$24</f>
        <v>2.0123120167299935</v>
      </c>
      <c r="AM226" s="924">
        <f ca="1">0.8*(AK226*30+'302'!D$17*0.34*30*1)</f>
        <v>24012.507099916242</v>
      </c>
      <c r="AN226" s="954">
        <f ca="1">IF(AM226&lt;User_sheet!B$50,Y226,0)</f>
        <v>0</v>
      </c>
      <c r="AO226" s="954">
        <f ca="1">20-(User_sheet!B$57/(AK226+'302'!D$17*1*0.34))</f>
        <v>14.302968889055437</v>
      </c>
      <c r="AP226" s="954">
        <f ca="1">IF(AO226&lt;User_sheet!B$59,0,BC226*AA226)</f>
        <v>0</v>
      </c>
      <c r="AR226" s="2">
        <v>7.7</v>
      </c>
      <c r="AS226" s="2">
        <v>2.1</v>
      </c>
      <c r="AT226" s="2">
        <v>7.9</v>
      </c>
      <c r="AU226" s="2">
        <v>2.75</v>
      </c>
      <c r="AV226" s="2">
        <v>3.3</v>
      </c>
      <c r="AW226" s="2">
        <v>11357.186356387729</v>
      </c>
      <c r="AX226" s="2">
        <v>74715.401027665983</v>
      </c>
      <c r="AY226" s="2">
        <v>67352.647733737584</v>
      </c>
      <c r="AZ226" s="2">
        <v>0</v>
      </c>
      <c r="BA226" s="2">
        <v>0</v>
      </c>
      <c r="BB226" s="2">
        <v>0.6</v>
      </c>
      <c r="BC226" s="30">
        <v>0</v>
      </c>
      <c r="BD226" s="34">
        <v>0</v>
      </c>
      <c r="BE226" s="34">
        <v>0</v>
      </c>
      <c r="BF226" s="40">
        <v>1</v>
      </c>
      <c r="BG226" s="2">
        <v>1</v>
      </c>
      <c r="BH226" s="2">
        <v>0</v>
      </c>
      <c r="BI226" s="40">
        <v>0</v>
      </c>
      <c r="BJ226" s="2">
        <v>0</v>
      </c>
      <c r="BK226" s="2">
        <v>0</v>
      </c>
      <c r="BL226" s="2">
        <v>0</v>
      </c>
      <c r="BM226" s="40">
        <v>1</v>
      </c>
      <c r="BN226" s="958">
        <v>0</v>
      </c>
      <c r="BO226" s="959">
        <v>14.9</v>
      </c>
      <c r="BP226" s="1018">
        <f t="shared" ca="1" si="302"/>
        <v>215.65</v>
      </c>
      <c r="BQ226" s="1018">
        <f t="shared" ca="1" si="303"/>
        <v>486.07500000000005</v>
      </c>
      <c r="BR226" s="1018">
        <f t="shared" ca="1" si="304"/>
        <v>117.8</v>
      </c>
      <c r="BS226" s="1018">
        <f t="shared" ca="1" si="305"/>
        <v>103.97</v>
      </c>
      <c r="BT226" s="1018">
        <f t="shared" ca="1" si="306"/>
        <v>53.9</v>
      </c>
      <c r="BU226" s="1018">
        <f t="shared" ca="1" si="307"/>
        <v>62.730000000000004</v>
      </c>
      <c r="BV226" s="1018">
        <f t="shared" ca="1" si="308"/>
        <v>4.3</v>
      </c>
      <c r="BW226" s="1018">
        <v>0</v>
      </c>
      <c r="BX226" s="1018">
        <f t="shared" ca="1" si="309"/>
        <v>388.5179897201599</v>
      </c>
      <c r="BY226" s="1018">
        <f t="shared" ca="1" si="310"/>
        <v>160.07111436950146</v>
      </c>
      <c r="BZ226" s="1018">
        <f t="shared" ca="1" si="295"/>
        <v>59.306682611142385</v>
      </c>
      <c r="CA226" s="1018">
        <f t="shared" ca="1" si="296"/>
        <v>172.50749990512088</v>
      </c>
      <c r="CB226" s="1018">
        <f t="shared" ca="1" si="311"/>
        <v>9.0267175572519083</v>
      </c>
      <c r="CC226" s="1018">
        <f t="shared" si="297"/>
        <v>0</v>
      </c>
      <c r="CD226" s="1018">
        <f t="shared" ca="1" si="312"/>
        <v>789.43000416317648</v>
      </c>
      <c r="CE226" s="1018">
        <f t="shared" ca="1" si="315"/>
        <v>174.83241983450787</v>
      </c>
      <c r="CF226" s="1018">
        <f t="shared" ca="1" si="299"/>
        <v>28.92787271993053</v>
      </c>
      <c r="CG226" s="1018">
        <f t="shared" ca="1" si="300"/>
        <v>48163.750963775528</v>
      </c>
    </row>
    <row r="227" spans="4:85" x14ac:dyDescent="0.25">
      <c r="D227" s="681"/>
      <c r="E227" s="680"/>
      <c r="F227" s="681"/>
      <c r="G227" s="680"/>
      <c r="H227" s="681"/>
      <c r="I227" s="680"/>
      <c r="J227" s="681"/>
      <c r="K227" s="684" t="s">
        <v>13</v>
      </c>
      <c r="L227" s="685">
        <v>1</v>
      </c>
      <c r="M227" s="681" t="s">
        <v>17</v>
      </c>
      <c r="N227" s="683">
        <v>8.5106382999999994E-2</v>
      </c>
      <c r="O227" s="681" t="s">
        <v>19</v>
      </c>
      <c r="P227" s="683">
        <v>0.84089392900000004</v>
      </c>
      <c r="Q227" s="681" t="s">
        <v>17</v>
      </c>
      <c r="R227" s="683">
        <v>1</v>
      </c>
      <c r="S227" s="681"/>
      <c r="T227" s="688">
        <v>8.5651324915917662E-4</v>
      </c>
      <c r="U227" s="680"/>
      <c r="V227" s="176">
        <f t="shared" si="196"/>
        <v>8.5651324915917662E-4</v>
      </c>
      <c r="W227" s="176">
        <f>V227-V227*Calculation_sheet!J$67</f>
        <v>8.5651324915917662E-4</v>
      </c>
      <c r="X227" s="176">
        <f>W227-W227*Calculation_sheet!J$77</f>
        <v>8.5651324915917662E-4</v>
      </c>
      <c r="Y227" s="34">
        <f>X227/Calculation_sheet!M$67</f>
        <v>8.5653076179622071E-4</v>
      </c>
      <c r="Z227" s="176">
        <f ca="1">IF(AN227&gt;0,Y227*Calculation_sheet!C$87,0)</f>
        <v>0</v>
      </c>
      <c r="AA227" s="176">
        <f t="shared" ca="1" si="313"/>
        <v>8.5653076179622071E-4</v>
      </c>
      <c r="AB227" s="176">
        <f ca="1">IF(AP227&gt;0,AA227*Calculation_sheet!C$94,0)</f>
        <v>0</v>
      </c>
      <c r="AC227" s="176">
        <f t="shared" ca="1" si="301"/>
        <v>8.5653076179622071E-4</v>
      </c>
      <c r="AD227" s="958">
        <f ca="1">AC227*Calculation_sheet!C$99</f>
        <v>5.1391845707773236E-4</v>
      </c>
      <c r="AE227" s="176">
        <f t="shared" ca="1" si="301"/>
        <v>3.4261230471848835E-4</v>
      </c>
      <c r="AF227" s="176">
        <f t="shared" ca="1" si="314"/>
        <v>8.5653076179622071E-4</v>
      </c>
      <c r="AG227" s="958">
        <f ca="1">AF227*User_sheet!B$77/100</f>
        <v>0</v>
      </c>
      <c r="AH227" s="313"/>
      <c r="AI227" s="3">
        <v>302</v>
      </c>
      <c r="AK227" s="1018">
        <f t="shared" ca="1" si="294"/>
        <v>789.43000416317648</v>
      </c>
      <c r="AL227" s="924">
        <f ca="1">AK227/'302'!I$24</f>
        <v>2.0123120167299935</v>
      </c>
      <c r="AM227" s="924">
        <f ca="1">0.8*(AK227*30+'302'!D$17*0.34*30*1)</f>
        <v>24012.507099916242</v>
      </c>
      <c r="AN227" s="954">
        <f ca="1">IF(AM227&lt;User_sheet!B$50,Y227,0)</f>
        <v>0</v>
      </c>
      <c r="AO227" s="954">
        <f ca="1">20-(User_sheet!B$57/(AK227+'302'!D$17*1*0.34))</f>
        <v>14.302968889055437</v>
      </c>
      <c r="AP227" s="954">
        <f ca="1">IF(AO227&lt;User_sheet!B$59,0,BC227*AA227)</f>
        <v>0</v>
      </c>
      <c r="AR227" s="2">
        <v>7.7</v>
      </c>
      <c r="AS227" s="2">
        <v>2.1</v>
      </c>
      <c r="AT227" s="2">
        <v>7.9</v>
      </c>
      <c r="AU227" s="2">
        <v>2.75</v>
      </c>
      <c r="AV227" s="2">
        <v>3.3</v>
      </c>
      <c r="AW227" s="2">
        <v>11357.186356387729</v>
      </c>
      <c r="AX227" s="2">
        <v>74715.401027665983</v>
      </c>
      <c r="AY227" s="2">
        <v>67352.647733737584</v>
      </c>
      <c r="AZ227" s="2">
        <v>0</v>
      </c>
      <c r="BA227" s="2">
        <v>0</v>
      </c>
      <c r="BB227" s="2">
        <v>0.6</v>
      </c>
      <c r="BC227" s="30">
        <v>0</v>
      </c>
      <c r="BD227" s="34">
        <v>0</v>
      </c>
      <c r="BE227" s="34">
        <v>0</v>
      </c>
      <c r="BF227" s="40">
        <v>1</v>
      </c>
      <c r="BG227" s="2">
        <v>0</v>
      </c>
      <c r="BH227" s="2">
        <v>1</v>
      </c>
      <c r="BI227" s="40">
        <v>0</v>
      </c>
      <c r="BJ227" s="2">
        <v>0</v>
      </c>
      <c r="BK227" s="2">
        <v>0</v>
      </c>
      <c r="BL227" s="2">
        <v>0</v>
      </c>
      <c r="BM227" s="40">
        <v>1</v>
      </c>
      <c r="BN227" s="958">
        <v>0</v>
      </c>
      <c r="BO227" s="959">
        <v>14.9</v>
      </c>
      <c r="BP227" s="1018">
        <f t="shared" ca="1" si="302"/>
        <v>215.65</v>
      </c>
      <c r="BQ227" s="1018">
        <f t="shared" ca="1" si="303"/>
        <v>486.07500000000005</v>
      </c>
      <c r="BR227" s="1018">
        <f t="shared" ca="1" si="304"/>
        <v>117.8</v>
      </c>
      <c r="BS227" s="1018">
        <f t="shared" ca="1" si="305"/>
        <v>103.97</v>
      </c>
      <c r="BT227" s="1018">
        <f t="shared" ca="1" si="306"/>
        <v>53.9</v>
      </c>
      <c r="BU227" s="1018">
        <f t="shared" ca="1" si="307"/>
        <v>62.730000000000004</v>
      </c>
      <c r="BV227" s="1018">
        <f t="shared" ca="1" si="308"/>
        <v>4.3</v>
      </c>
      <c r="BW227" s="1018">
        <v>0</v>
      </c>
      <c r="BX227" s="1018">
        <f t="shared" ca="1" si="309"/>
        <v>388.5179897201599</v>
      </c>
      <c r="BY227" s="1018">
        <f t="shared" ca="1" si="310"/>
        <v>160.07111436950146</v>
      </c>
      <c r="BZ227" s="1018">
        <f t="shared" ca="1" si="295"/>
        <v>59.306682611142385</v>
      </c>
      <c r="CA227" s="1018">
        <f t="shared" ca="1" si="296"/>
        <v>172.50749990512088</v>
      </c>
      <c r="CB227" s="1018">
        <f t="shared" ca="1" si="311"/>
        <v>9.0267175572519083</v>
      </c>
      <c r="CC227" s="1018">
        <f t="shared" si="297"/>
        <v>0</v>
      </c>
      <c r="CD227" s="1018">
        <f t="shared" ca="1" si="312"/>
        <v>789.43000416317648</v>
      </c>
      <c r="CE227" s="1018">
        <f t="shared" ca="1" si="315"/>
        <v>174.83241983450787</v>
      </c>
      <c r="CF227" s="1018">
        <f t="shared" ca="1" si="299"/>
        <v>28.92787271993053</v>
      </c>
      <c r="CG227" s="1018">
        <f t="shared" ca="1" si="300"/>
        <v>48163.750963775528</v>
      </c>
    </row>
    <row r="228" spans="4:85" s="14" customFormat="1" x14ac:dyDescent="0.25">
      <c r="D228" s="15"/>
      <c r="F228" s="15"/>
      <c r="H228" s="15"/>
      <c r="J228" s="15"/>
      <c r="K228" s="16"/>
      <c r="L228" s="15"/>
      <c r="M228" s="15"/>
      <c r="N228" s="15"/>
      <c r="O228" s="15"/>
      <c r="P228" s="15"/>
      <c r="Q228" s="15"/>
      <c r="R228" s="15"/>
      <c r="S228" s="15"/>
      <c r="T228" s="80"/>
      <c r="U228" s="295"/>
      <c r="V228" s="292"/>
      <c r="W228" s="292"/>
      <c r="X228" s="292"/>
      <c r="Y228" s="277"/>
      <c r="Z228" s="292"/>
      <c r="AA228" s="292"/>
      <c r="AB228" s="292"/>
      <c r="AC228" s="292"/>
      <c r="AD228" s="277"/>
      <c r="AE228" s="292"/>
      <c r="AF228" s="292"/>
      <c r="AG228" s="277"/>
      <c r="AH228" s="313"/>
      <c r="AJ228" s="314"/>
      <c r="AK228" s="1018">
        <f t="shared" si="294"/>
        <v>0</v>
      </c>
      <c r="AL228" s="928"/>
      <c r="AM228" s="928"/>
      <c r="AN228" s="941"/>
      <c r="AO228" s="941"/>
      <c r="AP228" s="941"/>
      <c r="AQ228" s="314"/>
      <c r="AR228" s="28"/>
      <c r="AS228" s="28"/>
      <c r="AT228" s="28"/>
      <c r="AU228" s="28"/>
      <c r="AV228" s="28"/>
      <c r="AW228" s="28"/>
      <c r="AX228" s="28"/>
      <c r="AY228" s="28"/>
      <c r="AZ228" s="28"/>
      <c r="BA228" s="28"/>
      <c r="BB228" s="28"/>
      <c r="BC228" s="45"/>
      <c r="BD228" s="277"/>
      <c r="BE228" s="277"/>
      <c r="BF228" s="49"/>
      <c r="BG228" s="28"/>
      <c r="BH228" s="28"/>
      <c r="BI228" s="49"/>
      <c r="BJ228" s="28"/>
      <c r="BK228" s="28"/>
      <c r="BL228" s="28"/>
      <c r="BM228" s="49"/>
      <c r="BN228" s="277"/>
      <c r="BO228" s="49"/>
      <c r="BP228" s="928"/>
      <c r="BQ228" s="928"/>
      <c r="BR228" s="928"/>
      <c r="BS228" s="928"/>
      <c r="BT228" s="928"/>
      <c r="BU228" s="928"/>
      <c r="BV228" s="928"/>
      <c r="BW228" s="928"/>
      <c r="BX228" s="928"/>
      <c r="BY228" s="928"/>
      <c r="BZ228" s="928"/>
      <c r="CA228" s="928"/>
      <c r="CB228" s="928"/>
      <c r="CC228" s="928"/>
      <c r="CD228" s="928"/>
      <c r="CE228" s="928"/>
      <c r="CF228" s="928"/>
      <c r="CG228" s="928"/>
    </row>
    <row r="229" spans="4:85" x14ac:dyDescent="0.25">
      <c r="D229" s="1"/>
      <c r="F229" s="1"/>
      <c r="G229" s="3"/>
      <c r="H229" s="6"/>
      <c r="I229" s="3"/>
      <c r="J229" s="6"/>
      <c r="K229" s="8"/>
      <c r="L229" s="6"/>
      <c r="M229" s="1"/>
      <c r="N229" s="1"/>
      <c r="O229" s="1"/>
      <c r="P229" s="1"/>
      <c r="Q229" s="1" t="s">
        <v>16</v>
      </c>
      <c r="R229" s="4"/>
      <c r="S229" s="1"/>
      <c r="T229" s="77"/>
      <c r="U229" s="294"/>
      <c r="X229" s="176">
        <f>W217-X217</f>
        <v>0</v>
      </c>
      <c r="Y229" s="34">
        <f>X229/Calculation_sheet!M$67</f>
        <v>0</v>
      </c>
      <c r="Z229" s="176">
        <f ca="1">IF(AN229&gt;0,Y229*Calculation_sheet!C$87,0)</f>
        <v>0</v>
      </c>
      <c r="AA229" s="176">
        <f ca="1">Y229-Z229</f>
        <v>0</v>
      </c>
      <c r="AB229" s="176">
        <f ca="1">IF(AP229&gt;0,AA229*Calculation_sheet!C$94,0)</f>
        <v>0</v>
      </c>
      <c r="AC229" s="176">
        <f t="shared" ref="AC229:AE239" ca="1" si="316">AA229-AB229</f>
        <v>0</v>
      </c>
      <c r="AD229" s="958">
        <f ca="1">AC229*Calculation_sheet!C$99</f>
        <v>0</v>
      </c>
      <c r="AE229" s="176">
        <f t="shared" ca="1" si="316"/>
        <v>0</v>
      </c>
      <c r="AF229" s="176">
        <f ca="1">Y229-AB229</f>
        <v>0</v>
      </c>
      <c r="AG229" s="958">
        <f ca="1">AF229*User_sheet!B$77/100</f>
        <v>0</v>
      </c>
      <c r="AH229" s="313"/>
      <c r="AI229" s="3">
        <v>302</v>
      </c>
      <c r="AK229" s="1018">
        <f t="shared" ca="1" si="294"/>
        <v>389.57952206729743</v>
      </c>
      <c r="AL229" s="924">
        <f ca="1">AK229/'302'!I$24</f>
        <v>0.99306531243257057</v>
      </c>
      <c r="AM229" s="924">
        <f ca="1">0.8*(AK229*30+'302'!D$17*0.34*30*1)</f>
        <v>14416.095529615141</v>
      </c>
      <c r="AN229" s="954">
        <f ca="1">IF(AM229&lt;User_sheet!B$50,Y229,0)</f>
        <v>0</v>
      </c>
      <c r="AO229" s="954">
        <f ca="1">20-(User_sheet!B$57/(AK229+'302'!D$17*1*0.34))</f>
        <v>10.510606722952808</v>
      </c>
      <c r="AP229" s="954">
        <f ca="1">IF(AO229&lt;User_sheet!B$59,0,BC229*AA229)</f>
        <v>0</v>
      </c>
      <c r="AR229" s="2">
        <v>0.32</v>
      </c>
      <c r="AS229" s="2">
        <v>2.1</v>
      </c>
      <c r="AT229" s="2">
        <v>7.9</v>
      </c>
      <c r="AU229" s="2">
        <v>2</v>
      </c>
      <c r="AV229" s="2">
        <v>3.3</v>
      </c>
      <c r="AW229" s="2">
        <v>14356</v>
      </c>
      <c r="AX229" s="2">
        <v>74715.401027665983</v>
      </c>
      <c r="AY229" s="2">
        <v>67352.647733737584</v>
      </c>
      <c r="AZ229" s="27">
        <v>0</v>
      </c>
      <c r="BA229" s="27">
        <v>0</v>
      </c>
      <c r="BB229" s="2">
        <v>0.6</v>
      </c>
      <c r="BC229" s="30">
        <v>1</v>
      </c>
      <c r="BD229" s="34">
        <v>0</v>
      </c>
      <c r="BE229" s="34">
        <v>0</v>
      </c>
      <c r="BF229" s="40">
        <v>0</v>
      </c>
      <c r="BG229" s="34">
        <v>1</v>
      </c>
      <c r="BH229" s="34">
        <v>0</v>
      </c>
      <c r="BI229" s="40">
        <v>0</v>
      </c>
      <c r="BJ229" s="34">
        <v>1</v>
      </c>
      <c r="BK229" s="34">
        <v>0</v>
      </c>
      <c r="BL229" s="34">
        <v>0</v>
      </c>
      <c r="BM229" s="40">
        <v>0</v>
      </c>
      <c r="BN229" s="958">
        <v>0</v>
      </c>
      <c r="BO229" s="959">
        <v>14.9</v>
      </c>
      <c r="BP229" s="1018">
        <f t="shared" ref="BP229:BP239" ca="1" si="317">INDIRECT("'"&amp;AI229&amp;"'!"&amp;"B2")</f>
        <v>215.65</v>
      </c>
      <c r="BQ229" s="1018">
        <f t="shared" ref="BQ229:BQ239" ca="1" si="318">INDIRECT("'"&amp;AI229&amp;"'!"&amp;"C12")+INDIRECT("'"&amp;AI229&amp;"'!"&amp;"C13")+INDIRECT("'"&amp;AI229&amp;"'!"&amp;"C14")+INDIRECT("'"&amp;AI229&amp;"'!"&amp;"C15")+INDIRECT("'"&amp;AI229&amp;"'!"&amp;"C17")</f>
        <v>486.07500000000005</v>
      </c>
      <c r="BR229" s="1018">
        <f t="shared" ref="BR229:BR239" ca="1" si="319">INDIRECT("'"&amp;AI229&amp;"'!"&amp;"G5")</f>
        <v>117.8</v>
      </c>
      <c r="BS229" s="1018">
        <f t="shared" ref="BS229:BS239" ca="1" si="320">INDIRECT("'"&amp;AI229&amp;"'!"&amp;"G4")</f>
        <v>103.97</v>
      </c>
      <c r="BT229" s="1018">
        <f t="shared" ref="BT229:BT239" ca="1" si="321">INDIRECT("'"&amp;AI229&amp;"'!"&amp;"G6")</f>
        <v>53.9</v>
      </c>
      <c r="BU229" s="1018">
        <f t="shared" ref="BU229:BU239" ca="1" si="322">INDIRECT("'"&amp;AI229&amp;"'!"&amp;"G2")</f>
        <v>62.730000000000004</v>
      </c>
      <c r="BV229" s="1018">
        <f t="shared" ref="BV229:BV239" ca="1" si="323">INDIRECT("'"&amp;AI229&amp;"'!"&amp;"G3")</f>
        <v>4.3</v>
      </c>
      <c r="BW229" s="1018">
        <v>0</v>
      </c>
      <c r="BX229" s="1018">
        <f t="shared" ref="BX229:BX239" ca="1" si="324">IF(BR229=0,0,1/(1/(BR229*$BY$3)+1/(BR229*AR229)+1/(BR229*$BY$4)))</f>
        <v>35.715007579585652</v>
      </c>
      <c r="BY229" s="1018">
        <f t="shared" ref="BY229:BY239" ca="1" si="325">IF(BS229=0,0,1/(1/(BS229*$BY$3)+1/(BS229*AS229)+1/(BS229*$BY$4)))</f>
        <v>160.07111436950146</v>
      </c>
      <c r="BZ229" s="1018">
        <f t="shared" ca="1" si="295"/>
        <v>59.306682611142385</v>
      </c>
      <c r="CA229" s="1018">
        <f t="shared" ca="1" si="296"/>
        <v>125.45999994981604</v>
      </c>
      <c r="CB229" s="1018">
        <f t="shared" ref="CB229:CB239" ca="1" si="326">IF(BV229=0,0,1/(1/(BV229*$BY$3)+1/(BV229*AV229)+1/(BV229*$BY$4)))</f>
        <v>9.0267175572519083</v>
      </c>
      <c r="CC229" s="1018">
        <f t="shared" si="297"/>
        <v>0</v>
      </c>
      <c r="CD229" s="1018">
        <f t="shared" ref="CD229:CD239" ca="1" si="327">SUM(BX229:CC229)+(BR229+BS229+BT229+BU229+BV229)*BN229</f>
        <v>389.57952206729743</v>
      </c>
      <c r="CE229" s="1018">
        <f ca="1">0.34*BO229*(1/25)^0.66*(BR229+BS229+BU229+BV229)</f>
        <v>174.83241983450787</v>
      </c>
      <c r="CF229" s="1018">
        <f t="shared" ca="1" si="299"/>
        <v>16.932358257054158</v>
      </c>
      <c r="CG229" s="1018">
        <f t="shared" ca="1" si="300"/>
        <v>28191.699203664892</v>
      </c>
    </row>
    <row r="230" spans="4:85" x14ac:dyDescent="0.25">
      <c r="D230" s="1"/>
      <c r="F230" s="1"/>
      <c r="G230" s="3"/>
      <c r="H230" s="6"/>
      <c r="I230" s="3"/>
      <c r="J230" s="6"/>
      <c r="K230" s="8"/>
      <c r="L230" s="6"/>
      <c r="M230" s="1"/>
      <c r="N230" s="1"/>
      <c r="O230" s="1" t="s">
        <v>18</v>
      </c>
      <c r="P230" s="4"/>
      <c r="Q230" s="1" t="s">
        <v>7</v>
      </c>
      <c r="R230" s="4"/>
      <c r="S230" s="1"/>
      <c r="T230" s="77"/>
      <c r="U230" s="294"/>
      <c r="X230" s="176">
        <f t="shared" ref="X230:X239" si="328">W218-X218</f>
        <v>0</v>
      </c>
      <c r="Y230" s="34">
        <f>X230/Calculation_sheet!M$67</f>
        <v>0</v>
      </c>
      <c r="Z230" s="176">
        <f ca="1">IF(AN230&gt;0,Y230*Calculation_sheet!C$87,0)</f>
        <v>0</v>
      </c>
      <c r="AA230" s="176">
        <f t="shared" ref="AA230:AA239" ca="1" si="329">Y230-Z230</f>
        <v>0</v>
      </c>
      <c r="AB230" s="176">
        <f ca="1">IF(AP230&gt;0,AA230*Calculation_sheet!C$94,0)</f>
        <v>0</v>
      </c>
      <c r="AC230" s="176">
        <f t="shared" ca="1" si="316"/>
        <v>0</v>
      </c>
      <c r="AD230" s="958">
        <f ca="1">AC230*Calculation_sheet!C$99</f>
        <v>0</v>
      </c>
      <c r="AE230" s="176">
        <f t="shared" ca="1" si="316"/>
        <v>0</v>
      </c>
      <c r="AF230" s="176">
        <f t="shared" ref="AF230:AF239" ca="1" si="330">Y230-AB230</f>
        <v>0</v>
      </c>
      <c r="AG230" s="958">
        <f ca="1">AF230*User_sheet!B$77/100</f>
        <v>0</v>
      </c>
      <c r="AH230" s="313"/>
      <c r="AI230" s="3">
        <v>302</v>
      </c>
      <c r="AK230" s="1018">
        <f t="shared" ca="1" si="294"/>
        <v>389.57952206729743</v>
      </c>
      <c r="AL230" s="924">
        <f ca="1">AK230/'302'!I$24</f>
        <v>0.99306531243257057</v>
      </c>
      <c r="AM230" s="924">
        <f ca="1">0.8*(AK230*30+'302'!D$17*0.34*30*1)</f>
        <v>14416.095529615141</v>
      </c>
      <c r="AN230" s="954">
        <f ca="1">IF(AM230&lt;User_sheet!B$50,Y230,0)</f>
        <v>0</v>
      </c>
      <c r="AO230" s="954">
        <f ca="1">20-(User_sheet!B$57/(AK230+'302'!D$17*1*0.34))</f>
        <v>10.510606722952808</v>
      </c>
      <c r="AP230" s="954">
        <f ca="1">IF(AO230&lt;User_sheet!B$59,0,BC230*AA230)</f>
        <v>0</v>
      </c>
      <c r="AR230" s="2">
        <v>0.32</v>
      </c>
      <c r="AS230" s="2">
        <v>2.1</v>
      </c>
      <c r="AT230" s="2">
        <v>7.9</v>
      </c>
      <c r="AU230" s="2">
        <v>2</v>
      </c>
      <c r="AV230" s="2">
        <v>3.3</v>
      </c>
      <c r="AW230" s="2">
        <v>14356</v>
      </c>
      <c r="AX230" s="2">
        <v>74715.401027665983</v>
      </c>
      <c r="AY230" s="2">
        <v>67352.647733737584</v>
      </c>
      <c r="AZ230" s="27">
        <v>0</v>
      </c>
      <c r="BA230" s="27">
        <v>0</v>
      </c>
      <c r="BB230" s="2">
        <v>0.6</v>
      </c>
      <c r="BC230" s="30">
        <v>1</v>
      </c>
      <c r="BD230" s="34">
        <v>0</v>
      </c>
      <c r="BE230" s="34">
        <v>0</v>
      </c>
      <c r="BF230" s="40">
        <v>0</v>
      </c>
      <c r="BG230" s="34">
        <v>1</v>
      </c>
      <c r="BH230" s="34">
        <v>0</v>
      </c>
      <c r="BI230" s="40">
        <v>0</v>
      </c>
      <c r="BJ230" s="34">
        <v>0</v>
      </c>
      <c r="BK230" s="34">
        <v>0</v>
      </c>
      <c r="BL230" s="34">
        <v>1</v>
      </c>
      <c r="BM230" s="40">
        <v>0</v>
      </c>
      <c r="BN230" s="958">
        <v>0</v>
      </c>
      <c r="BO230" s="959">
        <v>14.9</v>
      </c>
      <c r="BP230" s="1018">
        <f t="shared" ca="1" si="317"/>
        <v>215.65</v>
      </c>
      <c r="BQ230" s="1018">
        <f t="shared" ca="1" si="318"/>
        <v>486.07500000000005</v>
      </c>
      <c r="BR230" s="1018">
        <f t="shared" ca="1" si="319"/>
        <v>117.8</v>
      </c>
      <c r="BS230" s="1018">
        <f t="shared" ca="1" si="320"/>
        <v>103.97</v>
      </c>
      <c r="BT230" s="1018">
        <f t="shared" ca="1" si="321"/>
        <v>53.9</v>
      </c>
      <c r="BU230" s="1018">
        <f t="shared" ca="1" si="322"/>
        <v>62.730000000000004</v>
      </c>
      <c r="BV230" s="1018">
        <f t="shared" ca="1" si="323"/>
        <v>4.3</v>
      </c>
      <c r="BW230" s="1018">
        <v>0</v>
      </c>
      <c r="BX230" s="1018">
        <f t="shared" ca="1" si="324"/>
        <v>35.715007579585652</v>
      </c>
      <c r="BY230" s="1018">
        <f t="shared" ca="1" si="325"/>
        <v>160.07111436950146</v>
      </c>
      <c r="BZ230" s="1018">
        <f t="shared" ca="1" si="295"/>
        <v>59.306682611142385</v>
      </c>
      <c r="CA230" s="1018">
        <f t="shared" ca="1" si="296"/>
        <v>125.45999994981604</v>
      </c>
      <c r="CB230" s="1018">
        <f t="shared" ca="1" si="326"/>
        <v>9.0267175572519083</v>
      </c>
      <c r="CC230" s="1018">
        <f t="shared" si="297"/>
        <v>0</v>
      </c>
      <c r="CD230" s="1018">
        <f t="shared" ca="1" si="327"/>
        <v>389.57952206729743</v>
      </c>
      <c r="CE230" s="1018">
        <f t="shared" ref="CE230:CE239" ca="1" si="331">0.34*BO230*(1/25)^0.66*(BR230+BS230+BU230+BV230)</f>
        <v>174.83241983450787</v>
      </c>
      <c r="CF230" s="1018">
        <f t="shared" ca="1" si="299"/>
        <v>16.932358257054158</v>
      </c>
      <c r="CG230" s="1018">
        <f t="shared" ca="1" si="300"/>
        <v>28191.699203664892</v>
      </c>
    </row>
    <row r="231" spans="4:85" x14ac:dyDescent="0.25">
      <c r="D231" s="1"/>
      <c r="F231" s="1"/>
      <c r="G231" s="3"/>
      <c r="H231" s="6"/>
      <c r="I231" s="3"/>
      <c r="J231" s="6"/>
      <c r="K231" s="8"/>
      <c r="L231" s="6"/>
      <c r="M231" s="1"/>
      <c r="N231" s="1"/>
      <c r="O231" s="1"/>
      <c r="P231" s="1"/>
      <c r="Q231" s="1" t="s">
        <v>16</v>
      </c>
      <c r="R231" s="4"/>
      <c r="S231" s="1"/>
      <c r="T231" s="77"/>
      <c r="U231" s="294"/>
      <c r="X231" s="176">
        <f t="shared" si="328"/>
        <v>0</v>
      </c>
      <c r="Y231" s="34">
        <f>X231/Calculation_sheet!M$67</f>
        <v>0</v>
      </c>
      <c r="Z231" s="176">
        <f ca="1">IF(AN231&gt;0,Y231*Calculation_sheet!C$87,0)</f>
        <v>0</v>
      </c>
      <c r="AA231" s="176">
        <f t="shared" ca="1" si="329"/>
        <v>0</v>
      </c>
      <c r="AB231" s="176">
        <f ca="1">IF(AP231&gt;0,AA231*Calculation_sheet!C$94,0)</f>
        <v>0</v>
      </c>
      <c r="AC231" s="176">
        <f t="shared" ca="1" si="316"/>
        <v>0</v>
      </c>
      <c r="AD231" s="958">
        <f ca="1">AC231*Calculation_sheet!C$99</f>
        <v>0</v>
      </c>
      <c r="AE231" s="176">
        <f t="shared" ca="1" si="316"/>
        <v>0</v>
      </c>
      <c r="AF231" s="176">
        <f t="shared" ca="1" si="330"/>
        <v>0</v>
      </c>
      <c r="AG231" s="958">
        <f ca="1">AF231*User_sheet!B$77/100</f>
        <v>0</v>
      </c>
      <c r="AH231" s="313"/>
      <c r="AI231" s="3">
        <v>302</v>
      </c>
      <c r="AK231" s="1018">
        <f t="shared" ca="1" si="294"/>
        <v>389.57952206729743</v>
      </c>
      <c r="AL231" s="924">
        <f ca="1">AK231/'302'!I$24</f>
        <v>0.99306531243257057</v>
      </c>
      <c r="AM231" s="924">
        <f ca="1">0.8*(AK231*30+'302'!D$17*0.34*30*1)</f>
        <v>14416.095529615141</v>
      </c>
      <c r="AN231" s="954">
        <f ca="1">IF(AM231&lt;User_sheet!B$50,Y231,0)</f>
        <v>0</v>
      </c>
      <c r="AO231" s="954">
        <f ca="1">20-(User_sheet!B$57/(AK231+'302'!D$17*1*0.34))</f>
        <v>10.510606722952808</v>
      </c>
      <c r="AP231" s="954">
        <f ca="1">IF(AO231&lt;User_sheet!B$59,0,BC231*AA231)</f>
        <v>0</v>
      </c>
      <c r="AR231" s="2">
        <v>0.32</v>
      </c>
      <c r="AS231" s="2">
        <v>2.1</v>
      </c>
      <c r="AT231" s="2">
        <v>7.9</v>
      </c>
      <c r="AU231" s="2">
        <v>2</v>
      </c>
      <c r="AV231" s="2">
        <v>3.3</v>
      </c>
      <c r="AW231" s="2">
        <v>14356</v>
      </c>
      <c r="AX231" s="2">
        <v>74715.401027665983</v>
      </c>
      <c r="AY231" s="2">
        <v>67352.647733737584</v>
      </c>
      <c r="AZ231" s="27">
        <v>0</v>
      </c>
      <c r="BA231" s="27">
        <v>0</v>
      </c>
      <c r="BB231" s="2">
        <v>0.6</v>
      </c>
      <c r="BC231" s="30">
        <v>1</v>
      </c>
      <c r="BD231" s="34">
        <v>0</v>
      </c>
      <c r="BE231" s="34">
        <v>0</v>
      </c>
      <c r="BF231" s="40">
        <v>0</v>
      </c>
      <c r="BG231" s="34">
        <v>0</v>
      </c>
      <c r="BH231" s="34">
        <v>1</v>
      </c>
      <c r="BI231" s="40">
        <v>0</v>
      </c>
      <c r="BJ231" s="34">
        <v>1</v>
      </c>
      <c r="BK231" s="34">
        <v>0</v>
      </c>
      <c r="BL231" s="34">
        <v>0</v>
      </c>
      <c r="BM231" s="40">
        <v>0</v>
      </c>
      <c r="BN231" s="958">
        <v>0</v>
      </c>
      <c r="BO231" s="959">
        <v>14.9</v>
      </c>
      <c r="BP231" s="1018">
        <f t="shared" ca="1" si="317"/>
        <v>215.65</v>
      </c>
      <c r="BQ231" s="1018">
        <f t="shared" ca="1" si="318"/>
        <v>486.07500000000005</v>
      </c>
      <c r="BR231" s="1018">
        <f t="shared" ca="1" si="319"/>
        <v>117.8</v>
      </c>
      <c r="BS231" s="1018">
        <f t="shared" ca="1" si="320"/>
        <v>103.97</v>
      </c>
      <c r="BT231" s="1018">
        <f t="shared" ca="1" si="321"/>
        <v>53.9</v>
      </c>
      <c r="BU231" s="1018">
        <f t="shared" ca="1" si="322"/>
        <v>62.730000000000004</v>
      </c>
      <c r="BV231" s="1018">
        <f t="shared" ca="1" si="323"/>
        <v>4.3</v>
      </c>
      <c r="BW231" s="1018">
        <v>0</v>
      </c>
      <c r="BX231" s="1018">
        <f t="shared" ca="1" si="324"/>
        <v>35.715007579585652</v>
      </c>
      <c r="BY231" s="1018">
        <f t="shared" ca="1" si="325"/>
        <v>160.07111436950146</v>
      </c>
      <c r="BZ231" s="1018">
        <f t="shared" ca="1" si="295"/>
        <v>59.306682611142385</v>
      </c>
      <c r="CA231" s="1018">
        <f t="shared" ca="1" si="296"/>
        <v>125.45999994981604</v>
      </c>
      <c r="CB231" s="1018">
        <f t="shared" ca="1" si="326"/>
        <v>9.0267175572519083</v>
      </c>
      <c r="CC231" s="1018">
        <f t="shared" si="297"/>
        <v>0</v>
      </c>
      <c r="CD231" s="1018">
        <f t="shared" ca="1" si="327"/>
        <v>389.57952206729743</v>
      </c>
      <c r="CE231" s="1018">
        <f t="shared" ca="1" si="331"/>
        <v>174.83241983450787</v>
      </c>
      <c r="CF231" s="1018">
        <f t="shared" ca="1" si="299"/>
        <v>16.932358257054158</v>
      </c>
      <c r="CG231" s="1018">
        <f t="shared" ca="1" si="300"/>
        <v>28191.699203664892</v>
      </c>
    </row>
    <row r="232" spans="4:85" x14ac:dyDescent="0.25">
      <c r="D232" s="1"/>
      <c r="F232" s="1"/>
      <c r="G232" s="3"/>
      <c r="H232" s="6"/>
      <c r="I232" s="3"/>
      <c r="J232" s="6"/>
      <c r="K232" s="8"/>
      <c r="L232" s="6"/>
      <c r="M232" s="1" t="s">
        <v>16</v>
      </c>
      <c r="N232" s="4"/>
      <c r="O232" s="1" t="s">
        <v>19</v>
      </c>
      <c r="P232" s="4"/>
      <c r="Q232" s="1" t="s">
        <v>7</v>
      </c>
      <c r="R232" s="4"/>
      <c r="S232" s="1"/>
      <c r="T232" s="77"/>
      <c r="U232" s="294"/>
      <c r="X232" s="176">
        <f t="shared" si="328"/>
        <v>0</v>
      </c>
      <c r="Y232" s="34">
        <f>X232/Calculation_sheet!M$67</f>
        <v>0</v>
      </c>
      <c r="Z232" s="176">
        <f ca="1">IF(AN232&gt;0,Y232*Calculation_sheet!C$87,0)</f>
        <v>0</v>
      </c>
      <c r="AA232" s="176">
        <f t="shared" ca="1" si="329"/>
        <v>0</v>
      </c>
      <c r="AB232" s="176">
        <f ca="1">IF(AP232&gt;0,AA232*Calculation_sheet!C$94,0)</f>
        <v>0</v>
      </c>
      <c r="AC232" s="176">
        <f t="shared" ca="1" si="316"/>
        <v>0</v>
      </c>
      <c r="AD232" s="958">
        <f ca="1">AC232*Calculation_sheet!C$99</f>
        <v>0</v>
      </c>
      <c r="AE232" s="176">
        <f t="shared" ca="1" si="316"/>
        <v>0</v>
      </c>
      <c r="AF232" s="176">
        <f t="shared" ca="1" si="330"/>
        <v>0</v>
      </c>
      <c r="AG232" s="958">
        <f ca="1">AF232*User_sheet!B$77/100</f>
        <v>0</v>
      </c>
      <c r="AH232" s="313"/>
      <c r="AI232" s="3">
        <v>302</v>
      </c>
      <c r="AK232" s="1018">
        <f t="shared" ca="1" si="294"/>
        <v>389.57952206729743</v>
      </c>
      <c r="AL232" s="924">
        <f ca="1">AK232/'302'!I$24</f>
        <v>0.99306531243257057</v>
      </c>
      <c r="AM232" s="924">
        <f ca="1">0.8*(AK232*30+'302'!D$17*0.34*30*1)</f>
        <v>14416.095529615141</v>
      </c>
      <c r="AN232" s="954">
        <f ca="1">IF(AM232&lt;User_sheet!B$50,Y232,0)</f>
        <v>0</v>
      </c>
      <c r="AO232" s="954">
        <f ca="1">20-(User_sheet!B$57/(AK232+'302'!D$17*1*0.34))</f>
        <v>10.510606722952808</v>
      </c>
      <c r="AP232" s="954">
        <f ca="1">IF(AO232&lt;User_sheet!B$59,0,BC232*AA232)</f>
        <v>0</v>
      </c>
      <c r="AR232" s="2">
        <v>0.32</v>
      </c>
      <c r="AS232" s="2">
        <v>2.1</v>
      </c>
      <c r="AT232" s="2">
        <v>7.9</v>
      </c>
      <c r="AU232" s="2">
        <v>2</v>
      </c>
      <c r="AV232" s="2">
        <v>3.3</v>
      </c>
      <c r="AW232" s="2">
        <v>14356</v>
      </c>
      <c r="AX232" s="2">
        <v>74715.401027665983</v>
      </c>
      <c r="AY232" s="2">
        <v>67352.647733737584</v>
      </c>
      <c r="AZ232" s="27">
        <v>0</v>
      </c>
      <c r="BA232" s="27">
        <v>0</v>
      </c>
      <c r="BB232" s="2">
        <v>0.6</v>
      </c>
      <c r="BC232" s="30">
        <v>1</v>
      </c>
      <c r="BD232" s="34">
        <v>0</v>
      </c>
      <c r="BE232" s="34">
        <v>0</v>
      </c>
      <c r="BF232" s="40">
        <v>0</v>
      </c>
      <c r="BG232" s="34">
        <v>0</v>
      </c>
      <c r="BH232" s="34">
        <v>1</v>
      </c>
      <c r="BI232" s="40">
        <v>0</v>
      </c>
      <c r="BJ232" s="34">
        <v>0</v>
      </c>
      <c r="BK232" s="34">
        <v>0</v>
      </c>
      <c r="BL232" s="34">
        <v>1</v>
      </c>
      <c r="BM232" s="40">
        <v>0</v>
      </c>
      <c r="BN232" s="958">
        <v>0</v>
      </c>
      <c r="BO232" s="959">
        <v>14.9</v>
      </c>
      <c r="BP232" s="1018">
        <f t="shared" ca="1" si="317"/>
        <v>215.65</v>
      </c>
      <c r="BQ232" s="1018">
        <f t="shared" ca="1" si="318"/>
        <v>486.07500000000005</v>
      </c>
      <c r="BR232" s="1018">
        <f t="shared" ca="1" si="319"/>
        <v>117.8</v>
      </c>
      <c r="BS232" s="1018">
        <f t="shared" ca="1" si="320"/>
        <v>103.97</v>
      </c>
      <c r="BT232" s="1018">
        <f t="shared" ca="1" si="321"/>
        <v>53.9</v>
      </c>
      <c r="BU232" s="1018">
        <f t="shared" ca="1" si="322"/>
        <v>62.730000000000004</v>
      </c>
      <c r="BV232" s="1018">
        <f t="shared" ca="1" si="323"/>
        <v>4.3</v>
      </c>
      <c r="BW232" s="1018">
        <v>0</v>
      </c>
      <c r="BX232" s="1018">
        <f t="shared" ca="1" si="324"/>
        <v>35.715007579585652</v>
      </c>
      <c r="BY232" s="1018">
        <f t="shared" ca="1" si="325"/>
        <v>160.07111436950146</v>
      </c>
      <c r="BZ232" s="1018">
        <f t="shared" ca="1" si="295"/>
        <v>59.306682611142385</v>
      </c>
      <c r="CA232" s="1018">
        <f t="shared" ca="1" si="296"/>
        <v>125.45999994981604</v>
      </c>
      <c r="CB232" s="1018">
        <f t="shared" ca="1" si="326"/>
        <v>9.0267175572519083</v>
      </c>
      <c r="CC232" s="1018">
        <f t="shared" si="297"/>
        <v>0</v>
      </c>
      <c r="CD232" s="1018">
        <f t="shared" ca="1" si="327"/>
        <v>389.57952206729743</v>
      </c>
      <c r="CE232" s="1018">
        <f t="shared" ca="1" si="331"/>
        <v>174.83241983450787</v>
      </c>
      <c r="CF232" s="1018">
        <f t="shared" ca="1" si="299"/>
        <v>16.932358257054158</v>
      </c>
      <c r="CG232" s="1018">
        <f t="shared" ca="1" si="300"/>
        <v>28191.699203664892</v>
      </c>
    </row>
    <row r="233" spans="4:85" x14ac:dyDescent="0.25">
      <c r="D233" s="1"/>
      <c r="F233" s="1"/>
      <c r="G233" s="3"/>
      <c r="H233" s="6"/>
      <c r="I233" s="3"/>
      <c r="J233" s="6"/>
      <c r="K233" s="8"/>
      <c r="L233" s="6"/>
      <c r="M233" s="1"/>
      <c r="N233" s="1"/>
      <c r="O233" s="1"/>
      <c r="P233" s="1"/>
      <c r="Q233" s="1" t="s">
        <v>22</v>
      </c>
      <c r="R233" s="4"/>
      <c r="S233" s="1"/>
      <c r="T233" s="77"/>
      <c r="U233" s="294"/>
      <c r="X233" s="176">
        <f t="shared" si="328"/>
        <v>0</v>
      </c>
      <c r="Y233" s="34">
        <f>X233/Calculation_sheet!M$67</f>
        <v>0</v>
      </c>
      <c r="Z233" s="176">
        <f ca="1">IF(AN233&gt;0,Y233*Calculation_sheet!C$87,0)</f>
        <v>0</v>
      </c>
      <c r="AA233" s="176">
        <f t="shared" ca="1" si="329"/>
        <v>0</v>
      </c>
      <c r="AB233" s="176">
        <f ca="1">IF(AP233&gt;0,AA233*Calculation_sheet!C$94,0)</f>
        <v>0</v>
      </c>
      <c r="AC233" s="176">
        <f t="shared" ca="1" si="316"/>
        <v>0</v>
      </c>
      <c r="AD233" s="958">
        <f ca="1">AC233*Calculation_sheet!C$99</f>
        <v>0</v>
      </c>
      <c r="AE233" s="176">
        <f t="shared" ca="1" si="316"/>
        <v>0</v>
      </c>
      <c r="AF233" s="176">
        <f t="shared" ca="1" si="330"/>
        <v>0</v>
      </c>
      <c r="AG233" s="958">
        <f ca="1">AF233*User_sheet!B$77/100</f>
        <v>0</v>
      </c>
      <c r="AH233" s="313"/>
      <c r="AI233" s="3">
        <v>302</v>
      </c>
      <c r="AK233" s="1018">
        <f t="shared" ca="1" si="294"/>
        <v>389.57952206729743</v>
      </c>
      <c r="AL233" s="924">
        <f ca="1">AK233/'302'!I$24</f>
        <v>0.99306531243257057</v>
      </c>
      <c r="AM233" s="924">
        <f ca="1">0.8*(AK233*30+'302'!D$17*0.34*30*1)</f>
        <v>14416.095529615141</v>
      </c>
      <c r="AN233" s="954">
        <f ca="1">IF(AM233&lt;User_sheet!B$50,Y233,0)</f>
        <v>0</v>
      </c>
      <c r="AO233" s="954">
        <f ca="1">20-(User_sheet!B$57/(AK233+'302'!D$17*1*0.34))</f>
        <v>10.510606722952808</v>
      </c>
      <c r="AP233" s="954">
        <f ca="1">IF(AO233&lt;User_sheet!B$59,0,BC233*AA233)</f>
        <v>0</v>
      </c>
      <c r="AR233" s="2">
        <v>0.32</v>
      </c>
      <c r="AS233" s="2">
        <v>2.1</v>
      </c>
      <c r="AT233" s="2">
        <v>7.9</v>
      </c>
      <c r="AU233" s="2">
        <v>2</v>
      </c>
      <c r="AV233" s="2">
        <v>3.3</v>
      </c>
      <c r="AW233" s="2">
        <v>14356</v>
      </c>
      <c r="AX233" s="2">
        <v>74715.401027665983</v>
      </c>
      <c r="AY233" s="2">
        <v>67352.647733737584</v>
      </c>
      <c r="AZ233" s="27">
        <v>0</v>
      </c>
      <c r="BA233" s="27">
        <v>0</v>
      </c>
      <c r="BB233" s="2">
        <v>0.6</v>
      </c>
      <c r="BC233" s="30">
        <v>0</v>
      </c>
      <c r="BD233" s="34">
        <v>1</v>
      </c>
      <c r="BE233" s="34">
        <v>0</v>
      </c>
      <c r="BF233" s="40">
        <v>0</v>
      </c>
      <c r="BG233" s="34">
        <v>1</v>
      </c>
      <c r="BH233" s="34">
        <v>0</v>
      </c>
      <c r="BI233" s="40">
        <v>0</v>
      </c>
      <c r="BJ233" s="34">
        <v>0</v>
      </c>
      <c r="BK233" s="34">
        <v>1</v>
      </c>
      <c r="BL233" s="34">
        <v>0</v>
      </c>
      <c r="BM233" s="40">
        <v>0</v>
      </c>
      <c r="BN233" s="958">
        <v>0</v>
      </c>
      <c r="BO233" s="959">
        <v>14.9</v>
      </c>
      <c r="BP233" s="1018">
        <f t="shared" ca="1" si="317"/>
        <v>215.65</v>
      </c>
      <c r="BQ233" s="1018">
        <f t="shared" ca="1" si="318"/>
        <v>486.07500000000005</v>
      </c>
      <c r="BR233" s="1018">
        <f t="shared" ca="1" si="319"/>
        <v>117.8</v>
      </c>
      <c r="BS233" s="1018">
        <f t="shared" ca="1" si="320"/>
        <v>103.97</v>
      </c>
      <c r="BT233" s="1018">
        <f t="shared" ca="1" si="321"/>
        <v>53.9</v>
      </c>
      <c r="BU233" s="1018">
        <f t="shared" ca="1" si="322"/>
        <v>62.730000000000004</v>
      </c>
      <c r="BV233" s="1018">
        <f t="shared" ca="1" si="323"/>
        <v>4.3</v>
      </c>
      <c r="BW233" s="1018">
        <v>0</v>
      </c>
      <c r="BX233" s="1018">
        <f t="shared" ca="1" si="324"/>
        <v>35.715007579585652</v>
      </c>
      <c r="BY233" s="1018">
        <f t="shared" ca="1" si="325"/>
        <v>160.07111436950146</v>
      </c>
      <c r="BZ233" s="1018">
        <f t="shared" ca="1" si="295"/>
        <v>59.306682611142385</v>
      </c>
      <c r="CA233" s="1018">
        <f t="shared" ca="1" si="296"/>
        <v>125.45999994981604</v>
      </c>
      <c r="CB233" s="1018">
        <f t="shared" ca="1" si="326"/>
        <v>9.0267175572519083</v>
      </c>
      <c r="CC233" s="1018">
        <f t="shared" si="297"/>
        <v>0</v>
      </c>
      <c r="CD233" s="1018">
        <f t="shared" ca="1" si="327"/>
        <v>389.57952206729743</v>
      </c>
      <c r="CE233" s="1018">
        <f t="shared" ca="1" si="331"/>
        <v>174.83241983450787</v>
      </c>
      <c r="CF233" s="1018">
        <f t="shared" ca="1" si="299"/>
        <v>16.932358257054158</v>
      </c>
      <c r="CG233" s="1018">
        <f t="shared" ca="1" si="300"/>
        <v>28191.699203664892</v>
      </c>
    </row>
    <row r="234" spans="4:85" x14ac:dyDescent="0.25">
      <c r="D234" s="1"/>
      <c r="F234" s="1"/>
      <c r="G234" s="3"/>
      <c r="H234" s="6"/>
      <c r="I234" s="3"/>
      <c r="J234" s="3" t="s">
        <v>144</v>
      </c>
      <c r="K234" s="8"/>
      <c r="L234" s="6"/>
      <c r="M234" s="1"/>
      <c r="N234" s="1"/>
      <c r="O234" s="1" t="s">
        <v>18</v>
      </c>
      <c r="P234" s="4"/>
      <c r="Q234" s="1" t="s">
        <v>7</v>
      </c>
      <c r="R234" s="4"/>
      <c r="S234" s="1"/>
      <c r="T234" s="77"/>
      <c r="U234" s="294"/>
      <c r="X234" s="176">
        <f t="shared" si="328"/>
        <v>0</v>
      </c>
      <c r="Y234" s="34">
        <f>X234/Calculation_sheet!M$67</f>
        <v>0</v>
      </c>
      <c r="Z234" s="176">
        <f ca="1">IF(AN234&gt;0,Y234*Calculation_sheet!C$87,0)</f>
        <v>0</v>
      </c>
      <c r="AA234" s="176">
        <f t="shared" ca="1" si="329"/>
        <v>0</v>
      </c>
      <c r="AB234" s="176">
        <f ca="1">IF(AP234&gt;0,AA234*Calculation_sheet!C$94,0)</f>
        <v>0</v>
      </c>
      <c r="AC234" s="176">
        <f t="shared" ca="1" si="316"/>
        <v>0</v>
      </c>
      <c r="AD234" s="958">
        <f ca="1">AC234*Calculation_sheet!C$99</f>
        <v>0</v>
      </c>
      <c r="AE234" s="176">
        <f t="shared" ca="1" si="316"/>
        <v>0</v>
      </c>
      <c r="AF234" s="176">
        <f t="shared" ca="1" si="330"/>
        <v>0</v>
      </c>
      <c r="AG234" s="958">
        <f ca="1">AF234*User_sheet!B$77/100</f>
        <v>0</v>
      </c>
      <c r="AH234" s="313"/>
      <c r="AI234" s="3">
        <v>302</v>
      </c>
      <c r="AK234" s="1018">
        <f t="shared" ca="1" si="294"/>
        <v>389.57952206729743</v>
      </c>
      <c r="AL234" s="924">
        <f ca="1">AK234/'302'!I$24</f>
        <v>0.99306531243257057</v>
      </c>
      <c r="AM234" s="924">
        <f ca="1">0.8*(AK234*30+'302'!D$17*0.34*30*1)</f>
        <v>14416.095529615141</v>
      </c>
      <c r="AN234" s="954">
        <f ca="1">IF(AM234&lt;User_sheet!B$50,Y234,0)</f>
        <v>0</v>
      </c>
      <c r="AO234" s="954">
        <f ca="1">20-(User_sheet!B$57/(AK234+'302'!D$17*1*0.34))</f>
        <v>10.510606722952808</v>
      </c>
      <c r="AP234" s="954">
        <f ca="1">IF(AO234&lt;User_sheet!B$59,0,BC234*AA234)</f>
        <v>0</v>
      </c>
      <c r="AR234" s="2">
        <v>0.32</v>
      </c>
      <c r="AS234" s="2">
        <v>2.1</v>
      </c>
      <c r="AT234" s="2">
        <v>7.9</v>
      </c>
      <c r="AU234" s="2">
        <v>2</v>
      </c>
      <c r="AV234" s="2">
        <v>3.3</v>
      </c>
      <c r="AW234" s="2">
        <v>14356</v>
      </c>
      <c r="AX234" s="2">
        <v>74715.401027665983</v>
      </c>
      <c r="AY234" s="2">
        <v>67352.647733737584</v>
      </c>
      <c r="AZ234" s="27">
        <v>0</v>
      </c>
      <c r="BA234" s="27">
        <v>0</v>
      </c>
      <c r="BB234" s="2">
        <v>0.6</v>
      </c>
      <c r="BC234" s="30">
        <v>0</v>
      </c>
      <c r="BD234" s="34">
        <v>1</v>
      </c>
      <c r="BE234" s="34">
        <v>0</v>
      </c>
      <c r="BF234" s="40">
        <v>0</v>
      </c>
      <c r="BG234" s="34">
        <v>1</v>
      </c>
      <c r="BH234" s="34">
        <v>0</v>
      </c>
      <c r="BI234" s="40">
        <v>0</v>
      </c>
      <c r="BJ234" s="34">
        <v>0</v>
      </c>
      <c r="BK234" s="34">
        <v>0</v>
      </c>
      <c r="BL234" s="34">
        <v>1</v>
      </c>
      <c r="BM234" s="40">
        <v>0</v>
      </c>
      <c r="BN234" s="958">
        <v>0</v>
      </c>
      <c r="BO234" s="959">
        <v>14.9</v>
      </c>
      <c r="BP234" s="1018">
        <f t="shared" ca="1" si="317"/>
        <v>215.65</v>
      </c>
      <c r="BQ234" s="1018">
        <f t="shared" ca="1" si="318"/>
        <v>486.07500000000005</v>
      </c>
      <c r="BR234" s="1018">
        <f t="shared" ca="1" si="319"/>
        <v>117.8</v>
      </c>
      <c r="BS234" s="1018">
        <f t="shared" ca="1" si="320"/>
        <v>103.97</v>
      </c>
      <c r="BT234" s="1018">
        <f t="shared" ca="1" si="321"/>
        <v>53.9</v>
      </c>
      <c r="BU234" s="1018">
        <f t="shared" ca="1" si="322"/>
        <v>62.730000000000004</v>
      </c>
      <c r="BV234" s="1018">
        <f t="shared" ca="1" si="323"/>
        <v>4.3</v>
      </c>
      <c r="BW234" s="1018">
        <v>0</v>
      </c>
      <c r="BX234" s="1018">
        <f t="shared" ca="1" si="324"/>
        <v>35.715007579585652</v>
      </c>
      <c r="BY234" s="1018">
        <f t="shared" ca="1" si="325"/>
        <v>160.07111436950146</v>
      </c>
      <c r="BZ234" s="1018">
        <f t="shared" ca="1" si="295"/>
        <v>59.306682611142385</v>
      </c>
      <c r="CA234" s="1018">
        <f t="shared" ca="1" si="296"/>
        <v>125.45999994981604</v>
      </c>
      <c r="CB234" s="1018">
        <f t="shared" ca="1" si="326"/>
        <v>9.0267175572519083</v>
      </c>
      <c r="CC234" s="1018">
        <f t="shared" si="297"/>
        <v>0</v>
      </c>
      <c r="CD234" s="1018">
        <f t="shared" ca="1" si="327"/>
        <v>389.57952206729743</v>
      </c>
      <c r="CE234" s="1018">
        <f t="shared" ca="1" si="331"/>
        <v>174.83241983450787</v>
      </c>
      <c r="CF234" s="1018">
        <f t="shared" ca="1" si="299"/>
        <v>16.932358257054158</v>
      </c>
      <c r="CG234" s="1018">
        <f t="shared" ca="1" si="300"/>
        <v>28191.699203664892</v>
      </c>
    </row>
    <row r="235" spans="4:85" x14ac:dyDescent="0.25">
      <c r="D235" s="1"/>
      <c r="F235" s="1"/>
      <c r="G235" s="3"/>
      <c r="H235" s="6"/>
      <c r="I235" s="3"/>
      <c r="J235" s="6" t="s">
        <v>190</v>
      </c>
      <c r="K235" s="8"/>
      <c r="L235" s="6"/>
      <c r="M235" s="1"/>
      <c r="N235" s="1"/>
      <c r="O235" s="1"/>
      <c r="P235" s="1"/>
      <c r="Q235" s="1" t="s">
        <v>22</v>
      </c>
      <c r="R235" s="4"/>
      <c r="S235" s="1"/>
      <c r="T235" s="77"/>
      <c r="U235" s="294"/>
      <c r="X235" s="176">
        <f t="shared" si="328"/>
        <v>0</v>
      </c>
      <c r="Y235" s="34">
        <f>X235/Calculation_sheet!M$67</f>
        <v>0</v>
      </c>
      <c r="Z235" s="176">
        <f ca="1">IF(AN235&gt;0,Y235*Calculation_sheet!C$87,0)</f>
        <v>0</v>
      </c>
      <c r="AA235" s="176">
        <f t="shared" ca="1" si="329"/>
        <v>0</v>
      </c>
      <c r="AB235" s="176">
        <f ca="1">IF(AP235&gt;0,AA235*Calculation_sheet!C$94,0)</f>
        <v>0</v>
      </c>
      <c r="AC235" s="176">
        <f t="shared" ca="1" si="316"/>
        <v>0</v>
      </c>
      <c r="AD235" s="958">
        <f ca="1">AC235*Calculation_sheet!C$99</f>
        <v>0</v>
      </c>
      <c r="AE235" s="176">
        <f t="shared" ca="1" si="316"/>
        <v>0</v>
      </c>
      <c r="AF235" s="176">
        <f t="shared" ca="1" si="330"/>
        <v>0</v>
      </c>
      <c r="AG235" s="958">
        <f ca="1">AF235*User_sheet!B$77/100</f>
        <v>0</v>
      </c>
      <c r="AH235" s="313"/>
      <c r="AI235" s="3">
        <v>302</v>
      </c>
      <c r="AK235" s="1018">
        <f t="shared" ca="1" si="294"/>
        <v>389.57952206729743</v>
      </c>
      <c r="AL235" s="924">
        <f ca="1">AK235/'302'!I$24</f>
        <v>0.99306531243257057</v>
      </c>
      <c r="AM235" s="924">
        <f ca="1">0.8*(AK235*30+'302'!D$17*0.34*30*1)</f>
        <v>14416.095529615141</v>
      </c>
      <c r="AN235" s="954">
        <f ca="1">IF(AM235&lt;User_sheet!B$50,Y235,0)</f>
        <v>0</v>
      </c>
      <c r="AO235" s="954">
        <f ca="1">20-(User_sheet!B$57/(AK235+'302'!D$17*1*0.34))</f>
        <v>10.510606722952808</v>
      </c>
      <c r="AP235" s="954">
        <f ca="1">IF(AO235&lt;User_sheet!B$59,0,BC235*AA235)</f>
        <v>0</v>
      </c>
      <c r="AR235" s="2">
        <v>0.32</v>
      </c>
      <c r="AS235" s="2">
        <v>2.1</v>
      </c>
      <c r="AT235" s="2">
        <v>7.9</v>
      </c>
      <c r="AU235" s="2">
        <v>2</v>
      </c>
      <c r="AV235" s="2">
        <v>3.3</v>
      </c>
      <c r="AW235" s="2">
        <v>14356</v>
      </c>
      <c r="AX235" s="2">
        <v>74715.401027665983</v>
      </c>
      <c r="AY235" s="2">
        <v>67352.647733737584</v>
      </c>
      <c r="AZ235" s="27">
        <v>0</v>
      </c>
      <c r="BA235" s="27">
        <v>0</v>
      </c>
      <c r="BB235" s="2">
        <v>0.6</v>
      </c>
      <c r="BC235" s="30">
        <v>0</v>
      </c>
      <c r="BD235" s="34">
        <v>1</v>
      </c>
      <c r="BE235" s="34">
        <v>0</v>
      </c>
      <c r="BF235" s="40">
        <v>0</v>
      </c>
      <c r="BG235" s="34">
        <v>0</v>
      </c>
      <c r="BH235" s="34">
        <v>1</v>
      </c>
      <c r="BI235" s="40">
        <v>0</v>
      </c>
      <c r="BJ235" s="34">
        <v>0</v>
      </c>
      <c r="BK235" s="34">
        <v>1</v>
      </c>
      <c r="BL235" s="34">
        <v>0</v>
      </c>
      <c r="BM235" s="40">
        <v>0</v>
      </c>
      <c r="BN235" s="958">
        <v>0</v>
      </c>
      <c r="BO235" s="959">
        <v>14.9</v>
      </c>
      <c r="BP235" s="1018">
        <f t="shared" ca="1" si="317"/>
        <v>215.65</v>
      </c>
      <c r="BQ235" s="1018">
        <f t="shared" ca="1" si="318"/>
        <v>486.07500000000005</v>
      </c>
      <c r="BR235" s="1018">
        <f t="shared" ca="1" si="319"/>
        <v>117.8</v>
      </c>
      <c r="BS235" s="1018">
        <f t="shared" ca="1" si="320"/>
        <v>103.97</v>
      </c>
      <c r="BT235" s="1018">
        <f t="shared" ca="1" si="321"/>
        <v>53.9</v>
      </c>
      <c r="BU235" s="1018">
        <f t="shared" ca="1" si="322"/>
        <v>62.730000000000004</v>
      </c>
      <c r="BV235" s="1018">
        <f t="shared" ca="1" si="323"/>
        <v>4.3</v>
      </c>
      <c r="BW235" s="1018">
        <v>0</v>
      </c>
      <c r="BX235" s="1018">
        <f t="shared" ca="1" si="324"/>
        <v>35.715007579585652</v>
      </c>
      <c r="BY235" s="1018">
        <f t="shared" ca="1" si="325"/>
        <v>160.07111436950146</v>
      </c>
      <c r="BZ235" s="1018">
        <f t="shared" ca="1" si="295"/>
        <v>59.306682611142385</v>
      </c>
      <c r="CA235" s="1018">
        <f t="shared" ca="1" si="296"/>
        <v>125.45999994981604</v>
      </c>
      <c r="CB235" s="1018">
        <f t="shared" ca="1" si="326"/>
        <v>9.0267175572519083</v>
      </c>
      <c r="CC235" s="1018">
        <f t="shared" si="297"/>
        <v>0</v>
      </c>
      <c r="CD235" s="1018">
        <f t="shared" ca="1" si="327"/>
        <v>389.57952206729743</v>
      </c>
      <c r="CE235" s="1018">
        <f t="shared" ca="1" si="331"/>
        <v>174.83241983450787</v>
      </c>
      <c r="CF235" s="1018">
        <f t="shared" ca="1" si="299"/>
        <v>16.932358257054158</v>
      </c>
      <c r="CG235" s="1018">
        <f t="shared" ca="1" si="300"/>
        <v>28191.699203664892</v>
      </c>
    </row>
    <row r="236" spans="4:85" x14ac:dyDescent="0.25">
      <c r="D236" s="1"/>
      <c r="F236" s="1"/>
      <c r="G236" s="3"/>
      <c r="H236" s="6"/>
      <c r="I236" s="3"/>
      <c r="J236" s="6"/>
      <c r="K236" s="8"/>
      <c r="L236" s="6"/>
      <c r="M236" s="1" t="s">
        <v>22</v>
      </c>
      <c r="N236" s="4"/>
      <c r="O236" s="1" t="s">
        <v>20</v>
      </c>
      <c r="P236" s="4"/>
      <c r="Q236" s="1" t="s">
        <v>7</v>
      </c>
      <c r="R236" s="4"/>
      <c r="S236" s="1"/>
      <c r="T236" s="77"/>
      <c r="U236" s="294"/>
      <c r="X236" s="176">
        <f t="shared" si="328"/>
        <v>0</v>
      </c>
      <c r="Y236" s="34">
        <f>X236/Calculation_sheet!M$67</f>
        <v>0</v>
      </c>
      <c r="Z236" s="176">
        <f ca="1">IF(AN236&gt;0,Y236*Calculation_sheet!C$87,0)</f>
        <v>0</v>
      </c>
      <c r="AA236" s="176">
        <f t="shared" ca="1" si="329"/>
        <v>0</v>
      </c>
      <c r="AB236" s="176">
        <f ca="1">IF(AP236&gt;0,AA236*Calculation_sheet!C$94,0)</f>
        <v>0</v>
      </c>
      <c r="AC236" s="176">
        <f t="shared" ca="1" si="316"/>
        <v>0</v>
      </c>
      <c r="AD236" s="958">
        <f ca="1">AC236*Calculation_sheet!C$99</f>
        <v>0</v>
      </c>
      <c r="AE236" s="176">
        <f t="shared" ca="1" si="316"/>
        <v>0</v>
      </c>
      <c r="AF236" s="176">
        <f t="shared" ca="1" si="330"/>
        <v>0</v>
      </c>
      <c r="AG236" s="958">
        <f ca="1">AF236*User_sheet!B$77/100</f>
        <v>0</v>
      </c>
      <c r="AH236" s="313"/>
      <c r="AI236" s="3">
        <v>302</v>
      </c>
      <c r="AK236" s="1018">
        <f t="shared" ca="1" si="294"/>
        <v>389.57952206729743</v>
      </c>
      <c r="AL236" s="924">
        <f ca="1">AK236/'302'!I$24</f>
        <v>0.99306531243257057</v>
      </c>
      <c r="AM236" s="924">
        <f ca="1">0.8*(AK236*30+'302'!D$17*0.34*30*1)</f>
        <v>14416.095529615141</v>
      </c>
      <c r="AN236" s="954">
        <f ca="1">IF(AM236&lt;User_sheet!B$50,Y236,0)</f>
        <v>0</v>
      </c>
      <c r="AO236" s="954">
        <f ca="1">20-(User_sheet!B$57/(AK236+'302'!D$17*1*0.34))</f>
        <v>10.510606722952808</v>
      </c>
      <c r="AP236" s="954">
        <f ca="1">IF(AO236&lt;User_sheet!B$59,0,BC236*AA236)</f>
        <v>0</v>
      </c>
      <c r="AR236" s="2">
        <v>0.32</v>
      </c>
      <c r="AS236" s="2">
        <v>2.1</v>
      </c>
      <c r="AT236" s="2">
        <v>7.9</v>
      </c>
      <c r="AU236" s="2">
        <v>2</v>
      </c>
      <c r="AV236" s="2">
        <v>3.3</v>
      </c>
      <c r="AW236" s="2">
        <v>14356</v>
      </c>
      <c r="AX236" s="2">
        <v>74715.401027665983</v>
      </c>
      <c r="AY236" s="2">
        <v>67352.647733737584</v>
      </c>
      <c r="AZ236" s="27">
        <v>0</v>
      </c>
      <c r="BA236" s="27">
        <v>0</v>
      </c>
      <c r="BB236" s="2">
        <v>0.6</v>
      </c>
      <c r="BC236" s="30">
        <v>0</v>
      </c>
      <c r="BD236" s="34">
        <v>1</v>
      </c>
      <c r="BE236" s="34">
        <v>0</v>
      </c>
      <c r="BF236" s="40">
        <v>0</v>
      </c>
      <c r="BG236" s="34">
        <v>0</v>
      </c>
      <c r="BH236" s="34">
        <v>1</v>
      </c>
      <c r="BI236" s="40">
        <v>0</v>
      </c>
      <c r="BJ236" s="34">
        <v>0</v>
      </c>
      <c r="BK236" s="34">
        <v>0</v>
      </c>
      <c r="BL236" s="34">
        <v>1</v>
      </c>
      <c r="BM236" s="40">
        <v>0</v>
      </c>
      <c r="BN236" s="958">
        <v>0</v>
      </c>
      <c r="BO236" s="959">
        <v>14.9</v>
      </c>
      <c r="BP236" s="1018">
        <f t="shared" ca="1" si="317"/>
        <v>215.65</v>
      </c>
      <c r="BQ236" s="1018">
        <f t="shared" ca="1" si="318"/>
        <v>486.07500000000005</v>
      </c>
      <c r="BR236" s="1018">
        <f t="shared" ca="1" si="319"/>
        <v>117.8</v>
      </c>
      <c r="BS236" s="1018">
        <f t="shared" ca="1" si="320"/>
        <v>103.97</v>
      </c>
      <c r="BT236" s="1018">
        <f t="shared" ca="1" si="321"/>
        <v>53.9</v>
      </c>
      <c r="BU236" s="1018">
        <f t="shared" ca="1" si="322"/>
        <v>62.730000000000004</v>
      </c>
      <c r="BV236" s="1018">
        <f t="shared" ca="1" si="323"/>
        <v>4.3</v>
      </c>
      <c r="BW236" s="1018">
        <v>0</v>
      </c>
      <c r="BX236" s="1018">
        <f t="shared" ca="1" si="324"/>
        <v>35.715007579585652</v>
      </c>
      <c r="BY236" s="1018">
        <f t="shared" ca="1" si="325"/>
        <v>160.07111436950146</v>
      </c>
      <c r="BZ236" s="1018">
        <f t="shared" ca="1" si="295"/>
        <v>59.306682611142385</v>
      </c>
      <c r="CA236" s="1018">
        <f t="shared" ca="1" si="296"/>
        <v>125.45999994981604</v>
      </c>
      <c r="CB236" s="1018">
        <f t="shared" ca="1" si="326"/>
        <v>9.0267175572519083</v>
      </c>
      <c r="CC236" s="1018">
        <f t="shared" si="297"/>
        <v>0</v>
      </c>
      <c r="CD236" s="1018">
        <f t="shared" ca="1" si="327"/>
        <v>389.57952206729743</v>
      </c>
      <c r="CE236" s="1018">
        <f t="shared" ca="1" si="331"/>
        <v>174.83241983450787</v>
      </c>
      <c r="CF236" s="1018">
        <f t="shared" ca="1" si="299"/>
        <v>16.932358257054158</v>
      </c>
      <c r="CG236" s="1018">
        <f t="shared" ca="1" si="300"/>
        <v>28191.699203664892</v>
      </c>
    </row>
    <row r="237" spans="4:85" x14ac:dyDescent="0.25">
      <c r="D237" s="1"/>
      <c r="F237" s="1"/>
      <c r="G237" s="3"/>
      <c r="H237" s="6"/>
      <c r="I237" s="3"/>
      <c r="J237" s="6"/>
      <c r="K237" s="8"/>
      <c r="L237" s="6"/>
      <c r="M237" s="1" t="s">
        <v>7</v>
      </c>
      <c r="N237" s="4"/>
      <c r="O237" s="1" t="s">
        <v>23</v>
      </c>
      <c r="P237" s="4"/>
      <c r="Q237" s="1" t="s">
        <v>7</v>
      </c>
      <c r="R237" s="4"/>
      <c r="S237" s="1"/>
      <c r="T237" s="77"/>
      <c r="U237" s="294"/>
      <c r="X237" s="176">
        <f t="shared" si="328"/>
        <v>0</v>
      </c>
      <c r="Y237" s="34">
        <f>X237/Calculation_sheet!M$67</f>
        <v>0</v>
      </c>
      <c r="Z237" s="176">
        <f ca="1">IF(AN237&gt;0,Y237*Calculation_sheet!C$87,0)</f>
        <v>0</v>
      </c>
      <c r="AA237" s="176">
        <f t="shared" ca="1" si="329"/>
        <v>0</v>
      </c>
      <c r="AB237" s="176">
        <f ca="1">IF(AP237&gt;0,AA237*Calculation_sheet!C$94,0)</f>
        <v>0</v>
      </c>
      <c r="AC237" s="176">
        <f t="shared" ca="1" si="316"/>
        <v>0</v>
      </c>
      <c r="AD237" s="958">
        <f ca="1">AC237*Calculation_sheet!C$99</f>
        <v>0</v>
      </c>
      <c r="AE237" s="176">
        <f t="shared" ca="1" si="316"/>
        <v>0</v>
      </c>
      <c r="AF237" s="176">
        <f t="shared" ca="1" si="330"/>
        <v>0</v>
      </c>
      <c r="AG237" s="958">
        <f ca="1">AF237*User_sheet!B$77/100</f>
        <v>0</v>
      </c>
      <c r="AH237" s="313"/>
      <c r="AI237" s="3">
        <v>302</v>
      </c>
      <c r="AK237" s="1018">
        <f t="shared" ca="1" si="294"/>
        <v>389.57952206729743</v>
      </c>
      <c r="AL237" s="924">
        <f ca="1">AK237/'302'!I$24</f>
        <v>0.99306531243257057</v>
      </c>
      <c r="AM237" s="924">
        <f ca="1">0.8*(AK237*30+'302'!D$17*0.34*30*1)</f>
        <v>14416.095529615141</v>
      </c>
      <c r="AN237" s="954">
        <f ca="1">IF(AM237&lt;User_sheet!B$50,Y237,0)</f>
        <v>0</v>
      </c>
      <c r="AO237" s="954">
        <f ca="1">20-(User_sheet!B$57/(AK237+'302'!D$17*1*0.34))</f>
        <v>10.510606722952808</v>
      </c>
      <c r="AP237" s="954">
        <f ca="1">IF(AO237&lt;User_sheet!B$59,0,BC237*AA237)</f>
        <v>0</v>
      </c>
      <c r="AR237" s="2">
        <v>0.32</v>
      </c>
      <c r="AS237" s="2">
        <v>2.1</v>
      </c>
      <c r="AT237" s="2">
        <v>7.9</v>
      </c>
      <c r="AU237" s="2">
        <v>2</v>
      </c>
      <c r="AV237" s="2">
        <v>3.3</v>
      </c>
      <c r="AW237" s="2">
        <v>14356</v>
      </c>
      <c r="AX237" s="2">
        <v>74715.401027665983</v>
      </c>
      <c r="AY237" s="2">
        <v>67352.647733737584</v>
      </c>
      <c r="AZ237" s="27">
        <v>0</v>
      </c>
      <c r="BA237" s="27">
        <v>0</v>
      </c>
      <c r="BB237" s="2">
        <v>0.6</v>
      </c>
      <c r="BC237" s="30">
        <v>0</v>
      </c>
      <c r="BD237" s="34">
        <v>0</v>
      </c>
      <c r="BE237" s="34">
        <v>1</v>
      </c>
      <c r="BF237" s="40">
        <v>0</v>
      </c>
      <c r="BG237" s="34">
        <v>0</v>
      </c>
      <c r="BH237" s="34">
        <v>0</v>
      </c>
      <c r="BI237" s="40">
        <v>1</v>
      </c>
      <c r="BJ237" s="34">
        <v>0</v>
      </c>
      <c r="BK237" s="34">
        <v>0</v>
      </c>
      <c r="BL237" s="34">
        <v>1</v>
      </c>
      <c r="BM237" s="40">
        <v>0</v>
      </c>
      <c r="BN237" s="958">
        <v>0</v>
      </c>
      <c r="BO237" s="959">
        <v>14.9</v>
      </c>
      <c r="BP237" s="1018">
        <f t="shared" ca="1" si="317"/>
        <v>215.65</v>
      </c>
      <c r="BQ237" s="1018">
        <f t="shared" ca="1" si="318"/>
        <v>486.07500000000005</v>
      </c>
      <c r="BR237" s="1018">
        <f t="shared" ca="1" si="319"/>
        <v>117.8</v>
      </c>
      <c r="BS237" s="1018">
        <f t="shared" ca="1" si="320"/>
        <v>103.97</v>
      </c>
      <c r="BT237" s="1018">
        <f t="shared" ca="1" si="321"/>
        <v>53.9</v>
      </c>
      <c r="BU237" s="1018">
        <f t="shared" ca="1" si="322"/>
        <v>62.730000000000004</v>
      </c>
      <c r="BV237" s="1018">
        <f t="shared" ca="1" si="323"/>
        <v>4.3</v>
      </c>
      <c r="BW237" s="1018">
        <v>0</v>
      </c>
      <c r="BX237" s="1018">
        <f t="shared" ca="1" si="324"/>
        <v>35.715007579585652</v>
      </c>
      <c r="BY237" s="1018">
        <f t="shared" ca="1" si="325"/>
        <v>160.07111436950146</v>
      </c>
      <c r="BZ237" s="1018">
        <f t="shared" ca="1" si="295"/>
        <v>59.306682611142385</v>
      </c>
      <c r="CA237" s="1018">
        <f t="shared" ca="1" si="296"/>
        <v>125.45999994981604</v>
      </c>
      <c r="CB237" s="1018">
        <f t="shared" ca="1" si="326"/>
        <v>9.0267175572519083</v>
      </c>
      <c r="CC237" s="1018">
        <f t="shared" si="297"/>
        <v>0</v>
      </c>
      <c r="CD237" s="1018">
        <f t="shared" ca="1" si="327"/>
        <v>389.57952206729743</v>
      </c>
      <c r="CE237" s="1018">
        <f t="shared" ca="1" si="331"/>
        <v>174.83241983450787</v>
      </c>
      <c r="CF237" s="1018">
        <f t="shared" ca="1" si="299"/>
        <v>16.932358257054158</v>
      </c>
      <c r="CG237" s="1018">
        <f t="shared" ca="1" si="300"/>
        <v>28191.699203664892</v>
      </c>
    </row>
    <row r="238" spans="4:85" x14ac:dyDescent="0.25">
      <c r="D238" s="1"/>
      <c r="F238" s="1"/>
      <c r="G238" s="3"/>
      <c r="H238" s="6"/>
      <c r="I238" s="3"/>
      <c r="J238" s="6"/>
      <c r="K238" s="8"/>
      <c r="L238" s="6"/>
      <c r="M238" s="1"/>
      <c r="N238" s="1"/>
      <c r="O238" s="1" t="s">
        <v>18</v>
      </c>
      <c r="P238" s="4"/>
      <c r="Q238" s="1" t="s">
        <v>17</v>
      </c>
      <c r="R238" s="4"/>
      <c r="S238" s="1"/>
      <c r="T238" s="77"/>
      <c r="U238" s="294"/>
      <c r="X238" s="176">
        <f t="shared" si="328"/>
        <v>0</v>
      </c>
      <c r="Y238" s="34">
        <f>X238/Calculation_sheet!M$67</f>
        <v>0</v>
      </c>
      <c r="Z238" s="176">
        <f ca="1">IF(AN238&gt;0,Y238*Calculation_sheet!C$87,0)</f>
        <v>0</v>
      </c>
      <c r="AA238" s="176">
        <f t="shared" ca="1" si="329"/>
        <v>0</v>
      </c>
      <c r="AB238" s="176">
        <f ca="1">IF(AP238&gt;0,AA238*Calculation_sheet!C$94,0)</f>
        <v>0</v>
      </c>
      <c r="AC238" s="176">
        <f t="shared" ca="1" si="316"/>
        <v>0</v>
      </c>
      <c r="AD238" s="958">
        <f ca="1">AC238*Calculation_sheet!C$99</f>
        <v>0</v>
      </c>
      <c r="AE238" s="176">
        <f t="shared" ca="1" si="316"/>
        <v>0</v>
      </c>
      <c r="AF238" s="176">
        <f t="shared" ca="1" si="330"/>
        <v>0</v>
      </c>
      <c r="AG238" s="958">
        <f ca="1">AF238*User_sheet!B$77/100</f>
        <v>0</v>
      </c>
      <c r="AH238" s="313"/>
      <c r="AI238" s="3">
        <v>302</v>
      </c>
      <c r="AK238" s="1018">
        <f t="shared" ca="1" si="294"/>
        <v>389.57952206729743</v>
      </c>
      <c r="AL238" s="924">
        <f ca="1">AK238/'302'!I$24</f>
        <v>0.99306531243257057</v>
      </c>
      <c r="AM238" s="924">
        <f ca="1">0.8*(AK238*30+'302'!D$17*0.34*30*1)</f>
        <v>14416.095529615141</v>
      </c>
      <c r="AN238" s="954">
        <f ca="1">IF(AM238&lt;User_sheet!B$50,Y238,0)</f>
        <v>0</v>
      </c>
      <c r="AO238" s="954">
        <f ca="1">20-(User_sheet!B$57/(AK238+'302'!D$17*1*0.34))</f>
        <v>10.510606722952808</v>
      </c>
      <c r="AP238" s="954">
        <f ca="1">IF(AO238&lt;User_sheet!B$59,0,BC238*AA238)</f>
        <v>0</v>
      </c>
      <c r="AR238" s="2">
        <v>0.32</v>
      </c>
      <c r="AS238" s="2">
        <v>2.1</v>
      </c>
      <c r="AT238" s="2">
        <v>7.9</v>
      </c>
      <c r="AU238" s="2">
        <v>2</v>
      </c>
      <c r="AV238" s="2">
        <v>3.3</v>
      </c>
      <c r="AW238" s="2">
        <v>14356</v>
      </c>
      <c r="AX238" s="2">
        <v>74715.401027665983</v>
      </c>
      <c r="AY238" s="2">
        <v>67352.647733737584</v>
      </c>
      <c r="AZ238" s="27">
        <v>0</v>
      </c>
      <c r="BA238" s="27">
        <v>0</v>
      </c>
      <c r="BB238" s="2">
        <v>0.6</v>
      </c>
      <c r="BC238" s="30">
        <v>0</v>
      </c>
      <c r="BD238" s="34">
        <v>0</v>
      </c>
      <c r="BE238" s="34">
        <v>0</v>
      </c>
      <c r="BF238" s="40">
        <v>1</v>
      </c>
      <c r="BG238" s="34">
        <v>1</v>
      </c>
      <c r="BH238" s="34">
        <v>0</v>
      </c>
      <c r="BI238" s="40">
        <v>0</v>
      </c>
      <c r="BJ238" s="34">
        <v>0</v>
      </c>
      <c r="BK238" s="34">
        <v>0</v>
      </c>
      <c r="BL238" s="34">
        <v>0</v>
      </c>
      <c r="BM238" s="40">
        <v>1</v>
      </c>
      <c r="BN238" s="958">
        <v>0</v>
      </c>
      <c r="BO238" s="959">
        <v>14.9</v>
      </c>
      <c r="BP238" s="1018">
        <f t="shared" ca="1" si="317"/>
        <v>215.65</v>
      </c>
      <c r="BQ238" s="1018">
        <f t="shared" ca="1" si="318"/>
        <v>486.07500000000005</v>
      </c>
      <c r="BR238" s="1018">
        <f t="shared" ca="1" si="319"/>
        <v>117.8</v>
      </c>
      <c r="BS238" s="1018">
        <f t="shared" ca="1" si="320"/>
        <v>103.97</v>
      </c>
      <c r="BT238" s="1018">
        <f t="shared" ca="1" si="321"/>
        <v>53.9</v>
      </c>
      <c r="BU238" s="1018">
        <f t="shared" ca="1" si="322"/>
        <v>62.730000000000004</v>
      </c>
      <c r="BV238" s="1018">
        <f t="shared" ca="1" si="323"/>
        <v>4.3</v>
      </c>
      <c r="BW238" s="1018">
        <v>0</v>
      </c>
      <c r="BX238" s="1018">
        <f t="shared" ca="1" si="324"/>
        <v>35.715007579585652</v>
      </c>
      <c r="BY238" s="1018">
        <f t="shared" ca="1" si="325"/>
        <v>160.07111436950146</v>
      </c>
      <c r="BZ238" s="1018">
        <f t="shared" ca="1" si="295"/>
        <v>59.306682611142385</v>
      </c>
      <c r="CA238" s="1018">
        <f t="shared" ca="1" si="296"/>
        <v>125.45999994981604</v>
      </c>
      <c r="CB238" s="1018">
        <f t="shared" ca="1" si="326"/>
        <v>9.0267175572519083</v>
      </c>
      <c r="CC238" s="1018">
        <f t="shared" si="297"/>
        <v>0</v>
      </c>
      <c r="CD238" s="1018">
        <f t="shared" ca="1" si="327"/>
        <v>389.57952206729743</v>
      </c>
      <c r="CE238" s="1018">
        <f t="shared" ca="1" si="331"/>
        <v>174.83241983450787</v>
      </c>
      <c r="CF238" s="1018">
        <f t="shared" ca="1" si="299"/>
        <v>16.932358257054158</v>
      </c>
      <c r="CG238" s="1018">
        <f t="shared" ca="1" si="300"/>
        <v>28191.699203664892</v>
      </c>
    </row>
    <row r="239" spans="4:85" x14ac:dyDescent="0.25">
      <c r="D239" s="1"/>
      <c r="F239" s="1"/>
      <c r="G239" s="3"/>
      <c r="H239" s="6"/>
      <c r="I239" s="3"/>
      <c r="J239" s="6"/>
      <c r="K239" s="8"/>
      <c r="L239" s="6"/>
      <c r="M239" s="1" t="s">
        <v>17</v>
      </c>
      <c r="N239" s="4"/>
      <c r="O239" s="1" t="s">
        <v>19</v>
      </c>
      <c r="P239" s="4"/>
      <c r="Q239" s="1" t="s">
        <v>17</v>
      </c>
      <c r="R239" s="4"/>
      <c r="S239" s="1"/>
      <c r="T239" s="77"/>
      <c r="U239" s="294"/>
      <c r="X239" s="176">
        <f t="shared" si="328"/>
        <v>0</v>
      </c>
      <c r="Y239" s="34">
        <f>X239/Calculation_sheet!M$67</f>
        <v>0</v>
      </c>
      <c r="Z239" s="176">
        <f ca="1">IF(AN239&gt;0,Y239*Calculation_sheet!C$87,0)</f>
        <v>0</v>
      </c>
      <c r="AA239" s="176">
        <f t="shared" ca="1" si="329"/>
        <v>0</v>
      </c>
      <c r="AB239" s="176">
        <f ca="1">IF(AP239&gt;0,AA239*Calculation_sheet!C$94,0)</f>
        <v>0</v>
      </c>
      <c r="AC239" s="176">
        <f t="shared" ca="1" si="316"/>
        <v>0</v>
      </c>
      <c r="AD239" s="958">
        <f ca="1">AC239*Calculation_sheet!C$99</f>
        <v>0</v>
      </c>
      <c r="AE239" s="176">
        <f t="shared" ca="1" si="316"/>
        <v>0</v>
      </c>
      <c r="AF239" s="176">
        <f t="shared" ca="1" si="330"/>
        <v>0</v>
      </c>
      <c r="AG239" s="958">
        <f ca="1">AF239*User_sheet!B$77/100</f>
        <v>0</v>
      </c>
      <c r="AH239" s="313"/>
      <c r="AI239" s="3">
        <v>302</v>
      </c>
      <c r="AK239" s="1018">
        <f t="shared" ca="1" si="294"/>
        <v>389.57952206729743</v>
      </c>
      <c r="AL239" s="924">
        <f ca="1">AK239/'302'!I$24</f>
        <v>0.99306531243257057</v>
      </c>
      <c r="AM239" s="924">
        <f ca="1">0.8*(AK239*30+'302'!D$17*0.34*30*1)</f>
        <v>14416.095529615141</v>
      </c>
      <c r="AN239" s="954">
        <f ca="1">IF(AM239&lt;User_sheet!B$50,Y239,0)</f>
        <v>0</v>
      </c>
      <c r="AO239" s="954">
        <f ca="1">20-(User_sheet!B$57/(AK239+'302'!D$17*1*0.34))</f>
        <v>10.510606722952808</v>
      </c>
      <c r="AP239" s="954">
        <f ca="1">IF(AO239&lt;User_sheet!B$59,0,BC239*AA239)</f>
        <v>0</v>
      </c>
      <c r="AR239" s="2">
        <v>0.32</v>
      </c>
      <c r="AS239" s="2">
        <v>2.1</v>
      </c>
      <c r="AT239" s="2">
        <v>7.9</v>
      </c>
      <c r="AU239" s="2">
        <v>2</v>
      </c>
      <c r="AV239" s="2">
        <v>3.3</v>
      </c>
      <c r="AW239" s="2">
        <v>14356</v>
      </c>
      <c r="AX239" s="2">
        <v>74715.401027665983</v>
      </c>
      <c r="AY239" s="2">
        <v>67352.647733737584</v>
      </c>
      <c r="AZ239" s="27">
        <v>0</v>
      </c>
      <c r="BA239" s="27">
        <v>0</v>
      </c>
      <c r="BB239" s="2">
        <v>0.6</v>
      </c>
      <c r="BC239" s="30">
        <v>0</v>
      </c>
      <c r="BD239" s="34">
        <v>0</v>
      </c>
      <c r="BE239" s="34">
        <v>0</v>
      </c>
      <c r="BF239" s="40">
        <v>1</v>
      </c>
      <c r="BG239" s="34">
        <v>0</v>
      </c>
      <c r="BH239" s="34">
        <v>1</v>
      </c>
      <c r="BI239" s="40">
        <v>0</v>
      </c>
      <c r="BJ239" s="34">
        <v>0</v>
      </c>
      <c r="BK239" s="34">
        <v>0</v>
      </c>
      <c r="BL239" s="34">
        <v>0</v>
      </c>
      <c r="BM239" s="40">
        <v>1</v>
      </c>
      <c r="BN239" s="958">
        <v>0</v>
      </c>
      <c r="BO239" s="959">
        <v>14.9</v>
      </c>
      <c r="BP239" s="1018">
        <f t="shared" ca="1" si="317"/>
        <v>215.65</v>
      </c>
      <c r="BQ239" s="1018">
        <f t="shared" ca="1" si="318"/>
        <v>486.07500000000005</v>
      </c>
      <c r="BR239" s="1018">
        <f t="shared" ca="1" si="319"/>
        <v>117.8</v>
      </c>
      <c r="BS239" s="1018">
        <f t="shared" ca="1" si="320"/>
        <v>103.97</v>
      </c>
      <c r="BT239" s="1018">
        <f t="shared" ca="1" si="321"/>
        <v>53.9</v>
      </c>
      <c r="BU239" s="1018">
        <f t="shared" ca="1" si="322"/>
        <v>62.730000000000004</v>
      </c>
      <c r="BV239" s="1018">
        <f t="shared" ca="1" si="323"/>
        <v>4.3</v>
      </c>
      <c r="BW239" s="1018">
        <v>0</v>
      </c>
      <c r="BX239" s="1018">
        <f t="shared" ca="1" si="324"/>
        <v>35.715007579585652</v>
      </c>
      <c r="BY239" s="1018">
        <f t="shared" ca="1" si="325"/>
        <v>160.07111436950146</v>
      </c>
      <c r="BZ239" s="1018">
        <f t="shared" ca="1" si="295"/>
        <v>59.306682611142385</v>
      </c>
      <c r="CA239" s="1018">
        <f t="shared" ca="1" si="296"/>
        <v>125.45999994981604</v>
      </c>
      <c r="CB239" s="1018">
        <f t="shared" ca="1" si="326"/>
        <v>9.0267175572519083</v>
      </c>
      <c r="CC239" s="1018">
        <f t="shared" si="297"/>
        <v>0</v>
      </c>
      <c r="CD239" s="1018">
        <f t="shared" ca="1" si="327"/>
        <v>389.57952206729743</v>
      </c>
      <c r="CE239" s="1018">
        <f t="shared" ca="1" si="331"/>
        <v>174.83241983450787</v>
      </c>
      <c r="CF239" s="1018">
        <f t="shared" ca="1" si="299"/>
        <v>16.932358257054158</v>
      </c>
      <c r="CG239" s="1018">
        <f t="shared" ca="1" si="300"/>
        <v>28191.699203664892</v>
      </c>
    </row>
    <row r="240" spans="4:85" s="14" customFormat="1" x14ac:dyDescent="0.25">
      <c r="D240" s="15"/>
      <c r="F240" s="15"/>
      <c r="H240" s="15"/>
      <c r="J240" s="15"/>
      <c r="K240" s="16"/>
      <c r="L240" s="15"/>
      <c r="M240" s="15"/>
      <c r="N240" s="15"/>
      <c r="O240" s="15"/>
      <c r="P240" s="15"/>
      <c r="Q240" s="15"/>
      <c r="R240" s="15"/>
      <c r="S240" s="15"/>
      <c r="T240" s="80"/>
      <c r="U240" s="273"/>
      <c r="V240" s="292"/>
      <c r="W240" s="292"/>
      <c r="X240" s="292"/>
      <c r="Y240" s="277"/>
      <c r="Z240" s="292"/>
      <c r="AA240" s="292"/>
      <c r="AB240" s="292"/>
      <c r="AC240" s="292"/>
      <c r="AD240" s="277"/>
      <c r="AE240" s="292"/>
      <c r="AF240" s="292"/>
      <c r="AG240" s="277"/>
      <c r="AH240" s="313"/>
      <c r="AJ240" s="314"/>
      <c r="AK240" s="1018">
        <f t="shared" si="294"/>
        <v>0</v>
      </c>
      <c r="AL240" s="928"/>
      <c r="AM240" s="928"/>
      <c r="AN240" s="941"/>
      <c r="AO240" s="941"/>
      <c r="AP240" s="941"/>
      <c r="AQ240" s="314"/>
      <c r="AR240" s="28"/>
      <c r="AS240" s="28"/>
      <c r="AT240" s="28"/>
      <c r="AU240" s="28"/>
      <c r="AV240" s="28"/>
      <c r="AW240" s="28"/>
      <c r="AX240" s="28"/>
      <c r="AY240" s="28"/>
      <c r="AZ240" s="28"/>
      <c r="BA240" s="28"/>
      <c r="BB240" s="28"/>
      <c r="BC240" s="45"/>
      <c r="BD240" s="277"/>
      <c r="BE240" s="277"/>
      <c r="BF240" s="49"/>
      <c r="BG240" s="28"/>
      <c r="BH240" s="28"/>
      <c r="BI240" s="49"/>
      <c r="BJ240" s="28"/>
      <c r="BK240" s="28"/>
      <c r="BL240" s="28"/>
      <c r="BM240" s="49"/>
      <c r="BN240" s="277"/>
      <c r="BO240" s="49"/>
      <c r="BP240" s="928"/>
      <c r="BQ240" s="928"/>
      <c r="BR240" s="928"/>
      <c r="BS240" s="928"/>
      <c r="BT240" s="928"/>
      <c r="BU240" s="928"/>
      <c r="BV240" s="928"/>
      <c r="BW240" s="928"/>
      <c r="BX240" s="928"/>
      <c r="BY240" s="928"/>
      <c r="BZ240" s="928"/>
      <c r="CA240" s="928"/>
      <c r="CB240" s="928"/>
      <c r="CC240" s="928"/>
      <c r="CD240" s="928"/>
      <c r="CE240" s="928"/>
      <c r="CF240" s="928"/>
      <c r="CG240" s="928"/>
    </row>
    <row r="241" spans="1:85" x14ac:dyDescent="0.25">
      <c r="D241" s="690"/>
      <c r="E241" s="689"/>
      <c r="F241" s="690"/>
      <c r="G241" s="689"/>
      <c r="H241" s="690"/>
      <c r="I241" s="689"/>
      <c r="J241" s="690"/>
      <c r="K241" s="692"/>
      <c r="L241" s="694"/>
      <c r="M241" s="690"/>
      <c r="N241" s="690"/>
      <c r="O241" s="690"/>
      <c r="P241" s="690"/>
      <c r="Q241" s="690" t="s">
        <v>16</v>
      </c>
      <c r="R241" s="691">
        <v>0.73860000000000003</v>
      </c>
      <c r="S241" s="690"/>
      <c r="T241" s="696">
        <v>2.0294865891024739E-3</v>
      </c>
      <c r="U241" s="689"/>
      <c r="V241" s="176">
        <f>T241-T241*Calculation_sheet!F$59</f>
        <v>2.0294865891024739E-3</v>
      </c>
      <c r="W241" s="176">
        <f>V241-V241*Calculation_sheet!E$67</f>
        <v>2.0294865891024739E-3</v>
      </c>
      <c r="X241" s="176">
        <f>W241-W241*Calculation_sheet!E$77</f>
        <v>2.0294865891024739E-3</v>
      </c>
      <c r="Y241" s="34">
        <f>X241/Calculation_sheet!M$67</f>
        <v>2.0295280848552314E-3</v>
      </c>
      <c r="Z241" s="176">
        <f ca="1">IF(AN241&gt;0,Y241*Calculation_sheet!C$87,0)</f>
        <v>0</v>
      </c>
      <c r="AA241" s="176">
        <f ca="1">Y241-Z241</f>
        <v>2.0295280848552314E-3</v>
      </c>
      <c r="AB241" s="176">
        <f ca="1">IF(AP241&gt;0,AA241*Calculation_sheet!C$94,0)</f>
        <v>0</v>
      </c>
      <c r="AC241" s="176">
        <f t="shared" ref="AC241:AE251" ca="1" si="332">AA241-AB241</f>
        <v>2.0295280848552314E-3</v>
      </c>
      <c r="AD241" s="958">
        <f ca="1">AC241*Calculation_sheet!C$99</f>
        <v>1.2177168509131388E-3</v>
      </c>
      <c r="AE241" s="176">
        <f t="shared" ca="1" si="332"/>
        <v>8.1181123394209265E-4</v>
      </c>
      <c r="AF241" s="176">
        <f ca="1">Y241-AB241</f>
        <v>2.0295280848552314E-3</v>
      </c>
      <c r="AG241" s="958">
        <f ca="1">AF241*User_sheet!B$77/100</f>
        <v>0</v>
      </c>
      <c r="AH241" s="313"/>
      <c r="AI241" s="3">
        <v>302</v>
      </c>
      <c r="AK241" s="1018">
        <f t="shared" ca="1" si="294"/>
        <v>930.57250394440564</v>
      </c>
      <c r="AL241" s="924">
        <f ca="1">AK241/'302'!I$24</f>
        <v>2.3720940707224205</v>
      </c>
      <c r="AM241" s="924">
        <f ca="1">0.8*(AK241*30+'302'!D$17*0.34*30*1)</f>
        <v>27399.927094665734</v>
      </c>
      <c r="AN241" s="954">
        <f ca="1">IF(AM241&lt;User_sheet!B$50,Y241,0)</f>
        <v>0</v>
      </c>
      <c r="AO241" s="954">
        <f ca="1">20-(User_sheet!B$57/(AK241+'302'!D$17*1*0.34))</f>
        <v>15.007285985566273</v>
      </c>
      <c r="AP241" s="954">
        <f ca="1">IF(AO241&lt;User_sheet!B$59,0,BC241*AA241)</f>
        <v>2.0295280848552314E-3</v>
      </c>
      <c r="AR241" s="2">
        <v>7.7</v>
      </c>
      <c r="AS241" s="2">
        <v>2.1</v>
      </c>
      <c r="AT241" s="2">
        <v>7.9</v>
      </c>
      <c r="AU241" s="2">
        <v>5</v>
      </c>
      <c r="AV241" s="2">
        <v>3.3</v>
      </c>
      <c r="AW241" s="2">
        <v>11357.186356387729</v>
      </c>
      <c r="AX241" s="2">
        <v>74715.401027665983</v>
      </c>
      <c r="AY241" s="2">
        <v>67352.647733737584</v>
      </c>
      <c r="AZ241" s="2">
        <v>0</v>
      </c>
      <c r="BA241" s="2">
        <v>0</v>
      </c>
      <c r="BB241" s="27">
        <v>0.87</v>
      </c>
      <c r="BC241" s="30">
        <v>1</v>
      </c>
      <c r="BD241" s="34">
        <v>0</v>
      </c>
      <c r="BE241" s="34">
        <v>0</v>
      </c>
      <c r="BF241" s="40">
        <v>0</v>
      </c>
      <c r="BG241" s="2">
        <v>1</v>
      </c>
      <c r="BH241" s="2">
        <v>0</v>
      </c>
      <c r="BI241" s="40">
        <v>0</v>
      </c>
      <c r="BJ241" s="2">
        <v>1</v>
      </c>
      <c r="BK241" s="2">
        <v>0</v>
      </c>
      <c r="BL241" s="2">
        <v>0</v>
      </c>
      <c r="BM241" s="40">
        <v>0</v>
      </c>
      <c r="BN241" s="958">
        <v>0</v>
      </c>
      <c r="BO241" s="959">
        <v>14.9</v>
      </c>
      <c r="BP241" s="1018">
        <f t="shared" ref="BP241:BP251" ca="1" si="333">INDIRECT("'"&amp;AI241&amp;"'!"&amp;"B2")</f>
        <v>215.65</v>
      </c>
      <c r="BQ241" s="1018">
        <f t="shared" ref="BQ241:BQ251" ca="1" si="334">INDIRECT("'"&amp;AI241&amp;"'!"&amp;"C12")+INDIRECT("'"&amp;AI241&amp;"'!"&amp;"C13")+INDIRECT("'"&amp;AI241&amp;"'!"&amp;"C14")+INDIRECT("'"&amp;AI241&amp;"'!"&amp;"C15")+INDIRECT("'"&amp;AI241&amp;"'!"&amp;"C17")</f>
        <v>486.07500000000005</v>
      </c>
      <c r="BR241" s="1018">
        <f t="shared" ref="BR241:BR251" ca="1" si="335">INDIRECT("'"&amp;AI241&amp;"'!"&amp;"G5")</f>
        <v>117.8</v>
      </c>
      <c r="BS241" s="1018">
        <f t="shared" ref="BS241:BS251" ca="1" si="336">INDIRECT("'"&amp;AI241&amp;"'!"&amp;"G4")</f>
        <v>103.97</v>
      </c>
      <c r="BT241" s="1018">
        <f t="shared" ref="BT241:BT251" ca="1" si="337">INDIRECT("'"&amp;AI241&amp;"'!"&amp;"G6")</f>
        <v>53.9</v>
      </c>
      <c r="BU241" s="1018">
        <f t="shared" ref="BU241:BU251" ca="1" si="338">INDIRECT("'"&amp;AI241&amp;"'!"&amp;"G2")</f>
        <v>62.730000000000004</v>
      </c>
      <c r="BV241" s="1018">
        <f t="shared" ref="BV241:BV251" ca="1" si="339">INDIRECT("'"&amp;AI241&amp;"'!"&amp;"G3")</f>
        <v>4.3</v>
      </c>
      <c r="BW241" s="1018">
        <v>0</v>
      </c>
      <c r="BX241" s="1018">
        <f t="shared" ref="BX241:BX251" ca="1" si="340">IF(BR241=0,0,1/(1/(BR241*$BY$3)+1/(BR241*AR241)+1/(BR241*$BY$4)))</f>
        <v>388.5179897201599</v>
      </c>
      <c r="BY241" s="1018">
        <f t="shared" ref="BY241:BY251" ca="1" si="341">IF(BS241=0,0,1/(1/(BS241*$BY$3)+1/(BS241*AS241)+1/(BS241*$BY$4)))</f>
        <v>160.07111436950146</v>
      </c>
      <c r="BZ241" s="1018">
        <f t="shared" ca="1" si="295"/>
        <v>59.306682611142385</v>
      </c>
      <c r="CA241" s="1018">
        <f t="shared" ca="1" si="296"/>
        <v>313.64999968635004</v>
      </c>
      <c r="CB241" s="1018">
        <f t="shared" ref="CB241:CB251" ca="1" si="342">IF(BV241=0,0,1/(1/(BV241*$BY$3)+1/(BV241*AV241)+1/(BV241*$BY$4)))</f>
        <v>9.0267175572519083</v>
      </c>
      <c r="CC241" s="1018">
        <f t="shared" si="297"/>
        <v>0</v>
      </c>
      <c r="CD241" s="1018">
        <f t="shared" ref="CD241:CD251" ca="1" si="343">SUM(BX241:CC241)+(BR241+BS241+BT241+BU241+BV241)*BN241</f>
        <v>930.57250394440564</v>
      </c>
      <c r="CE241" s="1018">
        <f ca="1">0.34*BO241*(1/25)^0.66*(BR241+BS241+BU241+BV241)</f>
        <v>174.83241983450787</v>
      </c>
      <c r="CF241" s="1018">
        <f t="shared" ca="1" si="299"/>
        <v>33.162147713367403</v>
      </c>
      <c r="CG241" s="1018">
        <f t="shared" ca="1" si="300"/>
        <v>55213.649456848201</v>
      </c>
    </row>
    <row r="242" spans="1:85" x14ac:dyDescent="0.25">
      <c r="D242" s="690"/>
      <c r="E242" s="689"/>
      <c r="F242" s="690"/>
      <c r="G242" s="689"/>
      <c r="H242" s="690"/>
      <c r="I242" s="689"/>
      <c r="J242" s="690"/>
      <c r="K242" s="692"/>
      <c r="L242" s="694"/>
      <c r="M242" s="690"/>
      <c r="N242" s="690"/>
      <c r="O242" s="690" t="s">
        <v>18</v>
      </c>
      <c r="P242" s="691">
        <v>0.62953995200000001</v>
      </c>
      <c r="Q242" s="690" t="s">
        <v>7</v>
      </c>
      <c r="R242" s="691">
        <v>0.26140000000000002</v>
      </c>
      <c r="S242" s="690"/>
      <c r="T242" s="696">
        <v>7.1826129757837371E-4</v>
      </c>
      <c r="U242" s="689"/>
      <c r="V242" s="176">
        <f>T242-T242*Calculation_sheet!F$59</f>
        <v>7.1826129757837371E-4</v>
      </c>
      <c r="W242" s="176">
        <f>V242-V242*Calculation_sheet!E$67</f>
        <v>7.1826129757837371E-4</v>
      </c>
      <c r="X242" s="176">
        <f>W242-W242*Calculation_sheet!E$77</f>
        <v>7.1826129757837371E-4</v>
      </c>
      <c r="Y242" s="34">
        <f>X242/Calculation_sheet!M$67</f>
        <v>7.1827598345675287E-4</v>
      </c>
      <c r="Z242" s="176">
        <f ca="1">IF(AN242&gt;0,Y242*Calculation_sheet!C$87,0)</f>
        <v>0</v>
      </c>
      <c r="AA242" s="176">
        <f t="shared" ref="AA242:AA251" ca="1" si="344">Y242-Z242</f>
        <v>7.1827598345675287E-4</v>
      </c>
      <c r="AB242" s="176">
        <f ca="1">IF(AP242&gt;0,AA242*Calculation_sheet!C$94,0)</f>
        <v>0</v>
      </c>
      <c r="AC242" s="176">
        <f t="shared" ca="1" si="332"/>
        <v>7.1827598345675287E-4</v>
      </c>
      <c r="AD242" s="958">
        <f ca="1">AC242*Calculation_sheet!C$99</f>
        <v>4.3096559007405169E-4</v>
      </c>
      <c r="AE242" s="176">
        <f t="shared" ca="1" si="332"/>
        <v>2.8731039338270118E-4</v>
      </c>
      <c r="AF242" s="176">
        <f t="shared" ref="AF242:AF251" ca="1" si="345">Y242-AB242</f>
        <v>7.1827598345675287E-4</v>
      </c>
      <c r="AG242" s="958">
        <f ca="1">AF242*User_sheet!B$77/100</f>
        <v>0</v>
      </c>
      <c r="AH242" s="313"/>
      <c r="AI242" s="3">
        <v>302</v>
      </c>
      <c r="AK242" s="1018">
        <f t="shared" ca="1" si="294"/>
        <v>930.57250394440564</v>
      </c>
      <c r="AL242" s="924">
        <f ca="1">AK242/'302'!I$24</f>
        <v>2.3720940707224205</v>
      </c>
      <c r="AM242" s="924">
        <f ca="1">0.8*(AK242*30+'302'!D$17*0.34*30*1)</f>
        <v>27399.927094665734</v>
      </c>
      <c r="AN242" s="954">
        <f ca="1">IF(AM242&lt;User_sheet!B$50,Y242,0)</f>
        <v>0</v>
      </c>
      <c r="AO242" s="954">
        <f ca="1">20-(User_sheet!B$57/(AK242+'302'!D$17*1*0.34))</f>
        <v>15.007285985566273</v>
      </c>
      <c r="AP242" s="954">
        <f ca="1">IF(AO242&lt;User_sheet!B$59,0,BC242*AA242)</f>
        <v>7.1827598345675287E-4</v>
      </c>
      <c r="AR242" s="2">
        <v>7.7</v>
      </c>
      <c r="AS242" s="2">
        <v>2.1</v>
      </c>
      <c r="AT242" s="2">
        <v>7.9</v>
      </c>
      <c r="AU242" s="2">
        <v>5</v>
      </c>
      <c r="AV242" s="2">
        <v>3.3</v>
      </c>
      <c r="AW242" s="2">
        <v>11357.186356387729</v>
      </c>
      <c r="AX242" s="2">
        <v>74715.401027665983</v>
      </c>
      <c r="AY242" s="2">
        <v>67352.647733737584</v>
      </c>
      <c r="AZ242" s="2">
        <v>0</v>
      </c>
      <c r="BA242" s="2">
        <v>0</v>
      </c>
      <c r="BB242" s="27">
        <v>0.87</v>
      </c>
      <c r="BC242" s="30">
        <v>1</v>
      </c>
      <c r="BD242" s="34">
        <v>0</v>
      </c>
      <c r="BE242" s="34">
        <v>0</v>
      </c>
      <c r="BF242" s="40">
        <v>0</v>
      </c>
      <c r="BG242" s="2">
        <v>1</v>
      </c>
      <c r="BH242" s="2">
        <v>0</v>
      </c>
      <c r="BI242" s="40">
        <v>0</v>
      </c>
      <c r="BJ242" s="2">
        <v>0</v>
      </c>
      <c r="BK242" s="2">
        <v>0</v>
      </c>
      <c r="BL242" s="2">
        <v>1</v>
      </c>
      <c r="BM242" s="40">
        <v>0</v>
      </c>
      <c r="BN242" s="958">
        <v>0</v>
      </c>
      <c r="BO242" s="959">
        <v>14.9</v>
      </c>
      <c r="BP242" s="1018">
        <f t="shared" ca="1" si="333"/>
        <v>215.65</v>
      </c>
      <c r="BQ242" s="1018">
        <f t="shared" ca="1" si="334"/>
        <v>486.07500000000005</v>
      </c>
      <c r="BR242" s="1018">
        <f t="shared" ca="1" si="335"/>
        <v>117.8</v>
      </c>
      <c r="BS242" s="1018">
        <f t="shared" ca="1" si="336"/>
        <v>103.97</v>
      </c>
      <c r="BT242" s="1018">
        <f t="shared" ca="1" si="337"/>
        <v>53.9</v>
      </c>
      <c r="BU242" s="1018">
        <f t="shared" ca="1" si="338"/>
        <v>62.730000000000004</v>
      </c>
      <c r="BV242" s="1018">
        <f t="shared" ca="1" si="339"/>
        <v>4.3</v>
      </c>
      <c r="BW242" s="1018">
        <v>0</v>
      </c>
      <c r="BX242" s="1018">
        <f t="shared" ca="1" si="340"/>
        <v>388.5179897201599</v>
      </c>
      <c r="BY242" s="1018">
        <f t="shared" ca="1" si="341"/>
        <v>160.07111436950146</v>
      </c>
      <c r="BZ242" s="1018">
        <f t="shared" ca="1" si="295"/>
        <v>59.306682611142385</v>
      </c>
      <c r="CA242" s="1018">
        <f t="shared" ca="1" si="296"/>
        <v>313.64999968635004</v>
      </c>
      <c r="CB242" s="1018">
        <f t="shared" ca="1" si="342"/>
        <v>9.0267175572519083</v>
      </c>
      <c r="CC242" s="1018">
        <f t="shared" si="297"/>
        <v>0</v>
      </c>
      <c r="CD242" s="1018">
        <f t="shared" ca="1" si="343"/>
        <v>930.57250394440564</v>
      </c>
      <c r="CE242" s="1018">
        <f t="shared" ref="CE242:CE251" ca="1" si="346">0.34*BO242*(1/25)^0.66*(BR242+BS242+BU242+BV242)</f>
        <v>174.83241983450787</v>
      </c>
      <c r="CF242" s="1018">
        <f t="shared" ca="1" si="299"/>
        <v>33.162147713367403</v>
      </c>
      <c r="CG242" s="1018">
        <f t="shared" ca="1" si="300"/>
        <v>55213.649456848201</v>
      </c>
    </row>
    <row r="243" spans="1:85" x14ac:dyDescent="0.25">
      <c r="D243" s="690"/>
      <c r="E243" s="689"/>
      <c r="F243" s="690"/>
      <c r="G243" s="689"/>
      <c r="H243" s="690"/>
      <c r="I243" s="689"/>
      <c r="J243" s="690"/>
      <c r="K243" s="692"/>
      <c r="L243" s="694"/>
      <c r="M243" s="690"/>
      <c r="N243" s="690"/>
      <c r="O243" s="690"/>
      <c r="P243" s="690"/>
      <c r="Q243" s="690" t="s">
        <v>16</v>
      </c>
      <c r="R243" s="691">
        <v>0.73860000000000003</v>
      </c>
      <c r="S243" s="690"/>
      <c r="T243" s="696">
        <v>1.1942747983280633E-3</v>
      </c>
      <c r="U243" s="689"/>
      <c r="V243" s="176">
        <f>T243-T243*Calculation_sheet!F$59</f>
        <v>1.1942747983280633E-3</v>
      </c>
      <c r="W243" s="176">
        <f>V243-V243*Calculation_sheet!E$67</f>
        <v>1.1942747983280633E-3</v>
      </c>
      <c r="X243" s="176">
        <f>W243-W243*Calculation_sheet!E$77</f>
        <v>1.1942747983280633E-3</v>
      </c>
      <c r="Y243" s="34">
        <f>X243/Calculation_sheet!M$67</f>
        <v>1.1942992169825261E-3</v>
      </c>
      <c r="Z243" s="176">
        <f ca="1">IF(AN243&gt;0,Y243*Calculation_sheet!C$87,0)</f>
        <v>0</v>
      </c>
      <c r="AA243" s="176">
        <f t="shared" ca="1" si="344"/>
        <v>1.1942992169825261E-3</v>
      </c>
      <c r="AB243" s="176">
        <f ca="1">IF(AP243&gt;0,AA243*Calculation_sheet!C$94,0)</f>
        <v>0</v>
      </c>
      <c r="AC243" s="176">
        <f t="shared" ca="1" si="332"/>
        <v>1.1942992169825261E-3</v>
      </c>
      <c r="AD243" s="958">
        <f ca="1">AC243*Calculation_sheet!C$99</f>
        <v>7.1657953018951562E-4</v>
      </c>
      <c r="AE243" s="176">
        <f t="shared" ca="1" si="332"/>
        <v>4.7771968679301052E-4</v>
      </c>
      <c r="AF243" s="176">
        <f t="shared" ca="1" si="345"/>
        <v>1.1942992169825261E-3</v>
      </c>
      <c r="AG243" s="958">
        <f ca="1">AF243*User_sheet!B$77/100</f>
        <v>0</v>
      </c>
      <c r="AH243" s="313"/>
      <c r="AI243" s="3">
        <v>302</v>
      </c>
      <c r="AK243" s="1018">
        <f t="shared" ca="1" si="294"/>
        <v>930.57250394440564</v>
      </c>
      <c r="AL243" s="924">
        <f ca="1">AK243/'302'!I$24</f>
        <v>2.3720940707224205</v>
      </c>
      <c r="AM243" s="924">
        <f ca="1">0.8*(AK243*30+'302'!D$17*0.34*30*1)</f>
        <v>27399.927094665734</v>
      </c>
      <c r="AN243" s="954">
        <f ca="1">IF(AM243&lt;User_sheet!B$50,Y243,0)</f>
        <v>0</v>
      </c>
      <c r="AO243" s="954">
        <f ca="1">20-(User_sheet!B$57/(AK243+'302'!D$17*1*0.34))</f>
        <v>15.007285985566273</v>
      </c>
      <c r="AP243" s="954">
        <f ca="1">IF(AO243&lt;User_sheet!B$59,0,BC243*AA243)</f>
        <v>1.1942992169825261E-3</v>
      </c>
      <c r="AR243" s="2">
        <v>7.7</v>
      </c>
      <c r="AS243" s="2">
        <v>2.1</v>
      </c>
      <c r="AT243" s="2">
        <v>7.9</v>
      </c>
      <c r="AU243" s="2">
        <v>5</v>
      </c>
      <c r="AV243" s="2">
        <v>3.3</v>
      </c>
      <c r="AW243" s="2">
        <v>11357.186356387729</v>
      </c>
      <c r="AX243" s="2">
        <v>74715.401027665983</v>
      </c>
      <c r="AY243" s="2">
        <v>67352.647733737584</v>
      </c>
      <c r="AZ243" s="2">
        <v>0</v>
      </c>
      <c r="BA243" s="2">
        <v>0</v>
      </c>
      <c r="BB243" s="27">
        <v>0.87</v>
      </c>
      <c r="BC243" s="30">
        <v>1</v>
      </c>
      <c r="BD243" s="34">
        <v>0</v>
      </c>
      <c r="BE243" s="34">
        <v>0</v>
      </c>
      <c r="BF243" s="40">
        <v>0</v>
      </c>
      <c r="BG243" s="2">
        <v>0</v>
      </c>
      <c r="BH243" s="2">
        <v>1</v>
      </c>
      <c r="BI243" s="40">
        <v>0</v>
      </c>
      <c r="BJ243" s="2">
        <v>1</v>
      </c>
      <c r="BK243" s="2">
        <v>0</v>
      </c>
      <c r="BL243" s="2">
        <v>0</v>
      </c>
      <c r="BM243" s="40">
        <v>0</v>
      </c>
      <c r="BN243" s="958">
        <v>0</v>
      </c>
      <c r="BO243" s="959">
        <v>14.9</v>
      </c>
      <c r="BP243" s="1018">
        <f t="shared" ca="1" si="333"/>
        <v>215.65</v>
      </c>
      <c r="BQ243" s="1018">
        <f t="shared" ca="1" si="334"/>
        <v>486.07500000000005</v>
      </c>
      <c r="BR243" s="1018">
        <f t="shared" ca="1" si="335"/>
        <v>117.8</v>
      </c>
      <c r="BS243" s="1018">
        <f t="shared" ca="1" si="336"/>
        <v>103.97</v>
      </c>
      <c r="BT243" s="1018">
        <f t="shared" ca="1" si="337"/>
        <v>53.9</v>
      </c>
      <c r="BU243" s="1018">
        <f t="shared" ca="1" si="338"/>
        <v>62.730000000000004</v>
      </c>
      <c r="BV243" s="1018">
        <f t="shared" ca="1" si="339"/>
        <v>4.3</v>
      </c>
      <c r="BW243" s="1018">
        <v>0</v>
      </c>
      <c r="BX243" s="1018">
        <f t="shared" ca="1" si="340"/>
        <v>388.5179897201599</v>
      </c>
      <c r="BY243" s="1018">
        <f t="shared" ca="1" si="341"/>
        <v>160.07111436950146</v>
      </c>
      <c r="BZ243" s="1018">
        <f t="shared" ca="1" si="295"/>
        <v>59.306682611142385</v>
      </c>
      <c r="CA243" s="1018">
        <f t="shared" ca="1" si="296"/>
        <v>313.64999968635004</v>
      </c>
      <c r="CB243" s="1018">
        <f t="shared" ca="1" si="342"/>
        <v>9.0267175572519083</v>
      </c>
      <c r="CC243" s="1018">
        <f t="shared" si="297"/>
        <v>0</v>
      </c>
      <c r="CD243" s="1018">
        <f t="shared" ca="1" si="343"/>
        <v>930.57250394440564</v>
      </c>
      <c r="CE243" s="1018">
        <f t="shared" ca="1" si="346"/>
        <v>174.83241983450787</v>
      </c>
      <c r="CF243" s="1018">
        <f t="shared" ca="1" si="299"/>
        <v>33.162147713367403</v>
      </c>
      <c r="CG243" s="1018">
        <f t="shared" ca="1" si="300"/>
        <v>55213.649456848201</v>
      </c>
    </row>
    <row r="244" spans="1:85" x14ac:dyDescent="0.25">
      <c r="D244" s="690"/>
      <c r="E244" s="689"/>
      <c r="F244" s="690"/>
      <c r="G244" s="689"/>
      <c r="H244" s="690"/>
      <c r="I244" s="689"/>
      <c r="J244" s="690"/>
      <c r="K244" s="692"/>
      <c r="L244" s="694"/>
      <c r="M244" s="690" t="s">
        <v>16</v>
      </c>
      <c r="N244" s="691">
        <v>0.44680851100000002</v>
      </c>
      <c r="O244" s="690" t="s">
        <v>19</v>
      </c>
      <c r="P244" s="691">
        <v>0.37046004799999999</v>
      </c>
      <c r="Q244" s="690" t="s">
        <v>7</v>
      </c>
      <c r="R244" s="691">
        <v>0.26140000000000002</v>
      </c>
      <c r="S244" s="690"/>
      <c r="T244" s="696">
        <v>4.2266914741802844E-4</v>
      </c>
      <c r="U244" s="689"/>
      <c r="V244" s="176">
        <f>T244-T244*Calculation_sheet!F$59</f>
        <v>4.2266914741802844E-4</v>
      </c>
      <c r="W244" s="176">
        <f>V244-V244*Calculation_sheet!E$67</f>
        <v>4.2266914741802844E-4</v>
      </c>
      <c r="X244" s="176">
        <f>W244-W244*Calculation_sheet!E$77</f>
        <v>4.2266914741802844E-4</v>
      </c>
      <c r="Y244" s="34">
        <f>X244/Calculation_sheet!M$67</f>
        <v>4.2267778949259732E-4</v>
      </c>
      <c r="Z244" s="176">
        <f ca="1">IF(AN244&gt;0,Y244*Calculation_sheet!C$87,0)</f>
        <v>0</v>
      </c>
      <c r="AA244" s="176">
        <f t="shared" ca="1" si="344"/>
        <v>4.2267778949259732E-4</v>
      </c>
      <c r="AB244" s="176">
        <f ca="1">IF(AP244&gt;0,AA244*Calculation_sheet!C$94,0)</f>
        <v>0</v>
      </c>
      <c r="AC244" s="176">
        <f t="shared" ca="1" si="332"/>
        <v>4.2267778949259732E-4</v>
      </c>
      <c r="AD244" s="958">
        <f ca="1">AC244*Calculation_sheet!C$99</f>
        <v>2.536066736955584E-4</v>
      </c>
      <c r="AE244" s="176">
        <f t="shared" ca="1" si="332"/>
        <v>1.6907111579703892E-4</v>
      </c>
      <c r="AF244" s="176">
        <f t="shared" ca="1" si="345"/>
        <v>4.2267778949259732E-4</v>
      </c>
      <c r="AG244" s="958">
        <f ca="1">AF244*User_sheet!B$77/100</f>
        <v>0</v>
      </c>
      <c r="AH244" s="313"/>
      <c r="AI244" s="3">
        <v>302</v>
      </c>
      <c r="AK244" s="1018">
        <f t="shared" ca="1" si="294"/>
        <v>930.57250394440564</v>
      </c>
      <c r="AL244" s="924">
        <f ca="1">AK244/'302'!I$24</f>
        <v>2.3720940707224205</v>
      </c>
      <c r="AM244" s="924">
        <f ca="1">0.8*(AK244*30+'302'!D$17*0.34*30*1)</f>
        <v>27399.927094665734</v>
      </c>
      <c r="AN244" s="954">
        <f ca="1">IF(AM244&lt;User_sheet!B$50,Y244,0)</f>
        <v>0</v>
      </c>
      <c r="AO244" s="954">
        <f ca="1">20-(User_sheet!B$57/(AK244+'302'!D$17*1*0.34))</f>
        <v>15.007285985566273</v>
      </c>
      <c r="AP244" s="954">
        <f ca="1">IF(AO244&lt;User_sheet!B$59,0,BC244*AA244)</f>
        <v>4.2267778949259732E-4</v>
      </c>
      <c r="AR244" s="2">
        <v>7.7</v>
      </c>
      <c r="AS244" s="2">
        <v>2.1</v>
      </c>
      <c r="AT244" s="2">
        <v>7.9</v>
      </c>
      <c r="AU244" s="2">
        <v>5</v>
      </c>
      <c r="AV244" s="2">
        <v>3.3</v>
      </c>
      <c r="AW244" s="2">
        <v>11357.186356387729</v>
      </c>
      <c r="AX244" s="2">
        <v>74715.401027665983</v>
      </c>
      <c r="AY244" s="2">
        <v>67352.647733737584</v>
      </c>
      <c r="AZ244" s="2">
        <v>0</v>
      </c>
      <c r="BA244" s="2">
        <v>0</v>
      </c>
      <c r="BB244" s="27">
        <v>0.87</v>
      </c>
      <c r="BC244" s="30">
        <v>1</v>
      </c>
      <c r="BD244" s="34">
        <v>0</v>
      </c>
      <c r="BE244" s="34">
        <v>0</v>
      </c>
      <c r="BF244" s="40">
        <v>0</v>
      </c>
      <c r="BG244" s="2">
        <v>0</v>
      </c>
      <c r="BH244" s="2">
        <v>1</v>
      </c>
      <c r="BI244" s="40">
        <v>0</v>
      </c>
      <c r="BJ244" s="2">
        <v>0</v>
      </c>
      <c r="BK244" s="2">
        <v>0</v>
      </c>
      <c r="BL244" s="2">
        <v>1</v>
      </c>
      <c r="BM244" s="40">
        <v>0</v>
      </c>
      <c r="BN244" s="958">
        <v>0</v>
      </c>
      <c r="BO244" s="959">
        <v>14.9</v>
      </c>
      <c r="BP244" s="1018">
        <f t="shared" ca="1" si="333"/>
        <v>215.65</v>
      </c>
      <c r="BQ244" s="1018">
        <f t="shared" ca="1" si="334"/>
        <v>486.07500000000005</v>
      </c>
      <c r="BR244" s="1018">
        <f t="shared" ca="1" si="335"/>
        <v>117.8</v>
      </c>
      <c r="BS244" s="1018">
        <f t="shared" ca="1" si="336"/>
        <v>103.97</v>
      </c>
      <c r="BT244" s="1018">
        <f t="shared" ca="1" si="337"/>
        <v>53.9</v>
      </c>
      <c r="BU244" s="1018">
        <f t="shared" ca="1" si="338"/>
        <v>62.730000000000004</v>
      </c>
      <c r="BV244" s="1018">
        <f t="shared" ca="1" si="339"/>
        <v>4.3</v>
      </c>
      <c r="BW244" s="1018">
        <v>0</v>
      </c>
      <c r="BX244" s="1018">
        <f t="shared" ca="1" si="340"/>
        <v>388.5179897201599</v>
      </c>
      <c r="BY244" s="1018">
        <f t="shared" ca="1" si="341"/>
        <v>160.07111436950146</v>
      </c>
      <c r="BZ244" s="1018">
        <f t="shared" ca="1" si="295"/>
        <v>59.306682611142385</v>
      </c>
      <c r="CA244" s="1018">
        <f t="shared" ca="1" si="296"/>
        <v>313.64999968635004</v>
      </c>
      <c r="CB244" s="1018">
        <f t="shared" ca="1" si="342"/>
        <v>9.0267175572519083</v>
      </c>
      <c r="CC244" s="1018">
        <f t="shared" si="297"/>
        <v>0</v>
      </c>
      <c r="CD244" s="1018">
        <f t="shared" ca="1" si="343"/>
        <v>930.57250394440564</v>
      </c>
      <c r="CE244" s="1018">
        <f t="shared" ca="1" si="346"/>
        <v>174.83241983450787</v>
      </c>
      <c r="CF244" s="1018">
        <f t="shared" ca="1" si="299"/>
        <v>33.162147713367403</v>
      </c>
      <c r="CG244" s="1018">
        <f t="shared" ca="1" si="300"/>
        <v>55213.649456848201</v>
      </c>
    </row>
    <row r="245" spans="1:85" x14ac:dyDescent="0.25">
      <c r="D245" s="690"/>
      <c r="E245" s="689"/>
      <c r="F245" s="690"/>
      <c r="G245" s="689"/>
      <c r="H245" s="690"/>
      <c r="I245" s="689"/>
      <c r="J245" s="690"/>
      <c r="K245" s="692"/>
      <c r="L245" s="694"/>
      <c r="M245" s="690"/>
      <c r="N245" s="690"/>
      <c r="O245" s="690"/>
      <c r="P245" s="690"/>
      <c r="Q245" s="690" t="s">
        <v>22</v>
      </c>
      <c r="R245" s="691">
        <v>0.53710000000000002</v>
      </c>
      <c r="S245" s="690"/>
      <c r="T245" s="696">
        <v>1.894809536013083E-3</v>
      </c>
      <c r="U245" s="689"/>
      <c r="V245" s="176">
        <f>T245-T245*Calculation_sheet!F$59</f>
        <v>1.894809536013083E-3</v>
      </c>
      <c r="W245" s="176">
        <f>V245-V245*Calculation_sheet!E$67</f>
        <v>1.894809536013083E-3</v>
      </c>
      <c r="X245" s="176">
        <f>W245-W245*Calculation_sheet!E$77</f>
        <v>1.894809536013083E-3</v>
      </c>
      <c r="Y245" s="34">
        <f>X245/Calculation_sheet!M$67</f>
        <v>1.8948482781010827E-3</v>
      </c>
      <c r="Z245" s="176">
        <f ca="1">IF(AN245&gt;0,Y245*Calculation_sheet!C$87,0)</f>
        <v>0</v>
      </c>
      <c r="AA245" s="176">
        <f t="shared" ca="1" si="344"/>
        <v>1.8948482781010827E-3</v>
      </c>
      <c r="AB245" s="176">
        <f ca="1">IF(AP245&gt;0,AA245*Calculation_sheet!C$94,0)</f>
        <v>0</v>
      </c>
      <c r="AC245" s="176">
        <f t="shared" ca="1" si="332"/>
        <v>1.8948482781010827E-3</v>
      </c>
      <c r="AD245" s="958">
        <f ca="1">AC245*Calculation_sheet!C$99</f>
        <v>1.1369089668606495E-3</v>
      </c>
      <c r="AE245" s="176">
        <f t="shared" ca="1" si="332"/>
        <v>7.5793931124043317E-4</v>
      </c>
      <c r="AF245" s="176">
        <f t="shared" ca="1" si="345"/>
        <v>1.8948482781010827E-3</v>
      </c>
      <c r="AG245" s="958">
        <f ca="1">AF245*User_sheet!B$77/100</f>
        <v>0</v>
      </c>
      <c r="AH245" s="313"/>
      <c r="AI245" s="3">
        <v>302</v>
      </c>
      <c r="AK245" s="1018">
        <f t="shared" ca="1" si="294"/>
        <v>930.57250394440564</v>
      </c>
      <c r="AL245" s="924">
        <f ca="1">AK245/'302'!I$24</f>
        <v>2.3720940707224205</v>
      </c>
      <c r="AM245" s="924">
        <f ca="1">0.8*(AK245*30+'302'!D$17*0.34*30*1)</f>
        <v>27399.927094665734</v>
      </c>
      <c r="AN245" s="954">
        <f ca="1">IF(AM245&lt;User_sheet!B$50,Y245,0)</f>
        <v>0</v>
      </c>
      <c r="AO245" s="954">
        <f ca="1">20-(User_sheet!B$57/(AK245+'302'!D$17*1*0.34))</f>
        <v>15.007285985566273</v>
      </c>
      <c r="AP245" s="954">
        <f ca="1">IF(AO245&lt;User_sheet!B$59,0,BC245*AA245)</f>
        <v>0</v>
      </c>
      <c r="AR245" s="2">
        <v>7.7</v>
      </c>
      <c r="AS245" s="2">
        <v>2.1</v>
      </c>
      <c r="AT245" s="2">
        <v>7.9</v>
      </c>
      <c r="AU245" s="2">
        <v>5</v>
      </c>
      <c r="AV245" s="2">
        <v>3.3</v>
      </c>
      <c r="AW245" s="2">
        <v>11357.186356387729</v>
      </c>
      <c r="AX245" s="2">
        <v>74715.401027665983</v>
      </c>
      <c r="AY245" s="2">
        <v>67352.647733737584</v>
      </c>
      <c r="AZ245" s="2">
        <v>0</v>
      </c>
      <c r="BA245" s="2">
        <v>0</v>
      </c>
      <c r="BB245" s="27">
        <v>0.87</v>
      </c>
      <c r="BC245" s="30">
        <v>0</v>
      </c>
      <c r="BD245" s="34">
        <v>1</v>
      </c>
      <c r="BE245" s="34">
        <v>0</v>
      </c>
      <c r="BF245" s="40">
        <v>0</v>
      </c>
      <c r="BG245" s="2">
        <v>1</v>
      </c>
      <c r="BH245" s="2">
        <v>0</v>
      </c>
      <c r="BI245" s="40">
        <v>0</v>
      </c>
      <c r="BJ245" s="2">
        <v>0</v>
      </c>
      <c r="BK245" s="2">
        <v>1</v>
      </c>
      <c r="BL245" s="2">
        <v>0</v>
      </c>
      <c r="BM245" s="40">
        <v>0</v>
      </c>
      <c r="BN245" s="958">
        <v>0</v>
      </c>
      <c r="BO245" s="959">
        <v>14.9</v>
      </c>
      <c r="BP245" s="1018">
        <f t="shared" ca="1" si="333"/>
        <v>215.65</v>
      </c>
      <c r="BQ245" s="1018">
        <f t="shared" ca="1" si="334"/>
        <v>486.07500000000005</v>
      </c>
      <c r="BR245" s="1018">
        <f t="shared" ca="1" si="335"/>
        <v>117.8</v>
      </c>
      <c r="BS245" s="1018">
        <f t="shared" ca="1" si="336"/>
        <v>103.97</v>
      </c>
      <c r="BT245" s="1018">
        <f t="shared" ca="1" si="337"/>
        <v>53.9</v>
      </c>
      <c r="BU245" s="1018">
        <f t="shared" ca="1" si="338"/>
        <v>62.730000000000004</v>
      </c>
      <c r="BV245" s="1018">
        <f t="shared" ca="1" si="339"/>
        <v>4.3</v>
      </c>
      <c r="BW245" s="1018">
        <v>0</v>
      </c>
      <c r="BX245" s="1018">
        <f t="shared" ca="1" si="340"/>
        <v>388.5179897201599</v>
      </c>
      <c r="BY245" s="1018">
        <f t="shared" ca="1" si="341"/>
        <v>160.07111436950146</v>
      </c>
      <c r="BZ245" s="1018">
        <f t="shared" ca="1" si="295"/>
        <v>59.306682611142385</v>
      </c>
      <c r="CA245" s="1018">
        <f t="shared" ca="1" si="296"/>
        <v>313.64999968635004</v>
      </c>
      <c r="CB245" s="1018">
        <f t="shared" ca="1" si="342"/>
        <v>9.0267175572519083</v>
      </c>
      <c r="CC245" s="1018">
        <f t="shared" si="297"/>
        <v>0</v>
      </c>
      <c r="CD245" s="1018">
        <f t="shared" ca="1" si="343"/>
        <v>930.57250394440564</v>
      </c>
      <c r="CE245" s="1018">
        <f t="shared" ca="1" si="346"/>
        <v>174.83241983450787</v>
      </c>
      <c r="CF245" s="1018">
        <f t="shared" ca="1" si="299"/>
        <v>33.162147713367403</v>
      </c>
      <c r="CG245" s="1018">
        <f t="shared" ca="1" si="300"/>
        <v>55213.649456848201</v>
      </c>
    </row>
    <row r="246" spans="1:85" x14ac:dyDescent="0.25">
      <c r="D246" s="690"/>
      <c r="E246" s="689"/>
      <c r="F246" s="690"/>
      <c r="G246" s="689"/>
      <c r="H246" s="690"/>
      <c r="I246" s="689"/>
      <c r="J246" s="690"/>
      <c r="K246" s="692"/>
      <c r="L246" s="694"/>
      <c r="M246" s="690"/>
      <c r="N246" s="690"/>
      <c r="O246" s="690" t="s">
        <v>18</v>
      </c>
      <c r="P246" s="691">
        <v>0.80827067699999999</v>
      </c>
      <c r="Q246" s="690" t="s">
        <v>7</v>
      </c>
      <c r="R246" s="691">
        <v>0.46289999999999998</v>
      </c>
      <c r="S246" s="690"/>
      <c r="T246" s="696">
        <v>1.6330428862790097E-3</v>
      </c>
      <c r="U246" s="689"/>
      <c r="V246" s="176">
        <f>T246-T246*Calculation_sheet!F$59</f>
        <v>1.6330428862790097E-3</v>
      </c>
      <c r="W246" s="176">
        <f>V246-V246*Calculation_sheet!E$67</f>
        <v>1.6330428862790097E-3</v>
      </c>
      <c r="X246" s="176">
        <f>W246-W246*Calculation_sheet!E$77</f>
        <v>1.6330428862790097E-3</v>
      </c>
      <c r="Y246" s="34">
        <f>X246/Calculation_sheet!M$67</f>
        <v>1.6330762761738804E-3</v>
      </c>
      <c r="Z246" s="176">
        <f ca="1">IF(AN246&gt;0,Y246*Calculation_sheet!C$87,0)</f>
        <v>0</v>
      </c>
      <c r="AA246" s="176">
        <f t="shared" ca="1" si="344"/>
        <v>1.6330762761738804E-3</v>
      </c>
      <c r="AB246" s="176">
        <f ca="1">IF(AP246&gt;0,AA246*Calculation_sheet!C$94,0)</f>
        <v>0</v>
      </c>
      <c r="AC246" s="176">
        <f t="shared" ca="1" si="332"/>
        <v>1.6330762761738804E-3</v>
      </c>
      <c r="AD246" s="958">
        <f ca="1">AC246*Calculation_sheet!C$99</f>
        <v>9.7984576570432831E-4</v>
      </c>
      <c r="AE246" s="176">
        <f t="shared" ca="1" si="332"/>
        <v>6.5323051046955213E-4</v>
      </c>
      <c r="AF246" s="176">
        <f t="shared" ca="1" si="345"/>
        <v>1.6330762761738804E-3</v>
      </c>
      <c r="AG246" s="958">
        <f ca="1">AF246*User_sheet!B$77/100</f>
        <v>0</v>
      </c>
      <c r="AH246" s="313"/>
      <c r="AI246" s="3">
        <v>302</v>
      </c>
      <c r="AK246" s="1018">
        <f t="shared" ca="1" si="294"/>
        <v>930.57250394440564</v>
      </c>
      <c r="AL246" s="924">
        <f ca="1">AK246/'302'!I$24</f>
        <v>2.3720940707224205</v>
      </c>
      <c r="AM246" s="924">
        <f ca="1">0.8*(AK246*30+'302'!D$17*0.34*30*1)</f>
        <v>27399.927094665734</v>
      </c>
      <c r="AN246" s="954">
        <f ca="1">IF(AM246&lt;User_sheet!B$50,Y246,0)</f>
        <v>0</v>
      </c>
      <c r="AO246" s="954">
        <f ca="1">20-(User_sheet!B$57/(AK246+'302'!D$17*1*0.34))</f>
        <v>15.007285985566273</v>
      </c>
      <c r="AP246" s="954">
        <f ca="1">IF(AO246&lt;User_sheet!B$59,0,BC246*AA246)</f>
        <v>0</v>
      </c>
      <c r="AR246" s="2">
        <v>7.7</v>
      </c>
      <c r="AS246" s="2">
        <v>2.1</v>
      </c>
      <c r="AT246" s="2">
        <v>7.9</v>
      </c>
      <c r="AU246" s="2">
        <v>5</v>
      </c>
      <c r="AV246" s="2">
        <v>3.3</v>
      </c>
      <c r="AW246" s="2">
        <v>11357.186356387729</v>
      </c>
      <c r="AX246" s="2">
        <v>74715.401027665983</v>
      </c>
      <c r="AY246" s="2">
        <v>67352.647733737584</v>
      </c>
      <c r="AZ246" s="2">
        <v>0</v>
      </c>
      <c r="BA246" s="2">
        <v>0</v>
      </c>
      <c r="BB246" s="27">
        <v>0.87</v>
      </c>
      <c r="BC246" s="30">
        <v>0</v>
      </c>
      <c r="BD246" s="34">
        <v>1</v>
      </c>
      <c r="BE246" s="34">
        <v>0</v>
      </c>
      <c r="BF246" s="40">
        <v>0</v>
      </c>
      <c r="BG246" s="2">
        <v>1</v>
      </c>
      <c r="BH246" s="2">
        <v>0</v>
      </c>
      <c r="BI246" s="40">
        <v>0</v>
      </c>
      <c r="BJ246" s="2">
        <v>0</v>
      </c>
      <c r="BK246" s="2">
        <v>0</v>
      </c>
      <c r="BL246" s="2">
        <v>1</v>
      </c>
      <c r="BM246" s="40">
        <v>0</v>
      </c>
      <c r="BN246" s="958">
        <v>0</v>
      </c>
      <c r="BO246" s="959">
        <v>14.9</v>
      </c>
      <c r="BP246" s="1018">
        <f t="shared" ca="1" si="333"/>
        <v>215.65</v>
      </c>
      <c r="BQ246" s="1018">
        <f t="shared" ca="1" si="334"/>
        <v>486.07500000000005</v>
      </c>
      <c r="BR246" s="1018">
        <f t="shared" ca="1" si="335"/>
        <v>117.8</v>
      </c>
      <c r="BS246" s="1018">
        <f t="shared" ca="1" si="336"/>
        <v>103.97</v>
      </c>
      <c r="BT246" s="1018">
        <f t="shared" ca="1" si="337"/>
        <v>53.9</v>
      </c>
      <c r="BU246" s="1018">
        <f t="shared" ca="1" si="338"/>
        <v>62.730000000000004</v>
      </c>
      <c r="BV246" s="1018">
        <f t="shared" ca="1" si="339"/>
        <v>4.3</v>
      </c>
      <c r="BW246" s="1018">
        <v>0</v>
      </c>
      <c r="BX246" s="1018">
        <f t="shared" ca="1" si="340"/>
        <v>388.5179897201599</v>
      </c>
      <c r="BY246" s="1018">
        <f t="shared" ca="1" si="341"/>
        <v>160.07111436950146</v>
      </c>
      <c r="BZ246" s="1018">
        <f t="shared" ca="1" si="295"/>
        <v>59.306682611142385</v>
      </c>
      <c r="CA246" s="1018">
        <f t="shared" ca="1" si="296"/>
        <v>313.64999968635004</v>
      </c>
      <c r="CB246" s="1018">
        <f t="shared" ca="1" si="342"/>
        <v>9.0267175572519083</v>
      </c>
      <c r="CC246" s="1018">
        <f t="shared" si="297"/>
        <v>0</v>
      </c>
      <c r="CD246" s="1018">
        <f t="shared" ca="1" si="343"/>
        <v>930.57250394440564</v>
      </c>
      <c r="CE246" s="1018">
        <f t="shared" ca="1" si="346"/>
        <v>174.83241983450787</v>
      </c>
      <c r="CF246" s="1018">
        <f t="shared" ca="1" si="299"/>
        <v>33.162147713367403</v>
      </c>
      <c r="CG246" s="1018">
        <f t="shared" ca="1" si="300"/>
        <v>55213.649456848201</v>
      </c>
    </row>
    <row r="247" spans="1:85" x14ac:dyDescent="0.25">
      <c r="D247" s="690"/>
      <c r="E247" s="689"/>
      <c r="F247" s="690"/>
      <c r="G247" s="689"/>
      <c r="H247" s="690"/>
      <c r="I247" s="689"/>
      <c r="J247" s="690"/>
      <c r="K247" s="692"/>
      <c r="L247" s="694"/>
      <c r="M247" s="690"/>
      <c r="N247" s="690"/>
      <c r="O247" s="690"/>
      <c r="P247" s="690"/>
      <c r="Q247" s="690" t="s">
        <v>22</v>
      </c>
      <c r="R247" s="691">
        <v>0.53710000000000002</v>
      </c>
      <c r="S247" s="690"/>
      <c r="T247" s="696">
        <v>4.4946644718342607E-4</v>
      </c>
      <c r="U247" s="689"/>
      <c r="V247" s="176">
        <f>T247-T247*Calculation_sheet!F$59</f>
        <v>4.4946644718342607E-4</v>
      </c>
      <c r="W247" s="176">
        <f>V247-V247*Calculation_sheet!E$67</f>
        <v>4.4946644718342607E-4</v>
      </c>
      <c r="X247" s="176">
        <f>W247-W247*Calculation_sheet!E$77</f>
        <v>4.4946644718342607E-4</v>
      </c>
      <c r="Y247" s="34">
        <f>X247/Calculation_sheet!M$67</f>
        <v>4.4947563716707281E-4</v>
      </c>
      <c r="Z247" s="176">
        <f ca="1">IF(AN247&gt;0,Y247*Calculation_sheet!C$87,0)</f>
        <v>0</v>
      </c>
      <c r="AA247" s="176">
        <f t="shared" ca="1" si="344"/>
        <v>4.4947563716707281E-4</v>
      </c>
      <c r="AB247" s="176">
        <f ca="1">IF(AP247&gt;0,AA247*Calculation_sheet!C$94,0)</f>
        <v>0</v>
      </c>
      <c r="AC247" s="176">
        <f t="shared" ca="1" si="332"/>
        <v>4.4947563716707281E-4</v>
      </c>
      <c r="AD247" s="958">
        <f ca="1">AC247*Calculation_sheet!C$99</f>
        <v>2.6968538230024368E-4</v>
      </c>
      <c r="AE247" s="176">
        <f t="shared" ca="1" si="332"/>
        <v>1.7979025486682912E-4</v>
      </c>
      <c r="AF247" s="176">
        <f t="shared" ca="1" si="345"/>
        <v>4.4947563716707281E-4</v>
      </c>
      <c r="AG247" s="958">
        <f ca="1">AF247*User_sheet!B$77/100</f>
        <v>0</v>
      </c>
      <c r="AH247" s="313"/>
      <c r="AI247" s="3">
        <v>302</v>
      </c>
      <c r="AK247" s="1018">
        <f t="shared" ca="1" si="294"/>
        <v>930.57250394440564</v>
      </c>
      <c r="AL247" s="924">
        <f ca="1">AK247/'302'!I$24</f>
        <v>2.3720940707224205</v>
      </c>
      <c r="AM247" s="924">
        <f ca="1">0.8*(AK247*30+'302'!D$17*0.34*30*1)</f>
        <v>27399.927094665734</v>
      </c>
      <c r="AN247" s="954">
        <f ca="1">IF(AM247&lt;User_sheet!B$50,Y247,0)</f>
        <v>0</v>
      </c>
      <c r="AO247" s="954">
        <f ca="1">20-(User_sheet!B$57/(AK247+'302'!D$17*1*0.34))</f>
        <v>15.007285985566273</v>
      </c>
      <c r="AP247" s="954">
        <f ca="1">IF(AO247&lt;User_sheet!B$59,0,BC247*AA247)</f>
        <v>0</v>
      </c>
      <c r="AR247" s="2">
        <v>7.7</v>
      </c>
      <c r="AS247" s="2">
        <v>2.1</v>
      </c>
      <c r="AT247" s="2">
        <v>7.9</v>
      </c>
      <c r="AU247" s="2">
        <v>5</v>
      </c>
      <c r="AV247" s="2">
        <v>3.3</v>
      </c>
      <c r="AW247" s="2">
        <v>11357.186356387729</v>
      </c>
      <c r="AX247" s="2">
        <v>74715.401027665983</v>
      </c>
      <c r="AY247" s="2">
        <v>67352.647733737584</v>
      </c>
      <c r="AZ247" s="2">
        <v>0</v>
      </c>
      <c r="BA247" s="2">
        <v>0</v>
      </c>
      <c r="BB247" s="27">
        <v>0.87</v>
      </c>
      <c r="BC247" s="30">
        <v>0</v>
      </c>
      <c r="BD247" s="34">
        <v>1</v>
      </c>
      <c r="BE247" s="34">
        <v>0</v>
      </c>
      <c r="BF247" s="40">
        <v>0</v>
      </c>
      <c r="BG247" s="2">
        <v>0</v>
      </c>
      <c r="BH247" s="2">
        <v>1</v>
      </c>
      <c r="BI247" s="40">
        <v>0</v>
      </c>
      <c r="BJ247" s="2">
        <v>0</v>
      </c>
      <c r="BK247" s="2">
        <v>1</v>
      </c>
      <c r="BL247" s="2">
        <v>0</v>
      </c>
      <c r="BM247" s="40">
        <v>0</v>
      </c>
      <c r="BN247" s="958">
        <v>0</v>
      </c>
      <c r="BO247" s="959">
        <v>14.9</v>
      </c>
      <c r="BP247" s="1018">
        <f t="shared" ca="1" si="333"/>
        <v>215.65</v>
      </c>
      <c r="BQ247" s="1018">
        <f t="shared" ca="1" si="334"/>
        <v>486.07500000000005</v>
      </c>
      <c r="BR247" s="1018">
        <f t="shared" ca="1" si="335"/>
        <v>117.8</v>
      </c>
      <c r="BS247" s="1018">
        <f t="shared" ca="1" si="336"/>
        <v>103.97</v>
      </c>
      <c r="BT247" s="1018">
        <f t="shared" ca="1" si="337"/>
        <v>53.9</v>
      </c>
      <c r="BU247" s="1018">
        <f t="shared" ca="1" si="338"/>
        <v>62.730000000000004</v>
      </c>
      <c r="BV247" s="1018">
        <f t="shared" ca="1" si="339"/>
        <v>4.3</v>
      </c>
      <c r="BW247" s="1018">
        <v>0</v>
      </c>
      <c r="BX247" s="1018">
        <f t="shared" ca="1" si="340"/>
        <v>388.5179897201599</v>
      </c>
      <c r="BY247" s="1018">
        <f t="shared" ca="1" si="341"/>
        <v>160.07111436950146</v>
      </c>
      <c r="BZ247" s="1018">
        <f t="shared" ca="1" si="295"/>
        <v>59.306682611142385</v>
      </c>
      <c r="CA247" s="1018">
        <f t="shared" ca="1" si="296"/>
        <v>313.64999968635004</v>
      </c>
      <c r="CB247" s="1018">
        <f t="shared" ca="1" si="342"/>
        <v>9.0267175572519083</v>
      </c>
      <c r="CC247" s="1018">
        <f t="shared" si="297"/>
        <v>0</v>
      </c>
      <c r="CD247" s="1018">
        <f t="shared" ca="1" si="343"/>
        <v>930.57250394440564</v>
      </c>
      <c r="CE247" s="1018">
        <f t="shared" ca="1" si="346"/>
        <v>174.83241983450787</v>
      </c>
      <c r="CF247" s="1018">
        <f t="shared" ca="1" si="299"/>
        <v>33.162147713367403</v>
      </c>
      <c r="CG247" s="1018">
        <f t="shared" ca="1" si="300"/>
        <v>55213.649456848201</v>
      </c>
    </row>
    <row r="248" spans="1:85" x14ac:dyDescent="0.25">
      <c r="D248" s="690"/>
      <c r="E248" s="689"/>
      <c r="F248" s="690"/>
      <c r="G248" s="689"/>
      <c r="H248" s="690"/>
      <c r="I248" s="689"/>
      <c r="J248" s="690"/>
      <c r="K248" s="692"/>
      <c r="L248" s="694"/>
      <c r="M248" s="690" t="s">
        <v>22</v>
      </c>
      <c r="N248" s="691">
        <v>0.44680851100000002</v>
      </c>
      <c r="O248" s="690" t="s">
        <v>20</v>
      </c>
      <c r="P248" s="691">
        <v>0.19172932300000001</v>
      </c>
      <c r="Q248" s="690" t="s">
        <v>7</v>
      </c>
      <c r="R248" s="691">
        <v>0.46289999999999998</v>
      </c>
      <c r="S248" s="690"/>
      <c r="T248" s="696">
        <v>3.873729629514204E-4</v>
      </c>
      <c r="U248" s="689"/>
      <c r="V248" s="176">
        <f>T248-T248*Calculation_sheet!F$59</f>
        <v>3.873729629514204E-4</v>
      </c>
      <c r="W248" s="176">
        <f>V248-V248*Calculation_sheet!E$67</f>
        <v>3.873729629514204E-4</v>
      </c>
      <c r="X248" s="176">
        <f>W248-W248*Calculation_sheet!E$77</f>
        <v>3.873729629514204E-4</v>
      </c>
      <c r="Y248" s="34">
        <f>X248/Calculation_sheet!M$67</f>
        <v>3.8738088334507167E-4</v>
      </c>
      <c r="Z248" s="176">
        <f ca="1">IF(AN248&gt;0,Y248*Calculation_sheet!C$87,0)</f>
        <v>0</v>
      </c>
      <c r="AA248" s="176">
        <f t="shared" ca="1" si="344"/>
        <v>3.8738088334507167E-4</v>
      </c>
      <c r="AB248" s="176">
        <f ca="1">IF(AP248&gt;0,AA248*Calculation_sheet!C$94,0)</f>
        <v>0</v>
      </c>
      <c r="AC248" s="176">
        <f t="shared" ca="1" si="332"/>
        <v>3.8738088334507167E-4</v>
      </c>
      <c r="AD248" s="958">
        <f ca="1">AC248*Calculation_sheet!C$99</f>
        <v>2.3242853000704299E-4</v>
      </c>
      <c r="AE248" s="176">
        <f t="shared" ca="1" si="332"/>
        <v>1.5495235333802868E-4</v>
      </c>
      <c r="AF248" s="176">
        <f t="shared" ca="1" si="345"/>
        <v>3.8738088334507167E-4</v>
      </c>
      <c r="AG248" s="958">
        <f ca="1">AF248*User_sheet!B$77/100</f>
        <v>0</v>
      </c>
      <c r="AH248" s="313"/>
      <c r="AI248" s="3">
        <v>302</v>
      </c>
      <c r="AK248" s="1018">
        <f t="shared" ca="1" si="294"/>
        <v>930.57250394440564</v>
      </c>
      <c r="AL248" s="924">
        <f ca="1">AK248/'302'!I$24</f>
        <v>2.3720940707224205</v>
      </c>
      <c r="AM248" s="924">
        <f ca="1">0.8*(AK248*30+'302'!D$17*0.34*30*1)</f>
        <v>27399.927094665734</v>
      </c>
      <c r="AN248" s="954">
        <f ca="1">IF(AM248&lt;User_sheet!B$50,Y248,0)</f>
        <v>0</v>
      </c>
      <c r="AO248" s="954">
        <f ca="1">20-(User_sheet!B$57/(AK248+'302'!D$17*1*0.34))</f>
        <v>15.007285985566273</v>
      </c>
      <c r="AP248" s="954">
        <f ca="1">IF(AO248&lt;User_sheet!B$59,0,BC248*AA248)</f>
        <v>0</v>
      </c>
      <c r="AR248" s="2">
        <v>7.7</v>
      </c>
      <c r="AS248" s="2">
        <v>2.1</v>
      </c>
      <c r="AT248" s="2">
        <v>7.9</v>
      </c>
      <c r="AU248" s="2">
        <v>5</v>
      </c>
      <c r="AV248" s="2">
        <v>3.3</v>
      </c>
      <c r="AW248" s="2">
        <v>11357.186356387729</v>
      </c>
      <c r="AX248" s="2">
        <v>74715.401027665983</v>
      </c>
      <c r="AY248" s="2">
        <v>67352.647733737584</v>
      </c>
      <c r="AZ248" s="2">
        <v>0</v>
      </c>
      <c r="BA248" s="2">
        <v>0</v>
      </c>
      <c r="BB248" s="27">
        <v>0.87</v>
      </c>
      <c r="BC248" s="30">
        <v>0</v>
      </c>
      <c r="BD248" s="34">
        <v>1</v>
      </c>
      <c r="BE248" s="34">
        <v>0</v>
      </c>
      <c r="BF248" s="40">
        <v>0</v>
      </c>
      <c r="BG248" s="2">
        <v>0</v>
      </c>
      <c r="BH248" s="2">
        <v>1</v>
      </c>
      <c r="BI248" s="40">
        <v>0</v>
      </c>
      <c r="BJ248" s="2">
        <v>0</v>
      </c>
      <c r="BK248" s="2">
        <v>0</v>
      </c>
      <c r="BL248" s="2">
        <v>1</v>
      </c>
      <c r="BM248" s="40">
        <v>0</v>
      </c>
      <c r="BN248" s="958">
        <v>0</v>
      </c>
      <c r="BO248" s="959">
        <v>14.9</v>
      </c>
      <c r="BP248" s="1018">
        <f t="shared" ca="1" si="333"/>
        <v>215.65</v>
      </c>
      <c r="BQ248" s="1018">
        <f t="shared" ca="1" si="334"/>
        <v>486.07500000000005</v>
      </c>
      <c r="BR248" s="1018">
        <f t="shared" ca="1" si="335"/>
        <v>117.8</v>
      </c>
      <c r="BS248" s="1018">
        <f t="shared" ca="1" si="336"/>
        <v>103.97</v>
      </c>
      <c r="BT248" s="1018">
        <f t="shared" ca="1" si="337"/>
        <v>53.9</v>
      </c>
      <c r="BU248" s="1018">
        <f t="shared" ca="1" si="338"/>
        <v>62.730000000000004</v>
      </c>
      <c r="BV248" s="1018">
        <f t="shared" ca="1" si="339"/>
        <v>4.3</v>
      </c>
      <c r="BW248" s="1018">
        <v>0</v>
      </c>
      <c r="BX248" s="1018">
        <f t="shared" ca="1" si="340"/>
        <v>388.5179897201599</v>
      </c>
      <c r="BY248" s="1018">
        <f t="shared" ca="1" si="341"/>
        <v>160.07111436950146</v>
      </c>
      <c r="BZ248" s="1018">
        <f t="shared" ca="1" si="295"/>
        <v>59.306682611142385</v>
      </c>
      <c r="CA248" s="1018">
        <f t="shared" ca="1" si="296"/>
        <v>313.64999968635004</v>
      </c>
      <c r="CB248" s="1018">
        <f t="shared" ca="1" si="342"/>
        <v>9.0267175572519083</v>
      </c>
      <c r="CC248" s="1018">
        <f t="shared" si="297"/>
        <v>0</v>
      </c>
      <c r="CD248" s="1018">
        <f t="shared" ca="1" si="343"/>
        <v>930.57250394440564</v>
      </c>
      <c r="CE248" s="1018">
        <f t="shared" ca="1" si="346"/>
        <v>174.83241983450787</v>
      </c>
      <c r="CF248" s="1018">
        <f t="shared" ca="1" si="299"/>
        <v>33.162147713367403</v>
      </c>
      <c r="CG248" s="1018">
        <f t="shared" ca="1" si="300"/>
        <v>55213.649456848201</v>
      </c>
    </row>
    <row r="249" spans="1:85" x14ac:dyDescent="0.25">
      <c r="A249" s="689"/>
      <c r="B249" s="689"/>
      <c r="C249" s="689"/>
      <c r="D249" s="690"/>
      <c r="E249" s="689"/>
      <c r="F249" s="690"/>
      <c r="G249" s="689"/>
      <c r="H249" s="690"/>
      <c r="I249" s="689"/>
      <c r="J249" s="690"/>
      <c r="K249" s="690"/>
      <c r="L249" s="690"/>
      <c r="M249" s="690" t="s">
        <v>7</v>
      </c>
      <c r="N249" s="691">
        <v>2.1276595999999998E-2</v>
      </c>
      <c r="O249" s="690" t="s">
        <v>23</v>
      </c>
      <c r="P249" s="691">
        <v>1</v>
      </c>
      <c r="Q249" s="690" t="s">
        <v>7</v>
      </c>
      <c r="R249" s="691">
        <v>1</v>
      </c>
      <c r="S249" s="690"/>
      <c r="T249" s="696">
        <v>2.0784247053666277E-4</v>
      </c>
      <c r="U249" s="689"/>
      <c r="V249" s="176">
        <f>T249-T249*Calculation_sheet!F$59</f>
        <v>2.0784247053666277E-4</v>
      </c>
      <c r="W249" s="176">
        <f>V249-V249*Calculation_sheet!E$67</f>
        <v>2.0784247053666277E-4</v>
      </c>
      <c r="X249" s="176">
        <f>W249-W249*Calculation_sheet!E$77</f>
        <v>2.0784247053666277E-4</v>
      </c>
      <c r="Y249" s="34">
        <f>X249/Calculation_sheet!M$67</f>
        <v>2.0784672017290883E-4</v>
      </c>
      <c r="Z249" s="176">
        <f ca="1">IF(AN249&gt;0,Y249*Calculation_sheet!C$87,0)</f>
        <v>0</v>
      </c>
      <c r="AA249" s="176">
        <f t="shared" ca="1" si="344"/>
        <v>2.0784672017290883E-4</v>
      </c>
      <c r="AB249" s="176">
        <f ca="1">IF(AP249&gt;0,AA249*Calculation_sheet!C$94,0)</f>
        <v>0</v>
      </c>
      <c r="AC249" s="176">
        <f t="shared" ca="1" si="332"/>
        <v>2.0784672017290883E-4</v>
      </c>
      <c r="AD249" s="958">
        <f ca="1">AC249*Calculation_sheet!C$99</f>
        <v>1.2470803210374529E-4</v>
      </c>
      <c r="AE249" s="176">
        <f t="shared" ca="1" si="332"/>
        <v>8.3138688069163538E-5</v>
      </c>
      <c r="AF249" s="176">
        <f t="shared" ca="1" si="345"/>
        <v>2.0784672017290883E-4</v>
      </c>
      <c r="AG249" s="958">
        <f ca="1">AF249*User_sheet!B$77/100</f>
        <v>0</v>
      </c>
      <c r="AH249" s="313"/>
      <c r="AI249" s="3">
        <v>302</v>
      </c>
      <c r="AK249" s="1018">
        <f t="shared" ca="1" si="294"/>
        <v>930.57250394440564</v>
      </c>
      <c r="AL249" s="924">
        <f ca="1">AK249/'302'!I$24</f>
        <v>2.3720940707224205</v>
      </c>
      <c r="AM249" s="924">
        <f ca="1">0.8*(AK249*30+'302'!D$17*0.34*30*1)</f>
        <v>27399.927094665734</v>
      </c>
      <c r="AN249" s="954">
        <f ca="1">IF(AM249&lt;User_sheet!B$50,Y249,0)</f>
        <v>0</v>
      </c>
      <c r="AO249" s="954">
        <f ca="1">20-(User_sheet!B$57/(AK249+'302'!D$17*1*0.34))</f>
        <v>15.007285985566273</v>
      </c>
      <c r="AP249" s="954">
        <f ca="1">IF(AO249&lt;User_sheet!B$59,0,BC249*AA249)</f>
        <v>0</v>
      </c>
      <c r="AR249" s="2">
        <v>7.7</v>
      </c>
      <c r="AS249" s="2">
        <v>2.1</v>
      </c>
      <c r="AT249" s="2">
        <v>7.9</v>
      </c>
      <c r="AU249" s="2">
        <v>5</v>
      </c>
      <c r="AV249" s="2">
        <v>3.3</v>
      </c>
      <c r="AW249" s="2">
        <v>11357.186356387729</v>
      </c>
      <c r="AX249" s="2">
        <v>74715.401027665983</v>
      </c>
      <c r="AY249" s="2">
        <v>67352.647733737584</v>
      </c>
      <c r="AZ249" s="2">
        <v>0</v>
      </c>
      <c r="BA249" s="2">
        <v>0</v>
      </c>
      <c r="BB249" s="27">
        <v>0.87</v>
      </c>
      <c r="BC249" s="30">
        <v>0</v>
      </c>
      <c r="BD249" s="34">
        <v>0</v>
      </c>
      <c r="BE249" s="34">
        <v>1</v>
      </c>
      <c r="BF249" s="40">
        <v>0</v>
      </c>
      <c r="BG249" s="2">
        <v>0</v>
      </c>
      <c r="BH249" s="2">
        <v>0</v>
      </c>
      <c r="BI249" s="40">
        <v>1</v>
      </c>
      <c r="BJ249" s="2">
        <v>0</v>
      </c>
      <c r="BK249" s="2">
        <v>0</v>
      </c>
      <c r="BL249" s="2">
        <v>1</v>
      </c>
      <c r="BM249" s="40">
        <v>0</v>
      </c>
      <c r="BN249" s="958">
        <v>0</v>
      </c>
      <c r="BO249" s="959">
        <v>14.9</v>
      </c>
      <c r="BP249" s="1018">
        <f t="shared" ca="1" si="333"/>
        <v>215.65</v>
      </c>
      <c r="BQ249" s="1018">
        <f t="shared" ca="1" si="334"/>
        <v>486.07500000000005</v>
      </c>
      <c r="BR249" s="1018">
        <f t="shared" ca="1" si="335"/>
        <v>117.8</v>
      </c>
      <c r="BS249" s="1018">
        <f t="shared" ca="1" si="336"/>
        <v>103.97</v>
      </c>
      <c r="BT249" s="1018">
        <f t="shared" ca="1" si="337"/>
        <v>53.9</v>
      </c>
      <c r="BU249" s="1018">
        <f t="shared" ca="1" si="338"/>
        <v>62.730000000000004</v>
      </c>
      <c r="BV249" s="1018">
        <f t="shared" ca="1" si="339"/>
        <v>4.3</v>
      </c>
      <c r="BW249" s="1018">
        <v>0</v>
      </c>
      <c r="BX249" s="1018">
        <f t="shared" ca="1" si="340"/>
        <v>388.5179897201599</v>
      </c>
      <c r="BY249" s="1018">
        <f t="shared" ca="1" si="341"/>
        <v>160.07111436950146</v>
      </c>
      <c r="BZ249" s="1018">
        <f t="shared" ca="1" si="295"/>
        <v>59.306682611142385</v>
      </c>
      <c r="CA249" s="1018">
        <f t="shared" ca="1" si="296"/>
        <v>313.64999968635004</v>
      </c>
      <c r="CB249" s="1018">
        <f t="shared" ca="1" si="342"/>
        <v>9.0267175572519083</v>
      </c>
      <c r="CC249" s="1018">
        <f t="shared" si="297"/>
        <v>0</v>
      </c>
      <c r="CD249" s="1018">
        <f t="shared" ca="1" si="343"/>
        <v>930.57250394440564</v>
      </c>
      <c r="CE249" s="1018">
        <f t="shared" ca="1" si="346"/>
        <v>174.83241983450787</v>
      </c>
      <c r="CF249" s="1018">
        <f t="shared" ca="1" si="299"/>
        <v>33.162147713367403</v>
      </c>
      <c r="CG249" s="1018">
        <f t="shared" ca="1" si="300"/>
        <v>55213.649456848201</v>
      </c>
    </row>
    <row r="250" spans="1:85" x14ac:dyDescent="0.25">
      <c r="A250" s="689"/>
      <c r="B250" s="689"/>
      <c r="C250" s="689"/>
      <c r="D250" s="690"/>
      <c r="E250" s="689"/>
      <c r="F250" s="690"/>
      <c r="G250" s="689"/>
      <c r="H250" s="690"/>
      <c r="I250" s="689"/>
      <c r="J250" s="690"/>
      <c r="K250" s="690"/>
      <c r="L250" s="690"/>
      <c r="M250" s="690"/>
      <c r="N250" s="690"/>
      <c r="O250" s="690" t="s">
        <v>18</v>
      </c>
      <c r="P250" s="691">
        <v>0.15910607099999999</v>
      </c>
      <c r="Q250" s="690" t="s">
        <v>17</v>
      </c>
      <c r="R250" s="691">
        <v>1</v>
      </c>
      <c r="S250" s="690"/>
      <c r="T250" s="696">
        <v>1.3227599394184376E-4</v>
      </c>
      <c r="U250" s="689"/>
      <c r="V250" s="176">
        <f>T250-T250*Calculation_sheet!F$59</f>
        <v>1.3227599394184376E-4</v>
      </c>
      <c r="W250" s="176">
        <f>V250-V250*Calculation_sheet!E$67</f>
        <v>1.3227599394184376E-4</v>
      </c>
      <c r="X250" s="176">
        <f>W250-W250*Calculation_sheet!E$77</f>
        <v>1.3227599394184376E-4</v>
      </c>
      <c r="Y250" s="34">
        <f>X250/Calculation_sheet!M$67</f>
        <v>1.3227869851351715E-4</v>
      </c>
      <c r="Z250" s="176">
        <f ca="1">IF(AN250&gt;0,Y250*Calculation_sheet!C$87,0)</f>
        <v>0</v>
      </c>
      <c r="AA250" s="176">
        <f t="shared" ca="1" si="344"/>
        <v>1.3227869851351715E-4</v>
      </c>
      <c r="AB250" s="176">
        <f ca="1">IF(AP250&gt;0,AA250*Calculation_sheet!C$94,0)</f>
        <v>0</v>
      </c>
      <c r="AC250" s="176">
        <f t="shared" ca="1" si="332"/>
        <v>1.3227869851351715E-4</v>
      </c>
      <c r="AD250" s="958">
        <f ca="1">AC250*Calculation_sheet!C$99</f>
        <v>7.9367219108110291E-5</v>
      </c>
      <c r="AE250" s="176">
        <f t="shared" ca="1" si="332"/>
        <v>5.2911479405406861E-5</v>
      </c>
      <c r="AF250" s="176">
        <f t="shared" ca="1" si="345"/>
        <v>1.3227869851351715E-4</v>
      </c>
      <c r="AG250" s="958">
        <f ca="1">AF250*User_sheet!B$77/100</f>
        <v>0</v>
      </c>
      <c r="AH250" s="313"/>
      <c r="AI250" s="3">
        <v>302</v>
      </c>
      <c r="AK250" s="1018">
        <f t="shared" ca="1" si="294"/>
        <v>930.57250394440564</v>
      </c>
      <c r="AL250" s="924">
        <f ca="1">AK250/'302'!I$24</f>
        <v>2.3720940707224205</v>
      </c>
      <c r="AM250" s="924">
        <f ca="1">0.8*(AK250*30+'302'!D$17*0.34*30*1)</f>
        <v>27399.927094665734</v>
      </c>
      <c r="AN250" s="954">
        <f ca="1">IF(AM250&lt;User_sheet!B$50,Y250,0)</f>
        <v>0</v>
      </c>
      <c r="AO250" s="954">
        <f ca="1">20-(User_sheet!B$57/(AK250+'302'!D$17*1*0.34))</f>
        <v>15.007285985566273</v>
      </c>
      <c r="AP250" s="954">
        <f ca="1">IF(AO250&lt;User_sheet!B$59,0,BC250*AA250)</f>
        <v>0</v>
      </c>
      <c r="AR250" s="2">
        <v>7.7</v>
      </c>
      <c r="AS250" s="2">
        <v>2.1</v>
      </c>
      <c r="AT250" s="2">
        <v>7.9</v>
      </c>
      <c r="AU250" s="2">
        <v>5</v>
      </c>
      <c r="AV250" s="2">
        <v>3.3</v>
      </c>
      <c r="AW250" s="2">
        <v>11357.186356387729</v>
      </c>
      <c r="AX250" s="2">
        <v>74715.401027665983</v>
      </c>
      <c r="AY250" s="2">
        <v>67352.647733737584</v>
      </c>
      <c r="AZ250" s="2">
        <v>0</v>
      </c>
      <c r="BA250" s="2">
        <v>0</v>
      </c>
      <c r="BB250" s="27">
        <v>0.87</v>
      </c>
      <c r="BC250" s="30">
        <v>0</v>
      </c>
      <c r="BD250" s="34">
        <v>0</v>
      </c>
      <c r="BE250" s="34">
        <v>0</v>
      </c>
      <c r="BF250" s="40">
        <v>1</v>
      </c>
      <c r="BG250" s="2">
        <v>1</v>
      </c>
      <c r="BH250" s="2">
        <v>0</v>
      </c>
      <c r="BI250" s="40">
        <v>0</v>
      </c>
      <c r="BJ250" s="2">
        <v>0</v>
      </c>
      <c r="BK250" s="2">
        <v>0</v>
      </c>
      <c r="BL250" s="2">
        <v>0</v>
      </c>
      <c r="BM250" s="40">
        <v>1</v>
      </c>
      <c r="BN250" s="958">
        <v>0</v>
      </c>
      <c r="BO250" s="959">
        <v>14.9</v>
      </c>
      <c r="BP250" s="1018">
        <f t="shared" ca="1" si="333"/>
        <v>215.65</v>
      </c>
      <c r="BQ250" s="1018">
        <f t="shared" ca="1" si="334"/>
        <v>486.07500000000005</v>
      </c>
      <c r="BR250" s="1018">
        <f t="shared" ca="1" si="335"/>
        <v>117.8</v>
      </c>
      <c r="BS250" s="1018">
        <f t="shared" ca="1" si="336"/>
        <v>103.97</v>
      </c>
      <c r="BT250" s="1018">
        <f t="shared" ca="1" si="337"/>
        <v>53.9</v>
      </c>
      <c r="BU250" s="1018">
        <f t="shared" ca="1" si="338"/>
        <v>62.730000000000004</v>
      </c>
      <c r="BV250" s="1018">
        <f t="shared" ca="1" si="339"/>
        <v>4.3</v>
      </c>
      <c r="BW250" s="1018">
        <v>0</v>
      </c>
      <c r="BX250" s="1018">
        <f t="shared" ca="1" si="340"/>
        <v>388.5179897201599</v>
      </c>
      <c r="BY250" s="1018">
        <f t="shared" ca="1" si="341"/>
        <v>160.07111436950146</v>
      </c>
      <c r="BZ250" s="1018">
        <f t="shared" ca="1" si="295"/>
        <v>59.306682611142385</v>
      </c>
      <c r="CA250" s="1018">
        <f t="shared" ca="1" si="296"/>
        <v>313.64999968635004</v>
      </c>
      <c r="CB250" s="1018">
        <f t="shared" ca="1" si="342"/>
        <v>9.0267175572519083</v>
      </c>
      <c r="CC250" s="1018">
        <f t="shared" si="297"/>
        <v>0</v>
      </c>
      <c r="CD250" s="1018">
        <f t="shared" ca="1" si="343"/>
        <v>930.57250394440564</v>
      </c>
      <c r="CE250" s="1018">
        <f t="shared" ca="1" si="346"/>
        <v>174.83241983450787</v>
      </c>
      <c r="CF250" s="1018">
        <f t="shared" ca="1" si="299"/>
        <v>33.162147713367403</v>
      </c>
      <c r="CG250" s="1018">
        <f t="shared" ca="1" si="300"/>
        <v>55213.649456848201</v>
      </c>
    </row>
    <row r="251" spans="1:85" x14ac:dyDescent="0.25">
      <c r="A251" s="689"/>
      <c r="B251" s="689"/>
      <c r="C251" s="689"/>
      <c r="D251" s="690"/>
      <c r="E251" s="689"/>
      <c r="F251" s="690"/>
      <c r="G251" s="689" t="s">
        <v>11</v>
      </c>
      <c r="H251" s="693">
        <v>0.25059999999999999</v>
      </c>
      <c r="I251" s="689" t="s">
        <v>10</v>
      </c>
      <c r="J251" s="693">
        <v>1</v>
      </c>
      <c r="K251" s="692" t="s">
        <v>13</v>
      </c>
      <c r="L251" s="693">
        <v>1</v>
      </c>
      <c r="M251" s="690" t="s">
        <v>17</v>
      </c>
      <c r="N251" s="691">
        <v>8.5106382999999994E-2</v>
      </c>
      <c r="O251" s="690" t="s">
        <v>19</v>
      </c>
      <c r="P251" s="691">
        <v>0.84089392900000004</v>
      </c>
      <c r="Q251" s="690" t="s">
        <v>17</v>
      </c>
      <c r="R251" s="691">
        <v>1</v>
      </c>
      <c r="S251" s="690"/>
      <c r="T251" s="696">
        <v>6.9909387843621127E-4</v>
      </c>
      <c r="U251" s="695" t="s">
        <v>49</v>
      </c>
      <c r="V251" s="176">
        <f>T251-T251*Calculation_sheet!F$59</f>
        <v>6.9909387843621127E-4</v>
      </c>
      <c r="W251" s="176">
        <f>V251-V251*Calculation_sheet!E$67</f>
        <v>6.9909387843621127E-4</v>
      </c>
      <c r="X251" s="176">
        <f>W251-W251*Calculation_sheet!E$77</f>
        <v>6.9909387843621127E-4</v>
      </c>
      <c r="Y251" s="34">
        <f>X251/Calculation_sheet!M$67</f>
        <v>6.9910817240932232E-4</v>
      </c>
      <c r="Z251" s="176">
        <f ca="1">IF(AN251&gt;0,Y251*Calculation_sheet!C$87,0)</f>
        <v>0</v>
      </c>
      <c r="AA251" s="176">
        <f t="shared" ca="1" si="344"/>
        <v>6.9910817240932232E-4</v>
      </c>
      <c r="AB251" s="176">
        <f ca="1">IF(AP251&gt;0,AA251*Calculation_sheet!C$94,0)</f>
        <v>0</v>
      </c>
      <c r="AC251" s="176">
        <f t="shared" ca="1" si="332"/>
        <v>6.9910817240932232E-4</v>
      </c>
      <c r="AD251" s="958">
        <f ca="1">AC251*Calculation_sheet!C$99</f>
        <v>4.1946490344559338E-4</v>
      </c>
      <c r="AE251" s="176">
        <f t="shared" ca="1" si="332"/>
        <v>2.7964326896372894E-4</v>
      </c>
      <c r="AF251" s="176">
        <f t="shared" ca="1" si="345"/>
        <v>6.9910817240932232E-4</v>
      </c>
      <c r="AG251" s="958">
        <f ca="1">AF251*User_sheet!B$77/100</f>
        <v>0</v>
      </c>
      <c r="AH251" s="313"/>
      <c r="AI251" s="3">
        <v>302</v>
      </c>
      <c r="AK251" s="1018">
        <f t="shared" ca="1" si="294"/>
        <v>930.57250394440564</v>
      </c>
      <c r="AL251" s="924">
        <f ca="1">AK251/'302'!I$24</f>
        <v>2.3720940707224205</v>
      </c>
      <c r="AM251" s="924">
        <f ca="1">0.8*(AK251*30+'302'!D$17*0.34*30*1)</f>
        <v>27399.927094665734</v>
      </c>
      <c r="AN251" s="954">
        <f ca="1">IF(AM251&lt;User_sheet!B$50,Y251,0)</f>
        <v>0</v>
      </c>
      <c r="AO251" s="954">
        <f ca="1">20-(User_sheet!B$57/(AK251+'302'!D$17*1*0.34))</f>
        <v>15.007285985566273</v>
      </c>
      <c r="AP251" s="954">
        <f ca="1">IF(AO251&lt;User_sheet!B$59,0,BC251*AA251)</f>
        <v>0</v>
      </c>
      <c r="AR251" s="2">
        <v>7.7</v>
      </c>
      <c r="AS251" s="2">
        <v>2.1</v>
      </c>
      <c r="AT251" s="2">
        <v>7.9</v>
      </c>
      <c r="AU251" s="2">
        <v>5</v>
      </c>
      <c r="AV251" s="2">
        <v>3.3</v>
      </c>
      <c r="AW251" s="2">
        <v>11357.186356387729</v>
      </c>
      <c r="AX251" s="2">
        <v>74715.401027665983</v>
      </c>
      <c r="AY251" s="2">
        <v>67352.647733737584</v>
      </c>
      <c r="AZ251" s="2">
        <v>0</v>
      </c>
      <c r="BA251" s="2">
        <v>0</v>
      </c>
      <c r="BB251" s="27">
        <v>0.87</v>
      </c>
      <c r="BC251" s="30">
        <v>0</v>
      </c>
      <c r="BD251" s="34">
        <v>0</v>
      </c>
      <c r="BE251" s="34">
        <v>0</v>
      </c>
      <c r="BF251" s="40">
        <v>1</v>
      </c>
      <c r="BG251" s="2">
        <v>0</v>
      </c>
      <c r="BH251" s="2">
        <v>1</v>
      </c>
      <c r="BI251" s="40">
        <v>0</v>
      </c>
      <c r="BJ251" s="2">
        <v>0</v>
      </c>
      <c r="BK251" s="2">
        <v>0</v>
      </c>
      <c r="BL251" s="2">
        <v>0</v>
      </c>
      <c r="BM251" s="40">
        <v>1</v>
      </c>
      <c r="BN251" s="958">
        <v>0</v>
      </c>
      <c r="BO251" s="959">
        <v>14.9</v>
      </c>
      <c r="BP251" s="1018">
        <f t="shared" ca="1" si="333"/>
        <v>215.65</v>
      </c>
      <c r="BQ251" s="1018">
        <f t="shared" ca="1" si="334"/>
        <v>486.07500000000005</v>
      </c>
      <c r="BR251" s="1018">
        <f t="shared" ca="1" si="335"/>
        <v>117.8</v>
      </c>
      <c r="BS251" s="1018">
        <f t="shared" ca="1" si="336"/>
        <v>103.97</v>
      </c>
      <c r="BT251" s="1018">
        <f t="shared" ca="1" si="337"/>
        <v>53.9</v>
      </c>
      <c r="BU251" s="1018">
        <f t="shared" ca="1" si="338"/>
        <v>62.730000000000004</v>
      </c>
      <c r="BV251" s="1018">
        <f t="shared" ca="1" si="339"/>
        <v>4.3</v>
      </c>
      <c r="BW251" s="1018">
        <v>0</v>
      </c>
      <c r="BX251" s="1018">
        <f t="shared" ca="1" si="340"/>
        <v>388.5179897201599</v>
      </c>
      <c r="BY251" s="1018">
        <f t="shared" ca="1" si="341"/>
        <v>160.07111436950146</v>
      </c>
      <c r="BZ251" s="1018">
        <f t="shared" ca="1" si="295"/>
        <v>59.306682611142385</v>
      </c>
      <c r="CA251" s="1018">
        <f t="shared" ca="1" si="296"/>
        <v>313.64999968635004</v>
      </c>
      <c r="CB251" s="1018">
        <f t="shared" ca="1" si="342"/>
        <v>9.0267175572519083</v>
      </c>
      <c r="CC251" s="1018">
        <f t="shared" si="297"/>
        <v>0</v>
      </c>
      <c r="CD251" s="1018">
        <f t="shared" ca="1" si="343"/>
        <v>930.57250394440564</v>
      </c>
      <c r="CE251" s="1018">
        <f t="shared" ca="1" si="346"/>
        <v>174.83241983450787</v>
      </c>
      <c r="CF251" s="1018">
        <f t="shared" ca="1" si="299"/>
        <v>33.162147713367403</v>
      </c>
      <c r="CG251" s="1018">
        <f t="shared" ca="1" si="300"/>
        <v>55213.649456848201</v>
      </c>
    </row>
    <row r="252" spans="1:85" s="697" customFormat="1" x14ac:dyDescent="0.25">
      <c r="D252" s="698"/>
      <c r="F252" s="698"/>
      <c r="H252" s="698"/>
      <c r="J252" s="698"/>
      <c r="K252" s="699"/>
      <c r="L252" s="698"/>
      <c r="M252" s="698"/>
      <c r="N252" s="698"/>
      <c r="O252" s="698"/>
      <c r="P252" s="698"/>
      <c r="Q252" s="698"/>
      <c r="R252" s="698"/>
      <c r="S252" s="698"/>
      <c r="T252" s="701"/>
      <c r="U252" s="698">
        <v>5.1974439999999997E-2</v>
      </c>
      <c r="V252" s="292"/>
      <c r="W252" s="292"/>
      <c r="X252" s="292"/>
      <c r="Y252" s="277"/>
      <c r="Z252" s="292"/>
      <c r="AA252" s="292"/>
      <c r="AB252" s="292"/>
      <c r="AC252" s="292"/>
      <c r="AD252" s="277"/>
      <c r="AE252" s="292"/>
      <c r="AF252" s="292"/>
      <c r="AG252" s="277"/>
      <c r="AH252" s="313"/>
      <c r="AJ252" s="314"/>
      <c r="AK252" s="1018">
        <f t="shared" si="294"/>
        <v>0</v>
      </c>
      <c r="AL252" s="928"/>
      <c r="AM252" s="928"/>
      <c r="AN252" s="941"/>
      <c r="AO252" s="941"/>
      <c r="AP252" s="941"/>
      <c r="AQ252" s="314"/>
      <c r="AR252" s="700"/>
      <c r="AS252" s="700"/>
      <c r="AT252" s="700"/>
      <c r="AU252" s="700"/>
      <c r="AV252" s="700"/>
      <c r="AW252" s="700"/>
      <c r="AX252" s="700"/>
      <c r="AY252" s="700"/>
      <c r="AZ252" s="700"/>
      <c r="BA252" s="700"/>
      <c r="BB252" s="700"/>
      <c r="BC252" s="45"/>
      <c r="BD252" s="277"/>
      <c r="BE252" s="277"/>
      <c r="BF252" s="49"/>
      <c r="BG252" s="700"/>
      <c r="BH252" s="700"/>
      <c r="BI252" s="49"/>
      <c r="BJ252" s="700"/>
      <c r="BK252" s="700"/>
      <c r="BL252" s="700"/>
      <c r="BM252" s="49"/>
      <c r="BN252" s="277"/>
      <c r="BO252" s="49"/>
      <c r="BP252" s="928"/>
      <c r="BQ252" s="928"/>
      <c r="BR252" s="928"/>
      <c r="BS252" s="928"/>
      <c r="BT252" s="928"/>
      <c r="BU252" s="928"/>
      <c r="BV252" s="928"/>
      <c r="BW252" s="928"/>
      <c r="BX252" s="928"/>
      <c r="BY252" s="928"/>
      <c r="BZ252" s="928"/>
      <c r="CA252" s="928"/>
      <c r="CB252" s="928"/>
      <c r="CC252" s="928"/>
      <c r="CD252" s="928"/>
      <c r="CE252" s="928"/>
      <c r="CF252" s="928"/>
      <c r="CG252" s="928"/>
    </row>
    <row r="253" spans="1:85" x14ac:dyDescent="0.25">
      <c r="D253" s="1"/>
      <c r="F253" s="1"/>
      <c r="G253" s="3"/>
      <c r="H253" s="6"/>
      <c r="I253" s="3"/>
      <c r="J253" s="6"/>
      <c r="K253" s="8"/>
      <c r="L253" s="6"/>
      <c r="M253" s="1"/>
      <c r="N253" s="1"/>
      <c r="O253" s="1"/>
      <c r="P253" s="1"/>
      <c r="Q253" s="1" t="s">
        <v>16</v>
      </c>
      <c r="R253" s="4"/>
      <c r="S253" s="1"/>
      <c r="T253" s="77"/>
      <c r="U253" s="294"/>
      <c r="X253" s="176">
        <f>W241-X241</f>
        <v>0</v>
      </c>
      <c r="Y253" s="34">
        <f>X253/Calculation_sheet!M$67</f>
        <v>0</v>
      </c>
      <c r="Z253" s="176">
        <f ca="1">IF(AN253&gt;0,Y253*Calculation_sheet!C$87,0)</f>
        <v>0</v>
      </c>
      <c r="AA253" s="176">
        <f ca="1">Y253-Z253</f>
        <v>0</v>
      </c>
      <c r="AB253" s="176">
        <f ca="1">IF(AP253&gt;0,AA253*Calculation_sheet!C$94,0)</f>
        <v>0</v>
      </c>
      <c r="AC253" s="176">
        <f t="shared" ref="AC253:AE263" ca="1" si="347">AA253-AB253</f>
        <v>0</v>
      </c>
      <c r="AD253" s="958">
        <f ca="1">AC253*Calculation_sheet!C$99</f>
        <v>0</v>
      </c>
      <c r="AE253" s="176">
        <f t="shared" ca="1" si="347"/>
        <v>0</v>
      </c>
      <c r="AF253" s="176">
        <f ca="1">Y253-AB253</f>
        <v>0</v>
      </c>
      <c r="AG253" s="958">
        <f ca="1">AF253*User_sheet!B$77/100</f>
        <v>0</v>
      </c>
      <c r="AH253" s="313"/>
      <c r="AI253" s="3">
        <v>302</v>
      </c>
      <c r="AK253" s="1018">
        <f t="shared" ca="1" si="294"/>
        <v>389.57952206729743</v>
      </c>
      <c r="AL253" s="924">
        <f ca="1">AK253/'302'!I$24</f>
        <v>0.99306531243257057</v>
      </c>
      <c r="AM253" s="924">
        <f ca="1">0.8*(AK253*30+'302'!D$17*0.34*30*1)</f>
        <v>14416.095529615141</v>
      </c>
      <c r="AN253" s="954">
        <f ca="1">IF(AM253&lt;User_sheet!B$50,Y253,0)</f>
        <v>0</v>
      </c>
      <c r="AO253" s="954">
        <f ca="1">20-(User_sheet!B$57/(AK253+'302'!D$17*1*0.34))</f>
        <v>10.510606722952808</v>
      </c>
      <c r="AP253" s="954">
        <f ca="1">IF(AO253&lt;User_sheet!B$59,0,BC253*AA253)</f>
        <v>0</v>
      </c>
      <c r="AR253" s="2">
        <v>0.32</v>
      </c>
      <c r="AS253" s="2">
        <v>2.1</v>
      </c>
      <c r="AT253" s="2">
        <v>7.9</v>
      </c>
      <c r="AU253" s="2">
        <v>2</v>
      </c>
      <c r="AV253" s="2">
        <v>3.3</v>
      </c>
      <c r="AW253" s="2">
        <v>14356</v>
      </c>
      <c r="AX253" s="2">
        <v>74715.401027665983</v>
      </c>
      <c r="AY253" s="2">
        <v>67352.647733737584</v>
      </c>
      <c r="AZ253" s="27">
        <v>0</v>
      </c>
      <c r="BA253" s="27">
        <v>0</v>
      </c>
      <c r="BB253" s="2">
        <v>0.6</v>
      </c>
      <c r="BC253" s="30">
        <v>1</v>
      </c>
      <c r="BD253" s="34">
        <v>0</v>
      </c>
      <c r="BE253" s="34">
        <v>0</v>
      </c>
      <c r="BF253" s="40">
        <v>0</v>
      </c>
      <c r="BG253" s="34">
        <v>1</v>
      </c>
      <c r="BH253" s="34">
        <v>0</v>
      </c>
      <c r="BI253" s="40">
        <v>0</v>
      </c>
      <c r="BJ253" s="34">
        <v>1</v>
      </c>
      <c r="BK253" s="34">
        <v>0</v>
      </c>
      <c r="BL253" s="34">
        <v>0</v>
      </c>
      <c r="BM253" s="40">
        <v>0</v>
      </c>
      <c r="BN253" s="958">
        <v>0</v>
      </c>
      <c r="BO253" s="959">
        <v>14.9</v>
      </c>
      <c r="BP253" s="1018">
        <f t="shared" ref="BP253:BP263" ca="1" si="348">INDIRECT("'"&amp;AI253&amp;"'!"&amp;"B2")</f>
        <v>215.65</v>
      </c>
      <c r="BQ253" s="1018">
        <f t="shared" ref="BQ253:BQ263" ca="1" si="349">INDIRECT("'"&amp;AI253&amp;"'!"&amp;"C12")+INDIRECT("'"&amp;AI253&amp;"'!"&amp;"C13")+INDIRECT("'"&amp;AI253&amp;"'!"&amp;"C14")+INDIRECT("'"&amp;AI253&amp;"'!"&amp;"C15")+INDIRECT("'"&amp;AI253&amp;"'!"&amp;"C17")</f>
        <v>486.07500000000005</v>
      </c>
      <c r="BR253" s="1018">
        <f t="shared" ref="BR253:BR263" ca="1" si="350">INDIRECT("'"&amp;AI253&amp;"'!"&amp;"G5")</f>
        <v>117.8</v>
      </c>
      <c r="BS253" s="1018">
        <f t="shared" ref="BS253:BS263" ca="1" si="351">INDIRECT("'"&amp;AI253&amp;"'!"&amp;"G4")</f>
        <v>103.97</v>
      </c>
      <c r="BT253" s="1018">
        <f t="shared" ref="BT253:BT263" ca="1" si="352">INDIRECT("'"&amp;AI253&amp;"'!"&amp;"G6")</f>
        <v>53.9</v>
      </c>
      <c r="BU253" s="1018">
        <f t="shared" ref="BU253:BU263" ca="1" si="353">INDIRECT("'"&amp;AI253&amp;"'!"&amp;"G2")</f>
        <v>62.730000000000004</v>
      </c>
      <c r="BV253" s="1018">
        <f t="shared" ref="BV253:BV263" ca="1" si="354">INDIRECT("'"&amp;AI253&amp;"'!"&amp;"G3")</f>
        <v>4.3</v>
      </c>
      <c r="BW253" s="1018">
        <v>0</v>
      </c>
      <c r="BX253" s="1018">
        <f t="shared" ref="BX253:BX263" ca="1" si="355">IF(BR253=0,0,1/(1/(BR253*$BY$3)+1/(BR253*AR253)+1/(BR253*$BY$4)))</f>
        <v>35.715007579585652</v>
      </c>
      <c r="BY253" s="1018">
        <f t="shared" ref="BY253:BY263" ca="1" si="356">IF(BS253=0,0,1/(1/(BS253*$BY$3)+1/(BS253*AS253)+1/(BS253*$BY$4)))</f>
        <v>160.07111436950146</v>
      </c>
      <c r="BZ253" s="1018">
        <f t="shared" ca="1" si="295"/>
        <v>59.306682611142385</v>
      </c>
      <c r="CA253" s="1018">
        <f t="shared" ca="1" si="296"/>
        <v>125.45999994981604</v>
      </c>
      <c r="CB253" s="1018">
        <f t="shared" ref="CB253:CB263" ca="1" si="357">IF(BV253=0,0,1/(1/(BV253*$BY$3)+1/(BV253*AV253)+1/(BV253*$BY$4)))</f>
        <v>9.0267175572519083</v>
      </c>
      <c r="CC253" s="1018">
        <f t="shared" si="297"/>
        <v>0</v>
      </c>
      <c r="CD253" s="1018">
        <f t="shared" ref="CD253:CD263" ca="1" si="358">SUM(BX253:CC253)+(BR253+BS253+BT253+BU253+BV253)*BN253</f>
        <v>389.57952206729743</v>
      </c>
      <c r="CE253" s="1018">
        <f ca="1">0.34*BO253*(1/25)^0.66*(BR253+BS253+BU253+BV253)</f>
        <v>174.83241983450787</v>
      </c>
      <c r="CF253" s="1018">
        <f t="shared" ca="1" si="299"/>
        <v>16.932358257054158</v>
      </c>
      <c r="CG253" s="1018">
        <f t="shared" ca="1" si="300"/>
        <v>28191.699203664892</v>
      </c>
    </row>
    <row r="254" spans="1:85" x14ac:dyDescent="0.25">
      <c r="D254" s="1"/>
      <c r="F254" s="1"/>
      <c r="G254" s="3"/>
      <c r="H254" s="6"/>
      <c r="I254" s="3"/>
      <c r="J254" s="6"/>
      <c r="K254" s="8"/>
      <c r="L254" s="6"/>
      <c r="M254" s="1"/>
      <c r="N254" s="1"/>
      <c r="O254" s="1" t="s">
        <v>18</v>
      </c>
      <c r="P254" s="4"/>
      <c r="Q254" s="1" t="s">
        <v>7</v>
      </c>
      <c r="R254" s="4"/>
      <c r="S254" s="1"/>
      <c r="T254" s="77"/>
      <c r="U254" s="294"/>
      <c r="X254" s="176">
        <f t="shared" ref="X254:X263" si="359">W242-X242</f>
        <v>0</v>
      </c>
      <c r="Y254" s="34">
        <f>X254/Calculation_sheet!M$67</f>
        <v>0</v>
      </c>
      <c r="Z254" s="176">
        <f ca="1">IF(AN254&gt;0,Y254*Calculation_sheet!C$87,0)</f>
        <v>0</v>
      </c>
      <c r="AA254" s="176">
        <f t="shared" ref="AA254:AA263" ca="1" si="360">Y254-Z254</f>
        <v>0</v>
      </c>
      <c r="AB254" s="176">
        <f ca="1">IF(AP254&gt;0,AA254*Calculation_sheet!C$94,0)</f>
        <v>0</v>
      </c>
      <c r="AC254" s="176">
        <f t="shared" ca="1" si="347"/>
        <v>0</v>
      </c>
      <c r="AD254" s="958">
        <f ca="1">AC254*Calculation_sheet!C$99</f>
        <v>0</v>
      </c>
      <c r="AE254" s="176">
        <f t="shared" ca="1" si="347"/>
        <v>0</v>
      </c>
      <c r="AF254" s="176">
        <f t="shared" ref="AF254:AF263" ca="1" si="361">Y254-AB254</f>
        <v>0</v>
      </c>
      <c r="AG254" s="958">
        <f ca="1">AF254*User_sheet!B$77/100</f>
        <v>0</v>
      </c>
      <c r="AH254" s="313"/>
      <c r="AI254" s="3">
        <v>302</v>
      </c>
      <c r="AK254" s="1018">
        <f t="shared" ca="1" si="294"/>
        <v>389.57952206729743</v>
      </c>
      <c r="AL254" s="924">
        <f ca="1">AK254/'302'!I$24</f>
        <v>0.99306531243257057</v>
      </c>
      <c r="AM254" s="924">
        <f ca="1">0.8*(AK254*30+'302'!D$17*0.34*30*1)</f>
        <v>14416.095529615141</v>
      </c>
      <c r="AN254" s="954">
        <f ca="1">IF(AM254&lt;User_sheet!B$50,Y254,0)</f>
        <v>0</v>
      </c>
      <c r="AO254" s="954">
        <f ca="1">20-(User_sheet!B$57/(AK254+'302'!D$17*1*0.34))</f>
        <v>10.510606722952808</v>
      </c>
      <c r="AP254" s="954">
        <f ca="1">IF(AO254&lt;User_sheet!B$59,0,BC254*AA254)</f>
        <v>0</v>
      </c>
      <c r="AR254" s="2">
        <v>0.32</v>
      </c>
      <c r="AS254" s="2">
        <v>2.1</v>
      </c>
      <c r="AT254" s="2">
        <v>7.9</v>
      </c>
      <c r="AU254" s="2">
        <v>2</v>
      </c>
      <c r="AV254" s="2">
        <v>3.3</v>
      </c>
      <c r="AW254" s="2">
        <v>14356</v>
      </c>
      <c r="AX254" s="2">
        <v>74715.401027665983</v>
      </c>
      <c r="AY254" s="2">
        <v>67352.647733737584</v>
      </c>
      <c r="AZ254" s="27">
        <v>0</v>
      </c>
      <c r="BA254" s="27">
        <v>0</v>
      </c>
      <c r="BB254" s="2">
        <v>0.6</v>
      </c>
      <c r="BC254" s="30">
        <v>1</v>
      </c>
      <c r="BD254" s="34">
        <v>0</v>
      </c>
      <c r="BE254" s="34">
        <v>0</v>
      </c>
      <c r="BF254" s="40">
        <v>0</v>
      </c>
      <c r="BG254" s="34">
        <v>1</v>
      </c>
      <c r="BH254" s="34">
        <v>0</v>
      </c>
      <c r="BI254" s="40">
        <v>0</v>
      </c>
      <c r="BJ254" s="34">
        <v>0</v>
      </c>
      <c r="BK254" s="34">
        <v>0</v>
      </c>
      <c r="BL254" s="34">
        <v>1</v>
      </c>
      <c r="BM254" s="40">
        <v>0</v>
      </c>
      <c r="BN254" s="958">
        <v>0</v>
      </c>
      <c r="BO254" s="959">
        <v>14.9</v>
      </c>
      <c r="BP254" s="1018">
        <f t="shared" ca="1" si="348"/>
        <v>215.65</v>
      </c>
      <c r="BQ254" s="1018">
        <f t="shared" ca="1" si="349"/>
        <v>486.07500000000005</v>
      </c>
      <c r="BR254" s="1018">
        <f t="shared" ca="1" si="350"/>
        <v>117.8</v>
      </c>
      <c r="BS254" s="1018">
        <f t="shared" ca="1" si="351"/>
        <v>103.97</v>
      </c>
      <c r="BT254" s="1018">
        <f t="shared" ca="1" si="352"/>
        <v>53.9</v>
      </c>
      <c r="BU254" s="1018">
        <f t="shared" ca="1" si="353"/>
        <v>62.730000000000004</v>
      </c>
      <c r="BV254" s="1018">
        <f t="shared" ca="1" si="354"/>
        <v>4.3</v>
      </c>
      <c r="BW254" s="1018">
        <v>0</v>
      </c>
      <c r="BX254" s="1018">
        <f t="shared" ca="1" si="355"/>
        <v>35.715007579585652</v>
      </c>
      <c r="BY254" s="1018">
        <f t="shared" ca="1" si="356"/>
        <v>160.07111436950146</v>
      </c>
      <c r="BZ254" s="1018">
        <f t="shared" ca="1" si="295"/>
        <v>59.306682611142385</v>
      </c>
      <c r="CA254" s="1018">
        <f t="shared" ca="1" si="296"/>
        <v>125.45999994981604</v>
      </c>
      <c r="CB254" s="1018">
        <f t="shared" ca="1" si="357"/>
        <v>9.0267175572519083</v>
      </c>
      <c r="CC254" s="1018">
        <f t="shared" si="297"/>
        <v>0</v>
      </c>
      <c r="CD254" s="1018">
        <f t="shared" ca="1" si="358"/>
        <v>389.57952206729743</v>
      </c>
      <c r="CE254" s="1018">
        <f t="shared" ref="CE254:CE263" ca="1" si="362">0.34*BO254*(1/25)^0.66*(BR254+BS254+BU254+BV254)</f>
        <v>174.83241983450787</v>
      </c>
      <c r="CF254" s="1018">
        <f t="shared" ca="1" si="299"/>
        <v>16.932358257054158</v>
      </c>
      <c r="CG254" s="1018">
        <f t="shared" ca="1" si="300"/>
        <v>28191.699203664892</v>
      </c>
    </row>
    <row r="255" spans="1:85" x14ac:dyDescent="0.25">
      <c r="D255" s="1"/>
      <c r="F255" s="1"/>
      <c r="G255" s="3"/>
      <c r="H255" s="6"/>
      <c r="I255" s="3"/>
      <c r="J255" s="6"/>
      <c r="K255" s="8"/>
      <c r="L255" s="6"/>
      <c r="M255" s="1"/>
      <c r="N255" s="1"/>
      <c r="O255" s="1"/>
      <c r="P255" s="1"/>
      <c r="Q255" s="1" t="s">
        <v>16</v>
      </c>
      <c r="R255" s="4"/>
      <c r="S255" s="1"/>
      <c r="T255" s="77"/>
      <c r="U255" s="294"/>
      <c r="X255" s="176">
        <f t="shared" si="359"/>
        <v>0</v>
      </c>
      <c r="Y255" s="34">
        <f>X255/Calculation_sheet!M$67</f>
        <v>0</v>
      </c>
      <c r="Z255" s="176">
        <f ca="1">IF(AN255&gt;0,Y255*Calculation_sheet!C$87,0)</f>
        <v>0</v>
      </c>
      <c r="AA255" s="176">
        <f t="shared" ca="1" si="360"/>
        <v>0</v>
      </c>
      <c r="AB255" s="176">
        <f ca="1">IF(AP255&gt;0,AA255*Calculation_sheet!C$94,0)</f>
        <v>0</v>
      </c>
      <c r="AC255" s="176">
        <f t="shared" ca="1" si="347"/>
        <v>0</v>
      </c>
      <c r="AD255" s="958">
        <f ca="1">AC255*Calculation_sheet!C$99</f>
        <v>0</v>
      </c>
      <c r="AE255" s="176">
        <f t="shared" ca="1" si="347"/>
        <v>0</v>
      </c>
      <c r="AF255" s="176">
        <f t="shared" ca="1" si="361"/>
        <v>0</v>
      </c>
      <c r="AG255" s="958">
        <f ca="1">AF255*User_sheet!B$77/100</f>
        <v>0</v>
      </c>
      <c r="AH255" s="313"/>
      <c r="AI255" s="3">
        <v>302</v>
      </c>
      <c r="AK255" s="1018">
        <f t="shared" ca="1" si="294"/>
        <v>389.57952206729743</v>
      </c>
      <c r="AL255" s="924">
        <f ca="1">AK255/'302'!I$24</f>
        <v>0.99306531243257057</v>
      </c>
      <c r="AM255" s="924">
        <f ca="1">0.8*(AK255*30+'302'!D$17*0.34*30*1)</f>
        <v>14416.095529615141</v>
      </c>
      <c r="AN255" s="954">
        <f ca="1">IF(AM255&lt;User_sheet!B$50,Y255,0)</f>
        <v>0</v>
      </c>
      <c r="AO255" s="954">
        <f ca="1">20-(User_sheet!B$57/(AK255+'302'!D$17*1*0.34))</f>
        <v>10.510606722952808</v>
      </c>
      <c r="AP255" s="954">
        <f ca="1">IF(AO255&lt;User_sheet!B$59,0,BC255*AA255)</f>
        <v>0</v>
      </c>
      <c r="AR255" s="2">
        <v>0.32</v>
      </c>
      <c r="AS255" s="2">
        <v>2.1</v>
      </c>
      <c r="AT255" s="2">
        <v>7.9</v>
      </c>
      <c r="AU255" s="2">
        <v>2</v>
      </c>
      <c r="AV255" s="2">
        <v>3.3</v>
      </c>
      <c r="AW255" s="2">
        <v>14356</v>
      </c>
      <c r="AX255" s="2">
        <v>74715.401027665983</v>
      </c>
      <c r="AY255" s="2">
        <v>67352.647733737584</v>
      </c>
      <c r="AZ255" s="27">
        <v>0</v>
      </c>
      <c r="BA255" s="27">
        <v>0</v>
      </c>
      <c r="BB255" s="2">
        <v>0.6</v>
      </c>
      <c r="BC255" s="30">
        <v>1</v>
      </c>
      <c r="BD255" s="34">
        <v>0</v>
      </c>
      <c r="BE255" s="34">
        <v>0</v>
      </c>
      <c r="BF255" s="40">
        <v>0</v>
      </c>
      <c r="BG255" s="34">
        <v>0</v>
      </c>
      <c r="BH255" s="34">
        <v>1</v>
      </c>
      <c r="BI255" s="40">
        <v>0</v>
      </c>
      <c r="BJ255" s="34">
        <v>1</v>
      </c>
      <c r="BK255" s="34">
        <v>0</v>
      </c>
      <c r="BL255" s="34">
        <v>0</v>
      </c>
      <c r="BM255" s="40">
        <v>0</v>
      </c>
      <c r="BN255" s="958">
        <v>0</v>
      </c>
      <c r="BO255" s="959">
        <v>14.9</v>
      </c>
      <c r="BP255" s="1018">
        <f t="shared" ca="1" si="348"/>
        <v>215.65</v>
      </c>
      <c r="BQ255" s="1018">
        <f t="shared" ca="1" si="349"/>
        <v>486.07500000000005</v>
      </c>
      <c r="BR255" s="1018">
        <f t="shared" ca="1" si="350"/>
        <v>117.8</v>
      </c>
      <c r="BS255" s="1018">
        <f t="shared" ca="1" si="351"/>
        <v>103.97</v>
      </c>
      <c r="BT255" s="1018">
        <f t="shared" ca="1" si="352"/>
        <v>53.9</v>
      </c>
      <c r="BU255" s="1018">
        <f t="shared" ca="1" si="353"/>
        <v>62.730000000000004</v>
      </c>
      <c r="BV255" s="1018">
        <f t="shared" ca="1" si="354"/>
        <v>4.3</v>
      </c>
      <c r="BW255" s="1018">
        <v>0</v>
      </c>
      <c r="BX255" s="1018">
        <f t="shared" ca="1" si="355"/>
        <v>35.715007579585652</v>
      </c>
      <c r="BY255" s="1018">
        <f t="shared" ca="1" si="356"/>
        <v>160.07111436950146</v>
      </c>
      <c r="BZ255" s="1018">
        <f t="shared" ca="1" si="295"/>
        <v>59.306682611142385</v>
      </c>
      <c r="CA255" s="1018">
        <f t="shared" ca="1" si="296"/>
        <v>125.45999994981604</v>
      </c>
      <c r="CB255" s="1018">
        <f t="shared" ca="1" si="357"/>
        <v>9.0267175572519083</v>
      </c>
      <c r="CC255" s="1018">
        <f t="shared" si="297"/>
        <v>0</v>
      </c>
      <c r="CD255" s="1018">
        <f t="shared" ca="1" si="358"/>
        <v>389.57952206729743</v>
      </c>
      <c r="CE255" s="1018">
        <f t="shared" ca="1" si="362"/>
        <v>174.83241983450787</v>
      </c>
      <c r="CF255" s="1018">
        <f t="shared" ca="1" si="299"/>
        <v>16.932358257054158</v>
      </c>
      <c r="CG255" s="1018">
        <f t="shared" ca="1" si="300"/>
        <v>28191.699203664892</v>
      </c>
    </row>
    <row r="256" spans="1:85" x14ac:dyDescent="0.25">
      <c r="D256" s="1"/>
      <c r="F256" s="1"/>
      <c r="G256" s="3"/>
      <c r="H256" s="6"/>
      <c r="I256" s="3"/>
      <c r="J256" s="6"/>
      <c r="K256" s="8"/>
      <c r="L256" s="6"/>
      <c r="M256" s="1" t="s">
        <v>16</v>
      </c>
      <c r="N256" s="4"/>
      <c r="O256" s="1" t="s">
        <v>19</v>
      </c>
      <c r="P256" s="4"/>
      <c r="Q256" s="1" t="s">
        <v>7</v>
      </c>
      <c r="R256" s="4"/>
      <c r="S256" s="1"/>
      <c r="T256" s="77"/>
      <c r="U256" s="294"/>
      <c r="X256" s="176">
        <f t="shared" si="359"/>
        <v>0</v>
      </c>
      <c r="Y256" s="34">
        <f>X256/Calculation_sheet!M$67</f>
        <v>0</v>
      </c>
      <c r="Z256" s="176">
        <f ca="1">IF(AN256&gt;0,Y256*Calculation_sheet!C$87,0)</f>
        <v>0</v>
      </c>
      <c r="AA256" s="176">
        <f t="shared" ca="1" si="360"/>
        <v>0</v>
      </c>
      <c r="AB256" s="176">
        <f ca="1">IF(AP256&gt;0,AA256*Calculation_sheet!C$94,0)</f>
        <v>0</v>
      </c>
      <c r="AC256" s="176">
        <f t="shared" ca="1" si="347"/>
        <v>0</v>
      </c>
      <c r="AD256" s="958">
        <f ca="1">AC256*Calculation_sheet!C$99</f>
        <v>0</v>
      </c>
      <c r="AE256" s="176">
        <f t="shared" ca="1" si="347"/>
        <v>0</v>
      </c>
      <c r="AF256" s="176">
        <f t="shared" ca="1" si="361"/>
        <v>0</v>
      </c>
      <c r="AG256" s="958">
        <f ca="1">AF256*User_sheet!B$77/100</f>
        <v>0</v>
      </c>
      <c r="AH256" s="313"/>
      <c r="AI256" s="3">
        <v>302</v>
      </c>
      <c r="AK256" s="1018">
        <f t="shared" ca="1" si="294"/>
        <v>389.57952206729743</v>
      </c>
      <c r="AL256" s="924">
        <f ca="1">AK256/'302'!I$24</f>
        <v>0.99306531243257057</v>
      </c>
      <c r="AM256" s="924">
        <f ca="1">0.8*(AK256*30+'302'!D$17*0.34*30*1)</f>
        <v>14416.095529615141</v>
      </c>
      <c r="AN256" s="954">
        <f ca="1">IF(AM256&lt;User_sheet!B$50,Y256,0)</f>
        <v>0</v>
      </c>
      <c r="AO256" s="954">
        <f ca="1">20-(User_sheet!B$57/(AK256+'302'!D$17*1*0.34))</f>
        <v>10.510606722952808</v>
      </c>
      <c r="AP256" s="954">
        <f ca="1">IF(AO256&lt;User_sheet!B$59,0,BC256*AA256)</f>
        <v>0</v>
      </c>
      <c r="AR256" s="2">
        <v>0.32</v>
      </c>
      <c r="AS256" s="2">
        <v>2.1</v>
      </c>
      <c r="AT256" s="2">
        <v>7.9</v>
      </c>
      <c r="AU256" s="2">
        <v>2</v>
      </c>
      <c r="AV256" s="2">
        <v>3.3</v>
      </c>
      <c r="AW256" s="2">
        <v>14356</v>
      </c>
      <c r="AX256" s="2">
        <v>74715.401027665983</v>
      </c>
      <c r="AY256" s="2">
        <v>67352.647733737584</v>
      </c>
      <c r="AZ256" s="27">
        <v>0</v>
      </c>
      <c r="BA256" s="27">
        <v>0</v>
      </c>
      <c r="BB256" s="2">
        <v>0.6</v>
      </c>
      <c r="BC256" s="30">
        <v>1</v>
      </c>
      <c r="BD256" s="34">
        <v>0</v>
      </c>
      <c r="BE256" s="34">
        <v>0</v>
      </c>
      <c r="BF256" s="40">
        <v>0</v>
      </c>
      <c r="BG256" s="34">
        <v>0</v>
      </c>
      <c r="BH256" s="34">
        <v>1</v>
      </c>
      <c r="BI256" s="40">
        <v>0</v>
      </c>
      <c r="BJ256" s="34">
        <v>0</v>
      </c>
      <c r="BK256" s="34">
        <v>0</v>
      </c>
      <c r="BL256" s="34">
        <v>1</v>
      </c>
      <c r="BM256" s="40">
        <v>0</v>
      </c>
      <c r="BN256" s="958">
        <v>0</v>
      </c>
      <c r="BO256" s="959">
        <v>14.9</v>
      </c>
      <c r="BP256" s="1018">
        <f t="shared" ca="1" si="348"/>
        <v>215.65</v>
      </c>
      <c r="BQ256" s="1018">
        <f t="shared" ca="1" si="349"/>
        <v>486.07500000000005</v>
      </c>
      <c r="BR256" s="1018">
        <f t="shared" ca="1" si="350"/>
        <v>117.8</v>
      </c>
      <c r="BS256" s="1018">
        <f t="shared" ca="1" si="351"/>
        <v>103.97</v>
      </c>
      <c r="BT256" s="1018">
        <f t="shared" ca="1" si="352"/>
        <v>53.9</v>
      </c>
      <c r="BU256" s="1018">
        <f t="shared" ca="1" si="353"/>
        <v>62.730000000000004</v>
      </c>
      <c r="BV256" s="1018">
        <f t="shared" ca="1" si="354"/>
        <v>4.3</v>
      </c>
      <c r="BW256" s="1018">
        <v>0</v>
      </c>
      <c r="BX256" s="1018">
        <f t="shared" ca="1" si="355"/>
        <v>35.715007579585652</v>
      </c>
      <c r="BY256" s="1018">
        <f t="shared" ca="1" si="356"/>
        <v>160.07111436950146</v>
      </c>
      <c r="BZ256" s="1018">
        <f t="shared" ca="1" si="295"/>
        <v>59.306682611142385</v>
      </c>
      <c r="CA256" s="1018">
        <f t="shared" ca="1" si="296"/>
        <v>125.45999994981604</v>
      </c>
      <c r="CB256" s="1018">
        <f t="shared" ca="1" si="357"/>
        <v>9.0267175572519083</v>
      </c>
      <c r="CC256" s="1018">
        <f t="shared" si="297"/>
        <v>0</v>
      </c>
      <c r="CD256" s="1018">
        <f t="shared" ca="1" si="358"/>
        <v>389.57952206729743</v>
      </c>
      <c r="CE256" s="1018">
        <f t="shared" ca="1" si="362"/>
        <v>174.83241983450787</v>
      </c>
      <c r="CF256" s="1018">
        <f t="shared" ca="1" si="299"/>
        <v>16.932358257054158</v>
      </c>
      <c r="CG256" s="1018">
        <f t="shared" ca="1" si="300"/>
        <v>28191.699203664892</v>
      </c>
    </row>
    <row r="257" spans="4:85" x14ac:dyDescent="0.25">
      <c r="D257" s="1"/>
      <c r="F257" s="1"/>
      <c r="G257" s="3"/>
      <c r="H257" s="6"/>
      <c r="I257" s="3"/>
      <c r="J257" s="6"/>
      <c r="K257" s="8"/>
      <c r="L257" s="6"/>
      <c r="M257" s="1"/>
      <c r="N257" s="1"/>
      <c r="O257" s="1"/>
      <c r="P257" s="1"/>
      <c r="Q257" s="1" t="s">
        <v>22</v>
      </c>
      <c r="R257" s="4"/>
      <c r="S257" s="1"/>
      <c r="T257" s="77"/>
      <c r="U257" s="294"/>
      <c r="X257" s="176">
        <f t="shared" si="359"/>
        <v>0</v>
      </c>
      <c r="Y257" s="34">
        <f>X257/Calculation_sheet!M$67</f>
        <v>0</v>
      </c>
      <c r="Z257" s="176">
        <f ca="1">IF(AN257&gt;0,Y257*Calculation_sheet!C$87,0)</f>
        <v>0</v>
      </c>
      <c r="AA257" s="176">
        <f t="shared" ca="1" si="360"/>
        <v>0</v>
      </c>
      <c r="AB257" s="176">
        <f ca="1">IF(AP257&gt;0,AA257*Calculation_sheet!C$94,0)</f>
        <v>0</v>
      </c>
      <c r="AC257" s="176">
        <f t="shared" ca="1" si="347"/>
        <v>0</v>
      </c>
      <c r="AD257" s="958">
        <f ca="1">AC257*Calculation_sheet!C$99</f>
        <v>0</v>
      </c>
      <c r="AE257" s="176">
        <f t="shared" ca="1" si="347"/>
        <v>0</v>
      </c>
      <c r="AF257" s="176">
        <f t="shared" ca="1" si="361"/>
        <v>0</v>
      </c>
      <c r="AG257" s="958">
        <f ca="1">AF257*User_sheet!B$77/100</f>
        <v>0</v>
      </c>
      <c r="AH257" s="313"/>
      <c r="AI257" s="3">
        <v>302</v>
      </c>
      <c r="AK257" s="1018">
        <f t="shared" ca="1" si="294"/>
        <v>389.57952206729743</v>
      </c>
      <c r="AL257" s="924">
        <f ca="1">AK257/'302'!I$24</f>
        <v>0.99306531243257057</v>
      </c>
      <c r="AM257" s="924">
        <f ca="1">0.8*(AK257*30+'302'!D$17*0.34*30*1)</f>
        <v>14416.095529615141</v>
      </c>
      <c r="AN257" s="954">
        <f ca="1">IF(AM257&lt;User_sheet!B$50,Y257,0)</f>
        <v>0</v>
      </c>
      <c r="AO257" s="954">
        <f ca="1">20-(User_sheet!B$57/(AK257+'302'!D$17*1*0.34))</f>
        <v>10.510606722952808</v>
      </c>
      <c r="AP257" s="954">
        <f ca="1">IF(AO257&lt;User_sheet!B$59,0,BC257*AA257)</f>
        <v>0</v>
      </c>
      <c r="AR257" s="2">
        <v>0.32</v>
      </c>
      <c r="AS257" s="2">
        <v>2.1</v>
      </c>
      <c r="AT257" s="2">
        <v>7.9</v>
      </c>
      <c r="AU257" s="2">
        <v>2</v>
      </c>
      <c r="AV257" s="2">
        <v>3.3</v>
      </c>
      <c r="AW257" s="2">
        <v>14356</v>
      </c>
      <c r="AX257" s="2">
        <v>74715.401027665983</v>
      </c>
      <c r="AY257" s="2">
        <v>67352.647733737584</v>
      </c>
      <c r="AZ257" s="27">
        <v>0</v>
      </c>
      <c r="BA257" s="27">
        <v>0</v>
      </c>
      <c r="BB257" s="2">
        <v>0.6</v>
      </c>
      <c r="BC257" s="30">
        <v>0</v>
      </c>
      <c r="BD257" s="34">
        <v>1</v>
      </c>
      <c r="BE257" s="34">
        <v>0</v>
      </c>
      <c r="BF257" s="40">
        <v>0</v>
      </c>
      <c r="BG257" s="34">
        <v>1</v>
      </c>
      <c r="BH257" s="34">
        <v>0</v>
      </c>
      <c r="BI257" s="40">
        <v>0</v>
      </c>
      <c r="BJ257" s="34">
        <v>0</v>
      </c>
      <c r="BK257" s="34">
        <v>1</v>
      </c>
      <c r="BL257" s="34">
        <v>0</v>
      </c>
      <c r="BM257" s="40">
        <v>0</v>
      </c>
      <c r="BN257" s="958">
        <v>0</v>
      </c>
      <c r="BO257" s="959">
        <v>14.9</v>
      </c>
      <c r="BP257" s="1018">
        <f t="shared" ca="1" si="348"/>
        <v>215.65</v>
      </c>
      <c r="BQ257" s="1018">
        <f t="shared" ca="1" si="349"/>
        <v>486.07500000000005</v>
      </c>
      <c r="BR257" s="1018">
        <f t="shared" ca="1" si="350"/>
        <v>117.8</v>
      </c>
      <c r="BS257" s="1018">
        <f t="shared" ca="1" si="351"/>
        <v>103.97</v>
      </c>
      <c r="BT257" s="1018">
        <f t="shared" ca="1" si="352"/>
        <v>53.9</v>
      </c>
      <c r="BU257" s="1018">
        <f t="shared" ca="1" si="353"/>
        <v>62.730000000000004</v>
      </c>
      <c r="BV257" s="1018">
        <f t="shared" ca="1" si="354"/>
        <v>4.3</v>
      </c>
      <c r="BW257" s="1018">
        <v>0</v>
      </c>
      <c r="BX257" s="1018">
        <f t="shared" ca="1" si="355"/>
        <v>35.715007579585652</v>
      </c>
      <c r="BY257" s="1018">
        <f t="shared" ca="1" si="356"/>
        <v>160.07111436950146</v>
      </c>
      <c r="BZ257" s="1018">
        <f t="shared" ca="1" si="295"/>
        <v>59.306682611142385</v>
      </c>
      <c r="CA257" s="1018">
        <f t="shared" ca="1" si="296"/>
        <v>125.45999994981604</v>
      </c>
      <c r="CB257" s="1018">
        <f t="shared" ca="1" si="357"/>
        <v>9.0267175572519083</v>
      </c>
      <c r="CC257" s="1018">
        <f t="shared" si="297"/>
        <v>0</v>
      </c>
      <c r="CD257" s="1018">
        <f t="shared" ca="1" si="358"/>
        <v>389.57952206729743</v>
      </c>
      <c r="CE257" s="1018">
        <f t="shared" ca="1" si="362"/>
        <v>174.83241983450787</v>
      </c>
      <c r="CF257" s="1018">
        <f t="shared" ca="1" si="299"/>
        <v>16.932358257054158</v>
      </c>
      <c r="CG257" s="1018">
        <f t="shared" ca="1" si="300"/>
        <v>28191.699203664892</v>
      </c>
    </row>
    <row r="258" spans="4:85" x14ac:dyDescent="0.25">
      <c r="D258" s="1"/>
      <c r="F258" s="1"/>
      <c r="G258" s="3"/>
      <c r="H258" s="6"/>
      <c r="I258" s="3"/>
      <c r="J258" s="3" t="s">
        <v>144</v>
      </c>
      <c r="K258" s="8"/>
      <c r="L258" s="6"/>
      <c r="M258" s="1"/>
      <c r="N258" s="1"/>
      <c r="O258" s="1" t="s">
        <v>18</v>
      </c>
      <c r="P258" s="4"/>
      <c r="Q258" s="1" t="s">
        <v>7</v>
      </c>
      <c r="R258" s="4"/>
      <c r="S258" s="1"/>
      <c r="T258" s="77"/>
      <c r="U258" s="294"/>
      <c r="X258" s="176">
        <f t="shared" si="359"/>
        <v>0</v>
      </c>
      <c r="Y258" s="34">
        <f>X258/Calculation_sheet!M$67</f>
        <v>0</v>
      </c>
      <c r="Z258" s="176">
        <f ca="1">IF(AN258&gt;0,Y258*Calculation_sheet!C$87,0)</f>
        <v>0</v>
      </c>
      <c r="AA258" s="176">
        <f t="shared" ca="1" si="360"/>
        <v>0</v>
      </c>
      <c r="AB258" s="176">
        <f ca="1">IF(AP258&gt;0,AA258*Calculation_sheet!C$94,0)</f>
        <v>0</v>
      </c>
      <c r="AC258" s="176">
        <f t="shared" ca="1" si="347"/>
        <v>0</v>
      </c>
      <c r="AD258" s="958">
        <f ca="1">AC258*Calculation_sheet!C$99</f>
        <v>0</v>
      </c>
      <c r="AE258" s="176">
        <f t="shared" ca="1" si="347"/>
        <v>0</v>
      </c>
      <c r="AF258" s="176">
        <f t="shared" ca="1" si="361"/>
        <v>0</v>
      </c>
      <c r="AG258" s="958">
        <f ca="1">AF258*User_sheet!B$77/100</f>
        <v>0</v>
      </c>
      <c r="AH258" s="313"/>
      <c r="AI258" s="3">
        <v>302</v>
      </c>
      <c r="AK258" s="1018">
        <f t="shared" ca="1" si="294"/>
        <v>389.57952206729743</v>
      </c>
      <c r="AL258" s="924">
        <f ca="1">AK258/'302'!I$24</f>
        <v>0.99306531243257057</v>
      </c>
      <c r="AM258" s="924">
        <f ca="1">0.8*(AK258*30+'302'!D$17*0.34*30*1)</f>
        <v>14416.095529615141</v>
      </c>
      <c r="AN258" s="954">
        <f ca="1">IF(AM258&lt;User_sheet!B$50,Y258,0)</f>
        <v>0</v>
      </c>
      <c r="AO258" s="954">
        <f ca="1">20-(User_sheet!B$57/(AK258+'302'!D$17*1*0.34))</f>
        <v>10.510606722952808</v>
      </c>
      <c r="AP258" s="954">
        <f ca="1">IF(AO258&lt;User_sheet!B$59,0,BC258*AA258)</f>
        <v>0</v>
      </c>
      <c r="AR258" s="2">
        <v>0.32</v>
      </c>
      <c r="AS258" s="2">
        <v>2.1</v>
      </c>
      <c r="AT258" s="2">
        <v>7.9</v>
      </c>
      <c r="AU258" s="2">
        <v>2</v>
      </c>
      <c r="AV258" s="2">
        <v>3.3</v>
      </c>
      <c r="AW258" s="2">
        <v>14356</v>
      </c>
      <c r="AX258" s="2">
        <v>74715.401027665983</v>
      </c>
      <c r="AY258" s="2">
        <v>67352.647733737584</v>
      </c>
      <c r="AZ258" s="27">
        <v>0</v>
      </c>
      <c r="BA258" s="27">
        <v>0</v>
      </c>
      <c r="BB258" s="2">
        <v>0.6</v>
      </c>
      <c r="BC258" s="30">
        <v>0</v>
      </c>
      <c r="BD258" s="34">
        <v>1</v>
      </c>
      <c r="BE258" s="34">
        <v>0</v>
      </c>
      <c r="BF258" s="40">
        <v>0</v>
      </c>
      <c r="BG258" s="34">
        <v>1</v>
      </c>
      <c r="BH258" s="34">
        <v>0</v>
      </c>
      <c r="BI258" s="40">
        <v>0</v>
      </c>
      <c r="BJ258" s="34">
        <v>0</v>
      </c>
      <c r="BK258" s="34">
        <v>0</v>
      </c>
      <c r="BL258" s="34">
        <v>1</v>
      </c>
      <c r="BM258" s="40">
        <v>0</v>
      </c>
      <c r="BN258" s="958">
        <v>0</v>
      </c>
      <c r="BO258" s="959">
        <v>14.9</v>
      </c>
      <c r="BP258" s="1018">
        <f t="shared" ca="1" si="348"/>
        <v>215.65</v>
      </c>
      <c r="BQ258" s="1018">
        <f t="shared" ca="1" si="349"/>
        <v>486.07500000000005</v>
      </c>
      <c r="BR258" s="1018">
        <f t="shared" ca="1" si="350"/>
        <v>117.8</v>
      </c>
      <c r="BS258" s="1018">
        <f t="shared" ca="1" si="351"/>
        <v>103.97</v>
      </c>
      <c r="BT258" s="1018">
        <f t="shared" ca="1" si="352"/>
        <v>53.9</v>
      </c>
      <c r="BU258" s="1018">
        <f t="shared" ca="1" si="353"/>
        <v>62.730000000000004</v>
      </c>
      <c r="BV258" s="1018">
        <f t="shared" ca="1" si="354"/>
        <v>4.3</v>
      </c>
      <c r="BW258" s="1018">
        <v>0</v>
      </c>
      <c r="BX258" s="1018">
        <f t="shared" ca="1" si="355"/>
        <v>35.715007579585652</v>
      </c>
      <c r="BY258" s="1018">
        <f t="shared" ca="1" si="356"/>
        <v>160.07111436950146</v>
      </c>
      <c r="BZ258" s="1018">
        <f t="shared" ca="1" si="295"/>
        <v>59.306682611142385</v>
      </c>
      <c r="CA258" s="1018">
        <f t="shared" ca="1" si="296"/>
        <v>125.45999994981604</v>
      </c>
      <c r="CB258" s="1018">
        <f t="shared" ca="1" si="357"/>
        <v>9.0267175572519083</v>
      </c>
      <c r="CC258" s="1018">
        <f t="shared" si="297"/>
        <v>0</v>
      </c>
      <c r="CD258" s="1018">
        <f t="shared" ca="1" si="358"/>
        <v>389.57952206729743</v>
      </c>
      <c r="CE258" s="1018">
        <f t="shared" ca="1" si="362"/>
        <v>174.83241983450787</v>
      </c>
      <c r="CF258" s="1018">
        <f t="shared" ca="1" si="299"/>
        <v>16.932358257054158</v>
      </c>
      <c r="CG258" s="1018">
        <f t="shared" ca="1" si="300"/>
        <v>28191.699203664892</v>
      </c>
    </row>
    <row r="259" spans="4:85" x14ac:dyDescent="0.25">
      <c r="D259" s="1"/>
      <c r="F259" s="1"/>
      <c r="G259" s="3"/>
      <c r="H259" s="6"/>
      <c r="I259" s="3"/>
      <c r="J259" s="6" t="s">
        <v>190</v>
      </c>
      <c r="K259" s="8"/>
      <c r="L259" s="6"/>
      <c r="M259" s="1"/>
      <c r="N259" s="1"/>
      <c r="O259" s="1"/>
      <c r="P259" s="1"/>
      <c r="Q259" s="1" t="s">
        <v>22</v>
      </c>
      <c r="R259" s="4"/>
      <c r="S259" s="1"/>
      <c r="T259" s="77"/>
      <c r="U259" s="294"/>
      <c r="X259" s="176">
        <f t="shared" si="359"/>
        <v>0</v>
      </c>
      <c r="Y259" s="34">
        <f>X259/Calculation_sheet!M$67</f>
        <v>0</v>
      </c>
      <c r="Z259" s="176">
        <f ca="1">IF(AN259&gt;0,Y259*Calculation_sheet!C$87,0)</f>
        <v>0</v>
      </c>
      <c r="AA259" s="176">
        <f t="shared" ca="1" si="360"/>
        <v>0</v>
      </c>
      <c r="AB259" s="176">
        <f ca="1">IF(AP259&gt;0,AA259*Calculation_sheet!C$94,0)</f>
        <v>0</v>
      </c>
      <c r="AC259" s="176">
        <f t="shared" ca="1" si="347"/>
        <v>0</v>
      </c>
      <c r="AD259" s="958">
        <f ca="1">AC259*Calculation_sheet!C$99</f>
        <v>0</v>
      </c>
      <c r="AE259" s="176">
        <f t="shared" ca="1" si="347"/>
        <v>0</v>
      </c>
      <c r="AF259" s="176">
        <f t="shared" ca="1" si="361"/>
        <v>0</v>
      </c>
      <c r="AG259" s="958">
        <f ca="1">AF259*User_sheet!B$77/100</f>
        <v>0</v>
      </c>
      <c r="AH259" s="313"/>
      <c r="AI259" s="3">
        <v>302</v>
      </c>
      <c r="AK259" s="1018">
        <f t="shared" ca="1" si="294"/>
        <v>389.57952206729743</v>
      </c>
      <c r="AL259" s="924">
        <f ca="1">AK259/'302'!I$24</f>
        <v>0.99306531243257057</v>
      </c>
      <c r="AM259" s="924">
        <f ca="1">0.8*(AK259*30+'302'!D$17*0.34*30*1)</f>
        <v>14416.095529615141</v>
      </c>
      <c r="AN259" s="954">
        <f ca="1">IF(AM259&lt;User_sheet!B$50,Y259,0)</f>
        <v>0</v>
      </c>
      <c r="AO259" s="954">
        <f ca="1">20-(User_sheet!B$57/(AK259+'302'!D$17*1*0.34))</f>
        <v>10.510606722952808</v>
      </c>
      <c r="AP259" s="954">
        <f ca="1">IF(AO259&lt;User_sheet!B$59,0,BC259*AA259)</f>
        <v>0</v>
      </c>
      <c r="AR259" s="2">
        <v>0.32</v>
      </c>
      <c r="AS259" s="2">
        <v>2.1</v>
      </c>
      <c r="AT259" s="2">
        <v>7.9</v>
      </c>
      <c r="AU259" s="2">
        <v>2</v>
      </c>
      <c r="AV259" s="2">
        <v>3.3</v>
      </c>
      <c r="AW259" s="2">
        <v>14356</v>
      </c>
      <c r="AX259" s="2">
        <v>74715.401027665983</v>
      </c>
      <c r="AY259" s="2">
        <v>67352.647733737584</v>
      </c>
      <c r="AZ259" s="27">
        <v>0</v>
      </c>
      <c r="BA259" s="27">
        <v>0</v>
      </c>
      <c r="BB259" s="2">
        <v>0.6</v>
      </c>
      <c r="BC259" s="30">
        <v>0</v>
      </c>
      <c r="BD259" s="34">
        <v>1</v>
      </c>
      <c r="BE259" s="34">
        <v>0</v>
      </c>
      <c r="BF259" s="40">
        <v>0</v>
      </c>
      <c r="BG259" s="34">
        <v>0</v>
      </c>
      <c r="BH259" s="34">
        <v>1</v>
      </c>
      <c r="BI259" s="40">
        <v>0</v>
      </c>
      <c r="BJ259" s="34">
        <v>0</v>
      </c>
      <c r="BK259" s="34">
        <v>1</v>
      </c>
      <c r="BL259" s="34">
        <v>0</v>
      </c>
      <c r="BM259" s="40">
        <v>0</v>
      </c>
      <c r="BN259" s="958">
        <v>0</v>
      </c>
      <c r="BO259" s="959">
        <v>14.9</v>
      </c>
      <c r="BP259" s="1018">
        <f t="shared" ca="1" si="348"/>
        <v>215.65</v>
      </c>
      <c r="BQ259" s="1018">
        <f t="shared" ca="1" si="349"/>
        <v>486.07500000000005</v>
      </c>
      <c r="BR259" s="1018">
        <f t="shared" ca="1" si="350"/>
        <v>117.8</v>
      </c>
      <c r="BS259" s="1018">
        <f t="shared" ca="1" si="351"/>
        <v>103.97</v>
      </c>
      <c r="BT259" s="1018">
        <f t="shared" ca="1" si="352"/>
        <v>53.9</v>
      </c>
      <c r="BU259" s="1018">
        <f t="shared" ca="1" si="353"/>
        <v>62.730000000000004</v>
      </c>
      <c r="BV259" s="1018">
        <f t="shared" ca="1" si="354"/>
        <v>4.3</v>
      </c>
      <c r="BW259" s="1018">
        <v>0</v>
      </c>
      <c r="BX259" s="1018">
        <f t="shared" ca="1" si="355"/>
        <v>35.715007579585652</v>
      </c>
      <c r="BY259" s="1018">
        <f t="shared" ca="1" si="356"/>
        <v>160.07111436950146</v>
      </c>
      <c r="BZ259" s="1018">
        <f t="shared" ca="1" si="295"/>
        <v>59.306682611142385</v>
      </c>
      <c r="CA259" s="1018">
        <f t="shared" ca="1" si="296"/>
        <v>125.45999994981604</v>
      </c>
      <c r="CB259" s="1018">
        <f t="shared" ca="1" si="357"/>
        <v>9.0267175572519083</v>
      </c>
      <c r="CC259" s="1018">
        <f t="shared" si="297"/>
        <v>0</v>
      </c>
      <c r="CD259" s="1018">
        <f t="shared" ca="1" si="358"/>
        <v>389.57952206729743</v>
      </c>
      <c r="CE259" s="1018">
        <f t="shared" ca="1" si="362"/>
        <v>174.83241983450787</v>
      </c>
      <c r="CF259" s="1018">
        <f t="shared" ca="1" si="299"/>
        <v>16.932358257054158</v>
      </c>
      <c r="CG259" s="1018">
        <f t="shared" ca="1" si="300"/>
        <v>28191.699203664892</v>
      </c>
    </row>
    <row r="260" spans="4:85" x14ac:dyDescent="0.25">
      <c r="D260" s="1"/>
      <c r="F260" s="1"/>
      <c r="G260" s="3"/>
      <c r="H260" s="6"/>
      <c r="I260" s="3"/>
      <c r="J260" s="6"/>
      <c r="K260" s="8"/>
      <c r="L260" s="6"/>
      <c r="M260" s="1" t="s">
        <v>22</v>
      </c>
      <c r="N260" s="4"/>
      <c r="O260" s="1" t="s">
        <v>20</v>
      </c>
      <c r="P260" s="4"/>
      <c r="Q260" s="1" t="s">
        <v>7</v>
      </c>
      <c r="R260" s="4"/>
      <c r="S260" s="1"/>
      <c r="T260" s="77"/>
      <c r="U260" s="294"/>
      <c r="X260" s="176">
        <f t="shared" si="359"/>
        <v>0</v>
      </c>
      <c r="Y260" s="34">
        <f>X260/Calculation_sheet!M$67</f>
        <v>0</v>
      </c>
      <c r="Z260" s="176">
        <f ca="1">IF(AN260&gt;0,Y260*Calculation_sheet!C$87,0)</f>
        <v>0</v>
      </c>
      <c r="AA260" s="176">
        <f t="shared" ca="1" si="360"/>
        <v>0</v>
      </c>
      <c r="AB260" s="176">
        <f ca="1">IF(AP260&gt;0,AA260*Calculation_sheet!C$94,0)</f>
        <v>0</v>
      </c>
      <c r="AC260" s="176">
        <f t="shared" ca="1" si="347"/>
        <v>0</v>
      </c>
      <c r="AD260" s="958">
        <f ca="1">AC260*Calculation_sheet!C$99</f>
        <v>0</v>
      </c>
      <c r="AE260" s="176">
        <f t="shared" ca="1" si="347"/>
        <v>0</v>
      </c>
      <c r="AF260" s="176">
        <f t="shared" ca="1" si="361"/>
        <v>0</v>
      </c>
      <c r="AG260" s="958">
        <f ca="1">AF260*User_sheet!B$77/100</f>
        <v>0</v>
      </c>
      <c r="AH260" s="313"/>
      <c r="AI260" s="3">
        <v>302</v>
      </c>
      <c r="AK260" s="1018">
        <f t="shared" ca="1" si="294"/>
        <v>389.57952206729743</v>
      </c>
      <c r="AL260" s="924">
        <f ca="1">AK260/'302'!I$24</f>
        <v>0.99306531243257057</v>
      </c>
      <c r="AM260" s="924">
        <f ca="1">0.8*(AK260*30+'302'!D$17*0.34*30*1)</f>
        <v>14416.095529615141</v>
      </c>
      <c r="AN260" s="954">
        <f ca="1">IF(AM260&lt;User_sheet!B$50,Y260,0)</f>
        <v>0</v>
      </c>
      <c r="AO260" s="954">
        <f ca="1">20-(User_sheet!B$57/(AK260+'302'!D$17*1*0.34))</f>
        <v>10.510606722952808</v>
      </c>
      <c r="AP260" s="954">
        <f ca="1">IF(AO260&lt;User_sheet!B$59,0,BC260*AA260)</f>
        <v>0</v>
      </c>
      <c r="AR260" s="2">
        <v>0.32</v>
      </c>
      <c r="AS260" s="2">
        <v>2.1</v>
      </c>
      <c r="AT260" s="2">
        <v>7.9</v>
      </c>
      <c r="AU260" s="2">
        <v>2</v>
      </c>
      <c r="AV260" s="2">
        <v>3.3</v>
      </c>
      <c r="AW260" s="2">
        <v>14356</v>
      </c>
      <c r="AX260" s="2">
        <v>74715.401027665983</v>
      </c>
      <c r="AY260" s="2">
        <v>67352.647733737584</v>
      </c>
      <c r="AZ260" s="27">
        <v>0</v>
      </c>
      <c r="BA260" s="27">
        <v>0</v>
      </c>
      <c r="BB260" s="2">
        <v>0.6</v>
      </c>
      <c r="BC260" s="30">
        <v>0</v>
      </c>
      <c r="BD260" s="34">
        <v>1</v>
      </c>
      <c r="BE260" s="34">
        <v>0</v>
      </c>
      <c r="BF260" s="40">
        <v>0</v>
      </c>
      <c r="BG260" s="34">
        <v>0</v>
      </c>
      <c r="BH260" s="34">
        <v>1</v>
      </c>
      <c r="BI260" s="40">
        <v>0</v>
      </c>
      <c r="BJ260" s="34">
        <v>0</v>
      </c>
      <c r="BK260" s="34">
        <v>0</v>
      </c>
      <c r="BL260" s="34">
        <v>1</v>
      </c>
      <c r="BM260" s="40">
        <v>0</v>
      </c>
      <c r="BN260" s="958">
        <v>0</v>
      </c>
      <c r="BO260" s="959">
        <v>14.9</v>
      </c>
      <c r="BP260" s="1018">
        <f t="shared" ca="1" si="348"/>
        <v>215.65</v>
      </c>
      <c r="BQ260" s="1018">
        <f t="shared" ca="1" si="349"/>
        <v>486.07500000000005</v>
      </c>
      <c r="BR260" s="1018">
        <f t="shared" ca="1" si="350"/>
        <v>117.8</v>
      </c>
      <c r="BS260" s="1018">
        <f t="shared" ca="1" si="351"/>
        <v>103.97</v>
      </c>
      <c r="BT260" s="1018">
        <f t="shared" ca="1" si="352"/>
        <v>53.9</v>
      </c>
      <c r="BU260" s="1018">
        <f t="shared" ca="1" si="353"/>
        <v>62.730000000000004</v>
      </c>
      <c r="BV260" s="1018">
        <f t="shared" ca="1" si="354"/>
        <v>4.3</v>
      </c>
      <c r="BW260" s="1018">
        <v>0</v>
      </c>
      <c r="BX260" s="1018">
        <f t="shared" ca="1" si="355"/>
        <v>35.715007579585652</v>
      </c>
      <c r="BY260" s="1018">
        <f t="shared" ca="1" si="356"/>
        <v>160.07111436950146</v>
      </c>
      <c r="BZ260" s="1018">
        <f t="shared" ca="1" si="295"/>
        <v>59.306682611142385</v>
      </c>
      <c r="CA260" s="1018">
        <f t="shared" ca="1" si="296"/>
        <v>125.45999994981604</v>
      </c>
      <c r="CB260" s="1018">
        <f t="shared" ca="1" si="357"/>
        <v>9.0267175572519083</v>
      </c>
      <c r="CC260" s="1018">
        <f t="shared" si="297"/>
        <v>0</v>
      </c>
      <c r="CD260" s="1018">
        <f t="shared" ca="1" si="358"/>
        <v>389.57952206729743</v>
      </c>
      <c r="CE260" s="1018">
        <f t="shared" ca="1" si="362"/>
        <v>174.83241983450787</v>
      </c>
      <c r="CF260" s="1018">
        <f t="shared" ca="1" si="299"/>
        <v>16.932358257054158</v>
      </c>
      <c r="CG260" s="1018">
        <f t="shared" ca="1" si="300"/>
        <v>28191.699203664892</v>
      </c>
    </row>
    <row r="261" spans="4:85" x14ac:dyDescent="0.25">
      <c r="D261" s="1"/>
      <c r="F261" s="1"/>
      <c r="G261" s="3"/>
      <c r="H261" s="6"/>
      <c r="I261" s="3"/>
      <c r="J261" s="6"/>
      <c r="K261" s="8"/>
      <c r="L261" s="6"/>
      <c r="M261" s="1" t="s">
        <v>7</v>
      </c>
      <c r="N261" s="4"/>
      <c r="O261" s="1" t="s">
        <v>23</v>
      </c>
      <c r="P261" s="4"/>
      <c r="Q261" s="1" t="s">
        <v>7</v>
      </c>
      <c r="R261" s="4"/>
      <c r="S261" s="1"/>
      <c r="T261" s="77"/>
      <c r="U261" s="294"/>
      <c r="X261" s="176">
        <f t="shared" si="359"/>
        <v>0</v>
      </c>
      <c r="Y261" s="34">
        <f>X261/Calculation_sheet!M$67</f>
        <v>0</v>
      </c>
      <c r="Z261" s="176">
        <f ca="1">IF(AN261&gt;0,Y261*Calculation_sheet!C$87,0)</f>
        <v>0</v>
      </c>
      <c r="AA261" s="176">
        <f t="shared" ca="1" si="360"/>
        <v>0</v>
      </c>
      <c r="AB261" s="176">
        <f ca="1">IF(AP261&gt;0,AA261*Calculation_sheet!C$94,0)</f>
        <v>0</v>
      </c>
      <c r="AC261" s="176">
        <f t="shared" ca="1" si="347"/>
        <v>0</v>
      </c>
      <c r="AD261" s="958">
        <f ca="1">AC261*Calculation_sheet!C$99</f>
        <v>0</v>
      </c>
      <c r="AE261" s="176">
        <f t="shared" ca="1" si="347"/>
        <v>0</v>
      </c>
      <c r="AF261" s="176">
        <f t="shared" ca="1" si="361"/>
        <v>0</v>
      </c>
      <c r="AG261" s="958">
        <f ca="1">AF261*User_sheet!B$77/100</f>
        <v>0</v>
      </c>
      <c r="AH261" s="313"/>
      <c r="AI261" s="3">
        <v>302</v>
      </c>
      <c r="AK261" s="1018">
        <f t="shared" ca="1" si="294"/>
        <v>389.57952206729743</v>
      </c>
      <c r="AL261" s="924">
        <f ca="1">AK261/'302'!I$24</f>
        <v>0.99306531243257057</v>
      </c>
      <c r="AM261" s="924">
        <f ca="1">0.8*(AK261*30+'302'!D$17*0.34*30*1)</f>
        <v>14416.095529615141</v>
      </c>
      <c r="AN261" s="954">
        <f ca="1">IF(AM261&lt;User_sheet!B$50,Y261,0)</f>
        <v>0</v>
      </c>
      <c r="AO261" s="954">
        <f ca="1">20-(User_sheet!B$57/(AK261+'302'!D$17*1*0.34))</f>
        <v>10.510606722952808</v>
      </c>
      <c r="AP261" s="954">
        <f ca="1">IF(AO261&lt;User_sheet!B$59,0,BC261*AA261)</f>
        <v>0</v>
      </c>
      <c r="AR261" s="2">
        <v>0.32</v>
      </c>
      <c r="AS261" s="2">
        <v>2.1</v>
      </c>
      <c r="AT261" s="2">
        <v>7.9</v>
      </c>
      <c r="AU261" s="2">
        <v>2</v>
      </c>
      <c r="AV261" s="2">
        <v>3.3</v>
      </c>
      <c r="AW261" s="2">
        <v>14356</v>
      </c>
      <c r="AX261" s="2">
        <v>74715.401027665983</v>
      </c>
      <c r="AY261" s="2">
        <v>67352.647733737584</v>
      </c>
      <c r="AZ261" s="27">
        <v>0</v>
      </c>
      <c r="BA261" s="27">
        <v>0</v>
      </c>
      <c r="BB261" s="2">
        <v>0.6</v>
      </c>
      <c r="BC261" s="30">
        <v>0</v>
      </c>
      <c r="BD261" s="34">
        <v>0</v>
      </c>
      <c r="BE261" s="34">
        <v>1</v>
      </c>
      <c r="BF261" s="40">
        <v>0</v>
      </c>
      <c r="BG261" s="34">
        <v>0</v>
      </c>
      <c r="BH261" s="34">
        <v>0</v>
      </c>
      <c r="BI261" s="40">
        <v>1</v>
      </c>
      <c r="BJ261" s="34">
        <v>0</v>
      </c>
      <c r="BK261" s="34">
        <v>0</v>
      </c>
      <c r="BL261" s="34">
        <v>1</v>
      </c>
      <c r="BM261" s="40">
        <v>0</v>
      </c>
      <c r="BN261" s="958">
        <v>0</v>
      </c>
      <c r="BO261" s="959">
        <v>14.9</v>
      </c>
      <c r="BP261" s="1018">
        <f t="shared" ca="1" si="348"/>
        <v>215.65</v>
      </c>
      <c r="BQ261" s="1018">
        <f t="shared" ca="1" si="349"/>
        <v>486.07500000000005</v>
      </c>
      <c r="BR261" s="1018">
        <f t="shared" ca="1" si="350"/>
        <v>117.8</v>
      </c>
      <c r="BS261" s="1018">
        <f t="shared" ca="1" si="351"/>
        <v>103.97</v>
      </c>
      <c r="BT261" s="1018">
        <f t="shared" ca="1" si="352"/>
        <v>53.9</v>
      </c>
      <c r="BU261" s="1018">
        <f t="shared" ca="1" si="353"/>
        <v>62.730000000000004</v>
      </c>
      <c r="BV261" s="1018">
        <f t="shared" ca="1" si="354"/>
        <v>4.3</v>
      </c>
      <c r="BW261" s="1018">
        <v>0</v>
      </c>
      <c r="BX261" s="1018">
        <f t="shared" ca="1" si="355"/>
        <v>35.715007579585652</v>
      </c>
      <c r="BY261" s="1018">
        <f t="shared" ca="1" si="356"/>
        <v>160.07111436950146</v>
      </c>
      <c r="BZ261" s="1018">
        <f t="shared" ca="1" si="295"/>
        <v>59.306682611142385</v>
      </c>
      <c r="CA261" s="1018">
        <f t="shared" ca="1" si="296"/>
        <v>125.45999994981604</v>
      </c>
      <c r="CB261" s="1018">
        <f t="shared" ca="1" si="357"/>
        <v>9.0267175572519083</v>
      </c>
      <c r="CC261" s="1018">
        <f t="shared" si="297"/>
        <v>0</v>
      </c>
      <c r="CD261" s="1018">
        <f t="shared" ca="1" si="358"/>
        <v>389.57952206729743</v>
      </c>
      <c r="CE261" s="1018">
        <f t="shared" ca="1" si="362"/>
        <v>174.83241983450787</v>
      </c>
      <c r="CF261" s="1018">
        <f t="shared" ca="1" si="299"/>
        <v>16.932358257054158</v>
      </c>
      <c r="CG261" s="1018">
        <f t="shared" ca="1" si="300"/>
        <v>28191.699203664892</v>
      </c>
    </row>
    <row r="262" spans="4:85" x14ac:dyDescent="0.25">
      <c r="D262" s="1"/>
      <c r="F262" s="1"/>
      <c r="G262" s="3"/>
      <c r="H262" s="6"/>
      <c r="I262" s="3"/>
      <c r="J262" s="6"/>
      <c r="K262" s="8"/>
      <c r="L262" s="6"/>
      <c r="M262" s="1"/>
      <c r="N262" s="1"/>
      <c r="O262" s="1" t="s">
        <v>18</v>
      </c>
      <c r="P262" s="4"/>
      <c r="Q262" s="1" t="s">
        <v>17</v>
      </c>
      <c r="R262" s="4"/>
      <c r="S262" s="1"/>
      <c r="T262" s="77"/>
      <c r="U262" s="294"/>
      <c r="X262" s="176">
        <f t="shared" si="359"/>
        <v>0</v>
      </c>
      <c r="Y262" s="34">
        <f>X262/Calculation_sheet!M$67</f>
        <v>0</v>
      </c>
      <c r="Z262" s="176">
        <f ca="1">IF(AN262&gt;0,Y262*Calculation_sheet!C$87,0)</f>
        <v>0</v>
      </c>
      <c r="AA262" s="176">
        <f t="shared" ca="1" si="360"/>
        <v>0</v>
      </c>
      <c r="AB262" s="176">
        <f ca="1">IF(AP262&gt;0,AA262*Calculation_sheet!C$94,0)</f>
        <v>0</v>
      </c>
      <c r="AC262" s="176">
        <f t="shared" ca="1" si="347"/>
        <v>0</v>
      </c>
      <c r="AD262" s="958">
        <f ca="1">AC262*Calculation_sheet!C$99</f>
        <v>0</v>
      </c>
      <c r="AE262" s="176">
        <f t="shared" ca="1" si="347"/>
        <v>0</v>
      </c>
      <c r="AF262" s="176">
        <f t="shared" ca="1" si="361"/>
        <v>0</v>
      </c>
      <c r="AG262" s="958">
        <f ca="1">AF262*User_sheet!B$77/100</f>
        <v>0</v>
      </c>
      <c r="AH262" s="313"/>
      <c r="AI262" s="3">
        <v>302</v>
      </c>
      <c r="AK262" s="1018">
        <f t="shared" ca="1" si="294"/>
        <v>389.57952206729743</v>
      </c>
      <c r="AL262" s="924">
        <f ca="1">AK262/'302'!I$24</f>
        <v>0.99306531243257057</v>
      </c>
      <c r="AM262" s="924">
        <f ca="1">0.8*(AK262*30+'302'!D$17*0.34*30*1)</f>
        <v>14416.095529615141</v>
      </c>
      <c r="AN262" s="954">
        <f ca="1">IF(AM262&lt;User_sheet!B$50,Y262,0)</f>
        <v>0</v>
      </c>
      <c r="AO262" s="954">
        <f ca="1">20-(User_sheet!B$57/(AK262+'302'!D$17*1*0.34))</f>
        <v>10.510606722952808</v>
      </c>
      <c r="AP262" s="954">
        <f ca="1">IF(AO262&lt;User_sheet!B$59,0,BC262*AA262)</f>
        <v>0</v>
      </c>
      <c r="AR262" s="2">
        <v>0.32</v>
      </c>
      <c r="AS262" s="2">
        <v>2.1</v>
      </c>
      <c r="AT262" s="2">
        <v>7.9</v>
      </c>
      <c r="AU262" s="2">
        <v>2</v>
      </c>
      <c r="AV262" s="2">
        <v>3.3</v>
      </c>
      <c r="AW262" s="2">
        <v>14356</v>
      </c>
      <c r="AX262" s="2">
        <v>74715.401027665983</v>
      </c>
      <c r="AY262" s="2">
        <v>67352.647733737584</v>
      </c>
      <c r="AZ262" s="27">
        <v>0</v>
      </c>
      <c r="BA262" s="27">
        <v>0</v>
      </c>
      <c r="BB262" s="2">
        <v>0.6</v>
      </c>
      <c r="BC262" s="30">
        <v>0</v>
      </c>
      <c r="BD262" s="34">
        <v>0</v>
      </c>
      <c r="BE262" s="34">
        <v>0</v>
      </c>
      <c r="BF262" s="40">
        <v>1</v>
      </c>
      <c r="BG262" s="34">
        <v>1</v>
      </c>
      <c r="BH262" s="34">
        <v>0</v>
      </c>
      <c r="BI262" s="40">
        <v>0</v>
      </c>
      <c r="BJ262" s="34">
        <v>0</v>
      </c>
      <c r="BK262" s="34">
        <v>0</v>
      </c>
      <c r="BL262" s="34">
        <v>0</v>
      </c>
      <c r="BM262" s="40">
        <v>1</v>
      </c>
      <c r="BN262" s="958">
        <v>0</v>
      </c>
      <c r="BO262" s="959">
        <v>14.9</v>
      </c>
      <c r="BP262" s="1018">
        <f t="shared" ca="1" si="348"/>
        <v>215.65</v>
      </c>
      <c r="BQ262" s="1018">
        <f t="shared" ca="1" si="349"/>
        <v>486.07500000000005</v>
      </c>
      <c r="BR262" s="1018">
        <f t="shared" ca="1" si="350"/>
        <v>117.8</v>
      </c>
      <c r="BS262" s="1018">
        <f t="shared" ca="1" si="351"/>
        <v>103.97</v>
      </c>
      <c r="BT262" s="1018">
        <f t="shared" ca="1" si="352"/>
        <v>53.9</v>
      </c>
      <c r="BU262" s="1018">
        <f t="shared" ca="1" si="353"/>
        <v>62.730000000000004</v>
      </c>
      <c r="BV262" s="1018">
        <f t="shared" ca="1" si="354"/>
        <v>4.3</v>
      </c>
      <c r="BW262" s="1018">
        <v>0</v>
      </c>
      <c r="BX262" s="1018">
        <f t="shared" ca="1" si="355"/>
        <v>35.715007579585652</v>
      </c>
      <c r="BY262" s="1018">
        <f t="shared" ca="1" si="356"/>
        <v>160.07111436950146</v>
      </c>
      <c r="BZ262" s="1018">
        <f t="shared" ca="1" si="295"/>
        <v>59.306682611142385</v>
      </c>
      <c r="CA262" s="1018">
        <f t="shared" ca="1" si="296"/>
        <v>125.45999994981604</v>
      </c>
      <c r="CB262" s="1018">
        <f t="shared" ca="1" si="357"/>
        <v>9.0267175572519083</v>
      </c>
      <c r="CC262" s="1018">
        <f t="shared" si="297"/>
        <v>0</v>
      </c>
      <c r="CD262" s="1018">
        <f t="shared" ca="1" si="358"/>
        <v>389.57952206729743</v>
      </c>
      <c r="CE262" s="1018">
        <f t="shared" ca="1" si="362"/>
        <v>174.83241983450787</v>
      </c>
      <c r="CF262" s="1018">
        <f t="shared" ca="1" si="299"/>
        <v>16.932358257054158</v>
      </c>
      <c r="CG262" s="1018">
        <f t="shared" ca="1" si="300"/>
        <v>28191.699203664892</v>
      </c>
    </row>
    <row r="263" spans="4:85" x14ac:dyDescent="0.25">
      <c r="D263" s="1"/>
      <c r="F263" s="1"/>
      <c r="G263" s="3"/>
      <c r="H263" s="6"/>
      <c r="I263" s="3"/>
      <c r="J263" s="6"/>
      <c r="K263" s="8"/>
      <c r="L263" s="6"/>
      <c r="M263" s="1" t="s">
        <v>17</v>
      </c>
      <c r="N263" s="4"/>
      <c r="O263" s="1" t="s">
        <v>19</v>
      </c>
      <c r="P263" s="4"/>
      <c r="Q263" s="1" t="s">
        <v>17</v>
      </c>
      <c r="R263" s="4"/>
      <c r="S263" s="1"/>
      <c r="T263" s="77"/>
      <c r="U263" s="294"/>
      <c r="X263" s="176">
        <f t="shared" si="359"/>
        <v>0</v>
      </c>
      <c r="Y263" s="34">
        <f>X263/Calculation_sheet!M$67</f>
        <v>0</v>
      </c>
      <c r="Z263" s="176">
        <f ca="1">IF(AN263&gt;0,Y263*Calculation_sheet!C$87,0)</f>
        <v>0</v>
      </c>
      <c r="AA263" s="176">
        <f t="shared" ca="1" si="360"/>
        <v>0</v>
      </c>
      <c r="AB263" s="176">
        <f ca="1">IF(AP263&gt;0,AA263*Calculation_sheet!C$94,0)</f>
        <v>0</v>
      </c>
      <c r="AC263" s="176">
        <f t="shared" ca="1" si="347"/>
        <v>0</v>
      </c>
      <c r="AD263" s="958">
        <f ca="1">AC263*Calculation_sheet!C$99</f>
        <v>0</v>
      </c>
      <c r="AE263" s="176">
        <f t="shared" ca="1" si="347"/>
        <v>0</v>
      </c>
      <c r="AF263" s="176">
        <f t="shared" ca="1" si="361"/>
        <v>0</v>
      </c>
      <c r="AG263" s="958">
        <f ca="1">AF263*User_sheet!B$77/100</f>
        <v>0</v>
      </c>
      <c r="AH263" s="313"/>
      <c r="AI263" s="3">
        <v>302</v>
      </c>
      <c r="AK263" s="1018">
        <f t="shared" ca="1" si="294"/>
        <v>389.57952206729743</v>
      </c>
      <c r="AL263" s="924">
        <f ca="1">AK263/'302'!I$24</f>
        <v>0.99306531243257057</v>
      </c>
      <c r="AM263" s="924">
        <f ca="1">0.8*(AK263*30+'302'!D$17*0.34*30*1)</f>
        <v>14416.095529615141</v>
      </c>
      <c r="AN263" s="954">
        <f ca="1">IF(AM263&lt;User_sheet!B$50,Y263,0)</f>
        <v>0</v>
      </c>
      <c r="AO263" s="954">
        <f ca="1">20-(User_sheet!B$57/(AK263+'302'!D$17*1*0.34))</f>
        <v>10.510606722952808</v>
      </c>
      <c r="AP263" s="954">
        <f ca="1">IF(AO263&lt;User_sheet!B$59,0,BC263*AA263)</f>
        <v>0</v>
      </c>
      <c r="AR263" s="2">
        <v>0.32</v>
      </c>
      <c r="AS263" s="2">
        <v>2.1</v>
      </c>
      <c r="AT263" s="2">
        <v>7.9</v>
      </c>
      <c r="AU263" s="2">
        <v>2</v>
      </c>
      <c r="AV263" s="2">
        <v>3.3</v>
      </c>
      <c r="AW263" s="2">
        <v>14356</v>
      </c>
      <c r="AX263" s="2">
        <v>74715.401027665983</v>
      </c>
      <c r="AY263" s="2">
        <v>67352.647733737584</v>
      </c>
      <c r="AZ263" s="27">
        <v>0</v>
      </c>
      <c r="BA263" s="27">
        <v>0</v>
      </c>
      <c r="BB263" s="2">
        <v>0.6</v>
      </c>
      <c r="BC263" s="30">
        <v>0</v>
      </c>
      <c r="BD263" s="34">
        <v>0</v>
      </c>
      <c r="BE263" s="34">
        <v>0</v>
      </c>
      <c r="BF263" s="40">
        <v>1</v>
      </c>
      <c r="BG263" s="34">
        <v>0</v>
      </c>
      <c r="BH263" s="34">
        <v>1</v>
      </c>
      <c r="BI263" s="40">
        <v>0</v>
      </c>
      <c r="BJ263" s="34">
        <v>0</v>
      </c>
      <c r="BK263" s="34">
        <v>0</v>
      </c>
      <c r="BL263" s="34">
        <v>0</v>
      </c>
      <c r="BM263" s="40">
        <v>1</v>
      </c>
      <c r="BN263" s="958">
        <v>0</v>
      </c>
      <c r="BO263" s="959">
        <v>14.9</v>
      </c>
      <c r="BP263" s="1018">
        <f t="shared" ca="1" si="348"/>
        <v>215.65</v>
      </c>
      <c r="BQ263" s="1018">
        <f t="shared" ca="1" si="349"/>
        <v>486.07500000000005</v>
      </c>
      <c r="BR263" s="1018">
        <f t="shared" ca="1" si="350"/>
        <v>117.8</v>
      </c>
      <c r="BS263" s="1018">
        <f t="shared" ca="1" si="351"/>
        <v>103.97</v>
      </c>
      <c r="BT263" s="1018">
        <f t="shared" ca="1" si="352"/>
        <v>53.9</v>
      </c>
      <c r="BU263" s="1018">
        <f t="shared" ca="1" si="353"/>
        <v>62.730000000000004</v>
      </c>
      <c r="BV263" s="1018">
        <f t="shared" ca="1" si="354"/>
        <v>4.3</v>
      </c>
      <c r="BW263" s="1018">
        <v>0</v>
      </c>
      <c r="BX263" s="1018">
        <f t="shared" ca="1" si="355"/>
        <v>35.715007579585652</v>
      </c>
      <c r="BY263" s="1018">
        <f t="shared" ca="1" si="356"/>
        <v>160.07111436950146</v>
      </c>
      <c r="BZ263" s="1018">
        <f t="shared" ca="1" si="295"/>
        <v>59.306682611142385</v>
      </c>
      <c r="CA263" s="1018">
        <f t="shared" ca="1" si="296"/>
        <v>125.45999994981604</v>
      </c>
      <c r="CB263" s="1018">
        <f t="shared" ca="1" si="357"/>
        <v>9.0267175572519083</v>
      </c>
      <c r="CC263" s="1018">
        <f t="shared" si="297"/>
        <v>0</v>
      </c>
      <c r="CD263" s="1018">
        <f t="shared" ca="1" si="358"/>
        <v>389.57952206729743</v>
      </c>
      <c r="CE263" s="1018">
        <f t="shared" ca="1" si="362"/>
        <v>174.83241983450787</v>
      </c>
      <c r="CF263" s="1018">
        <f t="shared" ca="1" si="299"/>
        <v>16.932358257054158</v>
      </c>
      <c r="CG263" s="1018">
        <f t="shared" ca="1" si="300"/>
        <v>28191.699203664892</v>
      </c>
    </row>
    <row r="264" spans="4:85" s="14" customFormat="1" x14ac:dyDescent="0.25">
      <c r="D264" s="15"/>
      <c r="F264" s="15"/>
      <c r="H264" s="15"/>
      <c r="J264" s="15"/>
      <c r="K264" s="16"/>
      <c r="L264" s="15"/>
      <c r="M264" s="15"/>
      <c r="N264" s="15"/>
      <c r="O264" s="15"/>
      <c r="P264" s="15"/>
      <c r="Q264" s="15"/>
      <c r="R264" s="15"/>
      <c r="S264" s="15"/>
      <c r="T264" s="80"/>
      <c r="U264" s="295"/>
      <c r="V264" s="292"/>
      <c r="W264" s="292"/>
      <c r="X264" s="292"/>
      <c r="Y264" s="277"/>
      <c r="Z264" s="292"/>
      <c r="AA264" s="292"/>
      <c r="AB264" s="292"/>
      <c r="AC264" s="292"/>
      <c r="AD264" s="277"/>
      <c r="AE264" s="292"/>
      <c r="AF264" s="292"/>
      <c r="AG264" s="277"/>
      <c r="AH264" s="313"/>
      <c r="AJ264" s="314"/>
      <c r="AK264" s="1018">
        <f t="shared" si="294"/>
        <v>0</v>
      </c>
      <c r="AL264" s="928"/>
      <c r="AM264" s="928"/>
      <c r="AN264" s="941"/>
      <c r="AO264" s="941"/>
      <c r="AP264" s="941"/>
      <c r="AQ264" s="314"/>
      <c r="AR264" s="28"/>
      <c r="AS264" s="28"/>
      <c r="AT264" s="28"/>
      <c r="AU264" s="28"/>
      <c r="AV264" s="28"/>
      <c r="AW264" s="28"/>
      <c r="AX264" s="28"/>
      <c r="AY264" s="28"/>
      <c r="AZ264" s="28"/>
      <c r="BA264" s="28"/>
      <c r="BB264" s="28"/>
      <c r="BC264" s="45"/>
      <c r="BD264" s="277"/>
      <c r="BE264" s="277"/>
      <c r="BF264" s="49"/>
      <c r="BG264" s="28"/>
      <c r="BH264" s="28"/>
      <c r="BI264" s="49"/>
      <c r="BJ264" s="28"/>
      <c r="BK264" s="28"/>
      <c r="BL264" s="28"/>
      <c r="BM264" s="49"/>
      <c r="BN264" s="277"/>
      <c r="BO264" s="49"/>
      <c r="BP264" s="928"/>
      <c r="BQ264" s="928"/>
      <c r="BR264" s="928"/>
      <c r="BS264" s="928"/>
      <c r="BT264" s="928"/>
      <c r="BU264" s="928"/>
      <c r="BV264" s="928"/>
      <c r="BW264" s="928"/>
      <c r="BX264" s="928"/>
      <c r="BY264" s="928"/>
      <c r="BZ264" s="928"/>
      <c r="CA264" s="928"/>
      <c r="CB264" s="928"/>
      <c r="CC264" s="928"/>
      <c r="CD264" s="928"/>
      <c r="CE264" s="928"/>
      <c r="CF264" s="928"/>
      <c r="CG264" s="928"/>
    </row>
    <row r="265" spans="4:85" x14ac:dyDescent="0.25">
      <c r="D265" s="1"/>
      <c r="F265" s="1"/>
      <c r="G265" s="3"/>
      <c r="H265" s="6"/>
      <c r="I265" s="3"/>
      <c r="J265" s="6"/>
      <c r="K265" s="8"/>
      <c r="L265" s="6"/>
      <c r="M265" s="1"/>
      <c r="N265" s="1"/>
      <c r="O265" s="1"/>
      <c r="P265" s="1"/>
      <c r="Q265" s="1" t="s">
        <v>16</v>
      </c>
      <c r="R265" s="4"/>
      <c r="S265" s="1"/>
      <c r="T265" s="77"/>
      <c r="U265" s="294"/>
      <c r="W265" s="176">
        <f t="shared" ref="W265:W275" si="363">(V241-W241)+(V217-W217)</f>
        <v>0</v>
      </c>
      <c r="X265" s="176">
        <f>W265</f>
        <v>0</v>
      </c>
      <c r="Y265" s="34">
        <f>X265/Calculation_sheet!M$67</f>
        <v>0</v>
      </c>
      <c r="Z265" s="176">
        <f ca="1">IF(AN265&gt;0,Y265*Calculation_sheet!C$87,0)</f>
        <v>0</v>
      </c>
      <c r="AA265" s="176">
        <f ca="1">Y265-Z265</f>
        <v>0</v>
      </c>
      <c r="AB265" s="176">
        <f ca="1">IF(AP265&gt;0,AA265*Calculation_sheet!C$94,0)</f>
        <v>0</v>
      </c>
      <c r="AC265" s="176">
        <f t="shared" ref="AC265:AE275" ca="1" si="364">AA265-AB265</f>
        <v>0</v>
      </c>
      <c r="AD265" s="958">
        <f ca="1">AC265*Calculation_sheet!C$99</f>
        <v>0</v>
      </c>
      <c r="AE265" s="176">
        <f t="shared" ca="1" si="364"/>
        <v>0</v>
      </c>
      <c r="AF265" s="176">
        <f ca="1">Y265-AB265</f>
        <v>0</v>
      </c>
      <c r="AG265" s="958">
        <f ca="1">AF265*User_sheet!B$77/100</f>
        <v>0</v>
      </c>
      <c r="AH265" s="313"/>
      <c r="AI265" s="3">
        <v>302</v>
      </c>
      <c r="AK265" s="1018">
        <f t="shared" ca="1" si="294"/>
        <v>225.77967656946785</v>
      </c>
      <c r="AL265" s="924">
        <f ca="1">AK265/'302'!I$24</f>
        <v>0.57552810749290806</v>
      </c>
      <c r="AM265" s="924">
        <f ca="1">0.8*(AK265*30+'302'!D$17*0.34*30*1)</f>
        <v>10484.89923766723</v>
      </c>
      <c r="AN265" s="954">
        <f ca="1">IF(AM265&lt;User_sheet!B$50,Y265,0)</f>
        <v>0</v>
      </c>
      <c r="AO265" s="954">
        <f ca="1">20-(User_sheet!B$57/(AK265+'302'!D$17*1*0.34))</f>
        <v>6.9526643128297287</v>
      </c>
      <c r="AP265" s="954">
        <f ca="1">IF(AO265&lt;User_sheet!B$59,0,BC265*AA265)</f>
        <v>0</v>
      </c>
      <c r="AR265" s="2">
        <v>0.32</v>
      </c>
      <c r="AS265" s="2">
        <v>0.43</v>
      </c>
      <c r="AT265" s="2">
        <v>0.43</v>
      </c>
      <c r="AU265" s="2">
        <v>2</v>
      </c>
      <c r="AV265" s="2">
        <v>3.3</v>
      </c>
      <c r="AW265" s="2">
        <v>14356</v>
      </c>
      <c r="AX265" s="2">
        <v>74834</v>
      </c>
      <c r="AY265" s="2">
        <v>69246</v>
      </c>
      <c r="AZ265" s="27">
        <v>0</v>
      </c>
      <c r="BA265" s="27">
        <v>0</v>
      </c>
      <c r="BB265" s="2">
        <v>0.6</v>
      </c>
      <c r="BC265" s="30">
        <v>1</v>
      </c>
      <c r="BD265" s="34">
        <v>0</v>
      </c>
      <c r="BE265" s="34">
        <v>0</v>
      </c>
      <c r="BF265" s="40">
        <v>0</v>
      </c>
      <c r="BG265" s="34">
        <v>1</v>
      </c>
      <c r="BH265" s="34">
        <v>0</v>
      </c>
      <c r="BI265" s="40">
        <v>0</v>
      </c>
      <c r="BJ265" s="34">
        <v>1</v>
      </c>
      <c r="BK265" s="34">
        <v>0</v>
      </c>
      <c r="BL265" s="34">
        <v>0</v>
      </c>
      <c r="BM265" s="40">
        <v>0</v>
      </c>
      <c r="BN265" s="958">
        <v>0.02</v>
      </c>
      <c r="BO265" s="959">
        <v>2.5</v>
      </c>
      <c r="BP265" s="1018">
        <f t="shared" ref="BP265:BP275" ca="1" si="365">INDIRECT("'"&amp;AI265&amp;"'!"&amp;"B2")</f>
        <v>215.65</v>
      </c>
      <c r="BQ265" s="1018">
        <f t="shared" ref="BQ265:BQ275" ca="1" si="366">INDIRECT("'"&amp;AI265&amp;"'!"&amp;"C12")+INDIRECT("'"&amp;AI265&amp;"'!"&amp;"C13")+INDIRECT("'"&amp;AI265&amp;"'!"&amp;"C14")+INDIRECT("'"&amp;AI265&amp;"'!"&amp;"C15")+INDIRECT("'"&amp;AI265&amp;"'!"&amp;"C17")</f>
        <v>486.07500000000005</v>
      </c>
      <c r="BR265" s="1018">
        <f t="shared" ref="BR265:BR275" ca="1" si="367">INDIRECT("'"&amp;AI265&amp;"'!"&amp;"G5")</f>
        <v>117.8</v>
      </c>
      <c r="BS265" s="1018">
        <f t="shared" ref="BS265:BS275" ca="1" si="368">INDIRECT("'"&amp;AI265&amp;"'!"&amp;"G4")</f>
        <v>103.97</v>
      </c>
      <c r="BT265" s="1018">
        <f t="shared" ref="BT265:BT275" ca="1" si="369">INDIRECT("'"&amp;AI265&amp;"'!"&amp;"G6")</f>
        <v>53.9</v>
      </c>
      <c r="BU265" s="1018">
        <f t="shared" ref="BU265:BU275" ca="1" si="370">INDIRECT("'"&amp;AI265&amp;"'!"&amp;"G2")</f>
        <v>62.730000000000004</v>
      </c>
      <c r="BV265" s="1018">
        <f t="shared" ref="BV265:BV275" ca="1" si="371">INDIRECT("'"&amp;AI265&amp;"'!"&amp;"G3")</f>
        <v>4.3</v>
      </c>
      <c r="BW265" s="1018">
        <v>0</v>
      </c>
      <c r="BX265" s="1018">
        <f t="shared" ref="BX265:BX275" ca="1" si="372">IF(BR265=0,0,1/(1/(BR265*$BY$3)+1/(BR265*AR265)+1/(BR265*$BY$4)))</f>
        <v>35.715007579585652</v>
      </c>
      <c r="BY265" s="1018">
        <f t="shared" ref="BY265:BY275" ca="1" si="373">IF(BS265=0,0,1/(1/(BS265*$BY$3)+1/(BS265*AS265)+1/(BS265*$BY$4)))</f>
        <v>41.606061546097528</v>
      </c>
      <c r="BZ265" s="1018">
        <f t="shared" ca="1" si="295"/>
        <v>7.1178899367167148</v>
      </c>
      <c r="CA265" s="1018">
        <f t="shared" ca="1" si="296"/>
        <v>125.45999994981604</v>
      </c>
      <c r="CB265" s="1018">
        <f t="shared" ref="CB265:CB275" ca="1" si="374">IF(BV265=0,0,1/(1/(BV265*$BY$3)+1/(BV265*AV265)+1/(BV265*$BY$4)))</f>
        <v>9.0267175572519083</v>
      </c>
      <c r="CC265" s="1018">
        <f t="shared" si="297"/>
        <v>0</v>
      </c>
      <c r="CD265" s="1018">
        <f t="shared" ref="CD265:CD275" ca="1" si="375">SUM(BX265:CC265)+(BR265+BS265+BT265+BU265+BV265)*BN265</f>
        <v>225.77967656946785</v>
      </c>
      <c r="CE265" s="1018">
        <f ca="1">0.34*BO265*(1/25)^0.66*(BR265+BS265+BU265+BV265)+0.6*BQ265*0.34</f>
        <v>128.49359862995101</v>
      </c>
      <c r="CF265" s="1018">
        <f t="shared" ca="1" si="299"/>
        <v>10.628198255982566</v>
      </c>
      <c r="CG265" s="1018">
        <f t="shared" ca="1" si="300"/>
        <v>17695.524968280733</v>
      </c>
    </row>
    <row r="266" spans="4:85" x14ac:dyDescent="0.25">
      <c r="D266" s="1"/>
      <c r="F266" s="1"/>
      <c r="G266" s="3"/>
      <c r="H266" s="6"/>
      <c r="I266" s="3"/>
      <c r="J266" s="6"/>
      <c r="K266" s="8"/>
      <c r="L266" s="6"/>
      <c r="M266" s="1"/>
      <c r="N266" s="1"/>
      <c r="O266" s="1" t="s">
        <v>18</v>
      </c>
      <c r="P266" s="4"/>
      <c r="Q266" s="1" t="s">
        <v>7</v>
      </c>
      <c r="R266" s="4"/>
      <c r="S266" s="1"/>
      <c r="T266" s="77"/>
      <c r="U266" s="294"/>
      <c r="W266" s="176">
        <f t="shared" si="363"/>
        <v>0</v>
      </c>
      <c r="X266" s="176">
        <f t="shared" ref="X266:X275" si="376">W266</f>
        <v>0</v>
      </c>
      <c r="Y266" s="34">
        <f>X266/Calculation_sheet!M$67</f>
        <v>0</v>
      </c>
      <c r="Z266" s="176">
        <f ca="1">IF(AN266&gt;0,Y266*Calculation_sheet!C$87,0)</f>
        <v>0</v>
      </c>
      <c r="AA266" s="176">
        <f t="shared" ref="AA266:AA329" ca="1" si="377">Y266-Z266</f>
        <v>0</v>
      </c>
      <c r="AB266" s="176">
        <f ca="1">IF(AP266&gt;0,AA266*Calculation_sheet!C$94,0)</f>
        <v>0</v>
      </c>
      <c r="AC266" s="176">
        <f t="shared" ca="1" si="364"/>
        <v>0</v>
      </c>
      <c r="AD266" s="958">
        <f ca="1">AC266*Calculation_sheet!C$99</f>
        <v>0</v>
      </c>
      <c r="AE266" s="176">
        <f t="shared" ca="1" si="364"/>
        <v>0</v>
      </c>
      <c r="AF266" s="176">
        <f t="shared" ref="AF266:AF275" ca="1" si="378">Y266-AB266</f>
        <v>0</v>
      </c>
      <c r="AG266" s="958">
        <f ca="1">AF266*User_sheet!B$77/100</f>
        <v>0</v>
      </c>
      <c r="AH266" s="313"/>
      <c r="AI266" s="3">
        <v>302</v>
      </c>
      <c r="AK266" s="1018">
        <f t="shared" ca="1" si="294"/>
        <v>225.77967656946785</v>
      </c>
      <c r="AL266" s="924">
        <f ca="1">AK266/'302'!I$24</f>
        <v>0.57552810749290806</v>
      </c>
      <c r="AM266" s="924">
        <f ca="1">0.8*(AK266*30+'302'!D$17*0.34*30*1)</f>
        <v>10484.89923766723</v>
      </c>
      <c r="AN266" s="954">
        <f ca="1">IF(AM266&lt;User_sheet!B$50,Y266,0)</f>
        <v>0</v>
      </c>
      <c r="AO266" s="954">
        <f ca="1">20-(User_sheet!B$57/(AK266+'302'!D$17*1*0.34))</f>
        <v>6.9526643128297287</v>
      </c>
      <c r="AP266" s="954">
        <f ca="1">IF(AO266&lt;User_sheet!B$59,0,BC266*AA266)</f>
        <v>0</v>
      </c>
      <c r="AR266" s="2">
        <v>0.32</v>
      </c>
      <c r="AS266" s="2">
        <v>0.43</v>
      </c>
      <c r="AT266" s="2">
        <v>0.43</v>
      </c>
      <c r="AU266" s="2">
        <v>2</v>
      </c>
      <c r="AV266" s="2">
        <v>3.3</v>
      </c>
      <c r="AW266" s="2">
        <v>14356</v>
      </c>
      <c r="AX266" s="2">
        <v>74834</v>
      </c>
      <c r="AY266" s="2">
        <v>69246</v>
      </c>
      <c r="AZ266" s="27">
        <v>0</v>
      </c>
      <c r="BA266" s="27">
        <v>0</v>
      </c>
      <c r="BB266" s="2">
        <v>0.6</v>
      </c>
      <c r="BC266" s="30">
        <v>1</v>
      </c>
      <c r="BD266" s="34">
        <v>0</v>
      </c>
      <c r="BE266" s="34">
        <v>0</v>
      </c>
      <c r="BF266" s="40">
        <v>0</v>
      </c>
      <c r="BG266" s="34">
        <v>1</v>
      </c>
      <c r="BH266" s="34">
        <v>0</v>
      </c>
      <c r="BI266" s="40">
        <v>0</v>
      </c>
      <c r="BJ266" s="34">
        <v>0</v>
      </c>
      <c r="BK266" s="34">
        <v>0</v>
      </c>
      <c r="BL266" s="34">
        <v>1</v>
      </c>
      <c r="BM266" s="40">
        <v>0</v>
      </c>
      <c r="BN266" s="958">
        <v>0.02</v>
      </c>
      <c r="BO266" s="959">
        <v>2.5</v>
      </c>
      <c r="BP266" s="1018">
        <f t="shared" ca="1" si="365"/>
        <v>215.65</v>
      </c>
      <c r="BQ266" s="1018">
        <f t="shared" ca="1" si="366"/>
        <v>486.07500000000005</v>
      </c>
      <c r="BR266" s="1018">
        <f t="shared" ca="1" si="367"/>
        <v>117.8</v>
      </c>
      <c r="BS266" s="1018">
        <f t="shared" ca="1" si="368"/>
        <v>103.97</v>
      </c>
      <c r="BT266" s="1018">
        <f t="shared" ca="1" si="369"/>
        <v>53.9</v>
      </c>
      <c r="BU266" s="1018">
        <f t="shared" ca="1" si="370"/>
        <v>62.730000000000004</v>
      </c>
      <c r="BV266" s="1018">
        <f t="shared" ca="1" si="371"/>
        <v>4.3</v>
      </c>
      <c r="BW266" s="1018">
        <v>0</v>
      </c>
      <c r="BX266" s="1018">
        <f t="shared" ca="1" si="372"/>
        <v>35.715007579585652</v>
      </c>
      <c r="BY266" s="1018">
        <f t="shared" ca="1" si="373"/>
        <v>41.606061546097528</v>
      </c>
      <c r="BZ266" s="1018">
        <f t="shared" ca="1" si="295"/>
        <v>7.1178899367167148</v>
      </c>
      <c r="CA266" s="1018">
        <f t="shared" ca="1" si="296"/>
        <v>125.45999994981604</v>
      </c>
      <c r="CB266" s="1018">
        <f t="shared" ca="1" si="374"/>
        <v>9.0267175572519083</v>
      </c>
      <c r="CC266" s="1018">
        <f t="shared" si="297"/>
        <v>0</v>
      </c>
      <c r="CD266" s="1018">
        <f t="shared" ca="1" si="375"/>
        <v>225.77967656946785</v>
      </c>
      <c r="CE266" s="1018">
        <f t="shared" ref="CE266:CE275" ca="1" si="379">0.34*BO266*(1/25)^0.66*(BR266+BS266+BU266+BV266)+0.6*BQ266*0.34</f>
        <v>128.49359862995101</v>
      </c>
      <c r="CF266" s="1018">
        <f t="shared" ca="1" si="299"/>
        <v>10.628198255982566</v>
      </c>
      <c r="CG266" s="1018">
        <f t="shared" ca="1" si="300"/>
        <v>17695.524968280733</v>
      </c>
    </row>
    <row r="267" spans="4:85" x14ac:dyDescent="0.25">
      <c r="D267" s="1"/>
      <c r="F267" s="1"/>
      <c r="G267" s="3"/>
      <c r="H267" s="6"/>
      <c r="I267" s="3"/>
      <c r="J267" s="6"/>
      <c r="K267" s="8"/>
      <c r="L267" s="6"/>
      <c r="M267" s="1"/>
      <c r="N267" s="1"/>
      <c r="O267" s="1"/>
      <c r="P267" s="1"/>
      <c r="Q267" s="1" t="s">
        <v>16</v>
      </c>
      <c r="R267" s="4"/>
      <c r="S267" s="1"/>
      <c r="T267" s="77"/>
      <c r="U267" s="294"/>
      <c r="W267" s="176">
        <f t="shared" si="363"/>
        <v>0</v>
      </c>
      <c r="X267" s="176">
        <f t="shared" si="376"/>
        <v>0</v>
      </c>
      <c r="Y267" s="34">
        <f>X267/Calculation_sheet!M$67</f>
        <v>0</v>
      </c>
      <c r="Z267" s="176">
        <f ca="1">IF(AN267&gt;0,Y267*Calculation_sheet!C$87,0)</f>
        <v>0</v>
      </c>
      <c r="AA267" s="176">
        <f t="shared" ca="1" si="377"/>
        <v>0</v>
      </c>
      <c r="AB267" s="176">
        <f ca="1">IF(AP267&gt;0,AA267*Calculation_sheet!C$94,0)</f>
        <v>0</v>
      </c>
      <c r="AC267" s="176">
        <f t="shared" ca="1" si="364"/>
        <v>0</v>
      </c>
      <c r="AD267" s="958">
        <f ca="1">AC267*Calculation_sheet!C$99</f>
        <v>0</v>
      </c>
      <c r="AE267" s="176">
        <f t="shared" ca="1" si="364"/>
        <v>0</v>
      </c>
      <c r="AF267" s="176">
        <f t="shared" ca="1" si="378"/>
        <v>0</v>
      </c>
      <c r="AG267" s="958">
        <f ca="1">AF267*User_sheet!B$77/100</f>
        <v>0</v>
      </c>
      <c r="AH267" s="313"/>
      <c r="AI267" s="3">
        <v>302</v>
      </c>
      <c r="AK267" s="1018">
        <f t="shared" ca="1" si="294"/>
        <v>225.77967656946785</v>
      </c>
      <c r="AL267" s="924">
        <f ca="1">AK267/'302'!I$24</f>
        <v>0.57552810749290806</v>
      </c>
      <c r="AM267" s="924">
        <f ca="1">0.8*(AK267*30+'302'!D$17*0.34*30*1)</f>
        <v>10484.89923766723</v>
      </c>
      <c r="AN267" s="954">
        <f ca="1">IF(AM267&lt;User_sheet!B$50,Y267,0)</f>
        <v>0</v>
      </c>
      <c r="AO267" s="954">
        <f ca="1">20-(User_sheet!B$57/(AK267+'302'!D$17*1*0.34))</f>
        <v>6.9526643128297287</v>
      </c>
      <c r="AP267" s="954">
        <f ca="1">IF(AO267&lt;User_sheet!B$59,0,BC267*AA267)</f>
        <v>0</v>
      </c>
      <c r="AR267" s="2">
        <v>0.32</v>
      </c>
      <c r="AS267" s="2">
        <v>0.43</v>
      </c>
      <c r="AT267" s="2">
        <v>0.43</v>
      </c>
      <c r="AU267" s="2">
        <v>2</v>
      </c>
      <c r="AV267" s="2">
        <v>3.3</v>
      </c>
      <c r="AW267" s="2">
        <v>14356</v>
      </c>
      <c r="AX267" s="2">
        <v>74834</v>
      </c>
      <c r="AY267" s="2">
        <v>69246</v>
      </c>
      <c r="AZ267" s="27">
        <v>0</v>
      </c>
      <c r="BA267" s="27">
        <v>0</v>
      </c>
      <c r="BB267" s="2">
        <v>0.6</v>
      </c>
      <c r="BC267" s="30">
        <v>1</v>
      </c>
      <c r="BD267" s="34">
        <v>0</v>
      </c>
      <c r="BE267" s="34">
        <v>0</v>
      </c>
      <c r="BF267" s="40">
        <v>0</v>
      </c>
      <c r="BG267" s="34">
        <v>0</v>
      </c>
      <c r="BH267" s="34">
        <v>1</v>
      </c>
      <c r="BI267" s="40">
        <v>0</v>
      </c>
      <c r="BJ267" s="34">
        <v>1</v>
      </c>
      <c r="BK267" s="34">
        <v>0</v>
      </c>
      <c r="BL267" s="34">
        <v>0</v>
      </c>
      <c r="BM267" s="40">
        <v>0</v>
      </c>
      <c r="BN267" s="958">
        <v>0.02</v>
      </c>
      <c r="BO267" s="959">
        <v>2.5</v>
      </c>
      <c r="BP267" s="1018">
        <f t="shared" ca="1" si="365"/>
        <v>215.65</v>
      </c>
      <c r="BQ267" s="1018">
        <f t="shared" ca="1" si="366"/>
        <v>486.07500000000005</v>
      </c>
      <c r="BR267" s="1018">
        <f t="shared" ca="1" si="367"/>
        <v>117.8</v>
      </c>
      <c r="BS267" s="1018">
        <f t="shared" ca="1" si="368"/>
        <v>103.97</v>
      </c>
      <c r="BT267" s="1018">
        <f t="shared" ca="1" si="369"/>
        <v>53.9</v>
      </c>
      <c r="BU267" s="1018">
        <f t="shared" ca="1" si="370"/>
        <v>62.730000000000004</v>
      </c>
      <c r="BV267" s="1018">
        <f t="shared" ca="1" si="371"/>
        <v>4.3</v>
      </c>
      <c r="BW267" s="1018">
        <v>0</v>
      </c>
      <c r="BX267" s="1018">
        <f t="shared" ca="1" si="372"/>
        <v>35.715007579585652</v>
      </c>
      <c r="BY267" s="1018">
        <f t="shared" ca="1" si="373"/>
        <v>41.606061546097528</v>
      </c>
      <c r="BZ267" s="1018">
        <f t="shared" ca="1" si="295"/>
        <v>7.1178899367167148</v>
      </c>
      <c r="CA267" s="1018">
        <f t="shared" ca="1" si="296"/>
        <v>125.45999994981604</v>
      </c>
      <c r="CB267" s="1018">
        <f t="shared" ca="1" si="374"/>
        <v>9.0267175572519083</v>
      </c>
      <c r="CC267" s="1018">
        <f t="shared" si="297"/>
        <v>0</v>
      </c>
      <c r="CD267" s="1018">
        <f t="shared" ca="1" si="375"/>
        <v>225.77967656946785</v>
      </c>
      <c r="CE267" s="1018">
        <f t="shared" ca="1" si="379"/>
        <v>128.49359862995101</v>
      </c>
      <c r="CF267" s="1018">
        <f t="shared" ca="1" si="299"/>
        <v>10.628198255982566</v>
      </c>
      <c r="CG267" s="1018">
        <f t="shared" ca="1" si="300"/>
        <v>17695.524968280733</v>
      </c>
    </row>
    <row r="268" spans="4:85" x14ac:dyDescent="0.25">
      <c r="D268" s="1"/>
      <c r="F268" s="1"/>
      <c r="G268" s="3"/>
      <c r="H268" s="6"/>
      <c r="I268" s="3"/>
      <c r="J268" s="6"/>
      <c r="K268" s="8"/>
      <c r="L268" s="6"/>
      <c r="M268" s="1" t="s">
        <v>16</v>
      </c>
      <c r="N268" s="4"/>
      <c r="O268" s="1" t="s">
        <v>19</v>
      </c>
      <c r="P268" s="4"/>
      <c r="Q268" s="1" t="s">
        <v>7</v>
      </c>
      <c r="R268" s="4"/>
      <c r="S268" s="1"/>
      <c r="T268" s="77"/>
      <c r="U268" s="294"/>
      <c r="W268" s="176">
        <f t="shared" si="363"/>
        <v>0</v>
      </c>
      <c r="X268" s="176">
        <f t="shared" si="376"/>
        <v>0</v>
      </c>
      <c r="Y268" s="34">
        <f>X268/Calculation_sheet!M$67</f>
        <v>0</v>
      </c>
      <c r="Z268" s="176">
        <f ca="1">IF(AN268&gt;0,Y268*Calculation_sheet!C$87,0)</f>
        <v>0</v>
      </c>
      <c r="AA268" s="176">
        <f t="shared" ca="1" si="377"/>
        <v>0</v>
      </c>
      <c r="AB268" s="176">
        <f ca="1">IF(AP268&gt;0,AA268*Calculation_sheet!C$94,0)</f>
        <v>0</v>
      </c>
      <c r="AC268" s="176">
        <f t="shared" ca="1" si="364"/>
        <v>0</v>
      </c>
      <c r="AD268" s="958">
        <f ca="1">AC268*Calculation_sheet!C$99</f>
        <v>0</v>
      </c>
      <c r="AE268" s="176">
        <f t="shared" ca="1" si="364"/>
        <v>0</v>
      </c>
      <c r="AF268" s="176">
        <f t="shared" ca="1" si="378"/>
        <v>0</v>
      </c>
      <c r="AG268" s="958">
        <f ca="1">AF268*User_sheet!B$77/100</f>
        <v>0</v>
      </c>
      <c r="AH268" s="313"/>
      <c r="AI268" s="3">
        <v>302</v>
      </c>
      <c r="AK268" s="1018">
        <f t="shared" ca="1" si="294"/>
        <v>225.77967656946785</v>
      </c>
      <c r="AL268" s="924">
        <f ca="1">AK268/'302'!I$24</f>
        <v>0.57552810749290806</v>
      </c>
      <c r="AM268" s="924">
        <f ca="1">0.8*(AK268*30+'302'!D$17*0.34*30*1)</f>
        <v>10484.89923766723</v>
      </c>
      <c r="AN268" s="954">
        <f ca="1">IF(AM268&lt;User_sheet!B$50,Y268,0)</f>
        <v>0</v>
      </c>
      <c r="AO268" s="954">
        <f ca="1">20-(User_sheet!B$57/(AK268+'302'!D$17*1*0.34))</f>
        <v>6.9526643128297287</v>
      </c>
      <c r="AP268" s="954">
        <f ca="1">IF(AO268&lt;User_sheet!B$59,0,BC268*AA268)</f>
        <v>0</v>
      </c>
      <c r="AR268" s="2">
        <v>0.32</v>
      </c>
      <c r="AS268" s="2">
        <v>0.43</v>
      </c>
      <c r="AT268" s="2">
        <v>0.43</v>
      </c>
      <c r="AU268" s="2">
        <v>2</v>
      </c>
      <c r="AV268" s="2">
        <v>3.3</v>
      </c>
      <c r="AW268" s="2">
        <v>14356</v>
      </c>
      <c r="AX268" s="2">
        <v>74834</v>
      </c>
      <c r="AY268" s="2">
        <v>69246</v>
      </c>
      <c r="AZ268" s="27">
        <v>0</v>
      </c>
      <c r="BA268" s="27">
        <v>0</v>
      </c>
      <c r="BB268" s="2">
        <v>0.6</v>
      </c>
      <c r="BC268" s="30">
        <v>1</v>
      </c>
      <c r="BD268" s="34">
        <v>0</v>
      </c>
      <c r="BE268" s="34">
        <v>0</v>
      </c>
      <c r="BF268" s="40">
        <v>0</v>
      </c>
      <c r="BG268" s="34">
        <v>0</v>
      </c>
      <c r="BH268" s="34">
        <v>1</v>
      </c>
      <c r="BI268" s="40">
        <v>0</v>
      </c>
      <c r="BJ268" s="34">
        <v>0</v>
      </c>
      <c r="BK268" s="34">
        <v>0</v>
      </c>
      <c r="BL268" s="34">
        <v>1</v>
      </c>
      <c r="BM268" s="40">
        <v>0</v>
      </c>
      <c r="BN268" s="958">
        <v>0.02</v>
      </c>
      <c r="BO268" s="959">
        <v>2.5</v>
      </c>
      <c r="BP268" s="1018">
        <f t="shared" ca="1" si="365"/>
        <v>215.65</v>
      </c>
      <c r="BQ268" s="1018">
        <f t="shared" ca="1" si="366"/>
        <v>486.07500000000005</v>
      </c>
      <c r="BR268" s="1018">
        <f t="shared" ca="1" si="367"/>
        <v>117.8</v>
      </c>
      <c r="BS268" s="1018">
        <f t="shared" ca="1" si="368"/>
        <v>103.97</v>
      </c>
      <c r="BT268" s="1018">
        <f t="shared" ca="1" si="369"/>
        <v>53.9</v>
      </c>
      <c r="BU268" s="1018">
        <f t="shared" ca="1" si="370"/>
        <v>62.730000000000004</v>
      </c>
      <c r="BV268" s="1018">
        <f t="shared" ca="1" si="371"/>
        <v>4.3</v>
      </c>
      <c r="BW268" s="1018">
        <v>0</v>
      </c>
      <c r="BX268" s="1018">
        <f t="shared" ca="1" si="372"/>
        <v>35.715007579585652</v>
      </c>
      <c r="BY268" s="1018">
        <f t="shared" ca="1" si="373"/>
        <v>41.606061546097528</v>
      </c>
      <c r="BZ268" s="1018">
        <f t="shared" ca="1" si="295"/>
        <v>7.1178899367167148</v>
      </c>
      <c r="CA268" s="1018">
        <f t="shared" ca="1" si="296"/>
        <v>125.45999994981604</v>
      </c>
      <c r="CB268" s="1018">
        <f t="shared" ca="1" si="374"/>
        <v>9.0267175572519083</v>
      </c>
      <c r="CC268" s="1018">
        <f t="shared" si="297"/>
        <v>0</v>
      </c>
      <c r="CD268" s="1018">
        <f t="shared" ca="1" si="375"/>
        <v>225.77967656946785</v>
      </c>
      <c r="CE268" s="1018">
        <f t="shared" ca="1" si="379"/>
        <v>128.49359862995101</v>
      </c>
      <c r="CF268" s="1018">
        <f t="shared" ca="1" si="299"/>
        <v>10.628198255982566</v>
      </c>
      <c r="CG268" s="1018">
        <f t="shared" ca="1" si="300"/>
        <v>17695.524968280733</v>
      </c>
    </row>
    <row r="269" spans="4:85" x14ac:dyDescent="0.25">
      <c r="D269" s="1"/>
      <c r="F269" s="1"/>
      <c r="G269" s="3"/>
      <c r="H269" s="6"/>
      <c r="I269" s="3"/>
      <c r="J269" s="6"/>
      <c r="K269" s="8"/>
      <c r="L269" s="6"/>
      <c r="M269" s="1"/>
      <c r="N269" s="1"/>
      <c r="O269" s="1"/>
      <c r="P269" s="1"/>
      <c r="Q269" s="1" t="s">
        <v>22</v>
      </c>
      <c r="R269" s="4"/>
      <c r="S269" s="1"/>
      <c r="T269" s="77"/>
      <c r="U269" s="294"/>
      <c r="W269" s="176">
        <f t="shared" si="363"/>
        <v>0</v>
      </c>
      <c r="X269" s="176">
        <f t="shared" si="376"/>
        <v>0</v>
      </c>
      <c r="Y269" s="34">
        <f>X269/Calculation_sheet!M$67</f>
        <v>0</v>
      </c>
      <c r="Z269" s="176">
        <f ca="1">IF(AN269&gt;0,Y269*Calculation_sheet!C$87,0)</f>
        <v>0</v>
      </c>
      <c r="AA269" s="176">
        <f t="shared" ca="1" si="377"/>
        <v>0</v>
      </c>
      <c r="AB269" s="176">
        <f ca="1">IF(AP269&gt;0,AA269*Calculation_sheet!C$94,0)</f>
        <v>0</v>
      </c>
      <c r="AC269" s="176">
        <f t="shared" ca="1" si="364"/>
        <v>0</v>
      </c>
      <c r="AD269" s="958">
        <f ca="1">AC269*Calculation_sheet!C$99</f>
        <v>0</v>
      </c>
      <c r="AE269" s="176">
        <f t="shared" ca="1" si="364"/>
        <v>0</v>
      </c>
      <c r="AF269" s="176">
        <f t="shared" ca="1" si="378"/>
        <v>0</v>
      </c>
      <c r="AG269" s="958">
        <f ca="1">AF269*User_sheet!B$77/100</f>
        <v>0</v>
      </c>
      <c r="AH269" s="313"/>
      <c r="AI269" s="3">
        <v>302</v>
      </c>
      <c r="AK269" s="1018">
        <f t="shared" ca="1" si="294"/>
        <v>225.77967656946785</v>
      </c>
      <c r="AL269" s="924">
        <f ca="1">AK269/'302'!I$24</f>
        <v>0.57552810749290806</v>
      </c>
      <c r="AM269" s="924">
        <f ca="1">0.8*(AK269*30+'302'!D$17*0.34*30*1)</f>
        <v>10484.89923766723</v>
      </c>
      <c r="AN269" s="954">
        <f ca="1">IF(AM269&lt;User_sheet!B$50,Y269,0)</f>
        <v>0</v>
      </c>
      <c r="AO269" s="954">
        <f ca="1">20-(User_sheet!B$57/(AK269+'302'!D$17*1*0.34))</f>
        <v>6.9526643128297287</v>
      </c>
      <c r="AP269" s="954">
        <f ca="1">IF(AO269&lt;User_sheet!B$59,0,BC269*AA269)</f>
        <v>0</v>
      </c>
      <c r="AR269" s="2">
        <v>0.32</v>
      </c>
      <c r="AS269" s="2">
        <v>0.43</v>
      </c>
      <c r="AT269" s="2">
        <v>0.43</v>
      </c>
      <c r="AU269" s="2">
        <v>2</v>
      </c>
      <c r="AV269" s="2">
        <v>3.3</v>
      </c>
      <c r="AW269" s="2">
        <v>14356</v>
      </c>
      <c r="AX269" s="2">
        <v>74834</v>
      </c>
      <c r="AY269" s="2">
        <v>69246</v>
      </c>
      <c r="AZ269" s="27">
        <v>0</v>
      </c>
      <c r="BA269" s="27">
        <v>0</v>
      </c>
      <c r="BB269" s="2">
        <v>0.6</v>
      </c>
      <c r="BC269" s="30">
        <v>0</v>
      </c>
      <c r="BD269" s="34">
        <v>1</v>
      </c>
      <c r="BE269" s="34">
        <v>0</v>
      </c>
      <c r="BF269" s="40">
        <v>0</v>
      </c>
      <c r="BG269" s="34">
        <v>1</v>
      </c>
      <c r="BH269" s="34">
        <v>0</v>
      </c>
      <c r="BI269" s="40">
        <v>0</v>
      </c>
      <c r="BJ269" s="34">
        <v>0</v>
      </c>
      <c r="BK269" s="34">
        <v>1</v>
      </c>
      <c r="BL269" s="34">
        <v>0</v>
      </c>
      <c r="BM269" s="40">
        <v>0</v>
      </c>
      <c r="BN269" s="958">
        <v>0.02</v>
      </c>
      <c r="BO269" s="959">
        <v>2.5</v>
      </c>
      <c r="BP269" s="1018">
        <f t="shared" ca="1" si="365"/>
        <v>215.65</v>
      </c>
      <c r="BQ269" s="1018">
        <f t="shared" ca="1" si="366"/>
        <v>486.07500000000005</v>
      </c>
      <c r="BR269" s="1018">
        <f t="shared" ca="1" si="367"/>
        <v>117.8</v>
      </c>
      <c r="BS269" s="1018">
        <f t="shared" ca="1" si="368"/>
        <v>103.97</v>
      </c>
      <c r="BT269" s="1018">
        <f t="shared" ca="1" si="369"/>
        <v>53.9</v>
      </c>
      <c r="BU269" s="1018">
        <f t="shared" ca="1" si="370"/>
        <v>62.730000000000004</v>
      </c>
      <c r="BV269" s="1018">
        <f t="shared" ca="1" si="371"/>
        <v>4.3</v>
      </c>
      <c r="BW269" s="1018">
        <v>0</v>
      </c>
      <c r="BX269" s="1018">
        <f t="shared" ca="1" si="372"/>
        <v>35.715007579585652</v>
      </c>
      <c r="BY269" s="1018">
        <f t="shared" ca="1" si="373"/>
        <v>41.606061546097528</v>
      </c>
      <c r="BZ269" s="1018">
        <f t="shared" ca="1" si="295"/>
        <v>7.1178899367167148</v>
      </c>
      <c r="CA269" s="1018">
        <f t="shared" ca="1" si="296"/>
        <v>125.45999994981604</v>
      </c>
      <c r="CB269" s="1018">
        <f t="shared" ca="1" si="374"/>
        <v>9.0267175572519083</v>
      </c>
      <c r="CC269" s="1018">
        <f t="shared" si="297"/>
        <v>0</v>
      </c>
      <c r="CD269" s="1018">
        <f t="shared" ca="1" si="375"/>
        <v>225.77967656946785</v>
      </c>
      <c r="CE269" s="1018">
        <f t="shared" ca="1" si="379"/>
        <v>128.49359862995101</v>
      </c>
      <c r="CF269" s="1018">
        <f t="shared" ca="1" si="299"/>
        <v>10.628198255982566</v>
      </c>
      <c r="CG269" s="1018">
        <f t="shared" ca="1" si="300"/>
        <v>17695.524968280733</v>
      </c>
    </row>
    <row r="270" spans="4:85" x14ac:dyDescent="0.25">
      <c r="D270" s="1"/>
      <c r="F270" s="1"/>
      <c r="G270" s="3"/>
      <c r="H270" s="6"/>
      <c r="I270" s="3"/>
      <c r="J270" s="3" t="s">
        <v>143</v>
      </c>
      <c r="K270" s="8"/>
      <c r="L270" s="6"/>
      <c r="M270" s="1"/>
      <c r="N270" s="1"/>
      <c r="O270" s="1" t="s">
        <v>18</v>
      </c>
      <c r="P270" s="4"/>
      <c r="Q270" s="1" t="s">
        <v>7</v>
      </c>
      <c r="R270" s="4"/>
      <c r="S270" s="1"/>
      <c r="T270" s="77"/>
      <c r="U270" s="294"/>
      <c r="W270" s="176">
        <f t="shared" si="363"/>
        <v>0</v>
      </c>
      <c r="X270" s="176">
        <f t="shared" si="376"/>
        <v>0</v>
      </c>
      <c r="Y270" s="34">
        <f>X270/Calculation_sheet!M$67</f>
        <v>0</v>
      </c>
      <c r="Z270" s="176">
        <f ca="1">IF(AN270&gt;0,Y270*Calculation_sheet!C$87,0)</f>
        <v>0</v>
      </c>
      <c r="AA270" s="176">
        <f t="shared" ca="1" si="377"/>
        <v>0</v>
      </c>
      <c r="AB270" s="176">
        <f ca="1">IF(AP270&gt;0,AA270*Calculation_sheet!C$94,0)</f>
        <v>0</v>
      </c>
      <c r="AC270" s="176">
        <f t="shared" ca="1" si="364"/>
        <v>0</v>
      </c>
      <c r="AD270" s="958">
        <f ca="1">AC270*Calculation_sheet!C$99</f>
        <v>0</v>
      </c>
      <c r="AE270" s="176">
        <f t="shared" ca="1" si="364"/>
        <v>0</v>
      </c>
      <c r="AF270" s="176">
        <f t="shared" ca="1" si="378"/>
        <v>0</v>
      </c>
      <c r="AG270" s="958">
        <f ca="1">AF270*User_sheet!B$77/100</f>
        <v>0</v>
      </c>
      <c r="AH270" s="313"/>
      <c r="AI270" s="3">
        <v>302</v>
      </c>
      <c r="AK270" s="1018">
        <f t="shared" ref="AK270:AK333" ca="1" si="380">CD270</f>
        <v>225.77967656946785</v>
      </c>
      <c r="AL270" s="924">
        <f ca="1">AK270/'302'!I$24</f>
        <v>0.57552810749290806</v>
      </c>
      <c r="AM270" s="924">
        <f ca="1">0.8*(AK270*30+'302'!D$17*0.34*30*1)</f>
        <v>10484.89923766723</v>
      </c>
      <c r="AN270" s="954">
        <f ca="1">IF(AM270&lt;User_sheet!B$50,Y270,0)</f>
        <v>0</v>
      </c>
      <c r="AO270" s="954">
        <f ca="1">20-(User_sheet!B$57/(AK270+'302'!D$17*1*0.34))</f>
        <v>6.9526643128297287</v>
      </c>
      <c r="AP270" s="954">
        <f ca="1">IF(AO270&lt;User_sheet!B$59,0,BC270*AA270)</f>
        <v>0</v>
      </c>
      <c r="AR270" s="2">
        <v>0.32</v>
      </c>
      <c r="AS270" s="2">
        <v>0.43</v>
      </c>
      <c r="AT270" s="2">
        <v>0.43</v>
      </c>
      <c r="AU270" s="2">
        <v>2</v>
      </c>
      <c r="AV270" s="2">
        <v>3.3</v>
      </c>
      <c r="AW270" s="2">
        <v>14356</v>
      </c>
      <c r="AX270" s="2">
        <v>74834</v>
      </c>
      <c r="AY270" s="2">
        <v>69246</v>
      </c>
      <c r="AZ270" s="27">
        <v>0</v>
      </c>
      <c r="BA270" s="27">
        <v>0</v>
      </c>
      <c r="BB270" s="2">
        <v>0.6</v>
      </c>
      <c r="BC270" s="30">
        <v>0</v>
      </c>
      <c r="BD270" s="34">
        <v>1</v>
      </c>
      <c r="BE270" s="34">
        <v>0</v>
      </c>
      <c r="BF270" s="40">
        <v>0</v>
      </c>
      <c r="BG270" s="34">
        <v>1</v>
      </c>
      <c r="BH270" s="34">
        <v>0</v>
      </c>
      <c r="BI270" s="40">
        <v>0</v>
      </c>
      <c r="BJ270" s="34">
        <v>0</v>
      </c>
      <c r="BK270" s="34">
        <v>0</v>
      </c>
      <c r="BL270" s="34">
        <v>1</v>
      </c>
      <c r="BM270" s="40">
        <v>0</v>
      </c>
      <c r="BN270" s="958">
        <v>0.02</v>
      </c>
      <c r="BO270" s="959">
        <v>2.5</v>
      </c>
      <c r="BP270" s="1018">
        <f t="shared" ca="1" si="365"/>
        <v>215.65</v>
      </c>
      <c r="BQ270" s="1018">
        <f t="shared" ca="1" si="366"/>
        <v>486.07500000000005</v>
      </c>
      <c r="BR270" s="1018">
        <f t="shared" ca="1" si="367"/>
        <v>117.8</v>
      </c>
      <c r="BS270" s="1018">
        <f t="shared" ca="1" si="368"/>
        <v>103.97</v>
      </c>
      <c r="BT270" s="1018">
        <f t="shared" ca="1" si="369"/>
        <v>53.9</v>
      </c>
      <c r="BU270" s="1018">
        <f t="shared" ca="1" si="370"/>
        <v>62.730000000000004</v>
      </c>
      <c r="BV270" s="1018">
        <f t="shared" ca="1" si="371"/>
        <v>4.3</v>
      </c>
      <c r="BW270" s="1018">
        <v>0</v>
      </c>
      <c r="BX270" s="1018">
        <f t="shared" ca="1" si="372"/>
        <v>35.715007579585652</v>
      </c>
      <c r="BY270" s="1018">
        <f t="shared" ca="1" si="373"/>
        <v>41.606061546097528</v>
      </c>
      <c r="BZ270" s="1018">
        <f t="shared" ref="BZ270:BZ333" ca="1" si="381">IF(BT270=0,0,1/(1/(BT270*$BY$3)+1/(BT270*AT270)+1/(BT270*$BY$4)))*0.33</f>
        <v>7.1178899367167148</v>
      </c>
      <c r="CA270" s="1018">
        <f t="shared" ref="CA270:CA333" ca="1" si="382">IF(BU270=0,0,1/(1/(BU270*$BY$5)+1/(BU270*AU270)+1/(BU270*$BY$6)))</f>
        <v>125.45999994981604</v>
      </c>
      <c r="CB270" s="1018">
        <f t="shared" ca="1" si="374"/>
        <v>9.0267175572519083</v>
      </c>
      <c r="CC270" s="1018">
        <f t="shared" ref="CC270:CC333" si="383">0.67*IF(BW270=0,0,1/(1/(BW270*$BY$3)+1/(BW270*AS270)+1/(BW270*$BY$4)))</f>
        <v>0</v>
      </c>
      <c r="CD270" s="1018">
        <f t="shared" ca="1" si="375"/>
        <v>225.77967656946785</v>
      </c>
      <c r="CE270" s="1018">
        <f t="shared" ca="1" si="379"/>
        <v>128.49359862995101</v>
      </c>
      <c r="CF270" s="1018">
        <f t="shared" ref="CF270:CF333" ca="1" si="384">(CD270+CE270)*($BY$7-$BV$5)/1000</f>
        <v>10.628198255982566</v>
      </c>
      <c r="CG270" s="1018">
        <f t="shared" ref="CG270:CG333" ca="1" si="385">$BV$8*(CD270+CE270)*($BY$10-$BV$7)*24/1000</f>
        <v>17695.524968280733</v>
      </c>
    </row>
    <row r="271" spans="4:85" x14ac:dyDescent="0.25">
      <c r="D271" s="1"/>
      <c r="F271" s="1"/>
      <c r="G271" s="3"/>
      <c r="H271" s="6"/>
      <c r="I271" s="3"/>
      <c r="J271" s="6" t="s">
        <v>190</v>
      </c>
      <c r="K271" s="8"/>
      <c r="L271" s="6"/>
      <c r="M271" s="1"/>
      <c r="N271" s="1"/>
      <c r="O271" s="1"/>
      <c r="P271" s="1"/>
      <c r="Q271" s="1" t="s">
        <v>22</v>
      </c>
      <c r="R271" s="4"/>
      <c r="S271" s="1"/>
      <c r="T271" s="77"/>
      <c r="U271" s="294"/>
      <c r="W271" s="176">
        <f t="shared" si="363"/>
        <v>0</v>
      </c>
      <c r="X271" s="176">
        <f t="shared" si="376"/>
        <v>0</v>
      </c>
      <c r="Y271" s="34">
        <f>X271/Calculation_sheet!M$67</f>
        <v>0</v>
      </c>
      <c r="Z271" s="176">
        <f ca="1">IF(AN271&gt;0,Y271*Calculation_sheet!C$87,0)</f>
        <v>0</v>
      </c>
      <c r="AA271" s="176">
        <f t="shared" ca="1" si="377"/>
        <v>0</v>
      </c>
      <c r="AB271" s="176">
        <f ca="1">IF(AP271&gt;0,AA271*Calculation_sheet!C$94,0)</f>
        <v>0</v>
      </c>
      <c r="AC271" s="176">
        <f t="shared" ca="1" si="364"/>
        <v>0</v>
      </c>
      <c r="AD271" s="958">
        <f ca="1">AC271*Calculation_sheet!C$99</f>
        <v>0</v>
      </c>
      <c r="AE271" s="176">
        <f t="shared" ca="1" si="364"/>
        <v>0</v>
      </c>
      <c r="AF271" s="176">
        <f t="shared" ca="1" si="378"/>
        <v>0</v>
      </c>
      <c r="AG271" s="958">
        <f ca="1">AF271*User_sheet!B$77/100</f>
        <v>0</v>
      </c>
      <c r="AH271" s="313"/>
      <c r="AI271" s="3">
        <v>302</v>
      </c>
      <c r="AK271" s="1018">
        <f t="shared" ca="1" si="380"/>
        <v>225.77967656946785</v>
      </c>
      <c r="AL271" s="924">
        <f ca="1">AK271/'302'!I$24</f>
        <v>0.57552810749290806</v>
      </c>
      <c r="AM271" s="924">
        <f ca="1">0.8*(AK271*30+'302'!D$17*0.34*30*1)</f>
        <v>10484.89923766723</v>
      </c>
      <c r="AN271" s="954">
        <f ca="1">IF(AM271&lt;User_sheet!B$50,Y271,0)</f>
        <v>0</v>
      </c>
      <c r="AO271" s="954">
        <f ca="1">20-(User_sheet!B$57/(AK271+'302'!D$17*1*0.34))</f>
        <v>6.9526643128297287</v>
      </c>
      <c r="AP271" s="954">
        <f ca="1">IF(AO271&lt;User_sheet!B$59,0,BC271*AA271)</f>
        <v>0</v>
      </c>
      <c r="AR271" s="2">
        <v>0.32</v>
      </c>
      <c r="AS271" s="2">
        <v>0.43</v>
      </c>
      <c r="AT271" s="2">
        <v>0.43</v>
      </c>
      <c r="AU271" s="2">
        <v>2</v>
      </c>
      <c r="AV271" s="2">
        <v>3.3</v>
      </c>
      <c r="AW271" s="2">
        <v>14356</v>
      </c>
      <c r="AX271" s="2">
        <v>74834</v>
      </c>
      <c r="AY271" s="2">
        <v>69246</v>
      </c>
      <c r="AZ271" s="27">
        <v>0</v>
      </c>
      <c r="BA271" s="27">
        <v>0</v>
      </c>
      <c r="BB271" s="2">
        <v>0.6</v>
      </c>
      <c r="BC271" s="30">
        <v>0</v>
      </c>
      <c r="BD271" s="34">
        <v>1</v>
      </c>
      <c r="BE271" s="34">
        <v>0</v>
      </c>
      <c r="BF271" s="40">
        <v>0</v>
      </c>
      <c r="BG271" s="34">
        <v>0</v>
      </c>
      <c r="BH271" s="34">
        <v>1</v>
      </c>
      <c r="BI271" s="40">
        <v>0</v>
      </c>
      <c r="BJ271" s="34">
        <v>0</v>
      </c>
      <c r="BK271" s="34">
        <v>1</v>
      </c>
      <c r="BL271" s="34">
        <v>0</v>
      </c>
      <c r="BM271" s="40">
        <v>0</v>
      </c>
      <c r="BN271" s="958">
        <v>0.02</v>
      </c>
      <c r="BO271" s="959">
        <v>2.5</v>
      </c>
      <c r="BP271" s="1018">
        <f t="shared" ca="1" si="365"/>
        <v>215.65</v>
      </c>
      <c r="BQ271" s="1018">
        <f t="shared" ca="1" si="366"/>
        <v>486.07500000000005</v>
      </c>
      <c r="BR271" s="1018">
        <f t="shared" ca="1" si="367"/>
        <v>117.8</v>
      </c>
      <c r="BS271" s="1018">
        <f t="shared" ca="1" si="368"/>
        <v>103.97</v>
      </c>
      <c r="BT271" s="1018">
        <f t="shared" ca="1" si="369"/>
        <v>53.9</v>
      </c>
      <c r="BU271" s="1018">
        <f t="shared" ca="1" si="370"/>
        <v>62.730000000000004</v>
      </c>
      <c r="BV271" s="1018">
        <f t="shared" ca="1" si="371"/>
        <v>4.3</v>
      </c>
      <c r="BW271" s="1018">
        <v>0</v>
      </c>
      <c r="BX271" s="1018">
        <f t="shared" ca="1" si="372"/>
        <v>35.715007579585652</v>
      </c>
      <c r="BY271" s="1018">
        <f t="shared" ca="1" si="373"/>
        <v>41.606061546097528</v>
      </c>
      <c r="BZ271" s="1018">
        <f t="shared" ca="1" si="381"/>
        <v>7.1178899367167148</v>
      </c>
      <c r="CA271" s="1018">
        <f t="shared" ca="1" si="382"/>
        <v>125.45999994981604</v>
      </c>
      <c r="CB271" s="1018">
        <f t="shared" ca="1" si="374"/>
        <v>9.0267175572519083</v>
      </c>
      <c r="CC271" s="1018">
        <f t="shared" si="383"/>
        <v>0</v>
      </c>
      <c r="CD271" s="1018">
        <f t="shared" ca="1" si="375"/>
        <v>225.77967656946785</v>
      </c>
      <c r="CE271" s="1018">
        <f t="shared" ca="1" si="379"/>
        <v>128.49359862995101</v>
      </c>
      <c r="CF271" s="1018">
        <f t="shared" ca="1" si="384"/>
        <v>10.628198255982566</v>
      </c>
      <c r="CG271" s="1018">
        <f t="shared" ca="1" si="385"/>
        <v>17695.524968280733</v>
      </c>
    </row>
    <row r="272" spans="4:85" x14ac:dyDescent="0.25">
      <c r="D272" s="1"/>
      <c r="F272" s="1"/>
      <c r="G272" s="3"/>
      <c r="H272" s="6"/>
      <c r="I272" s="3"/>
      <c r="J272" s="6"/>
      <c r="K272" s="8"/>
      <c r="L272" s="6"/>
      <c r="M272" s="1" t="s">
        <v>22</v>
      </c>
      <c r="N272" s="4"/>
      <c r="O272" s="1" t="s">
        <v>20</v>
      </c>
      <c r="P272" s="4"/>
      <c r="Q272" s="1" t="s">
        <v>7</v>
      </c>
      <c r="R272" s="4"/>
      <c r="S272" s="1"/>
      <c r="T272" s="77"/>
      <c r="U272" s="294"/>
      <c r="W272" s="176">
        <f t="shared" si="363"/>
        <v>0</v>
      </c>
      <c r="X272" s="176">
        <f t="shared" si="376"/>
        <v>0</v>
      </c>
      <c r="Y272" s="34">
        <f>X272/Calculation_sheet!M$67</f>
        <v>0</v>
      </c>
      <c r="Z272" s="176">
        <f ca="1">IF(AN272&gt;0,Y272*Calculation_sheet!C$87,0)</f>
        <v>0</v>
      </c>
      <c r="AA272" s="176">
        <f t="shared" ca="1" si="377"/>
        <v>0</v>
      </c>
      <c r="AB272" s="176">
        <f ca="1">IF(AP272&gt;0,AA272*Calculation_sheet!C$94,0)</f>
        <v>0</v>
      </c>
      <c r="AC272" s="176">
        <f t="shared" ca="1" si="364"/>
        <v>0</v>
      </c>
      <c r="AD272" s="958">
        <f ca="1">AC272*Calculation_sheet!C$99</f>
        <v>0</v>
      </c>
      <c r="AE272" s="176">
        <f t="shared" ca="1" si="364"/>
        <v>0</v>
      </c>
      <c r="AF272" s="176">
        <f t="shared" ca="1" si="378"/>
        <v>0</v>
      </c>
      <c r="AG272" s="958">
        <f ca="1">AF272*User_sheet!B$77/100</f>
        <v>0</v>
      </c>
      <c r="AH272" s="313"/>
      <c r="AI272" s="3">
        <v>302</v>
      </c>
      <c r="AK272" s="1018">
        <f t="shared" ca="1" si="380"/>
        <v>225.77967656946785</v>
      </c>
      <c r="AL272" s="924">
        <f ca="1">AK272/'302'!I$24</f>
        <v>0.57552810749290806</v>
      </c>
      <c r="AM272" s="924">
        <f ca="1">0.8*(AK272*30+'302'!D$17*0.34*30*1)</f>
        <v>10484.89923766723</v>
      </c>
      <c r="AN272" s="954">
        <f ca="1">IF(AM272&lt;User_sheet!B$50,Y272,0)</f>
        <v>0</v>
      </c>
      <c r="AO272" s="954">
        <f ca="1">20-(User_sheet!B$57/(AK272+'302'!D$17*1*0.34))</f>
        <v>6.9526643128297287</v>
      </c>
      <c r="AP272" s="954">
        <f ca="1">IF(AO272&lt;User_sheet!B$59,0,BC272*AA272)</f>
        <v>0</v>
      </c>
      <c r="AR272" s="2">
        <v>0.32</v>
      </c>
      <c r="AS272" s="2">
        <v>0.43</v>
      </c>
      <c r="AT272" s="2">
        <v>0.43</v>
      </c>
      <c r="AU272" s="2">
        <v>2</v>
      </c>
      <c r="AV272" s="2">
        <v>3.3</v>
      </c>
      <c r="AW272" s="2">
        <v>14356</v>
      </c>
      <c r="AX272" s="2">
        <v>74834</v>
      </c>
      <c r="AY272" s="2">
        <v>69246</v>
      </c>
      <c r="AZ272" s="27">
        <v>0</v>
      </c>
      <c r="BA272" s="27">
        <v>0</v>
      </c>
      <c r="BB272" s="2">
        <v>0.6</v>
      </c>
      <c r="BC272" s="30">
        <v>0</v>
      </c>
      <c r="BD272" s="34">
        <v>1</v>
      </c>
      <c r="BE272" s="34">
        <v>0</v>
      </c>
      <c r="BF272" s="40">
        <v>0</v>
      </c>
      <c r="BG272" s="34">
        <v>0</v>
      </c>
      <c r="BH272" s="34">
        <v>1</v>
      </c>
      <c r="BI272" s="40">
        <v>0</v>
      </c>
      <c r="BJ272" s="34">
        <v>0</v>
      </c>
      <c r="BK272" s="34">
        <v>0</v>
      </c>
      <c r="BL272" s="34">
        <v>1</v>
      </c>
      <c r="BM272" s="40">
        <v>0</v>
      </c>
      <c r="BN272" s="958">
        <v>0.02</v>
      </c>
      <c r="BO272" s="959">
        <v>2.5</v>
      </c>
      <c r="BP272" s="1018">
        <f t="shared" ca="1" si="365"/>
        <v>215.65</v>
      </c>
      <c r="BQ272" s="1018">
        <f t="shared" ca="1" si="366"/>
        <v>486.07500000000005</v>
      </c>
      <c r="BR272" s="1018">
        <f t="shared" ca="1" si="367"/>
        <v>117.8</v>
      </c>
      <c r="BS272" s="1018">
        <f t="shared" ca="1" si="368"/>
        <v>103.97</v>
      </c>
      <c r="BT272" s="1018">
        <f t="shared" ca="1" si="369"/>
        <v>53.9</v>
      </c>
      <c r="BU272" s="1018">
        <f t="shared" ca="1" si="370"/>
        <v>62.730000000000004</v>
      </c>
      <c r="BV272" s="1018">
        <f t="shared" ca="1" si="371"/>
        <v>4.3</v>
      </c>
      <c r="BW272" s="1018">
        <v>0</v>
      </c>
      <c r="BX272" s="1018">
        <f t="shared" ca="1" si="372"/>
        <v>35.715007579585652</v>
      </c>
      <c r="BY272" s="1018">
        <f t="shared" ca="1" si="373"/>
        <v>41.606061546097528</v>
      </c>
      <c r="BZ272" s="1018">
        <f t="shared" ca="1" si="381"/>
        <v>7.1178899367167148</v>
      </c>
      <c r="CA272" s="1018">
        <f t="shared" ca="1" si="382"/>
        <v>125.45999994981604</v>
      </c>
      <c r="CB272" s="1018">
        <f t="shared" ca="1" si="374"/>
        <v>9.0267175572519083</v>
      </c>
      <c r="CC272" s="1018">
        <f t="shared" si="383"/>
        <v>0</v>
      </c>
      <c r="CD272" s="1018">
        <f t="shared" ca="1" si="375"/>
        <v>225.77967656946785</v>
      </c>
      <c r="CE272" s="1018">
        <f t="shared" ca="1" si="379"/>
        <v>128.49359862995101</v>
      </c>
      <c r="CF272" s="1018">
        <f t="shared" ca="1" si="384"/>
        <v>10.628198255982566</v>
      </c>
      <c r="CG272" s="1018">
        <f t="shared" ca="1" si="385"/>
        <v>17695.524968280733</v>
      </c>
    </row>
    <row r="273" spans="1:85" x14ac:dyDescent="0.25">
      <c r="D273" s="1"/>
      <c r="F273" s="1"/>
      <c r="G273" s="3"/>
      <c r="H273" s="6"/>
      <c r="I273" s="3"/>
      <c r="J273" s="6"/>
      <c r="K273" s="8"/>
      <c r="L273" s="6"/>
      <c r="M273" s="1" t="s">
        <v>7</v>
      </c>
      <c r="N273" s="4"/>
      <c r="O273" s="1" t="s">
        <v>23</v>
      </c>
      <c r="P273" s="4"/>
      <c r="Q273" s="1" t="s">
        <v>7</v>
      </c>
      <c r="R273" s="4"/>
      <c r="S273" s="1"/>
      <c r="T273" s="77"/>
      <c r="U273" s="294"/>
      <c r="W273" s="176">
        <f t="shared" si="363"/>
        <v>0</v>
      </c>
      <c r="X273" s="176">
        <f t="shared" si="376"/>
        <v>0</v>
      </c>
      <c r="Y273" s="34">
        <f>X273/Calculation_sheet!M$67</f>
        <v>0</v>
      </c>
      <c r="Z273" s="176">
        <f ca="1">IF(AN273&gt;0,Y273*Calculation_sheet!C$87,0)</f>
        <v>0</v>
      </c>
      <c r="AA273" s="176">
        <f t="shared" ca="1" si="377"/>
        <v>0</v>
      </c>
      <c r="AB273" s="176">
        <f ca="1">IF(AP273&gt;0,AA273*Calculation_sheet!C$94,0)</f>
        <v>0</v>
      </c>
      <c r="AC273" s="176">
        <f t="shared" ca="1" si="364"/>
        <v>0</v>
      </c>
      <c r="AD273" s="958">
        <f ca="1">AC273*Calculation_sheet!C$99</f>
        <v>0</v>
      </c>
      <c r="AE273" s="176">
        <f t="shared" ca="1" si="364"/>
        <v>0</v>
      </c>
      <c r="AF273" s="176">
        <f t="shared" ca="1" si="378"/>
        <v>0</v>
      </c>
      <c r="AG273" s="958">
        <f ca="1">AF273*User_sheet!B$77/100</f>
        <v>0</v>
      </c>
      <c r="AH273" s="313"/>
      <c r="AI273" s="3">
        <v>302</v>
      </c>
      <c r="AK273" s="1018">
        <f t="shared" ca="1" si="380"/>
        <v>225.77967656946785</v>
      </c>
      <c r="AL273" s="924">
        <f ca="1">AK273/'302'!I$24</f>
        <v>0.57552810749290806</v>
      </c>
      <c r="AM273" s="924">
        <f ca="1">0.8*(AK273*30+'302'!D$17*0.34*30*1)</f>
        <v>10484.89923766723</v>
      </c>
      <c r="AN273" s="954">
        <f ca="1">IF(AM273&lt;User_sheet!B$50,Y273,0)</f>
        <v>0</v>
      </c>
      <c r="AO273" s="954">
        <f ca="1">20-(User_sheet!B$57/(AK273+'302'!D$17*1*0.34))</f>
        <v>6.9526643128297287</v>
      </c>
      <c r="AP273" s="954">
        <f ca="1">IF(AO273&lt;User_sheet!B$59,0,BC273*AA273)</f>
        <v>0</v>
      </c>
      <c r="AR273" s="2">
        <v>0.32</v>
      </c>
      <c r="AS273" s="2">
        <v>0.43</v>
      </c>
      <c r="AT273" s="2">
        <v>0.43</v>
      </c>
      <c r="AU273" s="2">
        <v>2</v>
      </c>
      <c r="AV273" s="2">
        <v>3.3</v>
      </c>
      <c r="AW273" s="2">
        <v>14356</v>
      </c>
      <c r="AX273" s="2">
        <v>74834</v>
      </c>
      <c r="AY273" s="2">
        <v>69246</v>
      </c>
      <c r="AZ273" s="27">
        <v>0</v>
      </c>
      <c r="BA273" s="27">
        <v>0</v>
      </c>
      <c r="BB273" s="2">
        <v>0.6</v>
      </c>
      <c r="BC273" s="30">
        <v>0</v>
      </c>
      <c r="BD273" s="34">
        <v>0</v>
      </c>
      <c r="BE273" s="34">
        <v>1</v>
      </c>
      <c r="BF273" s="40">
        <v>0</v>
      </c>
      <c r="BG273" s="34">
        <v>0</v>
      </c>
      <c r="BH273" s="34">
        <v>0</v>
      </c>
      <c r="BI273" s="40">
        <v>1</v>
      </c>
      <c r="BJ273" s="34">
        <v>0</v>
      </c>
      <c r="BK273" s="34">
        <v>0</v>
      </c>
      <c r="BL273" s="34">
        <v>1</v>
      </c>
      <c r="BM273" s="40">
        <v>0</v>
      </c>
      <c r="BN273" s="958">
        <v>0.02</v>
      </c>
      <c r="BO273" s="959">
        <v>2.5</v>
      </c>
      <c r="BP273" s="1018">
        <f t="shared" ca="1" si="365"/>
        <v>215.65</v>
      </c>
      <c r="BQ273" s="1018">
        <f t="shared" ca="1" si="366"/>
        <v>486.07500000000005</v>
      </c>
      <c r="BR273" s="1018">
        <f t="shared" ca="1" si="367"/>
        <v>117.8</v>
      </c>
      <c r="BS273" s="1018">
        <f t="shared" ca="1" si="368"/>
        <v>103.97</v>
      </c>
      <c r="BT273" s="1018">
        <f t="shared" ca="1" si="369"/>
        <v>53.9</v>
      </c>
      <c r="BU273" s="1018">
        <f t="shared" ca="1" si="370"/>
        <v>62.730000000000004</v>
      </c>
      <c r="BV273" s="1018">
        <f t="shared" ca="1" si="371"/>
        <v>4.3</v>
      </c>
      <c r="BW273" s="1018">
        <v>0</v>
      </c>
      <c r="BX273" s="1018">
        <f t="shared" ca="1" si="372"/>
        <v>35.715007579585652</v>
      </c>
      <c r="BY273" s="1018">
        <f t="shared" ca="1" si="373"/>
        <v>41.606061546097528</v>
      </c>
      <c r="BZ273" s="1018">
        <f t="shared" ca="1" si="381"/>
        <v>7.1178899367167148</v>
      </c>
      <c r="CA273" s="1018">
        <f t="shared" ca="1" si="382"/>
        <v>125.45999994981604</v>
      </c>
      <c r="CB273" s="1018">
        <f t="shared" ca="1" si="374"/>
        <v>9.0267175572519083</v>
      </c>
      <c r="CC273" s="1018">
        <f t="shared" si="383"/>
        <v>0</v>
      </c>
      <c r="CD273" s="1018">
        <f t="shared" ca="1" si="375"/>
        <v>225.77967656946785</v>
      </c>
      <c r="CE273" s="1018">
        <f t="shared" ca="1" si="379"/>
        <v>128.49359862995101</v>
      </c>
      <c r="CF273" s="1018">
        <f t="shared" ca="1" si="384"/>
        <v>10.628198255982566</v>
      </c>
      <c r="CG273" s="1018">
        <f t="shared" ca="1" si="385"/>
        <v>17695.524968280733</v>
      </c>
    </row>
    <row r="274" spans="1:85" x14ac:dyDescent="0.25">
      <c r="D274" s="1"/>
      <c r="F274" s="1"/>
      <c r="G274" s="3"/>
      <c r="H274" s="6"/>
      <c r="I274" s="3"/>
      <c r="J274" s="6"/>
      <c r="K274" s="8"/>
      <c r="L274" s="6"/>
      <c r="M274" s="1"/>
      <c r="N274" s="1"/>
      <c r="O274" s="1" t="s">
        <v>18</v>
      </c>
      <c r="P274" s="4"/>
      <c r="Q274" s="1" t="s">
        <v>17</v>
      </c>
      <c r="R274" s="4"/>
      <c r="S274" s="1"/>
      <c r="T274" s="77"/>
      <c r="U274" s="294"/>
      <c r="W274" s="176">
        <f t="shared" si="363"/>
        <v>0</v>
      </c>
      <c r="X274" s="176">
        <f t="shared" si="376"/>
        <v>0</v>
      </c>
      <c r="Y274" s="34">
        <f>X274/Calculation_sheet!M$67</f>
        <v>0</v>
      </c>
      <c r="Z274" s="176">
        <f ca="1">IF(AN274&gt;0,Y274*Calculation_sheet!C$87,0)</f>
        <v>0</v>
      </c>
      <c r="AA274" s="176">
        <f t="shared" ca="1" si="377"/>
        <v>0</v>
      </c>
      <c r="AB274" s="176">
        <f ca="1">IF(AP274&gt;0,AA274*Calculation_sheet!C$94,0)</f>
        <v>0</v>
      </c>
      <c r="AC274" s="176">
        <f t="shared" ca="1" si="364"/>
        <v>0</v>
      </c>
      <c r="AD274" s="958">
        <f ca="1">AC274*Calculation_sheet!C$99</f>
        <v>0</v>
      </c>
      <c r="AE274" s="176">
        <f t="shared" ca="1" si="364"/>
        <v>0</v>
      </c>
      <c r="AF274" s="176">
        <f t="shared" ca="1" si="378"/>
        <v>0</v>
      </c>
      <c r="AG274" s="958">
        <f ca="1">AF274*User_sheet!B$77/100</f>
        <v>0</v>
      </c>
      <c r="AH274" s="313"/>
      <c r="AI274" s="3">
        <v>302</v>
      </c>
      <c r="AK274" s="1018">
        <f t="shared" ca="1" si="380"/>
        <v>225.77967656946785</v>
      </c>
      <c r="AL274" s="924">
        <f ca="1">AK274/'302'!I$24</f>
        <v>0.57552810749290806</v>
      </c>
      <c r="AM274" s="924">
        <f ca="1">0.8*(AK274*30+'302'!D$17*0.34*30*1)</f>
        <v>10484.89923766723</v>
      </c>
      <c r="AN274" s="954">
        <f ca="1">IF(AM274&lt;User_sheet!B$50,Y274,0)</f>
        <v>0</v>
      </c>
      <c r="AO274" s="954">
        <f ca="1">20-(User_sheet!B$57/(AK274+'302'!D$17*1*0.34))</f>
        <v>6.9526643128297287</v>
      </c>
      <c r="AP274" s="954">
        <f ca="1">IF(AO274&lt;User_sheet!B$59,0,BC274*AA274)</f>
        <v>0</v>
      </c>
      <c r="AR274" s="2">
        <v>0.32</v>
      </c>
      <c r="AS274" s="2">
        <v>0.43</v>
      </c>
      <c r="AT274" s="2">
        <v>0.43</v>
      </c>
      <c r="AU274" s="2">
        <v>2</v>
      </c>
      <c r="AV274" s="2">
        <v>3.3</v>
      </c>
      <c r="AW274" s="2">
        <v>14356</v>
      </c>
      <c r="AX274" s="2">
        <v>74834</v>
      </c>
      <c r="AY274" s="2">
        <v>69246</v>
      </c>
      <c r="AZ274" s="27">
        <v>0</v>
      </c>
      <c r="BA274" s="27">
        <v>0</v>
      </c>
      <c r="BB274" s="2">
        <v>0.6</v>
      </c>
      <c r="BC274" s="30">
        <v>0</v>
      </c>
      <c r="BD274" s="34">
        <v>0</v>
      </c>
      <c r="BE274" s="34">
        <v>0</v>
      </c>
      <c r="BF274" s="40">
        <v>1</v>
      </c>
      <c r="BG274" s="34">
        <v>1</v>
      </c>
      <c r="BH274" s="34">
        <v>0</v>
      </c>
      <c r="BI274" s="40">
        <v>0</v>
      </c>
      <c r="BJ274" s="34">
        <v>0</v>
      </c>
      <c r="BK274" s="34">
        <v>0</v>
      </c>
      <c r="BL274" s="34">
        <v>0</v>
      </c>
      <c r="BM274" s="40">
        <v>1</v>
      </c>
      <c r="BN274" s="958">
        <v>0.02</v>
      </c>
      <c r="BO274" s="959">
        <v>2.5</v>
      </c>
      <c r="BP274" s="1018">
        <f t="shared" ca="1" si="365"/>
        <v>215.65</v>
      </c>
      <c r="BQ274" s="1018">
        <f t="shared" ca="1" si="366"/>
        <v>486.07500000000005</v>
      </c>
      <c r="BR274" s="1018">
        <f t="shared" ca="1" si="367"/>
        <v>117.8</v>
      </c>
      <c r="BS274" s="1018">
        <f t="shared" ca="1" si="368"/>
        <v>103.97</v>
      </c>
      <c r="BT274" s="1018">
        <f t="shared" ca="1" si="369"/>
        <v>53.9</v>
      </c>
      <c r="BU274" s="1018">
        <f t="shared" ca="1" si="370"/>
        <v>62.730000000000004</v>
      </c>
      <c r="BV274" s="1018">
        <f t="shared" ca="1" si="371"/>
        <v>4.3</v>
      </c>
      <c r="BW274" s="1018">
        <v>0</v>
      </c>
      <c r="BX274" s="1018">
        <f t="shared" ca="1" si="372"/>
        <v>35.715007579585652</v>
      </c>
      <c r="BY274" s="1018">
        <f t="shared" ca="1" si="373"/>
        <v>41.606061546097528</v>
      </c>
      <c r="BZ274" s="1018">
        <f t="shared" ca="1" si="381"/>
        <v>7.1178899367167148</v>
      </c>
      <c r="CA274" s="1018">
        <f t="shared" ca="1" si="382"/>
        <v>125.45999994981604</v>
      </c>
      <c r="CB274" s="1018">
        <f t="shared" ca="1" si="374"/>
        <v>9.0267175572519083</v>
      </c>
      <c r="CC274" s="1018">
        <f t="shared" si="383"/>
        <v>0</v>
      </c>
      <c r="CD274" s="1018">
        <f t="shared" ca="1" si="375"/>
        <v>225.77967656946785</v>
      </c>
      <c r="CE274" s="1018">
        <f t="shared" ca="1" si="379"/>
        <v>128.49359862995101</v>
      </c>
      <c r="CF274" s="1018">
        <f t="shared" ca="1" si="384"/>
        <v>10.628198255982566</v>
      </c>
      <c r="CG274" s="1018">
        <f t="shared" ca="1" si="385"/>
        <v>17695.524968280733</v>
      </c>
    </row>
    <row r="275" spans="1:85" x14ac:dyDescent="0.25">
      <c r="D275" s="1"/>
      <c r="F275" s="1"/>
      <c r="G275" s="3"/>
      <c r="H275" s="6"/>
      <c r="I275" s="3"/>
      <c r="J275" s="6"/>
      <c r="K275" s="8"/>
      <c r="L275" s="6"/>
      <c r="M275" s="1" t="s">
        <v>17</v>
      </c>
      <c r="N275" s="4"/>
      <c r="O275" s="1" t="s">
        <v>19</v>
      </c>
      <c r="P275" s="4"/>
      <c r="Q275" s="1" t="s">
        <v>17</v>
      </c>
      <c r="R275" s="4"/>
      <c r="S275" s="1"/>
      <c r="T275" s="77"/>
      <c r="U275" s="294" t="s">
        <v>49</v>
      </c>
      <c r="W275" s="176">
        <f t="shared" si="363"/>
        <v>0</v>
      </c>
      <c r="X275" s="176">
        <f t="shared" si="376"/>
        <v>0</v>
      </c>
      <c r="Y275" s="34">
        <f>X275/Calculation_sheet!M$67</f>
        <v>0</v>
      </c>
      <c r="Z275" s="176">
        <f ca="1">IF(AN275&gt;0,Y275*Calculation_sheet!C$87,0)</f>
        <v>0</v>
      </c>
      <c r="AA275" s="176">
        <f t="shared" ca="1" si="377"/>
        <v>0</v>
      </c>
      <c r="AB275" s="176">
        <f ca="1">IF(AP275&gt;0,AA275*Calculation_sheet!C$94,0)</f>
        <v>0</v>
      </c>
      <c r="AC275" s="176">
        <f t="shared" ca="1" si="364"/>
        <v>0</v>
      </c>
      <c r="AD275" s="958">
        <f ca="1">AC275*Calculation_sheet!C$99</f>
        <v>0</v>
      </c>
      <c r="AE275" s="176">
        <f t="shared" ca="1" si="364"/>
        <v>0</v>
      </c>
      <c r="AF275" s="176">
        <f t="shared" ca="1" si="378"/>
        <v>0</v>
      </c>
      <c r="AG275" s="958">
        <f ca="1">AF275*User_sheet!B$77/100</f>
        <v>0</v>
      </c>
      <c r="AH275" s="313"/>
      <c r="AI275" s="3">
        <v>302</v>
      </c>
      <c r="AK275" s="1018">
        <f t="shared" ca="1" si="380"/>
        <v>225.77967656946785</v>
      </c>
      <c r="AL275" s="924">
        <f ca="1">AK275/'302'!I$24</f>
        <v>0.57552810749290806</v>
      </c>
      <c r="AM275" s="924">
        <f ca="1">0.8*(AK275*30+'302'!D$17*0.34*30*1)</f>
        <v>10484.89923766723</v>
      </c>
      <c r="AN275" s="954">
        <f ca="1">IF(AM275&lt;User_sheet!B$50,Y275,0)</f>
        <v>0</v>
      </c>
      <c r="AO275" s="954">
        <f ca="1">20-(User_sheet!B$57/(AK275+'302'!D$17*1*0.34))</f>
        <v>6.9526643128297287</v>
      </c>
      <c r="AP275" s="954">
        <f ca="1">IF(AO275&lt;User_sheet!B$59,0,BC275*AA275)</f>
        <v>0</v>
      </c>
      <c r="AR275" s="2">
        <v>0.32</v>
      </c>
      <c r="AS275" s="2">
        <v>0.43</v>
      </c>
      <c r="AT275" s="2">
        <v>0.43</v>
      </c>
      <c r="AU275" s="2">
        <v>2</v>
      </c>
      <c r="AV275" s="2">
        <v>3.3</v>
      </c>
      <c r="AW275" s="2">
        <v>14356</v>
      </c>
      <c r="AX275" s="2">
        <v>74834</v>
      </c>
      <c r="AY275" s="2">
        <v>69246</v>
      </c>
      <c r="AZ275" s="27">
        <v>0</v>
      </c>
      <c r="BA275" s="27">
        <v>0</v>
      </c>
      <c r="BB275" s="2">
        <v>0.6</v>
      </c>
      <c r="BC275" s="30">
        <v>0</v>
      </c>
      <c r="BD275" s="34">
        <v>0</v>
      </c>
      <c r="BE275" s="34">
        <v>0</v>
      </c>
      <c r="BF275" s="40">
        <v>1</v>
      </c>
      <c r="BG275" s="34">
        <v>0</v>
      </c>
      <c r="BH275" s="34">
        <v>1</v>
      </c>
      <c r="BI275" s="40">
        <v>0</v>
      </c>
      <c r="BJ275" s="34">
        <v>0</v>
      </c>
      <c r="BK275" s="34">
        <v>0</v>
      </c>
      <c r="BL275" s="34">
        <v>0</v>
      </c>
      <c r="BM275" s="40">
        <v>1</v>
      </c>
      <c r="BN275" s="958">
        <v>0.02</v>
      </c>
      <c r="BO275" s="959">
        <v>2.5</v>
      </c>
      <c r="BP275" s="1018">
        <f t="shared" ca="1" si="365"/>
        <v>215.65</v>
      </c>
      <c r="BQ275" s="1018">
        <f t="shared" ca="1" si="366"/>
        <v>486.07500000000005</v>
      </c>
      <c r="BR275" s="1018">
        <f t="shared" ca="1" si="367"/>
        <v>117.8</v>
      </c>
      <c r="BS275" s="1018">
        <f t="shared" ca="1" si="368"/>
        <v>103.97</v>
      </c>
      <c r="BT275" s="1018">
        <f t="shared" ca="1" si="369"/>
        <v>53.9</v>
      </c>
      <c r="BU275" s="1018">
        <f t="shared" ca="1" si="370"/>
        <v>62.730000000000004</v>
      </c>
      <c r="BV275" s="1018">
        <f t="shared" ca="1" si="371"/>
        <v>4.3</v>
      </c>
      <c r="BW275" s="1018">
        <v>0</v>
      </c>
      <c r="BX275" s="1018">
        <f t="shared" ca="1" si="372"/>
        <v>35.715007579585652</v>
      </c>
      <c r="BY275" s="1018">
        <f t="shared" ca="1" si="373"/>
        <v>41.606061546097528</v>
      </c>
      <c r="BZ275" s="1018">
        <f t="shared" ca="1" si="381"/>
        <v>7.1178899367167148</v>
      </c>
      <c r="CA275" s="1018">
        <f t="shared" ca="1" si="382"/>
        <v>125.45999994981604</v>
      </c>
      <c r="CB275" s="1018">
        <f t="shared" ca="1" si="374"/>
        <v>9.0267175572519083</v>
      </c>
      <c r="CC275" s="1018">
        <f t="shared" si="383"/>
        <v>0</v>
      </c>
      <c r="CD275" s="1018">
        <f t="shared" ca="1" si="375"/>
        <v>225.77967656946785</v>
      </c>
      <c r="CE275" s="1018">
        <f t="shared" ca="1" si="379"/>
        <v>128.49359862995101</v>
      </c>
      <c r="CF275" s="1018">
        <f t="shared" ca="1" si="384"/>
        <v>10.628198255982566</v>
      </c>
      <c r="CG275" s="1018">
        <f t="shared" ca="1" si="385"/>
        <v>17695.524968280733</v>
      </c>
    </row>
    <row r="276" spans="1:85" s="9" customFormat="1" x14ac:dyDescent="0.25">
      <c r="A276" s="3" t="s">
        <v>0</v>
      </c>
      <c r="B276" s="4">
        <v>0.25059999999999999</v>
      </c>
      <c r="D276" s="10"/>
      <c r="F276" s="10"/>
      <c r="H276" s="10"/>
      <c r="J276" s="10"/>
      <c r="K276" s="10"/>
      <c r="L276" s="10"/>
      <c r="M276" s="10"/>
      <c r="N276" s="10"/>
      <c r="O276" s="10"/>
      <c r="P276" s="10"/>
      <c r="Q276" s="10"/>
      <c r="R276" s="10"/>
      <c r="S276" s="10"/>
      <c r="T276" s="81"/>
      <c r="U276" s="81">
        <f>D202*B276</f>
        <v>5.1974439999999997E-2</v>
      </c>
      <c r="V276" s="283"/>
      <c r="W276" s="283"/>
      <c r="X276" s="283"/>
      <c r="Y276" s="279"/>
      <c r="Z276" s="279"/>
      <c r="AA276" s="283"/>
      <c r="AB276" s="283"/>
      <c r="AC276" s="283"/>
      <c r="AD276" s="283"/>
      <c r="AE276" s="283"/>
      <c r="AF276" s="283"/>
      <c r="AG276" s="279"/>
      <c r="AH276" s="313"/>
      <c r="AJ276" s="314"/>
      <c r="AK276" s="1018">
        <f t="shared" si="380"/>
        <v>0</v>
      </c>
      <c r="AN276" s="916"/>
      <c r="AO276" s="916"/>
      <c r="AP276" s="916"/>
      <c r="AQ276" s="314"/>
      <c r="AR276" s="24"/>
      <c r="AS276" s="24"/>
      <c r="AT276" s="24"/>
      <c r="AU276" s="24"/>
      <c r="AV276" s="24"/>
      <c r="AW276" s="24"/>
      <c r="AX276" s="24"/>
      <c r="AY276" s="24"/>
      <c r="AZ276" s="24"/>
      <c r="BA276" s="24"/>
      <c r="BB276" s="24"/>
      <c r="BC276" s="47"/>
      <c r="BD276" s="279"/>
      <c r="BE276" s="279"/>
      <c r="BF276" s="51"/>
      <c r="BG276" s="24"/>
      <c r="BH276" s="24"/>
      <c r="BI276" s="51"/>
      <c r="BJ276" s="24"/>
      <c r="BK276" s="24"/>
      <c r="BL276" s="24"/>
      <c r="BM276" s="51"/>
      <c r="BN276" s="279"/>
      <c r="BO276" s="51"/>
    </row>
    <row r="277" spans="1:85" x14ac:dyDescent="0.25">
      <c r="A277" s="702"/>
      <c r="B277" s="708"/>
      <c r="C277" s="702"/>
      <c r="D277" s="703"/>
      <c r="E277" s="702"/>
      <c r="F277" s="703"/>
      <c r="G277" s="702"/>
      <c r="H277" s="703"/>
      <c r="I277" s="702"/>
      <c r="J277" s="703"/>
      <c r="K277" s="703"/>
      <c r="L277" s="703"/>
      <c r="M277" s="703"/>
      <c r="N277" s="703"/>
      <c r="O277" s="703"/>
      <c r="P277" s="703"/>
      <c r="Q277" s="703" t="s">
        <v>16</v>
      </c>
      <c r="R277" s="705">
        <v>0.92569999999999997</v>
      </c>
      <c r="S277" s="703"/>
      <c r="T277" s="713">
        <v>3.883814083989186E-3</v>
      </c>
      <c r="U277" s="702"/>
      <c r="V277" s="176">
        <f t="shared" ref="V277:V345" si="386">T277</f>
        <v>3.883814083989186E-3</v>
      </c>
      <c r="W277" s="176">
        <f>V277</f>
        <v>3.883814083989186E-3</v>
      </c>
      <c r="X277" s="176">
        <f>W277</f>
        <v>3.883814083989186E-3</v>
      </c>
      <c r="Y277" s="34">
        <f>X277/Calculation_sheet!M$67</f>
        <v>3.8838934941167777E-3</v>
      </c>
      <c r="Z277" s="176">
        <f ca="1">IF(AN277&gt;0,Y277*Calculation_sheet!C$87,0)</f>
        <v>0</v>
      </c>
      <c r="AA277" s="176">
        <f t="shared" ca="1" si="377"/>
        <v>3.8838934941167777E-3</v>
      </c>
      <c r="AB277" s="176">
        <f ca="1">IF(AP277&gt;0,AA277*Calculation_sheet!C$94,0)</f>
        <v>0</v>
      </c>
      <c r="AC277" s="176">
        <f t="shared" ref="AC277:AE285" ca="1" si="387">AA277-AB277</f>
        <v>3.8838934941167777E-3</v>
      </c>
      <c r="AD277" s="958">
        <f ca="1">AC277*Calculation_sheet!C$99</f>
        <v>2.3303360964700664E-3</v>
      </c>
      <c r="AE277" s="176">
        <f t="shared" ca="1" si="387"/>
        <v>1.5535573976467112E-3</v>
      </c>
      <c r="AF277" s="176">
        <f ca="1">Y277-AB277</f>
        <v>3.8838934941167777E-3</v>
      </c>
      <c r="AG277" s="958">
        <f ca="1">AF277*User_sheet!B$77/100</f>
        <v>0</v>
      </c>
      <c r="AH277" s="313"/>
      <c r="AI277">
        <v>303</v>
      </c>
      <c r="AK277" s="1018">
        <f t="shared" ca="1" si="380"/>
        <v>268.1123173255607</v>
      </c>
      <c r="AL277" s="924">
        <f ca="1">AK277/'303'!I$24</f>
        <v>0.73525933724272785</v>
      </c>
      <c r="AM277" s="924">
        <f ca="1">0.8*(AK277*30+'303'!D$17*0.34*30*1)</f>
        <v>14431.495615813459</v>
      </c>
      <c r="AN277" s="954">
        <f ca="1">IF(AM277&lt;User_sheet!B$50,Y277,0)</f>
        <v>0</v>
      </c>
      <c r="AO277" s="954">
        <f ca="1">20-(User_sheet!B$57/(AK277+'303'!D$17*1*0.34))</f>
        <v>10.520733010506548</v>
      </c>
      <c r="AP277" s="954">
        <f ca="1">IF(AO277&lt;User_sheet!B$59,0,BC277*AA277)</f>
        <v>3.8838934941167777E-3</v>
      </c>
      <c r="AR277" s="2">
        <v>0.32</v>
      </c>
      <c r="AS277" s="1020">
        <v>0.59799999999999998</v>
      </c>
      <c r="AT277" s="2">
        <v>0.59</v>
      </c>
      <c r="AU277" s="2">
        <v>2.75</v>
      </c>
      <c r="AV277" s="2">
        <v>3.3</v>
      </c>
      <c r="AW277" s="2">
        <v>12257.141193582425</v>
      </c>
      <c r="AX277" s="2">
        <v>72298.2589500467</v>
      </c>
      <c r="AY277" s="2">
        <v>64021.679041832605</v>
      </c>
      <c r="AZ277" s="2">
        <v>0</v>
      </c>
      <c r="BA277" s="2">
        <v>0</v>
      </c>
      <c r="BB277" s="2">
        <v>0.6</v>
      </c>
      <c r="BC277" s="30">
        <v>1</v>
      </c>
      <c r="BD277" s="34">
        <v>0</v>
      </c>
      <c r="BE277" s="34">
        <v>0</v>
      </c>
      <c r="BF277" s="40">
        <v>0</v>
      </c>
      <c r="BG277" s="2">
        <v>1</v>
      </c>
      <c r="BH277" s="2">
        <v>0</v>
      </c>
      <c r="BI277" s="40">
        <v>0</v>
      </c>
      <c r="BJ277" s="2">
        <v>1</v>
      </c>
      <c r="BK277" s="2">
        <v>0</v>
      </c>
      <c r="BL277" s="2">
        <v>0</v>
      </c>
      <c r="BM277" s="40">
        <v>0</v>
      </c>
      <c r="BN277" s="958">
        <v>0.1</v>
      </c>
      <c r="BO277" s="959">
        <v>6</v>
      </c>
      <c r="BP277" s="1018">
        <f t="shared" ref="BP277:BP285" ca="1" si="388">INDIRECT("'"&amp;AI277&amp;"'!"&amp;"B2")</f>
        <v>350</v>
      </c>
      <c r="BQ277" s="1018">
        <f t="shared" ref="BQ277:BQ285" ca="1" si="389">INDIRECT("'"&amp;AI277&amp;"'!"&amp;"C12")+INDIRECT("'"&amp;AI277&amp;"'!"&amp;"C13")+INDIRECT("'"&amp;AI277&amp;"'!"&amp;"C14")+INDIRECT("'"&amp;AI277&amp;"'!"&amp;"C15")+INDIRECT("'"&amp;AI277&amp;"'!"&amp;"C17")</f>
        <v>764.40000000000009</v>
      </c>
      <c r="BR277" s="1018">
        <f t="shared" ref="BR277:BR285" ca="1" si="390">INDIRECT("'"&amp;AI277&amp;"'!"&amp;"G5")</f>
        <v>105</v>
      </c>
      <c r="BS277" s="1018">
        <f t="shared" ref="BS277:BS285" ca="1" si="391">INDIRECT("'"&amp;AI277&amp;"'!"&amp;"G4")</f>
        <v>112.64999999999998</v>
      </c>
      <c r="BT277" s="1018">
        <f t="shared" ref="BT277:BT285" ca="1" si="392">INDIRECT("'"&amp;AI277&amp;"'!"&amp;"G6")</f>
        <v>105</v>
      </c>
      <c r="BU277" s="1018">
        <f t="shared" ref="BU277:BU285" ca="1" si="393">INDIRECT("'"&amp;AI277&amp;"'!"&amp;"G2")</f>
        <v>42</v>
      </c>
      <c r="BV277" s="1018">
        <f t="shared" ref="BV277:BV285" ca="1" si="394">INDIRECT("'"&amp;AI277&amp;"'!"&amp;"G3")</f>
        <v>2.15</v>
      </c>
      <c r="BW277" s="1018">
        <v>0</v>
      </c>
      <c r="BX277" s="1018">
        <f t="shared" ref="BX277:BX285" ca="1" si="395">IF(BR277=0,0,1/(1/(BR277*$BY$3)+1/(BR277*AR277)+1/(BR277*$BY$4)))</f>
        <v>31.834259727134924</v>
      </c>
      <c r="BY277" s="1018">
        <f t="shared" ref="BY277:BY285" ca="1" si="396">IF(BS277=0,0,1/(1/(BS277*$BY$3)+1/(BS277*AS277)+1/(BS277*$BY$4)))</f>
        <v>61.037916495517898</v>
      </c>
      <c r="BZ277" s="1018">
        <f t="shared" ca="1" si="381"/>
        <v>18.546782387806946</v>
      </c>
      <c r="CA277" s="1018">
        <f t="shared" ca="1" si="382"/>
        <v>115.49999993647498</v>
      </c>
      <c r="CB277" s="1018">
        <f t="shared" ref="CB277:CB285" ca="1" si="397">IF(BV277=0,0,1/(1/(BV277*$BY$3)+1/(BV277*AV277)+1/(BV277*$BY$4)))</f>
        <v>4.5133587786259541</v>
      </c>
      <c r="CC277" s="1018">
        <f t="shared" si="383"/>
        <v>0</v>
      </c>
      <c r="CD277" s="1018">
        <f ca="1">SUM(BX277:CC277)+(BR277+BS277+BT277+BU277+BV277)*BN277</f>
        <v>268.1123173255607</v>
      </c>
      <c r="CE277" s="1018">
        <f t="shared" ref="CE277:CE335" ca="1" si="398">0.34*BO277*(1/25)^0.66*(BR277+BS277+BU277+BV277)</f>
        <v>63.820382670258994</v>
      </c>
      <c r="CF277" s="1018">
        <f t="shared" ca="1" si="384"/>
        <v>9.9579809998745912</v>
      </c>
      <c r="CG277" s="1018">
        <f t="shared" ca="1" si="385"/>
        <v>16579.640045551198</v>
      </c>
    </row>
    <row r="278" spans="1:85" x14ac:dyDescent="0.25">
      <c r="A278" s="702"/>
      <c r="B278" s="708"/>
      <c r="C278" s="702"/>
      <c r="D278" s="703"/>
      <c r="E278" s="702"/>
      <c r="F278" s="703"/>
      <c r="G278" s="702"/>
      <c r="H278" s="703"/>
      <c r="I278" s="702"/>
      <c r="J278" s="703"/>
      <c r="K278" s="703"/>
      <c r="L278" s="703"/>
      <c r="M278" s="703"/>
      <c r="N278" s="703"/>
      <c r="O278" s="703" t="s">
        <v>18</v>
      </c>
      <c r="P278" s="705">
        <v>0.89156626500000002</v>
      </c>
      <c r="Q278" s="703" t="s">
        <v>7</v>
      </c>
      <c r="R278" s="705">
        <v>7.4300000000000005E-2</v>
      </c>
      <c r="S278" s="703"/>
      <c r="T278" s="713">
        <v>3.1172883919239119E-4</v>
      </c>
      <c r="U278" s="702"/>
      <c r="V278" s="176">
        <f t="shared" si="386"/>
        <v>3.1172883919239119E-4</v>
      </c>
      <c r="W278" s="176">
        <f t="shared" ref="W278:X285" si="399">V278</f>
        <v>3.1172883919239119E-4</v>
      </c>
      <c r="X278" s="176">
        <f t="shared" si="399"/>
        <v>3.1172883919239119E-4</v>
      </c>
      <c r="Y278" s="34">
        <f>X278/Calculation_sheet!M$67</f>
        <v>3.1173521293386254E-4</v>
      </c>
      <c r="Z278" s="176">
        <f ca="1">IF(AN278&gt;0,Y278*Calculation_sheet!C$87,0)</f>
        <v>0</v>
      </c>
      <c r="AA278" s="176">
        <f t="shared" ca="1" si="377"/>
        <v>3.1173521293386254E-4</v>
      </c>
      <c r="AB278" s="176">
        <f ca="1">IF(AP278&gt;0,AA278*Calculation_sheet!C$94,0)</f>
        <v>0</v>
      </c>
      <c r="AC278" s="176">
        <f t="shared" ca="1" si="387"/>
        <v>3.1173521293386254E-4</v>
      </c>
      <c r="AD278" s="958">
        <f ca="1">AC278*Calculation_sheet!C$99</f>
        <v>1.8704112776031753E-4</v>
      </c>
      <c r="AE278" s="176">
        <f t="shared" ca="1" si="387"/>
        <v>1.2469408517354501E-4</v>
      </c>
      <c r="AF278" s="176">
        <f t="shared" ref="AF278:AF341" ca="1" si="400">Y278-AB278</f>
        <v>3.1173521293386254E-4</v>
      </c>
      <c r="AG278" s="958">
        <f ca="1">AF278*User_sheet!B$77/100</f>
        <v>0</v>
      </c>
      <c r="AH278" s="313"/>
      <c r="AI278">
        <v>303</v>
      </c>
      <c r="AK278" s="1018">
        <f t="shared" ca="1" si="380"/>
        <v>268.1123173255607</v>
      </c>
      <c r="AL278" s="924">
        <f ca="1">AK278/'303'!I$24</f>
        <v>0.73525933724272785</v>
      </c>
      <c r="AM278" s="924">
        <f ca="1">0.8*(AK278*30+'303'!D$17*0.34*30*1)</f>
        <v>14431.495615813459</v>
      </c>
      <c r="AN278" s="954">
        <f ca="1">IF(AM278&lt;User_sheet!B$50,Y278,0)</f>
        <v>0</v>
      </c>
      <c r="AO278" s="954">
        <f ca="1">20-(User_sheet!B$57/(AK278+'303'!D$17*1*0.34))</f>
        <v>10.520733010506548</v>
      </c>
      <c r="AP278" s="954">
        <f ca="1">IF(AO278&lt;User_sheet!B$59,0,BC278*AA278)</f>
        <v>3.1173521293386254E-4</v>
      </c>
      <c r="AR278" s="2">
        <v>0.32</v>
      </c>
      <c r="AS278" s="1020">
        <v>0.59799999999999998</v>
      </c>
      <c r="AT278" s="2">
        <v>0.59</v>
      </c>
      <c r="AU278" s="2">
        <v>2.75</v>
      </c>
      <c r="AV278" s="2">
        <v>3.3</v>
      </c>
      <c r="AW278" s="2">
        <v>12257.141193582425</v>
      </c>
      <c r="AX278" s="2">
        <v>72298.2589500467</v>
      </c>
      <c r="AY278" s="2">
        <v>64021.679041832605</v>
      </c>
      <c r="AZ278" s="2">
        <v>0</v>
      </c>
      <c r="BA278" s="2">
        <v>0</v>
      </c>
      <c r="BB278" s="2">
        <v>0.6</v>
      </c>
      <c r="BC278" s="30">
        <v>1</v>
      </c>
      <c r="BD278" s="34">
        <v>0</v>
      </c>
      <c r="BE278" s="34">
        <v>0</v>
      </c>
      <c r="BF278" s="40">
        <v>0</v>
      </c>
      <c r="BG278" s="2">
        <v>1</v>
      </c>
      <c r="BH278" s="2">
        <v>0</v>
      </c>
      <c r="BI278" s="40">
        <v>0</v>
      </c>
      <c r="BJ278" s="2">
        <v>0</v>
      </c>
      <c r="BK278" s="2">
        <v>0</v>
      </c>
      <c r="BL278" s="2">
        <v>1</v>
      </c>
      <c r="BM278" s="40">
        <v>0</v>
      </c>
      <c r="BN278" s="958">
        <v>0.1</v>
      </c>
      <c r="BO278" s="959">
        <v>6</v>
      </c>
      <c r="BP278" s="1018">
        <f t="shared" ca="1" si="388"/>
        <v>350</v>
      </c>
      <c r="BQ278" s="1018">
        <f t="shared" ca="1" si="389"/>
        <v>764.40000000000009</v>
      </c>
      <c r="BR278" s="1018">
        <f t="shared" ca="1" si="390"/>
        <v>105</v>
      </c>
      <c r="BS278" s="1018">
        <f t="shared" ca="1" si="391"/>
        <v>112.64999999999998</v>
      </c>
      <c r="BT278" s="1018">
        <f t="shared" ca="1" si="392"/>
        <v>105</v>
      </c>
      <c r="BU278" s="1018">
        <f t="shared" ca="1" si="393"/>
        <v>42</v>
      </c>
      <c r="BV278" s="1018">
        <f t="shared" ca="1" si="394"/>
        <v>2.15</v>
      </c>
      <c r="BW278" s="1018">
        <v>0</v>
      </c>
      <c r="BX278" s="1018">
        <f t="shared" ca="1" si="395"/>
        <v>31.834259727134924</v>
      </c>
      <c r="BY278" s="1018">
        <f t="shared" ca="1" si="396"/>
        <v>61.037916495517898</v>
      </c>
      <c r="BZ278" s="1018">
        <f t="shared" ca="1" si="381"/>
        <v>18.546782387806946</v>
      </c>
      <c r="CA278" s="1018">
        <f t="shared" ca="1" si="382"/>
        <v>115.49999993647498</v>
      </c>
      <c r="CB278" s="1018">
        <f t="shared" ca="1" si="397"/>
        <v>4.5133587786259541</v>
      </c>
      <c r="CC278" s="1018">
        <f t="shared" si="383"/>
        <v>0</v>
      </c>
      <c r="CD278" s="1018">
        <f t="shared" ref="CD278:CD285" ca="1" si="401">SUM(BX278:CC278)+(BR278+BS278+BT278+BU278+BV278)*BN278</f>
        <v>268.1123173255607</v>
      </c>
      <c r="CE278" s="1018">
        <f t="shared" ca="1" si="398"/>
        <v>63.820382670258994</v>
      </c>
      <c r="CF278" s="1018">
        <f t="shared" ca="1" si="384"/>
        <v>9.9579809998745912</v>
      </c>
      <c r="CG278" s="1018">
        <f t="shared" ca="1" si="385"/>
        <v>16579.640045551198</v>
      </c>
    </row>
    <row r="279" spans="1:85" x14ac:dyDescent="0.25">
      <c r="A279" s="702"/>
      <c r="B279" s="708"/>
      <c r="C279" s="702"/>
      <c r="D279" s="703"/>
      <c r="E279" s="702"/>
      <c r="F279" s="703"/>
      <c r="G279" s="702"/>
      <c r="H279" s="703"/>
      <c r="I279" s="702"/>
      <c r="J279" s="703"/>
      <c r="K279" s="703"/>
      <c r="L279" s="703"/>
      <c r="M279" s="703"/>
      <c r="N279" s="703"/>
      <c r="O279" s="703"/>
      <c r="P279" s="703"/>
      <c r="Q279" s="703" t="s">
        <v>16</v>
      </c>
      <c r="R279" s="705">
        <v>0.92569999999999997</v>
      </c>
      <c r="S279" s="703"/>
      <c r="T279" s="713">
        <v>4.7235576726599351E-4</v>
      </c>
      <c r="U279" s="702"/>
      <c r="V279" s="176">
        <f t="shared" si="386"/>
        <v>4.7235576726599351E-4</v>
      </c>
      <c r="W279" s="176">
        <f t="shared" si="399"/>
        <v>4.7235576726599351E-4</v>
      </c>
      <c r="X279" s="176">
        <f t="shared" si="399"/>
        <v>4.7235576726599351E-4</v>
      </c>
      <c r="Y279" s="34">
        <f>X279/Calculation_sheet!M$67</f>
        <v>4.723654252544904E-4</v>
      </c>
      <c r="Z279" s="176">
        <f ca="1">IF(AN279&gt;0,Y279*Calculation_sheet!C$87,0)</f>
        <v>0</v>
      </c>
      <c r="AA279" s="176">
        <f t="shared" ca="1" si="377"/>
        <v>4.723654252544904E-4</v>
      </c>
      <c r="AB279" s="176">
        <f ca="1">IF(AP279&gt;0,AA279*Calculation_sheet!C$94,0)</f>
        <v>0</v>
      </c>
      <c r="AC279" s="176">
        <f t="shared" ca="1" si="387"/>
        <v>4.723654252544904E-4</v>
      </c>
      <c r="AD279" s="958">
        <f ca="1">AC279*Calculation_sheet!C$99</f>
        <v>2.8341925515269425E-4</v>
      </c>
      <c r="AE279" s="176">
        <f t="shared" ca="1" si="387"/>
        <v>1.8894617010179615E-4</v>
      </c>
      <c r="AF279" s="176">
        <f t="shared" ca="1" si="400"/>
        <v>4.723654252544904E-4</v>
      </c>
      <c r="AG279" s="958">
        <f ca="1">AF279*User_sheet!B$77/100</f>
        <v>0</v>
      </c>
      <c r="AH279" s="313"/>
      <c r="AI279">
        <v>303</v>
      </c>
      <c r="AK279" s="1018">
        <f t="shared" ca="1" si="380"/>
        <v>268.1123173255607</v>
      </c>
      <c r="AL279" s="924">
        <f ca="1">AK279/'303'!I$24</f>
        <v>0.73525933724272785</v>
      </c>
      <c r="AM279" s="924">
        <f ca="1">0.8*(AK279*30+'303'!D$17*0.34*30*1)</f>
        <v>14431.495615813459</v>
      </c>
      <c r="AN279" s="954">
        <f ca="1">IF(AM279&lt;User_sheet!B$50,Y279,0)</f>
        <v>0</v>
      </c>
      <c r="AO279" s="954">
        <f ca="1">20-(User_sheet!B$57/(AK279+'303'!D$17*1*0.34))</f>
        <v>10.520733010506548</v>
      </c>
      <c r="AP279" s="954">
        <f ca="1">IF(AO279&lt;User_sheet!B$59,0,BC279*AA279)</f>
        <v>4.723654252544904E-4</v>
      </c>
      <c r="AR279" s="2">
        <v>0.32</v>
      </c>
      <c r="AS279" s="1020">
        <v>0.59799999999999998</v>
      </c>
      <c r="AT279" s="2">
        <v>0.59</v>
      </c>
      <c r="AU279" s="2">
        <v>2.75</v>
      </c>
      <c r="AV279" s="2">
        <v>3.3</v>
      </c>
      <c r="AW279" s="2">
        <v>12257.141193582425</v>
      </c>
      <c r="AX279" s="2">
        <v>72298.2589500467</v>
      </c>
      <c r="AY279" s="2">
        <v>64021.679041832605</v>
      </c>
      <c r="AZ279" s="2">
        <v>0</v>
      </c>
      <c r="BA279" s="2">
        <v>0</v>
      </c>
      <c r="BB279" s="2">
        <v>0.6</v>
      </c>
      <c r="BC279" s="30">
        <v>1</v>
      </c>
      <c r="BD279" s="34">
        <v>0</v>
      </c>
      <c r="BE279" s="34">
        <v>0</v>
      </c>
      <c r="BF279" s="40">
        <v>0</v>
      </c>
      <c r="BG279" s="2">
        <v>0</v>
      </c>
      <c r="BH279" s="2">
        <v>1</v>
      </c>
      <c r="BI279" s="40">
        <v>0</v>
      </c>
      <c r="BJ279" s="2">
        <v>1</v>
      </c>
      <c r="BK279" s="2">
        <v>0</v>
      </c>
      <c r="BL279" s="2">
        <v>0</v>
      </c>
      <c r="BM279" s="40">
        <v>0</v>
      </c>
      <c r="BN279" s="958">
        <v>0.1</v>
      </c>
      <c r="BO279" s="959">
        <v>6</v>
      </c>
      <c r="BP279" s="1018">
        <f t="shared" ca="1" si="388"/>
        <v>350</v>
      </c>
      <c r="BQ279" s="1018">
        <f t="shared" ca="1" si="389"/>
        <v>764.40000000000009</v>
      </c>
      <c r="BR279" s="1018">
        <f t="shared" ca="1" si="390"/>
        <v>105</v>
      </c>
      <c r="BS279" s="1018">
        <f t="shared" ca="1" si="391"/>
        <v>112.64999999999998</v>
      </c>
      <c r="BT279" s="1018">
        <f t="shared" ca="1" si="392"/>
        <v>105</v>
      </c>
      <c r="BU279" s="1018">
        <f t="shared" ca="1" si="393"/>
        <v>42</v>
      </c>
      <c r="BV279" s="1018">
        <f t="shared" ca="1" si="394"/>
        <v>2.15</v>
      </c>
      <c r="BW279" s="1018">
        <v>0</v>
      </c>
      <c r="BX279" s="1018">
        <f t="shared" ca="1" si="395"/>
        <v>31.834259727134924</v>
      </c>
      <c r="BY279" s="1018">
        <f t="shared" ca="1" si="396"/>
        <v>61.037916495517898</v>
      </c>
      <c r="BZ279" s="1018">
        <f t="shared" ca="1" si="381"/>
        <v>18.546782387806946</v>
      </c>
      <c r="CA279" s="1018">
        <f t="shared" ca="1" si="382"/>
        <v>115.49999993647498</v>
      </c>
      <c r="CB279" s="1018">
        <f t="shared" ca="1" si="397"/>
        <v>4.5133587786259541</v>
      </c>
      <c r="CC279" s="1018">
        <f t="shared" si="383"/>
        <v>0</v>
      </c>
      <c r="CD279" s="1018">
        <f t="shared" ca="1" si="401"/>
        <v>268.1123173255607</v>
      </c>
      <c r="CE279" s="1018">
        <f t="shared" ca="1" si="398"/>
        <v>63.820382670258994</v>
      </c>
      <c r="CF279" s="1018">
        <f t="shared" ca="1" si="384"/>
        <v>9.9579809998745912</v>
      </c>
      <c r="CG279" s="1018">
        <f t="shared" ca="1" si="385"/>
        <v>16579.640045551198</v>
      </c>
    </row>
    <row r="280" spans="1:85" x14ac:dyDescent="0.25">
      <c r="A280" s="702"/>
      <c r="B280" s="708"/>
      <c r="C280" s="702"/>
      <c r="D280" s="703"/>
      <c r="E280" s="702"/>
      <c r="F280" s="703"/>
      <c r="G280" s="702"/>
      <c r="H280" s="703"/>
      <c r="I280" s="702"/>
      <c r="J280" s="703"/>
      <c r="K280" s="703"/>
      <c r="L280" s="703"/>
      <c r="M280" s="703" t="s">
        <v>16</v>
      </c>
      <c r="N280" s="705">
        <v>0.41099999999999998</v>
      </c>
      <c r="O280" s="703" t="s">
        <v>19</v>
      </c>
      <c r="P280" s="705">
        <v>0.108433735</v>
      </c>
      <c r="Q280" s="703" t="s">
        <v>7</v>
      </c>
      <c r="R280" s="705">
        <v>7.4300000000000005E-2</v>
      </c>
      <c r="S280" s="703"/>
      <c r="T280" s="713">
        <v>3.7912966952428784E-5</v>
      </c>
      <c r="U280" s="702"/>
      <c r="V280" s="176">
        <f t="shared" si="386"/>
        <v>3.7912966952428784E-5</v>
      </c>
      <c r="W280" s="176">
        <f t="shared" si="399"/>
        <v>3.7912966952428784E-5</v>
      </c>
      <c r="X280" s="176">
        <f t="shared" si="399"/>
        <v>3.7912966952428784E-5</v>
      </c>
      <c r="Y280" s="34">
        <f>X280/Calculation_sheet!M$67</f>
        <v>3.7913742137202814E-5</v>
      </c>
      <c r="Z280" s="176">
        <f ca="1">IF(AN280&gt;0,Y280*Calculation_sheet!C$87,0)</f>
        <v>0</v>
      </c>
      <c r="AA280" s="176">
        <f t="shared" ca="1" si="377"/>
        <v>3.7913742137202814E-5</v>
      </c>
      <c r="AB280" s="176">
        <f ca="1">IF(AP280&gt;0,AA280*Calculation_sheet!C$94,0)</f>
        <v>0</v>
      </c>
      <c r="AC280" s="176">
        <f t="shared" ca="1" si="387"/>
        <v>3.7913742137202814E-5</v>
      </c>
      <c r="AD280" s="958">
        <f ca="1">AC280*Calculation_sheet!C$99</f>
        <v>2.2748245282321689E-5</v>
      </c>
      <c r="AE280" s="176">
        <f t="shared" ca="1" si="387"/>
        <v>1.5165496854881126E-5</v>
      </c>
      <c r="AF280" s="176">
        <f t="shared" ca="1" si="400"/>
        <v>3.7913742137202814E-5</v>
      </c>
      <c r="AG280" s="958">
        <f ca="1">AF280*User_sheet!B$77/100</f>
        <v>0</v>
      </c>
      <c r="AH280" s="313"/>
      <c r="AI280">
        <v>303</v>
      </c>
      <c r="AK280" s="1018">
        <f t="shared" ca="1" si="380"/>
        <v>268.1123173255607</v>
      </c>
      <c r="AL280" s="924">
        <f ca="1">AK280/'303'!I$24</f>
        <v>0.73525933724272785</v>
      </c>
      <c r="AM280" s="924">
        <f ca="1">0.8*(AK280*30+'303'!D$17*0.34*30*1)</f>
        <v>14431.495615813459</v>
      </c>
      <c r="AN280" s="954">
        <f ca="1">IF(AM280&lt;User_sheet!B$50,Y280,0)</f>
        <v>0</v>
      </c>
      <c r="AO280" s="954">
        <f ca="1">20-(User_sheet!B$57/(AK280+'303'!D$17*1*0.34))</f>
        <v>10.520733010506548</v>
      </c>
      <c r="AP280" s="954">
        <f ca="1">IF(AO280&lt;User_sheet!B$59,0,BC280*AA280)</f>
        <v>3.7913742137202814E-5</v>
      </c>
      <c r="AR280" s="2">
        <v>0.32</v>
      </c>
      <c r="AS280" s="1020">
        <v>0.59799999999999998</v>
      </c>
      <c r="AT280" s="2">
        <v>0.59</v>
      </c>
      <c r="AU280" s="2">
        <v>2.75</v>
      </c>
      <c r="AV280" s="2">
        <v>3.3</v>
      </c>
      <c r="AW280" s="2">
        <v>12257.141193582425</v>
      </c>
      <c r="AX280" s="2">
        <v>72298.2589500467</v>
      </c>
      <c r="AY280" s="2">
        <v>64021.679041832605</v>
      </c>
      <c r="AZ280" s="2">
        <v>0</v>
      </c>
      <c r="BA280" s="2">
        <v>0</v>
      </c>
      <c r="BB280" s="2">
        <v>0.6</v>
      </c>
      <c r="BC280" s="30">
        <v>1</v>
      </c>
      <c r="BD280" s="34">
        <v>0</v>
      </c>
      <c r="BE280" s="34">
        <v>0</v>
      </c>
      <c r="BF280" s="40">
        <v>0</v>
      </c>
      <c r="BG280" s="2">
        <v>0</v>
      </c>
      <c r="BH280" s="2">
        <v>1</v>
      </c>
      <c r="BI280" s="40">
        <v>0</v>
      </c>
      <c r="BJ280" s="2">
        <v>0</v>
      </c>
      <c r="BK280" s="2">
        <v>0</v>
      </c>
      <c r="BL280" s="2">
        <v>1</v>
      </c>
      <c r="BM280" s="40">
        <v>0</v>
      </c>
      <c r="BN280" s="958">
        <v>0.1</v>
      </c>
      <c r="BO280" s="959">
        <v>6</v>
      </c>
      <c r="BP280" s="1018">
        <f t="shared" ca="1" si="388"/>
        <v>350</v>
      </c>
      <c r="BQ280" s="1018">
        <f t="shared" ca="1" si="389"/>
        <v>764.40000000000009</v>
      </c>
      <c r="BR280" s="1018">
        <f t="shared" ca="1" si="390"/>
        <v>105</v>
      </c>
      <c r="BS280" s="1018">
        <f t="shared" ca="1" si="391"/>
        <v>112.64999999999998</v>
      </c>
      <c r="BT280" s="1018">
        <f t="shared" ca="1" si="392"/>
        <v>105</v>
      </c>
      <c r="BU280" s="1018">
        <f t="shared" ca="1" si="393"/>
        <v>42</v>
      </c>
      <c r="BV280" s="1018">
        <f t="shared" ca="1" si="394"/>
        <v>2.15</v>
      </c>
      <c r="BW280" s="1018">
        <v>0</v>
      </c>
      <c r="BX280" s="1018">
        <f t="shared" ca="1" si="395"/>
        <v>31.834259727134924</v>
      </c>
      <c r="BY280" s="1018">
        <f t="shared" ca="1" si="396"/>
        <v>61.037916495517898</v>
      </c>
      <c r="BZ280" s="1018">
        <f t="shared" ca="1" si="381"/>
        <v>18.546782387806946</v>
      </c>
      <c r="CA280" s="1018">
        <f t="shared" ca="1" si="382"/>
        <v>115.49999993647498</v>
      </c>
      <c r="CB280" s="1018">
        <f t="shared" ca="1" si="397"/>
        <v>4.5133587786259541</v>
      </c>
      <c r="CC280" s="1018">
        <f t="shared" si="383"/>
        <v>0</v>
      </c>
      <c r="CD280" s="1018">
        <f t="shared" ca="1" si="401"/>
        <v>268.1123173255607</v>
      </c>
      <c r="CE280" s="1018">
        <f t="shared" ca="1" si="398"/>
        <v>63.820382670258994</v>
      </c>
      <c r="CF280" s="1018">
        <f t="shared" ca="1" si="384"/>
        <v>9.9579809998745912</v>
      </c>
      <c r="CG280" s="1018">
        <f t="shared" ca="1" si="385"/>
        <v>16579.640045551198</v>
      </c>
    </row>
    <row r="281" spans="1:85" x14ac:dyDescent="0.25">
      <c r="A281" s="702"/>
      <c r="B281" s="708"/>
      <c r="C281" s="702"/>
      <c r="D281" s="703"/>
      <c r="E281" s="702"/>
      <c r="F281" s="703"/>
      <c r="G281" s="702"/>
      <c r="H281" s="703"/>
      <c r="I281" s="702"/>
      <c r="J281" s="703"/>
      <c r="K281" s="703"/>
      <c r="L281" s="703"/>
      <c r="M281" s="703"/>
      <c r="N281" s="703"/>
      <c r="O281" s="703"/>
      <c r="P281" s="703"/>
      <c r="Q281" s="703" t="s">
        <v>22</v>
      </c>
      <c r="R281" s="705">
        <v>0.60750000000000004</v>
      </c>
      <c r="S281" s="703"/>
      <c r="T281" s="713">
        <v>3.0860918943170397E-3</v>
      </c>
      <c r="U281" s="702"/>
      <c r="V281" s="176">
        <f t="shared" si="386"/>
        <v>3.0860918943170397E-3</v>
      </c>
      <c r="W281" s="176">
        <f t="shared" si="399"/>
        <v>3.0860918943170397E-3</v>
      </c>
      <c r="X281" s="176">
        <f t="shared" si="399"/>
        <v>3.0860918943170397E-3</v>
      </c>
      <c r="Y281" s="34">
        <f>X281/Calculation_sheet!M$67</f>
        <v>3.0861549938747909E-3</v>
      </c>
      <c r="Z281" s="176">
        <f ca="1">IF(AN281&gt;0,Y281*Calculation_sheet!C$87,0)</f>
        <v>0</v>
      </c>
      <c r="AA281" s="176">
        <f t="shared" ca="1" si="377"/>
        <v>3.0861549938747909E-3</v>
      </c>
      <c r="AB281" s="176">
        <f ca="1">IF(AP281&gt;0,AA281*Calculation_sheet!C$94,0)</f>
        <v>0</v>
      </c>
      <c r="AC281" s="176">
        <f t="shared" ca="1" si="387"/>
        <v>3.0861549938747909E-3</v>
      </c>
      <c r="AD281" s="958">
        <f ca="1">AC281*Calculation_sheet!C$99</f>
        <v>1.8516929963248744E-3</v>
      </c>
      <c r="AE281" s="176">
        <f t="shared" ca="1" si="387"/>
        <v>1.2344619975499164E-3</v>
      </c>
      <c r="AF281" s="176">
        <f t="shared" ca="1" si="400"/>
        <v>3.0861549938747909E-3</v>
      </c>
      <c r="AG281" s="958">
        <f ca="1">AF281*User_sheet!B$77/100</f>
        <v>0</v>
      </c>
      <c r="AH281" s="313"/>
      <c r="AI281">
        <v>303</v>
      </c>
      <c r="AK281" s="1018">
        <f t="shared" ca="1" si="380"/>
        <v>268.1123173255607</v>
      </c>
      <c r="AL281" s="924">
        <f ca="1">AK281/'303'!I$24</f>
        <v>0.73525933724272785</v>
      </c>
      <c r="AM281" s="924">
        <f ca="1">0.8*(AK281*30+'303'!D$17*0.34*30*1)</f>
        <v>14431.495615813459</v>
      </c>
      <c r="AN281" s="954">
        <f ca="1">IF(AM281&lt;User_sheet!B$50,Y281,0)</f>
        <v>0</v>
      </c>
      <c r="AO281" s="954">
        <f ca="1">20-(User_sheet!B$57/(AK281+'303'!D$17*1*0.34))</f>
        <v>10.520733010506548</v>
      </c>
      <c r="AP281" s="954">
        <f ca="1">IF(AO281&lt;User_sheet!B$59,0,BC281*AA281)</f>
        <v>0</v>
      </c>
      <c r="AR281" s="2">
        <v>0.32</v>
      </c>
      <c r="AS281" s="1020">
        <v>0.59799999999999998</v>
      </c>
      <c r="AT281" s="2">
        <v>0.59</v>
      </c>
      <c r="AU281" s="2">
        <v>2.75</v>
      </c>
      <c r="AV281" s="2">
        <v>3.3</v>
      </c>
      <c r="AW281" s="2">
        <v>12257.141193582425</v>
      </c>
      <c r="AX281" s="2">
        <v>72298.2589500467</v>
      </c>
      <c r="AY281" s="2">
        <v>64021.679041832605</v>
      </c>
      <c r="AZ281" s="2">
        <v>0</v>
      </c>
      <c r="BA281" s="2">
        <v>0</v>
      </c>
      <c r="BB281" s="2">
        <v>0.6</v>
      </c>
      <c r="BC281" s="30">
        <v>0</v>
      </c>
      <c r="BD281" s="34">
        <v>1</v>
      </c>
      <c r="BE281" s="34">
        <v>0</v>
      </c>
      <c r="BF281" s="40">
        <v>0</v>
      </c>
      <c r="BG281" s="2">
        <v>1</v>
      </c>
      <c r="BH281" s="2">
        <v>0</v>
      </c>
      <c r="BI281" s="40">
        <v>0</v>
      </c>
      <c r="BJ281" s="2">
        <v>0</v>
      </c>
      <c r="BK281" s="2">
        <v>1</v>
      </c>
      <c r="BL281" s="2">
        <v>0</v>
      </c>
      <c r="BM281" s="40">
        <v>0</v>
      </c>
      <c r="BN281" s="958">
        <v>0.1</v>
      </c>
      <c r="BO281" s="959">
        <v>6</v>
      </c>
      <c r="BP281" s="1018">
        <f t="shared" ca="1" si="388"/>
        <v>350</v>
      </c>
      <c r="BQ281" s="1018">
        <f t="shared" ca="1" si="389"/>
        <v>764.40000000000009</v>
      </c>
      <c r="BR281" s="1018">
        <f t="shared" ca="1" si="390"/>
        <v>105</v>
      </c>
      <c r="BS281" s="1018">
        <f t="shared" ca="1" si="391"/>
        <v>112.64999999999998</v>
      </c>
      <c r="BT281" s="1018">
        <f t="shared" ca="1" si="392"/>
        <v>105</v>
      </c>
      <c r="BU281" s="1018">
        <f t="shared" ca="1" si="393"/>
        <v>42</v>
      </c>
      <c r="BV281" s="1018">
        <f t="shared" ca="1" si="394"/>
        <v>2.15</v>
      </c>
      <c r="BW281" s="1018">
        <v>0</v>
      </c>
      <c r="BX281" s="1018">
        <f t="shared" ca="1" si="395"/>
        <v>31.834259727134924</v>
      </c>
      <c r="BY281" s="1018">
        <f t="shared" ca="1" si="396"/>
        <v>61.037916495517898</v>
      </c>
      <c r="BZ281" s="1018">
        <f t="shared" ca="1" si="381"/>
        <v>18.546782387806946</v>
      </c>
      <c r="CA281" s="1018">
        <f t="shared" ca="1" si="382"/>
        <v>115.49999993647498</v>
      </c>
      <c r="CB281" s="1018">
        <f t="shared" ca="1" si="397"/>
        <v>4.5133587786259541</v>
      </c>
      <c r="CC281" s="1018">
        <f t="shared" si="383"/>
        <v>0</v>
      </c>
      <c r="CD281" s="1018">
        <f t="shared" ca="1" si="401"/>
        <v>268.1123173255607</v>
      </c>
      <c r="CE281" s="1018">
        <f t="shared" ca="1" si="398"/>
        <v>63.820382670258994</v>
      </c>
      <c r="CF281" s="1018">
        <f t="shared" ca="1" si="384"/>
        <v>9.9579809998745912</v>
      </c>
      <c r="CG281" s="1018">
        <f t="shared" ca="1" si="385"/>
        <v>16579.640045551198</v>
      </c>
    </row>
    <row r="282" spans="1:85" x14ac:dyDescent="0.25">
      <c r="A282" s="702"/>
      <c r="B282" s="708"/>
      <c r="C282" s="702"/>
      <c r="D282" s="703"/>
      <c r="E282" s="702"/>
      <c r="F282" s="703"/>
      <c r="G282" s="702"/>
      <c r="H282" s="703"/>
      <c r="I282" s="702"/>
      <c r="J282" s="703"/>
      <c r="K282" s="703"/>
      <c r="L282" s="703"/>
      <c r="M282" s="703"/>
      <c r="N282" s="703"/>
      <c r="O282" s="703" t="s">
        <v>18</v>
      </c>
      <c r="P282" s="705">
        <v>0.94399999999999995</v>
      </c>
      <c r="Q282" s="703" t="s">
        <v>7</v>
      </c>
      <c r="R282" s="705">
        <v>0.39250000000000002</v>
      </c>
      <c r="S282" s="703"/>
      <c r="T282" s="713">
        <v>1.9938947629949597E-3</v>
      </c>
      <c r="U282" s="702"/>
      <c r="V282" s="176">
        <f t="shared" si="386"/>
        <v>1.9938947629949597E-3</v>
      </c>
      <c r="W282" s="176">
        <f t="shared" si="399"/>
        <v>1.9938947629949597E-3</v>
      </c>
      <c r="X282" s="176">
        <f t="shared" si="399"/>
        <v>1.9938947629949597E-3</v>
      </c>
      <c r="Y282" s="34">
        <f>X282/Calculation_sheet!M$67</f>
        <v>1.9939355310219838E-3</v>
      </c>
      <c r="Z282" s="176">
        <f ca="1">IF(AN282&gt;0,Y282*Calculation_sheet!C$87,0)</f>
        <v>0</v>
      </c>
      <c r="AA282" s="176">
        <f t="shared" ca="1" si="377"/>
        <v>1.9939355310219838E-3</v>
      </c>
      <c r="AB282" s="176">
        <f ca="1">IF(AP282&gt;0,AA282*Calculation_sheet!C$94,0)</f>
        <v>0</v>
      </c>
      <c r="AC282" s="176">
        <f t="shared" ca="1" si="387"/>
        <v>1.9939355310219838E-3</v>
      </c>
      <c r="AD282" s="958">
        <f ca="1">AC282*Calculation_sheet!C$99</f>
        <v>1.1963613186131903E-3</v>
      </c>
      <c r="AE282" s="176">
        <f t="shared" ca="1" si="387"/>
        <v>7.9757421240879357E-4</v>
      </c>
      <c r="AF282" s="176">
        <f t="shared" ca="1" si="400"/>
        <v>1.9939355310219838E-3</v>
      </c>
      <c r="AG282" s="958">
        <f ca="1">AF282*User_sheet!B$77/100</f>
        <v>0</v>
      </c>
      <c r="AH282" s="313"/>
      <c r="AI282">
        <v>303</v>
      </c>
      <c r="AK282" s="1018">
        <f t="shared" ca="1" si="380"/>
        <v>268.1123173255607</v>
      </c>
      <c r="AL282" s="924">
        <f ca="1">AK282/'303'!I$24</f>
        <v>0.73525933724272785</v>
      </c>
      <c r="AM282" s="924">
        <f ca="1">0.8*(AK282*30+'303'!D$17*0.34*30*1)</f>
        <v>14431.495615813459</v>
      </c>
      <c r="AN282" s="954">
        <f ca="1">IF(AM282&lt;User_sheet!B$50,Y282,0)</f>
        <v>0</v>
      </c>
      <c r="AO282" s="954">
        <f ca="1">20-(User_sheet!B$57/(AK282+'303'!D$17*1*0.34))</f>
        <v>10.520733010506548</v>
      </c>
      <c r="AP282" s="954">
        <f ca="1">IF(AO282&lt;User_sheet!B$59,0,BC282*AA282)</f>
        <v>0</v>
      </c>
      <c r="AR282" s="2">
        <v>0.32</v>
      </c>
      <c r="AS282" s="1020">
        <v>0.59799999999999998</v>
      </c>
      <c r="AT282" s="2">
        <v>0.59</v>
      </c>
      <c r="AU282" s="2">
        <v>2.75</v>
      </c>
      <c r="AV282" s="2">
        <v>3.3</v>
      </c>
      <c r="AW282" s="2">
        <v>12257.141193582425</v>
      </c>
      <c r="AX282" s="2">
        <v>72298.2589500467</v>
      </c>
      <c r="AY282" s="2">
        <v>64021.679041832605</v>
      </c>
      <c r="AZ282" s="2">
        <v>0</v>
      </c>
      <c r="BA282" s="2">
        <v>0</v>
      </c>
      <c r="BB282" s="2">
        <v>0.6</v>
      </c>
      <c r="BC282" s="30">
        <v>0</v>
      </c>
      <c r="BD282" s="34">
        <v>1</v>
      </c>
      <c r="BE282" s="34">
        <v>0</v>
      </c>
      <c r="BF282" s="40">
        <v>0</v>
      </c>
      <c r="BG282" s="2">
        <v>1</v>
      </c>
      <c r="BH282" s="2">
        <v>0</v>
      </c>
      <c r="BI282" s="40">
        <v>0</v>
      </c>
      <c r="BJ282" s="2">
        <v>0</v>
      </c>
      <c r="BK282" s="2">
        <v>0</v>
      </c>
      <c r="BL282" s="2">
        <v>1</v>
      </c>
      <c r="BM282" s="40">
        <v>0</v>
      </c>
      <c r="BN282" s="958">
        <v>0.1</v>
      </c>
      <c r="BO282" s="959">
        <v>6</v>
      </c>
      <c r="BP282" s="1018">
        <f t="shared" ca="1" si="388"/>
        <v>350</v>
      </c>
      <c r="BQ282" s="1018">
        <f t="shared" ca="1" si="389"/>
        <v>764.40000000000009</v>
      </c>
      <c r="BR282" s="1018">
        <f t="shared" ca="1" si="390"/>
        <v>105</v>
      </c>
      <c r="BS282" s="1018">
        <f t="shared" ca="1" si="391"/>
        <v>112.64999999999998</v>
      </c>
      <c r="BT282" s="1018">
        <f t="shared" ca="1" si="392"/>
        <v>105</v>
      </c>
      <c r="BU282" s="1018">
        <f t="shared" ca="1" si="393"/>
        <v>42</v>
      </c>
      <c r="BV282" s="1018">
        <f t="shared" ca="1" si="394"/>
        <v>2.15</v>
      </c>
      <c r="BW282" s="1018">
        <v>0</v>
      </c>
      <c r="BX282" s="1018">
        <f t="shared" ca="1" si="395"/>
        <v>31.834259727134924</v>
      </c>
      <c r="BY282" s="1018">
        <f t="shared" ca="1" si="396"/>
        <v>61.037916495517898</v>
      </c>
      <c r="BZ282" s="1018">
        <f t="shared" ca="1" si="381"/>
        <v>18.546782387806946</v>
      </c>
      <c r="CA282" s="1018">
        <f t="shared" ca="1" si="382"/>
        <v>115.49999993647498</v>
      </c>
      <c r="CB282" s="1018">
        <f t="shared" ca="1" si="397"/>
        <v>4.5133587786259541</v>
      </c>
      <c r="CC282" s="1018">
        <f t="shared" si="383"/>
        <v>0</v>
      </c>
      <c r="CD282" s="1018">
        <f t="shared" ca="1" si="401"/>
        <v>268.1123173255607</v>
      </c>
      <c r="CE282" s="1018">
        <f t="shared" ca="1" si="398"/>
        <v>63.820382670258994</v>
      </c>
      <c r="CF282" s="1018">
        <f t="shared" ca="1" si="384"/>
        <v>9.9579809998745912</v>
      </c>
      <c r="CG282" s="1018">
        <f t="shared" ca="1" si="385"/>
        <v>16579.640045551198</v>
      </c>
    </row>
    <row r="283" spans="1:85" x14ac:dyDescent="0.25">
      <c r="A283" s="702"/>
      <c r="B283" s="702"/>
      <c r="C283" s="702"/>
      <c r="D283" s="703"/>
      <c r="E283" s="702"/>
      <c r="F283" s="703"/>
      <c r="G283" s="702"/>
      <c r="H283" s="703"/>
      <c r="I283" s="702"/>
      <c r="J283" s="703"/>
      <c r="K283" s="703"/>
      <c r="L283" s="703"/>
      <c r="M283" s="703"/>
      <c r="N283" s="703"/>
      <c r="O283" s="703"/>
      <c r="P283" s="703"/>
      <c r="Q283" s="703" t="s">
        <v>22</v>
      </c>
      <c r="R283" s="705">
        <v>0.39250000000000002</v>
      </c>
      <c r="S283" s="703"/>
      <c r="T283" s="713">
        <v>1.1828189272003998E-4</v>
      </c>
      <c r="U283" s="702"/>
      <c r="V283" s="176">
        <f t="shared" si="386"/>
        <v>1.1828189272003998E-4</v>
      </c>
      <c r="W283" s="176">
        <f t="shared" si="399"/>
        <v>1.1828189272003998E-4</v>
      </c>
      <c r="X283" s="176">
        <f t="shared" si="399"/>
        <v>1.1828189272003998E-4</v>
      </c>
      <c r="Y283" s="34">
        <f>X283/Calculation_sheet!M$67</f>
        <v>1.1828431116232108E-4</v>
      </c>
      <c r="Z283" s="176">
        <f ca="1">IF(AN283&gt;0,Y283*Calculation_sheet!C$87,0)</f>
        <v>0</v>
      </c>
      <c r="AA283" s="176">
        <f t="shared" ca="1" si="377"/>
        <v>1.1828431116232108E-4</v>
      </c>
      <c r="AB283" s="176">
        <f ca="1">IF(AP283&gt;0,AA283*Calculation_sheet!C$94,0)</f>
        <v>0</v>
      </c>
      <c r="AC283" s="176">
        <f t="shared" ca="1" si="387"/>
        <v>1.1828431116232108E-4</v>
      </c>
      <c r="AD283" s="958">
        <f ca="1">AC283*Calculation_sheet!C$99</f>
        <v>7.0970586697392647E-5</v>
      </c>
      <c r="AE283" s="176">
        <f t="shared" ca="1" si="387"/>
        <v>4.7313724464928436E-5</v>
      </c>
      <c r="AF283" s="176">
        <f t="shared" ca="1" si="400"/>
        <v>1.1828431116232108E-4</v>
      </c>
      <c r="AG283" s="958">
        <f ca="1">AF283*User_sheet!B$77/100</f>
        <v>0</v>
      </c>
      <c r="AH283" s="313"/>
      <c r="AI283">
        <v>303</v>
      </c>
      <c r="AK283" s="1018">
        <f t="shared" ca="1" si="380"/>
        <v>268.1123173255607</v>
      </c>
      <c r="AL283" s="924">
        <f ca="1">AK283/'303'!I$24</f>
        <v>0.73525933724272785</v>
      </c>
      <c r="AM283" s="924">
        <f ca="1">0.8*(AK283*30+'303'!D$17*0.34*30*1)</f>
        <v>14431.495615813459</v>
      </c>
      <c r="AN283" s="954">
        <f ca="1">IF(AM283&lt;User_sheet!B$50,Y283,0)</f>
        <v>0</v>
      </c>
      <c r="AO283" s="954">
        <f ca="1">20-(User_sheet!B$57/(AK283+'303'!D$17*1*0.34))</f>
        <v>10.520733010506548</v>
      </c>
      <c r="AP283" s="954">
        <f ca="1">IF(AO283&lt;User_sheet!B$59,0,BC283*AA283)</f>
        <v>0</v>
      </c>
      <c r="AR283" s="2">
        <v>0.32</v>
      </c>
      <c r="AS283" s="1020">
        <v>0.59799999999999998</v>
      </c>
      <c r="AT283" s="2">
        <v>0.59</v>
      </c>
      <c r="AU283" s="2">
        <v>2.75</v>
      </c>
      <c r="AV283" s="2">
        <v>3.3</v>
      </c>
      <c r="AW283" s="2">
        <v>12257.141193582425</v>
      </c>
      <c r="AX283" s="2">
        <v>72298.2589500467</v>
      </c>
      <c r="AY283" s="2">
        <v>64021.679041832605</v>
      </c>
      <c r="AZ283" s="2">
        <v>0</v>
      </c>
      <c r="BA283" s="2">
        <v>0</v>
      </c>
      <c r="BB283" s="2">
        <v>0.6</v>
      </c>
      <c r="BC283" s="30">
        <v>0</v>
      </c>
      <c r="BD283" s="34">
        <v>1</v>
      </c>
      <c r="BE283" s="34">
        <v>0</v>
      </c>
      <c r="BF283" s="40">
        <v>0</v>
      </c>
      <c r="BG283" s="2">
        <v>0</v>
      </c>
      <c r="BH283" s="2">
        <v>1</v>
      </c>
      <c r="BI283" s="40">
        <v>0</v>
      </c>
      <c r="BJ283" s="2">
        <v>0</v>
      </c>
      <c r="BK283" s="2">
        <v>1</v>
      </c>
      <c r="BL283" s="2">
        <v>0</v>
      </c>
      <c r="BM283" s="40">
        <v>0</v>
      </c>
      <c r="BN283" s="958">
        <v>0.1</v>
      </c>
      <c r="BO283" s="959">
        <v>6</v>
      </c>
      <c r="BP283" s="1018">
        <f t="shared" ca="1" si="388"/>
        <v>350</v>
      </c>
      <c r="BQ283" s="1018">
        <f t="shared" ca="1" si="389"/>
        <v>764.40000000000009</v>
      </c>
      <c r="BR283" s="1018">
        <f t="shared" ca="1" si="390"/>
        <v>105</v>
      </c>
      <c r="BS283" s="1018">
        <f t="shared" ca="1" si="391"/>
        <v>112.64999999999998</v>
      </c>
      <c r="BT283" s="1018">
        <f t="shared" ca="1" si="392"/>
        <v>105</v>
      </c>
      <c r="BU283" s="1018">
        <f t="shared" ca="1" si="393"/>
        <v>42</v>
      </c>
      <c r="BV283" s="1018">
        <f t="shared" ca="1" si="394"/>
        <v>2.15</v>
      </c>
      <c r="BW283" s="1018">
        <v>0</v>
      </c>
      <c r="BX283" s="1018">
        <f t="shared" ca="1" si="395"/>
        <v>31.834259727134924</v>
      </c>
      <c r="BY283" s="1018">
        <f t="shared" ca="1" si="396"/>
        <v>61.037916495517898</v>
      </c>
      <c r="BZ283" s="1018">
        <f t="shared" ca="1" si="381"/>
        <v>18.546782387806946</v>
      </c>
      <c r="CA283" s="1018">
        <f t="shared" ca="1" si="382"/>
        <v>115.49999993647498</v>
      </c>
      <c r="CB283" s="1018">
        <f t="shared" ca="1" si="397"/>
        <v>4.5133587786259541</v>
      </c>
      <c r="CC283" s="1018">
        <f t="shared" si="383"/>
        <v>0</v>
      </c>
      <c r="CD283" s="1018">
        <f t="shared" ca="1" si="401"/>
        <v>268.1123173255607</v>
      </c>
      <c r="CE283" s="1018">
        <f t="shared" ca="1" si="398"/>
        <v>63.820382670258994</v>
      </c>
      <c r="CF283" s="1018">
        <f t="shared" ca="1" si="384"/>
        <v>9.9579809998745912</v>
      </c>
      <c r="CG283" s="1018">
        <f t="shared" ca="1" si="385"/>
        <v>16579.640045551198</v>
      </c>
    </row>
    <row r="284" spans="1:85" x14ac:dyDescent="0.25">
      <c r="A284" s="702"/>
      <c r="B284" s="702"/>
      <c r="C284" s="702"/>
      <c r="D284" s="703"/>
      <c r="E284" s="702"/>
      <c r="F284" s="703"/>
      <c r="G284" s="702"/>
      <c r="H284" s="703"/>
      <c r="I284" s="702"/>
      <c r="J284" s="703"/>
      <c r="K284" s="703"/>
      <c r="L284" s="703"/>
      <c r="M284" s="703" t="s">
        <v>22</v>
      </c>
      <c r="N284" s="705">
        <v>0.47</v>
      </c>
      <c r="O284" s="703" t="s">
        <v>20</v>
      </c>
      <c r="P284" s="705">
        <v>5.6000000000000001E-2</v>
      </c>
      <c r="Q284" s="703" t="s">
        <v>7</v>
      </c>
      <c r="R284" s="705">
        <v>0.60750000000000004</v>
      </c>
      <c r="S284" s="703"/>
      <c r="T284" s="713">
        <v>1.8307324796795995E-4</v>
      </c>
      <c r="U284" s="702"/>
      <c r="V284" s="176">
        <f t="shared" si="386"/>
        <v>1.8307324796795995E-4</v>
      </c>
      <c r="W284" s="176">
        <f t="shared" si="399"/>
        <v>1.8307324796795995E-4</v>
      </c>
      <c r="X284" s="176">
        <f t="shared" si="399"/>
        <v>1.8307324796795995E-4</v>
      </c>
      <c r="Y284" s="34">
        <f>X284/Calculation_sheet!M$67</f>
        <v>1.8307699116206383E-4</v>
      </c>
      <c r="Z284" s="176">
        <f ca="1">IF(AN284&gt;0,Y284*Calculation_sheet!C$87,0)</f>
        <v>0</v>
      </c>
      <c r="AA284" s="176">
        <f t="shared" ca="1" si="377"/>
        <v>1.8307699116206383E-4</v>
      </c>
      <c r="AB284" s="176">
        <f ca="1">IF(AP284&gt;0,AA284*Calculation_sheet!C$94,0)</f>
        <v>0</v>
      </c>
      <c r="AC284" s="176">
        <f t="shared" ca="1" si="387"/>
        <v>1.8307699116206383E-4</v>
      </c>
      <c r="AD284" s="958">
        <f ca="1">AC284*Calculation_sheet!C$99</f>
        <v>1.0984619469723829E-4</v>
      </c>
      <c r="AE284" s="176">
        <f t="shared" ca="1" si="387"/>
        <v>7.3230796464825545E-5</v>
      </c>
      <c r="AF284" s="176">
        <f t="shared" ca="1" si="400"/>
        <v>1.8307699116206383E-4</v>
      </c>
      <c r="AG284" s="958">
        <f ca="1">AF284*User_sheet!B$77/100</f>
        <v>0</v>
      </c>
      <c r="AH284" s="313"/>
      <c r="AI284">
        <v>303</v>
      </c>
      <c r="AK284" s="1018">
        <f t="shared" ca="1" si="380"/>
        <v>268.1123173255607</v>
      </c>
      <c r="AL284" s="924">
        <f ca="1">AK284/'303'!I$24</f>
        <v>0.73525933724272785</v>
      </c>
      <c r="AM284" s="924">
        <f ca="1">0.8*(AK284*30+'303'!D$17*0.34*30*1)</f>
        <v>14431.495615813459</v>
      </c>
      <c r="AN284" s="954">
        <f ca="1">IF(AM284&lt;User_sheet!B$50,Y284,0)</f>
        <v>0</v>
      </c>
      <c r="AO284" s="954">
        <f ca="1">20-(User_sheet!B$57/(AK284+'303'!D$17*1*0.34))</f>
        <v>10.520733010506548</v>
      </c>
      <c r="AP284" s="954">
        <f ca="1">IF(AO284&lt;User_sheet!B$59,0,BC284*AA284)</f>
        <v>0</v>
      </c>
      <c r="AR284" s="2">
        <v>0.32</v>
      </c>
      <c r="AS284" s="1020">
        <v>0.59799999999999998</v>
      </c>
      <c r="AT284" s="2">
        <v>0.59</v>
      </c>
      <c r="AU284" s="2">
        <v>2.75</v>
      </c>
      <c r="AV284" s="2">
        <v>3.3</v>
      </c>
      <c r="AW284" s="2">
        <v>12257.141193582425</v>
      </c>
      <c r="AX284" s="2">
        <v>72298.2589500467</v>
      </c>
      <c r="AY284" s="2">
        <v>64021.679041832605</v>
      </c>
      <c r="AZ284" s="2">
        <v>0</v>
      </c>
      <c r="BA284" s="2">
        <v>0</v>
      </c>
      <c r="BB284" s="2">
        <v>0.6</v>
      </c>
      <c r="BC284" s="30">
        <v>0</v>
      </c>
      <c r="BD284" s="34">
        <v>1</v>
      </c>
      <c r="BE284" s="34">
        <v>0</v>
      </c>
      <c r="BF284" s="40">
        <v>0</v>
      </c>
      <c r="BG284" s="2">
        <v>0</v>
      </c>
      <c r="BH284" s="2">
        <v>1</v>
      </c>
      <c r="BI284" s="40">
        <v>0</v>
      </c>
      <c r="BJ284" s="2">
        <v>0</v>
      </c>
      <c r="BK284" s="2">
        <v>0</v>
      </c>
      <c r="BL284" s="2">
        <v>1</v>
      </c>
      <c r="BM284" s="40">
        <v>0</v>
      </c>
      <c r="BN284" s="958">
        <v>0.1</v>
      </c>
      <c r="BO284" s="959">
        <v>6</v>
      </c>
      <c r="BP284" s="1018">
        <f t="shared" ca="1" si="388"/>
        <v>350</v>
      </c>
      <c r="BQ284" s="1018">
        <f t="shared" ca="1" si="389"/>
        <v>764.40000000000009</v>
      </c>
      <c r="BR284" s="1018">
        <f t="shared" ca="1" si="390"/>
        <v>105</v>
      </c>
      <c r="BS284" s="1018">
        <f t="shared" ca="1" si="391"/>
        <v>112.64999999999998</v>
      </c>
      <c r="BT284" s="1018">
        <f t="shared" ca="1" si="392"/>
        <v>105</v>
      </c>
      <c r="BU284" s="1018">
        <f t="shared" ca="1" si="393"/>
        <v>42</v>
      </c>
      <c r="BV284" s="1018">
        <f t="shared" ca="1" si="394"/>
        <v>2.15</v>
      </c>
      <c r="BW284" s="1018">
        <v>0</v>
      </c>
      <c r="BX284" s="1018">
        <f t="shared" ca="1" si="395"/>
        <v>31.834259727134924</v>
      </c>
      <c r="BY284" s="1018">
        <f t="shared" ca="1" si="396"/>
        <v>61.037916495517898</v>
      </c>
      <c r="BZ284" s="1018">
        <f t="shared" ca="1" si="381"/>
        <v>18.546782387806946</v>
      </c>
      <c r="CA284" s="1018">
        <f t="shared" ca="1" si="382"/>
        <v>115.49999993647498</v>
      </c>
      <c r="CB284" s="1018">
        <f t="shared" ca="1" si="397"/>
        <v>4.5133587786259541</v>
      </c>
      <c r="CC284" s="1018">
        <f t="shared" si="383"/>
        <v>0</v>
      </c>
      <c r="CD284" s="1018">
        <f t="shared" ca="1" si="401"/>
        <v>268.1123173255607</v>
      </c>
      <c r="CE284" s="1018">
        <f t="shared" ca="1" si="398"/>
        <v>63.820382670258994</v>
      </c>
      <c r="CF284" s="1018">
        <f t="shared" ca="1" si="384"/>
        <v>9.9579809998745912</v>
      </c>
      <c r="CG284" s="1018">
        <f t="shared" ca="1" si="385"/>
        <v>16579.640045551198</v>
      </c>
    </row>
    <row r="285" spans="1:85" x14ac:dyDescent="0.25">
      <c r="A285" s="702"/>
      <c r="B285" s="702"/>
      <c r="C285" s="702"/>
      <c r="D285" s="703"/>
      <c r="E285" s="702" t="s">
        <v>4</v>
      </c>
      <c r="F285" s="707">
        <v>0.61</v>
      </c>
      <c r="G285" s="702" t="s">
        <v>5</v>
      </c>
      <c r="H285" s="707">
        <v>1</v>
      </c>
      <c r="I285" s="702" t="s">
        <v>6</v>
      </c>
      <c r="J285" s="707">
        <v>1</v>
      </c>
      <c r="K285" s="706" t="s">
        <v>12</v>
      </c>
      <c r="L285" s="707">
        <v>1</v>
      </c>
      <c r="M285" s="703" t="s">
        <v>7</v>
      </c>
      <c r="N285" s="705">
        <v>0.11900000000000005</v>
      </c>
      <c r="O285" s="703" t="s">
        <v>23</v>
      </c>
      <c r="P285" s="705">
        <v>1</v>
      </c>
      <c r="Q285" s="703" t="s">
        <v>7</v>
      </c>
      <c r="R285" s="705">
        <v>1</v>
      </c>
      <c r="S285" s="703"/>
      <c r="T285" s="713">
        <v>1.3625099446000005E-3</v>
      </c>
      <c r="U285" s="702"/>
      <c r="V285" s="176">
        <f t="shared" si="386"/>
        <v>1.3625099446000005E-3</v>
      </c>
      <c r="W285" s="176">
        <f t="shared" si="399"/>
        <v>1.3625099446000005E-3</v>
      </c>
      <c r="X285" s="176">
        <f t="shared" si="399"/>
        <v>1.3625099446000005E-3</v>
      </c>
      <c r="Y285" s="34">
        <f>X285/Calculation_sheet!M$67</f>
        <v>1.3625378030623794E-3</v>
      </c>
      <c r="Z285" s="176">
        <f ca="1">IF(AN285&gt;0,Y285*Calculation_sheet!C$87,0)</f>
        <v>0</v>
      </c>
      <c r="AA285" s="176">
        <f t="shared" ca="1" si="377"/>
        <v>1.3625378030623794E-3</v>
      </c>
      <c r="AB285" s="176">
        <f ca="1">IF(AP285&gt;0,AA285*Calculation_sheet!C$94,0)</f>
        <v>0</v>
      </c>
      <c r="AC285" s="176">
        <f t="shared" ca="1" si="387"/>
        <v>1.3625378030623794E-3</v>
      </c>
      <c r="AD285" s="958">
        <f ca="1">AC285*Calculation_sheet!C$99</f>
        <v>8.1752268183742766E-4</v>
      </c>
      <c r="AE285" s="176">
        <f t="shared" ca="1" si="387"/>
        <v>5.4501512122495177E-4</v>
      </c>
      <c r="AF285" s="176">
        <f t="shared" ca="1" si="400"/>
        <v>1.3625378030623794E-3</v>
      </c>
      <c r="AG285" s="958">
        <f ca="1">AF285*User_sheet!B$77/100</f>
        <v>0</v>
      </c>
      <c r="AH285" s="313"/>
      <c r="AI285">
        <v>303</v>
      </c>
      <c r="AK285" s="1018">
        <f t="shared" ca="1" si="380"/>
        <v>268.1123173255607</v>
      </c>
      <c r="AL285" s="924">
        <f ca="1">AK285/'303'!I$24</f>
        <v>0.73525933724272785</v>
      </c>
      <c r="AM285" s="924">
        <f ca="1">0.8*(AK285*30+'303'!D$17*0.34*30*1)</f>
        <v>14431.495615813459</v>
      </c>
      <c r="AN285" s="954">
        <f ca="1">IF(AM285&lt;User_sheet!B$50,Y285,0)</f>
        <v>0</v>
      </c>
      <c r="AO285" s="954">
        <f ca="1">20-(User_sheet!B$57/(AK285+'303'!D$17*1*0.34))</f>
        <v>10.520733010506548</v>
      </c>
      <c r="AP285" s="954">
        <f ca="1">IF(AO285&lt;User_sheet!B$59,0,BC285*AA285)</f>
        <v>0</v>
      </c>
      <c r="AR285" s="2">
        <v>0.32</v>
      </c>
      <c r="AS285" s="1020">
        <v>0.59799999999999998</v>
      </c>
      <c r="AT285" s="2">
        <v>0.59</v>
      </c>
      <c r="AU285" s="2">
        <v>2.75</v>
      </c>
      <c r="AV285" s="2">
        <v>3.3</v>
      </c>
      <c r="AW285" s="2">
        <v>12257.141193582425</v>
      </c>
      <c r="AX285" s="2">
        <v>72298.2589500467</v>
      </c>
      <c r="AY285" s="2">
        <v>64021.679041832605</v>
      </c>
      <c r="AZ285" s="2">
        <v>0</v>
      </c>
      <c r="BA285" s="2">
        <v>0</v>
      </c>
      <c r="BB285" s="2">
        <v>0.6</v>
      </c>
      <c r="BC285" s="30">
        <v>0</v>
      </c>
      <c r="BD285" s="34">
        <v>0</v>
      </c>
      <c r="BE285" s="34">
        <v>1</v>
      </c>
      <c r="BF285" s="40">
        <v>0</v>
      </c>
      <c r="BG285" s="2">
        <v>0</v>
      </c>
      <c r="BH285" s="2">
        <v>0</v>
      </c>
      <c r="BI285" s="40">
        <v>1</v>
      </c>
      <c r="BJ285" s="2">
        <v>0</v>
      </c>
      <c r="BK285" s="2">
        <v>0</v>
      </c>
      <c r="BL285" s="2">
        <v>1</v>
      </c>
      <c r="BM285" s="40">
        <v>0</v>
      </c>
      <c r="BN285" s="958">
        <v>0.1</v>
      </c>
      <c r="BO285" s="959">
        <v>6</v>
      </c>
      <c r="BP285" s="1018">
        <f t="shared" ca="1" si="388"/>
        <v>350</v>
      </c>
      <c r="BQ285" s="1018">
        <f t="shared" ca="1" si="389"/>
        <v>764.40000000000009</v>
      </c>
      <c r="BR285" s="1018">
        <f t="shared" ca="1" si="390"/>
        <v>105</v>
      </c>
      <c r="BS285" s="1018">
        <f t="shared" ca="1" si="391"/>
        <v>112.64999999999998</v>
      </c>
      <c r="BT285" s="1018">
        <f t="shared" ca="1" si="392"/>
        <v>105</v>
      </c>
      <c r="BU285" s="1018">
        <f t="shared" ca="1" si="393"/>
        <v>42</v>
      </c>
      <c r="BV285" s="1018">
        <f t="shared" ca="1" si="394"/>
        <v>2.15</v>
      </c>
      <c r="BW285" s="1018">
        <v>0</v>
      </c>
      <c r="BX285" s="1018">
        <f t="shared" ca="1" si="395"/>
        <v>31.834259727134924</v>
      </c>
      <c r="BY285" s="1018">
        <f t="shared" ca="1" si="396"/>
        <v>61.037916495517898</v>
      </c>
      <c r="BZ285" s="1018">
        <f t="shared" ca="1" si="381"/>
        <v>18.546782387806946</v>
      </c>
      <c r="CA285" s="1018">
        <f t="shared" ca="1" si="382"/>
        <v>115.49999993647498</v>
      </c>
      <c r="CB285" s="1018">
        <f t="shared" ca="1" si="397"/>
        <v>4.5133587786259541</v>
      </c>
      <c r="CC285" s="1018">
        <f t="shared" si="383"/>
        <v>0</v>
      </c>
      <c r="CD285" s="1018">
        <f t="shared" ca="1" si="401"/>
        <v>268.1123173255607</v>
      </c>
      <c r="CE285" s="1018">
        <f t="shared" ca="1" si="398"/>
        <v>63.820382670258994</v>
      </c>
      <c r="CF285" s="1018">
        <f t="shared" ca="1" si="384"/>
        <v>9.9579809998745912</v>
      </c>
      <c r="CG285" s="1018">
        <f t="shared" ca="1" si="385"/>
        <v>16579.640045551198</v>
      </c>
    </row>
    <row r="286" spans="1:85" s="11" customFormat="1" x14ac:dyDescent="0.25">
      <c r="A286" s="710"/>
      <c r="B286" s="710"/>
      <c r="C286" s="710"/>
      <c r="D286" s="711"/>
      <c r="E286" s="710"/>
      <c r="F286" s="711"/>
      <c r="G286" s="710"/>
      <c r="H286" s="711"/>
      <c r="I286" s="710"/>
      <c r="J286" s="711"/>
      <c r="K286" s="712"/>
      <c r="L286" s="711"/>
      <c r="M286" s="711"/>
      <c r="N286" s="711"/>
      <c r="O286" s="711"/>
      <c r="P286" s="711"/>
      <c r="Q286" s="711"/>
      <c r="R286" s="711"/>
      <c r="S286" s="711"/>
      <c r="T286" s="714"/>
      <c r="U286" s="710"/>
      <c r="V286" s="293"/>
      <c r="W286" s="293"/>
      <c r="X286" s="293"/>
      <c r="Y286" s="278"/>
      <c r="Z286" s="292"/>
      <c r="AA286" s="292"/>
      <c r="AB286" s="292"/>
      <c r="AC286" s="292"/>
      <c r="AD286" s="277"/>
      <c r="AE286" s="292"/>
      <c r="AF286" s="292"/>
      <c r="AG286" s="277"/>
      <c r="AH286" s="313"/>
      <c r="AI286" s="947"/>
      <c r="AJ286" s="313"/>
      <c r="AK286" s="1018">
        <f t="shared" si="380"/>
        <v>0</v>
      </c>
      <c r="AL286" s="928"/>
      <c r="AM286" s="928"/>
      <c r="AN286" s="941"/>
      <c r="AO286" s="941"/>
      <c r="AP286" s="941"/>
      <c r="AQ286" s="313"/>
      <c r="AR286" s="946"/>
      <c r="AS286" s="955"/>
      <c r="AT286" s="946"/>
      <c r="AU286" s="946"/>
      <c r="AV286" s="946"/>
      <c r="AW286" s="946"/>
      <c r="AX286" s="946"/>
      <c r="AY286" s="946"/>
      <c r="AZ286" s="946"/>
      <c r="BA286" s="946"/>
      <c r="BB286" s="946"/>
      <c r="BC286" s="950"/>
      <c r="BD286" s="951"/>
      <c r="BE286" s="951"/>
      <c r="BF286" s="953"/>
      <c r="BG286" s="946"/>
      <c r="BH286" s="946"/>
      <c r="BI286" s="953"/>
      <c r="BJ286" s="946"/>
      <c r="BK286" s="946"/>
      <c r="BL286" s="946"/>
      <c r="BM286" s="953"/>
      <c r="BN286" s="278"/>
      <c r="BO286" s="52"/>
      <c r="BP286" s="946"/>
      <c r="BQ286" s="946"/>
      <c r="BR286" s="946"/>
      <c r="BS286" s="946"/>
      <c r="BT286" s="946"/>
      <c r="BU286" s="946"/>
      <c r="BV286" s="946"/>
      <c r="BW286" s="946"/>
      <c r="BX286" s="946"/>
      <c r="BY286" s="946"/>
      <c r="BZ286" s="946"/>
      <c r="CA286" s="946"/>
      <c r="CB286" s="946"/>
      <c r="CC286" s="946"/>
      <c r="CD286" s="946"/>
      <c r="CE286" s="946"/>
      <c r="CF286" s="946"/>
      <c r="CG286" s="946"/>
    </row>
    <row r="287" spans="1:85" s="3" customFormat="1" x14ac:dyDescent="0.25">
      <c r="A287" s="704"/>
      <c r="B287" s="704"/>
      <c r="C287" s="704"/>
      <c r="D287" s="708"/>
      <c r="E287" s="704"/>
      <c r="F287" s="708"/>
      <c r="G287" s="704"/>
      <c r="H287" s="708"/>
      <c r="I287" s="704"/>
      <c r="J287" s="708"/>
      <c r="K287" s="709"/>
      <c r="L287" s="708"/>
      <c r="M287" s="703"/>
      <c r="N287" s="703"/>
      <c r="O287" s="703"/>
      <c r="P287" s="703"/>
      <c r="Q287" s="703" t="s">
        <v>16</v>
      </c>
      <c r="R287" s="705">
        <v>0.92569999999999997</v>
      </c>
      <c r="S287" s="703"/>
      <c r="T287" s="713">
        <v>0</v>
      </c>
      <c r="U287" s="702"/>
      <c r="V287" s="176">
        <f t="shared" ref="V287:V295" si="402">T287</f>
        <v>0</v>
      </c>
      <c r="W287" s="176">
        <f>V287</f>
        <v>0</v>
      </c>
      <c r="X287" s="176">
        <f>W287</f>
        <v>0</v>
      </c>
      <c r="Y287" s="958">
        <f>X287/Calculation_sheet!M$67</f>
        <v>0</v>
      </c>
      <c r="Z287" s="176">
        <f ca="1">IF(AN287&gt;0,Y287*Calculation_sheet!C$87,0)</f>
        <v>0</v>
      </c>
      <c r="AA287" s="176">
        <f t="shared" ca="1" si="377"/>
        <v>0</v>
      </c>
      <c r="AB287" s="176">
        <f ca="1">IF(AP287&gt;0,AA287*Calculation_sheet!C$94,0)</f>
        <v>0</v>
      </c>
      <c r="AC287" s="176">
        <f t="shared" ref="AC287:AE295" ca="1" si="403">AA287-AB287</f>
        <v>0</v>
      </c>
      <c r="AD287" s="958">
        <f ca="1">AC287*Calculation_sheet!C$99</f>
        <v>0</v>
      </c>
      <c r="AE287" s="176">
        <f t="shared" ca="1" si="403"/>
        <v>0</v>
      </c>
      <c r="AF287" s="176">
        <f t="shared" ca="1" si="400"/>
        <v>0</v>
      </c>
      <c r="AG287" s="958">
        <f ca="1">AF287*User_sheet!B$77/100</f>
        <v>0</v>
      </c>
      <c r="AH287" s="313"/>
      <c r="AI287" s="945">
        <v>303</v>
      </c>
      <c r="AJ287" s="985"/>
      <c r="AK287" s="1018">
        <f t="shared" ca="1" si="380"/>
        <v>289.05007377789929</v>
      </c>
      <c r="AL287" s="924">
        <f ca="1">AK287/'303'!I$24</f>
        <v>0.7926781126502106</v>
      </c>
      <c r="AM287" s="924">
        <f ca="1">0.8*(AK287*30+'303'!D$17*0.34*30*1)</f>
        <v>14934.001770669583</v>
      </c>
      <c r="AN287" s="954">
        <f ca="1">IF(AM287&lt;User_sheet!B$50,Y287,0)</f>
        <v>0</v>
      </c>
      <c r="AO287" s="954">
        <f ca="1">20-(User_sheet!B$57/(AK287+'303'!D$17*1*0.34))</f>
        <v>10.839695742592216</v>
      </c>
      <c r="AP287" s="954">
        <f ca="1">IF(AO287&lt;User_sheet!B$59,0,BC287*AA287)</f>
        <v>0</v>
      </c>
      <c r="AQ287" s="985"/>
      <c r="AR287" s="945">
        <v>0.32</v>
      </c>
      <c r="AS287" s="1020">
        <v>0.59799999999999998</v>
      </c>
      <c r="AT287" s="945">
        <v>1.42</v>
      </c>
      <c r="AU287" s="945">
        <v>2.75</v>
      </c>
      <c r="AV287" s="945">
        <v>3.3</v>
      </c>
      <c r="AW287" s="945">
        <v>12257.141193582425</v>
      </c>
      <c r="AX287" s="945">
        <v>75945.51234133933</v>
      </c>
      <c r="AY287" s="945">
        <v>62673.095488422703</v>
      </c>
      <c r="AZ287" s="945">
        <v>0</v>
      </c>
      <c r="BA287" s="945">
        <v>0</v>
      </c>
      <c r="BB287" s="945">
        <v>0.6</v>
      </c>
      <c r="BC287" s="948">
        <v>1</v>
      </c>
      <c r="BD287" s="949">
        <v>0</v>
      </c>
      <c r="BE287" s="949">
        <v>0</v>
      </c>
      <c r="BF287" s="952">
        <v>0</v>
      </c>
      <c r="BG287" s="945">
        <v>1</v>
      </c>
      <c r="BH287" s="945">
        <v>0</v>
      </c>
      <c r="BI287" s="952">
        <v>0</v>
      </c>
      <c r="BJ287" s="945">
        <v>1</v>
      </c>
      <c r="BK287" s="945">
        <v>0</v>
      </c>
      <c r="BL287" s="945">
        <v>0</v>
      </c>
      <c r="BM287" s="952">
        <v>0</v>
      </c>
      <c r="BN287" s="958">
        <v>0.1</v>
      </c>
      <c r="BO287" s="959">
        <v>6</v>
      </c>
      <c r="BP287" s="926">
        <f t="shared" ref="BP287:BP295" ca="1" si="404">INDIRECT("'"&amp;AI287&amp;"'!"&amp;"B2")</f>
        <v>350</v>
      </c>
      <c r="BQ287" s="926">
        <f t="shared" ref="BQ287:BQ295" ca="1" si="405">INDIRECT("'"&amp;AI287&amp;"'!"&amp;"C12")+INDIRECT("'"&amp;AI287&amp;"'!"&amp;"C13")+INDIRECT("'"&amp;AI287&amp;"'!"&amp;"C14")+INDIRECT("'"&amp;AI287&amp;"'!"&amp;"C15")+INDIRECT("'"&amp;AI287&amp;"'!"&amp;"C17")</f>
        <v>764.40000000000009</v>
      </c>
      <c r="BR287" s="926">
        <f t="shared" ref="BR287:BR295" ca="1" si="406">INDIRECT("'"&amp;AI287&amp;"'!"&amp;"G5")</f>
        <v>105</v>
      </c>
      <c r="BS287" s="926">
        <f t="shared" ref="BS287:BS295" ca="1" si="407">INDIRECT("'"&amp;AI287&amp;"'!"&amp;"G4")</f>
        <v>112.64999999999998</v>
      </c>
      <c r="BT287" s="926">
        <f t="shared" ref="BT287:BT295" ca="1" si="408">INDIRECT("'"&amp;AI287&amp;"'!"&amp;"G6")</f>
        <v>105</v>
      </c>
      <c r="BU287" s="926">
        <f t="shared" ref="BU287:BU295" ca="1" si="409">INDIRECT("'"&amp;AI287&amp;"'!"&amp;"G2")</f>
        <v>42</v>
      </c>
      <c r="BV287" s="926">
        <f t="shared" ref="BV287:BV295" ca="1" si="410">INDIRECT("'"&amp;AI287&amp;"'!"&amp;"G3")</f>
        <v>2.15</v>
      </c>
      <c r="BW287" s="926">
        <v>0</v>
      </c>
      <c r="BX287" s="926">
        <f t="shared" ref="BX287:BX295" ca="1" si="411">IF(BR287=0,0,1/(1/(BR287*$BY$3)+1/(BR287*AR287)+1/(BR287*$BY$4)))</f>
        <v>31.834259727134924</v>
      </c>
      <c r="BY287" s="926">
        <f t="shared" ref="BY287:BY295" ca="1" si="412">IF(BS287=0,0,1/(1/(BS287*$BY$3)+1/(BS287*AS287)+1/(BS287*$BY$4)))</f>
        <v>61.037916495517898</v>
      </c>
      <c r="BZ287" s="926">
        <f t="shared" ca="1" si="381"/>
        <v>39.484538840145518</v>
      </c>
      <c r="CA287" s="926">
        <f t="shared" ca="1" si="382"/>
        <v>115.49999993647498</v>
      </c>
      <c r="CB287" s="926">
        <f t="shared" ref="CB287:CB295" ca="1" si="413">IF(BV287=0,0,1/(1/(BV287*$BY$3)+1/(BV287*AV287)+1/(BV287*$BY$4)))</f>
        <v>4.5133587786259541</v>
      </c>
      <c r="CC287" s="926">
        <f t="shared" si="383"/>
        <v>0</v>
      </c>
      <c r="CD287" s="1018">
        <f ca="1">SUM(BX287:CC287)+(BR287+BS287+BT287+BU287+BV287)*BN287</f>
        <v>289.05007377789929</v>
      </c>
      <c r="CE287" s="1018">
        <f t="shared" ca="1" si="398"/>
        <v>63.820382670258994</v>
      </c>
      <c r="CF287" s="926">
        <f t="shared" ca="1" si="384"/>
        <v>10.586113693444748</v>
      </c>
      <c r="CG287" s="926">
        <f t="shared" ca="1" si="385"/>
        <v>17625.455855037766</v>
      </c>
    </row>
    <row r="288" spans="1:85" s="3" customFormat="1" x14ac:dyDescent="0.25">
      <c r="A288" s="704"/>
      <c r="B288" s="704"/>
      <c r="C288" s="704"/>
      <c r="D288" s="708"/>
      <c r="E288" s="704"/>
      <c r="F288" s="708"/>
      <c r="G288" s="704"/>
      <c r="H288" s="708"/>
      <c r="I288" s="704"/>
      <c r="J288" s="708"/>
      <c r="K288" s="709"/>
      <c r="L288" s="708"/>
      <c r="M288" s="703"/>
      <c r="N288" s="703"/>
      <c r="O288" s="703" t="s">
        <v>18</v>
      </c>
      <c r="P288" s="705">
        <v>0.89156626500000002</v>
      </c>
      <c r="Q288" s="703" t="s">
        <v>7</v>
      </c>
      <c r="R288" s="705">
        <v>7.4300000000000005E-2</v>
      </c>
      <c r="S288" s="703"/>
      <c r="T288" s="713">
        <v>0</v>
      </c>
      <c r="U288" s="702"/>
      <c r="V288" s="176">
        <f t="shared" si="402"/>
        <v>0</v>
      </c>
      <c r="W288" s="176">
        <f t="shared" ref="W288:W295" si="414">V288</f>
        <v>0</v>
      </c>
      <c r="X288" s="176">
        <f t="shared" ref="X288:X295" si="415">W288</f>
        <v>0</v>
      </c>
      <c r="Y288" s="958">
        <f>X288/Calculation_sheet!M$67</f>
        <v>0</v>
      </c>
      <c r="Z288" s="176">
        <f ca="1">IF(AN288&gt;0,Y288*Calculation_sheet!C$87,0)</f>
        <v>0</v>
      </c>
      <c r="AA288" s="176">
        <f t="shared" ca="1" si="377"/>
        <v>0</v>
      </c>
      <c r="AB288" s="176">
        <f ca="1">IF(AP288&gt;0,AA288*Calculation_sheet!C$94,0)</f>
        <v>0</v>
      </c>
      <c r="AC288" s="176">
        <f t="shared" ca="1" si="403"/>
        <v>0</v>
      </c>
      <c r="AD288" s="958">
        <f ca="1">AC288*Calculation_sheet!C$99</f>
        <v>0</v>
      </c>
      <c r="AE288" s="176">
        <f t="shared" ca="1" si="403"/>
        <v>0</v>
      </c>
      <c r="AF288" s="176">
        <f t="shared" ca="1" si="400"/>
        <v>0</v>
      </c>
      <c r="AG288" s="958">
        <f ca="1">AF288*User_sheet!B$77/100</f>
        <v>0</v>
      </c>
      <c r="AH288" s="313"/>
      <c r="AI288" s="945">
        <v>303</v>
      </c>
      <c r="AJ288" s="985"/>
      <c r="AK288" s="1018">
        <f t="shared" ca="1" si="380"/>
        <v>289.05007377789929</v>
      </c>
      <c r="AL288" s="924">
        <f ca="1">AK288/'303'!I$24</f>
        <v>0.7926781126502106</v>
      </c>
      <c r="AM288" s="924">
        <f ca="1">0.8*(AK288*30+'303'!D$17*0.34*30*1)</f>
        <v>14934.001770669583</v>
      </c>
      <c r="AN288" s="954">
        <f ca="1">IF(AM288&lt;User_sheet!B$50,Y288,0)</f>
        <v>0</v>
      </c>
      <c r="AO288" s="954">
        <f ca="1">20-(User_sheet!B$57/(AK288+'303'!D$17*1*0.34))</f>
        <v>10.839695742592216</v>
      </c>
      <c r="AP288" s="954">
        <f ca="1">IF(AO288&lt;User_sheet!B$59,0,BC288*AA288)</f>
        <v>0</v>
      </c>
      <c r="AQ288" s="985"/>
      <c r="AR288" s="945">
        <v>0.32</v>
      </c>
      <c r="AS288" s="1020">
        <v>0.59799999999999998</v>
      </c>
      <c r="AT288" s="945">
        <v>1.42</v>
      </c>
      <c r="AU288" s="945">
        <v>2.75</v>
      </c>
      <c r="AV288" s="945">
        <v>3.3</v>
      </c>
      <c r="AW288" s="945">
        <v>12257.141193582425</v>
      </c>
      <c r="AX288" s="945">
        <v>75945.51234133933</v>
      </c>
      <c r="AY288" s="945">
        <v>62673.095488422703</v>
      </c>
      <c r="AZ288" s="945">
        <v>0</v>
      </c>
      <c r="BA288" s="945">
        <v>0</v>
      </c>
      <c r="BB288" s="945">
        <v>0.6</v>
      </c>
      <c r="BC288" s="948">
        <v>1</v>
      </c>
      <c r="BD288" s="949">
        <v>0</v>
      </c>
      <c r="BE288" s="949">
        <v>0</v>
      </c>
      <c r="BF288" s="952">
        <v>0</v>
      </c>
      <c r="BG288" s="945">
        <v>1</v>
      </c>
      <c r="BH288" s="945">
        <v>0</v>
      </c>
      <c r="BI288" s="952">
        <v>0</v>
      </c>
      <c r="BJ288" s="945">
        <v>0</v>
      </c>
      <c r="BK288" s="945">
        <v>0</v>
      </c>
      <c r="BL288" s="945">
        <v>1</v>
      </c>
      <c r="BM288" s="952">
        <v>0</v>
      </c>
      <c r="BN288" s="958">
        <v>0.1</v>
      </c>
      <c r="BO288" s="959">
        <v>6</v>
      </c>
      <c r="BP288" s="926">
        <f t="shared" ca="1" si="404"/>
        <v>350</v>
      </c>
      <c r="BQ288" s="926">
        <f t="shared" ca="1" si="405"/>
        <v>764.40000000000009</v>
      </c>
      <c r="BR288" s="926">
        <f t="shared" ca="1" si="406"/>
        <v>105</v>
      </c>
      <c r="BS288" s="926">
        <f t="shared" ca="1" si="407"/>
        <v>112.64999999999998</v>
      </c>
      <c r="BT288" s="926">
        <f t="shared" ca="1" si="408"/>
        <v>105</v>
      </c>
      <c r="BU288" s="926">
        <f t="shared" ca="1" si="409"/>
        <v>42</v>
      </c>
      <c r="BV288" s="926">
        <f t="shared" ca="1" si="410"/>
        <v>2.15</v>
      </c>
      <c r="BW288" s="926">
        <v>0</v>
      </c>
      <c r="BX288" s="926">
        <f t="shared" ca="1" si="411"/>
        <v>31.834259727134924</v>
      </c>
      <c r="BY288" s="926">
        <f t="shared" ca="1" si="412"/>
        <v>61.037916495517898</v>
      </c>
      <c r="BZ288" s="926">
        <f t="shared" ca="1" si="381"/>
        <v>39.484538840145518</v>
      </c>
      <c r="CA288" s="926">
        <f t="shared" ca="1" si="382"/>
        <v>115.49999993647498</v>
      </c>
      <c r="CB288" s="926">
        <f t="shared" ca="1" si="413"/>
        <v>4.5133587786259541</v>
      </c>
      <c r="CC288" s="926">
        <f t="shared" si="383"/>
        <v>0</v>
      </c>
      <c r="CD288" s="1018">
        <f t="shared" ref="CD288:CD295" ca="1" si="416">SUM(BX288:CC288)+(BR288+BS288+BT288+BU288+BV288)*BN288</f>
        <v>289.05007377789929</v>
      </c>
      <c r="CE288" s="1018">
        <f t="shared" ca="1" si="398"/>
        <v>63.820382670258994</v>
      </c>
      <c r="CF288" s="926">
        <f t="shared" ca="1" si="384"/>
        <v>10.586113693444748</v>
      </c>
      <c r="CG288" s="926">
        <f t="shared" ca="1" si="385"/>
        <v>17625.455855037766</v>
      </c>
    </row>
    <row r="289" spans="4:85" s="3" customFormat="1" x14ac:dyDescent="0.25">
      <c r="D289" s="708"/>
      <c r="E289" s="704"/>
      <c r="F289" s="708"/>
      <c r="G289" s="704"/>
      <c r="H289" s="708"/>
      <c r="I289" s="704"/>
      <c r="J289" s="708"/>
      <c r="K289" s="709"/>
      <c r="L289" s="708"/>
      <c r="M289" s="703"/>
      <c r="N289" s="703"/>
      <c r="O289" s="703"/>
      <c r="P289" s="703"/>
      <c r="Q289" s="703" t="s">
        <v>16</v>
      </c>
      <c r="R289" s="705">
        <v>0.92569999999999997</v>
      </c>
      <c r="S289" s="703"/>
      <c r="T289" s="713">
        <v>0</v>
      </c>
      <c r="U289" s="702"/>
      <c r="V289" s="176">
        <f t="shared" si="402"/>
        <v>0</v>
      </c>
      <c r="W289" s="176">
        <f t="shared" si="414"/>
        <v>0</v>
      </c>
      <c r="X289" s="176">
        <f t="shared" si="415"/>
        <v>0</v>
      </c>
      <c r="Y289" s="958">
        <f>X289/Calculation_sheet!M$67</f>
        <v>0</v>
      </c>
      <c r="Z289" s="176">
        <f ca="1">IF(AN289&gt;0,Y289*Calculation_sheet!C$87,0)</f>
        <v>0</v>
      </c>
      <c r="AA289" s="176">
        <f t="shared" ca="1" si="377"/>
        <v>0</v>
      </c>
      <c r="AB289" s="176">
        <f ca="1">IF(AP289&gt;0,AA289*Calculation_sheet!C$94,0)</f>
        <v>0</v>
      </c>
      <c r="AC289" s="176">
        <f t="shared" ca="1" si="403"/>
        <v>0</v>
      </c>
      <c r="AD289" s="958">
        <f ca="1">AC289*Calculation_sheet!C$99</f>
        <v>0</v>
      </c>
      <c r="AE289" s="176">
        <f t="shared" ca="1" si="403"/>
        <v>0</v>
      </c>
      <c r="AF289" s="176">
        <f t="shared" ca="1" si="400"/>
        <v>0</v>
      </c>
      <c r="AG289" s="958">
        <f ca="1">AF289*User_sheet!B$77/100</f>
        <v>0</v>
      </c>
      <c r="AH289" s="313"/>
      <c r="AI289" s="945">
        <v>303</v>
      </c>
      <c r="AJ289" s="985"/>
      <c r="AK289" s="1018">
        <f t="shared" ca="1" si="380"/>
        <v>289.05007377789929</v>
      </c>
      <c r="AL289" s="924">
        <f ca="1">AK289/'303'!I$24</f>
        <v>0.7926781126502106</v>
      </c>
      <c r="AM289" s="924">
        <f ca="1">0.8*(AK289*30+'303'!D$17*0.34*30*1)</f>
        <v>14934.001770669583</v>
      </c>
      <c r="AN289" s="954">
        <f ca="1">IF(AM289&lt;User_sheet!B$50,Y289,0)</f>
        <v>0</v>
      </c>
      <c r="AO289" s="954">
        <f ca="1">20-(User_sheet!B$57/(AK289+'303'!D$17*1*0.34))</f>
        <v>10.839695742592216</v>
      </c>
      <c r="AP289" s="954">
        <f ca="1">IF(AO289&lt;User_sheet!B$59,0,BC289*AA289)</f>
        <v>0</v>
      </c>
      <c r="AQ289" s="985"/>
      <c r="AR289" s="945">
        <v>0.32</v>
      </c>
      <c r="AS289" s="1020">
        <v>0.59799999999999998</v>
      </c>
      <c r="AT289" s="945">
        <v>1.42</v>
      </c>
      <c r="AU289" s="945">
        <v>2.75</v>
      </c>
      <c r="AV289" s="945">
        <v>3.3</v>
      </c>
      <c r="AW289" s="945">
        <v>12257.141193582425</v>
      </c>
      <c r="AX289" s="945">
        <v>75945.51234133933</v>
      </c>
      <c r="AY289" s="945">
        <v>62673.095488422703</v>
      </c>
      <c r="AZ289" s="945">
        <v>0</v>
      </c>
      <c r="BA289" s="945">
        <v>0</v>
      </c>
      <c r="BB289" s="945">
        <v>0.6</v>
      </c>
      <c r="BC289" s="948">
        <v>1</v>
      </c>
      <c r="BD289" s="949">
        <v>0</v>
      </c>
      <c r="BE289" s="949">
        <v>0</v>
      </c>
      <c r="BF289" s="952">
        <v>0</v>
      </c>
      <c r="BG289" s="945">
        <v>0</v>
      </c>
      <c r="BH289" s="945">
        <v>1</v>
      </c>
      <c r="BI289" s="952">
        <v>0</v>
      </c>
      <c r="BJ289" s="945">
        <v>1</v>
      </c>
      <c r="BK289" s="945">
        <v>0</v>
      </c>
      <c r="BL289" s="945">
        <v>0</v>
      </c>
      <c r="BM289" s="952">
        <v>0</v>
      </c>
      <c r="BN289" s="958">
        <v>0.1</v>
      </c>
      <c r="BO289" s="959">
        <v>6</v>
      </c>
      <c r="BP289" s="926">
        <f t="shared" ca="1" si="404"/>
        <v>350</v>
      </c>
      <c r="BQ289" s="926">
        <f t="shared" ca="1" si="405"/>
        <v>764.40000000000009</v>
      </c>
      <c r="BR289" s="926">
        <f t="shared" ca="1" si="406"/>
        <v>105</v>
      </c>
      <c r="BS289" s="926">
        <f t="shared" ca="1" si="407"/>
        <v>112.64999999999998</v>
      </c>
      <c r="BT289" s="926">
        <f t="shared" ca="1" si="408"/>
        <v>105</v>
      </c>
      <c r="BU289" s="926">
        <f t="shared" ca="1" si="409"/>
        <v>42</v>
      </c>
      <c r="BV289" s="926">
        <f t="shared" ca="1" si="410"/>
        <v>2.15</v>
      </c>
      <c r="BW289" s="926">
        <v>0</v>
      </c>
      <c r="BX289" s="926">
        <f t="shared" ca="1" si="411"/>
        <v>31.834259727134924</v>
      </c>
      <c r="BY289" s="926">
        <f t="shared" ca="1" si="412"/>
        <v>61.037916495517898</v>
      </c>
      <c r="BZ289" s="926">
        <f t="shared" ca="1" si="381"/>
        <v>39.484538840145518</v>
      </c>
      <c r="CA289" s="926">
        <f t="shared" ca="1" si="382"/>
        <v>115.49999993647498</v>
      </c>
      <c r="CB289" s="926">
        <f t="shared" ca="1" si="413"/>
        <v>4.5133587786259541</v>
      </c>
      <c r="CC289" s="926">
        <f t="shared" si="383"/>
        <v>0</v>
      </c>
      <c r="CD289" s="1018">
        <f t="shared" ca="1" si="416"/>
        <v>289.05007377789929</v>
      </c>
      <c r="CE289" s="1018">
        <f t="shared" ca="1" si="398"/>
        <v>63.820382670258994</v>
      </c>
      <c r="CF289" s="926">
        <f t="shared" ca="1" si="384"/>
        <v>10.586113693444748</v>
      </c>
      <c r="CG289" s="926">
        <f t="shared" ca="1" si="385"/>
        <v>17625.455855037766</v>
      </c>
    </row>
    <row r="290" spans="4:85" s="3" customFormat="1" x14ac:dyDescent="0.25">
      <c r="D290" s="708"/>
      <c r="E290" s="704"/>
      <c r="F290" s="708"/>
      <c r="G290" s="704"/>
      <c r="H290" s="708"/>
      <c r="I290" s="704"/>
      <c r="J290" s="708"/>
      <c r="K290" s="709"/>
      <c r="L290" s="708"/>
      <c r="M290" s="703" t="s">
        <v>16</v>
      </c>
      <c r="N290" s="705">
        <v>0.41099999999999998</v>
      </c>
      <c r="O290" s="703" t="s">
        <v>19</v>
      </c>
      <c r="P290" s="705">
        <v>0.108433735</v>
      </c>
      <c r="Q290" s="703" t="s">
        <v>7</v>
      </c>
      <c r="R290" s="705">
        <v>7.4300000000000005E-2</v>
      </c>
      <c r="S290" s="703"/>
      <c r="T290" s="713">
        <v>0</v>
      </c>
      <c r="U290" s="702"/>
      <c r="V290" s="176">
        <f t="shared" si="402"/>
        <v>0</v>
      </c>
      <c r="W290" s="176">
        <f t="shared" si="414"/>
        <v>0</v>
      </c>
      <c r="X290" s="176">
        <f t="shared" si="415"/>
        <v>0</v>
      </c>
      <c r="Y290" s="958">
        <f>X290/Calculation_sheet!M$67</f>
        <v>0</v>
      </c>
      <c r="Z290" s="176">
        <f ca="1">IF(AN290&gt;0,Y290*Calculation_sheet!C$87,0)</f>
        <v>0</v>
      </c>
      <c r="AA290" s="176">
        <f t="shared" ca="1" si="377"/>
        <v>0</v>
      </c>
      <c r="AB290" s="176">
        <f ca="1">IF(AP290&gt;0,AA290*Calculation_sheet!C$94,0)</f>
        <v>0</v>
      </c>
      <c r="AC290" s="176">
        <f t="shared" ca="1" si="403"/>
        <v>0</v>
      </c>
      <c r="AD290" s="958">
        <f ca="1">AC290*Calculation_sheet!C$99</f>
        <v>0</v>
      </c>
      <c r="AE290" s="176">
        <f t="shared" ca="1" si="403"/>
        <v>0</v>
      </c>
      <c r="AF290" s="176">
        <f t="shared" ca="1" si="400"/>
        <v>0</v>
      </c>
      <c r="AG290" s="958">
        <f ca="1">AF290*User_sheet!B$77/100</f>
        <v>0</v>
      </c>
      <c r="AH290" s="313"/>
      <c r="AI290" s="945">
        <v>303</v>
      </c>
      <c r="AJ290" s="985"/>
      <c r="AK290" s="1018">
        <f t="shared" ca="1" si="380"/>
        <v>289.05007377789929</v>
      </c>
      <c r="AL290" s="924">
        <f ca="1">AK290/'303'!I$24</f>
        <v>0.7926781126502106</v>
      </c>
      <c r="AM290" s="924">
        <f ca="1">0.8*(AK290*30+'303'!D$17*0.34*30*1)</f>
        <v>14934.001770669583</v>
      </c>
      <c r="AN290" s="954">
        <f ca="1">IF(AM290&lt;User_sheet!B$50,Y290,0)</f>
        <v>0</v>
      </c>
      <c r="AO290" s="954">
        <f ca="1">20-(User_sheet!B$57/(AK290+'303'!D$17*1*0.34))</f>
        <v>10.839695742592216</v>
      </c>
      <c r="AP290" s="954">
        <f ca="1">IF(AO290&lt;User_sheet!B$59,0,BC290*AA290)</f>
        <v>0</v>
      </c>
      <c r="AQ290" s="985"/>
      <c r="AR290" s="945">
        <v>0.32</v>
      </c>
      <c r="AS290" s="1020">
        <v>0.59799999999999998</v>
      </c>
      <c r="AT290" s="945">
        <v>1.42</v>
      </c>
      <c r="AU290" s="945">
        <v>2.75</v>
      </c>
      <c r="AV290" s="945">
        <v>3.3</v>
      </c>
      <c r="AW290" s="945">
        <v>12257.141193582425</v>
      </c>
      <c r="AX290" s="945">
        <v>75945.51234133933</v>
      </c>
      <c r="AY290" s="945">
        <v>62673.095488422703</v>
      </c>
      <c r="AZ290" s="945">
        <v>0</v>
      </c>
      <c r="BA290" s="945">
        <v>0</v>
      </c>
      <c r="BB290" s="945">
        <v>0.6</v>
      </c>
      <c r="BC290" s="948">
        <v>1</v>
      </c>
      <c r="BD290" s="949">
        <v>0</v>
      </c>
      <c r="BE290" s="949">
        <v>0</v>
      </c>
      <c r="BF290" s="952">
        <v>0</v>
      </c>
      <c r="BG290" s="945">
        <v>0</v>
      </c>
      <c r="BH290" s="945">
        <v>1</v>
      </c>
      <c r="BI290" s="952">
        <v>0</v>
      </c>
      <c r="BJ290" s="945">
        <v>0</v>
      </c>
      <c r="BK290" s="945">
        <v>0</v>
      </c>
      <c r="BL290" s="945">
        <v>1</v>
      </c>
      <c r="BM290" s="952">
        <v>0</v>
      </c>
      <c r="BN290" s="958">
        <v>0.1</v>
      </c>
      <c r="BO290" s="959">
        <v>6</v>
      </c>
      <c r="BP290" s="926">
        <f t="shared" ca="1" si="404"/>
        <v>350</v>
      </c>
      <c r="BQ290" s="926">
        <f t="shared" ca="1" si="405"/>
        <v>764.40000000000009</v>
      </c>
      <c r="BR290" s="926">
        <f t="shared" ca="1" si="406"/>
        <v>105</v>
      </c>
      <c r="BS290" s="926">
        <f t="shared" ca="1" si="407"/>
        <v>112.64999999999998</v>
      </c>
      <c r="BT290" s="926">
        <f t="shared" ca="1" si="408"/>
        <v>105</v>
      </c>
      <c r="BU290" s="926">
        <f t="shared" ca="1" si="409"/>
        <v>42</v>
      </c>
      <c r="BV290" s="926">
        <f t="shared" ca="1" si="410"/>
        <v>2.15</v>
      </c>
      <c r="BW290" s="926">
        <v>0</v>
      </c>
      <c r="BX290" s="926">
        <f t="shared" ca="1" si="411"/>
        <v>31.834259727134924</v>
      </c>
      <c r="BY290" s="926">
        <f t="shared" ca="1" si="412"/>
        <v>61.037916495517898</v>
      </c>
      <c r="BZ290" s="926">
        <f t="shared" ca="1" si="381"/>
        <v>39.484538840145518</v>
      </c>
      <c r="CA290" s="926">
        <f t="shared" ca="1" si="382"/>
        <v>115.49999993647498</v>
      </c>
      <c r="CB290" s="926">
        <f t="shared" ca="1" si="413"/>
        <v>4.5133587786259541</v>
      </c>
      <c r="CC290" s="926">
        <f t="shared" si="383"/>
        <v>0</v>
      </c>
      <c r="CD290" s="1018">
        <f t="shared" ca="1" si="416"/>
        <v>289.05007377789929</v>
      </c>
      <c r="CE290" s="1018">
        <f t="shared" ca="1" si="398"/>
        <v>63.820382670258994</v>
      </c>
      <c r="CF290" s="926">
        <f t="shared" ca="1" si="384"/>
        <v>10.586113693444748</v>
      </c>
      <c r="CG290" s="926">
        <f t="shared" ca="1" si="385"/>
        <v>17625.455855037766</v>
      </c>
    </row>
    <row r="291" spans="4:85" s="3" customFormat="1" x14ac:dyDescent="0.25">
      <c r="D291" s="708"/>
      <c r="E291" s="704"/>
      <c r="F291" s="708"/>
      <c r="G291" s="704"/>
      <c r="H291" s="708"/>
      <c r="I291" s="704"/>
      <c r="J291" s="708"/>
      <c r="K291" s="709"/>
      <c r="L291" s="708"/>
      <c r="M291" s="703"/>
      <c r="N291" s="703"/>
      <c r="O291" s="703"/>
      <c r="P291" s="703"/>
      <c r="Q291" s="703" t="s">
        <v>22</v>
      </c>
      <c r="R291" s="705">
        <v>0.60750000000000004</v>
      </c>
      <c r="S291" s="703"/>
      <c r="T291" s="713">
        <v>0</v>
      </c>
      <c r="U291" s="702"/>
      <c r="V291" s="176">
        <f t="shared" si="402"/>
        <v>0</v>
      </c>
      <c r="W291" s="176">
        <f t="shared" si="414"/>
        <v>0</v>
      </c>
      <c r="X291" s="176">
        <f t="shared" si="415"/>
        <v>0</v>
      </c>
      <c r="Y291" s="958">
        <f>X291/Calculation_sheet!M$67</f>
        <v>0</v>
      </c>
      <c r="Z291" s="176">
        <f ca="1">IF(AN291&gt;0,Y291*Calculation_sheet!C$87,0)</f>
        <v>0</v>
      </c>
      <c r="AA291" s="176">
        <f t="shared" ca="1" si="377"/>
        <v>0</v>
      </c>
      <c r="AB291" s="176">
        <f ca="1">IF(AP291&gt;0,AA291*Calculation_sheet!C$94,0)</f>
        <v>0</v>
      </c>
      <c r="AC291" s="176">
        <f t="shared" ca="1" si="403"/>
        <v>0</v>
      </c>
      <c r="AD291" s="958">
        <f ca="1">AC291*Calculation_sheet!C$99</f>
        <v>0</v>
      </c>
      <c r="AE291" s="176">
        <f t="shared" ca="1" si="403"/>
        <v>0</v>
      </c>
      <c r="AF291" s="176">
        <f t="shared" ca="1" si="400"/>
        <v>0</v>
      </c>
      <c r="AG291" s="958">
        <f ca="1">AF291*User_sheet!B$77/100</f>
        <v>0</v>
      </c>
      <c r="AH291" s="313"/>
      <c r="AI291" s="945">
        <v>303</v>
      </c>
      <c r="AJ291" s="985"/>
      <c r="AK291" s="1018">
        <f t="shared" ca="1" si="380"/>
        <v>289.05007377789929</v>
      </c>
      <c r="AL291" s="924">
        <f ca="1">AK291/'303'!I$24</f>
        <v>0.7926781126502106</v>
      </c>
      <c r="AM291" s="924">
        <f ca="1">0.8*(AK291*30+'303'!D$17*0.34*30*1)</f>
        <v>14934.001770669583</v>
      </c>
      <c r="AN291" s="954">
        <f ca="1">IF(AM291&lt;User_sheet!B$50,Y291,0)</f>
        <v>0</v>
      </c>
      <c r="AO291" s="954">
        <f ca="1">20-(User_sheet!B$57/(AK291+'303'!D$17*1*0.34))</f>
        <v>10.839695742592216</v>
      </c>
      <c r="AP291" s="954">
        <f ca="1">IF(AO291&lt;User_sheet!B$59,0,BC291*AA291)</f>
        <v>0</v>
      </c>
      <c r="AQ291" s="985"/>
      <c r="AR291" s="945">
        <v>0.32</v>
      </c>
      <c r="AS291" s="1020">
        <v>0.59799999999999998</v>
      </c>
      <c r="AT291" s="945">
        <v>1.42</v>
      </c>
      <c r="AU291" s="945">
        <v>2.75</v>
      </c>
      <c r="AV291" s="945">
        <v>3.3</v>
      </c>
      <c r="AW291" s="945">
        <v>12257.141193582425</v>
      </c>
      <c r="AX291" s="945">
        <v>75945.51234133933</v>
      </c>
      <c r="AY291" s="945">
        <v>62673.095488422703</v>
      </c>
      <c r="AZ291" s="945">
        <v>0</v>
      </c>
      <c r="BA291" s="945">
        <v>0</v>
      </c>
      <c r="BB291" s="945">
        <v>0.6</v>
      </c>
      <c r="BC291" s="948">
        <v>0</v>
      </c>
      <c r="BD291" s="949">
        <v>1</v>
      </c>
      <c r="BE291" s="949">
        <v>0</v>
      </c>
      <c r="BF291" s="952">
        <v>0</v>
      </c>
      <c r="BG291" s="945">
        <v>1</v>
      </c>
      <c r="BH291" s="945">
        <v>0</v>
      </c>
      <c r="BI291" s="952">
        <v>0</v>
      </c>
      <c r="BJ291" s="945">
        <v>0</v>
      </c>
      <c r="BK291" s="945">
        <v>1</v>
      </c>
      <c r="BL291" s="945">
        <v>0</v>
      </c>
      <c r="BM291" s="952">
        <v>0</v>
      </c>
      <c r="BN291" s="958">
        <v>0.1</v>
      </c>
      <c r="BO291" s="959">
        <v>6</v>
      </c>
      <c r="BP291" s="926">
        <f t="shared" ca="1" si="404"/>
        <v>350</v>
      </c>
      <c r="BQ291" s="926">
        <f t="shared" ca="1" si="405"/>
        <v>764.40000000000009</v>
      </c>
      <c r="BR291" s="926">
        <f t="shared" ca="1" si="406"/>
        <v>105</v>
      </c>
      <c r="BS291" s="926">
        <f t="shared" ca="1" si="407"/>
        <v>112.64999999999998</v>
      </c>
      <c r="BT291" s="926">
        <f t="shared" ca="1" si="408"/>
        <v>105</v>
      </c>
      <c r="BU291" s="926">
        <f t="shared" ca="1" si="409"/>
        <v>42</v>
      </c>
      <c r="BV291" s="926">
        <f t="shared" ca="1" si="410"/>
        <v>2.15</v>
      </c>
      <c r="BW291" s="926">
        <v>0</v>
      </c>
      <c r="BX291" s="926">
        <f t="shared" ca="1" si="411"/>
        <v>31.834259727134924</v>
      </c>
      <c r="BY291" s="926">
        <f t="shared" ca="1" si="412"/>
        <v>61.037916495517898</v>
      </c>
      <c r="BZ291" s="926">
        <f t="shared" ca="1" si="381"/>
        <v>39.484538840145518</v>
      </c>
      <c r="CA291" s="926">
        <f t="shared" ca="1" si="382"/>
        <v>115.49999993647498</v>
      </c>
      <c r="CB291" s="926">
        <f t="shared" ca="1" si="413"/>
        <v>4.5133587786259541</v>
      </c>
      <c r="CC291" s="926">
        <f t="shared" si="383"/>
        <v>0</v>
      </c>
      <c r="CD291" s="1018">
        <f t="shared" ca="1" si="416"/>
        <v>289.05007377789929</v>
      </c>
      <c r="CE291" s="1018">
        <f t="shared" ca="1" si="398"/>
        <v>63.820382670258994</v>
      </c>
      <c r="CF291" s="926">
        <f t="shared" ca="1" si="384"/>
        <v>10.586113693444748</v>
      </c>
      <c r="CG291" s="926">
        <f t="shared" ca="1" si="385"/>
        <v>17625.455855037766</v>
      </c>
    </row>
    <row r="292" spans="4:85" s="3" customFormat="1" x14ac:dyDescent="0.25">
      <c r="D292" s="708"/>
      <c r="E292" s="704"/>
      <c r="F292" s="708"/>
      <c r="G292" s="704"/>
      <c r="H292" s="708"/>
      <c r="I292" s="704"/>
      <c r="J292" s="708"/>
      <c r="K292" s="709"/>
      <c r="L292" s="708"/>
      <c r="M292" s="703"/>
      <c r="N292" s="703"/>
      <c r="O292" s="703" t="s">
        <v>18</v>
      </c>
      <c r="P292" s="705">
        <v>0.94399999999999995</v>
      </c>
      <c r="Q292" s="703" t="s">
        <v>7</v>
      </c>
      <c r="R292" s="705">
        <v>0.39250000000000002</v>
      </c>
      <c r="S292" s="703"/>
      <c r="T292" s="713">
        <v>0</v>
      </c>
      <c r="U292" s="702"/>
      <c r="V292" s="176">
        <f t="shared" si="402"/>
        <v>0</v>
      </c>
      <c r="W292" s="176">
        <f t="shared" si="414"/>
        <v>0</v>
      </c>
      <c r="X292" s="176">
        <f t="shared" si="415"/>
        <v>0</v>
      </c>
      <c r="Y292" s="958">
        <f>X292/Calculation_sheet!M$67</f>
        <v>0</v>
      </c>
      <c r="Z292" s="176">
        <f ca="1">IF(AN292&gt;0,Y292*Calculation_sheet!C$87,0)</f>
        <v>0</v>
      </c>
      <c r="AA292" s="176">
        <f t="shared" ca="1" si="377"/>
        <v>0</v>
      </c>
      <c r="AB292" s="176">
        <f ca="1">IF(AP292&gt;0,AA292*Calculation_sheet!C$94,0)</f>
        <v>0</v>
      </c>
      <c r="AC292" s="176">
        <f t="shared" ca="1" si="403"/>
        <v>0</v>
      </c>
      <c r="AD292" s="958">
        <f ca="1">AC292*Calculation_sheet!C$99</f>
        <v>0</v>
      </c>
      <c r="AE292" s="176">
        <f t="shared" ca="1" si="403"/>
        <v>0</v>
      </c>
      <c r="AF292" s="176">
        <f t="shared" ca="1" si="400"/>
        <v>0</v>
      </c>
      <c r="AG292" s="958">
        <f ca="1">AF292*User_sheet!B$77/100</f>
        <v>0</v>
      </c>
      <c r="AH292" s="313"/>
      <c r="AI292" s="945">
        <v>303</v>
      </c>
      <c r="AJ292" s="985"/>
      <c r="AK292" s="1018">
        <f t="shared" ca="1" si="380"/>
        <v>289.05007377789929</v>
      </c>
      <c r="AL292" s="924">
        <f ca="1">AK292/'303'!I$24</f>
        <v>0.7926781126502106</v>
      </c>
      <c r="AM292" s="924">
        <f ca="1">0.8*(AK292*30+'303'!D$17*0.34*30*1)</f>
        <v>14934.001770669583</v>
      </c>
      <c r="AN292" s="954">
        <f ca="1">IF(AM292&lt;User_sheet!B$50,Y292,0)</f>
        <v>0</v>
      </c>
      <c r="AO292" s="954">
        <f ca="1">20-(User_sheet!B$57/(AK292+'303'!D$17*1*0.34))</f>
        <v>10.839695742592216</v>
      </c>
      <c r="AP292" s="954">
        <f ca="1">IF(AO292&lt;User_sheet!B$59,0,BC292*AA292)</f>
        <v>0</v>
      </c>
      <c r="AQ292" s="985"/>
      <c r="AR292" s="945">
        <v>0.32</v>
      </c>
      <c r="AS292" s="1020">
        <v>0.59799999999999998</v>
      </c>
      <c r="AT292" s="945">
        <v>1.42</v>
      </c>
      <c r="AU292" s="945">
        <v>2.75</v>
      </c>
      <c r="AV292" s="945">
        <v>3.3</v>
      </c>
      <c r="AW292" s="945">
        <v>12257.141193582425</v>
      </c>
      <c r="AX292" s="945">
        <v>75945.51234133933</v>
      </c>
      <c r="AY292" s="945">
        <v>62673.095488422703</v>
      </c>
      <c r="AZ292" s="945">
        <v>0</v>
      </c>
      <c r="BA292" s="945">
        <v>0</v>
      </c>
      <c r="BB292" s="945">
        <v>0.6</v>
      </c>
      <c r="BC292" s="948">
        <v>0</v>
      </c>
      <c r="BD292" s="949">
        <v>1</v>
      </c>
      <c r="BE292" s="949">
        <v>0</v>
      </c>
      <c r="BF292" s="952">
        <v>0</v>
      </c>
      <c r="BG292" s="945">
        <v>1</v>
      </c>
      <c r="BH292" s="945">
        <v>0</v>
      </c>
      <c r="BI292" s="952">
        <v>0</v>
      </c>
      <c r="BJ292" s="945">
        <v>0</v>
      </c>
      <c r="BK292" s="945">
        <v>0</v>
      </c>
      <c r="BL292" s="945">
        <v>1</v>
      </c>
      <c r="BM292" s="952">
        <v>0</v>
      </c>
      <c r="BN292" s="958">
        <v>0.1</v>
      </c>
      <c r="BO292" s="959">
        <v>6</v>
      </c>
      <c r="BP292" s="926">
        <f t="shared" ca="1" si="404"/>
        <v>350</v>
      </c>
      <c r="BQ292" s="926">
        <f t="shared" ca="1" si="405"/>
        <v>764.40000000000009</v>
      </c>
      <c r="BR292" s="926">
        <f t="shared" ca="1" si="406"/>
        <v>105</v>
      </c>
      <c r="BS292" s="926">
        <f t="shared" ca="1" si="407"/>
        <v>112.64999999999998</v>
      </c>
      <c r="BT292" s="926">
        <f t="shared" ca="1" si="408"/>
        <v>105</v>
      </c>
      <c r="BU292" s="926">
        <f t="shared" ca="1" si="409"/>
        <v>42</v>
      </c>
      <c r="BV292" s="926">
        <f t="shared" ca="1" si="410"/>
        <v>2.15</v>
      </c>
      <c r="BW292" s="926">
        <v>0</v>
      </c>
      <c r="BX292" s="926">
        <f t="shared" ca="1" si="411"/>
        <v>31.834259727134924</v>
      </c>
      <c r="BY292" s="926">
        <f t="shared" ca="1" si="412"/>
        <v>61.037916495517898</v>
      </c>
      <c r="BZ292" s="926">
        <f t="shared" ca="1" si="381"/>
        <v>39.484538840145518</v>
      </c>
      <c r="CA292" s="926">
        <f t="shared" ca="1" si="382"/>
        <v>115.49999993647498</v>
      </c>
      <c r="CB292" s="926">
        <f t="shared" ca="1" si="413"/>
        <v>4.5133587786259541</v>
      </c>
      <c r="CC292" s="926">
        <f t="shared" si="383"/>
        <v>0</v>
      </c>
      <c r="CD292" s="1018">
        <f t="shared" ca="1" si="416"/>
        <v>289.05007377789929</v>
      </c>
      <c r="CE292" s="1018">
        <f t="shared" ca="1" si="398"/>
        <v>63.820382670258994</v>
      </c>
      <c r="CF292" s="926">
        <f t="shared" ca="1" si="384"/>
        <v>10.586113693444748</v>
      </c>
      <c r="CG292" s="926">
        <f t="shared" ca="1" si="385"/>
        <v>17625.455855037766</v>
      </c>
    </row>
    <row r="293" spans="4:85" s="3" customFormat="1" x14ac:dyDescent="0.25">
      <c r="D293" s="708"/>
      <c r="E293" s="704"/>
      <c r="F293" s="708"/>
      <c r="G293" s="704"/>
      <c r="H293" s="708"/>
      <c r="I293" s="704"/>
      <c r="J293" s="708"/>
      <c r="K293" s="702"/>
      <c r="L293" s="702"/>
      <c r="M293" s="703"/>
      <c r="N293" s="703"/>
      <c r="O293" s="703"/>
      <c r="P293" s="703"/>
      <c r="Q293" s="703" t="s">
        <v>22</v>
      </c>
      <c r="R293" s="705">
        <v>0.39250000000000002</v>
      </c>
      <c r="S293" s="703"/>
      <c r="T293" s="713">
        <v>0</v>
      </c>
      <c r="U293" s="702"/>
      <c r="V293" s="176">
        <f t="shared" si="402"/>
        <v>0</v>
      </c>
      <c r="W293" s="176">
        <f t="shared" si="414"/>
        <v>0</v>
      </c>
      <c r="X293" s="176">
        <f t="shared" si="415"/>
        <v>0</v>
      </c>
      <c r="Y293" s="958">
        <f>X293/Calculation_sheet!M$67</f>
        <v>0</v>
      </c>
      <c r="Z293" s="176">
        <f ca="1">IF(AN293&gt;0,Y293*Calculation_sheet!C$87,0)</f>
        <v>0</v>
      </c>
      <c r="AA293" s="176">
        <f t="shared" ca="1" si="377"/>
        <v>0</v>
      </c>
      <c r="AB293" s="176">
        <f ca="1">IF(AP293&gt;0,AA293*Calculation_sheet!C$94,0)</f>
        <v>0</v>
      </c>
      <c r="AC293" s="176">
        <f t="shared" ca="1" si="403"/>
        <v>0</v>
      </c>
      <c r="AD293" s="958">
        <f ca="1">AC293*Calculation_sheet!C$99</f>
        <v>0</v>
      </c>
      <c r="AE293" s="176">
        <f t="shared" ca="1" si="403"/>
        <v>0</v>
      </c>
      <c r="AF293" s="176">
        <f t="shared" ca="1" si="400"/>
        <v>0</v>
      </c>
      <c r="AG293" s="958">
        <f ca="1">AF293*User_sheet!B$77/100</f>
        <v>0</v>
      </c>
      <c r="AH293" s="313"/>
      <c r="AI293" s="945">
        <v>303</v>
      </c>
      <c r="AJ293" s="985"/>
      <c r="AK293" s="1018">
        <f t="shared" ca="1" si="380"/>
        <v>289.05007377789929</v>
      </c>
      <c r="AL293" s="924">
        <f ca="1">AK293/'303'!I$24</f>
        <v>0.7926781126502106</v>
      </c>
      <c r="AM293" s="924">
        <f ca="1">0.8*(AK293*30+'303'!D$17*0.34*30*1)</f>
        <v>14934.001770669583</v>
      </c>
      <c r="AN293" s="954">
        <f ca="1">IF(AM293&lt;User_sheet!B$50,Y293,0)</f>
        <v>0</v>
      </c>
      <c r="AO293" s="954">
        <f ca="1">20-(User_sheet!B$57/(AK293+'303'!D$17*1*0.34))</f>
        <v>10.839695742592216</v>
      </c>
      <c r="AP293" s="954">
        <f ca="1">IF(AO293&lt;User_sheet!B$59,0,BC293*AA293)</f>
        <v>0</v>
      </c>
      <c r="AQ293" s="985"/>
      <c r="AR293" s="945">
        <v>0.32</v>
      </c>
      <c r="AS293" s="1020">
        <v>0.59799999999999998</v>
      </c>
      <c r="AT293" s="945">
        <v>1.42</v>
      </c>
      <c r="AU293" s="945">
        <v>2.75</v>
      </c>
      <c r="AV293" s="945">
        <v>3.3</v>
      </c>
      <c r="AW293" s="945">
        <v>12257.141193582425</v>
      </c>
      <c r="AX293" s="945">
        <v>75945.51234133933</v>
      </c>
      <c r="AY293" s="945">
        <v>62673.095488422703</v>
      </c>
      <c r="AZ293" s="945">
        <v>0</v>
      </c>
      <c r="BA293" s="945">
        <v>0</v>
      </c>
      <c r="BB293" s="945">
        <v>0.6</v>
      </c>
      <c r="BC293" s="948">
        <v>0</v>
      </c>
      <c r="BD293" s="949">
        <v>1</v>
      </c>
      <c r="BE293" s="949">
        <v>0</v>
      </c>
      <c r="BF293" s="952">
        <v>0</v>
      </c>
      <c r="BG293" s="945">
        <v>0</v>
      </c>
      <c r="BH293" s="945">
        <v>1</v>
      </c>
      <c r="BI293" s="952">
        <v>0</v>
      </c>
      <c r="BJ293" s="945">
        <v>0</v>
      </c>
      <c r="BK293" s="945">
        <v>1</v>
      </c>
      <c r="BL293" s="945">
        <v>0</v>
      </c>
      <c r="BM293" s="952">
        <v>0</v>
      </c>
      <c r="BN293" s="958">
        <v>0.1</v>
      </c>
      <c r="BO293" s="959">
        <v>6</v>
      </c>
      <c r="BP293" s="926">
        <f t="shared" ca="1" si="404"/>
        <v>350</v>
      </c>
      <c r="BQ293" s="926">
        <f t="shared" ca="1" si="405"/>
        <v>764.40000000000009</v>
      </c>
      <c r="BR293" s="926">
        <f t="shared" ca="1" si="406"/>
        <v>105</v>
      </c>
      <c r="BS293" s="926">
        <f t="shared" ca="1" si="407"/>
        <v>112.64999999999998</v>
      </c>
      <c r="BT293" s="926">
        <f t="shared" ca="1" si="408"/>
        <v>105</v>
      </c>
      <c r="BU293" s="926">
        <f t="shared" ca="1" si="409"/>
        <v>42</v>
      </c>
      <c r="BV293" s="926">
        <f t="shared" ca="1" si="410"/>
        <v>2.15</v>
      </c>
      <c r="BW293" s="926">
        <v>0</v>
      </c>
      <c r="BX293" s="926">
        <f t="shared" ca="1" si="411"/>
        <v>31.834259727134924</v>
      </c>
      <c r="BY293" s="926">
        <f t="shared" ca="1" si="412"/>
        <v>61.037916495517898</v>
      </c>
      <c r="BZ293" s="926">
        <f t="shared" ca="1" si="381"/>
        <v>39.484538840145518</v>
      </c>
      <c r="CA293" s="926">
        <f t="shared" ca="1" si="382"/>
        <v>115.49999993647498</v>
      </c>
      <c r="CB293" s="926">
        <f t="shared" ca="1" si="413"/>
        <v>4.5133587786259541</v>
      </c>
      <c r="CC293" s="926">
        <f t="shared" si="383"/>
        <v>0</v>
      </c>
      <c r="CD293" s="1018">
        <f t="shared" ca="1" si="416"/>
        <v>289.05007377789929</v>
      </c>
      <c r="CE293" s="1018">
        <f t="shared" ca="1" si="398"/>
        <v>63.820382670258994</v>
      </c>
      <c r="CF293" s="926">
        <f t="shared" ca="1" si="384"/>
        <v>10.586113693444748</v>
      </c>
      <c r="CG293" s="926">
        <f t="shared" ca="1" si="385"/>
        <v>17625.455855037766</v>
      </c>
    </row>
    <row r="294" spans="4:85" s="3" customFormat="1" x14ac:dyDescent="0.25">
      <c r="D294" s="708"/>
      <c r="E294" s="704"/>
      <c r="F294" s="708"/>
      <c r="G294" s="704"/>
      <c r="H294" s="708"/>
      <c r="I294" s="704"/>
      <c r="J294" s="708"/>
      <c r="K294" s="703"/>
      <c r="L294" s="703"/>
      <c r="M294" s="703" t="s">
        <v>22</v>
      </c>
      <c r="N294" s="705">
        <v>0.47</v>
      </c>
      <c r="O294" s="703" t="s">
        <v>20</v>
      </c>
      <c r="P294" s="705">
        <v>5.6000000000000001E-2</v>
      </c>
      <c r="Q294" s="703" t="s">
        <v>7</v>
      </c>
      <c r="R294" s="705">
        <v>0.60750000000000004</v>
      </c>
      <c r="S294" s="703"/>
      <c r="T294" s="713">
        <v>0</v>
      </c>
      <c r="U294" s="702"/>
      <c r="V294" s="176">
        <f t="shared" si="402"/>
        <v>0</v>
      </c>
      <c r="W294" s="176">
        <f t="shared" si="414"/>
        <v>0</v>
      </c>
      <c r="X294" s="176">
        <f t="shared" si="415"/>
        <v>0</v>
      </c>
      <c r="Y294" s="958">
        <f>X294/Calculation_sheet!M$67</f>
        <v>0</v>
      </c>
      <c r="Z294" s="176">
        <f ca="1">IF(AN294&gt;0,Y294*Calculation_sheet!C$87,0)</f>
        <v>0</v>
      </c>
      <c r="AA294" s="176">
        <f t="shared" ca="1" si="377"/>
        <v>0</v>
      </c>
      <c r="AB294" s="176">
        <f ca="1">IF(AP294&gt;0,AA294*Calculation_sheet!C$94,0)</f>
        <v>0</v>
      </c>
      <c r="AC294" s="176">
        <f t="shared" ca="1" si="403"/>
        <v>0</v>
      </c>
      <c r="AD294" s="958">
        <f ca="1">AC294*Calculation_sheet!C$99</f>
        <v>0</v>
      </c>
      <c r="AE294" s="176">
        <f t="shared" ca="1" si="403"/>
        <v>0</v>
      </c>
      <c r="AF294" s="176">
        <f t="shared" ca="1" si="400"/>
        <v>0</v>
      </c>
      <c r="AG294" s="958">
        <f ca="1">AF294*User_sheet!B$77/100</f>
        <v>0</v>
      </c>
      <c r="AH294" s="313"/>
      <c r="AI294" s="945">
        <v>303</v>
      </c>
      <c r="AJ294" s="985"/>
      <c r="AK294" s="1018">
        <f t="shared" ca="1" si="380"/>
        <v>289.05007377789929</v>
      </c>
      <c r="AL294" s="924">
        <f ca="1">AK294/'303'!I$24</f>
        <v>0.7926781126502106</v>
      </c>
      <c r="AM294" s="924">
        <f ca="1">0.8*(AK294*30+'303'!D$17*0.34*30*1)</f>
        <v>14934.001770669583</v>
      </c>
      <c r="AN294" s="954">
        <f ca="1">IF(AM294&lt;User_sheet!B$50,Y294,0)</f>
        <v>0</v>
      </c>
      <c r="AO294" s="954">
        <f ca="1">20-(User_sheet!B$57/(AK294+'303'!D$17*1*0.34))</f>
        <v>10.839695742592216</v>
      </c>
      <c r="AP294" s="954">
        <f ca="1">IF(AO294&lt;User_sheet!B$59,0,BC294*AA294)</f>
        <v>0</v>
      </c>
      <c r="AQ294" s="985"/>
      <c r="AR294" s="945">
        <v>0.32</v>
      </c>
      <c r="AS294" s="1020">
        <v>0.59799999999999998</v>
      </c>
      <c r="AT294" s="945">
        <v>1.42</v>
      </c>
      <c r="AU294" s="945">
        <v>2.75</v>
      </c>
      <c r="AV294" s="945">
        <v>3.3</v>
      </c>
      <c r="AW294" s="945">
        <v>12257.141193582425</v>
      </c>
      <c r="AX294" s="945">
        <v>75945.51234133933</v>
      </c>
      <c r="AY294" s="945">
        <v>62673.095488422703</v>
      </c>
      <c r="AZ294" s="945">
        <v>0</v>
      </c>
      <c r="BA294" s="945">
        <v>0</v>
      </c>
      <c r="BB294" s="945">
        <v>0.6</v>
      </c>
      <c r="BC294" s="948">
        <v>0</v>
      </c>
      <c r="BD294" s="949">
        <v>1</v>
      </c>
      <c r="BE294" s="949">
        <v>0</v>
      </c>
      <c r="BF294" s="952">
        <v>0</v>
      </c>
      <c r="BG294" s="945">
        <v>0</v>
      </c>
      <c r="BH294" s="945">
        <v>1</v>
      </c>
      <c r="BI294" s="952">
        <v>0</v>
      </c>
      <c r="BJ294" s="945">
        <v>0</v>
      </c>
      <c r="BK294" s="945">
        <v>0</v>
      </c>
      <c r="BL294" s="945">
        <v>1</v>
      </c>
      <c r="BM294" s="952">
        <v>0</v>
      </c>
      <c r="BN294" s="958">
        <v>0.1</v>
      </c>
      <c r="BO294" s="959">
        <v>6</v>
      </c>
      <c r="BP294" s="926">
        <f t="shared" ca="1" si="404"/>
        <v>350</v>
      </c>
      <c r="BQ294" s="926">
        <f t="shared" ca="1" si="405"/>
        <v>764.40000000000009</v>
      </c>
      <c r="BR294" s="926">
        <f t="shared" ca="1" si="406"/>
        <v>105</v>
      </c>
      <c r="BS294" s="926">
        <f t="shared" ca="1" si="407"/>
        <v>112.64999999999998</v>
      </c>
      <c r="BT294" s="926">
        <f t="shared" ca="1" si="408"/>
        <v>105</v>
      </c>
      <c r="BU294" s="926">
        <f t="shared" ca="1" si="409"/>
        <v>42</v>
      </c>
      <c r="BV294" s="926">
        <f t="shared" ca="1" si="410"/>
        <v>2.15</v>
      </c>
      <c r="BW294" s="926">
        <v>0</v>
      </c>
      <c r="BX294" s="926">
        <f t="shared" ca="1" si="411"/>
        <v>31.834259727134924</v>
      </c>
      <c r="BY294" s="926">
        <f t="shared" ca="1" si="412"/>
        <v>61.037916495517898</v>
      </c>
      <c r="BZ294" s="926">
        <f t="shared" ca="1" si="381"/>
        <v>39.484538840145518</v>
      </c>
      <c r="CA294" s="926">
        <f t="shared" ca="1" si="382"/>
        <v>115.49999993647498</v>
      </c>
      <c r="CB294" s="926">
        <f t="shared" ca="1" si="413"/>
        <v>4.5133587786259541</v>
      </c>
      <c r="CC294" s="926">
        <f t="shared" si="383"/>
        <v>0</v>
      </c>
      <c r="CD294" s="1018">
        <f t="shared" ca="1" si="416"/>
        <v>289.05007377789929</v>
      </c>
      <c r="CE294" s="1018">
        <f t="shared" ca="1" si="398"/>
        <v>63.820382670258994</v>
      </c>
      <c r="CF294" s="926">
        <f t="shared" ca="1" si="384"/>
        <v>10.586113693444748</v>
      </c>
      <c r="CG294" s="926">
        <f t="shared" ca="1" si="385"/>
        <v>17625.455855037766</v>
      </c>
    </row>
    <row r="295" spans="4:85" s="3" customFormat="1" x14ac:dyDescent="0.25">
      <c r="D295" s="708"/>
      <c r="E295" s="704"/>
      <c r="F295" s="708"/>
      <c r="G295" s="704"/>
      <c r="H295" s="708"/>
      <c r="I295" s="704"/>
      <c r="J295" s="708"/>
      <c r="K295" s="706" t="s">
        <v>12</v>
      </c>
      <c r="L295" s="707">
        <v>0</v>
      </c>
      <c r="M295" s="703" t="s">
        <v>7</v>
      </c>
      <c r="N295" s="705">
        <v>0.11900000000000005</v>
      </c>
      <c r="O295" s="703" t="s">
        <v>23</v>
      </c>
      <c r="P295" s="705">
        <v>1</v>
      </c>
      <c r="Q295" s="703" t="s">
        <v>7</v>
      </c>
      <c r="R295" s="705">
        <v>1</v>
      </c>
      <c r="S295" s="703"/>
      <c r="T295" s="713">
        <v>0</v>
      </c>
      <c r="U295" s="702"/>
      <c r="V295" s="176">
        <f t="shared" si="402"/>
        <v>0</v>
      </c>
      <c r="W295" s="176">
        <f t="shared" si="414"/>
        <v>0</v>
      </c>
      <c r="X295" s="176">
        <f t="shared" si="415"/>
        <v>0</v>
      </c>
      <c r="Y295" s="958">
        <f>X295/Calculation_sheet!M$67</f>
        <v>0</v>
      </c>
      <c r="Z295" s="176">
        <f ca="1">IF(AN295&gt;0,Y295*Calculation_sheet!C$87,0)</f>
        <v>0</v>
      </c>
      <c r="AA295" s="176">
        <f t="shared" ca="1" si="377"/>
        <v>0</v>
      </c>
      <c r="AB295" s="176">
        <f ca="1">IF(AP295&gt;0,AA295*Calculation_sheet!C$94,0)</f>
        <v>0</v>
      </c>
      <c r="AC295" s="176">
        <f t="shared" ca="1" si="403"/>
        <v>0</v>
      </c>
      <c r="AD295" s="958">
        <f ca="1">AC295*Calculation_sheet!C$99</f>
        <v>0</v>
      </c>
      <c r="AE295" s="176">
        <f t="shared" ca="1" si="403"/>
        <v>0</v>
      </c>
      <c r="AF295" s="176">
        <f t="shared" ca="1" si="400"/>
        <v>0</v>
      </c>
      <c r="AG295" s="958">
        <f ca="1">AF295*User_sheet!B$77/100</f>
        <v>0</v>
      </c>
      <c r="AH295" s="313"/>
      <c r="AI295" s="945">
        <v>303</v>
      </c>
      <c r="AJ295" s="985"/>
      <c r="AK295" s="1018">
        <f t="shared" ca="1" si="380"/>
        <v>289.05007377789929</v>
      </c>
      <c r="AL295" s="924">
        <f ca="1">AK295/'303'!I$24</f>
        <v>0.7926781126502106</v>
      </c>
      <c r="AM295" s="924">
        <f ca="1">0.8*(AK295*30+'303'!D$17*0.34*30*1)</f>
        <v>14934.001770669583</v>
      </c>
      <c r="AN295" s="954">
        <f ca="1">IF(AM295&lt;User_sheet!B$50,Y295,0)</f>
        <v>0</v>
      </c>
      <c r="AO295" s="954">
        <f ca="1">20-(User_sheet!B$57/(AK295+'303'!D$17*1*0.34))</f>
        <v>10.839695742592216</v>
      </c>
      <c r="AP295" s="954">
        <f ca="1">IF(AO295&lt;User_sheet!B$59,0,BC295*AA295)</f>
        <v>0</v>
      </c>
      <c r="AQ295" s="985"/>
      <c r="AR295" s="945">
        <v>0.32</v>
      </c>
      <c r="AS295" s="1020">
        <v>0.59799999999999998</v>
      </c>
      <c r="AT295" s="945">
        <v>1.42</v>
      </c>
      <c r="AU295" s="945">
        <v>2.75</v>
      </c>
      <c r="AV295" s="945">
        <v>3.3</v>
      </c>
      <c r="AW295" s="945">
        <v>12257.141193582425</v>
      </c>
      <c r="AX295" s="945">
        <v>75945.51234133933</v>
      </c>
      <c r="AY295" s="945">
        <v>62673.095488422703</v>
      </c>
      <c r="AZ295" s="945">
        <v>0</v>
      </c>
      <c r="BA295" s="945">
        <v>0</v>
      </c>
      <c r="BB295" s="945">
        <v>0.6</v>
      </c>
      <c r="BC295" s="948">
        <v>0</v>
      </c>
      <c r="BD295" s="949">
        <v>0</v>
      </c>
      <c r="BE295" s="949">
        <v>1</v>
      </c>
      <c r="BF295" s="952">
        <v>0</v>
      </c>
      <c r="BG295" s="945">
        <v>0</v>
      </c>
      <c r="BH295" s="945">
        <v>0</v>
      </c>
      <c r="BI295" s="952">
        <v>1</v>
      </c>
      <c r="BJ295" s="945">
        <v>0</v>
      </c>
      <c r="BK295" s="945">
        <v>0</v>
      </c>
      <c r="BL295" s="945">
        <v>1</v>
      </c>
      <c r="BM295" s="952">
        <v>0</v>
      </c>
      <c r="BN295" s="958">
        <v>0.1</v>
      </c>
      <c r="BO295" s="959">
        <v>6</v>
      </c>
      <c r="BP295" s="926">
        <f t="shared" ca="1" si="404"/>
        <v>350</v>
      </c>
      <c r="BQ295" s="926">
        <f t="shared" ca="1" si="405"/>
        <v>764.40000000000009</v>
      </c>
      <c r="BR295" s="926">
        <f t="shared" ca="1" si="406"/>
        <v>105</v>
      </c>
      <c r="BS295" s="926">
        <f t="shared" ca="1" si="407"/>
        <v>112.64999999999998</v>
      </c>
      <c r="BT295" s="926">
        <f t="shared" ca="1" si="408"/>
        <v>105</v>
      </c>
      <c r="BU295" s="926">
        <f t="shared" ca="1" si="409"/>
        <v>42</v>
      </c>
      <c r="BV295" s="926">
        <f t="shared" ca="1" si="410"/>
        <v>2.15</v>
      </c>
      <c r="BW295" s="926">
        <v>0</v>
      </c>
      <c r="BX295" s="926">
        <f t="shared" ca="1" si="411"/>
        <v>31.834259727134924</v>
      </c>
      <c r="BY295" s="926">
        <f t="shared" ca="1" si="412"/>
        <v>61.037916495517898</v>
      </c>
      <c r="BZ295" s="926">
        <f t="shared" ca="1" si="381"/>
        <v>39.484538840145518</v>
      </c>
      <c r="CA295" s="926">
        <f t="shared" ca="1" si="382"/>
        <v>115.49999993647498</v>
      </c>
      <c r="CB295" s="926">
        <f t="shared" ca="1" si="413"/>
        <v>4.5133587786259541</v>
      </c>
      <c r="CC295" s="926">
        <f t="shared" si="383"/>
        <v>0</v>
      </c>
      <c r="CD295" s="1018">
        <f t="shared" ca="1" si="416"/>
        <v>289.05007377789929</v>
      </c>
      <c r="CE295" s="1018">
        <f t="shared" ca="1" si="398"/>
        <v>63.820382670258994</v>
      </c>
      <c r="CF295" s="926">
        <f t="shared" ca="1" si="384"/>
        <v>10.586113693444748</v>
      </c>
      <c r="CG295" s="926">
        <f t="shared" ca="1" si="385"/>
        <v>17625.455855037766</v>
      </c>
    </row>
    <row r="296" spans="4:85" s="11" customFormat="1" x14ac:dyDescent="0.25">
      <c r="D296" s="711"/>
      <c r="E296" s="710"/>
      <c r="F296" s="711"/>
      <c r="G296" s="710"/>
      <c r="H296" s="711"/>
      <c r="I296" s="710"/>
      <c r="J296" s="711"/>
      <c r="K296" s="712"/>
      <c r="L296" s="711"/>
      <c r="M296" s="711"/>
      <c r="N296" s="711"/>
      <c r="O296" s="711"/>
      <c r="P296" s="711"/>
      <c r="Q296" s="711"/>
      <c r="R296" s="711"/>
      <c r="S296" s="711"/>
      <c r="T296" s="714"/>
      <c r="U296" s="710"/>
      <c r="V296" s="293"/>
      <c r="W296" s="292"/>
      <c r="X296" s="292"/>
      <c r="Y296" s="277"/>
      <c r="Z296" s="292"/>
      <c r="AA296" s="292"/>
      <c r="AB296" s="292"/>
      <c r="AC296" s="292"/>
      <c r="AD296" s="277"/>
      <c r="AE296" s="292"/>
      <c r="AF296" s="292"/>
      <c r="AG296" s="277"/>
      <c r="AH296" s="313"/>
      <c r="AI296" s="947"/>
      <c r="AJ296" s="313"/>
      <c r="AK296" s="1018">
        <f t="shared" si="380"/>
        <v>0</v>
      </c>
      <c r="AL296" s="928"/>
      <c r="AM296" s="928"/>
      <c r="AN296" s="941"/>
      <c r="AO296" s="941"/>
      <c r="AP296" s="941"/>
      <c r="AQ296" s="313"/>
      <c r="AR296" s="946"/>
      <c r="AS296" s="955"/>
      <c r="AT296" s="946"/>
      <c r="AU296" s="946"/>
      <c r="AV296" s="946"/>
      <c r="AW296" s="946"/>
      <c r="AX296" s="946"/>
      <c r="AY296" s="946"/>
      <c r="AZ296" s="946"/>
      <c r="BA296" s="946"/>
      <c r="BB296" s="946"/>
      <c r="BC296" s="950"/>
      <c r="BD296" s="951"/>
      <c r="BE296" s="951"/>
      <c r="BF296" s="953"/>
      <c r="BG296" s="946"/>
      <c r="BH296" s="946"/>
      <c r="BI296" s="953"/>
      <c r="BJ296" s="946"/>
      <c r="BK296" s="946"/>
      <c r="BL296" s="946"/>
      <c r="BM296" s="953"/>
      <c r="BN296" s="278"/>
      <c r="BO296" s="52"/>
      <c r="BP296" s="946"/>
      <c r="BQ296" s="946"/>
      <c r="BR296" s="946"/>
      <c r="BS296" s="946"/>
      <c r="BT296" s="946"/>
      <c r="BU296" s="946"/>
      <c r="BV296" s="946"/>
      <c r="BW296" s="946"/>
      <c r="BX296" s="946"/>
      <c r="BY296" s="946"/>
      <c r="BZ296" s="946"/>
      <c r="CA296" s="946"/>
      <c r="CB296" s="946"/>
      <c r="CC296" s="946"/>
      <c r="CD296" s="946"/>
      <c r="CE296" s="946"/>
      <c r="CF296" s="946"/>
      <c r="CG296" s="946"/>
    </row>
    <row r="297" spans="4:85" x14ac:dyDescent="0.25">
      <c r="D297" s="703"/>
      <c r="E297" s="704"/>
      <c r="F297" s="708"/>
      <c r="G297" s="704"/>
      <c r="H297" s="708"/>
      <c r="I297" s="704"/>
      <c r="J297" s="708"/>
      <c r="K297" s="709"/>
      <c r="L297" s="708"/>
      <c r="M297" s="703"/>
      <c r="N297" s="703"/>
      <c r="O297" s="703"/>
      <c r="P297" s="703"/>
      <c r="Q297" s="703" t="s">
        <v>16</v>
      </c>
      <c r="R297" s="705">
        <v>0.92569999999999997</v>
      </c>
      <c r="S297" s="703"/>
      <c r="T297" s="713">
        <v>1.2192777680617587E-5</v>
      </c>
      <c r="U297" s="702"/>
      <c r="V297" s="176">
        <f t="shared" si="386"/>
        <v>1.2192777680617587E-5</v>
      </c>
      <c r="W297" s="176">
        <f>V297</f>
        <v>1.2192777680617587E-5</v>
      </c>
      <c r="X297" s="176">
        <f>W297</f>
        <v>1.2192777680617587E-5</v>
      </c>
      <c r="Y297" s="34">
        <f>X297/Calculation_sheet!M$67</f>
        <v>1.2193026979376583E-5</v>
      </c>
      <c r="Z297" s="176">
        <f ca="1">IF(AN297&gt;0,Y297*Calculation_sheet!C$87,0)</f>
        <v>0</v>
      </c>
      <c r="AA297" s="176">
        <f t="shared" ca="1" si="377"/>
        <v>1.2193026979376583E-5</v>
      </c>
      <c r="AB297" s="176">
        <f ca="1">IF(AP297&gt;0,AA297*Calculation_sheet!C$94,0)</f>
        <v>0</v>
      </c>
      <c r="AC297" s="176">
        <f t="shared" ref="AC297:AE305" ca="1" si="417">AA297-AB297</f>
        <v>1.2193026979376583E-5</v>
      </c>
      <c r="AD297" s="958">
        <f ca="1">AC297*Calculation_sheet!C$99</f>
        <v>7.3158161876259496E-6</v>
      </c>
      <c r="AE297" s="176">
        <f t="shared" ca="1" si="417"/>
        <v>4.8772107917506333E-6</v>
      </c>
      <c r="AF297" s="176">
        <f t="shared" ca="1" si="400"/>
        <v>1.2193026979376583E-5</v>
      </c>
      <c r="AG297" s="958">
        <f ca="1">AF297*User_sheet!B$77/100</f>
        <v>0</v>
      </c>
      <c r="AH297" s="313"/>
      <c r="AI297">
        <v>303</v>
      </c>
      <c r="AK297" s="1018">
        <f t="shared" ca="1" si="380"/>
        <v>398.56774701644366</v>
      </c>
      <c r="AL297" s="924">
        <f ca="1">AK297/'303'!I$24</f>
        <v>1.0930145263031501</v>
      </c>
      <c r="AM297" s="924">
        <f ca="1">0.8*(AK297*30+'303'!D$17*0.34*30*1)</f>
        <v>17562.425928394649</v>
      </c>
      <c r="AN297" s="954">
        <f ca="1">IF(AM297&lt;User_sheet!B$50,Y297,0)</f>
        <v>0</v>
      </c>
      <c r="AO297" s="954">
        <f ca="1">20-(User_sheet!B$57/(AK297+'303'!D$17*1*0.34))</f>
        <v>12.210643304190457</v>
      </c>
      <c r="AP297" s="954">
        <f ca="1">IF(AO297&lt;User_sheet!B$59,0,BC297*AA297)</f>
        <v>1.2193026979376583E-5</v>
      </c>
      <c r="AR297" s="2">
        <v>0.32</v>
      </c>
      <c r="AS297" s="1020">
        <v>2.41</v>
      </c>
      <c r="AT297" s="2">
        <v>0.59</v>
      </c>
      <c r="AU297" s="2">
        <v>2.75</v>
      </c>
      <c r="AV297" s="2">
        <v>3.3</v>
      </c>
      <c r="AW297" s="2">
        <v>12257.141193582425</v>
      </c>
      <c r="AX297" s="2">
        <v>75945.51234133933</v>
      </c>
      <c r="AY297" s="2">
        <v>64021.679041832605</v>
      </c>
      <c r="AZ297" s="2">
        <v>0</v>
      </c>
      <c r="BA297" s="2">
        <v>0</v>
      </c>
      <c r="BB297" s="2">
        <v>0.6</v>
      </c>
      <c r="BC297" s="30">
        <v>1</v>
      </c>
      <c r="BD297" s="34">
        <v>0</v>
      </c>
      <c r="BE297" s="34">
        <v>0</v>
      </c>
      <c r="BF297" s="40">
        <v>0</v>
      </c>
      <c r="BG297" s="2">
        <v>1</v>
      </c>
      <c r="BH297" s="2">
        <v>0</v>
      </c>
      <c r="BI297" s="40">
        <v>0</v>
      </c>
      <c r="BJ297" s="2">
        <v>1</v>
      </c>
      <c r="BK297" s="2">
        <v>0</v>
      </c>
      <c r="BL297" s="2">
        <v>0</v>
      </c>
      <c r="BM297" s="40">
        <v>0</v>
      </c>
      <c r="BN297" s="958">
        <v>0.1</v>
      </c>
      <c r="BO297" s="959">
        <v>14.1</v>
      </c>
      <c r="BP297" s="1018">
        <f t="shared" ref="BP297:BP305" ca="1" si="418">INDIRECT("'"&amp;AI297&amp;"'!"&amp;"B2")</f>
        <v>350</v>
      </c>
      <c r="BQ297" s="1018">
        <f t="shared" ref="BQ297:BQ305" ca="1" si="419">INDIRECT("'"&amp;AI297&amp;"'!"&amp;"C12")+INDIRECT("'"&amp;AI297&amp;"'!"&amp;"C13")+INDIRECT("'"&amp;AI297&amp;"'!"&amp;"C14")+INDIRECT("'"&amp;AI297&amp;"'!"&amp;"C15")+INDIRECT("'"&amp;AI297&amp;"'!"&amp;"C17")</f>
        <v>764.40000000000009</v>
      </c>
      <c r="BR297" s="1018">
        <f t="shared" ref="BR297:BR305" ca="1" si="420">INDIRECT("'"&amp;AI297&amp;"'!"&amp;"G5")</f>
        <v>105</v>
      </c>
      <c r="BS297" s="1018">
        <f t="shared" ref="BS297:BS305" ca="1" si="421">INDIRECT("'"&amp;AI297&amp;"'!"&amp;"G4")</f>
        <v>112.64999999999998</v>
      </c>
      <c r="BT297" s="1018">
        <f t="shared" ref="BT297:BT305" ca="1" si="422">INDIRECT("'"&amp;AI297&amp;"'!"&amp;"G6")</f>
        <v>105</v>
      </c>
      <c r="BU297" s="1018">
        <f t="shared" ref="BU297:BU305" ca="1" si="423">INDIRECT("'"&amp;AI297&amp;"'!"&amp;"G2")</f>
        <v>42</v>
      </c>
      <c r="BV297" s="1018">
        <f t="shared" ref="BV297:BV305" ca="1" si="424">INDIRECT("'"&amp;AI297&amp;"'!"&amp;"G3")</f>
        <v>2.15</v>
      </c>
      <c r="BW297" s="1018">
        <v>0</v>
      </c>
      <c r="BX297" s="1018">
        <f t="shared" ref="BX297:BX305" ca="1" si="425">IF(BR297=0,0,1/(1/(BR297*$BY$3)+1/(BR297*AR297)+1/(BR297*$BY$4)))</f>
        <v>31.834259727134924</v>
      </c>
      <c r="BY297" s="1018">
        <f t="shared" ref="BY297:BY305" ca="1" si="426">IF(BS297=0,0,1/(1/(BS297*$BY$3)+1/(BS297*AS297)+1/(BS297*$BY$4)))</f>
        <v>191.4933461864008</v>
      </c>
      <c r="BZ297" s="1018">
        <f t="shared" ca="1" si="381"/>
        <v>18.546782387806946</v>
      </c>
      <c r="CA297" s="1018">
        <f t="shared" ca="1" si="382"/>
        <v>115.49999993647498</v>
      </c>
      <c r="CB297" s="1018">
        <f t="shared" ref="CB297:CB305" ca="1" si="427">IF(BV297=0,0,1/(1/(BV297*$BY$3)+1/(BV297*AV297)+1/(BV297*$BY$4)))</f>
        <v>4.5133587786259541</v>
      </c>
      <c r="CC297" s="1018">
        <f t="shared" si="383"/>
        <v>0</v>
      </c>
      <c r="CD297" s="1018">
        <f ca="1">SUM(BX297:CC297)+(BR297+BS297+BT297+BU297+BV297)*BN297</f>
        <v>398.56774701644366</v>
      </c>
      <c r="CE297" s="1018">
        <f t="shared" ca="1" si="398"/>
        <v>149.97789927510865</v>
      </c>
      <c r="CF297" s="1018">
        <f t="shared" ca="1" si="384"/>
        <v>16.45636938874657</v>
      </c>
      <c r="CG297" s="1018">
        <f t="shared" ca="1" si="385"/>
        <v>27399.196777487487</v>
      </c>
    </row>
    <row r="298" spans="4:85" x14ac:dyDescent="0.25">
      <c r="D298" s="703"/>
      <c r="E298" s="704"/>
      <c r="F298" s="708"/>
      <c r="G298" s="704"/>
      <c r="H298" s="708"/>
      <c r="I298" s="704"/>
      <c r="J298" s="708"/>
      <c r="K298" s="709"/>
      <c r="L298" s="708"/>
      <c r="M298" s="703"/>
      <c r="N298" s="703"/>
      <c r="O298" s="703" t="s">
        <v>18</v>
      </c>
      <c r="P298" s="705">
        <v>0.89156626500000002</v>
      </c>
      <c r="Q298" s="703" t="s">
        <v>7</v>
      </c>
      <c r="R298" s="705">
        <v>7.4300000000000005E-2</v>
      </c>
      <c r="S298" s="703"/>
      <c r="T298" s="713">
        <v>9.7863603939709075E-7</v>
      </c>
      <c r="U298" s="702"/>
      <c r="V298" s="176">
        <f t="shared" si="386"/>
        <v>9.7863603939709075E-7</v>
      </c>
      <c r="W298" s="176">
        <f t="shared" ref="W298:X305" si="428">V298</f>
        <v>9.7863603939709075E-7</v>
      </c>
      <c r="X298" s="176">
        <f t="shared" si="428"/>
        <v>9.7863603939709075E-7</v>
      </c>
      <c r="Y298" s="34">
        <f>X298/Calculation_sheet!M$67</f>
        <v>9.7865604900905305E-7</v>
      </c>
      <c r="Z298" s="176">
        <f ca="1">IF(AN298&gt;0,Y298*Calculation_sheet!C$87,0)</f>
        <v>0</v>
      </c>
      <c r="AA298" s="176">
        <f t="shared" ca="1" si="377"/>
        <v>9.7865604900905305E-7</v>
      </c>
      <c r="AB298" s="176">
        <f ca="1">IF(AP298&gt;0,AA298*Calculation_sheet!C$94,0)</f>
        <v>0</v>
      </c>
      <c r="AC298" s="176">
        <f t="shared" ca="1" si="417"/>
        <v>9.7865604900905305E-7</v>
      </c>
      <c r="AD298" s="958">
        <f ca="1">AC298*Calculation_sheet!C$99</f>
        <v>5.8719362940543183E-7</v>
      </c>
      <c r="AE298" s="176">
        <f t="shared" ca="1" si="417"/>
        <v>3.9146241960362122E-7</v>
      </c>
      <c r="AF298" s="176">
        <f t="shared" ca="1" si="400"/>
        <v>9.7865604900905305E-7</v>
      </c>
      <c r="AG298" s="958">
        <f ca="1">AF298*User_sheet!B$77/100</f>
        <v>0</v>
      </c>
      <c r="AH298" s="313"/>
      <c r="AI298">
        <v>303</v>
      </c>
      <c r="AK298" s="1018">
        <f t="shared" ca="1" si="380"/>
        <v>398.56774701644366</v>
      </c>
      <c r="AL298" s="924">
        <f ca="1">AK298/'303'!I$24</f>
        <v>1.0930145263031501</v>
      </c>
      <c r="AM298" s="924">
        <f ca="1">0.8*(AK298*30+'303'!D$17*0.34*30*1)</f>
        <v>17562.425928394649</v>
      </c>
      <c r="AN298" s="954">
        <f ca="1">IF(AM298&lt;User_sheet!B$50,Y298,0)</f>
        <v>0</v>
      </c>
      <c r="AO298" s="954">
        <f ca="1">20-(User_sheet!B$57/(AK298+'303'!D$17*1*0.34))</f>
        <v>12.210643304190457</v>
      </c>
      <c r="AP298" s="954">
        <f ca="1">IF(AO298&lt;User_sheet!B$59,0,BC298*AA298)</f>
        <v>9.7865604900905305E-7</v>
      </c>
      <c r="AR298" s="2">
        <v>0.32</v>
      </c>
      <c r="AS298" s="1020">
        <v>2.41</v>
      </c>
      <c r="AT298" s="2">
        <v>0.59</v>
      </c>
      <c r="AU298" s="2">
        <v>2.75</v>
      </c>
      <c r="AV298" s="2">
        <v>3.3</v>
      </c>
      <c r="AW298" s="2">
        <v>12257.141193582425</v>
      </c>
      <c r="AX298" s="2">
        <v>75945.51234133933</v>
      </c>
      <c r="AY298" s="2">
        <v>64021.679041832605</v>
      </c>
      <c r="AZ298" s="2">
        <v>0</v>
      </c>
      <c r="BA298" s="2">
        <v>0</v>
      </c>
      <c r="BB298" s="2">
        <v>0.6</v>
      </c>
      <c r="BC298" s="30">
        <v>1</v>
      </c>
      <c r="BD298" s="34">
        <v>0</v>
      </c>
      <c r="BE298" s="34">
        <v>0</v>
      </c>
      <c r="BF298" s="40">
        <v>0</v>
      </c>
      <c r="BG298" s="2">
        <v>1</v>
      </c>
      <c r="BH298" s="2">
        <v>0</v>
      </c>
      <c r="BI298" s="40">
        <v>0</v>
      </c>
      <c r="BJ298" s="2">
        <v>0</v>
      </c>
      <c r="BK298" s="2">
        <v>0</v>
      </c>
      <c r="BL298" s="2">
        <v>1</v>
      </c>
      <c r="BM298" s="40">
        <v>0</v>
      </c>
      <c r="BN298" s="958">
        <v>0.1</v>
      </c>
      <c r="BO298" s="959">
        <v>14.1</v>
      </c>
      <c r="BP298" s="1018">
        <f t="shared" ca="1" si="418"/>
        <v>350</v>
      </c>
      <c r="BQ298" s="1018">
        <f t="shared" ca="1" si="419"/>
        <v>764.40000000000009</v>
      </c>
      <c r="BR298" s="1018">
        <f t="shared" ca="1" si="420"/>
        <v>105</v>
      </c>
      <c r="BS298" s="1018">
        <f t="shared" ca="1" si="421"/>
        <v>112.64999999999998</v>
      </c>
      <c r="BT298" s="1018">
        <f t="shared" ca="1" si="422"/>
        <v>105</v>
      </c>
      <c r="BU298" s="1018">
        <f t="shared" ca="1" si="423"/>
        <v>42</v>
      </c>
      <c r="BV298" s="1018">
        <f t="shared" ca="1" si="424"/>
        <v>2.15</v>
      </c>
      <c r="BW298" s="1018">
        <v>0</v>
      </c>
      <c r="BX298" s="1018">
        <f t="shared" ca="1" si="425"/>
        <v>31.834259727134924</v>
      </c>
      <c r="BY298" s="1018">
        <f t="shared" ca="1" si="426"/>
        <v>191.4933461864008</v>
      </c>
      <c r="BZ298" s="1018">
        <f t="shared" ca="1" si="381"/>
        <v>18.546782387806946</v>
      </c>
      <c r="CA298" s="1018">
        <f t="shared" ca="1" si="382"/>
        <v>115.49999993647498</v>
      </c>
      <c r="CB298" s="1018">
        <f t="shared" ca="1" si="427"/>
        <v>4.5133587786259541</v>
      </c>
      <c r="CC298" s="1018">
        <f t="shared" si="383"/>
        <v>0</v>
      </c>
      <c r="CD298" s="1018">
        <f t="shared" ref="CD298:CD305" ca="1" si="429">SUM(BX298:CC298)+(BR298+BS298+BT298+BU298+BV298)*BN298</f>
        <v>398.56774701644366</v>
      </c>
      <c r="CE298" s="1018">
        <f t="shared" ca="1" si="398"/>
        <v>149.97789927510865</v>
      </c>
      <c r="CF298" s="1018">
        <f t="shared" ca="1" si="384"/>
        <v>16.45636938874657</v>
      </c>
      <c r="CG298" s="1018">
        <f t="shared" ca="1" si="385"/>
        <v>27399.196777487487</v>
      </c>
    </row>
    <row r="299" spans="4:85" x14ac:dyDescent="0.25">
      <c r="D299" s="703"/>
      <c r="E299" s="704"/>
      <c r="F299" s="708"/>
      <c r="G299" s="704"/>
      <c r="H299" s="708"/>
      <c r="I299" s="704"/>
      <c r="J299" s="708"/>
      <c r="K299" s="709"/>
      <c r="L299" s="708"/>
      <c r="M299" s="703"/>
      <c r="N299" s="703"/>
      <c r="O299" s="703"/>
      <c r="P299" s="703"/>
      <c r="Q299" s="703" t="s">
        <v>16</v>
      </c>
      <c r="R299" s="705">
        <v>0.92569999999999997</v>
      </c>
      <c r="S299" s="703"/>
      <c r="T299" s="713">
        <v>1.4829053945126579E-6</v>
      </c>
      <c r="U299" s="702"/>
      <c r="V299" s="176">
        <f t="shared" si="386"/>
        <v>1.4829053945126579E-6</v>
      </c>
      <c r="W299" s="176">
        <f t="shared" si="428"/>
        <v>1.4829053945126579E-6</v>
      </c>
      <c r="X299" s="176">
        <f t="shared" si="428"/>
        <v>1.4829053945126579E-6</v>
      </c>
      <c r="Y299" s="34">
        <f>X299/Calculation_sheet!M$67</f>
        <v>1.4829357146320142E-6</v>
      </c>
      <c r="Z299" s="176">
        <f ca="1">IF(AN299&gt;0,Y299*Calculation_sheet!C$87,0)</f>
        <v>0</v>
      </c>
      <c r="AA299" s="176">
        <f t="shared" ca="1" si="377"/>
        <v>1.4829357146320142E-6</v>
      </c>
      <c r="AB299" s="176">
        <f ca="1">IF(AP299&gt;0,AA299*Calculation_sheet!C$94,0)</f>
        <v>0</v>
      </c>
      <c r="AC299" s="176">
        <f t="shared" ca="1" si="417"/>
        <v>1.4829357146320142E-6</v>
      </c>
      <c r="AD299" s="958">
        <f ca="1">AC299*Calculation_sheet!C$99</f>
        <v>8.8976142877920846E-7</v>
      </c>
      <c r="AE299" s="176">
        <f t="shared" ca="1" si="417"/>
        <v>5.9317428585280578E-7</v>
      </c>
      <c r="AF299" s="176">
        <f t="shared" ca="1" si="400"/>
        <v>1.4829357146320142E-6</v>
      </c>
      <c r="AG299" s="958">
        <f ca="1">AF299*User_sheet!B$77/100</f>
        <v>0</v>
      </c>
      <c r="AH299" s="313"/>
      <c r="AI299">
        <v>303</v>
      </c>
      <c r="AK299" s="1018">
        <f t="shared" ca="1" si="380"/>
        <v>398.56774701644366</v>
      </c>
      <c r="AL299" s="924">
        <f ca="1">AK299/'303'!I$24</f>
        <v>1.0930145263031501</v>
      </c>
      <c r="AM299" s="924">
        <f ca="1">0.8*(AK299*30+'303'!D$17*0.34*30*1)</f>
        <v>17562.425928394649</v>
      </c>
      <c r="AN299" s="954">
        <f ca="1">IF(AM299&lt;User_sheet!B$50,Y299,0)</f>
        <v>0</v>
      </c>
      <c r="AO299" s="954">
        <f ca="1">20-(User_sheet!B$57/(AK299+'303'!D$17*1*0.34))</f>
        <v>12.210643304190457</v>
      </c>
      <c r="AP299" s="954">
        <f ca="1">IF(AO299&lt;User_sheet!B$59,0,BC299*AA299)</f>
        <v>1.4829357146320142E-6</v>
      </c>
      <c r="AR299" s="2">
        <v>0.32</v>
      </c>
      <c r="AS299" s="1020">
        <v>2.41</v>
      </c>
      <c r="AT299" s="2">
        <v>0.59</v>
      </c>
      <c r="AU299" s="2">
        <v>2.75</v>
      </c>
      <c r="AV299" s="2">
        <v>3.3</v>
      </c>
      <c r="AW299" s="2">
        <v>12257.141193582425</v>
      </c>
      <c r="AX299" s="2">
        <v>75945.51234133933</v>
      </c>
      <c r="AY299" s="2">
        <v>64021.679041832605</v>
      </c>
      <c r="AZ299" s="2">
        <v>0</v>
      </c>
      <c r="BA299" s="2">
        <v>0</v>
      </c>
      <c r="BB299" s="2">
        <v>0.6</v>
      </c>
      <c r="BC299" s="30">
        <v>1</v>
      </c>
      <c r="BD299" s="34">
        <v>0</v>
      </c>
      <c r="BE299" s="34">
        <v>0</v>
      </c>
      <c r="BF299" s="40">
        <v>0</v>
      </c>
      <c r="BG299" s="2">
        <v>0</v>
      </c>
      <c r="BH299" s="2">
        <v>1</v>
      </c>
      <c r="BI299" s="40">
        <v>0</v>
      </c>
      <c r="BJ299" s="2">
        <v>1</v>
      </c>
      <c r="BK299" s="2">
        <v>0</v>
      </c>
      <c r="BL299" s="2">
        <v>0</v>
      </c>
      <c r="BM299" s="40">
        <v>0</v>
      </c>
      <c r="BN299" s="958">
        <v>0.1</v>
      </c>
      <c r="BO299" s="959">
        <v>14.1</v>
      </c>
      <c r="BP299" s="1018">
        <f t="shared" ca="1" si="418"/>
        <v>350</v>
      </c>
      <c r="BQ299" s="1018">
        <f t="shared" ca="1" si="419"/>
        <v>764.40000000000009</v>
      </c>
      <c r="BR299" s="1018">
        <f t="shared" ca="1" si="420"/>
        <v>105</v>
      </c>
      <c r="BS299" s="1018">
        <f t="shared" ca="1" si="421"/>
        <v>112.64999999999998</v>
      </c>
      <c r="BT299" s="1018">
        <f t="shared" ca="1" si="422"/>
        <v>105</v>
      </c>
      <c r="BU299" s="1018">
        <f t="shared" ca="1" si="423"/>
        <v>42</v>
      </c>
      <c r="BV299" s="1018">
        <f t="shared" ca="1" si="424"/>
        <v>2.15</v>
      </c>
      <c r="BW299" s="1018">
        <v>0</v>
      </c>
      <c r="BX299" s="1018">
        <f t="shared" ca="1" si="425"/>
        <v>31.834259727134924</v>
      </c>
      <c r="BY299" s="1018">
        <f t="shared" ca="1" si="426"/>
        <v>191.4933461864008</v>
      </c>
      <c r="BZ299" s="1018">
        <f t="shared" ca="1" si="381"/>
        <v>18.546782387806946</v>
      </c>
      <c r="CA299" s="1018">
        <f t="shared" ca="1" si="382"/>
        <v>115.49999993647498</v>
      </c>
      <c r="CB299" s="1018">
        <f t="shared" ca="1" si="427"/>
        <v>4.5133587786259541</v>
      </c>
      <c r="CC299" s="1018">
        <f t="shared" si="383"/>
        <v>0</v>
      </c>
      <c r="CD299" s="1018">
        <f t="shared" ca="1" si="429"/>
        <v>398.56774701644366</v>
      </c>
      <c r="CE299" s="1018">
        <f t="shared" ca="1" si="398"/>
        <v>149.97789927510865</v>
      </c>
      <c r="CF299" s="1018">
        <f t="shared" ca="1" si="384"/>
        <v>16.45636938874657</v>
      </c>
      <c r="CG299" s="1018">
        <f t="shared" ca="1" si="385"/>
        <v>27399.196777487487</v>
      </c>
    </row>
    <row r="300" spans="4:85" x14ac:dyDescent="0.25">
      <c r="D300" s="703"/>
      <c r="E300" s="704"/>
      <c r="F300" s="708"/>
      <c r="G300" s="704"/>
      <c r="H300" s="708"/>
      <c r="I300" s="704"/>
      <c r="J300" s="708"/>
      <c r="K300" s="709"/>
      <c r="L300" s="708"/>
      <c r="M300" s="703" t="s">
        <v>16</v>
      </c>
      <c r="N300" s="705">
        <v>0.41099999999999998</v>
      </c>
      <c r="O300" s="703" t="s">
        <v>19</v>
      </c>
      <c r="P300" s="705">
        <v>0.108433735</v>
      </c>
      <c r="Q300" s="703" t="s">
        <v>7</v>
      </c>
      <c r="R300" s="705">
        <v>7.4300000000000005E-2</v>
      </c>
      <c r="S300" s="703"/>
      <c r="T300" s="713">
        <v>1.1902330216300149E-7</v>
      </c>
      <c r="U300" s="702"/>
      <c r="V300" s="176">
        <f t="shared" si="386"/>
        <v>1.1902330216300149E-7</v>
      </c>
      <c r="W300" s="176">
        <f t="shared" si="428"/>
        <v>1.1902330216300149E-7</v>
      </c>
      <c r="X300" s="176">
        <f t="shared" si="428"/>
        <v>1.1902330216300149E-7</v>
      </c>
      <c r="Y300" s="34">
        <f>X300/Calculation_sheet!M$67</f>
        <v>1.1902573576445788E-7</v>
      </c>
      <c r="Z300" s="176">
        <f ca="1">IF(AN300&gt;0,Y300*Calculation_sheet!C$87,0)</f>
        <v>0</v>
      </c>
      <c r="AA300" s="176">
        <f t="shared" ca="1" si="377"/>
        <v>1.1902573576445788E-7</v>
      </c>
      <c r="AB300" s="176">
        <f ca="1">IF(AP300&gt;0,AA300*Calculation_sheet!C$94,0)</f>
        <v>0</v>
      </c>
      <c r="AC300" s="176">
        <f t="shared" ca="1" si="417"/>
        <v>1.1902573576445788E-7</v>
      </c>
      <c r="AD300" s="958">
        <f ca="1">AC300*Calculation_sheet!C$99</f>
        <v>7.1415441458674726E-8</v>
      </c>
      <c r="AE300" s="176">
        <f t="shared" ca="1" si="417"/>
        <v>4.7610294305783151E-8</v>
      </c>
      <c r="AF300" s="176">
        <f t="shared" ca="1" si="400"/>
        <v>1.1902573576445788E-7</v>
      </c>
      <c r="AG300" s="958">
        <f ca="1">AF300*User_sheet!B$77/100</f>
        <v>0</v>
      </c>
      <c r="AH300" s="313"/>
      <c r="AI300">
        <v>303</v>
      </c>
      <c r="AK300" s="1018">
        <f t="shared" ca="1" si="380"/>
        <v>398.56774701644366</v>
      </c>
      <c r="AL300" s="924">
        <f ca="1">AK300/'303'!I$24</f>
        <v>1.0930145263031501</v>
      </c>
      <c r="AM300" s="924">
        <f ca="1">0.8*(AK300*30+'303'!D$17*0.34*30*1)</f>
        <v>17562.425928394649</v>
      </c>
      <c r="AN300" s="954">
        <f ca="1">IF(AM300&lt;User_sheet!B$50,Y300,0)</f>
        <v>0</v>
      </c>
      <c r="AO300" s="954">
        <f ca="1">20-(User_sheet!B$57/(AK300+'303'!D$17*1*0.34))</f>
        <v>12.210643304190457</v>
      </c>
      <c r="AP300" s="954">
        <f ca="1">IF(AO300&lt;User_sheet!B$59,0,BC300*AA300)</f>
        <v>1.1902573576445788E-7</v>
      </c>
      <c r="AR300" s="2">
        <v>0.32</v>
      </c>
      <c r="AS300" s="1020">
        <v>2.41</v>
      </c>
      <c r="AT300" s="2">
        <v>0.59</v>
      </c>
      <c r="AU300" s="2">
        <v>2.75</v>
      </c>
      <c r="AV300" s="2">
        <v>3.3</v>
      </c>
      <c r="AW300" s="2">
        <v>12257.141193582425</v>
      </c>
      <c r="AX300" s="2">
        <v>75945.51234133933</v>
      </c>
      <c r="AY300" s="2">
        <v>64021.679041832605</v>
      </c>
      <c r="AZ300" s="2">
        <v>0</v>
      </c>
      <c r="BA300" s="2">
        <v>0</v>
      </c>
      <c r="BB300" s="2">
        <v>0.6</v>
      </c>
      <c r="BC300" s="30">
        <v>1</v>
      </c>
      <c r="BD300" s="34">
        <v>0</v>
      </c>
      <c r="BE300" s="34">
        <v>0</v>
      </c>
      <c r="BF300" s="40">
        <v>0</v>
      </c>
      <c r="BG300" s="2">
        <v>0</v>
      </c>
      <c r="BH300" s="2">
        <v>1</v>
      </c>
      <c r="BI300" s="40">
        <v>0</v>
      </c>
      <c r="BJ300" s="2">
        <v>0</v>
      </c>
      <c r="BK300" s="2">
        <v>0</v>
      </c>
      <c r="BL300" s="2">
        <v>1</v>
      </c>
      <c r="BM300" s="40">
        <v>0</v>
      </c>
      <c r="BN300" s="958">
        <v>0.1</v>
      </c>
      <c r="BO300" s="959">
        <v>14.1</v>
      </c>
      <c r="BP300" s="1018">
        <f t="shared" ca="1" si="418"/>
        <v>350</v>
      </c>
      <c r="BQ300" s="1018">
        <f t="shared" ca="1" si="419"/>
        <v>764.40000000000009</v>
      </c>
      <c r="BR300" s="1018">
        <f t="shared" ca="1" si="420"/>
        <v>105</v>
      </c>
      <c r="BS300" s="1018">
        <f t="shared" ca="1" si="421"/>
        <v>112.64999999999998</v>
      </c>
      <c r="BT300" s="1018">
        <f t="shared" ca="1" si="422"/>
        <v>105</v>
      </c>
      <c r="BU300" s="1018">
        <f t="shared" ca="1" si="423"/>
        <v>42</v>
      </c>
      <c r="BV300" s="1018">
        <f t="shared" ca="1" si="424"/>
        <v>2.15</v>
      </c>
      <c r="BW300" s="1018">
        <v>0</v>
      </c>
      <c r="BX300" s="1018">
        <f t="shared" ca="1" si="425"/>
        <v>31.834259727134924</v>
      </c>
      <c r="BY300" s="1018">
        <f t="shared" ca="1" si="426"/>
        <v>191.4933461864008</v>
      </c>
      <c r="BZ300" s="1018">
        <f t="shared" ca="1" si="381"/>
        <v>18.546782387806946</v>
      </c>
      <c r="CA300" s="1018">
        <f t="shared" ca="1" si="382"/>
        <v>115.49999993647498</v>
      </c>
      <c r="CB300" s="1018">
        <f t="shared" ca="1" si="427"/>
        <v>4.5133587786259541</v>
      </c>
      <c r="CC300" s="1018">
        <f t="shared" si="383"/>
        <v>0</v>
      </c>
      <c r="CD300" s="1018">
        <f t="shared" ca="1" si="429"/>
        <v>398.56774701644366</v>
      </c>
      <c r="CE300" s="1018">
        <f t="shared" ca="1" si="398"/>
        <v>149.97789927510865</v>
      </c>
      <c r="CF300" s="1018">
        <f t="shared" ca="1" si="384"/>
        <v>16.45636938874657</v>
      </c>
      <c r="CG300" s="1018">
        <f t="shared" ca="1" si="385"/>
        <v>27399.196777487487</v>
      </c>
    </row>
    <row r="301" spans="4:85" x14ac:dyDescent="0.25">
      <c r="D301" s="703"/>
      <c r="E301" s="704"/>
      <c r="F301" s="708"/>
      <c r="G301" s="704"/>
      <c r="H301" s="708"/>
      <c r="I301" s="704"/>
      <c r="J301" s="708"/>
      <c r="K301" s="709"/>
      <c r="L301" s="708"/>
      <c r="M301" s="703"/>
      <c r="N301" s="703"/>
      <c r="O301" s="703"/>
      <c r="P301" s="703"/>
      <c r="Q301" s="703" t="s">
        <v>22</v>
      </c>
      <c r="R301" s="705">
        <v>0.60750000000000004</v>
      </c>
      <c r="S301" s="703"/>
      <c r="T301" s="713">
        <v>9.6884226576352321E-6</v>
      </c>
      <c r="U301" s="702"/>
      <c r="V301" s="176">
        <f t="shared" si="386"/>
        <v>9.6884226576352321E-6</v>
      </c>
      <c r="W301" s="176">
        <f t="shared" si="428"/>
        <v>9.6884226576352321E-6</v>
      </c>
      <c r="X301" s="176">
        <f t="shared" si="428"/>
        <v>9.6884226576352321E-6</v>
      </c>
      <c r="Y301" s="34">
        <f>X301/Calculation_sheet!M$67</f>
        <v>9.688620751277916E-6</v>
      </c>
      <c r="Z301" s="176">
        <f ca="1">IF(AN301&gt;0,Y301*Calculation_sheet!C$87,0)</f>
        <v>0</v>
      </c>
      <c r="AA301" s="176">
        <f t="shared" ca="1" si="377"/>
        <v>9.688620751277916E-6</v>
      </c>
      <c r="AB301" s="176">
        <f ca="1">IF(AP301&gt;0,AA301*Calculation_sheet!C$94,0)</f>
        <v>0</v>
      </c>
      <c r="AC301" s="176">
        <f t="shared" ca="1" si="417"/>
        <v>9.688620751277916E-6</v>
      </c>
      <c r="AD301" s="958">
        <f ca="1">AC301*Calculation_sheet!C$99</f>
        <v>5.8131724507667498E-6</v>
      </c>
      <c r="AE301" s="176">
        <f t="shared" ca="1" si="417"/>
        <v>3.8754483005111662E-6</v>
      </c>
      <c r="AF301" s="176">
        <f t="shared" ca="1" si="400"/>
        <v>9.688620751277916E-6</v>
      </c>
      <c r="AG301" s="958">
        <f ca="1">AF301*User_sheet!B$77/100</f>
        <v>0</v>
      </c>
      <c r="AH301" s="313"/>
      <c r="AI301">
        <v>303</v>
      </c>
      <c r="AK301" s="1018">
        <f t="shared" ca="1" si="380"/>
        <v>398.56774701644366</v>
      </c>
      <c r="AL301" s="924">
        <f ca="1">AK301/'303'!I$24</f>
        <v>1.0930145263031501</v>
      </c>
      <c r="AM301" s="924">
        <f ca="1">0.8*(AK301*30+'303'!D$17*0.34*30*1)</f>
        <v>17562.425928394649</v>
      </c>
      <c r="AN301" s="954">
        <f ca="1">IF(AM301&lt;User_sheet!B$50,Y301,0)</f>
        <v>0</v>
      </c>
      <c r="AO301" s="954">
        <f ca="1">20-(User_sheet!B$57/(AK301+'303'!D$17*1*0.34))</f>
        <v>12.210643304190457</v>
      </c>
      <c r="AP301" s="954">
        <f ca="1">IF(AO301&lt;User_sheet!B$59,0,BC301*AA301)</f>
        <v>0</v>
      </c>
      <c r="AR301" s="2">
        <v>0.32</v>
      </c>
      <c r="AS301" s="1020">
        <v>2.41</v>
      </c>
      <c r="AT301" s="2">
        <v>0.59</v>
      </c>
      <c r="AU301" s="2">
        <v>2.75</v>
      </c>
      <c r="AV301" s="2">
        <v>3.3</v>
      </c>
      <c r="AW301" s="2">
        <v>12257.141193582425</v>
      </c>
      <c r="AX301" s="2">
        <v>75945.51234133933</v>
      </c>
      <c r="AY301" s="2">
        <v>64021.679041832605</v>
      </c>
      <c r="AZ301" s="2">
        <v>0</v>
      </c>
      <c r="BA301" s="2">
        <v>0</v>
      </c>
      <c r="BB301" s="2">
        <v>0.6</v>
      </c>
      <c r="BC301" s="30">
        <v>0</v>
      </c>
      <c r="BD301" s="34">
        <v>1</v>
      </c>
      <c r="BE301" s="34">
        <v>0</v>
      </c>
      <c r="BF301" s="40">
        <v>0</v>
      </c>
      <c r="BG301" s="2">
        <v>1</v>
      </c>
      <c r="BH301" s="2">
        <v>0</v>
      </c>
      <c r="BI301" s="40">
        <v>0</v>
      </c>
      <c r="BJ301" s="2">
        <v>0</v>
      </c>
      <c r="BK301" s="2">
        <v>1</v>
      </c>
      <c r="BL301" s="2">
        <v>0</v>
      </c>
      <c r="BM301" s="40">
        <v>0</v>
      </c>
      <c r="BN301" s="958">
        <v>0.1</v>
      </c>
      <c r="BO301" s="959">
        <v>14.1</v>
      </c>
      <c r="BP301" s="1018">
        <f t="shared" ca="1" si="418"/>
        <v>350</v>
      </c>
      <c r="BQ301" s="1018">
        <f t="shared" ca="1" si="419"/>
        <v>764.40000000000009</v>
      </c>
      <c r="BR301" s="1018">
        <f t="shared" ca="1" si="420"/>
        <v>105</v>
      </c>
      <c r="BS301" s="1018">
        <f t="shared" ca="1" si="421"/>
        <v>112.64999999999998</v>
      </c>
      <c r="BT301" s="1018">
        <f t="shared" ca="1" si="422"/>
        <v>105</v>
      </c>
      <c r="BU301" s="1018">
        <f t="shared" ca="1" si="423"/>
        <v>42</v>
      </c>
      <c r="BV301" s="1018">
        <f t="shared" ca="1" si="424"/>
        <v>2.15</v>
      </c>
      <c r="BW301" s="1018">
        <v>0</v>
      </c>
      <c r="BX301" s="1018">
        <f t="shared" ca="1" si="425"/>
        <v>31.834259727134924</v>
      </c>
      <c r="BY301" s="1018">
        <f t="shared" ca="1" si="426"/>
        <v>191.4933461864008</v>
      </c>
      <c r="BZ301" s="1018">
        <f t="shared" ca="1" si="381"/>
        <v>18.546782387806946</v>
      </c>
      <c r="CA301" s="1018">
        <f t="shared" ca="1" si="382"/>
        <v>115.49999993647498</v>
      </c>
      <c r="CB301" s="1018">
        <f t="shared" ca="1" si="427"/>
        <v>4.5133587786259541</v>
      </c>
      <c r="CC301" s="1018">
        <f t="shared" si="383"/>
        <v>0</v>
      </c>
      <c r="CD301" s="1018">
        <f t="shared" ca="1" si="429"/>
        <v>398.56774701644366</v>
      </c>
      <c r="CE301" s="1018">
        <f t="shared" ca="1" si="398"/>
        <v>149.97789927510865</v>
      </c>
      <c r="CF301" s="1018">
        <f t="shared" ca="1" si="384"/>
        <v>16.45636938874657</v>
      </c>
      <c r="CG301" s="1018">
        <f t="shared" ca="1" si="385"/>
        <v>27399.196777487487</v>
      </c>
    </row>
    <row r="302" spans="4:85" x14ac:dyDescent="0.25">
      <c r="D302" s="703"/>
      <c r="E302" s="704"/>
      <c r="F302" s="708"/>
      <c r="G302" s="704"/>
      <c r="H302" s="708"/>
      <c r="I302" s="704"/>
      <c r="J302" s="708"/>
      <c r="K302" s="709"/>
      <c r="L302" s="708"/>
      <c r="M302" s="703"/>
      <c r="N302" s="703"/>
      <c r="O302" s="703" t="s">
        <v>18</v>
      </c>
      <c r="P302" s="705">
        <v>0.94399999999999995</v>
      </c>
      <c r="Q302" s="703" t="s">
        <v>7</v>
      </c>
      <c r="R302" s="705">
        <v>0.39250000000000002</v>
      </c>
      <c r="S302" s="703"/>
      <c r="T302" s="713">
        <v>6.2595981779783178E-6</v>
      </c>
      <c r="U302" s="702"/>
      <c r="V302" s="176">
        <f t="shared" si="386"/>
        <v>6.2595981779783178E-6</v>
      </c>
      <c r="W302" s="176">
        <f t="shared" si="428"/>
        <v>6.2595981779783178E-6</v>
      </c>
      <c r="X302" s="176">
        <f t="shared" si="428"/>
        <v>6.2595981779783178E-6</v>
      </c>
      <c r="Y302" s="34">
        <f>X302/Calculation_sheet!M$67</f>
        <v>6.2597261644058948E-6</v>
      </c>
      <c r="Z302" s="176">
        <f ca="1">IF(AN302&gt;0,Y302*Calculation_sheet!C$87,0)</f>
        <v>0</v>
      </c>
      <c r="AA302" s="176">
        <f t="shared" ca="1" si="377"/>
        <v>6.2597261644058948E-6</v>
      </c>
      <c r="AB302" s="176">
        <f ca="1">IF(AP302&gt;0,AA302*Calculation_sheet!C$94,0)</f>
        <v>0</v>
      </c>
      <c r="AC302" s="176">
        <f t="shared" ca="1" si="417"/>
        <v>6.2597261644058948E-6</v>
      </c>
      <c r="AD302" s="958">
        <f ca="1">AC302*Calculation_sheet!C$99</f>
        <v>3.7558356986435369E-6</v>
      </c>
      <c r="AE302" s="176">
        <f t="shared" ca="1" si="417"/>
        <v>2.5038904657623579E-6</v>
      </c>
      <c r="AF302" s="176">
        <f t="shared" ca="1" si="400"/>
        <v>6.2597261644058948E-6</v>
      </c>
      <c r="AG302" s="958">
        <f ca="1">AF302*User_sheet!B$77/100</f>
        <v>0</v>
      </c>
      <c r="AH302" s="313"/>
      <c r="AI302">
        <v>303</v>
      </c>
      <c r="AK302" s="1018">
        <f t="shared" ca="1" si="380"/>
        <v>398.56774701644366</v>
      </c>
      <c r="AL302" s="924">
        <f ca="1">AK302/'303'!I$24</f>
        <v>1.0930145263031501</v>
      </c>
      <c r="AM302" s="924">
        <f ca="1">0.8*(AK302*30+'303'!D$17*0.34*30*1)</f>
        <v>17562.425928394649</v>
      </c>
      <c r="AN302" s="954">
        <f ca="1">IF(AM302&lt;User_sheet!B$50,Y302,0)</f>
        <v>0</v>
      </c>
      <c r="AO302" s="954">
        <f ca="1">20-(User_sheet!B$57/(AK302+'303'!D$17*1*0.34))</f>
        <v>12.210643304190457</v>
      </c>
      <c r="AP302" s="954">
        <f ca="1">IF(AO302&lt;User_sheet!B$59,0,BC302*AA302)</f>
        <v>0</v>
      </c>
      <c r="AR302" s="2">
        <v>0.32</v>
      </c>
      <c r="AS302" s="1020">
        <v>2.41</v>
      </c>
      <c r="AT302" s="2">
        <v>0.59</v>
      </c>
      <c r="AU302" s="2">
        <v>2.75</v>
      </c>
      <c r="AV302" s="2">
        <v>3.3</v>
      </c>
      <c r="AW302" s="2">
        <v>12257.141193582425</v>
      </c>
      <c r="AX302" s="2">
        <v>75945.51234133933</v>
      </c>
      <c r="AY302" s="2">
        <v>64021.679041832605</v>
      </c>
      <c r="AZ302" s="2">
        <v>0</v>
      </c>
      <c r="BA302" s="2">
        <v>0</v>
      </c>
      <c r="BB302" s="2">
        <v>0.6</v>
      </c>
      <c r="BC302" s="30">
        <v>0</v>
      </c>
      <c r="BD302" s="34">
        <v>1</v>
      </c>
      <c r="BE302" s="34">
        <v>0</v>
      </c>
      <c r="BF302" s="40">
        <v>0</v>
      </c>
      <c r="BG302" s="2">
        <v>1</v>
      </c>
      <c r="BH302" s="2">
        <v>0</v>
      </c>
      <c r="BI302" s="40">
        <v>0</v>
      </c>
      <c r="BJ302" s="2">
        <v>0</v>
      </c>
      <c r="BK302" s="2">
        <v>0</v>
      </c>
      <c r="BL302" s="2">
        <v>1</v>
      </c>
      <c r="BM302" s="40">
        <v>0</v>
      </c>
      <c r="BN302" s="958">
        <v>0.1</v>
      </c>
      <c r="BO302" s="959">
        <v>14.1</v>
      </c>
      <c r="BP302" s="1018">
        <f t="shared" ca="1" si="418"/>
        <v>350</v>
      </c>
      <c r="BQ302" s="1018">
        <f t="shared" ca="1" si="419"/>
        <v>764.40000000000009</v>
      </c>
      <c r="BR302" s="1018">
        <f t="shared" ca="1" si="420"/>
        <v>105</v>
      </c>
      <c r="BS302" s="1018">
        <f t="shared" ca="1" si="421"/>
        <v>112.64999999999998</v>
      </c>
      <c r="BT302" s="1018">
        <f t="shared" ca="1" si="422"/>
        <v>105</v>
      </c>
      <c r="BU302" s="1018">
        <f t="shared" ca="1" si="423"/>
        <v>42</v>
      </c>
      <c r="BV302" s="1018">
        <f t="shared" ca="1" si="424"/>
        <v>2.15</v>
      </c>
      <c r="BW302" s="1018">
        <v>0</v>
      </c>
      <c r="BX302" s="1018">
        <f t="shared" ca="1" si="425"/>
        <v>31.834259727134924</v>
      </c>
      <c r="BY302" s="1018">
        <f t="shared" ca="1" si="426"/>
        <v>191.4933461864008</v>
      </c>
      <c r="BZ302" s="1018">
        <f t="shared" ca="1" si="381"/>
        <v>18.546782387806946</v>
      </c>
      <c r="CA302" s="1018">
        <f t="shared" ca="1" si="382"/>
        <v>115.49999993647498</v>
      </c>
      <c r="CB302" s="1018">
        <f t="shared" ca="1" si="427"/>
        <v>4.5133587786259541</v>
      </c>
      <c r="CC302" s="1018">
        <f t="shared" si="383"/>
        <v>0</v>
      </c>
      <c r="CD302" s="1018">
        <f t="shared" ca="1" si="429"/>
        <v>398.56774701644366</v>
      </c>
      <c r="CE302" s="1018">
        <f t="shared" ca="1" si="398"/>
        <v>149.97789927510865</v>
      </c>
      <c r="CF302" s="1018">
        <f t="shared" ca="1" si="384"/>
        <v>16.45636938874657</v>
      </c>
      <c r="CG302" s="1018">
        <f t="shared" ca="1" si="385"/>
        <v>27399.196777487487</v>
      </c>
    </row>
    <row r="303" spans="4:85" x14ac:dyDescent="0.25">
      <c r="D303" s="703"/>
      <c r="E303" s="702"/>
      <c r="F303" s="703"/>
      <c r="G303" s="702"/>
      <c r="H303" s="703"/>
      <c r="I303" s="702"/>
      <c r="J303" s="703"/>
      <c r="K303" s="702"/>
      <c r="L303" s="702"/>
      <c r="M303" s="703"/>
      <c r="N303" s="703"/>
      <c r="O303" s="703"/>
      <c r="P303" s="703"/>
      <c r="Q303" s="703" t="s">
        <v>22</v>
      </c>
      <c r="R303" s="705">
        <v>0.39250000000000002</v>
      </c>
      <c r="S303" s="703"/>
      <c r="T303" s="713">
        <v>3.7133209530379854E-7</v>
      </c>
      <c r="U303" s="702"/>
      <c r="V303" s="176">
        <f t="shared" si="386"/>
        <v>3.7133209530379854E-7</v>
      </c>
      <c r="W303" s="176">
        <f t="shared" si="428"/>
        <v>3.7133209530379854E-7</v>
      </c>
      <c r="X303" s="176">
        <f t="shared" si="428"/>
        <v>3.7133209530379854E-7</v>
      </c>
      <c r="Y303" s="34">
        <f>X303/Calculation_sheet!M$67</f>
        <v>3.7133968771899382E-7</v>
      </c>
      <c r="Z303" s="176">
        <f ca="1">IF(AN303&gt;0,Y303*Calculation_sheet!C$87,0)</f>
        <v>0</v>
      </c>
      <c r="AA303" s="176">
        <f t="shared" ca="1" si="377"/>
        <v>3.7133968771899382E-7</v>
      </c>
      <c r="AB303" s="176">
        <f ca="1">IF(AP303&gt;0,AA303*Calculation_sheet!C$94,0)</f>
        <v>0</v>
      </c>
      <c r="AC303" s="176">
        <f t="shared" ca="1" si="417"/>
        <v>3.7133968771899382E-7</v>
      </c>
      <c r="AD303" s="958">
        <f ca="1">AC303*Calculation_sheet!C$99</f>
        <v>2.2280381263139627E-7</v>
      </c>
      <c r="AE303" s="176">
        <f t="shared" ca="1" si="417"/>
        <v>1.4853587508759755E-7</v>
      </c>
      <c r="AF303" s="176">
        <f t="shared" ca="1" si="400"/>
        <v>3.7133968771899382E-7</v>
      </c>
      <c r="AG303" s="958">
        <f ca="1">AF303*User_sheet!B$77/100</f>
        <v>0</v>
      </c>
      <c r="AH303" s="313"/>
      <c r="AI303">
        <v>303</v>
      </c>
      <c r="AK303" s="1018">
        <f t="shared" ca="1" si="380"/>
        <v>398.56774701644366</v>
      </c>
      <c r="AL303" s="924">
        <f ca="1">AK303/'303'!I$24</f>
        <v>1.0930145263031501</v>
      </c>
      <c r="AM303" s="924">
        <f ca="1">0.8*(AK303*30+'303'!D$17*0.34*30*1)</f>
        <v>17562.425928394649</v>
      </c>
      <c r="AN303" s="954">
        <f ca="1">IF(AM303&lt;User_sheet!B$50,Y303,0)</f>
        <v>0</v>
      </c>
      <c r="AO303" s="954">
        <f ca="1">20-(User_sheet!B$57/(AK303+'303'!D$17*1*0.34))</f>
        <v>12.210643304190457</v>
      </c>
      <c r="AP303" s="954">
        <f ca="1">IF(AO303&lt;User_sheet!B$59,0,BC303*AA303)</f>
        <v>0</v>
      </c>
      <c r="AR303" s="2">
        <v>0.32</v>
      </c>
      <c r="AS303" s="1020">
        <v>2.41</v>
      </c>
      <c r="AT303" s="2">
        <v>0.59</v>
      </c>
      <c r="AU303" s="2">
        <v>2.75</v>
      </c>
      <c r="AV303" s="2">
        <v>3.3</v>
      </c>
      <c r="AW303" s="2">
        <v>12257.141193582425</v>
      </c>
      <c r="AX303" s="2">
        <v>75945.51234133933</v>
      </c>
      <c r="AY303" s="2">
        <v>64021.679041832605</v>
      </c>
      <c r="AZ303" s="2">
        <v>0</v>
      </c>
      <c r="BA303" s="2">
        <v>0</v>
      </c>
      <c r="BB303" s="2">
        <v>0.6</v>
      </c>
      <c r="BC303" s="30">
        <v>0</v>
      </c>
      <c r="BD303" s="34">
        <v>1</v>
      </c>
      <c r="BE303" s="34">
        <v>0</v>
      </c>
      <c r="BF303" s="40">
        <v>0</v>
      </c>
      <c r="BG303" s="2">
        <v>0</v>
      </c>
      <c r="BH303" s="2">
        <v>1</v>
      </c>
      <c r="BI303" s="40">
        <v>0</v>
      </c>
      <c r="BJ303" s="2">
        <v>0</v>
      </c>
      <c r="BK303" s="2">
        <v>1</v>
      </c>
      <c r="BL303" s="2">
        <v>0</v>
      </c>
      <c r="BM303" s="40">
        <v>0</v>
      </c>
      <c r="BN303" s="958">
        <v>0.1</v>
      </c>
      <c r="BO303" s="959">
        <v>14.1</v>
      </c>
      <c r="BP303" s="1018">
        <f t="shared" ca="1" si="418"/>
        <v>350</v>
      </c>
      <c r="BQ303" s="1018">
        <f t="shared" ca="1" si="419"/>
        <v>764.40000000000009</v>
      </c>
      <c r="BR303" s="1018">
        <f t="shared" ca="1" si="420"/>
        <v>105</v>
      </c>
      <c r="BS303" s="1018">
        <f t="shared" ca="1" si="421"/>
        <v>112.64999999999998</v>
      </c>
      <c r="BT303" s="1018">
        <f t="shared" ca="1" si="422"/>
        <v>105</v>
      </c>
      <c r="BU303" s="1018">
        <f t="shared" ca="1" si="423"/>
        <v>42</v>
      </c>
      <c r="BV303" s="1018">
        <f t="shared" ca="1" si="424"/>
        <v>2.15</v>
      </c>
      <c r="BW303" s="1018">
        <v>0</v>
      </c>
      <c r="BX303" s="1018">
        <f t="shared" ca="1" si="425"/>
        <v>31.834259727134924</v>
      </c>
      <c r="BY303" s="1018">
        <f t="shared" ca="1" si="426"/>
        <v>191.4933461864008</v>
      </c>
      <c r="BZ303" s="1018">
        <f t="shared" ca="1" si="381"/>
        <v>18.546782387806946</v>
      </c>
      <c r="CA303" s="1018">
        <f t="shared" ca="1" si="382"/>
        <v>115.49999993647498</v>
      </c>
      <c r="CB303" s="1018">
        <f t="shared" ca="1" si="427"/>
        <v>4.5133587786259541</v>
      </c>
      <c r="CC303" s="1018">
        <f t="shared" si="383"/>
        <v>0</v>
      </c>
      <c r="CD303" s="1018">
        <f t="shared" ca="1" si="429"/>
        <v>398.56774701644366</v>
      </c>
      <c r="CE303" s="1018">
        <f t="shared" ca="1" si="398"/>
        <v>149.97789927510865</v>
      </c>
      <c r="CF303" s="1018">
        <f t="shared" ca="1" si="384"/>
        <v>16.45636938874657</v>
      </c>
      <c r="CG303" s="1018">
        <f t="shared" ca="1" si="385"/>
        <v>27399.196777487487</v>
      </c>
    </row>
    <row r="304" spans="4:85" x14ac:dyDescent="0.25">
      <c r="D304" s="703"/>
      <c r="E304" s="702"/>
      <c r="F304" s="703"/>
      <c r="G304" s="702"/>
      <c r="H304" s="703"/>
      <c r="I304" s="702"/>
      <c r="J304" s="703"/>
      <c r="K304" s="703"/>
      <c r="L304" s="703"/>
      <c r="M304" s="703" t="s">
        <v>22</v>
      </c>
      <c r="N304" s="705">
        <v>0.47</v>
      </c>
      <c r="O304" s="703" t="s">
        <v>20</v>
      </c>
      <c r="P304" s="705">
        <v>5.6000000000000001E-2</v>
      </c>
      <c r="Q304" s="703" t="s">
        <v>7</v>
      </c>
      <c r="R304" s="705">
        <v>0.60750000000000004</v>
      </c>
      <c r="S304" s="703"/>
      <c r="T304" s="713">
        <v>5.7473693731734442E-7</v>
      </c>
      <c r="U304" s="702"/>
      <c r="V304" s="176">
        <f t="shared" si="386"/>
        <v>5.7473693731734442E-7</v>
      </c>
      <c r="W304" s="176">
        <f t="shared" si="428"/>
        <v>5.7473693731734442E-7</v>
      </c>
      <c r="X304" s="176">
        <f t="shared" si="428"/>
        <v>5.7473693731734442E-7</v>
      </c>
      <c r="Y304" s="34">
        <f>X304/Calculation_sheet!M$67</f>
        <v>5.747486886351307E-7</v>
      </c>
      <c r="Z304" s="176">
        <f ca="1">IF(AN304&gt;0,Y304*Calculation_sheet!C$87,0)</f>
        <v>0</v>
      </c>
      <c r="AA304" s="176">
        <f t="shared" ca="1" si="377"/>
        <v>5.747486886351307E-7</v>
      </c>
      <c r="AB304" s="176">
        <f ca="1">IF(AP304&gt;0,AA304*Calculation_sheet!C$94,0)</f>
        <v>0</v>
      </c>
      <c r="AC304" s="176">
        <f t="shared" ca="1" si="417"/>
        <v>5.747486886351307E-7</v>
      </c>
      <c r="AD304" s="958">
        <f ca="1">AC304*Calculation_sheet!C$99</f>
        <v>3.4484921318107841E-7</v>
      </c>
      <c r="AE304" s="176">
        <f t="shared" ca="1" si="417"/>
        <v>2.2989947545405229E-7</v>
      </c>
      <c r="AF304" s="176">
        <f t="shared" ca="1" si="400"/>
        <v>5.747486886351307E-7</v>
      </c>
      <c r="AG304" s="958">
        <f ca="1">AF304*User_sheet!B$77/100</f>
        <v>0</v>
      </c>
      <c r="AH304" s="313"/>
      <c r="AI304">
        <v>303</v>
      </c>
      <c r="AK304" s="1018">
        <f t="shared" ca="1" si="380"/>
        <v>398.56774701644366</v>
      </c>
      <c r="AL304" s="924">
        <f ca="1">AK304/'303'!I$24</f>
        <v>1.0930145263031501</v>
      </c>
      <c r="AM304" s="924">
        <f ca="1">0.8*(AK304*30+'303'!D$17*0.34*30*1)</f>
        <v>17562.425928394649</v>
      </c>
      <c r="AN304" s="954">
        <f ca="1">IF(AM304&lt;User_sheet!B$50,Y304,0)</f>
        <v>0</v>
      </c>
      <c r="AO304" s="954">
        <f ca="1">20-(User_sheet!B$57/(AK304+'303'!D$17*1*0.34))</f>
        <v>12.210643304190457</v>
      </c>
      <c r="AP304" s="954">
        <f ca="1">IF(AO304&lt;User_sheet!B$59,0,BC304*AA304)</f>
        <v>0</v>
      </c>
      <c r="AR304" s="2">
        <v>0.32</v>
      </c>
      <c r="AS304" s="1020">
        <v>2.41</v>
      </c>
      <c r="AT304" s="2">
        <v>0.59</v>
      </c>
      <c r="AU304" s="2">
        <v>2.75</v>
      </c>
      <c r="AV304" s="2">
        <v>3.3</v>
      </c>
      <c r="AW304" s="2">
        <v>12257.141193582425</v>
      </c>
      <c r="AX304" s="2">
        <v>75945.51234133933</v>
      </c>
      <c r="AY304" s="2">
        <v>64021.679041832605</v>
      </c>
      <c r="AZ304" s="2">
        <v>0</v>
      </c>
      <c r="BA304" s="2">
        <v>0</v>
      </c>
      <c r="BB304" s="2">
        <v>0.6</v>
      </c>
      <c r="BC304" s="30">
        <v>0</v>
      </c>
      <c r="BD304" s="34">
        <v>1</v>
      </c>
      <c r="BE304" s="34">
        <v>0</v>
      </c>
      <c r="BF304" s="40">
        <v>0</v>
      </c>
      <c r="BG304" s="2">
        <v>0</v>
      </c>
      <c r="BH304" s="2">
        <v>1</v>
      </c>
      <c r="BI304" s="40">
        <v>0</v>
      </c>
      <c r="BJ304" s="2">
        <v>0</v>
      </c>
      <c r="BK304" s="2">
        <v>0</v>
      </c>
      <c r="BL304" s="2">
        <v>1</v>
      </c>
      <c r="BM304" s="40">
        <v>0</v>
      </c>
      <c r="BN304" s="958">
        <v>0.1</v>
      </c>
      <c r="BO304" s="959">
        <v>14.1</v>
      </c>
      <c r="BP304" s="1018">
        <f t="shared" ca="1" si="418"/>
        <v>350</v>
      </c>
      <c r="BQ304" s="1018">
        <f t="shared" ca="1" si="419"/>
        <v>764.40000000000009</v>
      </c>
      <c r="BR304" s="1018">
        <f t="shared" ca="1" si="420"/>
        <v>105</v>
      </c>
      <c r="BS304" s="1018">
        <f t="shared" ca="1" si="421"/>
        <v>112.64999999999998</v>
      </c>
      <c r="BT304" s="1018">
        <f t="shared" ca="1" si="422"/>
        <v>105</v>
      </c>
      <c r="BU304" s="1018">
        <f t="shared" ca="1" si="423"/>
        <v>42</v>
      </c>
      <c r="BV304" s="1018">
        <f t="shared" ca="1" si="424"/>
        <v>2.15</v>
      </c>
      <c r="BW304" s="1018">
        <v>0</v>
      </c>
      <c r="BX304" s="1018">
        <f t="shared" ca="1" si="425"/>
        <v>31.834259727134924</v>
      </c>
      <c r="BY304" s="1018">
        <f t="shared" ca="1" si="426"/>
        <v>191.4933461864008</v>
      </c>
      <c r="BZ304" s="1018">
        <f t="shared" ca="1" si="381"/>
        <v>18.546782387806946</v>
      </c>
      <c r="CA304" s="1018">
        <f t="shared" ca="1" si="382"/>
        <v>115.49999993647498</v>
      </c>
      <c r="CB304" s="1018">
        <f t="shared" ca="1" si="427"/>
        <v>4.5133587786259541</v>
      </c>
      <c r="CC304" s="1018">
        <f t="shared" si="383"/>
        <v>0</v>
      </c>
      <c r="CD304" s="1018">
        <f t="shared" ca="1" si="429"/>
        <v>398.56774701644366</v>
      </c>
      <c r="CE304" s="1018">
        <f t="shared" ca="1" si="398"/>
        <v>149.97789927510865</v>
      </c>
      <c r="CF304" s="1018">
        <f t="shared" ca="1" si="384"/>
        <v>16.45636938874657</v>
      </c>
      <c r="CG304" s="1018">
        <f t="shared" ca="1" si="385"/>
        <v>27399.196777487487</v>
      </c>
    </row>
    <row r="305" spans="4:85" x14ac:dyDescent="0.25">
      <c r="D305" s="703"/>
      <c r="E305" s="702"/>
      <c r="F305" s="703"/>
      <c r="G305" s="702"/>
      <c r="H305" s="703"/>
      <c r="I305" s="702"/>
      <c r="J305" s="703"/>
      <c r="K305" s="706" t="s">
        <v>12</v>
      </c>
      <c r="L305" s="707">
        <v>1.1099999999999999E-2</v>
      </c>
      <c r="M305" s="703" t="s">
        <v>7</v>
      </c>
      <c r="N305" s="705">
        <v>0.11900000000000005</v>
      </c>
      <c r="O305" s="703" t="s">
        <v>23</v>
      </c>
      <c r="P305" s="705">
        <v>1</v>
      </c>
      <c r="Q305" s="703" t="s">
        <v>7</v>
      </c>
      <c r="R305" s="705">
        <v>1</v>
      </c>
      <c r="S305" s="703"/>
      <c r="T305" s="713">
        <v>4.2774397751487863E-6</v>
      </c>
      <c r="U305" s="702"/>
      <c r="V305" s="176">
        <f t="shared" si="386"/>
        <v>4.2774397751487863E-6</v>
      </c>
      <c r="W305" s="176">
        <f t="shared" si="428"/>
        <v>4.2774397751487863E-6</v>
      </c>
      <c r="X305" s="176">
        <f t="shared" si="428"/>
        <v>4.2774397751487863E-6</v>
      </c>
      <c r="Y305" s="34">
        <f>X305/Calculation_sheet!M$67</f>
        <v>4.2775272335159906E-6</v>
      </c>
      <c r="Z305" s="176">
        <f ca="1">IF(AN305&gt;0,Y305*Calculation_sheet!C$87,0)</f>
        <v>0</v>
      </c>
      <c r="AA305" s="176">
        <f t="shared" ca="1" si="377"/>
        <v>4.2775272335159906E-6</v>
      </c>
      <c r="AB305" s="176">
        <f ca="1">IF(AP305&gt;0,AA305*Calculation_sheet!C$94,0)</f>
        <v>0</v>
      </c>
      <c r="AC305" s="176">
        <f t="shared" ca="1" si="417"/>
        <v>4.2775272335159906E-6</v>
      </c>
      <c r="AD305" s="958">
        <f ca="1">AC305*Calculation_sheet!C$99</f>
        <v>2.5665163401095941E-6</v>
      </c>
      <c r="AE305" s="176">
        <f t="shared" ca="1" si="417"/>
        <v>1.7110108934063965E-6</v>
      </c>
      <c r="AF305" s="176">
        <f t="shared" ca="1" si="400"/>
        <v>4.2775272335159906E-6</v>
      </c>
      <c r="AG305" s="958">
        <f ca="1">AF305*User_sheet!B$77/100</f>
        <v>0</v>
      </c>
      <c r="AH305" s="313"/>
      <c r="AI305">
        <v>303</v>
      </c>
      <c r="AK305" s="1018">
        <f t="shared" ca="1" si="380"/>
        <v>398.56774701644366</v>
      </c>
      <c r="AL305" s="924">
        <f ca="1">AK305/'303'!I$24</f>
        <v>1.0930145263031501</v>
      </c>
      <c r="AM305" s="924">
        <f ca="1">0.8*(AK305*30+'303'!D$17*0.34*30*1)</f>
        <v>17562.425928394649</v>
      </c>
      <c r="AN305" s="954">
        <f ca="1">IF(AM305&lt;User_sheet!B$50,Y305,0)</f>
        <v>0</v>
      </c>
      <c r="AO305" s="954">
        <f ca="1">20-(User_sheet!B$57/(AK305+'303'!D$17*1*0.34))</f>
        <v>12.210643304190457</v>
      </c>
      <c r="AP305" s="954">
        <f ca="1">IF(AO305&lt;User_sheet!B$59,0,BC305*AA305)</f>
        <v>0</v>
      </c>
      <c r="AR305" s="2">
        <v>0.32</v>
      </c>
      <c r="AS305" s="1020">
        <v>2.41</v>
      </c>
      <c r="AT305" s="2">
        <v>0.59</v>
      </c>
      <c r="AU305" s="2">
        <v>2.75</v>
      </c>
      <c r="AV305" s="2">
        <v>3.3</v>
      </c>
      <c r="AW305" s="2">
        <v>12257.141193582425</v>
      </c>
      <c r="AX305" s="2">
        <v>75945.51234133933</v>
      </c>
      <c r="AY305" s="2">
        <v>64021.679041832605</v>
      </c>
      <c r="AZ305" s="2">
        <v>0</v>
      </c>
      <c r="BA305" s="2">
        <v>0</v>
      </c>
      <c r="BB305" s="2">
        <v>0.6</v>
      </c>
      <c r="BC305" s="30">
        <v>0</v>
      </c>
      <c r="BD305" s="34">
        <v>0</v>
      </c>
      <c r="BE305" s="34">
        <v>1</v>
      </c>
      <c r="BF305" s="40">
        <v>0</v>
      </c>
      <c r="BG305" s="2">
        <v>0</v>
      </c>
      <c r="BH305" s="2">
        <v>0</v>
      </c>
      <c r="BI305" s="40">
        <v>1</v>
      </c>
      <c r="BJ305" s="2">
        <v>0</v>
      </c>
      <c r="BK305" s="2">
        <v>0</v>
      </c>
      <c r="BL305" s="2">
        <v>1</v>
      </c>
      <c r="BM305" s="40">
        <v>0</v>
      </c>
      <c r="BN305" s="958">
        <v>0.1</v>
      </c>
      <c r="BO305" s="959">
        <v>14.1</v>
      </c>
      <c r="BP305" s="1018">
        <f t="shared" ca="1" si="418"/>
        <v>350</v>
      </c>
      <c r="BQ305" s="1018">
        <f t="shared" ca="1" si="419"/>
        <v>764.40000000000009</v>
      </c>
      <c r="BR305" s="1018">
        <f t="shared" ca="1" si="420"/>
        <v>105</v>
      </c>
      <c r="BS305" s="1018">
        <f t="shared" ca="1" si="421"/>
        <v>112.64999999999998</v>
      </c>
      <c r="BT305" s="1018">
        <f t="shared" ca="1" si="422"/>
        <v>105</v>
      </c>
      <c r="BU305" s="1018">
        <f t="shared" ca="1" si="423"/>
        <v>42</v>
      </c>
      <c r="BV305" s="1018">
        <f t="shared" ca="1" si="424"/>
        <v>2.15</v>
      </c>
      <c r="BW305" s="1018">
        <v>0</v>
      </c>
      <c r="BX305" s="1018">
        <f t="shared" ca="1" si="425"/>
        <v>31.834259727134924</v>
      </c>
      <c r="BY305" s="1018">
        <f t="shared" ca="1" si="426"/>
        <v>191.4933461864008</v>
      </c>
      <c r="BZ305" s="1018">
        <f t="shared" ca="1" si="381"/>
        <v>18.546782387806946</v>
      </c>
      <c r="CA305" s="1018">
        <f t="shared" ca="1" si="382"/>
        <v>115.49999993647498</v>
      </c>
      <c r="CB305" s="1018">
        <f t="shared" ca="1" si="427"/>
        <v>4.5133587786259541</v>
      </c>
      <c r="CC305" s="1018">
        <f t="shared" si="383"/>
        <v>0</v>
      </c>
      <c r="CD305" s="1018">
        <f t="shared" ca="1" si="429"/>
        <v>398.56774701644366</v>
      </c>
      <c r="CE305" s="1018">
        <f t="shared" ca="1" si="398"/>
        <v>149.97789927510865</v>
      </c>
      <c r="CF305" s="1018">
        <f t="shared" ca="1" si="384"/>
        <v>16.45636938874657</v>
      </c>
      <c r="CG305" s="1018">
        <f t="shared" ca="1" si="385"/>
        <v>27399.196777487487</v>
      </c>
    </row>
    <row r="306" spans="4:85" s="11" customFormat="1" x14ac:dyDescent="0.25">
      <c r="D306" s="711"/>
      <c r="E306" s="710"/>
      <c r="F306" s="711"/>
      <c r="G306" s="710"/>
      <c r="H306" s="711"/>
      <c r="I306" s="710"/>
      <c r="J306" s="711"/>
      <c r="K306" s="711"/>
      <c r="L306" s="711"/>
      <c r="M306" s="711"/>
      <c r="N306" s="711"/>
      <c r="O306" s="711"/>
      <c r="P306" s="711"/>
      <c r="Q306" s="711"/>
      <c r="R306" s="711"/>
      <c r="S306" s="711"/>
      <c r="T306" s="714"/>
      <c r="U306" s="710"/>
      <c r="V306" s="293"/>
      <c r="W306" s="292"/>
      <c r="X306" s="292"/>
      <c r="Y306" s="277"/>
      <c r="Z306" s="292"/>
      <c r="AA306" s="292"/>
      <c r="AB306" s="292"/>
      <c r="AC306" s="292"/>
      <c r="AD306" s="277"/>
      <c r="AE306" s="292"/>
      <c r="AF306" s="292"/>
      <c r="AG306" s="277"/>
      <c r="AH306" s="313"/>
      <c r="AJ306" s="314"/>
      <c r="AK306" s="1018">
        <f t="shared" si="380"/>
        <v>0</v>
      </c>
      <c r="AL306" s="928"/>
      <c r="AM306" s="928"/>
      <c r="AN306" s="941"/>
      <c r="AO306" s="941"/>
      <c r="AP306" s="941"/>
      <c r="AQ306" s="314"/>
      <c r="AR306" s="28"/>
      <c r="AS306" s="941"/>
      <c r="AT306" s="28"/>
      <c r="AU306" s="28"/>
      <c r="AV306" s="28"/>
      <c r="AW306" s="28"/>
      <c r="AX306" s="28"/>
      <c r="AY306" s="28"/>
      <c r="AZ306" s="28"/>
      <c r="BA306" s="28"/>
      <c r="BB306" s="28"/>
      <c r="BC306" s="45"/>
      <c r="BD306" s="277"/>
      <c r="BE306" s="277"/>
      <c r="BF306" s="49"/>
      <c r="BG306" s="28"/>
      <c r="BH306" s="28"/>
      <c r="BI306" s="49"/>
      <c r="BJ306" s="28"/>
      <c r="BK306" s="28"/>
      <c r="BL306" s="28"/>
      <c r="BM306" s="49"/>
      <c r="BN306" s="277"/>
      <c r="BO306" s="49"/>
      <c r="BP306" s="946"/>
      <c r="BQ306" s="946"/>
      <c r="BR306" s="946"/>
      <c r="BS306" s="946"/>
      <c r="BT306" s="946"/>
      <c r="BU306" s="946"/>
      <c r="BV306" s="946"/>
      <c r="BW306" s="946"/>
      <c r="BX306" s="946"/>
      <c r="BY306" s="946"/>
      <c r="BZ306" s="946"/>
      <c r="CA306" s="946"/>
      <c r="CB306" s="946"/>
      <c r="CC306" s="946"/>
      <c r="CD306" s="946"/>
      <c r="CE306" s="946"/>
      <c r="CF306" s="946"/>
      <c r="CG306" s="946"/>
    </row>
    <row r="307" spans="4:85" x14ac:dyDescent="0.25">
      <c r="D307" s="703"/>
      <c r="E307" s="702"/>
      <c r="F307" s="703"/>
      <c r="G307" s="702"/>
      <c r="H307" s="703"/>
      <c r="I307" s="702" t="s">
        <v>6</v>
      </c>
      <c r="J307" s="705">
        <v>0.59030000000000005</v>
      </c>
      <c r="K307" s="703"/>
      <c r="L307" s="703"/>
      <c r="M307" s="703"/>
      <c r="N307" s="703"/>
      <c r="O307" s="703"/>
      <c r="P307" s="703"/>
      <c r="Q307" s="703" t="s">
        <v>16</v>
      </c>
      <c r="R307" s="705">
        <v>0.92569999999999997</v>
      </c>
      <c r="S307" s="703"/>
      <c r="T307" s="713">
        <v>1.0862556620146607E-3</v>
      </c>
      <c r="U307" s="702"/>
      <c r="V307" s="176">
        <f t="shared" si="386"/>
        <v>1.0862556620146607E-3</v>
      </c>
      <c r="W307" s="176">
        <f>V307</f>
        <v>1.0862556620146607E-3</v>
      </c>
      <c r="X307" s="176">
        <f>W307</f>
        <v>1.0862556620146607E-3</v>
      </c>
      <c r="Y307" s="34">
        <f>X307/Calculation_sheet!M$67</f>
        <v>1.086277872063559E-3</v>
      </c>
      <c r="Z307" s="176">
        <f ca="1">IF(AN307&gt;0,Y307*Calculation_sheet!C$87,0)</f>
        <v>0</v>
      </c>
      <c r="AA307" s="176">
        <f t="shared" ca="1" si="377"/>
        <v>1.086277872063559E-3</v>
      </c>
      <c r="AB307" s="176">
        <f ca="1">IF(AP307&gt;0,AA307*Calculation_sheet!C$94,0)</f>
        <v>0</v>
      </c>
      <c r="AC307" s="176">
        <f t="shared" ref="AC307:AE315" ca="1" si="430">AA307-AB307</f>
        <v>1.086277872063559E-3</v>
      </c>
      <c r="AD307" s="958">
        <f ca="1">AC307*Calculation_sheet!C$99</f>
        <v>6.5176672323813542E-4</v>
      </c>
      <c r="AE307" s="176">
        <f t="shared" ca="1" si="430"/>
        <v>4.3451114882542361E-4</v>
      </c>
      <c r="AF307" s="176">
        <f t="shared" ca="1" si="400"/>
        <v>1.086277872063559E-3</v>
      </c>
      <c r="AG307" s="958">
        <f ca="1">AF307*User_sheet!B$77/100</f>
        <v>0</v>
      </c>
      <c r="AH307" s="313"/>
      <c r="AI307">
        <v>303</v>
      </c>
      <c r="AK307" s="1018">
        <f t="shared" ca="1" si="380"/>
        <v>419.50550346878219</v>
      </c>
      <c r="AL307" s="924">
        <f ca="1">AK307/'303'!I$24</f>
        <v>1.1504333017106327</v>
      </c>
      <c r="AM307" s="924">
        <f ca="1">0.8*(AK307*30+'303'!D$17*0.34*30*1)</f>
        <v>18064.932083250776</v>
      </c>
      <c r="AN307" s="954">
        <f ca="1">IF(AM307&lt;User_sheet!B$50,Y307,0)</f>
        <v>0</v>
      </c>
      <c r="AO307" s="954">
        <f ca="1">20-(User_sheet!B$57/(AK307+'303'!D$17*1*0.34))</f>
        <v>12.42731722601733</v>
      </c>
      <c r="AP307" s="954">
        <f ca="1">IF(AO307&lt;User_sheet!B$59,0,BC307*AA307)</f>
        <v>1.086277872063559E-3</v>
      </c>
      <c r="AR307" s="2">
        <v>0.32</v>
      </c>
      <c r="AS307" s="1020">
        <v>2.41</v>
      </c>
      <c r="AT307" s="2">
        <v>1.42</v>
      </c>
      <c r="AU307" s="2">
        <v>2.75</v>
      </c>
      <c r="AV307" s="2">
        <v>3.3</v>
      </c>
      <c r="AW307" s="2">
        <v>12257.141193582425</v>
      </c>
      <c r="AX307" s="2">
        <v>75945.51234133933</v>
      </c>
      <c r="AY307" s="2">
        <v>62673.095488422703</v>
      </c>
      <c r="AZ307" s="2">
        <v>0</v>
      </c>
      <c r="BA307" s="2">
        <v>0</v>
      </c>
      <c r="BB307" s="2">
        <v>0.6</v>
      </c>
      <c r="BC307" s="30">
        <v>1</v>
      </c>
      <c r="BD307" s="34">
        <v>0</v>
      </c>
      <c r="BE307" s="34">
        <v>0</v>
      </c>
      <c r="BF307" s="40">
        <v>0</v>
      </c>
      <c r="BG307" s="2">
        <v>1</v>
      </c>
      <c r="BH307" s="2">
        <v>0</v>
      </c>
      <c r="BI307" s="40">
        <v>0</v>
      </c>
      <c r="BJ307" s="2">
        <v>1</v>
      </c>
      <c r="BK307" s="2">
        <v>0</v>
      </c>
      <c r="BL307" s="2">
        <v>0</v>
      </c>
      <c r="BM307" s="40">
        <v>0</v>
      </c>
      <c r="BN307" s="958">
        <v>0.1</v>
      </c>
      <c r="BO307" s="959">
        <v>14.1</v>
      </c>
      <c r="BP307" s="1018">
        <f t="shared" ref="BP307:BP315" ca="1" si="431">INDIRECT("'"&amp;AI307&amp;"'!"&amp;"B2")</f>
        <v>350</v>
      </c>
      <c r="BQ307" s="1018">
        <f t="shared" ref="BQ307:BQ315" ca="1" si="432">INDIRECT("'"&amp;AI307&amp;"'!"&amp;"C12")+INDIRECT("'"&amp;AI307&amp;"'!"&amp;"C13")+INDIRECT("'"&amp;AI307&amp;"'!"&amp;"C14")+INDIRECT("'"&amp;AI307&amp;"'!"&amp;"C15")+INDIRECT("'"&amp;AI307&amp;"'!"&amp;"C17")</f>
        <v>764.40000000000009</v>
      </c>
      <c r="BR307" s="1018">
        <f t="shared" ref="BR307:BR315" ca="1" si="433">INDIRECT("'"&amp;AI307&amp;"'!"&amp;"G5")</f>
        <v>105</v>
      </c>
      <c r="BS307" s="1018">
        <f t="shared" ref="BS307:BS315" ca="1" si="434">INDIRECT("'"&amp;AI307&amp;"'!"&amp;"G4")</f>
        <v>112.64999999999998</v>
      </c>
      <c r="BT307" s="1018">
        <f t="shared" ref="BT307:BT315" ca="1" si="435">INDIRECT("'"&amp;AI307&amp;"'!"&amp;"G6")</f>
        <v>105</v>
      </c>
      <c r="BU307" s="1018">
        <f t="shared" ref="BU307:BU315" ca="1" si="436">INDIRECT("'"&amp;AI307&amp;"'!"&amp;"G2")</f>
        <v>42</v>
      </c>
      <c r="BV307" s="1018">
        <f t="shared" ref="BV307:BV315" ca="1" si="437">INDIRECT("'"&amp;AI307&amp;"'!"&amp;"G3")</f>
        <v>2.15</v>
      </c>
      <c r="BW307" s="1018">
        <v>0</v>
      </c>
      <c r="BX307" s="1018">
        <f t="shared" ref="BX307:BX315" ca="1" si="438">IF(BR307=0,0,1/(1/(BR307*$BY$3)+1/(BR307*AR307)+1/(BR307*$BY$4)))</f>
        <v>31.834259727134924</v>
      </c>
      <c r="BY307" s="1018">
        <f t="shared" ref="BY307:BY315" ca="1" si="439">IF(BS307=0,0,1/(1/(BS307*$BY$3)+1/(BS307*AS307)+1/(BS307*$BY$4)))</f>
        <v>191.4933461864008</v>
      </c>
      <c r="BZ307" s="1018">
        <f t="shared" ca="1" si="381"/>
        <v>39.484538840145518</v>
      </c>
      <c r="CA307" s="1018">
        <f t="shared" ca="1" si="382"/>
        <v>115.49999993647498</v>
      </c>
      <c r="CB307" s="1018">
        <f t="shared" ref="CB307:CB315" ca="1" si="440">IF(BV307=0,0,1/(1/(BV307*$BY$3)+1/(BV307*AV307)+1/(BV307*$BY$4)))</f>
        <v>4.5133587786259541</v>
      </c>
      <c r="CC307" s="1018">
        <f t="shared" si="383"/>
        <v>0</v>
      </c>
      <c r="CD307" s="1018">
        <f ca="1">SUM(BX307:CC307)+(BR307+BS307+BT307+BU307+BV307)*BN307</f>
        <v>419.50550346878219</v>
      </c>
      <c r="CE307" s="1018">
        <f t="shared" ca="1" si="398"/>
        <v>149.97789927510865</v>
      </c>
      <c r="CF307" s="1018">
        <f t="shared" ca="1" si="384"/>
        <v>17.084502082316725</v>
      </c>
      <c r="CG307" s="1018">
        <f t="shared" ca="1" si="385"/>
        <v>28445.012586974055</v>
      </c>
    </row>
    <row r="308" spans="4:85" x14ac:dyDescent="0.25">
      <c r="D308" s="703"/>
      <c r="E308" s="702"/>
      <c r="F308" s="703"/>
      <c r="G308" s="702"/>
      <c r="H308" s="703"/>
      <c r="I308" s="702"/>
      <c r="J308" s="708"/>
      <c r="K308" s="703"/>
      <c r="L308" s="703"/>
      <c r="M308" s="703"/>
      <c r="N308" s="703"/>
      <c r="O308" s="703" t="s">
        <v>18</v>
      </c>
      <c r="P308" s="705">
        <v>0.89156626500000002</v>
      </c>
      <c r="Q308" s="703" t="s">
        <v>7</v>
      </c>
      <c r="R308" s="705">
        <v>7.4300000000000005E-2</v>
      </c>
      <c r="S308" s="703"/>
      <c r="T308" s="713">
        <v>8.718677291529576E-5</v>
      </c>
      <c r="U308" s="702"/>
      <c r="V308" s="176">
        <f t="shared" si="386"/>
        <v>8.718677291529576E-5</v>
      </c>
      <c r="W308" s="176">
        <f t="shared" ref="W308:X315" si="441">V308</f>
        <v>8.718677291529576E-5</v>
      </c>
      <c r="X308" s="176">
        <f t="shared" si="441"/>
        <v>8.718677291529576E-5</v>
      </c>
      <c r="Y308" s="34">
        <f>X308/Calculation_sheet!M$67</f>
        <v>8.7188555573428143E-5</v>
      </c>
      <c r="Z308" s="176">
        <f ca="1">IF(AN308&gt;0,Y308*Calculation_sheet!C$87,0)</f>
        <v>0</v>
      </c>
      <c r="AA308" s="176">
        <f t="shared" ca="1" si="377"/>
        <v>8.7188555573428143E-5</v>
      </c>
      <c r="AB308" s="176">
        <f ca="1">IF(AP308&gt;0,AA308*Calculation_sheet!C$94,0)</f>
        <v>0</v>
      </c>
      <c r="AC308" s="176">
        <f t="shared" ca="1" si="430"/>
        <v>8.7188555573428143E-5</v>
      </c>
      <c r="AD308" s="958">
        <f ca="1">AC308*Calculation_sheet!C$99</f>
        <v>5.2313133344056885E-5</v>
      </c>
      <c r="AE308" s="176">
        <f t="shared" ca="1" si="430"/>
        <v>3.4875422229371259E-5</v>
      </c>
      <c r="AF308" s="176">
        <f t="shared" ca="1" si="400"/>
        <v>8.7188555573428143E-5</v>
      </c>
      <c r="AG308" s="958">
        <f ca="1">AF308*User_sheet!B$77/100</f>
        <v>0</v>
      </c>
      <c r="AH308" s="313"/>
      <c r="AI308">
        <v>303</v>
      </c>
      <c r="AK308" s="1018">
        <f t="shared" ca="1" si="380"/>
        <v>419.50550346878219</v>
      </c>
      <c r="AL308" s="924">
        <f ca="1">AK308/'303'!I$24</f>
        <v>1.1504333017106327</v>
      </c>
      <c r="AM308" s="924">
        <f ca="1">0.8*(AK308*30+'303'!D$17*0.34*30*1)</f>
        <v>18064.932083250776</v>
      </c>
      <c r="AN308" s="954">
        <f ca="1">IF(AM308&lt;User_sheet!B$50,Y308,0)</f>
        <v>0</v>
      </c>
      <c r="AO308" s="954">
        <f ca="1">20-(User_sheet!B$57/(AK308+'303'!D$17*1*0.34))</f>
        <v>12.42731722601733</v>
      </c>
      <c r="AP308" s="954">
        <f ca="1">IF(AO308&lt;User_sheet!B$59,0,BC308*AA308)</f>
        <v>8.7188555573428143E-5</v>
      </c>
      <c r="AR308" s="2">
        <v>0.32</v>
      </c>
      <c r="AS308" s="1020">
        <v>2.41</v>
      </c>
      <c r="AT308" s="2">
        <v>1.42</v>
      </c>
      <c r="AU308" s="2">
        <v>2.75</v>
      </c>
      <c r="AV308" s="2">
        <v>3.3</v>
      </c>
      <c r="AW308" s="2">
        <v>12257.141193582425</v>
      </c>
      <c r="AX308" s="2">
        <v>75945.51234133933</v>
      </c>
      <c r="AY308" s="2">
        <v>62673.095488422703</v>
      </c>
      <c r="AZ308" s="2">
        <v>0</v>
      </c>
      <c r="BA308" s="2">
        <v>0</v>
      </c>
      <c r="BB308" s="2">
        <v>0.6</v>
      </c>
      <c r="BC308" s="30">
        <v>1</v>
      </c>
      <c r="BD308" s="34">
        <v>0</v>
      </c>
      <c r="BE308" s="34">
        <v>0</v>
      </c>
      <c r="BF308" s="40">
        <v>0</v>
      </c>
      <c r="BG308" s="2">
        <v>1</v>
      </c>
      <c r="BH308" s="2">
        <v>0</v>
      </c>
      <c r="BI308" s="40">
        <v>0</v>
      </c>
      <c r="BJ308" s="2">
        <v>0</v>
      </c>
      <c r="BK308" s="2">
        <v>0</v>
      </c>
      <c r="BL308" s="2">
        <v>1</v>
      </c>
      <c r="BM308" s="40">
        <v>0</v>
      </c>
      <c r="BN308" s="958">
        <v>0.1</v>
      </c>
      <c r="BO308" s="959">
        <v>14.1</v>
      </c>
      <c r="BP308" s="1018">
        <f t="shared" ca="1" si="431"/>
        <v>350</v>
      </c>
      <c r="BQ308" s="1018">
        <f t="shared" ca="1" si="432"/>
        <v>764.40000000000009</v>
      </c>
      <c r="BR308" s="1018">
        <f t="shared" ca="1" si="433"/>
        <v>105</v>
      </c>
      <c r="BS308" s="1018">
        <f t="shared" ca="1" si="434"/>
        <v>112.64999999999998</v>
      </c>
      <c r="BT308" s="1018">
        <f t="shared" ca="1" si="435"/>
        <v>105</v>
      </c>
      <c r="BU308" s="1018">
        <f t="shared" ca="1" si="436"/>
        <v>42</v>
      </c>
      <c r="BV308" s="1018">
        <f t="shared" ca="1" si="437"/>
        <v>2.15</v>
      </c>
      <c r="BW308" s="1018">
        <v>0</v>
      </c>
      <c r="BX308" s="1018">
        <f t="shared" ca="1" si="438"/>
        <v>31.834259727134924</v>
      </c>
      <c r="BY308" s="1018">
        <f t="shared" ca="1" si="439"/>
        <v>191.4933461864008</v>
      </c>
      <c r="BZ308" s="1018">
        <f t="shared" ca="1" si="381"/>
        <v>39.484538840145518</v>
      </c>
      <c r="CA308" s="1018">
        <f t="shared" ca="1" si="382"/>
        <v>115.49999993647498</v>
      </c>
      <c r="CB308" s="1018">
        <f t="shared" ca="1" si="440"/>
        <v>4.5133587786259541</v>
      </c>
      <c r="CC308" s="1018">
        <f t="shared" si="383"/>
        <v>0</v>
      </c>
      <c r="CD308" s="1018">
        <f t="shared" ref="CD308:CD315" ca="1" si="442">SUM(BX308:CC308)+(BR308+BS308+BT308+BU308+BV308)*BN308</f>
        <v>419.50550346878219</v>
      </c>
      <c r="CE308" s="1018">
        <f t="shared" ca="1" si="398"/>
        <v>149.97789927510865</v>
      </c>
      <c r="CF308" s="1018">
        <f t="shared" ca="1" si="384"/>
        <v>17.084502082316725</v>
      </c>
      <c r="CG308" s="1018">
        <f t="shared" ca="1" si="385"/>
        <v>28445.012586974055</v>
      </c>
    </row>
    <row r="309" spans="4:85" x14ac:dyDescent="0.25">
      <c r="D309" s="703"/>
      <c r="E309" s="702"/>
      <c r="F309" s="703"/>
      <c r="G309" s="702"/>
      <c r="H309" s="703"/>
      <c r="I309" s="702"/>
      <c r="J309" s="708"/>
      <c r="K309" s="703"/>
      <c r="L309" s="703"/>
      <c r="M309" s="703"/>
      <c r="N309" s="703"/>
      <c r="O309" s="703"/>
      <c r="P309" s="703"/>
      <c r="Q309" s="703" t="s">
        <v>16</v>
      </c>
      <c r="R309" s="705">
        <v>0.92569999999999997</v>
      </c>
      <c r="S309" s="703"/>
      <c r="T309" s="713">
        <v>1.3211217519221331E-4</v>
      </c>
      <c r="U309" s="702"/>
      <c r="V309" s="176">
        <f t="shared" si="386"/>
        <v>1.3211217519221331E-4</v>
      </c>
      <c r="W309" s="176">
        <f t="shared" si="441"/>
        <v>1.3211217519221331E-4</v>
      </c>
      <c r="X309" s="176">
        <f t="shared" si="441"/>
        <v>1.3211217519221331E-4</v>
      </c>
      <c r="Y309" s="34">
        <f>X309/Calculation_sheet!M$67</f>
        <v>1.3211487641437832E-4</v>
      </c>
      <c r="Z309" s="176">
        <f ca="1">IF(AN309&gt;0,Y309*Calculation_sheet!C$87,0)</f>
        <v>0</v>
      </c>
      <c r="AA309" s="176">
        <f t="shared" ca="1" si="377"/>
        <v>1.3211487641437832E-4</v>
      </c>
      <c r="AB309" s="176">
        <f ca="1">IF(AP309&gt;0,AA309*Calculation_sheet!C$94,0)</f>
        <v>0</v>
      </c>
      <c r="AC309" s="176">
        <f t="shared" ca="1" si="430"/>
        <v>1.3211487641437832E-4</v>
      </c>
      <c r="AD309" s="958">
        <f ca="1">AC309*Calculation_sheet!C$99</f>
        <v>7.9268925848626986E-5</v>
      </c>
      <c r="AE309" s="176">
        <f t="shared" ca="1" si="430"/>
        <v>5.2845950565751329E-5</v>
      </c>
      <c r="AF309" s="176">
        <f t="shared" ca="1" si="400"/>
        <v>1.3211487641437832E-4</v>
      </c>
      <c r="AG309" s="958">
        <f ca="1">AF309*User_sheet!B$77/100</f>
        <v>0</v>
      </c>
      <c r="AH309" s="313"/>
      <c r="AI309">
        <v>303</v>
      </c>
      <c r="AK309" s="1018">
        <f t="shared" ca="1" si="380"/>
        <v>419.50550346878219</v>
      </c>
      <c r="AL309" s="924">
        <f ca="1">AK309/'303'!I$24</f>
        <v>1.1504333017106327</v>
      </c>
      <c r="AM309" s="924">
        <f ca="1">0.8*(AK309*30+'303'!D$17*0.34*30*1)</f>
        <v>18064.932083250776</v>
      </c>
      <c r="AN309" s="954">
        <f ca="1">IF(AM309&lt;User_sheet!B$50,Y309,0)</f>
        <v>0</v>
      </c>
      <c r="AO309" s="954">
        <f ca="1">20-(User_sheet!B$57/(AK309+'303'!D$17*1*0.34))</f>
        <v>12.42731722601733</v>
      </c>
      <c r="AP309" s="954">
        <f ca="1">IF(AO309&lt;User_sheet!B$59,0,BC309*AA309)</f>
        <v>1.3211487641437832E-4</v>
      </c>
      <c r="AR309" s="2">
        <v>0.32</v>
      </c>
      <c r="AS309" s="1020">
        <v>2.41</v>
      </c>
      <c r="AT309" s="2">
        <v>1.42</v>
      </c>
      <c r="AU309" s="2">
        <v>2.75</v>
      </c>
      <c r="AV309" s="2">
        <v>3.3</v>
      </c>
      <c r="AW309" s="2">
        <v>12257.141193582425</v>
      </c>
      <c r="AX309" s="2">
        <v>75945.51234133933</v>
      </c>
      <c r="AY309" s="2">
        <v>62673.095488422703</v>
      </c>
      <c r="AZ309" s="2">
        <v>0</v>
      </c>
      <c r="BA309" s="2">
        <v>0</v>
      </c>
      <c r="BB309" s="2">
        <v>0.6</v>
      </c>
      <c r="BC309" s="30">
        <v>1</v>
      </c>
      <c r="BD309" s="34">
        <v>0</v>
      </c>
      <c r="BE309" s="34">
        <v>0</v>
      </c>
      <c r="BF309" s="40">
        <v>0</v>
      </c>
      <c r="BG309" s="2">
        <v>0</v>
      </c>
      <c r="BH309" s="2">
        <v>1</v>
      </c>
      <c r="BI309" s="40">
        <v>0</v>
      </c>
      <c r="BJ309" s="2">
        <v>1</v>
      </c>
      <c r="BK309" s="2">
        <v>0</v>
      </c>
      <c r="BL309" s="2">
        <v>0</v>
      </c>
      <c r="BM309" s="40">
        <v>0</v>
      </c>
      <c r="BN309" s="958">
        <v>0.1</v>
      </c>
      <c r="BO309" s="959">
        <v>14.1</v>
      </c>
      <c r="BP309" s="1018">
        <f t="shared" ca="1" si="431"/>
        <v>350</v>
      </c>
      <c r="BQ309" s="1018">
        <f t="shared" ca="1" si="432"/>
        <v>764.40000000000009</v>
      </c>
      <c r="BR309" s="1018">
        <f t="shared" ca="1" si="433"/>
        <v>105</v>
      </c>
      <c r="BS309" s="1018">
        <f t="shared" ca="1" si="434"/>
        <v>112.64999999999998</v>
      </c>
      <c r="BT309" s="1018">
        <f t="shared" ca="1" si="435"/>
        <v>105</v>
      </c>
      <c r="BU309" s="1018">
        <f t="shared" ca="1" si="436"/>
        <v>42</v>
      </c>
      <c r="BV309" s="1018">
        <f t="shared" ca="1" si="437"/>
        <v>2.15</v>
      </c>
      <c r="BW309" s="1018">
        <v>0</v>
      </c>
      <c r="BX309" s="1018">
        <f t="shared" ca="1" si="438"/>
        <v>31.834259727134924</v>
      </c>
      <c r="BY309" s="1018">
        <f t="shared" ca="1" si="439"/>
        <v>191.4933461864008</v>
      </c>
      <c r="BZ309" s="1018">
        <f t="shared" ca="1" si="381"/>
        <v>39.484538840145518</v>
      </c>
      <c r="CA309" s="1018">
        <f t="shared" ca="1" si="382"/>
        <v>115.49999993647498</v>
      </c>
      <c r="CB309" s="1018">
        <f t="shared" ca="1" si="440"/>
        <v>4.5133587786259541</v>
      </c>
      <c r="CC309" s="1018">
        <f t="shared" si="383"/>
        <v>0</v>
      </c>
      <c r="CD309" s="1018">
        <f t="shared" ca="1" si="442"/>
        <v>419.50550346878219</v>
      </c>
      <c r="CE309" s="1018">
        <f t="shared" ca="1" si="398"/>
        <v>149.97789927510865</v>
      </c>
      <c r="CF309" s="1018">
        <f t="shared" ca="1" si="384"/>
        <v>17.084502082316725</v>
      </c>
      <c r="CG309" s="1018">
        <f t="shared" ca="1" si="385"/>
        <v>28445.012586974055</v>
      </c>
    </row>
    <row r="310" spans="4:85" x14ac:dyDescent="0.25">
      <c r="D310" s="703"/>
      <c r="E310" s="702"/>
      <c r="F310" s="703"/>
      <c r="G310" s="702"/>
      <c r="H310" s="703"/>
      <c r="I310" s="702"/>
      <c r="J310" s="708"/>
      <c r="K310" s="703"/>
      <c r="L310" s="703"/>
      <c r="M310" s="703" t="s">
        <v>16</v>
      </c>
      <c r="N310" s="705">
        <v>0.41099999999999998</v>
      </c>
      <c r="O310" s="703" t="s">
        <v>19</v>
      </c>
      <c r="P310" s="705">
        <v>0.108433735</v>
      </c>
      <c r="Q310" s="703" t="s">
        <v>7</v>
      </c>
      <c r="R310" s="705">
        <v>7.4300000000000005E-2</v>
      </c>
      <c r="S310" s="703"/>
      <c r="T310" s="713">
        <v>1.0603796712521822E-5</v>
      </c>
      <c r="U310" s="702"/>
      <c r="V310" s="176">
        <f t="shared" si="386"/>
        <v>1.0603796712521822E-5</v>
      </c>
      <c r="W310" s="176">
        <f t="shared" si="441"/>
        <v>1.0603796712521822E-5</v>
      </c>
      <c r="X310" s="176">
        <f t="shared" si="441"/>
        <v>1.0603796712521822E-5</v>
      </c>
      <c r="Y310" s="34">
        <f>X310/Calculation_sheet!M$67</f>
        <v>1.0604013522294814E-5</v>
      </c>
      <c r="Z310" s="176">
        <f ca="1">IF(AN310&gt;0,Y310*Calculation_sheet!C$87,0)</f>
        <v>0</v>
      </c>
      <c r="AA310" s="176">
        <f t="shared" ca="1" si="377"/>
        <v>1.0604013522294814E-5</v>
      </c>
      <c r="AB310" s="176">
        <f ca="1">IF(AP310&gt;0,AA310*Calculation_sheet!C$94,0)</f>
        <v>0</v>
      </c>
      <c r="AC310" s="176">
        <f t="shared" ca="1" si="430"/>
        <v>1.0604013522294814E-5</v>
      </c>
      <c r="AD310" s="958">
        <f ca="1">AC310*Calculation_sheet!C$99</f>
        <v>6.3624081133768885E-6</v>
      </c>
      <c r="AE310" s="176">
        <f t="shared" ca="1" si="430"/>
        <v>4.2416054089179257E-6</v>
      </c>
      <c r="AF310" s="176">
        <f t="shared" ca="1" si="400"/>
        <v>1.0604013522294814E-5</v>
      </c>
      <c r="AG310" s="958">
        <f ca="1">AF310*User_sheet!B$77/100</f>
        <v>0</v>
      </c>
      <c r="AH310" s="313"/>
      <c r="AI310">
        <v>303</v>
      </c>
      <c r="AK310" s="1018">
        <f t="shared" ca="1" si="380"/>
        <v>419.50550346878219</v>
      </c>
      <c r="AL310" s="924">
        <f ca="1">AK310/'303'!I$24</f>
        <v>1.1504333017106327</v>
      </c>
      <c r="AM310" s="924">
        <f ca="1">0.8*(AK310*30+'303'!D$17*0.34*30*1)</f>
        <v>18064.932083250776</v>
      </c>
      <c r="AN310" s="954">
        <f ca="1">IF(AM310&lt;User_sheet!B$50,Y310,0)</f>
        <v>0</v>
      </c>
      <c r="AO310" s="954">
        <f ca="1">20-(User_sheet!B$57/(AK310+'303'!D$17*1*0.34))</f>
        <v>12.42731722601733</v>
      </c>
      <c r="AP310" s="954">
        <f ca="1">IF(AO310&lt;User_sheet!B$59,0,BC310*AA310)</f>
        <v>1.0604013522294814E-5</v>
      </c>
      <c r="AR310" s="2">
        <v>0.32</v>
      </c>
      <c r="AS310" s="1020">
        <v>2.41</v>
      </c>
      <c r="AT310" s="2">
        <v>1.42</v>
      </c>
      <c r="AU310" s="2">
        <v>2.75</v>
      </c>
      <c r="AV310" s="2">
        <v>3.3</v>
      </c>
      <c r="AW310" s="2">
        <v>12257.141193582425</v>
      </c>
      <c r="AX310" s="2">
        <v>75945.51234133933</v>
      </c>
      <c r="AY310" s="2">
        <v>62673.095488422703</v>
      </c>
      <c r="AZ310" s="2">
        <v>0</v>
      </c>
      <c r="BA310" s="2">
        <v>0</v>
      </c>
      <c r="BB310" s="2">
        <v>0.6</v>
      </c>
      <c r="BC310" s="30">
        <v>1</v>
      </c>
      <c r="BD310" s="34">
        <v>0</v>
      </c>
      <c r="BE310" s="34">
        <v>0</v>
      </c>
      <c r="BF310" s="40">
        <v>0</v>
      </c>
      <c r="BG310" s="2">
        <v>0</v>
      </c>
      <c r="BH310" s="2">
        <v>1</v>
      </c>
      <c r="BI310" s="40">
        <v>0</v>
      </c>
      <c r="BJ310" s="2">
        <v>0</v>
      </c>
      <c r="BK310" s="2">
        <v>0</v>
      </c>
      <c r="BL310" s="2">
        <v>1</v>
      </c>
      <c r="BM310" s="40">
        <v>0</v>
      </c>
      <c r="BN310" s="958">
        <v>0.1</v>
      </c>
      <c r="BO310" s="959">
        <v>14.1</v>
      </c>
      <c r="BP310" s="1018">
        <f t="shared" ca="1" si="431"/>
        <v>350</v>
      </c>
      <c r="BQ310" s="1018">
        <f t="shared" ca="1" si="432"/>
        <v>764.40000000000009</v>
      </c>
      <c r="BR310" s="1018">
        <f t="shared" ca="1" si="433"/>
        <v>105</v>
      </c>
      <c r="BS310" s="1018">
        <f t="shared" ca="1" si="434"/>
        <v>112.64999999999998</v>
      </c>
      <c r="BT310" s="1018">
        <f t="shared" ca="1" si="435"/>
        <v>105</v>
      </c>
      <c r="BU310" s="1018">
        <f t="shared" ca="1" si="436"/>
        <v>42</v>
      </c>
      <c r="BV310" s="1018">
        <f t="shared" ca="1" si="437"/>
        <v>2.15</v>
      </c>
      <c r="BW310" s="1018">
        <v>0</v>
      </c>
      <c r="BX310" s="1018">
        <f t="shared" ca="1" si="438"/>
        <v>31.834259727134924</v>
      </c>
      <c r="BY310" s="1018">
        <f t="shared" ca="1" si="439"/>
        <v>191.4933461864008</v>
      </c>
      <c r="BZ310" s="1018">
        <f t="shared" ca="1" si="381"/>
        <v>39.484538840145518</v>
      </c>
      <c r="CA310" s="1018">
        <f t="shared" ca="1" si="382"/>
        <v>115.49999993647498</v>
      </c>
      <c r="CB310" s="1018">
        <f t="shared" ca="1" si="440"/>
        <v>4.5133587786259541</v>
      </c>
      <c r="CC310" s="1018">
        <f t="shared" si="383"/>
        <v>0</v>
      </c>
      <c r="CD310" s="1018">
        <f t="shared" ca="1" si="442"/>
        <v>419.50550346878219</v>
      </c>
      <c r="CE310" s="1018">
        <f t="shared" ca="1" si="398"/>
        <v>149.97789927510865</v>
      </c>
      <c r="CF310" s="1018">
        <f t="shared" ca="1" si="384"/>
        <v>17.084502082316725</v>
      </c>
      <c r="CG310" s="1018">
        <f t="shared" ca="1" si="385"/>
        <v>28445.012586974055</v>
      </c>
    </row>
    <row r="311" spans="4:85" x14ac:dyDescent="0.25">
      <c r="D311" s="703"/>
      <c r="E311" s="702"/>
      <c r="F311" s="703"/>
      <c r="G311" s="702"/>
      <c r="H311" s="703"/>
      <c r="I311" s="702"/>
      <c r="J311" s="708"/>
      <c r="K311" s="703"/>
      <c r="L311" s="703"/>
      <c r="M311" s="703"/>
      <c r="N311" s="703"/>
      <c r="O311" s="703"/>
      <c r="P311" s="703"/>
      <c r="Q311" s="703" t="s">
        <v>22</v>
      </c>
      <c r="R311" s="705">
        <v>0.60750000000000004</v>
      </c>
      <c r="S311" s="703"/>
      <c r="T311" s="713">
        <v>8.6314244739959264E-4</v>
      </c>
      <c r="U311" s="702"/>
      <c r="V311" s="176">
        <f t="shared" si="386"/>
        <v>8.6314244739959264E-4</v>
      </c>
      <c r="W311" s="176">
        <f t="shared" si="441"/>
        <v>8.6314244739959264E-4</v>
      </c>
      <c r="X311" s="176">
        <f t="shared" si="441"/>
        <v>8.6314244739959264E-4</v>
      </c>
      <c r="Y311" s="34">
        <f>X311/Calculation_sheet!M$67</f>
        <v>8.6316009558006564E-4</v>
      </c>
      <c r="Z311" s="176">
        <f ca="1">IF(AN311&gt;0,Y311*Calculation_sheet!C$87,0)</f>
        <v>0</v>
      </c>
      <c r="AA311" s="176">
        <f t="shared" ca="1" si="377"/>
        <v>8.6316009558006564E-4</v>
      </c>
      <c r="AB311" s="176">
        <f ca="1">IF(AP311&gt;0,AA311*Calculation_sheet!C$94,0)</f>
        <v>0</v>
      </c>
      <c r="AC311" s="176">
        <f t="shared" ca="1" si="430"/>
        <v>8.6316009558006564E-4</v>
      </c>
      <c r="AD311" s="958">
        <f ca="1">AC311*Calculation_sheet!C$99</f>
        <v>5.1789605734803941E-4</v>
      </c>
      <c r="AE311" s="176">
        <f t="shared" ca="1" si="430"/>
        <v>3.4526403823202623E-4</v>
      </c>
      <c r="AF311" s="176">
        <f t="shared" ca="1" si="400"/>
        <v>8.6316009558006564E-4</v>
      </c>
      <c r="AG311" s="958">
        <f ca="1">AF311*User_sheet!B$77/100</f>
        <v>0</v>
      </c>
      <c r="AH311" s="313"/>
      <c r="AI311">
        <v>303</v>
      </c>
      <c r="AK311" s="1018">
        <f t="shared" ca="1" si="380"/>
        <v>419.50550346878219</v>
      </c>
      <c r="AL311" s="924">
        <f ca="1">AK311/'303'!I$24</f>
        <v>1.1504333017106327</v>
      </c>
      <c r="AM311" s="924">
        <f ca="1">0.8*(AK311*30+'303'!D$17*0.34*30*1)</f>
        <v>18064.932083250776</v>
      </c>
      <c r="AN311" s="954">
        <f ca="1">IF(AM311&lt;User_sheet!B$50,Y311,0)</f>
        <v>0</v>
      </c>
      <c r="AO311" s="954">
        <f ca="1">20-(User_sheet!B$57/(AK311+'303'!D$17*1*0.34))</f>
        <v>12.42731722601733</v>
      </c>
      <c r="AP311" s="954">
        <f ca="1">IF(AO311&lt;User_sheet!B$59,0,BC311*AA311)</f>
        <v>0</v>
      </c>
      <c r="AR311" s="2">
        <v>0.32</v>
      </c>
      <c r="AS311" s="1020">
        <v>2.41</v>
      </c>
      <c r="AT311" s="2">
        <v>1.42</v>
      </c>
      <c r="AU311" s="2">
        <v>2.75</v>
      </c>
      <c r="AV311" s="2">
        <v>3.3</v>
      </c>
      <c r="AW311" s="2">
        <v>12257.141193582425</v>
      </c>
      <c r="AX311" s="2">
        <v>75945.51234133933</v>
      </c>
      <c r="AY311" s="2">
        <v>62673.095488422703</v>
      </c>
      <c r="AZ311" s="2">
        <v>0</v>
      </c>
      <c r="BA311" s="2">
        <v>0</v>
      </c>
      <c r="BB311" s="2">
        <v>0.6</v>
      </c>
      <c r="BC311" s="30">
        <v>0</v>
      </c>
      <c r="BD311" s="34">
        <v>1</v>
      </c>
      <c r="BE311" s="34">
        <v>0</v>
      </c>
      <c r="BF311" s="40">
        <v>0</v>
      </c>
      <c r="BG311" s="2">
        <v>1</v>
      </c>
      <c r="BH311" s="2">
        <v>0</v>
      </c>
      <c r="BI311" s="40">
        <v>0</v>
      </c>
      <c r="BJ311" s="2">
        <v>0</v>
      </c>
      <c r="BK311" s="2">
        <v>1</v>
      </c>
      <c r="BL311" s="2">
        <v>0</v>
      </c>
      <c r="BM311" s="40">
        <v>0</v>
      </c>
      <c r="BN311" s="958">
        <v>0.1</v>
      </c>
      <c r="BO311" s="959">
        <v>14.1</v>
      </c>
      <c r="BP311" s="1018">
        <f t="shared" ca="1" si="431"/>
        <v>350</v>
      </c>
      <c r="BQ311" s="1018">
        <f t="shared" ca="1" si="432"/>
        <v>764.40000000000009</v>
      </c>
      <c r="BR311" s="1018">
        <f t="shared" ca="1" si="433"/>
        <v>105</v>
      </c>
      <c r="BS311" s="1018">
        <f t="shared" ca="1" si="434"/>
        <v>112.64999999999998</v>
      </c>
      <c r="BT311" s="1018">
        <f t="shared" ca="1" si="435"/>
        <v>105</v>
      </c>
      <c r="BU311" s="1018">
        <f t="shared" ca="1" si="436"/>
        <v>42</v>
      </c>
      <c r="BV311" s="1018">
        <f t="shared" ca="1" si="437"/>
        <v>2.15</v>
      </c>
      <c r="BW311" s="1018">
        <v>0</v>
      </c>
      <c r="BX311" s="1018">
        <f t="shared" ca="1" si="438"/>
        <v>31.834259727134924</v>
      </c>
      <c r="BY311" s="1018">
        <f t="shared" ca="1" si="439"/>
        <v>191.4933461864008</v>
      </c>
      <c r="BZ311" s="1018">
        <f t="shared" ca="1" si="381"/>
        <v>39.484538840145518</v>
      </c>
      <c r="CA311" s="1018">
        <f t="shared" ca="1" si="382"/>
        <v>115.49999993647498</v>
      </c>
      <c r="CB311" s="1018">
        <f t="shared" ca="1" si="440"/>
        <v>4.5133587786259541</v>
      </c>
      <c r="CC311" s="1018">
        <f t="shared" si="383"/>
        <v>0</v>
      </c>
      <c r="CD311" s="1018">
        <f t="shared" ca="1" si="442"/>
        <v>419.50550346878219</v>
      </c>
      <c r="CE311" s="1018">
        <f t="shared" ca="1" si="398"/>
        <v>149.97789927510865</v>
      </c>
      <c r="CF311" s="1018">
        <f t="shared" ca="1" si="384"/>
        <v>17.084502082316725</v>
      </c>
      <c r="CG311" s="1018">
        <f t="shared" ca="1" si="385"/>
        <v>28445.012586974055</v>
      </c>
    </row>
    <row r="312" spans="4:85" x14ac:dyDescent="0.25">
      <c r="D312" s="703"/>
      <c r="E312" s="702"/>
      <c r="F312" s="703"/>
      <c r="G312" s="702"/>
      <c r="H312" s="703"/>
      <c r="I312" s="702"/>
      <c r="J312" s="708"/>
      <c r="K312" s="703"/>
      <c r="L312" s="703"/>
      <c r="M312" s="703"/>
      <c r="N312" s="703"/>
      <c r="O312" s="703" t="s">
        <v>18</v>
      </c>
      <c r="P312" s="705">
        <v>0.94399999999999995</v>
      </c>
      <c r="Q312" s="703" t="s">
        <v>7</v>
      </c>
      <c r="R312" s="705">
        <v>0.39250000000000002</v>
      </c>
      <c r="S312" s="703"/>
      <c r="T312" s="713">
        <v>5.5766816560385223E-4</v>
      </c>
      <c r="U312" s="702"/>
      <c r="V312" s="176">
        <f t="shared" si="386"/>
        <v>5.5766816560385223E-4</v>
      </c>
      <c r="W312" s="176">
        <f t="shared" si="441"/>
        <v>5.5766816560385223E-4</v>
      </c>
      <c r="X312" s="176">
        <f t="shared" si="441"/>
        <v>5.5766816560385223E-4</v>
      </c>
      <c r="Y312" s="34">
        <f>X312/Calculation_sheet!M$67</f>
        <v>5.5767956792621544E-4</v>
      </c>
      <c r="Z312" s="176">
        <f ca="1">IF(AN312&gt;0,Y312*Calculation_sheet!C$87,0)</f>
        <v>0</v>
      </c>
      <c r="AA312" s="176">
        <f t="shared" ca="1" si="377"/>
        <v>5.5767956792621544E-4</v>
      </c>
      <c r="AB312" s="176">
        <f ca="1">IF(AP312&gt;0,AA312*Calculation_sheet!C$94,0)</f>
        <v>0</v>
      </c>
      <c r="AC312" s="176">
        <f t="shared" ca="1" si="430"/>
        <v>5.5767956792621544E-4</v>
      </c>
      <c r="AD312" s="958">
        <f ca="1">AC312*Calculation_sheet!C$99</f>
        <v>3.3460774075572927E-4</v>
      </c>
      <c r="AE312" s="176">
        <f t="shared" ca="1" si="430"/>
        <v>2.2307182717048616E-4</v>
      </c>
      <c r="AF312" s="176">
        <f t="shared" ca="1" si="400"/>
        <v>5.5767956792621544E-4</v>
      </c>
      <c r="AG312" s="958">
        <f ca="1">AF312*User_sheet!B$77/100</f>
        <v>0</v>
      </c>
      <c r="AH312" s="313"/>
      <c r="AI312">
        <v>303</v>
      </c>
      <c r="AK312" s="1018">
        <f t="shared" ca="1" si="380"/>
        <v>419.50550346878219</v>
      </c>
      <c r="AL312" s="924">
        <f ca="1">AK312/'303'!I$24</f>
        <v>1.1504333017106327</v>
      </c>
      <c r="AM312" s="924">
        <f ca="1">0.8*(AK312*30+'303'!D$17*0.34*30*1)</f>
        <v>18064.932083250776</v>
      </c>
      <c r="AN312" s="954">
        <f ca="1">IF(AM312&lt;User_sheet!B$50,Y312,0)</f>
        <v>0</v>
      </c>
      <c r="AO312" s="954">
        <f ca="1">20-(User_sheet!B$57/(AK312+'303'!D$17*1*0.34))</f>
        <v>12.42731722601733</v>
      </c>
      <c r="AP312" s="954">
        <f ca="1">IF(AO312&lt;User_sheet!B$59,0,BC312*AA312)</f>
        <v>0</v>
      </c>
      <c r="AR312" s="2">
        <v>0.32</v>
      </c>
      <c r="AS312" s="1020">
        <v>2.41</v>
      </c>
      <c r="AT312" s="2">
        <v>1.42</v>
      </c>
      <c r="AU312" s="2">
        <v>2.75</v>
      </c>
      <c r="AV312" s="2">
        <v>3.3</v>
      </c>
      <c r="AW312" s="2">
        <v>12257.141193582425</v>
      </c>
      <c r="AX312" s="2">
        <v>75945.51234133933</v>
      </c>
      <c r="AY312" s="2">
        <v>62673.095488422703</v>
      </c>
      <c r="AZ312" s="2">
        <v>0</v>
      </c>
      <c r="BA312" s="2">
        <v>0</v>
      </c>
      <c r="BB312" s="2">
        <v>0.6</v>
      </c>
      <c r="BC312" s="30">
        <v>0</v>
      </c>
      <c r="BD312" s="34">
        <v>1</v>
      </c>
      <c r="BE312" s="34">
        <v>0</v>
      </c>
      <c r="BF312" s="40">
        <v>0</v>
      </c>
      <c r="BG312" s="2">
        <v>1</v>
      </c>
      <c r="BH312" s="2">
        <v>0</v>
      </c>
      <c r="BI312" s="40">
        <v>0</v>
      </c>
      <c r="BJ312" s="2">
        <v>0</v>
      </c>
      <c r="BK312" s="2">
        <v>0</v>
      </c>
      <c r="BL312" s="2">
        <v>1</v>
      </c>
      <c r="BM312" s="40">
        <v>0</v>
      </c>
      <c r="BN312" s="958">
        <v>0.1</v>
      </c>
      <c r="BO312" s="959">
        <v>14.1</v>
      </c>
      <c r="BP312" s="1018">
        <f t="shared" ca="1" si="431"/>
        <v>350</v>
      </c>
      <c r="BQ312" s="1018">
        <f t="shared" ca="1" si="432"/>
        <v>764.40000000000009</v>
      </c>
      <c r="BR312" s="1018">
        <f t="shared" ca="1" si="433"/>
        <v>105</v>
      </c>
      <c r="BS312" s="1018">
        <f t="shared" ca="1" si="434"/>
        <v>112.64999999999998</v>
      </c>
      <c r="BT312" s="1018">
        <f t="shared" ca="1" si="435"/>
        <v>105</v>
      </c>
      <c r="BU312" s="1018">
        <f t="shared" ca="1" si="436"/>
        <v>42</v>
      </c>
      <c r="BV312" s="1018">
        <f t="shared" ca="1" si="437"/>
        <v>2.15</v>
      </c>
      <c r="BW312" s="1018">
        <v>0</v>
      </c>
      <c r="BX312" s="1018">
        <f t="shared" ca="1" si="438"/>
        <v>31.834259727134924</v>
      </c>
      <c r="BY312" s="1018">
        <f t="shared" ca="1" si="439"/>
        <v>191.4933461864008</v>
      </c>
      <c r="BZ312" s="1018">
        <f t="shared" ca="1" si="381"/>
        <v>39.484538840145518</v>
      </c>
      <c r="CA312" s="1018">
        <f t="shared" ca="1" si="382"/>
        <v>115.49999993647498</v>
      </c>
      <c r="CB312" s="1018">
        <f t="shared" ca="1" si="440"/>
        <v>4.5133587786259541</v>
      </c>
      <c r="CC312" s="1018">
        <f t="shared" si="383"/>
        <v>0</v>
      </c>
      <c r="CD312" s="1018">
        <f t="shared" ca="1" si="442"/>
        <v>419.50550346878219</v>
      </c>
      <c r="CE312" s="1018">
        <f t="shared" ca="1" si="398"/>
        <v>149.97789927510865</v>
      </c>
      <c r="CF312" s="1018">
        <f t="shared" ca="1" si="384"/>
        <v>17.084502082316725</v>
      </c>
      <c r="CG312" s="1018">
        <f t="shared" ca="1" si="385"/>
        <v>28445.012586974055</v>
      </c>
    </row>
    <row r="313" spans="4:85" x14ac:dyDescent="0.25">
      <c r="D313" s="703"/>
      <c r="E313" s="702"/>
      <c r="F313" s="703"/>
      <c r="G313" s="702"/>
      <c r="H313" s="703"/>
      <c r="I313" s="702"/>
      <c r="J313" s="708"/>
      <c r="K313" s="703"/>
      <c r="L313" s="703"/>
      <c r="M313" s="703"/>
      <c r="N313" s="703"/>
      <c r="O313" s="703"/>
      <c r="P313" s="703"/>
      <c r="Q313" s="703" t="s">
        <v>22</v>
      </c>
      <c r="R313" s="705">
        <v>0.39250000000000002</v>
      </c>
      <c r="S313" s="703"/>
      <c r="T313" s="713">
        <v>3.3082009823957334E-5</v>
      </c>
      <c r="U313" s="702"/>
      <c r="V313" s="176">
        <f t="shared" si="386"/>
        <v>3.3082009823957334E-5</v>
      </c>
      <c r="W313" s="176">
        <f t="shared" si="441"/>
        <v>3.3082009823957334E-5</v>
      </c>
      <c r="X313" s="176">
        <f t="shared" si="441"/>
        <v>3.3082009823957334E-5</v>
      </c>
      <c r="Y313" s="34">
        <f>X313/Calculation_sheet!M$67</f>
        <v>3.3082686232911085E-5</v>
      </c>
      <c r="Z313" s="176">
        <f ca="1">IF(AN313&gt;0,Y313*Calculation_sheet!C$87,0)</f>
        <v>0</v>
      </c>
      <c r="AA313" s="176">
        <f t="shared" ca="1" si="377"/>
        <v>3.3082686232911085E-5</v>
      </c>
      <c r="AB313" s="176">
        <f ca="1">IF(AP313&gt;0,AA313*Calculation_sheet!C$94,0)</f>
        <v>0</v>
      </c>
      <c r="AC313" s="176">
        <f t="shared" ca="1" si="430"/>
        <v>3.3082686232911085E-5</v>
      </c>
      <c r="AD313" s="958">
        <f ca="1">AC313*Calculation_sheet!C$99</f>
        <v>1.984961173974665E-5</v>
      </c>
      <c r="AE313" s="176">
        <f t="shared" ca="1" si="430"/>
        <v>1.3233074493164435E-5</v>
      </c>
      <c r="AF313" s="176">
        <f t="shared" ca="1" si="400"/>
        <v>3.3082686232911085E-5</v>
      </c>
      <c r="AG313" s="958">
        <f ca="1">AF313*User_sheet!B$77/100</f>
        <v>0</v>
      </c>
      <c r="AH313" s="313"/>
      <c r="AI313">
        <v>303</v>
      </c>
      <c r="AK313" s="1018">
        <f t="shared" ca="1" si="380"/>
        <v>419.50550346878219</v>
      </c>
      <c r="AL313" s="924">
        <f ca="1">AK313/'303'!I$24</f>
        <v>1.1504333017106327</v>
      </c>
      <c r="AM313" s="924">
        <f ca="1">0.8*(AK313*30+'303'!D$17*0.34*30*1)</f>
        <v>18064.932083250776</v>
      </c>
      <c r="AN313" s="954">
        <f ca="1">IF(AM313&lt;User_sheet!B$50,Y313,0)</f>
        <v>0</v>
      </c>
      <c r="AO313" s="954">
        <f ca="1">20-(User_sheet!B$57/(AK313+'303'!D$17*1*0.34))</f>
        <v>12.42731722601733</v>
      </c>
      <c r="AP313" s="954">
        <f ca="1">IF(AO313&lt;User_sheet!B$59,0,BC313*AA313)</f>
        <v>0</v>
      </c>
      <c r="AR313" s="2">
        <v>0.32</v>
      </c>
      <c r="AS313" s="1020">
        <v>2.41</v>
      </c>
      <c r="AT313" s="2">
        <v>1.42</v>
      </c>
      <c r="AU313" s="2">
        <v>2.75</v>
      </c>
      <c r="AV313" s="2">
        <v>3.3</v>
      </c>
      <c r="AW313" s="2">
        <v>12257.141193582425</v>
      </c>
      <c r="AX313" s="2">
        <v>75945.51234133933</v>
      </c>
      <c r="AY313" s="2">
        <v>62673.095488422703</v>
      </c>
      <c r="AZ313" s="2">
        <v>0</v>
      </c>
      <c r="BA313" s="2">
        <v>0</v>
      </c>
      <c r="BB313" s="2">
        <v>0.6</v>
      </c>
      <c r="BC313" s="30">
        <v>0</v>
      </c>
      <c r="BD313" s="34">
        <v>1</v>
      </c>
      <c r="BE313" s="34">
        <v>0</v>
      </c>
      <c r="BF313" s="40">
        <v>0</v>
      </c>
      <c r="BG313" s="2">
        <v>0</v>
      </c>
      <c r="BH313" s="2">
        <v>1</v>
      </c>
      <c r="BI313" s="40">
        <v>0</v>
      </c>
      <c r="BJ313" s="2">
        <v>0</v>
      </c>
      <c r="BK313" s="2">
        <v>1</v>
      </c>
      <c r="BL313" s="2">
        <v>0</v>
      </c>
      <c r="BM313" s="40">
        <v>0</v>
      </c>
      <c r="BN313" s="958">
        <v>0.1</v>
      </c>
      <c r="BO313" s="959">
        <v>14.1</v>
      </c>
      <c r="BP313" s="1018">
        <f t="shared" ca="1" si="431"/>
        <v>350</v>
      </c>
      <c r="BQ313" s="1018">
        <f t="shared" ca="1" si="432"/>
        <v>764.40000000000009</v>
      </c>
      <c r="BR313" s="1018">
        <f t="shared" ca="1" si="433"/>
        <v>105</v>
      </c>
      <c r="BS313" s="1018">
        <f t="shared" ca="1" si="434"/>
        <v>112.64999999999998</v>
      </c>
      <c r="BT313" s="1018">
        <f t="shared" ca="1" si="435"/>
        <v>105</v>
      </c>
      <c r="BU313" s="1018">
        <f t="shared" ca="1" si="436"/>
        <v>42</v>
      </c>
      <c r="BV313" s="1018">
        <f t="shared" ca="1" si="437"/>
        <v>2.15</v>
      </c>
      <c r="BW313" s="1018">
        <v>0</v>
      </c>
      <c r="BX313" s="1018">
        <f t="shared" ca="1" si="438"/>
        <v>31.834259727134924</v>
      </c>
      <c r="BY313" s="1018">
        <f t="shared" ca="1" si="439"/>
        <v>191.4933461864008</v>
      </c>
      <c r="BZ313" s="1018">
        <f t="shared" ca="1" si="381"/>
        <v>39.484538840145518</v>
      </c>
      <c r="CA313" s="1018">
        <f t="shared" ca="1" si="382"/>
        <v>115.49999993647498</v>
      </c>
      <c r="CB313" s="1018">
        <f t="shared" ca="1" si="440"/>
        <v>4.5133587786259541</v>
      </c>
      <c r="CC313" s="1018">
        <f t="shared" si="383"/>
        <v>0</v>
      </c>
      <c r="CD313" s="1018">
        <f t="shared" ca="1" si="442"/>
        <v>419.50550346878219</v>
      </c>
      <c r="CE313" s="1018">
        <f t="shared" ca="1" si="398"/>
        <v>149.97789927510865</v>
      </c>
      <c r="CF313" s="1018">
        <f t="shared" ca="1" si="384"/>
        <v>17.084502082316725</v>
      </c>
      <c r="CG313" s="1018">
        <f t="shared" ca="1" si="385"/>
        <v>28445.012586974055</v>
      </c>
    </row>
    <row r="314" spans="4:85" x14ac:dyDescent="0.25">
      <c r="D314" s="703"/>
      <c r="E314" s="702"/>
      <c r="F314" s="703"/>
      <c r="G314" s="702"/>
      <c r="H314" s="703"/>
      <c r="I314" s="702"/>
      <c r="J314" s="703"/>
      <c r="K314" s="703"/>
      <c r="L314" s="703"/>
      <c r="M314" s="703" t="s">
        <v>22</v>
      </c>
      <c r="N314" s="705">
        <v>0.47</v>
      </c>
      <c r="O314" s="703" t="s">
        <v>20</v>
      </c>
      <c r="P314" s="705">
        <v>5.6000000000000001E-2</v>
      </c>
      <c r="Q314" s="703" t="s">
        <v>7</v>
      </c>
      <c r="R314" s="705">
        <v>0.60750000000000004</v>
      </c>
      <c r="S314" s="703"/>
      <c r="T314" s="713">
        <v>5.1203365523704658E-5</v>
      </c>
      <c r="U314" s="702"/>
      <c r="V314" s="176">
        <f t="shared" si="386"/>
        <v>5.1203365523704658E-5</v>
      </c>
      <c r="W314" s="176">
        <f t="shared" si="441"/>
        <v>5.1203365523704658E-5</v>
      </c>
      <c r="X314" s="176">
        <f t="shared" si="441"/>
        <v>5.1203365523704658E-5</v>
      </c>
      <c r="Y314" s="34">
        <f>X314/Calculation_sheet!M$67</f>
        <v>5.1204412449664916E-5</v>
      </c>
      <c r="Z314" s="176">
        <f ca="1">IF(AN314&gt;0,Y314*Calculation_sheet!C$87,0)</f>
        <v>0</v>
      </c>
      <c r="AA314" s="176">
        <f t="shared" ca="1" si="377"/>
        <v>5.1204412449664916E-5</v>
      </c>
      <c r="AB314" s="176">
        <f ca="1">IF(AP314&gt;0,AA314*Calculation_sheet!C$94,0)</f>
        <v>0</v>
      </c>
      <c r="AC314" s="176">
        <f t="shared" ca="1" si="430"/>
        <v>5.1204412449664916E-5</v>
      </c>
      <c r="AD314" s="958">
        <f ca="1">AC314*Calculation_sheet!C$99</f>
        <v>3.0722647469798948E-5</v>
      </c>
      <c r="AE314" s="176">
        <f t="shared" ca="1" si="430"/>
        <v>2.0481764979865968E-5</v>
      </c>
      <c r="AF314" s="176">
        <f t="shared" ca="1" si="400"/>
        <v>5.1204412449664916E-5</v>
      </c>
      <c r="AG314" s="958">
        <f ca="1">AF314*User_sheet!B$77/100</f>
        <v>0</v>
      </c>
      <c r="AH314" s="313"/>
      <c r="AI314">
        <v>303</v>
      </c>
      <c r="AK314" s="1018">
        <f t="shared" ca="1" si="380"/>
        <v>419.50550346878219</v>
      </c>
      <c r="AL314" s="924">
        <f ca="1">AK314/'303'!I$24</f>
        <v>1.1504333017106327</v>
      </c>
      <c r="AM314" s="924">
        <f ca="1">0.8*(AK314*30+'303'!D$17*0.34*30*1)</f>
        <v>18064.932083250776</v>
      </c>
      <c r="AN314" s="954">
        <f ca="1">IF(AM314&lt;User_sheet!B$50,Y314,0)</f>
        <v>0</v>
      </c>
      <c r="AO314" s="954">
        <f ca="1">20-(User_sheet!B$57/(AK314+'303'!D$17*1*0.34))</f>
        <v>12.42731722601733</v>
      </c>
      <c r="AP314" s="954">
        <f ca="1">IF(AO314&lt;User_sheet!B$59,0,BC314*AA314)</f>
        <v>0</v>
      </c>
      <c r="AR314" s="2">
        <v>0.32</v>
      </c>
      <c r="AS314" s="1020">
        <v>2.41</v>
      </c>
      <c r="AT314" s="2">
        <v>1.42</v>
      </c>
      <c r="AU314" s="2">
        <v>2.75</v>
      </c>
      <c r="AV314" s="2">
        <v>3.3</v>
      </c>
      <c r="AW314" s="2">
        <v>12257.141193582425</v>
      </c>
      <c r="AX314" s="2">
        <v>75945.51234133933</v>
      </c>
      <c r="AY314" s="2">
        <v>62673.095488422703</v>
      </c>
      <c r="AZ314" s="2">
        <v>0</v>
      </c>
      <c r="BA314" s="2">
        <v>0</v>
      </c>
      <c r="BB314" s="2">
        <v>0.6</v>
      </c>
      <c r="BC314" s="30">
        <v>0</v>
      </c>
      <c r="BD314" s="34">
        <v>1</v>
      </c>
      <c r="BE314" s="34">
        <v>0</v>
      </c>
      <c r="BF314" s="40">
        <v>0</v>
      </c>
      <c r="BG314" s="2">
        <v>0</v>
      </c>
      <c r="BH314" s="2">
        <v>1</v>
      </c>
      <c r="BI314" s="40">
        <v>0</v>
      </c>
      <c r="BJ314" s="2">
        <v>0</v>
      </c>
      <c r="BK314" s="2">
        <v>0</v>
      </c>
      <c r="BL314" s="2">
        <v>1</v>
      </c>
      <c r="BM314" s="40">
        <v>0</v>
      </c>
      <c r="BN314" s="958">
        <v>0.1</v>
      </c>
      <c r="BO314" s="959">
        <v>14.1</v>
      </c>
      <c r="BP314" s="1018">
        <f t="shared" ca="1" si="431"/>
        <v>350</v>
      </c>
      <c r="BQ314" s="1018">
        <f t="shared" ca="1" si="432"/>
        <v>764.40000000000009</v>
      </c>
      <c r="BR314" s="1018">
        <f t="shared" ca="1" si="433"/>
        <v>105</v>
      </c>
      <c r="BS314" s="1018">
        <f t="shared" ca="1" si="434"/>
        <v>112.64999999999998</v>
      </c>
      <c r="BT314" s="1018">
        <f t="shared" ca="1" si="435"/>
        <v>105</v>
      </c>
      <c r="BU314" s="1018">
        <f t="shared" ca="1" si="436"/>
        <v>42</v>
      </c>
      <c r="BV314" s="1018">
        <f t="shared" ca="1" si="437"/>
        <v>2.15</v>
      </c>
      <c r="BW314" s="1018">
        <v>0</v>
      </c>
      <c r="BX314" s="1018">
        <f t="shared" ca="1" si="438"/>
        <v>31.834259727134924</v>
      </c>
      <c r="BY314" s="1018">
        <f t="shared" ca="1" si="439"/>
        <v>191.4933461864008</v>
      </c>
      <c r="BZ314" s="1018">
        <f t="shared" ca="1" si="381"/>
        <v>39.484538840145518</v>
      </c>
      <c r="CA314" s="1018">
        <f t="shared" ca="1" si="382"/>
        <v>115.49999993647498</v>
      </c>
      <c r="CB314" s="1018">
        <f t="shared" ca="1" si="440"/>
        <v>4.5133587786259541</v>
      </c>
      <c r="CC314" s="1018">
        <f t="shared" si="383"/>
        <v>0</v>
      </c>
      <c r="CD314" s="1018">
        <f t="shared" ca="1" si="442"/>
        <v>419.50550346878219</v>
      </c>
      <c r="CE314" s="1018">
        <f t="shared" ca="1" si="398"/>
        <v>149.97789927510865</v>
      </c>
      <c r="CF314" s="1018">
        <f t="shared" ca="1" si="384"/>
        <v>17.084502082316725</v>
      </c>
      <c r="CG314" s="1018">
        <f t="shared" ca="1" si="385"/>
        <v>28445.012586974055</v>
      </c>
    </row>
    <row r="315" spans="4:85" x14ac:dyDescent="0.25">
      <c r="D315" s="703"/>
      <c r="E315" s="702"/>
      <c r="F315" s="703"/>
      <c r="G315" s="702"/>
      <c r="H315" s="703"/>
      <c r="I315" s="702"/>
      <c r="J315" s="703"/>
      <c r="K315" s="706" t="s">
        <v>13</v>
      </c>
      <c r="L315" s="707">
        <v>0.9889</v>
      </c>
      <c r="M315" s="703" t="s">
        <v>7</v>
      </c>
      <c r="N315" s="705">
        <v>0.11900000000000005</v>
      </c>
      <c r="O315" s="703" t="s">
        <v>23</v>
      </c>
      <c r="P315" s="705">
        <v>1</v>
      </c>
      <c r="Q315" s="703" t="s">
        <v>7</v>
      </c>
      <c r="R315" s="705">
        <v>1</v>
      </c>
      <c r="S315" s="703"/>
      <c r="T315" s="713">
        <v>3.8107749492293999E-4</v>
      </c>
      <c r="U315" s="702"/>
      <c r="V315" s="176">
        <f t="shared" si="386"/>
        <v>3.8107749492293999E-4</v>
      </c>
      <c r="W315" s="176">
        <f t="shared" si="441"/>
        <v>3.8107749492293999E-4</v>
      </c>
      <c r="X315" s="176">
        <f t="shared" si="441"/>
        <v>3.8107749492293999E-4</v>
      </c>
      <c r="Y315" s="34">
        <f>X315/Calculation_sheet!M$67</f>
        <v>3.810852865967533E-4</v>
      </c>
      <c r="Z315" s="176">
        <f ca="1">IF(AN315&gt;0,Y315*Calculation_sheet!C$87,0)</f>
        <v>0</v>
      </c>
      <c r="AA315" s="176">
        <f t="shared" ca="1" si="377"/>
        <v>3.810852865967533E-4</v>
      </c>
      <c r="AB315" s="176">
        <f ca="1">IF(AP315&gt;0,AA315*Calculation_sheet!C$94,0)</f>
        <v>0</v>
      </c>
      <c r="AC315" s="176">
        <f t="shared" ca="1" si="430"/>
        <v>3.810852865967533E-4</v>
      </c>
      <c r="AD315" s="958">
        <f ca="1">AC315*Calculation_sheet!C$99</f>
        <v>2.2865117195805198E-4</v>
      </c>
      <c r="AE315" s="176">
        <f t="shared" ca="1" si="430"/>
        <v>1.5243411463870132E-4</v>
      </c>
      <c r="AF315" s="176">
        <f t="shared" ca="1" si="400"/>
        <v>3.810852865967533E-4</v>
      </c>
      <c r="AG315" s="958">
        <f ca="1">AF315*User_sheet!B$77/100</f>
        <v>0</v>
      </c>
      <c r="AH315" s="313"/>
      <c r="AI315">
        <v>303</v>
      </c>
      <c r="AK315" s="1018">
        <f t="shared" ca="1" si="380"/>
        <v>419.50550346878219</v>
      </c>
      <c r="AL315" s="924">
        <f ca="1">AK315/'303'!I$24</f>
        <v>1.1504333017106327</v>
      </c>
      <c r="AM315" s="924">
        <f ca="1">0.8*(AK315*30+'303'!D$17*0.34*30*1)</f>
        <v>18064.932083250776</v>
      </c>
      <c r="AN315" s="954">
        <f ca="1">IF(AM315&lt;User_sheet!B$50,Y315,0)</f>
        <v>0</v>
      </c>
      <c r="AO315" s="954">
        <f ca="1">20-(User_sheet!B$57/(AK315+'303'!D$17*1*0.34))</f>
        <v>12.42731722601733</v>
      </c>
      <c r="AP315" s="954">
        <f ca="1">IF(AO315&lt;User_sheet!B$59,0,BC315*AA315)</f>
        <v>0</v>
      </c>
      <c r="AR315" s="2">
        <v>0.32</v>
      </c>
      <c r="AS315" s="1020">
        <v>2.41</v>
      </c>
      <c r="AT315" s="2">
        <v>1.42</v>
      </c>
      <c r="AU315" s="2">
        <v>2.75</v>
      </c>
      <c r="AV315" s="2">
        <v>3.3</v>
      </c>
      <c r="AW315" s="2">
        <v>12257.141193582425</v>
      </c>
      <c r="AX315" s="2">
        <v>75945.51234133933</v>
      </c>
      <c r="AY315" s="2">
        <v>62673.095488422703</v>
      </c>
      <c r="AZ315" s="2">
        <v>0</v>
      </c>
      <c r="BA315" s="2">
        <v>0</v>
      </c>
      <c r="BB315" s="2">
        <v>0.6</v>
      </c>
      <c r="BC315" s="30">
        <v>0</v>
      </c>
      <c r="BD315" s="34">
        <v>0</v>
      </c>
      <c r="BE315" s="34">
        <v>1</v>
      </c>
      <c r="BF315" s="40">
        <v>0</v>
      </c>
      <c r="BG315" s="2">
        <v>0</v>
      </c>
      <c r="BH315" s="2">
        <v>0</v>
      </c>
      <c r="BI315" s="40">
        <v>1</v>
      </c>
      <c r="BJ315" s="2">
        <v>0</v>
      </c>
      <c r="BK315" s="2">
        <v>0</v>
      </c>
      <c r="BL315" s="2">
        <v>1</v>
      </c>
      <c r="BM315" s="40">
        <v>0</v>
      </c>
      <c r="BN315" s="958">
        <v>0.1</v>
      </c>
      <c r="BO315" s="959">
        <v>14.1</v>
      </c>
      <c r="BP315" s="1018">
        <f t="shared" ca="1" si="431"/>
        <v>350</v>
      </c>
      <c r="BQ315" s="1018">
        <f t="shared" ca="1" si="432"/>
        <v>764.40000000000009</v>
      </c>
      <c r="BR315" s="1018">
        <f t="shared" ca="1" si="433"/>
        <v>105</v>
      </c>
      <c r="BS315" s="1018">
        <f t="shared" ca="1" si="434"/>
        <v>112.64999999999998</v>
      </c>
      <c r="BT315" s="1018">
        <f t="shared" ca="1" si="435"/>
        <v>105</v>
      </c>
      <c r="BU315" s="1018">
        <f t="shared" ca="1" si="436"/>
        <v>42</v>
      </c>
      <c r="BV315" s="1018">
        <f t="shared" ca="1" si="437"/>
        <v>2.15</v>
      </c>
      <c r="BW315" s="1018">
        <v>0</v>
      </c>
      <c r="BX315" s="1018">
        <f t="shared" ca="1" si="438"/>
        <v>31.834259727134924</v>
      </c>
      <c r="BY315" s="1018">
        <f t="shared" ca="1" si="439"/>
        <v>191.4933461864008</v>
      </c>
      <c r="BZ315" s="1018">
        <f t="shared" ca="1" si="381"/>
        <v>39.484538840145518</v>
      </c>
      <c r="CA315" s="1018">
        <f t="shared" ca="1" si="382"/>
        <v>115.49999993647498</v>
      </c>
      <c r="CB315" s="1018">
        <f t="shared" ca="1" si="440"/>
        <v>4.5133587786259541</v>
      </c>
      <c r="CC315" s="1018">
        <f t="shared" si="383"/>
        <v>0</v>
      </c>
      <c r="CD315" s="1018">
        <f t="shared" ca="1" si="442"/>
        <v>419.50550346878219</v>
      </c>
      <c r="CE315" s="1018">
        <f t="shared" ca="1" si="398"/>
        <v>149.97789927510865</v>
      </c>
      <c r="CF315" s="1018">
        <f t="shared" ca="1" si="384"/>
        <v>17.084502082316725</v>
      </c>
      <c r="CG315" s="1018">
        <f t="shared" ca="1" si="385"/>
        <v>28445.012586974055</v>
      </c>
    </row>
    <row r="316" spans="4:85" s="11" customFormat="1" x14ac:dyDescent="0.25">
      <c r="D316" s="711"/>
      <c r="E316" s="710"/>
      <c r="F316" s="711"/>
      <c r="G316" s="710"/>
      <c r="H316" s="711"/>
      <c r="I316" s="710"/>
      <c r="J316" s="711"/>
      <c r="K316" s="712"/>
      <c r="L316" s="711"/>
      <c r="M316" s="711"/>
      <c r="N316" s="711"/>
      <c r="O316" s="711"/>
      <c r="P316" s="711"/>
      <c r="Q316" s="711"/>
      <c r="R316" s="711"/>
      <c r="S316" s="711"/>
      <c r="T316" s="714"/>
      <c r="U316" s="710"/>
      <c r="V316" s="293"/>
      <c r="W316" s="292"/>
      <c r="X316" s="292"/>
      <c r="Y316" s="277"/>
      <c r="Z316" s="292"/>
      <c r="AA316" s="292"/>
      <c r="AB316" s="292"/>
      <c r="AC316" s="292"/>
      <c r="AD316" s="277"/>
      <c r="AE316" s="292"/>
      <c r="AF316" s="292"/>
      <c r="AG316" s="277"/>
      <c r="AH316" s="313"/>
      <c r="AJ316" s="314"/>
      <c r="AK316" s="1018">
        <f t="shared" si="380"/>
        <v>0</v>
      </c>
      <c r="AL316" s="928"/>
      <c r="AM316" s="928"/>
      <c r="AN316" s="941"/>
      <c r="AO316" s="941"/>
      <c r="AP316" s="941"/>
      <c r="AQ316" s="314"/>
      <c r="AR316" s="28"/>
      <c r="AS316" s="941"/>
      <c r="AT316" s="28"/>
      <c r="AU316" s="28"/>
      <c r="AV316" s="28"/>
      <c r="AW316" s="28"/>
      <c r="AX316" s="28"/>
      <c r="AY316" s="28"/>
      <c r="AZ316" s="28"/>
      <c r="BA316" s="28"/>
      <c r="BB316" s="28"/>
      <c r="BC316" s="45"/>
      <c r="BD316" s="277"/>
      <c r="BE316" s="277"/>
      <c r="BF316" s="49"/>
      <c r="BG316" s="28"/>
      <c r="BH316" s="28"/>
      <c r="BI316" s="49"/>
      <c r="BJ316" s="28"/>
      <c r="BK316" s="28"/>
      <c r="BL316" s="28"/>
      <c r="BM316" s="49"/>
      <c r="BN316" s="277"/>
      <c r="BO316" s="49"/>
      <c r="BP316" s="946"/>
      <c r="BQ316" s="946"/>
      <c r="BR316" s="946"/>
      <c r="BS316" s="946"/>
      <c r="BT316" s="946"/>
      <c r="BU316" s="946"/>
      <c r="BV316" s="946"/>
      <c r="BW316" s="946"/>
      <c r="BX316" s="946"/>
      <c r="BY316" s="946"/>
      <c r="BZ316" s="946"/>
      <c r="CA316" s="946"/>
      <c r="CB316" s="946"/>
      <c r="CC316" s="946"/>
      <c r="CD316" s="946"/>
      <c r="CE316" s="946"/>
      <c r="CF316" s="946"/>
      <c r="CG316" s="946"/>
    </row>
    <row r="317" spans="4:85" x14ac:dyDescent="0.25">
      <c r="D317" s="703"/>
      <c r="E317" s="702"/>
      <c r="F317" s="703"/>
      <c r="G317" s="702"/>
      <c r="H317" s="703"/>
      <c r="I317" s="702"/>
      <c r="J317" s="703"/>
      <c r="K317" s="706"/>
      <c r="L317" s="708"/>
      <c r="M317" s="703"/>
      <c r="N317" s="703"/>
      <c r="O317" s="703"/>
      <c r="P317" s="703"/>
      <c r="Q317" s="703" t="s">
        <v>16</v>
      </c>
      <c r="R317" s="705">
        <v>0.92569999999999997</v>
      </c>
      <c r="S317" s="703"/>
      <c r="T317" s="713">
        <v>0</v>
      </c>
      <c r="U317" s="702"/>
      <c r="V317" s="176">
        <f t="shared" si="386"/>
        <v>0</v>
      </c>
      <c r="W317" s="176">
        <f>V317</f>
        <v>0</v>
      </c>
      <c r="X317" s="176">
        <f>W317-W317*Calculation_sheet!O$78</f>
        <v>0</v>
      </c>
      <c r="Y317" s="34">
        <f>X317/Calculation_sheet!M$67</f>
        <v>0</v>
      </c>
      <c r="Z317" s="176">
        <f ca="1">IF(AN317&gt;0,Y317*Calculation_sheet!C$87,0)</f>
        <v>0</v>
      </c>
      <c r="AA317" s="176">
        <f t="shared" ca="1" si="377"/>
        <v>0</v>
      </c>
      <c r="AB317" s="176">
        <f ca="1">IF(AP317&gt;0,AA317*Calculation_sheet!C$94,0)</f>
        <v>0</v>
      </c>
      <c r="AC317" s="176">
        <f t="shared" ref="AC317:AE325" ca="1" si="443">AA317-AB317</f>
        <v>0</v>
      </c>
      <c r="AD317" s="958">
        <f ca="1">AC317*Calculation_sheet!C$99</f>
        <v>0</v>
      </c>
      <c r="AE317" s="176">
        <f t="shared" ca="1" si="443"/>
        <v>0</v>
      </c>
      <c r="AF317" s="176">
        <f t="shared" ca="1" si="400"/>
        <v>0</v>
      </c>
      <c r="AG317" s="958">
        <f ca="1">AF317*User_sheet!B$77/100</f>
        <v>0</v>
      </c>
      <c r="AH317" s="313"/>
      <c r="AI317">
        <v>303</v>
      </c>
      <c r="AK317" s="1018">
        <f t="shared" ca="1" si="380"/>
        <v>446.90470431846188</v>
      </c>
      <c r="AL317" s="924">
        <f ca="1">AK317/'303'!I$24</f>
        <v>1.2255716558849907</v>
      </c>
      <c r="AM317" s="924">
        <f ca="1">0.8*(AK317*30+'303'!D$17*0.34*30*1)</f>
        <v>18722.512903643084</v>
      </c>
      <c r="AN317" s="954">
        <f ca="1">IF(AM317&lt;User_sheet!B$50,Y317,0)</f>
        <v>0</v>
      </c>
      <c r="AO317" s="954">
        <f ca="1">20-(User_sheet!B$57/(AK317+'303'!D$17*1*0.34))</f>
        <v>12.693288518263966</v>
      </c>
      <c r="AP317" s="954">
        <f ca="1">IF(AO317&lt;User_sheet!B$59,0,BC317*AA317)</f>
        <v>0</v>
      </c>
      <c r="AR317" s="2">
        <v>0.88</v>
      </c>
      <c r="AS317" s="1020">
        <v>2.41</v>
      </c>
      <c r="AT317" s="2">
        <v>0.59</v>
      </c>
      <c r="AU317" s="2">
        <v>2.75</v>
      </c>
      <c r="AV317" s="2">
        <v>3.3</v>
      </c>
      <c r="AW317" s="2">
        <v>11922.428413610982</v>
      </c>
      <c r="AX317" s="2">
        <v>75945.51234133933</v>
      </c>
      <c r="AY317" s="2">
        <v>64021.679041832605</v>
      </c>
      <c r="AZ317" s="2">
        <v>0</v>
      </c>
      <c r="BA317" s="2">
        <v>0</v>
      </c>
      <c r="BB317" s="2">
        <v>0.6</v>
      </c>
      <c r="BC317" s="30">
        <v>1</v>
      </c>
      <c r="BD317" s="34">
        <v>0</v>
      </c>
      <c r="BE317" s="34">
        <v>0</v>
      </c>
      <c r="BF317" s="40">
        <v>0</v>
      </c>
      <c r="BG317" s="2">
        <v>1</v>
      </c>
      <c r="BH317" s="2">
        <v>0</v>
      </c>
      <c r="BI317" s="40">
        <v>0</v>
      </c>
      <c r="BJ317" s="2">
        <v>1</v>
      </c>
      <c r="BK317" s="2">
        <v>0</v>
      </c>
      <c r="BL317" s="2">
        <v>0</v>
      </c>
      <c r="BM317" s="40">
        <v>0</v>
      </c>
      <c r="BN317" s="958">
        <v>0.1</v>
      </c>
      <c r="BO317" s="959">
        <v>14.1</v>
      </c>
      <c r="BP317" s="1018">
        <f t="shared" ref="BP317:BP325" ca="1" si="444">INDIRECT("'"&amp;AI317&amp;"'!"&amp;"B2")</f>
        <v>350</v>
      </c>
      <c r="BQ317" s="1018">
        <f t="shared" ref="BQ317:BQ325" ca="1" si="445">INDIRECT("'"&amp;AI317&amp;"'!"&amp;"C12")+INDIRECT("'"&amp;AI317&amp;"'!"&amp;"C13")+INDIRECT("'"&amp;AI317&amp;"'!"&amp;"C14")+INDIRECT("'"&amp;AI317&amp;"'!"&amp;"C15")+INDIRECT("'"&amp;AI317&amp;"'!"&amp;"C17")</f>
        <v>764.40000000000009</v>
      </c>
      <c r="BR317" s="1018">
        <f t="shared" ref="BR317:BR325" ca="1" si="446">INDIRECT("'"&amp;AI317&amp;"'!"&amp;"G5")</f>
        <v>105</v>
      </c>
      <c r="BS317" s="1018">
        <f t="shared" ref="BS317:BS325" ca="1" si="447">INDIRECT("'"&amp;AI317&amp;"'!"&amp;"G4")</f>
        <v>112.64999999999998</v>
      </c>
      <c r="BT317" s="1018">
        <f t="shared" ref="BT317:BT325" ca="1" si="448">INDIRECT("'"&amp;AI317&amp;"'!"&amp;"G6")</f>
        <v>105</v>
      </c>
      <c r="BU317" s="1018">
        <f t="shared" ref="BU317:BU325" ca="1" si="449">INDIRECT("'"&amp;AI317&amp;"'!"&amp;"G2")</f>
        <v>42</v>
      </c>
      <c r="BV317" s="1018">
        <f t="shared" ref="BV317:BV325" ca="1" si="450">INDIRECT("'"&amp;AI317&amp;"'!"&amp;"G3")</f>
        <v>2.15</v>
      </c>
      <c r="BW317" s="1018">
        <v>0</v>
      </c>
      <c r="BX317" s="1018">
        <f t="shared" ref="BX317:BX325" ca="1" si="451">IF(BR317=0,0,1/(1/(BR317*$BY$3)+1/(BR317*AR317)+1/(BR317*$BY$4)))</f>
        <v>80.171217029153169</v>
      </c>
      <c r="BY317" s="1018">
        <f t="shared" ref="BY317:BY325" ca="1" si="452">IF(BS317=0,0,1/(1/(BS317*$BY$3)+1/(BS317*AS317)+1/(BS317*$BY$4)))</f>
        <v>191.4933461864008</v>
      </c>
      <c r="BZ317" s="1018">
        <f t="shared" ca="1" si="381"/>
        <v>18.546782387806946</v>
      </c>
      <c r="CA317" s="1018">
        <f t="shared" ca="1" si="382"/>
        <v>115.49999993647498</v>
      </c>
      <c r="CB317" s="1018">
        <f t="shared" ref="CB317:CB325" ca="1" si="453">IF(BV317=0,0,1/(1/(BV317*$BY$3)+1/(BV317*AV317)+1/(BV317*$BY$4)))</f>
        <v>4.5133587786259541</v>
      </c>
      <c r="CC317" s="1018">
        <f t="shared" si="383"/>
        <v>0</v>
      </c>
      <c r="CD317" s="1018">
        <f ca="1">SUM(BX317:CC317)+(BR317+BS317+BT317+BU317+BV317)*BN317</f>
        <v>446.90470431846188</v>
      </c>
      <c r="CE317" s="1018">
        <f t="shared" ca="1" si="398"/>
        <v>149.97789927510865</v>
      </c>
      <c r="CF317" s="1018">
        <f t="shared" ca="1" si="384"/>
        <v>17.906478107807118</v>
      </c>
      <c r="CG317" s="1018">
        <f t="shared" ca="1" si="385"/>
        <v>29813.569790374539</v>
      </c>
    </row>
    <row r="318" spans="4:85" x14ac:dyDescent="0.25">
      <c r="D318" s="703"/>
      <c r="E318" s="702"/>
      <c r="F318" s="703"/>
      <c r="G318" s="702"/>
      <c r="H318" s="703"/>
      <c r="I318" s="702"/>
      <c r="J318" s="703"/>
      <c r="K318" s="706"/>
      <c r="L318" s="708"/>
      <c r="M318" s="703"/>
      <c r="N318" s="703"/>
      <c r="O318" s="703" t="s">
        <v>18</v>
      </c>
      <c r="P318" s="705">
        <v>0.89156626500000002</v>
      </c>
      <c r="Q318" s="703" t="s">
        <v>7</v>
      </c>
      <c r="R318" s="705">
        <v>7.4300000000000005E-2</v>
      </c>
      <c r="S318" s="703"/>
      <c r="T318" s="713">
        <v>0</v>
      </c>
      <c r="U318" s="702"/>
      <c r="V318" s="176">
        <f t="shared" si="386"/>
        <v>0</v>
      </c>
      <c r="W318" s="176">
        <f t="shared" ref="W318:W325" si="454">V318</f>
        <v>0</v>
      </c>
      <c r="X318" s="176">
        <f>W318-W318*Calculation_sheet!O$78</f>
        <v>0</v>
      </c>
      <c r="Y318" s="34">
        <f>X318/Calculation_sheet!M$67</f>
        <v>0</v>
      </c>
      <c r="Z318" s="176">
        <f ca="1">IF(AN318&gt;0,Y318*Calculation_sheet!C$87,0)</f>
        <v>0</v>
      </c>
      <c r="AA318" s="176">
        <f t="shared" ca="1" si="377"/>
        <v>0</v>
      </c>
      <c r="AB318" s="176">
        <f ca="1">IF(AP318&gt;0,AA318*Calculation_sheet!C$94,0)</f>
        <v>0</v>
      </c>
      <c r="AC318" s="176">
        <f t="shared" ca="1" si="443"/>
        <v>0</v>
      </c>
      <c r="AD318" s="958">
        <f ca="1">AC318*Calculation_sheet!C$99</f>
        <v>0</v>
      </c>
      <c r="AE318" s="176">
        <f t="shared" ca="1" si="443"/>
        <v>0</v>
      </c>
      <c r="AF318" s="176">
        <f t="shared" ca="1" si="400"/>
        <v>0</v>
      </c>
      <c r="AG318" s="958">
        <f ca="1">AF318*User_sheet!B$77/100</f>
        <v>0</v>
      </c>
      <c r="AH318" s="313"/>
      <c r="AI318">
        <v>303</v>
      </c>
      <c r="AK318" s="1018">
        <f t="shared" ca="1" si="380"/>
        <v>446.90470431846188</v>
      </c>
      <c r="AL318" s="924">
        <f ca="1">AK318/'303'!I$24</f>
        <v>1.2255716558849907</v>
      </c>
      <c r="AM318" s="924">
        <f ca="1">0.8*(AK318*30+'303'!D$17*0.34*30*1)</f>
        <v>18722.512903643084</v>
      </c>
      <c r="AN318" s="954">
        <f ca="1">IF(AM318&lt;User_sheet!B$50,Y318,0)</f>
        <v>0</v>
      </c>
      <c r="AO318" s="954">
        <f ca="1">20-(User_sheet!B$57/(AK318+'303'!D$17*1*0.34))</f>
        <v>12.693288518263966</v>
      </c>
      <c r="AP318" s="954">
        <f ca="1">IF(AO318&lt;User_sheet!B$59,0,BC318*AA318)</f>
        <v>0</v>
      </c>
      <c r="AR318" s="2">
        <v>0.88</v>
      </c>
      <c r="AS318" s="1020">
        <v>2.41</v>
      </c>
      <c r="AT318" s="2">
        <v>0.59</v>
      </c>
      <c r="AU318" s="2">
        <v>2.75</v>
      </c>
      <c r="AV318" s="2">
        <v>3.3</v>
      </c>
      <c r="AW318" s="2">
        <v>11922.428413610982</v>
      </c>
      <c r="AX318" s="2">
        <v>75945.51234133933</v>
      </c>
      <c r="AY318" s="2">
        <v>64021.679041832605</v>
      </c>
      <c r="AZ318" s="2">
        <v>0</v>
      </c>
      <c r="BA318" s="2">
        <v>0</v>
      </c>
      <c r="BB318" s="2">
        <v>0.6</v>
      </c>
      <c r="BC318" s="30">
        <v>1</v>
      </c>
      <c r="BD318" s="34">
        <v>0</v>
      </c>
      <c r="BE318" s="34">
        <v>0</v>
      </c>
      <c r="BF318" s="40">
        <v>0</v>
      </c>
      <c r="BG318" s="2">
        <v>1</v>
      </c>
      <c r="BH318" s="2">
        <v>0</v>
      </c>
      <c r="BI318" s="40">
        <v>0</v>
      </c>
      <c r="BJ318" s="2">
        <v>0</v>
      </c>
      <c r="BK318" s="2">
        <v>0</v>
      </c>
      <c r="BL318" s="2">
        <v>1</v>
      </c>
      <c r="BM318" s="40">
        <v>0</v>
      </c>
      <c r="BN318" s="958">
        <v>0.1</v>
      </c>
      <c r="BO318" s="959">
        <v>14.1</v>
      </c>
      <c r="BP318" s="1018">
        <f t="shared" ca="1" si="444"/>
        <v>350</v>
      </c>
      <c r="BQ318" s="1018">
        <f t="shared" ca="1" si="445"/>
        <v>764.40000000000009</v>
      </c>
      <c r="BR318" s="1018">
        <f t="shared" ca="1" si="446"/>
        <v>105</v>
      </c>
      <c r="BS318" s="1018">
        <f t="shared" ca="1" si="447"/>
        <v>112.64999999999998</v>
      </c>
      <c r="BT318" s="1018">
        <f t="shared" ca="1" si="448"/>
        <v>105</v>
      </c>
      <c r="BU318" s="1018">
        <f t="shared" ca="1" si="449"/>
        <v>42</v>
      </c>
      <c r="BV318" s="1018">
        <f t="shared" ca="1" si="450"/>
        <v>2.15</v>
      </c>
      <c r="BW318" s="1018">
        <v>0</v>
      </c>
      <c r="BX318" s="1018">
        <f t="shared" ca="1" si="451"/>
        <v>80.171217029153169</v>
      </c>
      <c r="BY318" s="1018">
        <f t="shared" ca="1" si="452"/>
        <v>191.4933461864008</v>
      </c>
      <c r="BZ318" s="1018">
        <f t="shared" ca="1" si="381"/>
        <v>18.546782387806946</v>
      </c>
      <c r="CA318" s="1018">
        <f t="shared" ca="1" si="382"/>
        <v>115.49999993647498</v>
      </c>
      <c r="CB318" s="1018">
        <f t="shared" ca="1" si="453"/>
        <v>4.5133587786259541</v>
      </c>
      <c r="CC318" s="1018">
        <f t="shared" si="383"/>
        <v>0</v>
      </c>
      <c r="CD318" s="1018">
        <f t="shared" ref="CD318:CD325" ca="1" si="455">SUM(BX318:CC318)+(BR318+BS318+BT318+BU318+BV318)*BN318</f>
        <v>446.90470431846188</v>
      </c>
      <c r="CE318" s="1018">
        <f t="shared" ca="1" si="398"/>
        <v>149.97789927510865</v>
      </c>
      <c r="CF318" s="1018">
        <f t="shared" ca="1" si="384"/>
        <v>17.906478107807118</v>
      </c>
      <c r="CG318" s="1018">
        <f t="shared" ca="1" si="385"/>
        <v>29813.569790374539</v>
      </c>
    </row>
    <row r="319" spans="4:85" x14ac:dyDescent="0.25">
      <c r="D319" s="703"/>
      <c r="E319" s="702"/>
      <c r="F319" s="703"/>
      <c r="G319" s="702"/>
      <c r="H319" s="703"/>
      <c r="I319" s="702"/>
      <c r="J319" s="703"/>
      <c r="K319" s="706"/>
      <c r="L319" s="708"/>
      <c r="M319" s="703"/>
      <c r="N319" s="703"/>
      <c r="O319" s="703"/>
      <c r="P319" s="703"/>
      <c r="Q319" s="703" t="s">
        <v>16</v>
      </c>
      <c r="R319" s="705">
        <v>0.92569999999999997</v>
      </c>
      <c r="S319" s="703"/>
      <c r="T319" s="713">
        <v>0</v>
      </c>
      <c r="U319" s="702"/>
      <c r="V319" s="176">
        <f t="shared" si="386"/>
        <v>0</v>
      </c>
      <c r="W319" s="176">
        <f t="shared" si="454"/>
        <v>0</v>
      </c>
      <c r="X319" s="176">
        <f>W319-W319*Calculation_sheet!O$78</f>
        <v>0</v>
      </c>
      <c r="Y319" s="34">
        <f>X319/Calculation_sheet!M$67</f>
        <v>0</v>
      </c>
      <c r="Z319" s="176">
        <f ca="1">IF(AN319&gt;0,Y319*Calculation_sheet!C$87,0)</f>
        <v>0</v>
      </c>
      <c r="AA319" s="176">
        <f t="shared" ca="1" si="377"/>
        <v>0</v>
      </c>
      <c r="AB319" s="176">
        <f ca="1">IF(AP319&gt;0,AA319*Calculation_sheet!C$94,0)</f>
        <v>0</v>
      </c>
      <c r="AC319" s="176">
        <f t="shared" ca="1" si="443"/>
        <v>0</v>
      </c>
      <c r="AD319" s="958">
        <f ca="1">AC319*Calculation_sheet!C$99</f>
        <v>0</v>
      </c>
      <c r="AE319" s="176">
        <f t="shared" ca="1" si="443"/>
        <v>0</v>
      </c>
      <c r="AF319" s="176">
        <f t="shared" ca="1" si="400"/>
        <v>0</v>
      </c>
      <c r="AG319" s="958">
        <f ca="1">AF319*User_sheet!B$77/100</f>
        <v>0</v>
      </c>
      <c r="AH319" s="313"/>
      <c r="AI319">
        <v>303</v>
      </c>
      <c r="AK319" s="1018">
        <f t="shared" ca="1" si="380"/>
        <v>446.90470431846188</v>
      </c>
      <c r="AL319" s="924">
        <f ca="1">AK319/'303'!I$24</f>
        <v>1.2255716558849907</v>
      </c>
      <c r="AM319" s="924">
        <f ca="1">0.8*(AK319*30+'303'!D$17*0.34*30*1)</f>
        <v>18722.512903643084</v>
      </c>
      <c r="AN319" s="954">
        <f ca="1">IF(AM319&lt;User_sheet!B$50,Y319,0)</f>
        <v>0</v>
      </c>
      <c r="AO319" s="954">
        <f ca="1">20-(User_sheet!B$57/(AK319+'303'!D$17*1*0.34))</f>
        <v>12.693288518263966</v>
      </c>
      <c r="AP319" s="954">
        <f ca="1">IF(AO319&lt;User_sheet!B$59,0,BC319*AA319)</f>
        <v>0</v>
      </c>
      <c r="AR319" s="2">
        <v>0.88</v>
      </c>
      <c r="AS319" s="1020">
        <v>2.41</v>
      </c>
      <c r="AT319" s="2">
        <v>0.59</v>
      </c>
      <c r="AU319" s="2">
        <v>2.75</v>
      </c>
      <c r="AV319" s="2">
        <v>3.3</v>
      </c>
      <c r="AW319" s="2">
        <v>11922.428413610982</v>
      </c>
      <c r="AX319" s="2">
        <v>75945.51234133933</v>
      </c>
      <c r="AY319" s="2">
        <v>64021.679041832605</v>
      </c>
      <c r="AZ319" s="2">
        <v>0</v>
      </c>
      <c r="BA319" s="2">
        <v>0</v>
      </c>
      <c r="BB319" s="2">
        <v>0.6</v>
      </c>
      <c r="BC319" s="30">
        <v>1</v>
      </c>
      <c r="BD319" s="34">
        <v>0</v>
      </c>
      <c r="BE319" s="34">
        <v>0</v>
      </c>
      <c r="BF319" s="40">
        <v>0</v>
      </c>
      <c r="BG319" s="2">
        <v>0</v>
      </c>
      <c r="BH319" s="2">
        <v>1</v>
      </c>
      <c r="BI319" s="40">
        <v>0</v>
      </c>
      <c r="BJ319" s="2">
        <v>1</v>
      </c>
      <c r="BK319" s="2">
        <v>0</v>
      </c>
      <c r="BL319" s="2">
        <v>0</v>
      </c>
      <c r="BM319" s="40">
        <v>0</v>
      </c>
      <c r="BN319" s="958">
        <v>0.1</v>
      </c>
      <c r="BO319" s="959">
        <v>14.1</v>
      </c>
      <c r="BP319" s="1018">
        <f t="shared" ca="1" si="444"/>
        <v>350</v>
      </c>
      <c r="BQ319" s="1018">
        <f t="shared" ca="1" si="445"/>
        <v>764.40000000000009</v>
      </c>
      <c r="BR319" s="1018">
        <f t="shared" ca="1" si="446"/>
        <v>105</v>
      </c>
      <c r="BS319" s="1018">
        <f t="shared" ca="1" si="447"/>
        <v>112.64999999999998</v>
      </c>
      <c r="BT319" s="1018">
        <f t="shared" ca="1" si="448"/>
        <v>105</v>
      </c>
      <c r="BU319" s="1018">
        <f t="shared" ca="1" si="449"/>
        <v>42</v>
      </c>
      <c r="BV319" s="1018">
        <f t="shared" ca="1" si="450"/>
        <v>2.15</v>
      </c>
      <c r="BW319" s="1018">
        <v>0</v>
      </c>
      <c r="BX319" s="1018">
        <f t="shared" ca="1" si="451"/>
        <v>80.171217029153169</v>
      </c>
      <c r="BY319" s="1018">
        <f t="shared" ca="1" si="452"/>
        <v>191.4933461864008</v>
      </c>
      <c r="BZ319" s="1018">
        <f t="shared" ca="1" si="381"/>
        <v>18.546782387806946</v>
      </c>
      <c r="CA319" s="1018">
        <f t="shared" ca="1" si="382"/>
        <v>115.49999993647498</v>
      </c>
      <c r="CB319" s="1018">
        <f t="shared" ca="1" si="453"/>
        <v>4.5133587786259541</v>
      </c>
      <c r="CC319" s="1018">
        <f t="shared" si="383"/>
        <v>0</v>
      </c>
      <c r="CD319" s="1018">
        <f t="shared" ca="1" si="455"/>
        <v>446.90470431846188</v>
      </c>
      <c r="CE319" s="1018">
        <f t="shared" ca="1" si="398"/>
        <v>149.97789927510865</v>
      </c>
      <c r="CF319" s="1018">
        <f t="shared" ca="1" si="384"/>
        <v>17.906478107807118</v>
      </c>
      <c r="CG319" s="1018">
        <f t="shared" ca="1" si="385"/>
        <v>29813.569790374539</v>
      </c>
    </row>
    <row r="320" spans="4:85" x14ac:dyDescent="0.25">
      <c r="D320" s="703"/>
      <c r="E320" s="702"/>
      <c r="F320" s="703"/>
      <c r="G320" s="702"/>
      <c r="H320" s="703"/>
      <c r="I320" s="702"/>
      <c r="J320" s="703"/>
      <c r="K320" s="706"/>
      <c r="L320" s="708"/>
      <c r="M320" s="703" t="s">
        <v>16</v>
      </c>
      <c r="N320" s="705">
        <v>0.41099999999999998</v>
      </c>
      <c r="O320" s="703" t="s">
        <v>19</v>
      </c>
      <c r="P320" s="705">
        <v>0.108433735</v>
      </c>
      <c r="Q320" s="703" t="s">
        <v>7</v>
      </c>
      <c r="R320" s="705">
        <v>7.4300000000000005E-2</v>
      </c>
      <c r="S320" s="703"/>
      <c r="T320" s="713">
        <v>0</v>
      </c>
      <c r="U320" s="702"/>
      <c r="V320" s="176">
        <f t="shared" si="386"/>
        <v>0</v>
      </c>
      <c r="W320" s="176">
        <f t="shared" si="454"/>
        <v>0</v>
      </c>
      <c r="X320" s="176">
        <f>W320-W320*Calculation_sheet!O$78</f>
        <v>0</v>
      </c>
      <c r="Y320" s="34">
        <f>X320/Calculation_sheet!M$67</f>
        <v>0</v>
      </c>
      <c r="Z320" s="176">
        <f ca="1">IF(AN320&gt;0,Y320*Calculation_sheet!C$87,0)</f>
        <v>0</v>
      </c>
      <c r="AA320" s="176">
        <f t="shared" ca="1" si="377"/>
        <v>0</v>
      </c>
      <c r="AB320" s="176">
        <f ca="1">IF(AP320&gt;0,AA320*Calculation_sheet!C$94,0)</f>
        <v>0</v>
      </c>
      <c r="AC320" s="176">
        <f t="shared" ca="1" si="443"/>
        <v>0</v>
      </c>
      <c r="AD320" s="958">
        <f ca="1">AC320*Calculation_sheet!C$99</f>
        <v>0</v>
      </c>
      <c r="AE320" s="176">
        <f t="shared" ca="1" si="443"/>
        <v>0</v>
      </c>
      <c r="AF320" s="176">
        <f t="shared" ca="1" si="400"/>
        <v>0</v>
      </c>
      <c r="AG320" s="958">
        <f ca="1">AF320*User_sheet!B$77/100</f>
        <v>0</v>
      </c>
      <c r="AH320" s="313"/>
      <c r="AI320">
        <v>303</v>
      </c>
      <c r="AK320" s="1018">
        <f t="shared" ca="1" si="380"/>
        <v>446.90470431846188</v>
      </c>
      <c r="AL320" s="924">
        <f ca="1">AK320/'303'!I$24</f>
        <v>1.2255716558849907</v>
      </c>
      <c r="AM320" s="924">
        <f ca="1">0.8*(AK320*30+'303'!D$17*0.34*30*1)</f>
        <v>18722.512903643084</v>
      </c>
      <c r="AN320" s="954">
        <f ca="1">IF(AM320&lt;User_sheet!B$50,Y320,0)</f>
        <v>0</v>
      </c>
      <c r="AO320" s="954">
        <f ca="1">20-(User_sheet!B$57/(AK320+'303'!D$17*1*0.34))</f>
        <v>12.693288518263966</v>
      </c>
      <c r="AP320" s="954">
        <f ca="1">IF(AO320&lt;User_sheet!B$59,0,BC320*AA320)</f>
        <v>0</v>
      </c>
      <c r="AR320" s="2">
        <v>0.88</v>
      </c>
      <c r="AS320" s="1020">
        <v>2.41</v>
      </c>
      <c r="AT320" s="2">
        <v>0.59</v>
      </c>
      <c r="AU320" s="2">
        <v>2.75</v>
      </c>
      <c r="AV320" s="2">
        <v>3.3</v>
      </c>
      <c r="AW320" s="2">
        <v>11922.428413610982</v>
      </c>
      <c r="AX320" s="2">
        <v>75945.51234133933</v>
      </c>
      <c r="AY320" s="2">
        <v>64021.679041832605</v>
      </c>
      <c r="AZ320" s="2">
        <v>0</v>
      </c>
      <c r="BA320" s="2">
        <v>0</v>
      </c>
      <c r="BB320" s="2">
        <v>0.6</v>
      </c>
      <c r="BC320" s="30">
        <v>1</v>
      </c>
      <c r="BD320" s="34">
        <v>0</v>
      </c>
      <c r="BE320" s="34">
        <v>0</v>
      </c>
      <c r="BF320" s="40">
        <v>0</v>
      </c>
      <c r="BG320" s="2">
        <v>0</v>
      </c>
      <c r="BH320" s="2">
        <v>1</v>
      </c>
      <c r="BI320" s="40">
        <v>0</v>
      </c>
      <c r="BJ320" s="2">
        <v>0</v>
      </c>
      <c r="BK320" s="2">
        <v>0</v>
      </c>
      <c r="BL320" s="2">
        <v>1</v>
      </c>
      <c r="BM320" s="40">
        <v>0</v>
      </c>
      <c r="BN320" s="958">
        <v>0.1</v>
      </c>
      <c r="BO320" s="959">
        <v>14.1</v>
      </c>
      <c r="BP320" s="1018">
        <f t="shared" ca="1" si="444"/>
        <v>350</v>
      </c>
      <c r="BQ320" s="1018">
        <f t="shared" ca="1" si="445"/>
        <v>764.40000000000009</v>
      </c>
      <c r="BR320" s="1018">
        <f t="shared" ca="1" si="446"/>
        <v>105</v>
      </c>
      <c r="BS320" s="1018">
        <f t="shared" ca="1" si="447"/>
        <v>112.64999999999998</v>
      </c>
      <c r="BT320" s="1018">
        <f t="shared" ca="1" si="448"/>
        <v>105</v>
      </c>
      <c r="BU320" s="1018">
        <f t="shared" ca="1" si="449"/>
        <v>42</v>
      </c>
      <c r="BV320" s="1018">
        <f t="shared" ca="1" si="450"/>
        <v>2.15</v>
      </c>
      <c r="BW320" s="1018">
        <v>0</v>
      </c>
      <c r="BX320" s="1018">
        <f t="shared" ca="1" si="451"/>
        <v>80.171217029153169</v>
      </c>
      <c r="BY320" s="1018">
        <f t="shared" ca="1" si="452"/>
        <v>191.4933461864008</v>
      </c>
      <c r="BZ320" s="1018">
        <f t="shared" ca="1" si="381"/>
        <v>18.546782387806946</v>
      </c>
      <c r="CA320" s="1018">
        <f t="shared" ca="1" si="382"/>
        <v>115.49999993647498</v>
      </c>
      <c r="CB320" s="1018">
        <f t="shared" ca="1" si="453"/>
        <v>4.5133587786259541</v>
      </c>
      <c r="CC320" s="1018">
        <f t="shared" si="383"/>
        <v>0</v>
      </c>
      <c r="CD320" s="1018">
        <f t="shared" ca="1" si="455"/>
        <v>446.90470431846188</v>
      </c>
      <c r="CE320" s="1018">
        <f t="shared" ca="1" si="398"/>
        <v>149.97789927510865</v>
      </c>
      <c r="CF320" s="1018">
        <f t="shared" ca="1" si="384"/>
        <v>17.906478107807118</v>
      </c>
      <c r="CG320" s="1018">
        <f t="shared" ca="1" si="385"/>
        <v>29813.569790374539</v>
      </c>
    </row>
    <row r="321" spans="3:85" x14ac:dyDescent="0.25">
      <c r="C321" s="702"/>
      <c r="D321" s="703"/>
      <c r="E321" s="702"/>
      <c r="F321" s="703"/>
      <c r="G321" s="702"/>
      <c r="H321" s="703"/>
      <c r="I321" s="702"/>
      <c r="J321" s="703"/>
      <c r="K321" s="706"/>
      <c r="L321" s="708"/>
      <c r="M321" s="703"/>
      <c r="N321" s="703"/>
      <c r="O321" s="703"/>
      <c r="P321" s="703"/>
      <c r="Q321" s="703" t="s">
        <v>22</v>
      </c>
      <c r="R321" s="705">
        <v>0.60750000000000004</v>
      </c>
      <c r="S321" s="703"/>
      <c r="T321" s="713">
        <v>0</v>
      </c>
      <c r="U321" s="702"/>
      <c r="V321" s="176">
        <f t="shared" si="386"/>
        <v>0</v>
      </c>
      <c r="W321" s="176">
        <f t="shared" si="454"/>
        <v>0</v>
      </c>
      <c r="X321" s="176">
        <f>W321-W321*Calculation_sheet!O$78</f>
        <v>0</v>
      </c>
      <c r="Y321" s="34">
        <f>X321/Calculation_sheet!M$67</f>
        <v>0</v>
      </c>
      <c r="Z321" s="176">
        <f ca="1">IF(AN321&gt;0,Y321*Calculation_sheet!C$87,0)</f>
        <v>0</v>
      </c>
      <c r="AA321" s="176">
        <f t="shared" ca="1" si="377"/>
        <v>0</v>
      </c>
      <c r="AB321" s="176">
        <f ca="1">IF(AP321&gt;0,AA321*Calculation_sheet!C$94,0)</f>
        <v>0</v>
      </c>
      <c r="AC321" s="176">
        <f t="shared" ca="1" si="443"/>
        <v>0</v>
      </c>
      <c r="AD321" s="958">
        <f ca="1">AC321*Calculation_sheet!C$99</f>
        <v>0</v>
      </c>
      <c r="AE321" s="176">
        <f t="shared" ca="1" si="443"/>
        <v>0</v>
      </c>
      <c r="AF321" s="176">
        <f t="shared" ca="1" si="400"/>
        <v>0</v>
      </c>
      <c r="AG321" s="958">
        <f ca="1">AF321*User_sheet!B$77/100</f>
        <v>0</v>
      </c>
      <c r="AH321" s="313"/>
      <c r="AI321">
        <v>303</v>
      </c>
      <c r="AK321" s="1018">
        <f t="shared" ca="1" si="380"/>
        <v>446.90470431846188</v>
      </c>
      <c r="AL321" s="924">
        <f ca="1">AK321/'303'!I$24</f>
        <v>1.2255716558849907</v>
      </c>
      <c r="AM321" s="924">
        <f ca="1">0.8*(AK321*30+'303'!D$17*0.34*30*1)</f>
        <v>18722.512903643084</v>
      </c>
      <c r="AN321" s="954">
        <f ca="1">IF(AM321&lt;User_sheet!B$50,Y321,0)</f>
        <v>0</v>
      </c>
      <c r="AO321" s="954">
        <f ca="1">20-(User_sheet!B$57/(AK321+'303'!D$17*1*0.34))</f>
        <v>12.693288518263966</v>
      </c>
      <c r="AP321" s="954">
        <f ca="1">IF(AO321&lt;User_sheet!B$59,0,BC321*AA321)</f>
        <v>0</v>
      </c>
      <c r="AR321" s="2">
        <v>0.88</v>
      </c>
      <c r="AS321" s="1020">
        <v>2.41</v>
      </c>
      <c r="AT321" s="2">
        <v>0.59</v>
      </c>
      <c r="AU321" s="2">
        <v>2.75</v>
      </c>
      <c r="AV321" s="2">
        <v>3.3</v>
      </c>
      <c r="AW321" s="2">
        <v>11922.428413610982</v>
      </c>
      <c r="AX321" s="2">
        <v>75945.51234133933</v>
      </c>
      <c r="AY321" s="2">
        <v>64021.679041832605</v>
      </c>
      <c r="AZ321" s="2">
        <v>0</v>
      </c>
      <c r="BA321" s="2">
        <v>0</v>
      </c>
      <c r="BB321" s="2">
        <v>0.6</v>
      </c>
      <c r="BC321" s="30">
        <v>0</v>
      </c>
      <c r="BD321" s="34">
        <v>1</v>
      </c>
      <c r="BE321" s="34">
        <v>0</v>
      </c>
      <c r="BF321" s="40">
        <v>0</v>
      </c>
      <c r="BG321" s="2">
        <v>1</v>
      </c>
      <c r="BH321" s="2">
        <v>0</v>
      </c>
      <c r="BI321" s="40">
        <v>0</v>
      </c>
      <c r="BJ321" s="2">
        <v>0</v>
      </c>
      <c r="BK321" s="2">
        <v>1</v>
      </c>
      <c r="BL321" s="2">
        <v>0</v>
      </c>
      <c r="BM321" s="40">
        <v>0</v>
      </c>
      <c r="BN321" s="958">
        <v>0.1</v>
      </c>
      <c r="BO321" s="959">
        <v>14.1</v>
      </c>
      <c r="BP321" s="1018">
        <f t="shared" ca="1" si="444"/>
        <v>350</v>
      </c>
      <c r="BQ321" s="1018">
        <f t="shared" ca="1" si="445"/>
        <v>764.40000000000009</v>
      </c>
      <c r="BR321" s="1018">
        <f t="shared" ca="1" si="446"/>
        <v>105</v>
      </c>
      <c r="BS321" s="1018">
        <f t="shared" ca="1" si="447"/>
        <v>112.64999999999998</v>
      </c>
      <c r="BT321" s="1018">
        <f t="shared" ca="1" si="448"/>
        <v>105</v>
      </c>
      <c r="BU321" s="1018">
        <f t="shared" ca="1" si="449"/>
        <v>42</v>
      </c>
      <c r="BV321" s="1018">
        <f t="shared" ca="1" si="450"/>
        <v>2.15</v>
      </c>
      <c r="BW321" s="1018">
        <v>0</v>
      </c>
      <c r="BX321" s="1018">
        <f t="shared" ca="1" si="451"/>
        <v>80.171217029153169</v>
      </c>
      <c r="BY321" s="1018">
        <f t="shared" ca="1" si="452"/>
        <v>191.4933461864008</v>
      </c>
      <c r="BZ321" s="1018">
        <f t="shared" ca="1" si="381"/>
        <v>18.546782387806946</v>
      </c>
      <c r="CA321" s="1018">
        <f t="shared" ca="1" si="382"/>
        <v>115.49999993647498</v>
      </c>
      <c r="CB321" s="1018">
        <f t="shared" ca="1" si="453"/>
        <v>4.5133587786259541</v>
      </c>
      <c r="CC321" s="1018">
        <f t="shared" si="383"/>
        <v>0</v>
      </c>
      <c r="CD321" s="1018">
        <f t="shared" ca="1" si="455"/>
        <v>446.90470431846188</v>
      </c>
      <c r="CE321" s="1018">
        <f t="shared" ca="1" si="398"/>
        <v>149.97789927510865</v>
      </c>
      <c r="CF321" s="1018">
        <f t="shared" ca="1" si="384"/>
        <v>17.906478107807118</v>
      </c>
      <c r="CG321" s="1018">
        <f t="shared" ca="1" si="385"/>
        <v>29813.569790374539</v>
      </c>
    </row>
    <row r="322" spans="3:85" x14ac:dyDescent="0.25">
      <c r="C322" s="702"/>
      <c r="D322" s="703"/>
      <c r="E322" s="702"/>
      <c r="F322" s="703"/>
      <c r="G322" s="702"/>
      <c r="H322" s="703"/>
      <c r="I322" s="702"/>
      <c r="J322" s="703"/>
      <c r="K322" s="706"/>
      <c r="L322" s="708"/>
      <c r="M322" s="703"/>
      <c r="N322" s="703"/>
      <c r="O322" s="703" t="s">
        <v>18</v>
      </c>
      <c r="P322" s="705">
        <v>0.94399999999999995</v>
      </c>
      <c r="Q322" s="703" t="s">
        <v>7</v>
      </c>
      <c r="R322" s="705">
        <v>0.39250000000000002</v>
      </c>
      <c r="S322" s="703"/>
      <c r="T322" s="713">
        <v>0</v>
      </c>
      <c r="U322" s="702"/>
      <c r="V322" s="176">
        <f t="shared" si="386"/>
        <v>0</v>
      </c>
      <c r="W322" s="176">
        <f t="shared" si="454"/>
        <v>0</v>
      </c>
      <c r="X322" s="176">
        <f>W322-W322*Calculation_sheet!O$78</f>
        <v>0</v>
      </c>
      <c r="Y322" s="34">
        <f>X322/Calculation_sheet!M$67</f>
        <v>0</v>
      </c>
      <c r="Z322" s="176">
        <f ca="1">IF(AN322&gt;0,Y322*Calculation_sheet!C$87,0)</f>
        <v>0</v>
      </c>
      <c r="AA322" s="176">
        <f t="shared" ca="1" si="377"/>
        <v>0</v>
      </c>
      <c r="AB322" s="176">
        <f ca="1">IF(AP322&gt;0,AA322*Calculation_sheet!C$94,0)</f>
        <v>0</v>
      </c>
      <c r="AC322" s="176">
        <f t="shared" ca="1" si="443"/>
        <v>0</v>
      </c>
      <c r="AD322" s="958">
        <f ca="1">AC322*Calculation_sheet!C$99</f>
        <v>0</v>
      </c>
      <c r="AE322" s="176">
        <f t="shared" ca="1" si="443"/>
        <v>0</v>
      </c>
      <c r="AF322" s="176">
        <f t="shared" ca="1" si="400"/>
        <v>0</v>
      </c>
      <c r="AG322" s="958">
        <f ca="1">AF322*User_sheet!B$77/100</f>
        <v>0</v>
      </c>
      <c r="AH322" s="313"/>
      <c r="AI322">
        <v>303</v>
      </c>
      <c r="AK322" s="1018">
        <f t="shared" ca="1" si="380"/>
        <v>446.90470431846188</v>
      </c>
      <c r="AL322" s="924">
        <f ca="1">AK322/'303'!I$24</f>
        <v>1.2255716558849907</v>
      </c>
      <c r="AM322" s="924">
        <f ca="1">0.8*(AK322*30+'303'!D$17*0.34*30*1)</f>
        <v>18722.512903643084</v>
      </c>
      <c r="AN322" s="954">
        <f ca="1">IF(AM322&lt;User_sheet!B$50,Y322,0)</f>
        <v>0</v>
      </c>
      <c r="AO322" s="954">
        <f ca="1">20-(User_sheet!B$57/(AK322+'303'!D$17*1*0.34))</f>
        <v>12.693288518263966</v>
      </c>
      <c r="AP322" s="954">
        <f ca="1">IF(AO322&lt;User_sheet!B$59,0,BC322*AA322)</f>
        <v>0</v>
      </c>
      <c r="AR322" s="2">
        <v>0.88</v>
      </c>
      <c r="AS322" s="1020">
        <v>2.41</v>
      </c>
      <c r="AT322" s="2">
        <v>0.59</v>
      </c>
      <c r="AU322" s="2">
        <v>2.75</v>
      </c>
      <c r="AV322" s="2">
        <v>3.3</v>
      </c>
      <c r="AW322" s="2">
        <v>11922.428413610982</v>
      </c>
      <c r="AX322" s="2">
        <v>75945.51234133933</v>
      </c>
      <c r="AY322" s="2">
        <v>64021.679041832605</v>
      </c>
      <c r="AZ322" s="2">
        <v>0</v>
      </c>
      <c r="BA322" s="2">
        <v>0</v>
      </c>
      <c r="BB322" s="2">
        <v>0.6</v>
      </c>
      <c r="BC322" s="30">
        <v>0</v>
      </c>
      <c r="BD322" s="34">
        <v>1</v>
      </c>
      <c r="BE322" s="34">
        <v>0</v>
      </c>
      <c r="BF322" s="40">
        <v>0</v>
      </c>
      <c r="BG322" s="2">
        <v>1</v>
      </c>
      <c r="BH322" s="2">
        <v>0</v>
      </c>
      <c r="BI322" s="40">
        <v>0</v>
      </c>
      <c r="BJ322" s="2">
        <v>0</v>
      </c>
      <c r="BK322" s="2">
        <v>0</v>
      </c>
      <c r="BL322" s="2">
        <v>1</v>
      </c>
      <c r="BM322" s="40">
        <v>0</v>
      </c>
      <c r="BN322" s="958">
        <v>0.1</v>
      </c>
      <c r="BO322" s="959">
        <v>14.1</v>
      </c>
      <c r="BP322" s="1018">
        <f t="shared" ca="1" si="444"/>
        <v>350</v>
      </c>
      <c r="BQ322" s="1018">
        <f t="shared" ca="1" si="445"/>
        <v>764.40000000000009</v>
      </c>
      <c r="BR322" s="1018">
        <f t="shared" ca="1" si="446"/>
        <v>105</v>
      </c>
      <c r="BS322" s="1018">
        <f t="shared" ca="1" si="447"/>
        <v>112.64999999999998</v>
      </c>
      <c r="BT322" s="1018">
        <f t="shared" ca="1" si="448"/>
        <v>105</v>
      </c>
      <c r="BU322" s="1018">
        <f t="shared" ca="1" si="449"/>
        <v>42</v>
      </c>
      <c r="BV322" s="1018">
        <f t="shared" ca="1" si="450"/>
        <v>2.15</v>
      </c>
      <c r="BW322" s="1018">
        <v>0</v>
      </c>
      <c r="BX322" s="1018">
        <f t="shared" ca="1" si="451"/>
        <v>80.171217029153169</v>
      </c>
      <c r="BY322" s="1018">
        <f t="shared" ca="1" si="452"/>
        <v>191.4933461864008</v>
      </c>
      <c r="BZ322" s="1018">
        <f t="shared" ca="1" si="381"/>
        <v>18.546782387806946</v>
      </c>
      <c r="CA322" s="1018">
        <f t="shared" ca="1" si="382"/>
        <v>115.49999993647498</v>
      </c>
      <c r="CB322" s="1018">
        <f t="shared" ca="1" si="453"/>
        <v>4.5133587786259541</v>
      </c>
      <c r="CC322" s="1018">
        <f t="shared" si="383"/>
        <v>0</v>
      </c>
      <c r="CD322" s="1018">
        <f t="shared" ca="1" si="455"/>
        <v>446.90470431846188</v>
      </c>
      <c r="CE322" s="1018">
        <f t="shared" ca="1" si="398"/>
        <v>149.97789927510865</v>
      </c>
      <c r="CF322" s="1018">
        <f t="shared" ca="1" si="384"/>
        <v>17.906478107807118</v>
      </c>
      <c r="CG322" s="1018">
        <f t="shared" ca="1" si="385"/>
        <v>29813.569790374539</v>
      </c>
    </row>
    <row r="323" spans="3:85" x14ac:dyDescent="0.25">
      <c r="C323" s="702"/>
      <c r="D323" s="703"/>
      <c r="E323" s="702"/>
      <c r="F323" s="703"/>
      <c r="G323" s="702"/>
      <c r="H323" s="703"/>
      <c r="I323" s="702"/>
      <c r="J323" s="703"/>
      <c r="K323" s="706"/>
      <c r="L323" s="708"/>
      <c r="M323" s="703"/>
      <c r="N323" s="703"/>
      <c r="O323" s="703"/>
      <c r="P323" s="703"/>
      <c r="Q323" s="703" t="s">
        <v>22</v>
      </c>
      <c r="R323" s="705">
        <v>0.39250000000000002</v>
      </c>
      <c r="S323" s="703"/>
      <c r="T323" s="713">
        <v>0</v>
      </c>
      <c r="U323" s="702"/>
      <c r="V323" s="176">
        <f t="shared" si="386"/>
        <v>0</v>
      </c>
      <c r="W323" s="176">
        <f t="shared" si="454"/>
        <v>0</v>
      </c>
      <c r="X323" s="176">
        <f>W323-W323*Calculation_sheet!O$78</f>
        <v>0</v>
      </c>
      <c r="Y323" s="34">
        <f>X323/Calculation_sheet!M$67</f>
        <v>0</v>
      </c>
      <c r="Z323" s="176">
        <f ca="1">IF(AN323&gt;0,Y323*Calculation_sheet!C$87,0)</f>
        <v>0</v>
      </c>
      <c r="AA323" s="176">
        <f t="shared" ca="1" si="377"/>
        <v>0</v>
      </c>
      <c r="AB323" s="176">
        <f ca="1">IF(AP323&gt;0,AA323*Calculation_sheet!C$94,0)</f>
        <v>0</v>
      </c>
      <c r="AC323" s="176">
        <f t="shared" ca="1" si="443"/>
        <v>0</v>
      </c>
      <c r="AD323" s="958">
        <f ca="1">AC323*Calculation_sheet!C$99</f>
        <v>0</v>
      </c>
      <c r="AE323" s="176">
        <f t="shared" ca="1" si="443"/>
        <v>0</v>
      </c>
      <c r="AF323" s="176">
        <f t="shared" ca="1" si="400"/>
        <v>0</v>
      </c>
      <c r="AG323" s="958">
        <f ca="1">AF323*User_sheet!B$77/100</f>
        <v>0</v>
      </c>
      <c r="AH323" s="313"/>
      <c r="AI323">
        <v>303</v>
      </c>
      <c r="AK323" s="1018">
        <f t="shared" ca="1" si="380"/>
        <v>446.90470431846188</v>
      </c>
      <c r="AL323" s="924">
        <f ca="1">AK323/'303'!I$24</f>
        <v>1.2255716558849907</v>
      </c>
      <c r="AM323" s="924">
        <f ca="1">0.8*(AK323*30+'303'!D$17*0.34*30*1)</f>
        <v>18722.512903643084</v>
      </c>
      <c r="AN323" s="954">
        <f ca="1">IF(AM323&lt;User_sheet!B$50,Y323,0)</f>
        <v>0</v>
      </c>
      <c r="AO323" s="954">
        <f ca="1">20-(User_sheet!B$57/(AK323+'303'!D$17*1*0.34))</f>
        <v>12.693288518263966</v>
      </c>
      <c r="AP323" s="954">
        <f ca="1">IF(AO323&lt;User_sheet!B$59,0,BC323*AA323)</f>
        <v>0</v>
      </c>
      <c r="AR323" s="2">
        <v>0.88</v>
      </c>
      <c r="AS323" s="1020">
        <v>2.41</v>
      </c>
      <c r="AT323" s="2">
        <v>0.59</v>
      </c>
      <c r="AU323" s="2">
        <v>2.75</v>
      </c>
      <c r="AV323" s="2">
        <v>3.3</v>
      </c>
      <c r="AW323" s="2">
        <v>11922.428413610982</v>
      </c>
      <c r="AX323" s="2">
        <v>75945.51234133933</v>
      </c>
      <c r="AY323" s="2">
        <v>64021.679041832605</v>
      </c>
      <c r="AZ323" s="2">
        <v>0</v>
      </c>
      <c r="BA323" s="2">
        <v>0</v>
      </c>
      <c r="BB323" s="2">
        <v>0.6</v>
      </c>
      <c r="BC323" s="30">
        <v>0</v>
      </c>
      <c r="BD323" s="34">
        <v>1</v>
      </c>
      <c r="BE323" s="34">
        <v>0</v>
      </c>
      <c r="BF323" s="40">
        <v>0</v>
      </c>
      <c r="BG323" s="2">
        <v>0</v>
      </c>
      <c r="BH323" s="2">
        <v>1</v>
      </c>
      <c r="BI323" s="40">
        <v>0</v>
      </c>
      <c r="BJ323" s="2">
        <v>0</v>
      </c>
      <c r="BK323" s="2">
        <v>1</v>
      </c>
      <c r="BL323" s="2">
        <v>0</v>
      </c>
      <c r="BM323" s="40">
        <v>0</v>
      </c>
      <c r="BN323" s="958">
        <v>0.1</v>
      </c>
      <c r="BO323" s="959">
        <v>14.1</v>
      </c>
      <c r="BP323" s="1018">
        <f t="shared" ca="1" si="444"/>
        <v>350</v>
      </c>
      <c r="BQ323" s="1018">
        <f t="shared" ca="1" si="445"/>
        <v>764.40000000000009</v>
      </c>
      <c r="BR323" s="1018">
        <f t="shared" ca="1" si="446"/>
        <v>105</v>
      </c>
      <c r="BS323" s="1018">
        <f t="shared" ca="1" si="447"/>
        <v>112.64999999999998</v>
      </c>
      <c r="BT323" s="1018">
        <f t="shared" ca="1" si="448"/>
        <v>105</v>
      </c>
      <c r="BU323" s="1018">
        <f t="shared" ca="1" si="449"/>
        <v>42</v>
      </c>
      <c r="BV323" s="1018">
        <f t="shared" ca="1" si="450"/>
        <v>2.15</v>
      </c>
      <c r="BW323" s="1018">
        <v>0</v>
      </c>
      <c r="BX323" s="1018">
        <f t="shared" ca="1" si="451"/>
        <v>80.171217029153169</v>
      </c>
      <c r="BY323" s="1018">
        <f t="shared" ca="1" si="452"/>
        <v>191.4933461864008</v>
      </c>
      <c r="BZ323" s="1018">
        <f t="shared" ca="1" si="381"/>
        <v>18.546782387806946</v>
      </c>
      <c r="CA323" s="1018">
        <f t="shared" ca="1" si="382"/>
        <v>115.49999993647498</v>
      </c>
      <c r="CB323" s="1018">
        <f t="shared" ca="1" si="453"/>
        <v>4.5133587786259541</v>
      </c>
      <c r="CC323" s="1018">
        <f t="shared" si="383"/>
        <v>0</v>
      </c>
      <c r="CD323" s="1018">
        <f t="shared" ca="1" si="455"/>
        <v>446.90470431846188</v>
      </c>
      <c r="CE323" s="1018">
        <f t="shared" ca="1" si="398"/>
        <v>149.97789927510865</v>
      </c>
      <c r="CF323" s="1018">
        <f t="shared" ca="1" si="384"/>
        <v>17.906478107807118</v>
      </c>
      <c r="CG323" s="1018">
        <f t="shared" ca="1" si="385"/>
        <v>29813.569790374539</v>
      </c>
    </row>
    <row r="324" spans="3:85" x14ac:dyDescent="0.25">
      <c r="C324" s="702" t="s">
        <v>3</v>
      </c>
      <c r="D324" s="705">
        <v>7.4899999999999994E-2</v>
      </c>
      <c r="E324" s="702"/>
      <c r="F324" s="703"/>
      <c r="G324" s="702"/>
      <c r="H324" s="703"/>
      <c r="I324" s="702"/>
      <c r="J324" s="703"/>
      <c r="K324" s="702"/>
      <c r="L324" s="702"/>
      <c r="M324" s="703" t="s">
        <v>22</v>
      </c>
      <c r="N324" s="705">
        <v>0.47</v>
      </c>
      <c r="O324" s="703" t="s">
        <v>20</v>
      </c>
      <c r="P324" s="705">
        <v>5.6000000000000001E-2</v>
      </c>
      <c r="Q324" s="703" t="s">
        <v>7</v>
      </c>
      <c r="R324" s="705">
        <v>0.60750000000000004</v>
      </c>
      <c r="S324" s="703"/>
      <c r="T324" s="713">
        <v>0</v>
      </c>
      <c r="U324" s="702"/>
      <c r="V324" s="176">
        <f t="shared" si="386"/>
        <v>0</v>
      </c>
      <c r="W324" s="176">
        <f t="shared" si="454"/>
        <v>0</v>
      </c>
      <c r="X324" s="176">
        <f>W324-W324*Calculation_sheet!O$78</f>
        <v>0</v>
      </c>
      <c r="Y324" s="34">
        <f>X324/Calculation_sheet!M$67</f>
        <v>0</v>
      </c>
      <c r="Z324" s="176">
        <f ca="1">IF(AN324&gt;0,Y324*Calculation_sheet!C$87,0)</f>
        <v>0</v>
      </c>
      <c r="AA324" s="176">
        <f t="shared" ca="1" si="377"/>
        <v>0</v>
      </c>
      <c r="AB324" s="176">
        <f ca="1">IF(AP324&gt;0,AA324*Calculation_sheet!C$94,0)</f>
        <v>0</v>
      </c>
      <c r="AC324" s="176">
        <f t="shared" ca="1" si="443"/>
        <v>0</v>
      </c>
      <c r="AD324" s="958">
        <f ca="1">AC324*Calculation_sheet!C$99</f>
        <v>0</v>
      </c>
      <c r="AE324" s="176">
        <f t="shared" ca="1" si="443"/>
        <v>0</v>
      </c>
      <c r="AF324" s="176">
        <f t="shared" ca="1" si="400"/>
        <v>0</v>
      </c>
      <c r="AG324" s="958">
        <f ca="1">AF324*User_sheet!B$77/100</f>
        <v>0</v>
      </c>
      <c r="AH324" s="313"/>
      <c r="AI324">
        <v>303</v>
      </c>
      <c r="AK324" s="1018">
        <f t="shared" ca="1" si="380"/>
        <v>446.90470431846188</v>
      </c>
      <c r="AL324" s="924">
        <f ca="1">AK324/'303'!I$24</f>
        <v>1.2255716558849907</v>
      </c>
      <c r="AM324" s="924">
        <f ca="1">0.8*(AK324*30+'303'!D$17*0.34*30*1)</f>
        <v>18722.512903643084</v>
      </c>
      <c r="AN324" s="954">
        <f ca="1">IF(AM324&lt;User_sheet!B$50,Y324,0)</f>
        <v>0</v>
      </c>
      <c r="AO324" s="954">
        <f ca="1">20-(User_sheet!B$57/(AK324+'303'!D$17*1*0.34))</f>
        <v>12.693288518263966</v>
      </c>
      <c r="AP324" s="954">
        <f ca="1">IF(AO324&lt;User_sheet!B$59,0,BC324*AA324)</f>
        <v>0</v>
      </c>
      <c r="AR324" s="2">
        <v>0.88</v>
      </c>
      <c r="AS324" s="1020">
        <v>2.41</v>
      </c>
      <c r="AT324" s="2">
        <v>0.59</v>
      </c>
      <c r="AU324" s="2">
        <v>2.75</v>
      </c>
      <c r="AV324" s="2">
        <v>3.3</v>
      </c>
      <c r="AW324" s="2">
        <v>11922.428413610982</v>
      </c>
      <c r="AX324" s="2">
        <v>75945.51234133933</v>
      </c>
      <c r="AY324" s="2">
        <v>64021.679041832605</v>
      </c>
      <c r="AZ324" s="2">
        <v>0</v>
      </c>
      <c r="BA324" s="2">
        <v>0</v>
      </c>
      <c r="BB324" s="2">
        <v>0.6</v>
      </c>
      <c r="BC324" s="30">
        <v>0</v>
      </c>
      <c r="BD324" s="34">
        <v>1</v>
      </c>
      <c r="BE324" s="34">
        <v>0</v>
      </c>
      <c r="BF324" s="40">
        <v>0</v>
      </c>
      <c r="BG324" s="2">
        <v>0</v>
      </c>
      <c r="BH324" s="2">
        <v>1</v>
      </c>
      <c r="BI324" s="40">
        <v>0</v>
      </c>
      <c r="BJ324" s="2">
        <v>0</v>
      </c>
      <c r="BK324" s="2">
        <v>0</v>
      </c>
      <c r="BL324" s="2">
        <v>1</v>
      </c>
      <c r="BM324" s="40">
        <v>0</v>
      </c>
      <c r="BN324" s="958">
        <v>0.1</v>
      </c>
      <c r="BO324" s="959">
        <v>14.1</v>
      </c>
      <c r="BP324" s="1018">
        <f t="shared" ca="1" si="444"/>
        <v>350</v>
      </c>
      <c r="BQ324" s="1018">
        <f t="shared" ca="1" si="445"/>
        <v>764.40000000000009</v>
      </c>
      <c r="BR324" s="1018">
        <f t="shared" ca="1" si="446"/>
        <v>105</v>
      </c>
      <c r="BS324" s="1018">
        <f t="shared" ca="1" si="447"/>
        <v>112.64999999999998</v>
      </c>
      <c r="BT324" s="1018">
        <f t="shared" ca="1" si="448"/>
        <v>105</v>
      </c>
      <c r="BU324" s="1018">
        <f t="shared" ca="1" si="449"/>
        <v>42</v>
      </c>
      <c r="BV324" s="1018">
        <f t="shared" ca="1" si="450"/>
        <v>2.15</v>
      </c>
      <c r="BW324" s="1018">
        <v>0</v>
      </c>
      <c r="BX324" s="1018">
        <f t="shared" ca="1" si="451"/>
        <v>80.171217029153169</v>
      </c>
      <c r="BY324" s="1018">
        <f t="shared" ca="1" si="452"/>
        <v>191.4933461864008</v>
      </c>
      <c r="BZ324" s="1018">
        <f t="shared" ca="1" si="381"/>
        <v>18.546782387806946</v>
      </c>
      <c r="CA324" s="1018">
        <f t="shared" ca="1" si="382"/>
        <v>115.49999993647498</v>
      </c>
      <c r="CB324" s="1018">
        <f t="shared" ca="1" si="453"/>
        <v>4.5133587786259541</v>
      </c>
      <c r="CC324" s="1018">
        <f t="shared" si="383"/>
        <v>0</v>
      </c>
      <c r="CD324" s="1018">
        <f t="shared" ca="1" si="455"/>
        <v>446.90470431846188</v>
      </c>
      <c r="CE324" s="1018">
        <f t="shared" ca="1" si="398"/>
        <v>149.97789927510865</v>
      </c>
      <c r="CF324" s="1018">
        <f t="shared" ca="1" si="384"/>
        <v>17.906478107807118</v>
      </c>
      <c r="CG324" s="1018">
        <f t="shared" ca="1" si="385"/>
        <v>29813.569790374539</v>
      </c>
    </row>
    <row r="325" spans="3:85" x14ac:dyDescent="0.25">
      <c r="C325" s="702"/>
      <c r="D325" s="703"/>
      <c r="E325" s="702"/>
      <c r="F325" s="703"/>
      <c r="G325" s="702" t="s">
        <v>9</v>
      </c>
      <c r="H325" s="707">
        <v>0.74940000000000007</v>
      </c>
      <c r="I325" s="702"/>
      <c r="J325" s="703"/>
      <c r="K325" s="706" t="s">
        <v>12</v>
      </c>
      <c r="L325" s="707">
        <v>0</v>
      </c>
      <c r="M325" s="703" t="s">
        <v>7</v>
      </c>
      <c r="N325" s="705">
        <v>0.11900000000000005</v>
      </c>
      <c r="O325" s="703" t="s">
        <v>23</v>
      </c>
      <c r="P325" s="705">
        <v>1</v>
      </c>
      <c r="Q325" s="703" t="s">
        <v>7</v>
      </c>
      <c r="R325" s="705">
        <v>1</v>
      </c>
      <c r="S325" s="703"/>
      <c r="T325" s="713">
        <v>0</v>
      </c>
      <c r="U325" s="702"/>
      <c r="V325" s="176">
        <f t="shared" si="386"/>
        <v>0</v>
      </c>
      <c r="W325" s="176">
        <f t="shared" si="454"/>
        <v>0</v>
      </c>
      <c r="X325" s="176">
        <f>W325-W325*Calculation_sheet!O$78</f>
        <v>0</v>
      </c>
      <c r="Y325" s="34">
        <f>X325/Calculation_sheet!M$67</f>
        <v>0</v>
      </c>
      <c r="Z325" s="176">
        <f ca="1">IF(AN325&gt;0,Y325*Calculation_sheet!C$87,0)</f>
        <v>0</v>
      </c>
      <c r="AA325" s="176">
        <f t="shared" ca="1" si="377"/>
        <v>0</v>
      </c>
      <c r="AB325" s="176">
        <f ca="1">IF(AP325&gt;0,AA325*Calculation_sheet!C$94,0)</f>
        <v>0</v>
      </c>
      <c r="AC325" s="176">
        <f t="shared" ca="1" si="443"/>
        <v>0</v>
      </c>
      <c r="AD325" s="958">
        <f ca="1">AC325*Calculation_sheet!C$99</f>
        <v>0</v>
      </c>
      <c r="AE325" s="176">
        <f t="shared" ca="1" si="443"/>
        <v>0</v>
      </c>
      <c r="AF325" s="176">
        <f t="shared" ca="1" si="400"/>
        <v>0</v>
      </c>
      <c r="AG325" s="958">
        <f ca="1">AF325*User_sheet!B$77/100</f>
        <v>0</v>
      </c>
      <c r="AH325" s="313"/>
      <c r="AI325">
        <v>303</v>
      </c>
      <c r="AK325" s="1018">
        <f t="shared" ca="1" si="380"/>
        <v>446.90470431846188</v>
      </c>
      <c r="AL325" s="924">
        <f ca="1">AK325/'303'!I$24</f>
        <v>1.2255716558849907</v>
      </c>
      <c r="AM325" s="924">
        <f ca="1">0.8*(AK325*30+'303'!D$17*0.34*30*1)</f>
        <v>18722.512903643084</v>
      </c>
      <c r="AN325" s="954">
        <f ca="1">IF(AM325&lt;User_sheet!B$50,Y325,0)</f>
        <v>0</v>
      </c>
      <c r="AO325" s="954">
        <f ca="1">20-(User_sheet!B$57/(AK325+'303'!D$17*1*0.34))</f>
        <v>12.693288518263966</v>
      </c>
      <c r="AP325" s="954">
        <f ca="1">IF(AO325&lt;User_sheet!B$59,0,BC325*AA325)</f>
        <v>0</v>
      </c>
      <c r="AR325" s="2">
        <v>0.88</v>
      </c>
      <c r="AS325" s="1020">
        <v>2.41</v>
      </c>
      <c r="AT325" s="2">
        <v>0.59</v>
      </c>
      <c r="AU325" s="2">
        <v>2.75</v>
      </c>
      <c r="AV325" s="2">
        <v>3.3</v>
      </c>
      <c r="AW325" s="2">
        <v>11922.428413610982</v>
      </c>
      <c r="AX325" s="2">
        <v>75945.51234133933</v>
      </c>
      <c r="AY325" s="2">
        <v>64021.679041832605</v>
      </c>
      <c r="AZ325" s="2">
        <v>0</v>
      </c>
      <c r="BA325" s="2">
        <v>0</v>
      </c>
      <c r="BB325" s="2">
        <v>0.6</v>
      </c>
      <c r="BC325" s="30">
        <v>0</v>
      </c>
      <c r="BD325" s="34">
        <v>0</v>
      </c>
      <c r="BE325" s="34">
        <v>1</v>
      </c>
      <c r="BF325" s="40">
        <v>0</v>
      </c>
      <c r="BG325" s="2">
        <v>0</v>
      </c>
      <c r="BH325" s="2">
        <v>0</v>
      </c>
      <c r="BI325" s="40">
        <v>1</v>
      </c>
      <c r="BJ325" s="2">
        <v>0</v>
      </c>
      <c r="BK325" s="2">
        <v>0</v>
      </c>
      <c r="BL325" s="2">
        <v>1</v>
      </c>
      <c r="BM325" s="40">
        <v>0</v>
      </c>
      <c r="BN325" s="958">
        <v>0.1</v>
      </c>
      <c r="BO325" s="959">
        <v>14.1</v>
      </c>
      <c r="BP325" s="1018">
        <f t="shared" ca="1" si="444"/>
        <v>350</v>
      </c>
      <c r="BQ325" s="1018">
        <f t="shared" ca="1" si="445"/>
        <v>764.40000000000009</v>
      </c>
      <c r="BR325" s="1018">
        <f t="shared" ca="1" si="446"/>
        <v>105</v>
      </c>
      <c r="BS325" s="1018">
        <f t="shared" ca="1" si="447"/>
        <v>112.64999999999998</v>
      </c>
      <c r="BT325" s="1018">
        <f t="shared" ca="1" si="448"/>
        <v>105</v>
      </c>
      <c r="BU325" s="1018">
        <f t="shared" ca="1" si="449"/>
        <v>42</v>
      </c>
      <c r="BV325" s="1018">
        <f t="shared" ca="1" si="450"/>
        <v>2.15</v>
      </c>
      <c r="BW325" s="1018">
        <v>0</v>
      </c>
      <c r="BX325" s="1018">
        <f t="shared" ca="1" si="451"/>
        <v>80.171217029153169</v>
      </c>
      <c r="BY325" s="1018">
        <f t="shared" ca="1" si="452"/>
        <v>191.4933461864008</v>
      </c>
      <c r="BZ325" s="1018">
        <f t="shared" ca="1" si="381"/>
        <v>18.546782387806946</v>
      </c>
      <c r="CA325" s="1018">
        <f t="shared" ca="1" si="382"/>
        <v>115.49999993647498</v>
      </c>
      <c r="CB325" s="1018">
        <f t="shared" ca="1" si="453"/>
        <v>4.5133587786259541</v>
      </c>
      <c r="CC325" s="1018">
        <f t="shared" si="383"/>
        <v>0</v>
      </c>
      <c r="CD325" s="1018">
        <f t="shared" ca="1" si="455"/>
        <v>446.90470431846188</v>
      </c>
      <c r="CE325" s="1018">
        <f t="shared" ca="1" si="398"/>
        <v>149.97789927510865</v>
      </c>
      <c r="CF325" s="1018">
        <f t="shared" ca="1" si="384"/>
        <v>17.906478107807118</v>
      </c>
      <c r="CG325" s="1018">
        <f t="shared" ca="1" si="385"/>
        <v>29813.569790374539</v>
      </c>
    </row>
    <row r="326" spans="3:85" s="11" customFormat="1" x14ac:dyDescent="0.25">
      <c r="C326" s="710"/>
      <c r="D326" s="711"/>
      <c r="E326" s="710"/>
      <c r="F326" s="711"/>
      <c r="G326" s="710"/>
      <c r="H326" s="711"/>
      <c r="I326" s="710"/>
      <c r="J326" s="711"/>
      <c r="K326" s="712"/>
      <c r="L326" s="711"/>
      <c r="M326" s="711"/>
      <c r="N326" s="711"/>
      <c r="O326" s="711"/>
      <c r="P326" s="711"/>
      <c r="Q326" s="711"/>
      <c r="R326" s="711"/>
      <c r="S326" s="711"/>
      <c r="T326" s="714"/>
      <c r="U326" s="710"/>
      <c r="V326" s="293"/>
      <c r="W326" s="292"/>
      <c r="X326" s="292"/>
      <c r="Y326" s="277"/>
      <c r="Z326" s="292"/>
      <c r="AA326" s="292"/>
      <c r="AB326" s="292"/>
      <c r="AC326" s="292"/>
      <c r="AD326" s="277"/>
      <c r="AE326" s="292"/>
      <c r="AF326" s="292"/>
      <c r="AG326" s="277"/>
      <c r="AH326" s="313"/>
      <c r="AJ326" s="314"/>
      <c r="AK326" s="1018">
        <f t="shared" si="380"/>
        <v>0</v>
      </c>
      <c r="AL326" s="928"/>
      <c r="AM326" s="928"/>
      <c r="AN326" s="941"/>
      <c r="AO326" s="941"/>
      <c r="AP326" s="941"/>
      <c r="AQ326" s="314"/>
      <c r="AR326" s="28"/>
      <c r="AS326" s="941"/>
      <c r="AT326" s="28"/>
      <c r="AU326" s="28"/>
      <c r="AV326" s="28"/>
      <c r="AW326" s="28"/>
      <c r="AX326" s="28"/>
      <c r="AY326" s="28"/>
      <c r="AZ326" s="28"/>
      <c r="BA326" s="28"/>
      <c r="BB326" s="28"/>
      <c r="BC326" s="45"/>
      <c r="BD326" s="277"/>
      <c r="BE326" s="277"/>
      <c r="BF326" s="49"/>
      <c r="BG326" s="28"/>
      <c r="BH326" s="28"/>
      <c r="BI326" s="49"/>
      <c r="BJ326" s="28"/>
      <c r="BK326" s="28"/>
      <c r="BL326" s="28"/>
      <c r="BM326" s="49"/>
      <c r="BN326" s="277"/>
      <c r="BO326" s="49"/>
      <c r="BP326" s="946"/>
      <c r="BQ326" s="946"/>
      <c r="BR326" s="946"/>
      <c r="BS326" s="946"/>
      <c r="BT326" s="946"/>
      <c r="BU326" s="946"/>
      <c r="BV326" s="946"/>
      <c r="BW326" s="946"/>
      <c r="BX326" s="946"/>
      <c r="BY326" s="946"/>
      <c r="BZ326" s="946"/>
      <c r="CA326" s="946"/>
      <c r="CB326" s="946"/>
      <c r="CC326" s="946"/>
      <c r="CD326" s="946"/>
      <c r="CE326" s="946"/>
      <c r="CF326" s="946"/>
      <c r="CG326" s="946"/>
    </row>
    <row r="327" spans="3:85" x14ac:dyDescent="0.25">
      <c r="D327" s="1"/>
      <c r="F327" s="1"/>
      <c r="G327" s="3"/>
      <c r="H327" s="6"/>
      <c r="I327" s="3"/>
      <c r="J327" s="6"/>
      <c r="K327" s="8"/>
      <c r="L327" s="6"/>
      <c r="M327" s="1"/>
      <c r="N327" s="1"/>
      <c r="O327" s="1"/>
      <c r="P327" s="1"/>
      <c r="Q327" s="1" t="s">
        <v>16</v>
      </c>
      <c r="R327" s="4"/>
      <c r="S327" s="1"/>
      <c r="T327" s="77"/>
      <c r="U327" s="294"/>
      <c r="X327" s="176">
        <f>W317-X317</f>
        <v>0</v>
      </c>
      <c r="Y327" s="34">
        <f>X327/Calculation_sheet!M$67</f>
        <v>0</v>
      </c>
      <c r="Z327" s="176">
        <f ca="1">IF(AN327&gt;0,Y327*Calculation_sheet!C$87,0)</f>
        <v>0</v>
      </c>
      <c r="AA327" s="176">
        <f t="shared" ca="1" si="377"/>
        <v>0</v>
      </c>
      <c r="AB327" s="176">
        <f ca="1">IF(AP327&gt;0,AA327*Calculation_sheet!C$94,0)</f>
        <v>0</v>
      </c>
      <c r="AC327" s="176">
        <f t="shared" ref="AC327:AE335" ca="1" si="456">AA327-AB327</f>
        <v>0</v>
      </c>
      <c r="AD327" s="958">
        <f ca="1">AC327*Calculation_sheet!C$99</f>
        <v>0</v>
      </c>
      <c r="AE327" s="176">
        <f t="shared" ca="1" si="456"/>
        <v>0</v>
      </c>
      <c r="AF327" s="176">
        <f t="shared" ca="1" si="400"/>
        <v>0</v>
      </c>
      <c r="AG327" s="958">
        <f ca="1">AF327*User_sheet!B$77/100</f>
        <v>0</v>
      </c>
      <c r="AH327" s="313"/>
      <c r="AI327">
        <v>303</v>
      </c>
      <c r="AK327" s="1018">
        <f t="shared" ca="1" si="380"/>
        <v>367.06774704636865</v>
      </c>
      <c r="AL327" s="924">
        <f ca="1">AK327/'303'!I$24</f>
        <v>1.0066303223539521</v>
      </c>
      <c r="AM327" s="924">
        <f ca="1">0.8*(AK327*30+'303'!D$17*0.34*30*1)</f>
        <v>16806.425929112851</v>
      </c>
      <c r="AN327" s="954">
        <f ca="1">IF(AM327&lt;User_sheet!B$50,Y327,0)</f>
        <v>0</v>
      </c>
      <c r="AO327" s="954">
        <f ca="1">20-(User_sheet!B$57/(AK327+'303'!D$17*1*0.34))</f>
        <v>11.860256274772325</v>
      </c>
      <c r="AP327" s="954">
        <f ca="1">IF(AO327&lt;User_sheet!B$59,0,BC327*AA327)</f>
        <v>0</v>
      </c>
      <c r="AR327" s="2">
        <v>0.32</v>
      </c>
      <c r="AS327" s="1020">
        <v>2.41</v>
      </c>
      <c r="AT327" s="2">
        <v>0.59</v>
      </c>
      <c r="AU327" s="2">
        <v>2</v>
      </c>
      <c r="AV327" s="2">
        <v>3.3</v>
      </c>
      <c r="AW327" s="2">
        <v>14356</v>
      </c>
      <c r="AX327" s="2">
        <v>75945.51234133933</v>
      </c>
      <c r="AY327" s="2">
        <v>64021.679041832605</v>
      </c>
      <c r="AZ327" s="27">
        <v>0</v>
      </c>
      <c r="BA327" s="27">
        <v>0</v>
      </c>
      <c r="BB327" s="2">
        <v>0.6</v>
      </c>
      <c r="BC327" s="30">
        <v>1</v>
      </c>
      <c r="BD327" s="34">
        <v>0</v>
      </c>
      <c r="BE327" s="34">
        <v>0</v>
      </c>
      <c r="BF327" s="40">
        <v>0</v>
      </c>
      <c r="BG327" s="2">
        <v>1</v>
      </c>
      <c r="BH327" s="2">
        <v>0</v>
      </c>
      <c r="BI327" s="40">
        <v>0</v>
      </c>
      <c r="BJ327" s="2">
        <v>1</v>
      </c>
      <c r="BK327" s="2">
        <v>0</v>
      </c>
      <c r="BL327" s="2">
        <v>0</v>
      </c>
      <c r="BM327" s="40">
        <v>0</v>
      </c>
      <c r="BN327" s="958">
        <v>0.1</v>
      </c>
      <c r="BO327" s="959">
        <v>14.1</v>
      </c>
      <c r="BP327" s="1018">
        <f t="shared" ref="BP327:BP335" ca="1" si="457">INDIRECT("'"&amp;AI327&amp;"'!"&amp;"B2")</f>
        <v>350</v>
      </c>
      <c r="BQ327" s="1018">
        <f t="shared" ref="BQ327:BQ335" ca="1" si="458">INDIRECT("'"&amp;AI327&amp;"'!"&amp;"C12")+INDIRECT("'"&amp;AI327&amp;"'!"&amp;"C13")+INDIRECT("'"&amp;AI327&amp;"'!"&amp;"C14")+INDIRECT("'"&amp;AI327&amp;"'!"&amp;"C15")+INDIRECT("'"&amp;AI327&amp;"'!"&amp;"C17")</f>
        <v>764.40000000000009</v>
      </c>
      <c r="BR327" s="1018">
        <f t="shared" ref="BR327:BR335" ca="1" si="459">INDIRECT("'"&amp;AI327&amp;"'!"&amp;"G5")</f>
        <v>105</v>
      </c>
      <c r="BS327" s="1018">
        <f t="shared" ref="BS327:BS335" ca="1" si="460">INDIRECT("'"&amp;AI327&amp;"'!"&amp;"G4")</f>
        <v>112.64999999999998</v>
      </c>
      <c r="BT327" s="1018">
        <f t="shared" ref="BT327:BT335" ca="1" si="461">INDIRECT("'"&amp;AI327&amp;"'!"&amp;"G6")</f>
        <v>105</v>
      </c>
      <c r="BU327" s="1018">
        <f t="shared" ref="BU327:BU335" ca="1" si="462">INDIRECT("'"&amp;AI327&amp;"'!"&amp;"G2")</f>
        <v>42</v>
      </c>
      <c r="BV327" s="1018">
        <f t="shared" ref="BV327:BV335" ca="1" si="463">INDIRECT("'"&amp;AI327&amp;"'!"&amp;"G3")</f>
        <v>2.15</v>
      </c>
      <c r="BW327" s="1018">
        <v>0</v>
      </c>
      <c r="BX327" s="1018">
        <f t="shared" ref="BX327:BX335" ca="1" si="464">IF(BR327=0,0,1/(1/(BR327*$BY$3)+1/(BR327*AR327)+1/(BR327*$BY$4)))</f>
        <v>31.834259727134924</v>
      </c>
      <c r="BY327" s="1018">
        <f t="shared" ref="BY327:BY335" ca="1" si="465">IF(BS327=0,0,1/(1/(BS327*$BY$3)+1/(BS327*AS327)+1/(BS327*$BY$4)))</f>
        <v>191.4933461864008</v>
      </c>
      <c r="BZ327" s="1018">
        <f t="shared" ca="1" si="381"/>
        <v>18.546782387806946</v>
      </c>
      <c r="CA327" s="1018">
        <f t="shared" ca="1" si="382"/>
        <v>83.999999966399997</v>
      </c>
      <c r="CB327" s="1018">
        <f t="shared" ref="CB327:CB335" ca="1" si="466">IF(BV327=0,0,1/(1/(BV327*$BY$3)+1/(BV327*AV327)+1/(BV327*$BY$4)))</f>
        <v>4.5133587786259541</v>
      </c>
      <c r="CC327" s="1018">
        <f t="shared" si="383"/>
        <v>0</v>
      </c>
      <c r="CD327" s="1018">
        <f ca="1">SUM(BX327:CC327)+(BR327+BS327+BT327+BU327+BV327)*BN327</f>
        <v>367.06774704636865</v>
      </c>
      <c r="CE327" s="1018">
        <f t="shared" ca="1" si="398"/>
        <v>149.97789927510865</v>
      </c>
      <c r="CF327" s="1018">
        <f t="shared" ca="1" si="384"/>
        <v>15.511369389644319</v>
      </c>
      <c r="CG327" s="1018">
        <f t="shared" ca="1" si="385"/>
        <v>25825.809578982204</v>
      </c>
    </row>
    <row r="328" spans="3:85" x14ac:dyDescent="0.25">
      <c r="D328" s="1"/>
      <c r="F328" s="1"/>
      <c r="G328" s="3"/>
      <c r="H328" s="6"/>
      <c r="I328" s="3"/>
      <c r="J328" s="6"/>
      <c r="K328" s="8"/>
      <c r="L328" s="6"/>
      <c r="M328" s="1"/>
      <c r="N328" s="1"/>
      <c r="O328" s="1" t="s">
        <v>18</v>
      </c>
      <c r="P328" s="4"/>
      <c r="Q328" s="1" t="s">
        <v>7</v>
      </c>
      <c r="R328" s="4"/>
      <c r="S328" s="1"/>
      <c r="T328" s="77"/>
      <c r="U328" s="294"/>
      <c r="X328" s="176">
        <f t="shared" ref="X328:X335" si="467">W318-X318</f>
        <v>0</v>
      </c>
      <c r="Y328" s="34">
        <f>X328/Calculation_sheet!M$67</f>
        <v>0</v>
      </c>
      <c r="Z328" s="176">
        <f ca="1">IF(AN328&gt;0,Y328*Calculation_sheet!C$87,0)</f>
        <v>0</v>
      </c>
      <c r="AA328" s="176">
        <f t="shared" ca="1" si="377"/>
        <v>0</v>
      </c>
      <c r="AB328" s="176">
        <f ca="1">IF(AP328&gt;0,AA328*Calculation_sheet!C$94,0)</f>
        <v>0</v>
      </c>
      <c r="AC328" s="176">
        <f t="shared" ca="1" si="456"/>
        <v>0</v>
      </c>
      <c r="AD328" s="958">
        <f ca="1">AC328*Calculation_sheet!C$99</f>
        <v>0</v>
      </c>
      <c r="AE328" s="176">
        <f t="shared" ca="1" si="456"/>
        <v>0</v>
      </c>
      <c r="AF328" s="176">
        <f t="shared" ca="1" si="400"/>
        <v>0</v>
      </c>
      <c r="AG328" s="958">
        <f ca="1">AF328*User_sheet!B$77/100</f>
        <v>0</v>
      </c>
      <c r="AH328" s="313"/>
      <c r="AI328">
        <v>303</v>
      </c>
      <c r="AK328" s="1018">
        <f t="shared" ca="1" si="380"/>
        <v>367.06774704636865</v>
      </c>
      <c r="AL328" s="924">
        <f ca="1">AK328/'303'!I$24</f>
        <v>1.0066303223539521</v>
      </c>
      <c r="AM328" s="924">
        <f ca="1">0.8*(AK328*30+'303'!D$17*0.34*30*1)</f>
        <v>16806.425929112851</v>
      </c>
      <c r="AN328" s="954">
        <f ca="1">IF(AM328&lt;User_sheet!B$50,Y328,0)</f>
        <v>0</v>
      </c>
      <c r="AO328" s="954">
        <f ca="1">20-(User_sheet!B$57/(AK328+'303'!D$17*1*0.34))</f>
        <v>11.860256274772325</v>
      </c>
      <c r="AP328" s="954">
        <f ca="1">IF(AO328&lt;User_sheet!B$59,0,BC328*AA328)</f>
        <v>0</v>
      </c>
      <c r="AR328" s="2">
        <v>0.32</v>
      </c>
      <c r="AS328" s="1020">
        <v>2.41</v>
      </c>
      <c r="AT328" s="2">
        <v>0.59</v>
      </c>
      <c r="AU328" s="2">
        <v>2</v>
      </c>
      <c r="AV328" s="2">
        <v>3.3</v>
      </c>
      <c r="AW328" s="2">
        <v>14356</v>
      </c>
      <c r="AX328" s="2">
        <v>75945.51234133933</v>
      </c>
      <c r="AY328" s="2">
        <v>64021.679041832605</v>
      </c>
      <c r="AZ328" s="27">
        <v>0</v>
      </c>
      <c r="BA328" s="27">
        <v>0</v>
      </c>
      <c r="BB328" s="2">
        <v>0.6</v>
      </c>
      <c r="BC328" s="30">
        <v>1</v>
      </c>
      <c r="BD328" s="34">
        <v>0</v>
      </c>
      <c r="BE328" s="34">
        <v>0</v>
      </c>
      <c r="BF328" s="40">
        <v>0</v>
      </c>
      <c r="BG328" s="2">
        <v>1</v>
      </c>
      <c r="BH328" s="2">
        <v>0</v>
      </c>
      <c r="BI328" s="40">
        <v>0</v>
      </c>
      <c r="BJ328" s="2">
        <v>0</v>
      </c>
      <c r="BK328" s="2">
        <v>0</v>
      </c>
      <c r="BL328" s="2">
        <v>1</v>
      </c>
      <c r="BM328" s="40">
        <v>0</v>
      </c>
      <c r="BN328" s="958">
        <v>0.1</v>
      </c>
      <c r="BO328" s="959">
        <v>14.1</v>
      </c>
      <c r="BP328" s="1018">
        <f t="shared" ca="1" si="457"/>
        <v>350</v>
      </c>
      <c r="BQ328" s="1018">
        <f t="shared" ca="1" si="458"/>
        <v>764.40000000000009</v>
      </c>
      <c r="BR328" s="1018">
        <f t="shared" ca="1" si="459"/>
        <v>105</v>
      </c>
      <c r="BS328" s="1018">
        <f t="shared" ca="1" si="460"/>
        <v>112.64999999999998</v>
      </c>
      <c r="BT328" s="1018">
        <f t="shared" ca="1" si="461"/>
        <v>105</v>
      </c>
      <c r="BU328" s="1018">
        <f t="shared" ca="1" si="462"/>
        <v>42</v>
      </c>
      <c r="BV328" s="1018">
        <f t="shared" ca="1" si="463"/>
        <v>2.15</v>
      </c>
      <c r="BW328" s="1018">
        <v>0</v>
      </c>
      <c r="BX328" s="1018">
        <f t="shared" ca="1" si="464"/>
        <v>31.834259727134924</v>
      </c>
      <c r="BY328" s="1018">
        <f t="shared" ca="1" si="465"/>
        <v>191.4933461864008</v>
      </c>
      <c r="BZ328" s="1018">
        <f t="shared" ca="1" si="381"/>
        <v>18.546782387806946</v>
      </c>
      <c r="CA328" s="1018">
        <f t="shared" ca="1" si="382"/>
        <v>83.999999966399997</v>
      </c>
      <c r="CB328" s="1018">
        <f t="shared" ca="1" si="466"/>
        <v>4.5133587786259541</v>
      </c>
      <c r="CC328" s="1018">
        <f t="shared" si="383"/>
        <v>0</v>
      </c>
      <c r="CD328" s="1018">
        <f t="shared" ref="CD328:CD335" ca="1" si="468">SUM(BX328:CC328)+(BR328+BS328+BT328+BU328+BV328)*BN328</f>
        <v>367.06774704636865</v>
      </c>
      <c r="CE328" s="1018">
        <f t="shared" ca="1" si="398"/>
        <v>149.97789927510865</v>
      </c>
      <c r="CF328" s="1018">
        <f t="shared" ca="1" si="384"/>
        <v>15.511369389644319</v>
      </c>
      <c r="CG328" s="1018">
        <f t="shared" ca="1" si="385"/>
        <v>25825.809578982204</v>
      </c>
    </row>
    <row r="329" spans="3:85" x14ac:dyDescent="0.25">
      <c r="D329" s="1"/>
      <c r="F329" s="1"/>
      <c r="G329" s="3"/>
      <c r="H329" s="6"/>
      <c r="I329" s="3"/>
      <c r="J329" s="6"/>
      <c r="K329" s="8"/>
      <c r="L329" s="6"/>
      <c r="M329" s="1"/>
      <c r="N329" s="1"/>
      <c r="O329" s="1"/>
      <c r="P329" s="1"/>
      <c r="Q329" s="1" t="s">
        <v>16</v>
      </c>
      <c r="R329" s="4"/>
      <c r="S329" s="1"/>
      <c r="T329" s="77"/>
      <c r="U329" s="294"/>
      <c r="X329" s="176">
        <f t="shared" si="467"/>
        <v>0</v>
      </c>
      <c r="Y329" s="34">
        <f>X329/Calculation_sheet!M$67</f>
        <v>0</v>
      </c>
      <c r="Z329" s="176">
        <f ca="1">IF(AN329&gt;0,Y329*Calculation_sheet!C$87,0)</f>
        <v>0</v>
      </c>
      <c r="AA329" s="176">
        <f t="shared" ca="1" si="377"/>
        <v>0</v>
      </c>
      <c r="AB329" s="176">
        <f ca="1">IF(AP329&gt;0,AA329*Calculation_sheet!C$94,0)</f>
        <v>0</v>
      </c>
      <c r="AC329" s="176">
        <f t="shared" ca="1" si="456"/>
        <v>0</v>
      </c>
      <c r="AD329" s="958">
        <f ca="1">AC329*Calculation_sheet!C$99</f>
        <v>0</v>
      </c>
      <c r="AE329" s="176">
        <f t="shared" ca="1" si="456"/>
        <v>0</v>
      </c>
      <c r="AF329" s="176">
        <f t="shared" ca="1" si="400"/>
        <v>0</v>
      </c>
      <c r="AG329" s="958">
        <f ca="1">AF329*User_sheet!B$77/100</f>
        <v>0</v>
      </c>
      <c r="AH329" s="313"/>
      <c r="AI329">
        <v>303</v>
      </c>
      <c r="AK329" s="1018">
        <f t="shared" ca="1" si="380"/>
        <v>367.06774704636865</v>
      </c>
      <c r="AL329" s="924">
        <f ca="1">AK329/'303'!I$24</f>
        <v>1.0066303223539521</v>
      </c>
      <c r="AM329" s="924">
        <f ca="1">0.8*(AK329*30+'303'!D$17*0.34*30*1)</f>
        <v>16806.425929112851</v>
      </c>
      <c r="AN329" s="954">
        <f ca="1">IF(AM329&lt;User_sheet!B$50,Y329,0)</f>
        <v>0</v>
      </c>
      <c r="AO329" s="954">
        <f ca="1">20-(User_sheet!B$57/(AK329+'303'!D$17*1*0.34))</f>
        <v>11.860256274772325</v>
      </c>
      <c r="AP329" s="954">
        <f ca="1">IF(AO329&lt;User_sheet!B$59,0,BC329*AA329)</f>
        <v>0</v>
      </c>
      <c r="AR329" s="2">
        <v>0.32</v>
      </c>
      <c r="AS329" s="1020">
        <v>2.41</v>
      </c>
      <c r="AT329" s="2">
        <v>0.59</v>
      </c>
      <c r="AU329" s="2">
        <v>2</v>
      </c>
      <c r="AV329" s="2">
        <v>3.3</v>
      </c>
      <c r="AW329" s="2">
        <v>14356</v>
      </c>
      <c r="AX329" s="2">
        <v>75945.51234133933</v>
      </c>
      <c r="AY329" s="2">
        <v>64021.679041832605</v>
      </c>
      <c r="AZ329" s="27">
        <v>0</v>
      </c>
      <c r="BA329" s="27">
        <v>0</v>
      </c>
      <c r="BB329" s="2">
        <v>0.6</v>
      </c>
      <c r="BC329" s="30">
        <v>1</v>
      </c>
      <c r="BD329" s="34">
        <v>0</v>
      </c>
      <c r="BE329" s="34">
        <v>0</v>
      </c>
      <c r="BF329" s="40">
        <v>0</v>
      </c>
      <c r="BG329" s="2">
        <v>0</v>
      </c>
      <c r="BH329" s="2">
        <v>1</v>
      </c>
      <c r="BI329" s="40">
        <v>0</v>
      </c>
      <c r="BJ329" s="2">
        <v>1</v>
      </c>
      <c r="BK329" s="2">
        <v>0</v>
      </c>
      <c r="BL329" s="2">
        <v>0</v>
      </c>
      <c r="BM329" s="40">
        <v>0</v>
      </c>
      <c r="BN329" s="958">
        <v>0.1</v>
      </c>
      <c r="BO329" s="959">
        <v>14.1</v>
      </c>
      <c r="BP329" s="1018">
        <f t="shared" ca="1" si="457"/>
        <v>350</v>
      </c>
      <c r="BQ329" s="1018">
        <f t="shared" ca="1" si="458"/>
        <v>764.40000000000009</v>
      </c>
      <c r="BR329" s="1018">
        <f t="shared" ca="1" si="459"/>
        <v>105</v>
      </c>
      <c r="BS329" s="1018">
        <f t="shared" ca="1" si="460"/>
        <v>112.64999999999998</v>
      </c>
      <c r="BT329" s="1018">
        <f t="shared" ca="1" si="461"/>
        <v>105</v>
      </c>
      <c r="BU329" s="1018">
        <f t="shared" ca="1" si="462"/>
        <v>42</v>
      </c>
      <c r="BV329" s="1018">
        <f t="shared" ca="1" si="463"/>
        <v>2.15</v>
      </c>
      <c r="BW329" s="1018">
        <v>0</v>
      </c>
      <c r="BX329" s="1018">
        <f t="shared" ca="1" si="464"/>
        <v>31.834259727134924</v>
      </c>
      <c r="BY329" s="1018">
        <f t="shared" ca="1" si="465"/>
        <v>191.4933461864008</v>
      </c>
      <c r="BZ329" s="1018">
        <f t="shared" ca="1" si="381"/>
        <v>18.546782387806946</v>
      </c>
      <c r="CA329" s="1018">
        <f t="shared" ca="1" si="382"/>
        <v>83.999999966399997</v>
      </c>
      <c r="CB329" s="1018">
        <f t="shared" ca="1" si="466"/>
        <v>4.5133587786259541</v>
      </c>
      <c r="CC329" s="1018">
        <f t="shared" si="383"/>
        <v>0</v>
      </c>
      <c r="CD329" s="1018">
        <f t="shared" ca="1" si="468"/>
        <v>367.06774704636865</v>
      </c>
      <c r="CE329" s="1018">
        <f t="shared" ca="1" si="398"/>
        <v>149.97789927510865</v>
      </c>
      <c r="CF329" s="1018">
        <f t="shared" ca="1" si="384"/>
        <v>15.511369389644319</v>
      </c>
      <c r="CG329" s="1018">
        <f t="shared" ca="1" si="385"/>
        <v>25825.809578982204</v>
      </c>
    </row>
    <row r="330" spans="3:85" x14ac:dyDescent="0.25">
      <c r="D330" s="1"/>
      <c r="F330" s="1"/>
      <c r="G330" s="3"/>
      <c r="H330" s="6"/>
      <c r="I330" s="3"/>
      <c r="J330" s="3" t="s">
        <v>144</v>
      </c>
      <c r="K330" s="8"/>
      <c r="L330" s="6"/>
      <c r="M330" s="1" t="s">
        <v>16</v>
      </c>
      <c r="N330" s="4"/>
      <c r="O330" s="1" t="s">
        <v>19</v>
      </c>
      <c r="P330" s="4"/>
      <c r="Q330" s="1" t="s">
        <v>7</v>
      </c>
      <c r="R330" s="4"/>
      <c r="S330" s="1"/>
      <c r="T330" s="77"/>
      <c r="U330" s="294"/>
      <c r="X330" s="176">
        <f t="shared" si="467"/>
        <v>0</v>
      </c>
      <c r="Y330" s="34">
        <f>X330/Calculation_sheet!M$67</f>
        <v>0</v>
      </c>
      <c r="Z330" s="176">
        <f ca="1">IF(AN330&gt;0,Y330*Calculation_sheet!C$87,0)</f>
        <v>0</v>
      </c>
      <c r="AA330" s="176">
        <f t="shared" ref="AA330:AA335" ca="1" si="469">Y330-Z330</f>
        <v>0</v>
      </c>
      <c r="AB330" s="176">
        <f ca="1">IF(AP330&gt;0,AA330*Calculation_sheet!C$94,0)</f>
        <v>0</v>
      </c>
      <c r="AC330" s="176">
        <f t="shared" ca="1" si="456"/>
        <v>0</v>
      </c>
      <c r="AD330" s="958">
        <f ca="1">AC330*Calculation_sheet!C$99</f>
        <v>0</v>
      </c>
      <c r="AE330" s="176">
        <f t="shared" ca="1" si="456"/>
        <v>0</v>
      </c>
      <c r="AF330" s="176">
        <f t="shared" ca="1" si="400"/>
        <v>0</v>
      </c>
      <c r="AG330" s="958">
        <f ca="1">AF330*User_sheet!B$77/100</f>
        <v>0</v>
      </c>
      <c r="AH330" s="313"/>
      <c r="AI330">
        <v>303</v>
      </c>
      <c r="AK330" s="1018">
        <f t="shared" ca="1" si="380"/>
        <v>367.06774704636865</v>
      </c>
      <c r="AL330" s="924">
        <f ca="1">AK330/'303'!I$24</f>
        <v>1.0066303223539521</v>
      </c>
      <c r="AM330" s="924">
        <f ca="1">0.8*(AK330*30+'303'!D$17*0.34*30*1)</f>
        <v>16806.425929112851</v>
      </c>
      <c r="AN330" s="954">
        <f ca="1">IF(AM330&lt;User_sheet!B$50,Y330,0)</f>
        <v>0</v>
      </c>
      <c r="AO330" s="954">
        <f ca="1">20-(User_sheet!B$57/(AK330+'303'!D$17*1*0.34))</f>
        <v>11.860256274772325</v>
      </c>
      <c r="AP330" s="954">
        <f ca="1">IF(AO330&lt;User_sheet!B$59,0,BC330*AA330)</f>
        <v>0</v>
      </c>
      <c r="AR330" s="2">
        <v>0.32</v>
      </c>
      <c r="AS330" s="1020">
        <v>2.41</v>
      </c>
      <c r="AT330" s="2">
        <v>0.59</v>
      </c>
      <c r="AU330" s="2">
        <v>2</v>
      </c>
      <c r="AV330" s="2">
        <v>3.3</v>
      </c>
      <c r="AW330" s="2">
        <v>14356</v>
      </c>
      <c r="AX330" s="2">
        <v>75945.51234133933</v>
      </c>
      <c r="AY330" s="2">
        <v>64021.679041832605</v>
      </c>
      <c r="AZ330" s="27">
        <v>0</v>
      </c>
      <c r="BA330" s="27">
        <v>0</v>
      </c>
      <c r="BB330" s="2">
        <v>0.6</v>
      </c>
      <c r="BC330" s="30">
        <v>1</v>
      </c>
      <c r="BD330" s="34">
        <v>0</v>
      </c>
      <c r="BE330" s="34">
        <v>0</v>
      </c>
      <c r="BF330" s="40">
        <v>0</v>
      </c>
      <c r="BG330" s="2">
        <v>0</v>
      </c>
      <c r="BH330" s="2">
        <v>1</v>
      </c>
      <c r="BI330" s="40">
        <v>0</v>
      </c>
      <c r="BJ330" s="2">
        <v>0</v>
      </c>
      <c r="BK330" s="2">
        <v>0</v>
      </c>
      <c r="BL330" s="2">
        <v>1</v>
      </c>
      <c r="BM330" s="40">
        <v>0</v>
      </c>
      <c r="BN330" s="958">
        <v>0.1</v>
      </c>
      <c r="BO330" s="959">
        <v>14.1</v>
      </c>
      <c r="BP330" s="1018">
        <f t="shared" ca="1" si="457"/>
        <v>350</v>
      </c>
      <c r="BQ330" s="1018">
        <f t="shared" ca="1" si="458"/>
        <v>764.40000000000009</v>
      </c>
      <c r="BR330" s="1018">
        <f t="shared" ca="1" si="459"/>
        <v>105</v>
      </c>
      <c r="BS330" s="1018">
        <f t="shared" ca="1" si="460"/>
        <v>112.64999999999998</v>
      </c>
      <c r="BT330" s="1018">
        <f t="shared" ca="1" si="461"/>
        <v>105</v>
      </c>
      <c r="BU330" s="1018">
        <f t="shared" ca="1" si="462"/>
        <v>42</v>
      </c>
      <c r="BV330" s="1018">
        <f t="shared" ca="1" si="463"/>
        <v>2.15</v>
      </c>
      <c r="BW330" s="1018">
        <v>0</v>
      </c>
      <c r="BX330" s="1018">
        <f t="shared" ca="1" si="464"/>
        <v>31.834259727134924</v>
      </c>
      <c r="BY330" s="1018">
        <f t="shared" ca="1" si="465"/>
        <v>191.4933461864008</v>
      </c>
      <c r="BZ330" s="1018">
        <f t="shared" ca="1" si="381"/>
        <v>18.546782387806946</v>
      </c>
      <c r="CA330" s="1018">
        <f t="shared" ca="1" si="382"/>
        <v>83.999999966399997</v>
      </c>
      <c r="CB330" s="1018">
        <f t="shared" ca="1" si="466"/>
        <v>4.5133587786259541</v>
      </c>
      <c r="CC330" s="1018">
        <f t="shared" si="383"/>
        <v>0</v>
      </c>
      <c r="CD330" s="1018">
        <f t="shared" ca="1" si="468"/>
        <v>367.06774704636865</v>
      </c>
      <c r="CE330" s="1018">
        <f t="shared" ca="1" si="398"/>
        <v>149.97789927510865</v>
      </c>
      <c r="CF330" s="1018">
        <f t="shared" ca="1" si="384"/>
        <v>15.511369389644319</v>
      </c>
      <c r="CG330" s="1018">
        <f t="shared" ca="1" si="385"/>
        <v>25825.809578982204</v>
      </c>
    </row>
    <row r="331" spans="3:85" x14ac:dyDescent="0.25">
      <c r="D331" s="1"/>
      <c r="F331" s="1"/>
      <c r="G331" s="3"/>
      <c r="H331" s="6"/>
      <c r="I331" s="3"/>
      <c r="J331" s="6" t="s">
        <v>190</v>
      </c>
      <c r="K331" s="8"/>
      <c r="L331" s="6"/>
      <c r="M331" s="1"/>
      <c r="N331" s="1"/>
      <c r="O331" s="1"/>
      <c r="P331" s="1"/>
      <c r="Q331" s="1" t="s">
        <v>22</v>
      </c>
      <c r="R331" s="4"/>
      <c r="S331" s="1"/>
      <c r="T331" s="77"/>
      <c r="U331" s="294"/>
      <c r="X331" s="176">
        <f t="shared" si="467"/>
        <v>0</v>
      </c>
      <c r="Y331" s="34">
        <f>X331/Calculation_sheet!M$67</f>
        <v>0</v>
      </c>
      <c r="Z331" s="176">
        <f ca="1">IF(AN331&gt;0,Y331*Calculation_sheet!C$87,0)</f>
        <v>0</v>
      </c>
      <c r="AA331" s="176">
        <f t="shared" ca="1" si="469"/>
        <v>0</v>
      </c>
      <c r="AB331" s="176">
        <f ca="1">IF(AP331&gt;0,AA331*Calculation_sheet!C$94,0)</f>
        <v>0</v>
      </c>
      <c r="AC331" s="176">
        <f t="shared" ca="1" si="456"/>
        <v>0</v>
      </c>
      <c r="AD331" s="958">
        <f ca="1">AC331*Calculation_sheet!C$99</f>
        <v>0</v>
      </c>
      <c r="AE331" s="176">
        <f t="shared" ca="1" si="456"/>
        <v>0</v>
      </c>
      <c r="AF331" s="176">
        <f t="shared" ca="1" si="400"/>
        <v>0</v>
      </c>
      <c r="AG331" s="958">
        <f ca="1">AF331*User_sheet!B$77/100</f>
        <v>0</v>
      </c>
      <c r="AH331" s="313"/>
      <c r="AI331">
        <v>303</v>
      </c>
      <c r="AK331" s="1018">
        <f t="shared" ca="1" si="380"/>
        <v>367.06774704636865</v>
      </c>
      <c r="AL331" s="924">
        <f ca="1">AK331/'303'!I$24</f>
        <v>1.0066303223539521</v>
      </c>
      <c r="AM331" s="924">
        <f ca="1">0.8*(AK331*30+'303'!D$17*0.34*30*1)</f>
        <v>16806.425929112851</v>
      </c>
      <c r="AN331" s="954">
        <f ca="1">IF(AM331&lt;User_sheet!B$50,Y331,0)</f>
        <v>0</v>
      </c>
      <c r="AO331" s="954">
        <f ca="1">20-(User_sheet!B$57/(AK331+'303'!D$17*1*0.34))</f>
        <v>11.860256274772325</v>
      </c>
      <c r="AP331" s="954">
        <f ca="1">IF(AO331&lt;User_sheet!B$59,0,BC331*AA331)</f>
        <v>0</v>
      </c>
      <c r="AR331" s="2">
        <v>0.32</v>
      </c>
      <c r="AS331" s="1020">
        <v>2.41</v>
      </c>
      <c r="AT331" s="2">
        <v>0.59</v>
      </c>
      <c r="AU331" s="2">
        <v>2</v>
      </c>
      <c r="AV331" s="2">
        <v>3.3</v>
      </c>
      <c r="AW331" s="2">
        <v>14356</v>
      </c>
      <c r="AX331" s="2">
        <v>75945.51234133933</v>
      </c>
      <c r="AY331" s="2">
        <v>64021.679041832605</v>
      </c>
      <c r="AZ331" s="27">
        <v>0</v>
      </c>
      <c r="BA331" s="27">
        <v>0</v>
      </c>
      <c r="BB331" s="2">
        <v>0.6</v>
      </c>
      <c r="BC331" s="30">
        <v>0</v>
      </c>
      <c r="BD331" s="34">
        <v>1</v>
      </c>
      <c r="BE331" s="34">
        <v>0</v>
      </c>
      <c r="BF331" s="40">
        <v>0</v>
      </c>
      <c r="BG331" s="2">
        <v>1</v>
      </c>
      <c r="BH331" s="2">
        <v>0</v>
      </c>
      <c r="BI331" s="40">
        <v>0</v>
      </c>
      <c r="BJ331" s="2">
        <v>0</v>
      </c>
      <c r="BK331" s="2">
        <v>1</v>
      </c>
      <c r="BL331" s="2">
        <v>0</v>
      </c>
      <c r="BM331" s="40">
        <v>0</v>
      </c>
      <c r="BN331" s="958">
        <v>0.1</v>
      </c>
      <c r="BO331" s="959">
        <v>14.1</v>
      </c>
      <c r="BP331" s="1018">
        <f t="shared" ca="1" si="457"/>
        <v>350</v>
      </c>
      <c r="BQ331" s="1018">
        <f t="shared" ca="1" si="458"/>
        <v>764.40000000000009</v>
      </c>
      <c r="BR331" s="1018">
        <f t="shared" ca="1" si="459"/>
        <v>105</v>
      </c>
      <c r="BS331" s="1018">
        <f t="shared" ca="1" si="460"/>
        <v>112.64999999999998</v>
      </c>
      <c r="BT331" s="1018">
        <f t="shared" ca="1" si="461"/>
        <v>105</v>
      </c>
      <c r="BU331" s="1018">
        <f t="shared" ca="1" si="462"/>
        <v>42</v>
      </c>
      <c r="BV331" s="1018">
        <f t="shared" ca="1" si="463"/>
        <v>2.15</v>
      </c>
      <c r="BW331" s="1018">
        <v>0</v>
      </c>
      <c r="BX331" s="1018">
        <f t="shared" ca="1" si="464"/>
        <v>31.834259727134924</v>
      </c>
      <c r="BY331" s="1018">
        <f t="shared" ca="1" si="465"/>
        <v>191.4933461864008</v>
      </c>
      <c r="BZ331" s="1018">
        <f t="shared" ca="1" si="381"/>
        <v>18.546782387806946</v>
      </c>
      <c r="CA331" s="1018">
        <f t="shared" ca="1" si="382"/>
        <v>83.999999966399997</v>
      </c>
      <c r="CB331" s="1018">
        <f t="shared" ca="1" si="466"/>
        <v>4.5133587786259541</v>
      </c>
      <c r="CC331" s="1018">
        <f t="shared" si="383"/>
        <v>0</v>
      </c>
      <c r="CD331" s="1018">
        <f t="shared" ca="1" si="468"/>
        <v>367.06774704636865</v>
      </c>
      <c r="CE331" s="1018">
        <f t="shared" ca="1" si="398"/>
        <v>149.97789927510865</v>
      </c>
      <c r="CF331" s="1018">
        <f t="shared" ca="1" si="384"/>
        <v>15.511369389644319</v>
      </c>
      <c r="CG331" s="1018">
        <f t="shared" ca="1" si="385"/>
        <v>25825.809578982204</v>
      </c>
    </row>
    <row r="332" spans="3:85" x14ac:dyDescent="0.25">
      <c r="D332" s="1"/>
      <c r="F332" s="1"/>
      <c r="G332" s="3"/>
      <c r="H332" s="6"/>
      <c r="I332" s="3"/>
      <c r="K332" s="8"/>
      <c r="L332" s="6"/>
      <c r="M332" s="1"/>
      <c r="N332" s="1"/>
      <c r="O332" s="1" t="s">
        <v>18</v>
      </c>
      <c r="P332" s="4"/>
      <c r="Q332" s="1" t="s">
        <v>7</v>
      </c>
      <c r="R332" s="4"/>
      <c r="S332" s="1"/>
      <c r="T332" s="77"/>
      <c r="U332" s="294"/>
      <c r="X332" s="176">
        <f t="shared" si="467"/>
        <v>0</v>
      </c>
      <c r="Y332" s="34">
        <f>X332/Calculation_sheet!M$67</f>
        <v>0</v>
      </c>
      <c r="Z332" s="176">
        <f ca="1">IF(AN332&gt;0,Y332*Calculation_sheet!C$87,0)</f>
        <v>0</v>
      </c>
      <c r="AA332" s="176">
        <f t="shared" ca="1" si="469"/>
        <v>0</v>
      </c>
      <c r="AB332" s="176">
        <f ca="1">IF(AP332&gt;0,AA332*Calculation_sheet!C$94,0)</f>
        <v>0</v>
      </c>
      <c r="AC332" s="176">
        <f t="shared" ca="1" si="456"/>
        <v>0</v>
      </c>
      <c r="AD332" s="958">
        <f ca="1">AC332*Calculation_sheet!C$99</f>
        <v>0</v>
      </c>
      <c r="AE332" s="176">
        <f t="shared" ca="1" si="456"/>
        <v>0</v>
      </c>
      <c r="AF332" s="176">
        <f t="shared" ca="1" si="400"/>
        <v>0</v>
      </c>
      <c r="AG332" s="958">
        <f ca="1">AF332*User_sheet!B$77/100</f>
        <v>0</v>
      </c>
      <c r="AH332" s="313"/>
      <c r="AI332">
        <v>303</v>
      </c>
      <c r="AK332" s="1018">
        <f t="shared" ca="1" si="380"/>
        <v>367.06774704636865</v>
      </c>
      <c r="AL332" s="924">
        <f ca="1">AK332/'303'!I$24</f>
        <v>1.0066303223539521</v>
      </c>
      <c r="AM332" s="924">
        <f ca="1">0.8*(AK332*30+'303'!D$17*0.34*30*1)</f>
        <v>16806.425929112851</v>
      </c>
      <c r="AN332" s="954">
        <f ca="1">IF(AM332&lt;User_sheet!B$50,Y332,0)</f>
        <v>0</v>
      </c>
      <c r="AO332" s="954">
        <f ca="1">20-(User_sheet!B$57/(AK332+'303'!D$17*1*0.34))</f>
        <v>11.860256274772325</v>
      </c>
      <c r="AP332" s="954">
        <f ca="1">IF(AO332&lt;User_sheet!B$59,0,BC332*AA332)</f>
        <v>0</v>
      </c>
      <c r="AR332" s="2">
        <v>0.32</v>
      </c>
      <c r="AS332" s="1020">
        <v>2.41</v>
      </c>
      <c r="AT332" s="2">
        <v>0.59</v>
      </c>
      <c r="AU332" s="2">
        <v>2</v>
      </c>
      <c r="AV332" s="2">
        <v>3.3</v>
      </c>
      <c r="AW332" s="2">
        <v>14356</v>
      </c>
      <c r="AX332" s="2">
        <v>75945.51234133933</v>
      </c>
      <c r="AY332" s="2">
        <v>64021.679041832605</v>
      </c>
      <c r="AZ332" s="27">
        <v>0</v>
      </c>
      <c r="BA332" s="27">
        <v>0</v>
      </c>
      <c r="BB332" s="2">
        <v>0.6</v>
      </c>
      <c r="BC332" s="30">
        <v>0</v>
      </c>
      <c r="BD332" s="34">
        <v>1</v>
      </c>
      <c r="BE332" s="34">
        <v>0</v>
      </c>
      <c r="BF332" s="40">
        <v>0</v>
      </c>
      <c r="BG332" s="2">
        <v>1</v>
      </c>
      <c r="BH332" s="2">
        <v>0</v>
      </c>
      <c r="BI332" s="40">
        <v>0</v>
      </c>
      <c r="BJ332" s="2">
        <v>0</v>
      </c>
      <c r="BK332" s="2">
        <v>0</v>
      </c>
      <c r="BL332" s="2">
        <v>1</v>
      </c>
      <c r="BM332" s="40">
        <v>0</v>
      </c>
      <c r="BN332" s="958">
        <v>0.1</v>
      </c>
      <c r="BO332" s="959">
        <v>14.1</v>
      </c>
      <c r="BP332" s="1018">
        <f t="shared" ca="1" si="457"/>
        <v>350</v>
      </c>
      <c r="BQ332" s="1018">
        <f t="shared" ca="1" si="458"/>
        <v>764.40000000000009</v>
      </c>
      <c r="BR332" s="1018">
        <f t="shared" ca="1" si="459"/>
        <v>105</v>
      </c>
      <c r="BS332" s="1018">
        <f t="shared" ca="1" si="460"/>
        <v>112.64999999999998</v>
      </c>
      <c r="BT332" s="1018">
        <f t="shared" ca="1" si="461"/>
        <v>105</v>
      </c>
      <c r="BU332" s="1018">
        <f t="shared" ca="1" si="462"/>
        <v>42</v>
      </c>
      <c r="BV332" s="1018">
        <f t="shared" ca="1" si="463"/>
        <v>2.15</v>
      </c>
      <c r="BW332" s="1018">
        <v>0</v>
      </c>
      <c r="BX332" s="1018">
        <f t="shared" ca="1" si="464"/>
        <v>31.834259727134924</v>
      </c>
      <c r="BY332" s="1018">
        <f t="shared" ca="1" si="465"/>
        <v>191.4933461864008</v>
      </c>
      <c r="BZ332" s="1018">
        <f t="shared" ca="1" si="381"/>
        <v>18.546782387806946</v>
      </c>
      <c r="CA332" s="1018">
        <f t="shared" ca="1" si="382"/>
        <v>83.999999966399997</v>
      </c>
      <c r="CB332" s="1018">
        <f t="shared" ca="1" si="466"/>
        <v>4.5133587786259541</v>
      </c>
      <c r="CC332" s="1018">
        <f t="shared" si="383"/>
        <v>0</v>
      </c>
      <c r="CD332" s="1018">
        <f t="shared" ca="1" si="468"/>
        <v>367.06774704636865</v>
      </c>
      <c r="CE332" s="1018">
        <f t="shared" ca="1" si="398"/>
        <v>149.97789927510865</v>
      </c>
      <c r="CF332" s="1018">
        <f t="shared" ca="1" si="384"/>
        <v>15.511369389644319</v>
      </c>
      <c r="CG332" s="1018">
        <f t="shared" ca="1" si="385"/>
        <v>25825.809578982204</v>
      </c>
    </row>
    <row r="333" spans="3:85" x14ac:dyDescent="0.25">
      <c r="D333" s="1"/>
      <c r="F333" s="1"/>
      <c r="G333" s="3"/>
      <c r="H333" s="6"/>
      <c r="I333" s="3"/>
      <c r="K333" s="8"/>
      <c r="L333" s="6"/>
      <c r="M333" s="1"/>
      <c r="N333" s="1"/>
      <c r="O333" s="1"/>
      <c r="P333" s="1"/>
      <c r="Q333" s="1" t="s">
        <v>22</v>
      </c>
      <c r="R333" s="4"/>
      <c r="S333" s="1"/>
      <c r="T333" s="77"/>
      <c r="U333" s="294"/>
      <c r="X333" s="176">
        <f t="shared" si="467"/>
        <v>0</v>
      </c>
      <c r="Y333" s="34">
        <f>X333/Calculation_sheet!M$67</f>
        <v>0</v>
      </c>
      <c r="Z333" s="176">
        <f ca="1">IF(AN333&gt;0,Y333*Calculation_sheet!C$87,0)</f>
        <v>0</v>
      </c>
      <c r="AA333" s="176">
        <f t="shared" ca="1" si="469"/>
        <v>0</v>
      </c>
      <c r="AB333" s="176">
        <f ca="1">IF(AP333&gt;0,AA333*Calculation_sheet!C$94,0)</f>
        <v>0</v>
      </c>
      <c r="AC333" s="176">
        <f t="shared" ca="1" si="456"/>
        <v>0</v>
      </c>
      <c r="AD333" s="958">
        <f ca="1">AC333*Calculation_sheet!C$99</f>
        <v>0</v>
      </c>
      <c r="AE333" s="176">
        <f t="shared" ca="1" si="456"/>
        <v>0</v>
      </c>
      <c r="AF333" s="176">
        <f t="shared" ca="1" si="400"/>
        <v>0</v>
      </c>
      <c r="AG333" s="958">
        <f ca="1">AF333*User_sheet!B$77/100</f>
        <v>0</v>
      </c>
      <c r="AH333" s="313"/>
      <c r="AI333">
        <v>303</v>
      </c>
      <c r="AK333" s="1018">
        <f t="shared" ca="1" si="380"/>
        <v>367.06774704636865</v>
      </c>
      <c r="AL333" s="924">
        <f ca="1">AK333/'303'!I$24</f>
        <v>1.0066303223539521</v>
      </c>
      <c r="AM333" s="924">
        <f ca="1">0.8*(AK333*30+'303'!D$17*0.34*30*1)</f>
        <v>16806.425929112851</v>
      </c>
      <c r="AN333" s="954">
        <f ca="1">IF(AM333&lt;User_sheet!B$50,Y333,0)</f>
        <v>0</v>
      </c>
      <c r="AO333" s="954">
        <f ca="1">20-(User_sheet!B$57/(AK333+'303'!D$17*1*0.34))</f>
        <v>11.860256274772325</v>
      </c>
      <c r="AP333" s="954">
        <f ca="1">IF(AO333&lt;User_sheet!B$59,0,BC333*AA333)</f>
        <v>0</v>
      </c>
      <c r="AR333" s="2">
        <v>0.32</v>
      </c>
      <c r="AS333" s="1020">
        <v>2.41</v>
      </c>
      <c r="AT333" s="2">
        <v>0.59</v>
      </c>
      <c r="AU333" s="2">
        <v>2</v>
      </c>
      <c r="AV333" s="2">
        <v>3.3</v>
      </c>
      <c r="AW333" s="2">
        <v>14356</v>
      </c>
      <c r="AX333" s="2">
        <v>75945.51234133933</v>
      </c>
      <c r="AY333" s="2">
        <v>64021.679041832605</v>
      </c>
      <c r="AZ333" s="27">
        <v>0</v>
      </c>
      <c r="BA333" s="27">
        <v>0</v>
      </c>
      <c r="BB333" s="2">
        <v>0.6</v>
      </c>
      <c r="BC333" s="30">
        <v>0</v>
      </c>
      <c r="BD333" s="34">
        <v>1</v>
      </c>
      <c r="BE333" s="34">
        <v>0</v>
      </c>
      <c r="BF333" s="40">
        <v>0</v>
      </c>
      <c r="BG333" s="2">
        <v>0</v>
      </c>
      <c r="BH333" s="2">
        <v>1</v>
      </c>
      <c r="BI333" s="40">
        <v>0</v>
      </c>
      <c r="BJ333" s="2">
        <v>0</v>
      </c>
      <c r="BK333" s="2">
        <v>1</v>
      </c>
      <c r="BL333" s="2">
        <v>0</v>
      </c>
      <c r="BM333" s="40">
        <v>0</v>
      </c>
      <c r="BN333" s="958">
        <v>0.1</v>
      </c>
      <c r="BO333" s="959">
        <v>14.1</v>
      </c>
      <c r="BP333" s="1018">
        <f t="shared" ca="1" si="457"/>
        <v>350</v>
      </c>
      <c r="BQ333" s="1018">
        <f t="shared" ca="1" si="458"/>
        <v>764.40000000000009</v>
      </c>
      <c r="BR333" s="1018">
        <f t="shared" ca="1" si="459"/>
        <v>105</v>
      </c>
      <c r="BS333" s="1018">
        <f t="shared" ca="1" si="460"/>
        <v>112.64999999999998</v>
      </c>
      <c r="BT333" s="1018">
        <f t="shared" ca="1" si="461"/>
        <v>105</v>
      </c>
      <c r="BU333" s="1018">
        <f t="shared" ca="1" si="462"/>
        <v>42</v>
      </c>
      <c r="BV333" s="1018">
        <f t="shared" ca="1" si="463"/>
        <v>2.15</v>
      </c>
      <c r="BW333" s="1018">
        <v>0</v>
      </c>
      <c r="BX333" s="1018">
        <f t="shared" ca="1" si="464"/>
        <v>31.834259727134924</v>
      </c>
      <c r="BY333" s="1018">
        <f t="shared" ca="1" si="465"/>
        <v>191.4933461864008</v>
      </c>
      <c r="BZ333" s="1018">
        <f t="shared" ca="1" si="381"/>
        <v>18.546782387806946</v>
      </c>
      <c r="CA333" s="1018">
        <f t="shared" ca="1" si="382"/>
        <v>83.999999966399997</v>
      </c>
      <c r="CB333" s="1018">
        <f t="shared" ca="1" si="466"/>
        <v>4.5133587786259541</v>
      </c>
      <c r="CC333" s="1018">
        <f t="shared" si="383"/>
        <v>0</v>
      </c>
      <c r="CD333" s="1018">
        <f t="shared" ca="1" si="468"/>
        <v>367.06774704636865</v>
      </c>
      <c r="CE333" s="1018">
        <f t="shared" ca="1" si="398"/>
        <v>149.97789927510865</v>
      </c>
      <c r="CF333" s="1018">
        <f t="shared" ca="1" si="384"/>
        <v>15.511369389644319</v>
      </c>
      <c r="CG333" s="1018">
        <f t="shared" ca="1" si="385"/>
        <v>25825.809578982204</v>
      </c>
    </row>
    <row r="334" spans="3:85" x14ac:dyDescent="0.25">
      <c r="D334" s="1"/>
      <c r="F334" s="1"/>
      <c r="G334" s="3"/>
      <c r="H334" s="6"/>
      <c r="I334" s="3"/>
      <c r="J334" s="6"/>
      <c r="K334" s="8"/>
      <c r="L334" s="3"/>
      <c r="M334" s="1" t="s">
        <v>22</v>
      </c>
      <c r="N334" s="4"/>
      <c r="O334" s="1" t="s">
        <v>20</v>
      </c>
      <c r="P334" s="4"/>
      <c r="Q334" s="1" t="s">
        <v>7</v>
      </c>
      <c r="R334" s="4"/>
      <c r="S334" s="1"/>
      <c r="T334" s="77"/>
      <c r="U334" s="294"/>
      <c r="X334" s="176">
        <f t="shared" si="467"/>
        <v>0</v>
      </c>
      <c r="Y334" s="34">
        <f>X334/Calculation_sheet!M$67</f>
        <v>0</v>
      </c>
      <c r="Z334" s="176">
        <f ca="1">IF(AN334&gt;0,Y334*Calculation_sheet!C$87,0)</f>
        <v>0</v>
      </c>
      <c r="AA334" s="176">
        <f t="shared" ca="1" si="469"/>
        <v>0</v>
      </c>
      <c r="AB334" s="176">
        <f ca="1">IF(AP334&gt;0,AA334*Calculation_sheet!C$94,0)</f>
        <v>0</v>
      </c>
      <c r="AC334" s="176">
        <f t="shared" ca="1" si="456"/>
        <v>0</v>
      </c>
      <c r="AD334" s="958">
        <f ca="1">AC334*Calculation_sheet!C$99</f>
        <v>0</v>
      </c>
      <c r="AE334" s="176">
        <f t="shared" ca="1" si="456"/>
        <v>0</v>
      </c>
      <c r="AF334" s="176">
        <f t="shared" ca="1" si="400"/>
        <v>0</v>
      </c>
      <c r="AG334" s="958">
        <f ca="1">AF334*User_sheet!B$77/100</f>
        <v>0</v>
      </c>
      <c r="AH334" s="313"/>
      <c r="AI334">
        <v>303</v>
      </c>
      <c r="AK334" s="1018">
        <f t="shared" ref="AK334:AK397" ca="1" si="470">CD334</f>
        <v>367.06774704636865</v>
      </c>
      <c r="AL334" s="924">
        <f ca="1">AK334/'303'!I$24</f>
        <v>1.0066303223539521</v>
      </c>
      <c r="AM334" s="924">
        <f ca="1">0.8*(AK334*30+'303'!D$17*0.34*30*1)</f>
        <v>16806.425929112851</v>
      </c>
      <c r="AN334" s="954">
        <f ca="1">IF(AM334&lt;User_sheet!B$50,Y334,0)</f>
        <v>0</v>
      </c>
      <c r="AO334" s="954">
        <f ca="1">20-(User_sheet!B$57/(AK334+'303'!D$17*1*0.34))</f>
        <v>11.860256274772325</v>
      </c>
      <c r="AP334" s="954">
        <f ca="1">IF(AO334&lt;User_sheet!B$59,0,BC334*AA334)</f>
        <v>0</v>
      </c>
      <c r="AR334" s="2">
        <v>0.32</v>
      </c>
      <c r="AS334" s="1020">
        <v>2.41</v>
      </c>
      <c r="AT334" s="2">
        <v>0.59</v>
      </c>
      <c r="AU334" s="2">
        <v>2</v>
      </c>
      <c r="AV334" s="2">
        <v>3.3</v>
      </c>
      <c r="AW334" s="2">
        <v>14356</v>
      </c>
      <c r="AX334" s="2">
        <v>75945.51234133933</v>
      </c>
      <c r="AY334" s="2">
        <v>64021.679041832605</v>
      </c>
      <c r="AZ334" s="27">
        <v>0</v>
      </c>
      <c r="BA334" s="27">
        <v>0</v>
      </c>
      <c r="BB334" s="2">
        <v>0.6</v>
      </c>
      <c r="BC334" s="30">
        <v>0</v>
      </c>
      <c r="BD334" s="34">
        <v>1</v>
      </c>
      <c r="BE334" s="34">
        <v>0</v>
      </c>
      <c r="BF334" s="40">
        <v>0</v>
      </c>
      <c r="BG334" s="2">
        <v>0</v>
      </c>
      <c r="BH334" s="2">
        <v>1</v>
      </c>
      <c r="BI334" s="40">
        <v>0</v>
      </c>
      <c r="BJ334" s="2">
        <v>0</v>
      </c>
      <c r="BK334" s="2">
        <v>0</v>
      </c>
      <c r="BL334" s="2">
        <v>1</v>
      </c>
      <c r="BM334" s="40">
        <v>0</v>
      </c>
      <c r="BN334" s="958">
        <v>0.1</v>
      </c>
      <c r="BO334" s="959">
        <v>14.1</v>
      </c>
      <c r="BP334" s="1018">
        <f t="shared" ca="1" si="457"/>
        <v>350</v>
      </c>
      <c r="BQ334" s="1018">
        <f t="shared" ca="1" si="458"/>
        <v>764.40000000000009</v>
      </c>
      <c r="BR334" s="1018">
        <f t="shared" ca="1" si="459"/>
        <v>105</v>
      </c>
      <c r="BS334" s="1018">
        <f t="shared" ca="1" si="460"/>
        <v>112.64999999999998</v>
      </c>
      <c r="BT334" s="1018">
        <f t="shared" ca="1" si="461"/>
        <v>105</v>
      </c>
      <c r="BU334" s="1018">
        <f t="shared" ca="1" si="462"/>
        <v>42</v>
      </c>
      <c r="BV334" s="1018">
        <f t="shared" ca="1" si="463"/>
        <v>2.15</v>
      </c>
      <c r="BW334" s="1018">
        <v>0</v>
      </c>
      <c r="BX334" s="1018">
        <f t="shared" ca="1" si="464"/>
        <v>31.834259727134924</v>
      </c>
      <c r="BY334" s="1018">
        <f t="shared" ca="1" si="465"/>
        <v>191.4933461864008</v>
      </c>
      <c r="BZ334" s="1018">
        <f t="shared" ref="BZ334:BZ397" ca="1" si="471">IF(BT334=0,0,1/(1/(BT334*$BY$3)+1/(BT334*AT334)+1/(BT334*$BY$4)))*0.33</f>
        <v>18.546782387806946</v>
      </c>
      <c r="CA334" s="1018">
        <f t="shared" ref="CA334:CA397" ca="1" si="472">IF(BU334=0,0,1/(1/(BU334*$BY$5)+1/(BU334*AU334)+1/(BU334*$BY$6)))</f>
        <v>83.999999966399997</v>
      </c>
      <c r="CB334" s="1018">
        <f t="shared" ca="1" si="466"/>
        <v>4.5133587786259541</v>
      </c>
      <c r="CC334" s="1018">
        <f t="shared" ref="CC334:CC397" si="473">0.67*IF(BW334=0,0,1/(1/(BW334*$BY$3)+1/(BW334*AS334)+1/(BW334*$BY$4)))</f>
        <v>0</v>
      </c>
      <c r="CD334" s="1018">
        <f t="shared" ca="1" si="468"/>
        <v>367.06774704636865</v>
      </c>
      <c r="CE334" s="1018">
        <f t="shared" ca="1" si="398"/>
        <v>149.97789927510865</v>
      </c>
      <c r="CF334" s="1018">
        <f t="shared" ref="CF334:CF397" ca="1" si="474">(CD334+CE334)*($BY$7-$BV$5)/1000</f>
        <v>15.511369389644319</v>
      </c>
      <c r="CG334" s="1018">
        <f t="shared" ref="CG334:CG397" ca="1" si="475">$BV$8*(CD334+CE334)*($BY$10-$BV$7)*24/1000</f>
        <v>25825.809578982204</v>
      </c>
    </row>
    <row r="335" spans="3:85" x14ac:dyDescent="0.25">
      <c r="D335" s="1"/>
      <c r="F335" s="1"/>
      <c r="G335" s="3"/>
      <c r="H335" s="6"/>
      <c r="I335" s="3"/>
      <c r="J335" s="6"/>
      <c r="K335" s="8"/>
      <c r="L335" s="7"/>
      <c r="M335" s="1" t="s">
        <v>7</v>
      </c>
      <c r="N335" s="4"/>
      <c r="O335" s="1" t="s">
        <v>23</v>
      </c>
      <c r="P335" s="4"/>
      <c r="Q335" s="1" t="s">
        <v>7</v>
      </c>
      <c r="R335" s="4"/>
      <c r="S335" s="1"/>
      <c r="T335" s="77"/>
      <c r="U335" s="294"/>
      <c r="X335" s="176">
        <f t="shared" si="467"/>
        <v>0</v>
      </c>
      <c r="Y335" s="34">
        <f>X335/Calculation_sheet!M$67</f>
        <v>0</v>
      </c>
      <c r="Z335" s="176">
        <f ca="1">IF(AN335&gt;0,Y335*Calculation_sheet!C$87,0)</f>
        <v>0</v>
      </c>
      <c r="AA335" s="176">
        <f t="shared" ca="1" si="469"/>
        <v>0</v>
      </c>
      <c r="AB335" s="176">
        <f ca="1">IF(AP335&gt;0,AA335*Calculation_sheet!C$94,0)</f>
        <v>0</v>
      </c>
      <c r="AC335" s="176">
        <f t="shared" ca="1" si="456"/>
        <v>0</v>
      </c>
      <c r="AD335" s="958">
        <f ca="1">AC335*Calculation_sheet!C$99</f>
        <v>0</v>
      </c>
      <c r="AE335" s="176">
        <f t="shared" ca="1" si="456"/>
        <v>0</v>
      </c>
      <c r="AF335" s="176">
        <f t="shared" ca="1" si="400"/>
        <v>0</v>
      </c>
      <c r="AG335" s="958">
        <f ca="1">AF335*User_sheet!B$77/100</f>
        <v>0</v>
      </c>
      <c r="AH335" s="313"/>
      <c r="AI335">
        <v>303</v>
      </c>
      <c r="AK335" s="1018">
        <f t="shared" ca="1" si="470"/>
        <v>367.06774704636865</v>
      </c>
      <c r="AL335" s="924">
        <f ca="1">AK335/'303'!I$24</f>
        <v>1.0066303223539521</v>
      </c>
      <c r="AM335" s="924">
        <f ca="1">0.8*(AK335*30+'303'!D$17*0.34*30*1)</f>
        <v>16806.425929112851</v>
      </c>
      <c r="AN335" s="954">
        <f ca="1">IF(AM335&lt;User_sheet!B$50,Y335,0)</f>
        <v>0</v>
      </c>
      <c r="AO335" s="954">
        <f ca="1">20-(User_sheet!B$57/(AK335+'303'!D$17*1*0.34))</f>
        <v>11.860256274772325</v>
      </c>
      <c r="AP335" s="954">
        <f ca="1">IF(AO335&lt;User_sheet!B$59,0,BC335*AA335)</f>
        <v>0</v>
      </c>
      <c r="AR335" s="2">
        <v>0.32</v>
      </c>
      <c r="AS335" s="1020">
        <v>2.41</v>
      </c>
      <c r="AT335" s="2">
        <v>0.59</v>
      </c>
      <c r="AU335" s="2">
        <v>2</v>
      </c>
      <c r="AV335" s="2">
        <v>3.3</v>
      </c>
      <c r="AW335" s="2">
        <v>14356</v>
      </c>
      <c r="AX335" s="2">
        <v>75945.51234133933</v>
      </c>
      <c r="AY335" s="2">
        <v>64021.679041832605</v>
      </c>
      <c r="AZ335" s="27">
        <v>0</v>
      </c>
      <c r="BA335" s="27">
        <v>0</v>
      </c>
      <c r="BB335" s="2">
        <v>0.6</v>
      </c>
      <c r="BC335" s="30">
        <v>0</v>
      </c>
      <c r="BD335" s="34">
        <v>0</v>
      </c>
      <c r="BE335" s="34">
        <v>1</v>
      </c>
      <c r="BF335" s="40">
        <v>0</v>
      </c>
      <c r="BG335" s="2">
        <v>0</v>
      </c>
      <c r="BH335" s="2">
        <v>0</v>
      </c>
      <c r="BI335" s="40">
        <v>1</v>
      </c>
      <c r="BJ335" s="2">
        <v>0</v>
      </c>
      <c r="BK335" s="2">
        <v>0</v>
      </c>
      <c r="BL335" s="2">
        <v>1</v>
      </c>
      <c r="BM335" s="40">
        <v>0</v>
      </c>
      <c r="BN335" s="958">
        <v>0.1</v>
      </c>
      <c r="BO335" s="959">
        <v>14.1</v>
      </c>
      <c r="BP335" s="1018">
        <f t="shared" ca="1" si="457"/>
        <v>350</v>
      </c>
      <c r="BQ335" s="1018">
        <f t="shared" ca="1" si="458"/>
        <v>764.40000000000009</v>
      </c>
      <c r="BR335" s="1018">
        <f t="shared" ca="1" si="459"/>
        <v>105</v>
      </c>
      <c r="BS335" s="1018">
        <f t="shared" ca="1" si="460"/>
        <v>112.64999999999998</v>
      </c>
      <c r="BT335" s="1018">
        <f t="shared" ca="1" si="461"/>
        <v>105</v>
      </c>
      <c r="BU335" s="1018">
        <f t="shared" ca="1" si="462"/>
        <v>42</v>
      </c>
      <c r="BV335" s="1018">
        <f t="shared" ca="1" si="463"/>
        <v>2.15</v>
      </c>
      <c r="BW335" s="1018">
        <v>0</v>
      </c>
      <c r="BX335" s="1018">
        <f t="shared" ca="1" si="464"/>
        <v>31.834259727134924</v>
      </c>
      <c r="BY335" s="1018">
        <f t="shared" ca="1" si="465"/>
        <v>191.4933461864008</v>
      </c>
      <c r="BZ335" s="1018">
        <f t="shared" ca="1" si="471"/>
        <v>18.546782387806946</v>
      </c>
      <c r="CA335" s="1018">
        <f t="shared" ca="1" si="472"/>
        <v>83.999999966399997</v>
      </c>
      <c r="CB335" s="1018">
        <f t="shared" ca="1" si="466"/>
        <v>4.5133587786259541</v>
      </c>
      <c r="CC335" s="1018">
        <f t="shared" si="473"/>
        <v>0</v>
      </c>
      <c r="CD335" s="1018">
        <f t="shared" ca="1" si="468"/>
        <v>367.06774704636865</v>
      </c>
      <c r="CE335" s="1018">
        <f t="shared" ca="1" si="398"/>
        <v>149.97789927510865</v>
      </c>
      <c r="CF335" s="1018">
        <f t="shared" ca="1" si="474"/>
        <v>15.511369389644319</v>
      </c>
      <c r="CG335" s="1018">
        <f t="shared" ca="1" si="475"/>
        <v>25825.809578982204</v>
      </c>
    </row>
    <row r="336" spans="3:85" s="11" customFormat="1" x14ac:dyDescent="0.25">
      <c r="D336" s="12"/>
      <c r="F336" s="12"/>
      <c r="H336" s="12"/>
      <c r="J336" s="12"/>
      <c r="K336" s="13"/>
      <c r="L336" s="12"/>
      <c r="M336" s="12"/>
      <c r="N336" s="12"/>
      <c r="O336" s="12"/>
      <c r="P336" s="12"/>
      <c r="Q336" s="12"/>
      <c r="R336" s="12"/>
      <c r="S336" s="12"/>
      <c r="T336" s="82"/>
      <c r="U336" s="289"/>
      <c r="V336" s="293"/>
      <c r="W336" s="292"/>
      <c r="X336" s="292"/>
      <c r="Y336" s="277"/>
      <c r="Z336" s="292"/>
      <c r="AA336" s="292"/>
      <c r="AB336" s="292"/>
      <c r="AC336" s="292"/>
      <c r="AD336" s="277"/>
      <c r="AE336" s="292"/>
      <c r="AF336" s="292"/>
      <c r="AG336" s="277"/>
      <c r="AH336" s="313"/>
      <c r="AJ336" s="314"/>
      <c r="AK336" s="1018">
        <f t="shared" si="470"/>
        <v>0</v>
      </c>
      <c r="AL336" s="928"/>
      <c r="AM336" s="928"/>
      <c r="AN336" s="941"/>
      <c r="AO336" s="941"/>
      <c r="AP336" s="941"/>
      <c r="AQ336" s="314"/>
      <c r="AR336" s="28"/>
      <c r="AS336" s="941"/>
      <c r="AT336" s="28"/>
      <c r="AU336" s="28"/>
      <c r="AV336" s="28"/>
      <c r="AW336" s="28"/>
      <c r="AX336" s="28"/>
      <c r="AY336" s="28"/>
      <c r="AZ336" s="28"/>
      <c r="BA336" s="28"/>
      <c r="BB336" s="28"/>
      <c r="BC336" s="45"/>
      <c r="BD336" s="277"/>
      <c r="BE336" s="277"/>
      <c r="BF336" s="49"/>
      <c r="BG336" s="28"/>
      <c r="BH336" s="28"/>
      <c r="BI336" s="49"/>
      <c r="BJ336" s="28"/>
      <c r="BK336" s="28"/>
      <c r="BL336" s="28"/>
      <c r="BM336" s="49"/>
      <c r="BN336" s="277"/>
      <c r="BO336" s="49"/>
      <c r="BP336" s="946"/>
      <c r="BQ336" s="946"/>
      <c r="BR336" s="946"/>
      <c r="BS336" s="946"/>
      <c r="BT336" s="946"/>
      <c r="BU336" s="946"/>
      <c r="BV336" s="946"/>
      <c r="BW336" s="946"/>
      <c r="BX336" s="946"/>
      <c r="BY336" s="946"/>
      <c r="BZ336" s="946"/>
      <c r="CA336" s="946"/>
      <c r="CB336" s="946"/>
      <c r="CC336" s="946"/>
      <c r="CD336" s="946"/>
      <c r="CE336" s="946"/>
      <c r="CF336" s="946"/>
      <c r="CG336" s="946"/>
    </row>
    <row r="337" spans="3:85" x14ac:dyDescent="0.25">
      <c r="C337" s="715"/>
      <c r="D337" s="716"/>
      <c r="E337" s="715"/>
      <c r="F337" s="716"/>
      <c r="G337" s="715"/>
      <c r="H337" s="720"/>
      <c r="I337" s="715"/>
      <c r="J337" s="716"/>
      <c r="K337" s="718"/>
      <c r="L337" s="720"/>
      <c r="M337" s="716"/>
      <c r="N337" s="716"/>
      <c r="O337" s="716"/>
      <c r="P337" s="716"/>
      <c r="Q337" s="716" t="s">
        <v>16</v>
      </c>
      <c r="R337" s="717">
        <v>0.92569999999999997</v>
      </c>
      <c r="S337" s="716"/>
      <c r="T337" s="724">
        <v>7.6238239156895731E-4</v>
      </c>
      <c r="U337" s="715"/>
      <c r="V337" s="176">
        <f t="shared" si="386"/>
        <v>7.6238239156895731E-4</v>
      </c>
      <c r="W337" s="176">
        <f>V337-V337*Calculation_sheet!J$68</f>
        <v>7.6238239156895731E-4</v>
      </c>
      <c r="X337" s="176">
        <f>W337-W337*Calculation_sheet!E$78</f>
        <v>7.6238239156895731E-4</v>
      </c>
      <c r="Y337" s="34">
        <f>X337/Calculation_sheet!M$67</f>
        <v>7.6239797956613713E-4</v>
      </c>
      <c r="Z337" s="176">
        <f ca="1">IF(AN337&gt;0,Y337*Calculation_sheet!C$87,0)</f>
        <v>0</v>
      </c>
      <c r="AA337" s="176">
        <f t="shared" ref="AA337:AA400" ca="1" si="476">Y337-Z337</f>
        <v>7.6239797956613713E-4</v>
      </c>
      <c r="AB337" s="176">
        <f ca="1">IF(AP337&gt;0,AA337*Calculation_sheet!C$94,0)</f>
        <v>0</v>
      </c>
      <c r="AC337" s="176">
        <f t="shared" ref="AC337:AE345" ca="1" si="477">AA337-AB337</f>
        <v>7.6239797956613713E-4</v>
      </c>
      <c r="AD337" s="958">
        <f ca="1">AC337*Calculation_sheet!C$99</f>
        <v>4.5743878773968225E-4</v>
      </c>
      <c r="AE337" s="176">
        <f t="shared" ca="1" si="477"/>
        <v>3.0495919182645489E-4</v>
      </c>
      <c r="AF337" s="176">
        <f t="shared" ca="1" si="400"/>
        <v>7.6239797956613713E-4</v>
      </c>
      <c r="AG337" s="958">
        <f ca="1">AF337*User_sheet!B$77/100</f>
        <v>0</v>
      </c>
      <c r="AH337" s="313"/>
      <c r="AI337">
        <v>303</v>
      </c>
      <c r="AK337" s="1018">
        <f t="shared" ca="1" si="470"/>
        <v>467.84246077080041</v>
      </c>
      <c r="AL337" s="924">
        <f ca="1">AK337/'303'!I$24</f>
        <v>1.2829904312924734</v>
      </c>
      <c r="AM337" s="924">
        <f ca="1">0.8*(AK337*30+'303'!D$17*0.34*30*1)</f>
        <v>19225.019058499212</v>
      </c>
      <c r="AN337" s="954">
        <f ca="1">IF(AM337&lt;User_sheet!B$50,Y337,0)</f>
        <v>0</v>
      </c>
      <c r="AO337" s="954">
        <f ca="1">20-(User_sheet!B$57/(AK337+'303'!D$17*1*0.34))</f>
        <v>12.884272333684791</v>
      </c>
      <c r="AP337" s="954">
        <f ca="1">IF(AO337&lt;User_sheet!B$59,0,BC337*AA337)</f>
        <v>7.6239797956613713E-4</v>
      </c>
      <c r="AR337" s="2">
        <v>0.88</v>
      </c>
      <c r="AS337" s="1020">
        <v>2.41</v>
      </c>
      <c r="AT337" s="2">
        <v>1.42</v>
      </c>
      <c r="AU337" s="2">
        <v>2.75</v>
      </c>
      <c r="AV337" s="2">
        <v>3.3</v>
      </c>
      <c r="AW337" s="2">
        <v>11922.428413610982</v>
      </c>
      <c r="AX337" s="2">
        <v>75945.51234133933</v>
      </c>
      <c r="AY337" s="2">
        <v>62673.095488422703</v>
      </c>
      <c r="AZ337" s="2">
        <v>0</v>
      </c>
      <c r="BA337" s="2">
        <v>0</v>
      </c>
      <c r="BB337" s="2">
        <v>0.6</v>
      </c>
      <c r="BC337" s="30">
        <v>1</v>
      </c>
      <c r="BD337" s="34">
        <v>0</v>
      </c>
      <c r="BE337" s="34">
        <v>0</v>
      </c>
      <c r="BF337" s="40">
        <v>0</v>
      </c>
      <c r="BG337" s="2">
        <v>1</v>
      </c>
      <c r="BH337" s="2">
        <v>0</v>
      </c>
      <c r="BI337" s="40">
        <v>0</v>
      </c>
      <c r="BJ337" s="2">
        <v>1</v>
      </c>
      <c r="BK337" s="2">
        <v>0</v>
      </c>
      <c r="BL337" s="2">
        <v>0</v>
      </c>
      <c r="BM337" s="40">
        <v>0</v>
      </c>
      <c r="BN337" s="958">
        <v>0.1</v>
      </c>
      <c r="BO337" s="959">
        <v>14.1</v>
      </c>
      <c r="BP337" s="1018">
        <f t="shared" ref="BP337:BP345" ca="1" si="478">INDIRECT("'"&amp;AI337&amp;"'!"&amp;"B2")</f>
        <v>350</v>
      </c>
      <c r="BQ337" s="1018">
        <f t="shared" ref="BQ337:BQ345" ca="1" si="479">INDIRECT("'"&amp;AI337&amp;"'!"&amp;"C12")+INDIRECT("'"&amp;AI337&amp;"'!"&amp;"C13")+INDIRECT("'"&amp;AI337&amp;"'!"&amp;"C14")+INDIRECT("'"&amp;AI337&amp;"'!"&amp;"C15")+INDIRECT("'"&amp;AI337&amp;"'!"&amp;"C17")</f>
        <v>764.40000000000009</v>
      </c>
      <c r="BR337" s="1018">
        <f t="shared" ref="BR337:BR345" ca="1" si="480">INDIRECT("'"&amp;AI337&amp;"'!"&amp;"G5")</f>
        <v>105</v>
      </c>
      <c r="BS337" s="1018">
        <f t="shared" ref="BS337:BS345" ca="1" si="481">INDIRECT("'"&amp;AI337&amp;"'!"&amp;"G4")</f>
        <v>112.64999999999998</v>
      </c>
      <c r="BT337" s="1018">
        <f t="shared" ref="BT337:BT345" ca="1" si="482">INDIRECT("'"&amp;AI337&amp;"'!"&amp;"G6")</f>
        <v>105</v>
      </c>
      <c r="BU337" s="1018">
        <f t="shared" ref="BU337:BU345" ca="1" si="483">INDIRECT("'"&amp;AI337&amp;"'!"&amp;"G2")</f>
        <v>42</v>
      </c>
      <c r="BV337" s="1018">
        <f t="shared" ref="BV337:BV345" ca="1" si="484">INDIRECT("'"&amp;AI337&amp;"'!"&amp;"G3")</f>
        <v>2.15</v>
      </c>
      <c r="BW337" s="1018">
        <v>0</v>
      </c>
      <c r="BX337" s="1018">
        <f t="shared" ref="BX337:BX345" ca="1" si="485">IF(BR337=0,0,1/(1/(BR337*$BY$3)+1/(BR337*AR337)+1/(BR337*$BY$4)))</f>
        <v>80.171217029153169</v>
      </c>
      <c r="BY337" s="1018">
        <f t="shared" ref="BY337:BY345" ca="1" si="486">IF(BS337=0,0,1/(1/(BS337*$BY$3)+1/(BS337*AS337)+1/(BS337*$BY$4)))</f>
        <v>191.4933461864008</v>
      </c>
      <c r="BZ337" s="1018">
        <f t="shared" ca="1" si="471"/>
        <v>39.484538840145518</v>
      </c>
      <c r="CA337" s="1018">
        <f t="shared" ca="1" si="472"/>
        <v>115.49999993647498</v>
      </c>
      <c r="CB337" s="1018">
        <f t="shared" ref="CB337:CB345" ca="1" si="487">IF(BV337=0,0,1/(1/(BV337*$BY$3)+1/(BV337*AV337)+1/(BV337*$BY$4)))</f>
        <v>4.5133587786259541</v>
      </c>
      <c r="CC337" s="1018">
        <f t="shared" si="473"/>
        <v>0</v>
      </c>
      <c r="CD337" s="1018">
        <f ca="1">SUM(BX337:CC337)+(BR337+BS337+BT337+BU337+BV337)*BN337</f>
        <v>467.84246077080041</v>
      </c>
      <c r="CE337" s="1018">
        <f t="shared" ref="CE337:CE345" ca="1" si="488">0.34*BO337*(1/25)^0.66*(BR337+BS337+BU337+BV337)</f>
        <v>149.97789927510865</v>
      </c>
      <c r="CF337" s="1018">
        <f t="shared" ca="1" si="474"/>
        <v>18.534610801377273</v>
      </c>
      <c r="CG337" s="1018">
        <f t="shared" ca="1" si="475"/>
        <v>30859.3855998611</v>
      </c>
    </row>
    <row r="338" spans="3:85" x14ac:dyDescent="0.25">
      <c r="C338" s="715"/>
      <c r="D338" s="716"/>
      <c r="E338" s="715"/>
      <c r="F338" s="716"/>
      <c r="G338" s="715"/>
      <c r="H338" s="720"/>
      <c r="I338" s="715"/>
      <c r="J338" s="716"/>
      <c r="K338" s="718"/>
      <c r="L338" s="720"/>
      <c r="M338" s="716"/>
      <c r="N338" s="716"/>
      <c r="O338" s="716" t="s">
        <v>18</v>
      </c>
      <c r="P338" s="717">
        <v>0.89156626500000002</v>
      </c>
      <c r="Q338" s="716" t="s">
        <v>7</v>
      </c>
      <c r="R338" s="717">
        <v>7.4300000000000005E-2</v>
      </c>
      <c r="S338" s="716"/>
      <c r="T338" s="724">
        <v>6.1191543365640626E-5</v>
      </c>
      <c r="U338" s="715"/>
      <c r="V338" s="176">
        <f t="shared" si="386"/>
        <v>6.1191543365640626E-5</v>
      </c>
      <c r="W338" s="176">
        <f>V338-V338*Calculation_sheet!J$68</f>
        <v>6.1191543365640626E-5</v>
      </c>
      <c r="X338" s="176">
        <f>W338-W338*Calculation_sheet!E$78</f>
        <v>6.1191543365640626E-5</v>
      </c>
      <c r="Y338" s="34">
        <f>X338/Calculation_sheet!M$67</f>
        <v>6.1192794514166555E-5</v>
      </c>
      <c r="Z338" s="176">
        <f ca="1">IF(AN338&gt;0,Y338*Calculation_sheet!C$87,0)</f>
        <v>0</v>
      </c>
      <c r="AA338" s="176">
        <f t="shared" ca="1" si="476"/>
        <v>6.1192794514166555E-5</v>
      </c>
      <c r="AB338" s="176">
        <f ca="1">IF(AP338&gt;0,AA338*Calculation_sheet!C$94,0)</f>
        <v>0</v>
      </c>
      <c r="AC338" s="176">
        <f t="shared" ca="1" si="477"/>
        <v>6.1192794514166555E-5</v>
      </c>
      <c r="AD338" s="958">
        <f ca="1">AC338*Calculation_sheet!C$99</f>
        <v>3.6715676708499929E-5</v>
      </c>
      <c r="AE338" s="176">
        <f t="shared" ca="1" si="477"/>
        <v>2.4477117805666626E-5</v>
      </c>
      <c r="AF338" s="176">
        <f t="shared" ca="1" si="400"/>
        <v>6.1192794514166555E-5</v>
      </c>
      <c r="AG338" s="958">
        <f ca="1">AF338*User_sheet!B$77/100</f>
        <v>0</v>
      </c>
      <c r="AH338" s="313"/>
      <c r="AI338">
        <v>303</v>
      </c>
      <c r="AK338" s="1018">
        <f t="shared" ca="1" si="470"/>
        <v>467.84246077080041</v>
      </c>
      <c r="AL338" s="924">
        <f ca="1">AK338/'303'!I$24</f>
        <v>1.2829904312924734</v>
      </c>
      <c r="AM338" s="924">
        <f ca="1">0.8*(AK338*30+'303'!D$17*0.34*30*1)</f>
        <v>19225.019058499212</v>
      </c>
      <c r="AN338" s="954">
        <f ca="1">IF(AM338&lt;User_sheet!B$50,Y338,0)</f>
        <v>0</v>
      </c>
      <c r="AO338" s="954">
        <f ca="1">20-(User_sheet!B$57/(AK338+'303'!D$17*1*0.34))</f>
        <v>12.884272333684791</v>
      </c>
      <c r="AP338" s="954">
        <f ca="1">IF(AO338&lt;User_sheet!B$59,0,BC338*AA338)</f>
        <v>6.1192794514166555E-5</v>
      </c>
      <c r="AR338" s="2">
        <v>0.88</v>
      </c>
      <c r="AS338" s="1020">
        <v>2.41</v>
      </c>
      <c r="AT338" s="2">
        <v>1.42</v>
      </c>
      <c r="AU338" s="2">
        <v>2.75</v>
      </c>
      <c r="AV338" s="2">
        <v>3.3</v>
      </c>
      <c r="AW338" s="2">
        <v>11922.428413610982</v>
      </c>
      <c r="AX338" s="2">
        <v>75945.51234133933</v>
      </c>
      <c r="AY338" s="2">
        <v>62673.095488422703</v>
      </c>
      <c r="AZ338" s="2">
        <v>0</v>
      </c>
      <c r="BA338" s="2">
        <v>0</v>
      </c>
      <c r="BB338" s="2">
        <v>0.6</v>
      </c>
      <c r="BC338" s="30">
        <v>1</v>
      </c>
      <c r="BD338" s="34">
        <v>0</v>
      </c>
      <c r="BE338" s="34">
        <v>0</v>
      </c>
      <c r="BF338" s="40">
        <v>0</v>
      </c>
      <c r="BG338" s="2">
        <v>1</v>
      </c>
      <c r="BH338" s="2">
        <v>0</v>
      </c>
      <c r="BI338" s="40">
        <v>0</v>
      </c>
      <c r="BJ338" s="2">
        <v>0</v>
      </c>
      <c r="BK338" s="2">
        <v>0</v>
      </c>
      <c r="BL338" s="2">
        <v>1</v>
      </c>
      <c r="BM338" s="40">
        <v>0</v>
      </c>
      <c r="BN338" s="958">
        <v>0.1</v>
      </c>
      <c r="BO338" s="959">
        <v>14.1</v>
      </c>
      <c r="BP338" s="1018">
        <f t="shared" ca="1" si="478"/>
        <v>350</v>
      </c>
      <c r="BQ338" s="1018">
        <f t="shared" ca="1" si="479"/>
        <v>764.40000000000009</v>
      </c>
      <c r="BR338" s="1018">
        <f t="shared" ca="1" si="480"/>
        <v>105</v>
      </c>
      <c r="BS338" s="1018">
        <f t="shared" ca="1" si="481"/>
        <v>112.64999999999998</v>
      </c>
      <c r="BT338" s="1018">
        <f t="shared" ca="1" si="482"/>
        <v>105</v>
      </c>
      <c r="BU338" s="1018">
        <f t="shared" ca="1" si="483"/>
        <v>42</v>
      </c>
      <c r="BV338" s="1018">
        <f t="shared" ca="1" si="484"/>
        <v>2.15</v>
      </c>
      <c r="BW338" s="1018">
        <v>0</v>
      </c>
      <c r="BX338" s="1018">
        <f t="shared" ca="1" si="485"/>
        <v>80.171217029153169</v>
      </c>
      <c r="BY338" s="1018">
        <f t="shared" ca="1" si="486"/>
        <v>191.4933461864008</v>
      </c>
      <c r="BZ338" s="1018">
        <f t="shared" ca="1" si="471"/>
        <v>39.484538840145518</v>
      </c>
      <c r="CA338" s="1018">
        <f t="shared" ca="1" si="472"/>
        <v>115.49999993647498</v>
      </c>
      <c r="CB338" s="1018">
        <f t="shared" ca="1" si="487"/>
        <v>4.5133587786259541</v>
      </c>
      <c r="CC338" s="1018">
        <f t="shared" si="473"/>
        <v>0</v>
      </c>
      <c r="CD338" s="1018">
        <f t="shared" ref="CD338:CD345" ca="1" si="489">SUM(BX338:CC338)+(BR338+BS338+BT338+BU338+BV338)*BN338</f>
        <v>467.84246077080041</v>
      </c>
      <c r="CE338" s="1018">
        <f t="shared" ca="1" si="488"/>
        <v>149.97789927510865</v>
      </c>
      <c r="CF338" s="1018">
        <f t="shared" ca="1" si="474"/>
        <v>18.534610801377273</v>
      </c>
      <c r="CG338" s="1018">
        <f t="shared" ca="1" si="475"/>
        <v>30859.3855998611</v>
      </c>
    </row>
    <row r="339" spans="3:85" x14ac:dyDescent="0.25">
      <c r="C339" s="715"/>
      <c r="D339" s="716"/>
      <c r="E339" s="715"/>
      <c r="F339" s="716"/>
      <c r="G339" s="715"/>
      <c r="H339" s="720"/>
      <c r="I339" s="715"/>
      <c r="J339" s="716"/>
      <c r="K339" s="718"/>
      <c r="L339" s="720"/>
      <c r="M339" s="716"/>
      <c r="N339" s="716"/>
      <c r="O339" s="716"/>
      <c r="P339" s="716"/>
      <c r="Q339" s="716" t="s">
        <v>16</v>
      </c>
      <c r="R339" s="717">
        <v>0.92569999999999997</v>
      </c>
      <c r="S339" s="716"/>
      <c r="T339" s="724">
        <v>9.272218281616402E-5</v>
      </c>
      <c r="U339" s="715"/>
      <c r="V339" s="176">
        <f t="shared" si="386"/>
        <v>9.272218281616402E-5</v>
      </c>
      <c r="W339" s="176">
        <f>V339-V339*Calculation_sheet!J$68</f>
        <v>9.272218281616402E-5</v>
      </c>
      <c r="X339" s="176">
        <f>W339-W339*Calculation_sheet!E$78</f>
        <v>9.272218281616402E-5</v>
      </c>
      <c r="Y339" s="34">
        <f>X339/Calculation_sheet!M$67</f>
        <v>9.2724078653660044E-5</v>
      </c>
      <c r="Z339" s="176">
        <f ca="1">IF(AN339&gt;0,Y339*Calculation_sheet!C$87,0)</f>
        <v>0</v>
      </c>
      <c r="AA339" s="176">
        <f t="shared" ca="1" si="476"/>
        <v>9.2724078653660044E-5</v>
      </c>
      <c r="AB339" s="176">
        <f ca="1">IF(AP339&gt;0,AA339*Calculation_sheet!C$94,0)</f>
        <v>0</v>
      </c>
      <c r="AC339" s="176">
        <f t="shared" ca="1" si="477"/>
        <v>9.2724078653660044E-5</v>
      </c>
      <c r="AD339" s="958">
        <f ca="1">AC339*Calculation_sheet!C$99</f>
        <v>5.5634447192196023E-5</v>
      </c>
      <c r="AE339" s="176">
        <f t="shared" ca="1" si="477"/>
        <v>3.708963146146402E-5</v>
      </c>
      <c r="AF339" s="176">
        <f t="shared" ca="1" si="400"/>
        <v>9.2724078653660044E-5</v>
      </c>
      <c r="AG339" s="958">
        <f ca="1">AF339*User_sheet!B$77/100</f>
        <v>0</v>
      </c>
      <c r="AH339" s="313"/>
      <c r="AI339">
        <v>303</v>
      </c>
      <c r="AK339" s="1018">
        <f t="shared" ca="1" si="470"/>
        <v>467.84246077080041</v>
      </c>
      <c r="AL339" s="924">
        <f ca="1">AK339/'303'!I$24</f>
        <v>1.2829904312924734</v>
      </c>
      <c r="AM339" s="924">
        <f ca="1">0.8*(AK339*30+'303'!D$17*0.34*30*1)</f>
        <v>19225.019058499212</v>
      </c>
      <c r="AN339" s="954">
        <f ca="1">IF(AM339&lt;User_sheet!B$50,Y339,0)</f>
        <v>0</v>
      </c>
      <c r="AO339" s="954">
        <f ca="1">20-(User_sheet!B$57/(AK339+'303'!D$17*1*0.34))</f>
        <v>12.884272333684791</v>
      </c>
      <c r="AP339" s="954">
        <f ca="1">IF(AO339&lt;User_sheet!B$59,0,BC339*AA339)</f>
        <v>9.2724078653660044E-5</v>
      </c>
      <c r="AR339" s="2">
        <v>0.88</v>
      </c>
      <c r="AS339" s="1020">
        <v>2.41</v>
      </c>
      <c r="AT339" s="2">
        <v>1.42</v>
      </c>
      <c r="AU339" s="2">
        <v>2.75</v>
      </c>
      <c r="AV339" s="2">
        <v>3.3</v>
      </c>
      <c r="AW339" s="2">
        <v>11922.428413610982</v>
      </c>
      <c r="AX339" s="2">
        <v>75945.51234133933</v>
      </c>
      <c r="AY339" s="2">
        <v>62673.095488422703</v>
      </c>
      <c r="AZ339" s="2">
        <v>0</v>
      </c>
      <c r="BA339" s="2">
        <v>0</v>
      </c>
      <c r="BB339" s="2">
        <v>0.6</v>
      </c>
      <c r="BC339" s="30">
        <v>1</v>
      </c>
      <c r="BD339" s="34">
        <v>0</v>
      </c>
      <c r="BE339" s="34">
        <v>0</v>
      </c>
      <c r="BF339" s="40">
        <v>0</v>
      </c>
      <c r="BG339" s="2">
        <v>0</v>
      </c>
      <c r="BH339" s="2">
        <v>1</v>
      </c>
      <c r="BI339" s="40">
        <v>0</v>
      </c>
      <c r="BJ339" s="2">
        <v>1</v>
      </c>
      <c r="BK339" s="2">
        <v>0</v>
      </c>
      <c r="BL339" s="2">
        <v>0</v>
      </c>
      <c r="BM339" s="40">
        <v>0</v>
      </c>
      <c r="BN339" s="958">
        <v>0.1</v>
      </c>
      <c r="BO339" s="959">
        <v>14.1</v>
      </c>
      <c r="BP339" s="1018">
        <f t="shared" ca="1" si="478"/>
        <v>350</v>
      </c>
      <c r="BQ339" s="1018">
        <f t="shared" ca="1" si="479"/>
        <v>764.40000000000009</v>
      </c>
      <c r="BR339" s="1018">
        <f t="shared" ca="1" si="480"/>
        <v>105</v>
      </c>
      <c r="BS339" s="1018">
        <f t="shared" ca="1" si="481"/>
        <v>112.64999999999998</v>
      </c>
      <c r="BT339" s="1018">
        <f t="shared" ca="1" si="482"/>
        <v>105</v>
      </c>
      <c r="BU339" s="1018">
        <f t="shared" ca="1" si="483"/>
        <v>42</v>
      </c>
      <c r="BV339" s="1018">
        <f t="shared" ca="1" si="484"/>
        <v>2.15</v>
      </c>
      <c r="BW339" s="1018">
        <v>0</v>
      </c>
      <c r="BX339" s="1018">
        <f t="shared" ca="1" si="485"/>
        <v>80.171217029153169</v>
      </c>
      <c r="BY339" s="1018">
        <f t="shared" ca="1" si="486"/>
        <v>191.4933461864008</v>
      </c>
      <c r="BZ339" s="1018">
        <f t="shared" ca="1" si="471"/>
        <v>39.484538840145518</v>
      </c>
      <c r="CA339" s="1018">
        <f t="shared" ca="1" si="472"/>
        <v>115.49999993647498</v>
      </c>
      <c r="CB339" s="1018">
        <f t="shared" ca="1" si="487"/>
        <v>4.5133587786259541</v>
      </c>
      <c r="CC339" s="1018">
        <f t="shared" si="473"/>
        <v>0</v>
      </c>
      <c r="CD339" s="1018">
        <f t="shared" ca="1" si="489"/>
        <v>467.84246077080041</v>
      </c>
      <c r="CE339" s="1018">
        <f t="shared" ca="1" si="488"/>
        <v>149.97789927510865</v>
      </c>
      <c r="CF339" s="1018">
        <f t="shared" ca="1" si="474"/>
        <v>18.534610801377273</v>
      </c>
      <c r="CG339" s="1018">
        <f t="shared" ca="1" si="475"/>
        <v>30859.3855998611</v>
      </c>
    </row>
    <row r="340" spans="3:85" x14ac:dyDescent="0.25">
      <c r="C340" s="715"/>
      <c r="D340" s="716"/>
      <c r="E340" s="715"/>
      <c r="F340" s="716"/>
      <c r="G340" s="715"/>
      <c r="H340" s="720"/>
      <c r="I340" s="715"/>
      <c r="J340" s="716"/>
      <c r="K340" s="718"/>
      <c r="L340" s="720"/>
      <c r="M340" s="716" t="s">
        <v>16</v>
      </c>
      <c r="N340" s="717">
        <v>0.41099999999999998</v>
      </c>
      <c r="O340" s="716" t="s">
        <v>19</v>
      </c>
      <c r="P340" s="717">
        <v>0.108433735</v>
      </c>
      <c r="Q340" s="716" t="s">
        <v>7</v>
      </c>
      <c r="R340" s="717">
        <v>7.4300000000000005E-2</v>
      </c>
      <c r="S340" s="716"/>
      <c r="T340" s="724">
        <v>7.4422147382964103E-6</v>
      </c>
      <c r="U340" s="715"/>
      <c r="V340" s="176">
        <f t="shared" si="386"/>
        <v>7.4422147382964103E-6</v>
      </c>
      <c r="W340" s="176">
        <f>V340-V340*Calculation_sheet!J$68</f>
        <v>7.4422147382964103E-6</v>
      </c>
      <c r="X340" s="176">
        <f>W340-W340*Calculation_sheet!E$78</f>
        <v>7.4422147382964103E-6</v>
      </c>
      <c r="Y340" s="34">
        <f>X340/Calculation_sheet!M$67</f>
        <v>7.442366905009119E-6</v>
      </c>
      <c r="Z340" s="176">
        <f ca="1">IF(AN340&gt;0,Y340*Calculation_sheet!C$87,0)</f>
        <v>0</v>
      </c>
      <c r="AA340" s="176">
        <f t="shared" ca="1" si="476"/>
        <v>7.442366905009119E-6</v>
      </c>
      <c r="AB340" s="176">
        <f ca="1">IF(AP340&gt;0,AA340*Calculation_sheet!C$94,0)</f>
        <v>0</v>
      </c>
      <c r="AC340" s="176">
        <f t="shared" ca="1" si="477"/>
        <v>7.442366905009119E-6</v>
      </c>
      <c r="AD340" s="958">
        <f ca="1">AC340*Calculation_sheet!C$99</f>
        <v>4.4654201430054714E-6</v>
      </c>
      <c r="AE340" s="176">
        <f t="shared" ca="1" si="477"/>
        <v>2.9769467620036476E-6</v>
      </c>
      <c r="AF340" s="176">
        <f t="shared" ca="1" si="400"/>
        <v>7.442366905009119E-6</v>
      </c>
      <c r="AG340" s="958">
        <f ca="1">AF340*User_sheet!B$77/100</f>
        <v>0</v>
      </c>
      <c r="AH340" s="313"/>
      <c r="AI340">
        <v>303</v>
      </c>
      <c r="AK340" s="1018">
        <f t="shared" ca="1" si="470"/>
        <v>467.84246077080041</v>
      </c>
      <c r="AL340" s="924">
        <f ca="1">AK340/'303'!I$24</f>
        <v>1.2829904312924734</v>
      </c>
      <c r="AM340" s="924">
        <f ca="1">0.8*(AK340*30+'303'!D$17*0.34*30*1)</f>
        <v>19225.019058499212</v>
      </c>
      <c r="AN340" s="954">
        <f ca="1">IF(AM340&lt;User_sheet!B$50,Y340,0)</f>
        <v>0</v>
      </c>
      <c r="AO340" s="954">
        <f ca="1">20-(User_sheet!B$57/(AK340+'303'!D$17*1*0.34))</f>
        <v>12.884272333684791</v>
      </c>
      <c r="AP340" s="954">
        <f ca="1">IF(AO340&lt;User_sheet!B$59,0,BC340*AA340)</f>
        <v>7.442366905009119E-6</v>
      </c>
      <c r="AR340" s="2">
        <v>0.88</v>
      </c>
      <c r="AS340" s="1020">
        <v>2.41</v>
      </c>
      <c r="AT340" s="2">
        <v>1.42</v>
      </c>
      <c r="AU340" s="2">
        <v>2.75</v>
      </c>
      <c r="AV340" s="2">
        <v>3.3</v>
      </c>
      <c r="AW340" s="2">
        <v>11922.428413610982</v>
      </c>
      <c r="AX340" s="2">
        <v>75945.51234133933</v>
      </c>
      <c r="AY340" s="2">
        <v>62673.095488422703</v>
      </c>
      <c r="AZ340" s="2">
        <v>0</v>
      </c>
      <c r="BA340" s="2">
        <v>0</v>
      </c>
      <c r="BB340" s="2">
        <v>0.6</v>
      </c>
      <c r="BC340" s="30">
        <v>1</v>
      </c>
      <c r="BD340" s="34">
        <v>0</v>
      </c>
      <c r="BE340" s="34">
        <v>0</v>
      </c>
      <c r="BF340" s="40">
        <v>0</v>
      </c>
      <c r="BG340" s="2">
        <v>0</v>
      </c>
      <c r="BH340" s="2">
        <v>1</v>
      </c>
      <c r="BI340" s="40">
        <v>0</v>
      </c>
      <c r="BJ340" s="2">
        <v>0</v>
      </c>
      <c r="BK340" s="2">
        <v>0</v>
      </c>
      <c r="BL340" s="2">
        <v>1</v>
      </c>
      <c r="BM340" s="40">
        <v>0</v>
      </c>
      <c r="BN340" s="958">
        <v>0.1</v>
      </c>
      <c r="BO340" s="959">
        <v>14.1</v>
      </c>
      <c r="BP340" s="1018">
        <f t="shared" ca="1" si="478"/>
        <v>350</v>
      </c>
      <c r="BQ340" s="1018">
        <f t="shared" ca="1" si="479"/>
        <v>764.40000000000009</v>
      </c>
      <c r="BR340" s="1018">
        <f t="shared" ca="1" si="480"/>
        <v>105</v>
      </c>
      <c r="BS340" s="1018">
        <f t="shared" ca="1" si="481"/>
        <v>112.64999999999998</v>
      </c>
      <c r="BT340" s="1018">
        <f t="shared" ca="1" si="482"/>
        <v>105</v>
      </c>
      <c r="BU340" s="1018">
        <f t="shared" ca="1" si="483"/>
        <v>42</v>
      </c>
      <c r="BV340" s="1018">
        <f t="shared" ca="1" si="484"/>
        <v>2.15</v>
      </c>
      <c r="BW340" s="1018">
        <v>0</v>
      </c>
      <c r="BX340" s="1018">
        <f t="shared" ca="1" si="485"/>
        <v>80.171217029153169</v>
      </c>
      <c r="BY340" s="1018">
        <f t="shared" ca="1" si="486"/>
        <v>191.4933461864008</v>
      </c>
      <c r="BZ340" s="1018">
        <f t="shared" ca="1" si="471"/>
        <v>39.484538840145518</v>
      </c>
      <c r="CA340" s="1018">
        <f t="shared" ca="1" si="472"/>
        <v>115.49999993647498</v>
      </c>
      <c r="CB340" s="1018">
        <f t="shared" ca="1" si="487"/>
        <v>4.5133587786259541</v>
      </c>
      <c r="CC340" s="1018">
        <f t="shared" si="473"/>
        <v>0</v>
      </c>
      <c r="CD340" s="1018">
        <f t="shared" ca="1" si="489"/>
        <v>467.84246077080041</v>
      </c>
      <c r="CE340" s="1018">
        <f t="shared" ca="1" si="488"/>
        <v>149.97789927510865</v>
      </c>
      <c r="CF340" s="1018">
        <f t="shared" ca="1" si="474"/>
        <v>18.534610801377273</v>
      </c>
      <c r="CG340" s="1018">
        <f t="shared" ca="1" si="475"/>
        <v>30859.3855998611</v>
      </c>
    </row>
    <row r="341" spans="3:85" x14ac:dyDescent="0.25">
      <c r="C341" s="715"/>
      <c r="D341" s="716"/>
      <c r="E341" s="715"/>
      <c r="F341" s="716"/>
      <c r="G341" s="715"/>
      <c r="H341" s="720"/>
      <c r="I341" s="715"/>
      <c r="J341" s="716"/>
      <c r="K341" s="718"/>
      <c r="L341" s="720"/>
      <c r="M341" s="716"/>
      <c r="N341" s="716"/>
      <c r="O341" s="716"/>
      <c r="P341" s="716"/>
      <c r="Q341" s="716" t="s">
        <v>22</v>
      </c>
      <c r="R341" s="717">
        <v>0.60750000000000004</v>
      </c>
      <c r="S341" s="716"/>
      <c r="T341" s="724">
        <v>6.0579164401566388E-4</v>
      </c>
      <c r="U341" s="715"/>
      <c r="V341" s="176">
        <f t="shared" si="386"/>
        <v>6.0579164401566388E-4</v>
      </c>
      <c r="W341" s="176">
        <f>V341-V341*Calculation_sheet!J$68</f>
        <v>6.0579164401566388E-4</v>
      </c>
      <c r="X341" s="176">
        <f>W341-W341*Calculation_sheet!E$78</f>
        <v>6.0579164401566388E-4</v>
      </c>
      <c r="Y341" s="34">
        <f>X341/Calculation_sheet!M$67</f>
        <v>6.0580403029129523E-4</v>
      </c>
      <c r="Z341" s="176">
        <f ca="1">IF(AN341&gt;0,Y341*Calculation_sheet!C$87,0)</f>
        <v>0</v>
      </c>
      <c r="AA341" s="176">
        <f t="shared" ca="1" si="476"/>
        <v>6.0580403029129523E-4</v>
      </c>
      <c r="AB341" s="176">
        <f ca="1">IF(AP341&gt;0,AA341*Calculation_sheet!C$94,0)</f>
        <v>0</v>
      </c>
      <c r="AC341" s="176">
        <f t="shared" ca="1" si="477"/>
        <v>6.0580403029129523E-4</v>
      </c>
      <c r="AD341" s="958">
        <f ca="1">AC341*Calculation_sheet!C$99</f>
        <v>3.6348241817477713E-4</v>
      </c>
      <c r="AE341" s="176">
        <f t="shared" ca="1" si="477"/>
        <v>2.423216121165181E-4</v>
      </c>
      <c r="AF341" s="176">
        <f t="shared" ca="1" si="400"/>
        <v>6.0580403029129523E-4</v>
      </c>
      <c r="AG341" s="958">
        <f ca="1">AF341*User_sheet!B$77/100</f>
        <v>0</v>
      </c>
      <c r="AH341" s="313"/>
      <c r="AI341">
        <v>303</v>
      </c>
      <c r="AK341" s="1018">
        <f t="shared" ca="1" si="470"/>
        <v>467.84246077080041</v>
      </c>
      <c r="AL341" s="924">
        <f ca="1">AK341/'303'!I$24</f>
        <v>1.2829904312924734</v>
      </c>
      <c r="AM341" s="924">
        <f ca="1">0.8*(AK341*30+'303'!D$17*0.34*30*1)</f>
        <v>19225.019058499212</v>
      </c>
      <c r="AN341" s="954">
        <f ca="1">IF(AM341&lt;User_sheet!B$50,Y341,0)</f>
        <v>0</v>
      </c>
      <c r="AO341" s="954">
        <f ca="1">20-(User_sheet!B$57/(AK341+'303'!D$17*1*0.34))</f>
        <v>12.884272333684791</v>
      </c>
      <c r="AP341" s="954">
        <f ca="1">IF(AO341&lt;User_sheet!B$59,0,BC341*AA341)</f>
        <v>0</v>
      </c>
      <c r="AR341" s="2">
        <v>0.88</v>
      </c>
      <c r="AS341" s="1020">
        <v>2.41</v>
      </c>
      <c r="AT341" s="2">
        <v>1.42</v>
      </c>
      <c r="AU341" s="2">
        <v>2.75</v>
      </c>
      <c r="AV341" s="2">
        <v>3.3</v>
      </c>
      <c r="AW341" s="2">
        <v>11922.428413610982</v>
      </c>
      <c r="AX341" s="2">
        <v>75945.51234133933</v>
      </c>
      <c r="AY341" s="2">
        <v>62673.095488422703</v>
      </c>
      <c r="AZ341" s="2">
        <v>0</v>
      </c>
      <c r="BA341" s="2">
        <v>0</v>
      </c>
      <c r="BB341" s="2">
        <v>0.6</v>
      </c>
      <c r="BC341" s="30">
        <v>0</v>
      </c>
      <c r="BD341" s="34">
        <v>1</v>
      </c>
      <c r="BE341" s="34">
        <v>0</v>
      </c>
      <c r="BF341" s="40">
        <v>0</v>
      </c>
      <c r="BG341" s="2">
        <v>1</v>
      </c>
      <c r="BH341" s="2">
        <v>0</v>
      </c>
      <c r="BI341" s="40">
        <v>0</v>
      </c>
      <c r="BJ341" s="2">
        <v>0</v>
      </c>
      <c r="BK341" s="2">
        <v>1</v>
      </c>
      <c r="BL341" s="2">
        <v>0</v>
      </c>
      <c r="BM341" s="40">
        <v>0</v>
      </c>
      <c r="BN341" s="958">
        <v>0.1</v>
      </c>
      <c r="BO341" s="959">
        <v>14.1</v>
      </c>
      <c r="BP341" s="1018">
        <f t="shared" ca="1" si="478"/>
        <v>350</v>
      </c>
      <c r="BQ341" s="1018">
        <f t="shared" ca="1" si="479"/>
        <v>764.40000000000009</v>
      </c>
      <c r="BR341" s="1018">
        <f t="shared" ca="1" si="480"/>
        <v>105</v>
      </c>
      <c r="BS341" s="1018">
        <f t="shared" ca="1" si="481"/>
        <v>112.64999999999998</v>
      </c>
      <c r="BT341" s="1018">
        <f t="shared" ca="1" si="482"/>
        <v>105</v>
      </c>
      <c r="BU341" s="1018">
        <f t="shared" ca="1" si="483"/>
        <v>42</v>
      </c>
      <c r="BV341" s="1018">
        <f t="shared" ca="1" si="484"/>
        <v>2.15</v>
      </c>
      <c r="BW341" s="1018">
        <v>0</v>
      </c>
      <c r="BX341" s="1018">
        <f t="shared" ca="1" si="485"/>
        <v>80.171217029153169</v>
      </c>
      <c r="BY341" s="1018">
        <f t="shared" ca="1" si="486"/>
        <v>191.4933461864008</v>
      </c>
      <c r="BZ341" s="1018">
        <f t="shared" ca="1" si="471"/>
        <v>39.484538840145518</v>
      </c>
      <c r="CA341" s="1018">
        <f t="shared" ca="1" si="472"/>
        <v>115.49999993647498</v>
      </c>
      <c r="CB341" s="1018">
        <f t="shared" ca="1" si="487"/>
        <v>4.5133587786259541</v>
      </c>
      <c r="CC341" s="1018">
        <f t="shared" si="473"/>
        <v>0</v>
      </c>
      <c r="CD341" s="1018">
        <f t="shared" ca="1" si="489"/>
        <v>467.84246077080041</v>
      </c>
      <c r="CE341" s="1018">
        <f t="shared" ca="1" si="488"/>
        <v>149.97789927510865</v>
      </c>
      <c r="CF341" s="1018">
        <f t="shared" ca="1" si="474"/>
        <v>18.534610801377273</v>
      </c>
      <c r="CG341" s="1018">
        <f t="shared" ca="1" si="475"/>
        <v>30859.3855998611</v>
      </c>
    </row>
    <row r="342" spans="3:85" x14ac:dyDescent="0.25">
      <c r="C342" s="715"/>
      <c r="D342" s="716"/>
      <c r="E342" s="715"/>
      <c r="F342" s="716"/>
      <c r="G342" s="715"/>
      <c r="H342" s="716"/>
      <c r="I342" s="715"/>
      <c r="J342" s="716"/>
      <c r="K342" s="715"/>
      <c r="L342" s="715"/>
      <c r="M342" s="716"/>
      <c r="N342" s="716"/>
      <c r="O342" s="716" t="s">
        <v>18</v>
      </c>
      <c r="P342" s="717">
        <v>0.94399999999999995</v>
      </c>
      <c r="Q342" s="716" t="s">
        <v>7</v>
      </c>
      <c r="R342" s="717">
        <v>0.39250000000000002</v>
      </c>
      <c r="S342" s="716"/>
      <c r="T342" s="724">
        <v>3.9139624736814497E-4</v>
      </c>
      <c r="U342" s="715"/>
      <c r="V342" s="176">
        <f t="shared" si="386"/>
        <v>3.9139624736814497E-4</v>
      </c>
      <c r="W342" s="176">
        <f>V342-V342*Calculation_sheet!J$68</f>
        <v>3.9139624736814497E-4</v>
      </c>
      <c r="X342" s="176">
        <f>W342-W342*Calculation_sheet!E$78</f>
        <v>3.9139624736814497E-4</v>
      </c>
      <c r="Y342" s="34">
        <f>X342/Calculation_sheet!M$67</f>
        <v>3.9140425002359404E-4</v>
      </c>
      <c r="Z342" s="176">
        <f ca="1">IF(AN342&gt;0,Y342*Calculation_sheet!C$87,0)</f>
        <v>0</v>
      </c>
      <c r="AA342" s="176">
        <f t="shared" ca="1" si="476"/>
        <v>3.9140425002359404E-4</v>
      </c>
      <c r="AB342" s="176">
        <f ca="1">IF(AP342&gt;0,AA342*Calculation_sheet!C$94,0)</f>
        <v>0</v>
      </c>
      <c r="AC342" s="176">
        <f t="shared" ca="1" si="477"/>
        <v>3.9140425002359404E-4</v>
      </c>
      <c r="AD342" s="958">
        <f ca="1">AC342*Calculation_sheet!C$99</f>
        <v>2.3484255001415642E-4</v>
      </c>
      <c r="AE342" s="176">
        <f t="shared" ca="1" si="477"/>
        <v>1.5656170000943762E-4</v>
      </c>
      <c r="AF342" s="176">
        <f ca="1">Y342-AB342</f>
        <v>3.9140425002359404E-4</v>
      </c>
      <c r="AG342" s="958">
        <f ca="1">AF342*User_sheet!B$77/100</f>
        <v>0</v>
      </c>
      <c r="AH342" s="313"/>
      <c r="AI342">
        <v>303</v>
      </c>
      <c r="AK342" s="1018">
        <f t="shared" ca="1" si="470"/>
        <v>467.84246077080041</v>
      </c>
      <c r="AL342" s="924">
        <f ca="1">AK342/'303'!I$24</f>
        <v>1.2829904312924734</v>
      </c>
      <c r="AM342" s="924">
        <f ca="1">0.8*(AK342*30+'303'!D$17*0.34*30*1)</f>
        <v>19225.019058499212</v>
      </c>
      <c r="AN342" s="954">
        <f ca="1">IF(AM342&lt;User_sheet!B$50,Y342,0)</f>
        <v>0</v>
      </c>
      <c r="AO342" s="954">
        <f ca="1">20-(User_sheet!B$57/(AK342+'303'!D$17*1*0.34))</f>
        <v>12.884272333684791</v>
      </c>
      <c r="AP342" s="954">
        <f ca="1">IF(AO342&lt;User_sheet!B$59,0,BC342*AA342)</f>
        <v>0</v>
      </c>
      <c r="AR342" s="2">
        <v>0.88</v>
      </c>
      <c r="AS342" s="1020">
        <v>2.41</v>
      </c>
      <c r="AT342" s="2">
        <v>1.42</v>
      </c>
      <c r="AU342" s="2">
        <v>2.75</v>
      </c>
      <c r="AV342" s="2">
        <v>3.3</v>
      </c>
      <c r="AW342" s="2">
        <v>11922.428413610982</v>
      </c>
      <c r="AX342" s="2">
        <v>75945.51234133933</v>
      </c>
      <c r="AY342" s="2">
        <v>62673.095488422703</v>
      </c>
      <c r="AZ342" s="2">
        <v>0</v>
      </c>
      <c r="BA342" s="2">
        <v>0</v>
      </c>
      <c r="BB342" s="2">
        <v>0.6</v>
      </c>
      <c r="BC342" s="30">
        <v>0</v>
      </c>
      <c r="BD342" s="34">
        <v>1</v>
      </c>
      <c r="BE342" s="34">
        <v>0</v>
      </c>
      <c r="BF342" s="40">
        <v>0</v>
      </c>
      <c r="BG342" s="2">
        <v>1</v>
      </c>
      <c r="BH342" s="2">
        <v>0</v>
      </c>
      <c r="BI342" s="40">
        <v>0</v>
      </c>
      <c r="BJ342" s="2">
        <v>0</v>
      </c>
      <c r="BK342" s="2">
        <v>0</v>
      </c>
      <c r="BL342" s="2">
        <v>1</v>
      </c>
      <c r="BM342" s="40">
        <v>0</v>
      </c>
      <c r="BN342" s="958">
        <v>0.1</v>
      </c>
      <c r="BO342" s="959">
        <v>14.1</v>
      </c>
      <c r="BP342" s="1018">
        <f t="shared" ca="1" si="478"/>
        <v>350</v>
      </c>
      <c r="BQ342" s="1018">
        <f t="shared" ca="1" si="479"/>
        <v>764.40000000000009</v>
      </c>
      <c r="BR342" s="1018">
        <f t="shared" ca="1" si="480"/>
        <v>105</v>
      </c>
      <c r="BS342" s="1018">
        <f t="shared" ca="1" si="481"/>
        <v>112.64999999999998</v>
      </c>
      <c r="BT342" s="1018">
        <f t="shared" ca="1" si="482"/>
        <v>105</v>
      </c>
      <c r="BU342" s="1018">
        <f t="shared" ca="1" si="483"/>
        <v>42</v>
      </c>
      <c r="BV342" s="1018">
        <f t="shared" ca="1" si="484"/>
        <v>2.15</v>
      </c>
      <c r="BW342" s="1018">
        <v>0</v>
      </c>
      <c r="BX342" s="1018">
        <f t="shared" ca="1" si="485"/>
        <v>80.171217029153169</v>
      </c>
      <c r="BY342" s="1018">
        <f t="shared" ca="1" si="486"/>
        <v>191.4933461864008</v>
      </c>
      <c r="BZ342" s="1018">
        <f t="shared" ca="1" si="471"/>
        <v>39.484538840145518</v>
      </c>
      <c r="CA342" s="1018">
        <f t="shared" ca="1" si="472"/>
        <v>115.49999993647498</v>
      </c>
      <c r="CB342" s="1018">
        <f t="shared" ca="1" si="487"/>
        <v>4.5133587786259541</v>
      </c>
      <c r="CC342" s="1018">
        <f t="shared" si="473"/>
        <v>0</v>
      </c>
      <c r="CD342" s="1018">
        <f t="shared" ca="1" si="489"/>
        <v>467.84246077080041</v>
      </c>
      <c r="CE342" s="1018">
        <f t="shared" ca="1" si="488"/>
        <v>149.97789927510865</v>
      </c>
      <c r="CF342" s="1018">
        <f t="shared" ca="1" si="474"/>
        <v>18.534610801377273</v>
      </c>
      <c r="CG342" s="1018">
        <f t="shared" ca="1" si="475"/>
        <v>30859.3855998611</v>
      </c>
    </row>
    <row r="343" spans="3:85" x14ac:dyDescent="0.25">
      <c r="C343" s="715"/>
      <c r="D343" s="716"/>
      <c r="E343" s="715" t="s">
        <v>8</v>
      </c>
      <c r="F343" s="719">
        <v>0.39</v>
      </c>
      <c r="G343" s="715"/>
      <c r="H343" s="716"/>
      <c r="I343" s="715" t="s">
        <v>10</v>
      </c>
      <c r="J343" s="719">
        <v>0.40970000000000001</v>
      </c>
      <c r="K343" s="716"/>
      <c r="L343" s="716"/>
      <c r="M343" s="716"/>
      <c r="N343" s="716"/>
      <c r="O343" s="716"/>
      <c r="P343" s="716"/>
      <c r="Q343" s="716" t="s">
        <v>22</v>
      </c>
      <c r="R343" s="717">
        <v>0.39250000000000002</v>
      </c>
      <c r="S343" s="716"/>
      <c r="T343" s="724">
        <v>2.3218421454042496E-5</v>
      </c>
      <c r="U343" s="715"/>
      <c r="V343" s="176">
        <f t="shared" si="386"/>
        <v>2.3218421454042496E-5</v>
      </c>
      <c r="W343" s="176">
        <f>V343-V343*Calculation_sheet!J$68</f>
        <v>2.3218421454042496E-5</v>
      </c>
      <c r="X343" s="176">
        <f>W343-W343*Calculation_sheet!E$78</f>
        <v>2.3218421454042496E-5</v>
      </c>
      <c r="Y343" s="34">
        <f>X343/Calculation_sheet!M$67</f>
        <v>2.3218896187840321E-5</v>
      </c>
      <c r="Z343" s="176">
        <f ca="1">IF(AN343&gt;0,Y343*Calculation_sheet!C$87,0)</f>
        <v>0</v>
      </c>
      <c r="AA343" s="176">
        <f t="shared" ca="1" si="476"/>
        <v>2.3218896187840321E-5</v>
      </c>
      <c r="AB343" s="176">
        <f ca="1">IF(AP343&gt;0,AA343*Calculation_sheet!C$94,0)</f>
        <v>0</v>
      </c>
      <c r="AC343" s="176">
        <f t="shared" ca="1" si="477"/>
        <v>2.3218896187840321E-5</v>
      </c>
      <c r="AD343" s="958">
        <f ca="1">AC343*Calculation_sheet!C$99</f>
        <v>1.3931337712704192E-5</v>
      </c>
      <c r="AE343" s="176">
        <f t="shared" ca="1" si="477"/>
        <v>9.2875584751361293E-6</v>
      </c>
      <c r="AF343" s="176">
        <f ca="1">Y343-AB343</f>
        <v>2.3218896187840321E-5</v>
      </c>
      <c r="AG343" s="958">
        <f ca="1">AF343*User_sheet!B$77/100</f>
        <v>0</v>
      </c>
      <c r="AH343" s="313"/>
      <c r="AI343">
        <v>303</v>
      </c>
      <c r="AK343" s="1018">
        <f t="shared" ca="1" si="470"/>
        <v>467.84246077080041</v>
      </c>
      <c r="AL343" s="924">
        <f ca="1">AK343/'303'!I$24</f>
        <v>1.2829904312924734</v>
      </c>
      <c r="AM343" s="924">
        <f ca="1">0.8*(AK343*30+'303'!D$17*0.34*30*1)</f>
        <v>19225.019058499212</v>
      </c>
      <c r="AN343" s="954">
        <f ca="1">IF(AM343&lt;User_sheet!B$50,Y343,0)</f>
        <v>0</v>
      </c>
      <c r="AO343" s="954">
        <f ca="1">20-(User_sheet!B$57/(AK343+'303'!D$17*1*0.34))</f>
        <v>12.884272333684791</v>
      </c>
      <c r="AP343" s="954">
        <f ca="1">IF(AO343&lt;User_sheet!B$59,0,BC343*AA343)</f>
        <v>0</v>
      </c>
      <c r="AR343" s="2">
        <v>0.88</v>
      </c>
      <c r="AS343" s="1020">
        <v>2.41</v>
      </c>
      <c r="AT343" s="2">
        <v>1.42</v>
      </c>
      <c r="AU343" s="2">
        <v>2.75</v>
      </c>
      <c r="AV343" s="2">
        <v>3.3</v>
      </c>
      <c r="AW343" s="2">
        <v>11922.428413610982</v>
      </c>
      <c r="AX343" s="2">
        <v>75945.51234133933</v>
      </c>
      <c r="AY343" s="2">
        <v>62673.095488422703</v>
      </c>
      <c r="AZ343" s="2">
        <v>0</v>
      </c>
      <c r="BA343" s="2">
        <v>0</v>
      </c>
      <c r="BB343" s="2">
        <v>0.6</v>
      </c>
      <c r="BC343" s="30">
        <v>0</v>
      </c>
      <c r="BD343" s="34">
        <v>1</v>
      </c>
      <c r="BE343" s="34">
        <v>0</v>
      </c>
      <c r="BF343" s="40">
        <v>0</v>
      </c>
      <c r="BG343" s="2">
        <v>0</v>
      </c>
      <c r="BH343" s="2">
        <v>1</v>
      </c>
      <c r="BI343" s="40">
        <v>0</v>
      </c>
      <c r="BJ343" s="2">
        <v>0</v>
      </c>
      <c r="BK343" s="2">
        <v>1</v>
      </c>
      <c r="BL343" s="2">
        <v>0</v>
      </c>
      <c r="BM343" s="40">
        <v>0</v>
      </c>
      <c r="BN343" s="958">
        <v>0.1</v>
      </c>
      <c r="BO343" s="959">
        <v>14.1</v>
      </c>
      <c r="BP343" s="1018">
        <f t="shared" ca="1" si="478"/>
        <v>350</v>
      </c>
      <c r="BQ343" s="1018">
        <f t="shared" ca="1" si="479"/>
        <v>764.40000000000009</v>
      </c>
      <c r="BR343" s="1018">
        <f t="shared" ca="1" si="480"/>
        <v>105</v>
      </c>
      <c r="BS343" s="1018">
        <f t="shared" ca="1" si="481"/>
        <v>112.64999999999998</v>
      </c>
      <c r="BT343" s="1018">
        <f t="shared" ca="1" si="482"/>
        <v>105</v>
      </c>
      <c r="BU343" s="1018">
        <f t="shared" ca="1" si="483"/>
        <v>42</v>
      </c>
      <c r="BV343" s="1018">
        <f t="shared" ca="1" si="484"/>
        <v>2.15</v>
      </c>
      <c r="BW343" s="1018">
        <v>0</v>
      </c>
      <c r="BX343" s="1018">
        <f t="shared" ca="1" si="485"/>
        <v>80.171217029153169</v>
      </c>
      <c r="BY343" s="1018">
        <f t="shared" ca="1" si="486"/>
        <v>191.4933461864008</v>
      </c>
      <c r="BZ343" s="1018">
        <f t="shared" ca="1" si="471"/>
        <v>39.484538840145518</v>
      </c>
      <c r="CA343" s="1018">
        <f t="shared" ca="1" si="472"/>
        <v>115.49999993647498</v>
      </c>
      <c r="CB343" s="1018">
        <f t="shared" ca="1" si="487"/>
        <v>4.5133587786259541</v>
      </c>
      <c r="CC343" s="1018">
        <f t="shared" si="473"/>
        <v>0</v>
      </c>
      <c r="CD343" s="1018">
        <f t="shared" ca="1" si="489"/>
        <v>467.84246077080041</v>
      </c>
      <c r="CE343" s="1018">
        <f t="shared" ca="1" si="488"/>
        <v>149.97789927510865</v>
      </c>
      <c r="CF343" s="1018">
        <f t="shared" ca="1" si="474"/>
        <v>18.534610801377273</v>
      </c>
      <c r="CG343" s="1018">
        <f t="shared" ca="1" si="475"/>
        <v>30859.3855998611</v>
      </c>
    </row>
    <row r="344" spans="3:85" x14ac:dyDescent="0.25">
      <c r="C344" s="715"/>
      <c r="D344" s="716"/>
      <c r="E344" s="715"/>
      <c r="F344" s="716"/>
      <c r="G344" s="715"/>
      <c r="H344" s="716"/>
      <c r="I344" s="715"/>
      <c r="J344" s="716"/>
      <c r="K344" s="716"/>
      <c r="L344" s="716"/>
      <c r="M344" s="716" t="s">
        <v>22</v>
      </c>
      <c r="N344" s="717">
        <v>0.47</v>
      </c>
      <c r="O344" s="716" t="s">
        <v>20</v>
      </c>
      <c r="P344" s="717">
        <v>5.6000000000000001E-2</v>
      </c>
      <c r="Q344" s="716" t="s">
        <v>7</v>
      </c>
      <c r="R344" s="717">
        <v>0.60750000000000004</v>
      </c>
      <c r="S344" s="716"/>
      <c r="T344" s="724">
        <v>3.5936792441607176E-5</v>
      </c>
      <c r="U344" s="715"/>
      <c r="V344" s="176">
        <f t="shared" si="386"/>
        <v>3.5936792441607176E-5</v>
      </c>
      <c r="W344" s="176">
        <f>V344-V344*Calculation_sheet!J$68</f>
        <v>3.5936792441607176E-5</v>
      </c>
      <c r="X344" s="176">
        <f>W344-W344*Calculation_sheet!E$78</f>
        <v>3.5936792441607176E-5</v>
      </c>
      <c r="Y344" s="34">
        <f>X344/Calculation_sheet!M$67</f>
        <v>3.5937527220670053E-5</v>
      </c>
      <c r="Z344" s="176">
        <f ca="1">IF(AN344&gt;0,Y344*Calculation_sheet!C$87,0)</f>
        <v>0</v>
      </c>
      <c r="AA344" s="176">
        <f t="shared" ca="1" si="476"/>
        <v>3.5937527220670053E-5</v>
      </c>
      <c r="AB344" s="176">
        <f ca="1">IF(AP344&gt;0,AA344*Calculation_sheet!C$94,0)</f>
        <v>0</v>
      </c>
      <c r="AC344" s="176">
        <f t="shared" ca="1" si="477"/>
        <v>3.5937527220670053E-5</v>
      </c>
      <c r="AD344" s="958">
        <f ca="1">AC344*Calculation_sheet!C$99</f>
        <v>2.156251633240203E-5</v>
      </c>
      <c r="AE344" s="176">
        <f t="shared" ca="1" si="477"/>
        <v>1.4375010888268023E-5</v>
      </c>
      <c r="AF344" s="176">
        <f ca="1">Y344-AB344</f>
        <v>3.5937527220670053E-5</v>
      </c>
      <c r="AG344" s="958">
        <f ca="1">AF344*User_sheet!B$77/100</f>
        <v>0</v>
      </c>
      <c r="AH344" s="313"/>
      <c r="AI344">
        <v>303</v>
      </c>
      <c r="AK344" s="1018">
        <f t="shared" ca="1" si="470"/>
        <v>467.84246077080041</v>
      </c>
      <c r="AL344" s="924">
        <f ca="1">AK344/'303'!I$24</f>
        <v>1.2829904312924734</v>
      </c>
      <c r="AM344" s="924">
        <f ca="1">0.8*(AK344*30+'303'!D$17*0.34*30*1)</f>
        <v>19225.019058499212</v>
      </c>
      <c r="AN344" s="954">
        <f ca="1">IF(AM344&lt;User_sheet!B$50,Y344,0)</f>
        <v>0</v>
      </c>
      <c r="AO344" s="954">
        <f ca="1">20-(User_sheet!B$57/(AK344+'303'!D$17*1*0.34))</f>
        <v>12.884272333684791</v>
      </c>
      <c r="AP344" s="954">
        <f ca="1">IF(AO344&lt;User_sheet!B$59,0,BC344*AA344)</f>
        <v>0</v>
      </c>
      <c r="AR344" s="2">
        <v>0.88</v>
      </c>
      <c r="AS344" s="1020">
        <v>2.41</v>
      </c>
      <c r="AT344" s="2">
        <v>1.42</v>
      </c>
      <c r="AU344" s="2">
        <v>2.75</v>
      </c>
      <c r="AV344" s="2">
        <v>3.3</v>
      </c>
      <c r="AW344" s="2">
        <v>11922.428413610982</v>
      </c>
      <c r="AX344" s="2">
        <v>75945.51234133933</v>
      </c>
      <c r="AY344" s="2">
        <v>62673.095488422703</v>
      </c>
      <c r="AZ344" s="2">
        <v>0</v>
      </c>
      <c r="BA344" s="2">
        <v>0</v>
      </c>
      <c r="BB344" s="2">
        <v>0.6</v>
      </c>
      <c r="BC344" s="30">
        <v>0</v>
      </c>
      <c r="BD344" s="34">
        <v>1</v>
      </c>
      <c r="BE344" s="34">
        <v>0</v>
      </c>
      <c r="BF344" s="40">
        <v>0</v>
      </c>
      <c r="BG344" s="2">
        <v>0</v>
      </c>
      <c r="BH344" s="2">
        <v>1</v>
      </c>
      <c r="BI344" s="40">
        <v>0</v>
      </c>
      <c r="BJ344" s="2">
        <v>0</v>
      </c>
      <c r="BK344" s="2">
        <v>0</v>
      </c>
      <c r="BL344" s="2">
        <v>1</v>
      </c>
      <c r="BM344" s="40">
        <v>0</v>
      </c>
      <c r="BN344" s="958">
        <v>0.1</v>
      </c>
      <c r="BO344" s="959">
        <v>14.1</v>
      </c>
      <c r="BP344" s="1018">
        <f t="shared" ca="1" si="478"/>
        <v>350</v>
      </c>
      <c r="BQ344" s="1018">
        <f t="shared" ca="1" si="479"/>
        <v>764.40000000000009</v>
      </c>
      <c r="BR344" s="1018">
        <f t="shared" ca="1" si="480"/>
        <v>105</v>
      </c>
      <c r="BS344" s="1018">
        <f t="shared" ca="1" si="481"/>
        <v>112.64999999999998</v>
      </c>
      <c r="BT344" s="1018">
        <f t="shared" ca="1" si="482"/>
        <v>105</v>
      </c>
      <c r="BU344" s="1018">
        <f t="shared" ca="1" si="483"/>
        <v>42</v>
      </c>
      <c r="BV344" s="1018">
        <f t="shared" ca="1" si="484"/>
        <v>2.15</v>
      </c>
      <c r="BW344" s="1018">
        <v>0</v>
      </c>
      <c r="BX344" s="1018">
        <f t="shared" ca="1" si="485"/>
        <v>80.171217029153169</v>
      </c>
      <c r="BY344" s="1018">
        <f t="shared" ca="1" si="486"/>
        <v>191.4933461864008</v>
      </c>
      <c r="BZ344" s="1018">
        <f t="shared" ca="1" si="471"/>
        <v>39.484538840145518</v>
      </c>
      <c r="CA344" s="1018">
        <f t="shared" ca="1" si="472"/>
        <v>115.49999993647498</v>
      </c>
      <c r="CB344" s="1018">
        <f t="shared" ca="1" si="487"/>
        <v>4.5133587786259541</v>
      </c>
      <c r="CC344" s="1018">
        <f t="shared" si="473"/>
        <v>0</v>
      </c>
      <c r="CD344" s="1018">
        <f t="shared" ca="1" si="489"/>
        <v>467.84246077080041</v>
      </c>
      <c r="CE344" s="1018">
        <f t="shared" ca="1" si="488"/>
        <v>149.97789927510865</v>
      </c>
      <c r="CF344" s="1018">
        <f t="shared" ca="1" si="474"/>
        <v>18.534610801377273</v>
      </c>
      <c r="CG344" s="1018">
        <f t="shared" ca="1" si="475"/>
        <v>30859.3855998611</v>
      </c>
    </row>
    <row r="345" spans="3:85" x14ac:dyDescent="0.25">
      <c r="C345" s="715"/>
      <c r="D345" s="716"/>
      <c r="E345" s="715"/>
      <c r="F345" s="716"/>
      <c r="G345" s="715"/>
      <c r="H345" s="716"/>
      <c r="I345" s="715"/>
      <c r="J345" s="716"/>
      <c r="K345" s="718" t="s">
        <v>13</v>
      </c>
      <c r="L345" s="719">
        <v>1</v>
      </c>
      <c r="M345" s="716" t="s">
        <v>7</v>
      </c>
      <c r="N345" s="717">
        <v>0.11900000000000005</v>
      </c>
      <c r="O345" s="716" t="s">
        <v>23</v>
      </c>
      <c r="P345" s="717">
        <v>1</v>
      </c>
      <c r="Q345" s="716" t="s">
        <v>7</v>
      </c>
      <c r="R345" s="717">
        <v>1</v>
      </c>
      <c r="S345" s="716"/>
      <c r="T345" s="724">
        <v>2.6745708410267152E-4</v>
      </c>
      <c r="U345" s="715"/>
      <c r="V345" s="176">
        <f t="shared" si="386"/>
        <v>2.6745708410267152E-4</v>
      </c>
      <c r="W345" s="176">
        <f>V345-V345*Calculation_sheet!J$68</f>
        <v>2.6745708410267152E-4</v>
      </c>
      <c r="X345" s="176">
        <f>W345-W345*Calculation_sheet!E$78</f>
        <v>2.6745708410267152E-4</v>
      </c>
      <c r="Y345" s="34">
        <f>X345/Calculation_sheet!M$67</f>
        <v>2.6746255264486086E-4</v>
      </c>
      <c r="Z345" s="176">
        <f ca="1">IF(AN345&gt;0,Y345*Calculation_sheet!C$87,0)</f>
        <v>0</v>
      </c>
      <c r="AA345" s="176">
        <f t="shared" ca="1" si="476"/>
        <v>2.6746255264486086E-4</v>
      </c>
      <c r="AB345" s="176">
        <f ca="1">IF(AP345&gt;0,AA345*Calculation_sheet!C$94,0)</f>
        <v>0</v>
      </c>
      <c r="AC345" s="176">
        <f t="shared" ca="1" si="477"/>
        <v>2.6746255264486086E-4</v>
      </c>
      <c r="AD345" s="958">
        <f ca="1">AC345*Calculation_sheet!C$99</f>
        <v>1.6047753158691651E-4</v>
      </c>
      <c r="AE345" s="176">
        <f t="shared" ca="1" si="477"/>
        <v>1.0698502105794435E-4</v>
      </c>
      <c r="AF345" s="176">
        <f ca="1">Y345-AB345</f>
        <v>2.6746255264486086E-4</v>
      </c>
      <c r="AG345" s="958">
        <f ca="1">AF345*User_sheet!B$77/100</f>
        <v>0</v>
      </c>
      <c r="AH345" s="313"/>
      <c r="AI345">
        <v>303</v>
      </c>
      <c r="AK345" s="1018">
        <f t="shared" ca="1" si="470"/>
        <v>467.84246077080041</v>
      </c>
      <c r="AL345" s="924">
        <f ca="1">AK345/'303'!I$24</f>
        <v>1.2829904312924734</v>
      </c>
      <c r="AM345" s="924">
        <f ca="1">0.8*(AK345*30+'303'!D$17*0.34*30*1)</f>
        <v>19225.019058499212</v>
      </c>
      <c r="AN345" s="954">
        <f ca="1">IF(AM345&lt;User_sheet!B$50,Y345,0)</f>
        <v>0</v>
      </c>
      <c r="AO345" s="954">
        <f ca="1">20-(User_sheet!B$57/(AK345+'303'!D$17*1*0.34))</f>
        <v>12.884272333684791</v>
      </c>
      <c r="AP345" s="954">
        <f ca="1">IF(AO345&lt;User_sheet!B$59,0,BC345*AA345)</f>
        <v>0</v>
      </c>
      <c r="AR345" s="2">
        <v>0.88</v>
      </c>
      <c r="AS345" s="1020">
        <v>2.41</v>
      </c>
      <c r="AT345" s="2">
        <v>1.42</v>
      </c>
      <c r="AU345" s="2">
        <v>2.75</v>
      </c>
      <c r="AV345" s="2">
        <v>3.3</v>
      </c>
      <c r="AW345" s="2">
        <v>11922.428413610982</v>
      </c>
      <c r="AX345" s="2">
        <v>75945.51234133933</v>
      </c>
      <c r="AY345" s="2">
        <v>62673.095488422703</v>
      </c>
      <c r="AZ345" s="2">
        <v>0</v>
      </c>
      <c r="BA345" s="2">
        <v>0</v>
      </c>
      <c r="BB345" s="2">
        <v>0.6</v>
      </c>
      <c r="BC345" s="30">
        <v>0</v>
      </c>
      <c r="BD345" s="34">
        <v>0</v>
      </c>
      <c r="BE345" s="34">
        <v>1</v>
      </c>
      <c r="BF345" s="40">
        <v>0</v>
      </c>
      <c r="BG345" s="2">
        <v>0</v>
      </c>
      <c r="BH345" s="2">
        <v>0</v>
      </c>
      <c r="BI345" s="40">
        <v>1</v>
      </c>
      <c r="BJ345" s="2">
        <v>0</v>
      </c>
      <c r="BK345" s="2">
        <v>0</v>
      </c>
      <c r="BL345" s="2">
        <v>1</v>
      </c>
      <c r="BM345" s="40">
        <v>0</v>
      </c>
      <c r="BN345" s="958">
        <v>0.1</v>
      </c>
      <c r="BO345" s="959">
        <v>14.1</v>
      </c>
      <c r="BP345" s="1018">
        <f t="shared" ca="1" si="478"/>
        <v>350</v>
      </c>
      <c r="BQ345" s="1018">
        <f t="shared" ca="1" si="479"/>
        <v>764.40000000000009</v>
      </c>
      <c r="BR345" s="1018">
        <f t="shared" ca="1" si="480"/>
        <v>105</v>
      </c>
      <c r="BS345" s="1018">
        <f t="shared" ca="1" si="481"/>
        <v>112.64999999999998</v>
      </c>
      <c r="BT345" s="1018">
        <f t="shared" ca="1" si="482"/>
        <v>105</v>
      </c>
      <c r="BU345" s="1018">
        <f t="shared" ca="1" si="483"/>
        <v>42</v>
      </c>
      <c r="BV345" s="1018">
        <f t="shared" ca="1" si="484"/>
        <v>2.15</v>
      </c>
      <c r="BW345" s="1018">
        <v>0</v>
      </c>
      <c r="BX345" s="1018">
        <f t="shared" ca="1" si="485"/>
        <v>80.171217029153169</v>
      </c>
      <c r="BY345" s="1018">
        <f t="shared" ca="1" si="486"/>
        <v>191.4933461864008</v>
      </c>
      <c r="BZ345" s="1018">
        <f t="shared" ca="1" si="471"/>
        <v>39.484538840145518</v>
      </c>
      <c r="CA345" s="1018">
        <f t="shared" ca="1" si="472"/>
        <v>115.49999993647498</v>
      </c>
      <c r="CB345" s="1018">
        <f t="shared" ca="1" si="487"/>
        <v>4.5133587786259541</v>
      </c>
      <c r="CC345" s="1018">
        <f t="shared" si="473"/>
        <v>0</v>
      </c>
      <c r="CD345" s="1018">
        <f t="shared" ca="1" si="489"/>
        <v>467.84246077080041</v>
      </c>
      <c r="CE345" s="1018">
        <f t="shared" ca="1" si="488"/>
        <v>149.97789927510865</v>
      </c>
      <c r="CF345" s="1018">
        <f t="shared" ca="1" si="474"/>
        <v>18.534610801377273</v>
      </c>
      <c r="CG345" s="1018">
        <f t="shared" ca="1" si="475"/>
        <v>30859.3855998611</v>
      </c>
    </row>
    <row r="346" spans="3:85" s="11" customFormat="1" x14ac:dyDescent="0.25">
      <c r="C346" s="721"/>
      <c r="D346" s="722"/>
      <c r="E346" s="721"/>
      <c r="F346" s="722"/>
      <c r="G346" s="721"/>
      <c r="H346" s="722"/>
      <c r="I346" s="721"/>
      <c r="J346" s="722"/>
      <c r="K346" s="723"/>
      <c r="L346" s="722"/>
      <c r="M346" s="722"/>
      <c r="N346" s="722"/>
      <c r="O346" s="722"/>
      <c r="P346" s="722"/>
      <c r="Q346" s="722"/>
      <c r="R346" s="722"/>
      <c r="S346" s="722"/>
      <c r="T346" s="725"/>
      <c r="U346" s="721"/>
      <c r="V346" s="293"/>
      <c r="W346" s="292"/>
      <c r="X346" s="292"/>
      <c r="Y346" s="277"/>
      <c r="Z346" s="292"/>
      <c r="AA346" s="292"/>
      <c r="AB346" s="292"/>
      <c r="AC346" s="292"/>
      <c r="AD346" s="277"/>
      <c r="AE346" s="292"/>
      <c r="AF346" s="292"/>
      <c r="AG346" s="277"/>
      <c r="AH346" s="313"/>
      <c r="AJ346" s="314"/>
      <c r="AK346" s="1018">
        <f t="shared" si="470"/>
        <v>0</v>
      </c>
      <c r="AL346" s="928"/>
      <c r="AM346" s="928"/>
      <c r="AN346" s="941"/>
      <c r="AO346" s="941"/>
      <c r="AP346" s="941"/>
      <c r="AQ346" s="314"/>
      <c r="AR346" s="28"/>
      <c r="AS346" s="941"/>
      <c r="AT346" s="28"/>
      <c r="AU346" s="28"/>
      <c r="AV346" s="28"/>
      <c r="AW346" s="28"/>
      <c r="AX346" s="28"/>
      <c r="AY346" s="28"/>
      <c r="AZ346" s="28"/>
      <c r="BA346" s="28"/>
      <c r="BB346" s="28"/>
      <c r="BC346" s="45"/>
      <c r="BD346" s="277"/>
      <c r="BE346" s="277"/>
      <c r="BF346" s="49"/>
      <c r="BG346" s="28"/>
      <c r="BH346" s="28"/>
      <c r="BI346" s="49"/>
      <c r="BJ346" s="28"/>
      <c r="BK346" s="28"/>
      <c r="BL346" s="28"/>
      <c r="BM346" s="49"/>
      <c r="BN346" s="277"/>
      <c r="BO346" s="49"/>
      <c r="BP346" s="946"/>
      <c r="BQ346" s="946"/>
      <c r="BR346" s="946"/>
      <c r="BS346" s="946"/>
      <c r="BT346" s="946"/>
      <c r="BU346" s="946"/>
      <c r="BV346" s="946"/>
      <c r="BW346" s="946"/>
      <c r="BX346" s="946"/>
      <c r="BY346" s="946"/>
      <c r="BZ346" s="946"/>
      <c r="CA346" s="946"/>
      <c r="CB346" s="946"/>
      <c r="CC346" s="946"/>
      <c r="CD346" s="946"/>
      <c r="CE346" s="946"/>
      <c r="CF346" s="946"/>
      <c r="CG346" s="946"/>
    </row>
    <row r="347" spans="3:85" x14ac:dyDescent="0.25">
      <c r="D347" s="1"/>
      <c r="F347" s="1"/>
      <c r="G347" s="3"/>
      <c r="H347" s="6"/>
      <c r="I347" s="3"/>
      <c r="J347" s="6"/>
      <c r="K347" s="8"/>
      <c r="L347" s="6"/>
      <c r="M347" s="1"/>
      <c r="N347" s="1"/>
      <c r="O347" s="1"/>
      <c r="P347" s="1"/>
      <c r="Q347" s="1" t="s">
        <v>16</v>
      </c>
      <c r="R347" s="4"/>
      <c r="S347" s="1"/>
      <c r="T347" s="77"/>
      <c r="U347" s="294"/>
      <c r="X347" s="176">
        <f>W337-X337</f>
        <v>0</v>
      </c>
      <c r="Y347" s="34">
        <f>X347/Calculation_sheet!M$67</f>
        <v>0</v>
      </c>
      <c r="Z347" s="176">
        <f ca="1">IF(AN347&gt;0,Y347*Calculation_sheet!C$87,0)</f>
        <v>0</v>
      </c>
      <c r="AA347" s="176">
        <f t="shared" ca="1" si="476"/>
        <v>0</v>
      </c>
      <c r="AB347" s="176">
        <f ca="1">IF(AP347&gt;0,AA347*Calculation_sheet!C$94,0)</f>
        <v>0</v>
      </c>
      <c r="AC347" s="176">
        <f t="shared" ref="AC347:AE355" ca="1" si="490">AA347-AB347</f>
        <v>0</v>
      </c>
      <c r="AD347" s="958">
        <f ca="1">AC347*Calculation_sheet!C$99</f>
        <v>0</v>
      </c>
      <c r="AE347" s="176">
        <f t="shared" ca="1" si="490"/>
        <v>0</v>
      </c>
      <c r="AF347" s="176">
        <f t="shared" ref="AF347:AF355" ca="1" si="491">Y347-AB347</f>
        <v>0</v>
      </c>
      <c r="AG347" s="958">
        <f ca="1">AF347*User_sheet!B$77/100</f>
        <v>0</v>
      </c>
      <c r="AH347" s="313"/>
      <c r="AI347">
        <v>303</v>
      </c>
      <c r="AK347" s="1018">
        <f t="shared" ca="1" si="470"/>
        <v>388.00550349870724</v>
      </c>
      <c r="AL347" s="924">
        <f ca="1">AK347/'303'!I$24</f>
        <v>1.064049097761435</v>
      </c>
      <c r="AM347" s="924">
        <f ca="1">0.8*(AK347*30+'303'!D$17*0.34*30*1)</f>
        <v>17308.932083968975</v>
      </c>
      <c r="AN347" s="954">
        <f ca="1">IF(AM347&lt;User_sheet!B$50,Y347,0)</f>
        <v>0</v>
      </c>
      <c r="AO347" s="954">
        <f ca="1">20-(User_sheet!B$57/(AK347+'303'!D$17*1*0.34))</f>
        <v>12.096566134966803</v>
      </c>
      <c r="AP347" s="954">
        <f ca="1">IF(AO347&lt;User_sheet!B$59,0,BC347*AA347)</f>
        <v>0</v>
      </c>
      <c r="AR347" s="2">
        <v>0.32</v>
      </c>
      <c r="AS347" s="1020">
        <v>2.41</v>
      </c>
      <c r="AT347" s="2">
        <v>1.42</v>
      </c>
      <c r="AU347" s="2">
        <v>2</v>
      </c>
      <c r="AV347" s="2">
        <v>3.3</v>
      </c>
      <c r="AW347" s="2">
        <v>14356</v>
      </c>
      <c r="AX347" s="2">
        <v>75945.51234133933</v>
      </c>
      <c r="AY347" s="2">
        <v>62673.095488422703</v>
      </c>
      <c r="AZ347" s="27">
        <v>0</v>
      </c>
      <c r="BA347" s="27">
        <v>0</v>
      </c>
      <c r="BB347" s="2">
        <v>0.6</v>
      </c>
      <c r="BC347" s="30">
        <v>1</v>
      </c>
      <c r="BD347" s="34">
        <v>0</v>
      </c>
      <c r="BE347" s="34">
        <v>0</v>
      </c>
      <c r="BF347" s="40">
        <v>0</v>
      </c>
      <c r="BG347" s="2">
        <v>1</v>
      </c>
      <c r="BH347" s="2">
        <v>0</v>
      </c>
      <c r="BI347" s="40">
        <v>0</v>
      </c>
      <c r="BJ347" s="2">
        <v>1</v>
      </c>
      <c r="BK347" s="2">
        <v>0</v>
      </c>
      <c r="BL347" s="2">
        <v>0</v>
      </c>
      <c r="BM347" s="40">
        <v>0</v>
      </c>
      <c r="BN347" s="958">
        <v>0.1</v>
      </c>
      <c r="BO347" s="959">
        <v>14.1</v>
      </c>
      <c r="BP347" s="1018">
        <f t="shared" ref="BP347:BP355" ca="1" si="492">INDIRECT("'"&amp;AI347&amp;"'!"&amp;"B2")</f>
        <v>350</v>
      </c>
      <c r="BQ347" s="1018">
        <f t="shared" ref="BQ347:BQ355" ca="1" si="493">INDIRECT("'"&amp;AI347&amp;"'!"&amp;"C12")+INDIRECT("'"&amp;AI347&amp;"'!"&amp;"C13")+INDIRECT("'"&amp;AI347&amp;"'!"&amp;"C14")+INDIRECT("'"&amp;AI347&amp;"'!"&amp;"C15")+INDIRECT("'"&amp;AI347&amp;"'!"&amp;"C17")</f>
        <v>764.40000000000009</v>
      </c>
      <c r="BR347" s="1018">
        <f t="shared" ref="BR347:BR355" ca="1" si="494">INDIRECT("'"&amp;AI347&amp;"'!"&amp;"G5")</f>
        <v>105</v>
      </c>
      <c r="BS347" s="1018">
        <f t="shared" ref="BS347:BS355" ca="1" si="495">INDIRECT("'"&amp;AI347&amp;"'!"&amp;"G4")</f>
        <v>112.64999999999998</v>
      </c>
      <c r="BT347" s="1018">
        <f t="shared" ref="BT347:BT355" ca="1" si="496">INDIRECT("'"&amp;AI347&amp;"'!"&amp;"G6")</f>
        <v>105</v>
      </c>
      <c r="BU347" s="1018">
        <f t="shared" ref="BU347:BU355" ca="1" si="497">INDIRECT("'"&amp;AI347&amp;"'!"&amp;"G2")</f>
        <v>42</v>
      </c>
      <c r="BV347" s="1018">
        <f t="shared" ref="BV347:BV355" ca="1" si="498">INDIRECT("'"&amp;AI347&amp;"'!"&amp;"G3")</f>
        <v>2.15</v>
      </c>
      <c r="BW347" s="1018">
        <v>0</v>
      </c>
      <c r="BX347" s="1018">
        <f t="shared" ref="BX347:BX355" ca="1" si="499">IF(BR347=0,0,1/(1/(BR347*$BY$3)+1/(BR347*AR347)+1/(BR347*$BY$4)))</f>
        <v>31.834259727134924</v>
      </c>
      <c r="BY347" s="1018">
        <f t="shared" ref="BY347:BY355" ca="1" si="500">IF(BS347=0,0,1/(1/(BS347*$BY$3)+1/(BS347*AS347)+1/(BS347*$BY$4)))</f>
        <v>191.4933461864008</v>
      </c>
      <c r="BZ347" s="1018">
        <f t="shared" ca="1" si="471"/>
        <v>39.484538840145518</v>
      </c>
      <c r="CA347" s="1018">
        <f t="shared" ca="1" si="472"/>
        <v>83.999999966399997</v>
      </c>
      <c r="CB347" s="1018">
        <f t="shared" ref="CB347:CB355" ca="1" si="501">IF(BV347=0,0,1/(1/(BV347*$BY$3)+1/(BV347*AV347)+1/(BV347*$BY$4)))</f>
        <v>4.5133587786259541</v>
      </c>
      <c r="CC347" s="1018">
        <f t="shared" si="473"/>
        <v>0</v>
      </c>
      <c r="CD347" s="1018">
        <f ca="1">SUM(BX347:CC347)+(BR347+BS347+BT347+BU347+BV347)*BN347</f>
        <v>388.00550349870724</v>
      </c>
      <c r="CE347" s="1018">
        <f t="shared" ref="CE347:CE355" ca="1" si="502">0.34*BO347*(1/25)^0.66*(BR347+BS347+BU347+BV347)</f>
        <v>149.97789927510865</v>
      </c>
      <c r="CF347" s="1018">
        <f t="shared" ca="1" si="474"/>
        <v>16.139502083214477</v>
      </c>
      <c r="CG347" s="1018">
        <f t="shared" ca="1" si="475"/>
        <v>26871.625388468776</v>
      </c>
    </row>
    <row r="348" spans="3:85" x14ac:dyDescent="0.25">
      <c r="D348" s="1"/>
      <c r="F348" s="1"/>
      <c r="G348" s="3"/>
      <c r="H348" s="6"/>
      <c r="I348" s="3"/>
      <c r="J348" s="6"/>
      <c r="K348" s="8"/>
      <c r="L348" s="6"/>
      <c r="M348" s="1"/>
      <c r="N348" s="1"/>
      <c r="O348" s="1" t="s">
        <v>18</v>
      </c>
      <c r="P348" s="4"/>
      <c r="Q348" s="1" t="s">
        <v>7</v>
      </c>
      <c r="R348" s="4"/>
      <c r="S348" s="1"/>
      <c r="T348" s="77"/>
      <c r="U348" s="294"/>
      <c r="X348" s="176">
        <f t="shared" ref="X348:X355" si="503">W338-X338</f>
        <v>0</v>
      </c>
      <c r="Y348" s="34">
        <f>X348/Calculation_sheet!M$67</f>
        <v>0</v>
      </c>
      <c r="Z348" s="176">
        <f ca="1">IF(AN348&gt;0,Y348*Calculation_sheet!C$87,0)</f>
        <v>0</v>
      </c>
      <c r="AA348" s="176">
        <f t="shared" ca="1" si="476"/>
        <v>0</v>
      </c>
      <c r="AB348" s="176">
        <f ca="1">IF(AP348&gt;0,AA348*Calculation_sheet!C$94,0)</f>
        <v>0</v>
      </c>
      <c r="AC348" s="176">
        <f t="shared" ca="1" si="490"/>
        <v>0</v>
      </c>
      <c r="AD348" s="958">
        <f ca="1">AC348*Calculation_sheet!C$99</f>
        <v>0</v>
      </c>
      <c r="AE348" s="176">
        <f t="shared" ca="1" si="490"/>
        <v>0</v>
      </c>
      <c r="AF348" s="176">
        <f t="shared" ca="1" si="491"/>
        <v>0</v>
      </c>
      <c r="AG348" s="958">
        <f ca="1">AF348*User_sheet!B$77/100</f>
        <v>0</v>
      </c>
      <c r="AH348" s="313"/>
      <c r="AI348">
        <v>303</v>
      </c>
      <c r="AK348" s="1018">
        <f t="shared" ca="1" si="470"/>
        <v>388.00550349870724</v>
      </c>
      <c r="AL348" s="924">
        <f ca="1">AK348/'303'!I$24</f>
        <v>1.064049097761435</v>
      </c>
      <c r="AM348" s="924">
        <f ca="1">0.8*(AK348*30+'303'!D$17*0.34*30*1)</f>
        <v>17308.932083968975</v>
      </c>
      <c r="AN348" s="954">
        <f ca="1">IF(AM348&lt;User_sheet!B$50,Y348,0)</f>
        <v>0</v>
      </c>
      <c r="AO348" s="954">
        <f ca="1">20-(User_sheet!B$57/(AK348+'303'!D$17*1*0.34))</f>
        <v>12.096566134966803</v>
      </c>
      <c r="AP348" s="954">
        <f ca="1">IF(AO348&lt;User_sheet!B$59,0,BC348*AA348)</f>
        <v>0</v>
      </c>
      <c r="AR348" s="2">
        <v>0.32</v>
      </c>
      <c r="AS348" s="1020">
        <v>2.41</v>
      </c>
      <c r="AT348" s="2">
        <v>1.42</v>
      </c>
      <c r="AU348" s="2">
        <v>2</v>
      </c>
      <c r="AV348" s="2">
        <v>3.3</v>
      </c>
      <c r="AW348" s="2">
        <v>14356</v>
      </c>
      <c r="AX348" s="2">
        <v>75945.51234133933</v>
      </c>
      <c r="AY348" s="2">
        <v>62673.095488422703</v>
      </c>
      <c r="AZ348" s="27">
        <v>0</v>
      </c>
      <c r="BA348" s="27">
        <v>0</v>
      </c>
      <c r="BB348" s="2">
        <v>0.6</v>
      </c>
      <c r="BC348" s="30">
        <v>1</v>
      </c>
      <c r="BD348" s="34">
        <v>0</v>
      </c>
      <c r="BE348" s="34">
        <v>0</v>
      </c>
      <c r="BF348" s="40">
        <v>0</v>
      </c>
      <c r="BG348" s="2">
        <v>1</v>
      </c>
      <c r="BH348" s="2">
        <v>0</v>
      </c>
      <c r="BI348" s="40">
        <v>0</v>
      </c>
      <c r="BJ348" s="2">
        <v>0</v>
      </c>
      <c r="BK348" s="2">
        <v>0</v>
      </c>
      <c r="BL348" s="2">
        <v>1</v>
      </c>
      <c r="BM348" s="40">
        <v>0</v>
      </c>
      <c r="BN348" s="958">
        <v>0.1</v>
      </c>
      <c r="BO348" s="959">
        <v>14.1</v>
      </c>
      <c r="BP348" s="1018">
        <f t="shared" ca="1" si="492"/>
        <v>350</v>
      </c>
      <c r="BQ348" s="1018">
        <f t="shared" ca="1" si="493"/>
        <v>764.40000000000009</v>
      </c>
      <c r="BR348" s="1018">
        <f t="shared" ca="1" si="494"/>
        <v>105</v>
      </c>
      <c r="BS348" s="1018">
        <f t="shared" ca="1" si="495"/>
        <v>112.64999999999998</v>
      </c>
      <c r="BT348" s="1018">
        <f t="shared" ca="1" si="496"/>
        <v>105</v>
      </c>
      <c r="BU348" s="1018">
        <f t="shared" ca="1" si="497"/>
        <v>42</v>
      </c>
      <c r="BV348" s="1018">
        <f t="shared" ca="1" si="498"/>
        <v>2.15</v>
      </c>
      <c r="BW348" s="1018">
        <v>0</v>
      </c>
      <c r="BX348" s="1018">
        <f t="shared" ca="1" si="499"/>
        <v>31.834259727134924</v>
      </c>
      <c r="BY348" s="1018">
        <f t="shared" ca="1" si="500"/>
        <v>191.4933461864008</v>
      </c>
      <c r="BZ348" s="1018">
        <f t="shared" ca="1" si="471"/>
        <v>39.484538840145518</v>
      </c>
      <c r="CA348" s="1018">
        <f t="shared" ca="1" si="472"/>
        <v>83.999999966399997</v>
      </c>
      <c r="CB348" s="1018">
        <f t="shared" ca="1" si="501"/>
        <v>4.5133587786259541</v>
      </c>
      <c r="CC348" s="1018">
        <f t="shared" si="473"/>
        <v>0</v>
      </c>
      <c r="CD348" s="1018">
        <f t="shared" ref="CD348:CD355" ca="1" si="504">SUM(BX348:CC348)+(BR348+BS348+BT348+BU348+BV348)*BN348</f>
        <v>388.00550349870724</v>
      </c>
      <c r="CE348" s="1018">
        <f t="shared" ca="1" si="502"/>
        <v>149.97789927510865</v>
      </c>
      <c r="CF348" s="1018">
        <f t="shared" ca="1" si="474"/>
        <v>16.139502083214477</v>
      </c>
      <c r="CG348" s="1018">
        <f t="shared" ca="1" si="475"/>
        <v>26871.625388468776</v>
      </c>
    </row>
    <row r="349" spans="3:85" x14ac:dyDescent="0.25">
      <c r="D349" s="1"/>
      <c r="F349" s="1"/>
      <c r="G349" s="3"/>
      <c r="H349" s="6"/>
      <c r="I349" s="3"/>
      <c r="J349" s="6"/>
      <c r="K349" s="8"/>
      <c r="L349" s="6"/>
      <c r="M349" s="1"/>
      <c r="N349" s="1"/>
      <c r="O349" s="1"/>
      <c r="P349" s="1"/>
      <c r="Q349" s="1" t="s">
        <v>16</v>
      </c>
      <c r="R349" s="4"/>
      <c r="S349" s="1"/>
      <c r="T349" s="77"/>
      <c r="U349" s="294"/>
      <c r="X349" s="176">
        <f t="shared" si="503"/>
        <v>0</v>
      </c>
      <c r="Y349" s="34">
        <f>X349/Calculation_sheet!M$67</f>
        <v>0</v>
      </c>
      <c r="Z349" s="176">
        <f ca="1">IF(AN349&gt;0,Y349*Calculation_sheet!C$87,0)</f>
        <v>0</v>
      </c>
      <c r="AA349" s="176">
        <f t="shared" ca="1" si="476"/>
        <v>0</v>
      </c>
      <c r="AB349" s="176">
        <f ca="1">IF(AP349&gt;0,AA349*Calculation_sheet!C$94,0)</f>
        <v>0</v>
      </c>
      <c r="AC349" s="176">
        <f t="shared" ca="1" si="490"/>
        <v>0</v>
      </c>
      <c r="AD349" s="958">
        <f ca="1">AC349*Calculation_sheet!C$99</f>
        <v>0</v>
      </c>
      <c r="AE349" s="176">
        <f t="shared" ca="1" si="490"/>
        <v>0</v>
      </c>
      <c r="AF349" s="176">
        <f t="shared" ca="1" si="491"/>
        <v>0</v>
      </c>
      <c r="AG349" s="958">
        <f ca="1">AF349*User_sheet!B$77/100</f>
        <v>0</v>
      </c>
      <c r="AH349" s="313"/>
      <c r="AI349">
        <v>303</v>
      </c>
      <c r="AK349" s="1018">
        <f t="shared" ca="1" si="470"/>
        <v>388.00550349870724</v>
      </c>
      <c r="AL349" s="924">
        <f ca="1">AK349/'303'!I$24</f>
        <v>1.064049097761435</v>
      </c>
      <c r="AM349" s="924">
        <f ca="1">0.8*(AK349*30+'303'!D$17*0.34*30*1)</f>
        <v>17308.932083968975</v>
      </c>
      <c r="AN349" s="954">
        <f ca="1">IF(AM349&lt;User_sheet!B$50,Y349,0)</f>
        <v>0</v>
      </c>
      <c r="AO349" s="954">
        <f ca="1">20-(User_sheet!B$57/(AK349+'303'!D$17*1*0.34))</f>
        <v>12.096566134966803</v>
      </c>
      <c r="AP349" s="954">
        <f ca="1">IF(AO349&lt;User_sheet!B$59,0,BC349*AA349)</f>
        <v>0</v>
      </c>
      <c r="AR349" s="2">
        <v>0.32</v>
      </c>
      <c r="AS349" s="1020">
        <v>2.41</v>
      </c>
      <c r="AT349" s="2">
        <v>1.42</v>
      </c>
      <c r="AU349" s="2">
        <v>2</v>
      </c>
      <c r="AV349" s="2">
        <v>3.3</v>
      </c>
      <c r="AW349" s="2">
        <v>14356</v>
      </c>
      <c r="AX349" s="2">
        <v>75945.51234133933</v>
      </c>
      <c r="AY349" s="2">
        <v>62673.095488422703</v>
      </c>
      <c r="AZ349" s="27">
        <v>0</v>
      </c>
      <c r="BA349" s="27">
        <v>0</v>
      </c>
      <c r="BB349" s="2">
        <v>0.6</v>
      </c>
      <c r="BC349" s="30">
        <v>1</v>
      </c>
      <c r="BD349" s="34">
        <v>0</v>
      </c>
      <c r="BE349" s="34">
        <v>0</v>
      </c>
      <c r="BF349" s="40">
        <v>0</v>
      </c>
      <c r="BG349" s="2">
        <v>0</v>
      </c>
      <c r="BH349" s="2">
        <v>1</v>
      </c>
      <c r="BI349" s="40">
        <v>0</v>
      </c>
      <c r="BJ349" s="2">
        <v>1</v>
      </c>
      <c r="BK349" s="2">
        <v>0</v>
      </c>
      <c r="BL349" s="2">
        <v>0</v>
      </c>
      <c r="BM349" s="40">
        <v>0</v>
      </c>
      <c r="BN349" s="958">
        <v>0.1</v>
      </c>
      <c r="BO349" s="959">
        <v>14.1</v>
      </c>
      <c r="BP349" s="1018">
        <f t="shared" ca="1" si="492"/>
        <v>350</v>
      </c>
      <c r="BQ349" s="1018">
        <f t="shared" ca="1" si="493"/>
        <v>764.40000000000009</v>
      </c>
      <c r="BR349" s="1018">
        <f t="shared" ca="1" si="494"/>
        <v>105</v>
      </c>
      <c r="BS349" s="1018">
        <f t="shared" ca="1" si="495"/>
        <v>112.64999999999998</v>
      </c>
      <c r="BT349" s="1018">
        <f t="shared" ca="1" si="496"/>
        <v>105</v>
      </c>
      <c r="BU349" s="1018">
        <f t="shared" ca="1" si="497"/>
        <v>42</v>
      </c>
      <c r="BV349" s="1018">
        <f t="shared" ca="1" si="498"/>
        <v>2.15</v>
      </c>
      <c r="BW349" s="1018">
        <v>0</v>
      </c>
      <c r="BX349" s="1018">
        <f t="shared" ca="1" si="499"/>
        <v>31.834259727134924</v>
      </c>
      <c r="BY349" s="1018">
        <f t="shared" ca="1" si="500"/>
        <v>191.4933461864008</v>
      </c>
      <c r="BZ349" s="1018">
        <f t="shared" ca="1" si="471"/>
        <v>39.484538840145518</v>
      </c>
      <c r="CA349" s="1018">
        <f t="shared" ca="1" si="472"/>
        <v>83.999999966399997</v>
      </c>
      <c r="CB349" s="1018">
        <f t="shared" ca="1" si="501"/>
        <v>4.5133587786259541</v>
      </c>
      <c r="CC349" s="1018">
        <f t="shared" si="473"/>
        <v>0</v>
      </c>
      <c r="CD349" s="1018">
        <f t="shared" ca="1" si="504"/>
        <v>388.00550349870724</v>
      </c>
      <c r="CE349" s="1018">
        <f t="shared" ca="1" si="502"/>
        <v>149.97789927510865</v>
      </c>
      <c r="CF349" s="1018">
        <f t="shared" ca="1" si="474"/>
        <v>16.139502083214477</v>
      </c>
      <c r="CG349" s="1018">
        <f t="shared" ca="1" si="475"/>
        <v>26871.625388468776</v>
      </c>
    </row>
    <row r="350" spans="3:85" x14ac:dyDescent="0.25">
      <c r="D350" s="1"/>
      <c r="F350" s="1"/>
      <c r="G350" s="3"/>
      <c r="H350" s="6"/>
      <c r="I350" s="3"/>
      <c r="J350" s="3" t="s">
        <v>144</v>
      </c>
      <c r="K350" s="8"/>
      <c r="L350" s="6"/>
      <c r="M350" s="1" t="s">
        <v>16</v>
      </c>
      <c r="N350" s="4"/>
      <c r="O350" s="1" t="s">
        <v>19</v>
      </c>
      <c r="P350" s="4"/>
      <c r="Q350" s="1" t="s">
        <v>7</v>
      </c>
      <c r="R350" s="4"/>
      <c r="S350" s="1"/>
      <c r="T350" s="77"/>
      <c r="U350" s="294"/>
      <c r="X350" s="176">
        <f t="shared" si="503"/>
        <v>0</v>
      </c>
      <c r="Y350" s="34">
        <f>X350/Calculation_sheet!M$67</f>
        <v>0</v>
      </c>
      <c r="Z350" s="176">
        <f ca="1">IF(AN350&gt;0,Y350*Calculation_sheet!C$87,0)</f>
        <v>0</v>
      </c>
      <c r="AA350" s="176">
        <f t="shared" ca="1" si="476"/>
        <v>0</v>
      </c>
      <c r="AB350" s="176">
        <f ca="1">IF(AP350&gt;0,AA350*Calculation_sheet!C$94,0)</f>
        <v>0</v>
      </c>
      <c r="AC350" s="176">
        <f t="shared" ca="1" si="490"/>
        <v>0</v>
      </c>
      <c r="AD350" s="958">
        <f ca="1">AC350*Calculation_sheet!C$99</f>
        <v>0</v>
      </c>
      <c r="AE350" s="176">
        <f t="shared" ca="1" si="490"/>
        <v>0</v>
      </c>
      <c r="AF350" s="176">
        <f t="shared" ca="1" si="491"/>
        <v>0</v>
      </c>
      <c r="AG350" s="958">
        <f ca="1">AF350*User_sheet!B$77/100</f>
        <v>0</v>
      </c>
      <c r="AH350" s="313"/>
      <c r="AI350">
        <v>303</v>
      </c>
      <c r="AK350" s="1018">
        <f t="shared" ca="1" si="470"/>
        <v>388.00550349870724</v>
      </c>
      <c r="AL350" s="924">
        <f ca="1">AK350/'303'!I$24</f>
        <v>1.064049097761435</v>
      </c>
      <c r="AM350" s="924">
        <f ca="1">0.8*(AK350*30+'303'!D$17*0.34*30*1)</f>
        <v>17308.932083968975</v>
      </c>
      <c r="AN350" s="954">
        <f ca="1">IF(AM350&lt;User_sheet!B$50,Y350,0)</f>
        <v>0</v>
      </c>
      <c r="AO350" s="954">
        <f ca="1">20-(User_sheet!B$57/(AK350+'303'!D$17*1*0.34))</f>
        <v>12.096566134966803</v>
      </c>
      <c r="AP350" s="954">
        <f ca="1">IF(AO350&lt;User_sheet!B$59,0,BC350*AA350)</f>
        <v>0</v>
      </c>
      <c r="AR350" s="2">
        <v>0.32</v>
      </c>
      <c r="AS350" s="1020">
        <v>2.41</v>
      </c>
      <c r="AT350" s="2">
        <v>1.42</v>
      </c>
      <c r="AU350" s="2">
        <v>2</v>
      </c>
      <c r="AV350" s="2">
        <v>3.3</v>
      </c>
      <c r="AW350" s="2">
        <v>14356</v>
      </c>
      <c r="AX350" s="2">
        <v>75945.51234133933</v>
      </c>
      <c r="AY350" s="2">
        <v>62673.095488422703</v>
      </c>
      <c r="AZ350" s="27">
        <v>0</v>
      </c>
      <c r="BA350" s="27">
        <v>0</v>
      </c>
      <c r="BB350" s="2">
        <v>0.6</v>
      </c>
      <c r="BC350" s="30">
        <v>1</v>
      </c>
      <c r="BD350" s="34">
        <v>0</v>
      </c>
      <c r="BE350" s="34">
        <v>0</v>
      </c>
      <c r="BF350" s="40">
        <v>0</v>
      </c>
      <c r="BG350" s="2">
        <v>0</v>
      </c>
      <c r="BH350" s="2">
        <v>1</v>
      </c>
      <c r="BI350" s="40">
        <v>0</v>
      </c>
      <c r="BJ350" s="2">
        <v>0</v>
      </c>
      <c r="BK350" s="2">
        <v>0</v>
      </c>
      <c r="BL350" s="2">
        <v>1</v>
      </c>
      <c r="BM350" s="40">
        <v>0</v>
      </c>
      <c r="BN350" s="958">
        <v>0.1</v>
      </c>
      <c r="BO350" s="959">
        <v>14.1</v>
      </c>
      <c r="BP350" s="1018">
        <f t="shared" ca="1" si="492"/>
        <v>350</v>
      </c>
      <c r="BQ350" s="1018">
        <f t="shared" ca="1" si="493"/>
        <v>764.40000000000009</v>
      </c>
      <c r="BR350" s="1018">
        <f t="shared" ca="1" si="494"/>
        <v>105</v>
      </c>
      <c r="BS350" s="1018">
        <f t="shared" ca="1" si="495"/>
        <v>112.64999999999998</v>
      </c>
      <c r="BT350" s="1018">
        <f t="shared" ca="1" si="496"/>
        <v>105</v>
      </c>
      <c r="BU350" s="1018">
        <f t="shared" ca="1" si="497"/>
        <v>42</v>
      </c>
      <c r="BV350" s="1018">
        <f t="shared" ca="1" si="498"/>
        <v>2.15</v>
      </c>
      <c r="BW350" s="1018">
        <v>0</v>
      </c>
      <c r="BX350" s="1018">
        <f t="shared" ca="1" si="499"/>
        <v>31.834259727134924</v>
      </c>
      <c r="BY350" s="1018">
        <f t="shared" ca="1" si="500"/>
        <v>191.4933461864008</v>
      </c>
      <c r="BZ350" s="1018">
        <f t="shared" ca="1" si="471"/>
        <v>39.484538840145518</v>
      </c>
      <c r="CA350" s="1018">
        <f t="shared" ca="1" si="472"/>
        <v>83.999999966399997</v>
      </c>
      <c r="CB350" s="1018">
        <f t="shared" ca="1" si="501"/>
        <v>4.5133587786259541</v>
      </c>
      <c r="CC350" s="1018">
        <f t="shared" si="473"/>
        <v>0</v>
      </c>
      <c r="CD350" s="1018">
        <f t="shared" ca="1" si="504"/>
        <v>388.00550349870724</v>
      </c>
      <c r="CE350" s="1018">
        <f t="shared" ca="1" si="502"/>
        <v>149.97789927510865</v>
      </c>
      <c r="CF350" s="1018">
        <f t="shared" ca="1" si="474"/>
        <v>16.139502083214477</v>
      </c>
      <c r="CG350" s="1018">
        <f t="shared" ca="1" si="475"/>
        <v>26871.625388468776</v>
      </c>
    </row>
    <row r="351" spans="3:85" x14ac:dyDescent="0.25">
      <c r="D351" s="1"/>
      <c r="F351" s="1"/>
      <c r="G351" s="3"/>
      <c r="H351" s="6"/>
      <c r="I351" s="3"/>
      <c r="J351" s="6" t="s">
        <v>190</v>
      </c>
      <c r="K351" s="8"/>
      <c r="L351" s="6"/>
      <c r="M351" s="1"/>
      <c r="N351" s="1"/>
      <c r="O351" s="1"/>
      <c r="P351" s="1"/>
      <c r="Q351" s="1" t="s">
        <v>22</v>
      </c>
      <c r="R351" s="4"/>
      <c r="S351" s="1"/>
      <c r="T351" s="77"/>
      <c r="U351" s="294"/>
      <c r="X351" s="176">
        <f t="shared" si="503"/>
        <v>0</v>
      </c>
      <c r="Y351" s="34">
        <f>X351/Calculation_sheet!M$67</f>
        <v>0</v>
      </c>
      <c r="Z351" s="176">
        <f ca="1">IF(AN351&gt;0,Y351*Calculation_sheet!C$87,0)</f>
        <v>0</v>
      </c>
      <c r="AA351" s="176">
        <f t="shared" ca="1" si="476"/>
        <v>0</v>
      </c>
      <c r="AB351" s="176">
        <f ca="1">IF(AP351&gt;0,AA351*Calculation_sheet!C$94,0)</f>
        <v>0</v>
      </c>
      <c r="AC351" s="176">
        <f t="shared" ca="1" si="490"/>
        <v>0</v>
      </c>
      <c r="AD351" s="958">
        <f ca="1">AC351*Calculation_sheet!C$99</f>
        <v>0</v>
      </c>
      <c r="AE351" s="176">
        <f t="shared" ca="1" si="490"/>
        <v>0</v>
      </c>
      <c r="AF351" s="176">
        <f t="shared" ca="1" si="491"/>
        <v>0</v>
      </c>
      <c r="AG351" s="958">
        <f ca="1">AF351*User_sheet!B$77/100</f>
        <v>0</v>
      </c>
      <c r="AH351" s="313"/>
      <c r="AI351">
        <v>303</v>
      </c>
      <c r="AK351" s="1018">
        <f t="shared" ca="1" si="470"/>
        <v>388.00550349870724</v>
      </c>
      <c r="AL351" s="924">
        <f ca="1">AK351/'303'!I$24</f>
        <v>1.064049097761435</v>
      </c>
      <c r="AM351" s="924">
        <f ca="1">0.8*(AK351*30+'303'!D$17*0.34*30*1)</f>
        <v>17308.932083968975</v>
      </c>
      <c r="AN351" s="954">
        <f ca="1">IF(AM351&lt;User_sheet!B$50,Y351,0)</f>
        <v>0</v>
      </c>
      <c r="AO351" s="954">
        <f ca="1">20-(User_sheet!B$57/(AK351+'303'!D$17*1*0.34))</f>
        <v>12.096566134966803</v>
      </c>
      <c r="AP351" s="954">
        <f ca="1">IF(AO351&lt;User_sheet!B$59,0,BC351*AA351)</f>
        <v>0</v>
      </c>
      <c r="AR351" s="2">
        <v>0.32</v>
      </c>
      <c r="AS351" s="1020">
        <v>2.41</v>
      </c>
      <c r="AT351" s="2">
        <v>1.42</v>
      </c>
      <c r="AU351" s="2">
        <v>2</v>
      </c>
      <c r="AV351" s="2">
        <v>3.3</v>
      </c>
      <c r="AW351" s="2">
        <v>14356</v>
      </c>
      <c r="AX351" s="2">
        <v>75945.51234133933</v>
      </c>
      <c r="AY351" s="2">
        <v>62673.095488422703</v>
      </c>
      <c r="AZ351" s="27">
        <v>0</v>
      </c>
      <c r="BA351" s="27">
        <v>0</v>
      </c>
      <c r="BB351" s="2">
        <v>0.6</v>
      </c>
      <c r="BC351" s="30">
        <v>0</v>
      </c>
      <c r="BD351" s="34">
        <v>1</v>
      </c>
      <c r="BE351" s="34">
        <v>0</v>
      </c>
      <c r="BF351" s="40">
        <v>0</v>
      </c>
      <c r="BG351" s="2">
        <v>1</v>
      </c>
      <c r="BH351" s="2">
        <v>0</v>
      </c>
      <c r="BI351" s="40">
        <v>0</v>
      </c>
      <c r="BJ351" s="2">
        <v>0</v>
      </c>
      <c r="BK351" s="2">
        <v>1</v>
      </c>
      <c r="BL351" s="2">
        <v>0</v>
      </c>
      <c r="BM351" s="40">
        <v>0</v>
      </c>
      <c r="BN351" s="958">
        <v>0.1</v>
      </c>
      <c r="BO351" s="959">
        <v>14.1</v>
      </c>
      <c r="BP351" s="1018">
        <f t="shared" ca="1" si="492"/>
        <v>350</v>
      </c>
      <c r="BQ351" s="1018">
        <f t="shared" ca="1" si="493"/>
        <v>764.40000000000009</v>
      </c>
      <c r="BR351" s="1018">
        <f t="shared" ca="1" si="494"/>
        <v>105</v>
      </c>
      <c r="BS351" s="1018">
        <f t="shared" ca="1" si="495"/>
        <v>112.64999999999998</v>
      </c>
      <c r="BT351" s="1018">
        <f t="shared" ca="1" si="496"/>
        <v>105</v>
      </c>
      <c r="BU351" s="1018">
        <f t="shared" ca="1" si="497"/>
        <v>42</v>
      </c>
      <c r="BV351" s="1018">
        <f t="shared" ca="1" si="498"/>
        <v>2.15</v>
      </c>
      <c r="BW351" s="1018">
        <v>0</v>
      </c>
      <c r="BX351" s="1018">
        <f t="shared" ca="1" si="499"/>
        <v>31.834259727134924</v>
      </c>
      <c r="BY351" s="1018">
        <f t="shared" ca="1" si="500"/>
        <v>191.4933461864008</v>
      </c>
      <c r="BZ351" s="1018">
        <f t="shared" ca="1" si="471"/>
        <v>39.484538840145518</v>
      </c>
      <c r="CA351" s="1018">
        <f t="shared" ca="1" si="472"/>
        <v>83.999999966399997</v>
      </c>
      <c r="CB351" s="1018">
        <f t="shared" ca="1" si="501"/>
        <v>4.5133587786259541</v>
      </c>
      <c r="CC351" s="1018">
        <f t="shared" si="473"/>
        <v>0</v>
      </c>
      <c r="CD351" s="1018">
        <f t="shared" ca="1" si="504"/>
        <v>388.00550349870724</v>
      </c>
      <c r="CE351" s="1018">
        <f t="shared" ca="1" si="502"/>
        <v>149.97789927510865</v>
      </c>
      <c r="CF351" s="1018">
        <f t="shared" ca="1" si="474"/>
        <v>16.139502083214477</v>
      </c>
      <c r="CG351" s="1018">
        <f t="shared" ca="1" si="475"/>
        <v>26871.625388468776</v>
      </c>
    </row>
    <row r="352" spans="3:85" x14ac:dyDescent="0.25">
      <c r="D352" s="1"/>
      <c r="F352" s="1"/>
      <c r="G352" s="3"/>
      <c r="H352" s="6"/>
      <c r="I352" s="3"/>
      <c r="K352" s="8"/>
      <c r="L352" s="6"/>
      <c r="M352" s="1"/>
      <c r="N352" s="1"/>
      <c r="O352" s="1" t="s">
        <v>18</v>
      </c>
      <c r="P352" s="4"/>
      <c r="Q352" s="1" t="s">
        <v>7</v>
      </c>
      <c r="R352" s="4"/>
      <c r="S352" s="1"/>
      <c r="T352" s="77"/>
      <c r="U352" s="294"/>
      <c r="X352" s="176">
        <f t="shared" si="503"/>
        <v>0</v>
      </c>
      <c r="Y352" s="34">
        <f>X352/Calculation_sheet!M$67</f>
        <v>0</v>
      </c>
      <c r="Z352" s="176">
        <f ca="1">IF(AN352&gt;0,Y352*Calculation_sheet!C$87,0)</f>
        <v>0</v>
      </c>
      <c r="AA352" s="176">
        <f t="shared" ca="1" si="476"/>
        <v>0</v>
      </c>
      <c r="AB352" s="176">
        <f ca="1">IF(AP352&gt;0,AA352*Calculation_sheet!C$94,0)</f>
        <v>0</v>
      </c>
      <c r="AC352" s="176">
        <f t="shared" ca="1" si="490"/>
        <v>0</v>
      </c>
      <c r="AD352" s="958">
        <f ca="1">AC352*Calculation_sheet!C$99</f>
        <v>0</v>
      </c>
      <c r="AE352" s="176">
        <f t="shared" ca="1" si="490"/>
        <v>0</v>
      </c>
      <c r="AF352" s="176">
        <f t="shared" ca="1" si="491"/>
        <v>0</v>
      </c>
      <c r="AG352" s="958">
        <f ca="1">AF352*User_sheet!B$77/100</f>
        <v>0</v>
      </c>
      <c r="AH352" s="313"/>
      <c r="AI352">
        <v>303</v>
      </c>
      <c r="AK352" s="1018">
        <f t="shared" ca="1" si="470"/>
        <v>388.00550349870724</v>
      </c>
      <c r="AL352" s="924">
        <f ca="1">AK352/'303'!I$24</f>
        <v>1.064049097761435</v>
      </c>
      <c r="AM352" s="924">
        <f ca="1">0.8*(AK352*30+'303'!D$17*0.34*30*1)</f>
        <v>17308.932083968975</v>
      </c>
      <c r="AN352" s="954">
        <f ca="1">IF(AM352&lt;User_sheet!B$50,Y352,0)</f>
        <v>0</v>
      </c>
      <c r="AO352" s="954">
        <f ca="1">20-(User_sheet!B$57/(AK352+'303'!D$17*1*0.34))</f>
        <v>12.096566134966803</v>
      </c>
      <c r="AP352" s="954">
        <f ca="1">IF(AO352&lt;User_sheet!B$59,0,BC352*AA352)</f>
        <v>0</v>
      </c>
      <c r="AR352" s="2">
        <v>0.32</v>
      </c>
      <c r="AS352" s="1020">
        <v>2.41</v>
      </c>
      <c r="AT352" s="2">
        <v>1.42</v>
      </c>
      <c r="AU352" s="2">
        <v>2</v>
      </c>
      <c r="AV352" s="2">
        <v>3.3</v>
      </c>
      <c r="AW352" s="2">
        <v>14356</v>
      </c>
      <c r="AX352" s="2">
        <v>75945.51234133933</v>
      </c>
      <c r="AY352" s="2">
        <v>62673.095488422703</v>
      </c>
      <c r="AZ352" s="27">
        <v>0</v>
      </c>
      <c r="BA352" s="27">
        <v>0</v>
      </c>
      <c r="BB352" s="2">
        <v>0.6</v>
      </c>
      <c r="BC352" s="30">
        <v>0</v>
      </c>
      <c r="BD352" s="34">
        <v>1</v>
      </c>
      <c r="BE352" s="34">
        <v>0</v>
      </c>
      <c r="BF352" s="40">
        <v>0</v>
      </c>
      <c r="BG352" s="2">
        <v>1</v>
      </c>
      <c r="BH352" s="2">
        <v>0</v>
      </c>
      <c r="BI352" s="40">
        <v>0</v>
      </c>
      <c r="BJ352" s="2">
        <v>0</v>
      </c>
      <c r="BK352" s="2">
        <v>0</v>
      </c>
      <c r="BL352" s="2">
        <v>1</v>
      </c>
      <c r="BM352" s="40">
        <v>0</v>
      </c>
      <c r="BN352" s="958">
        <v>0.1</v>
      </c>
      <c r="BO352" s="959">
        <v>14.1</v>
      </c>
      <c r="BP352" s="1018">
        <f t="shared" ca="1" si="492"/>
        <v>350</v>
      </c>
      <c r="BQ352" s="1018">
        <f t="shared" ca="1" si="493"/>
        <v>764.40000000000009</v>
      </c>
      <c r="BR352" s="1018">
        <f t="shared" ca="1" si="494"/>
        <v>105</v>
      </c>
      <c r="BS352" s="1018">
        <f t="shared" ca="1" si="495"/>
        <v>112.64999999999998</v>
      </c>
      <c r="BT352" s="1018">
        <f t="shared" ca="1" si="496"/>
        <v>105</v>
      </c>
      <c r="BU352" s="1018">
        <f t="shared" ca="1" si="497"/>
        <v>42</v>
      </c>
      <c r="BV352" s="1018">
        <f t="shared" ca="1" si="498"/>
        <v>2.15</v>
      </c>
      <c r="BW352" s="1018">
        <v>0</v>
      </c>
      <c r="BX352" s="1018">
        <f t="shared" ca="1" si="499"/>
        <v>31.834259727134924</v>
      </c>
      <c r="BY352" s="1018">
        <f t="shared" ca="1" si="500"/>
        <v>191.4933461864008</v>
      </c>
      <c r="BZ352" s="1018">
        <f t="shared" ca="1" si="471"/>
        <v>39.484538840145518</v>
      </c>
      <c r="CA352" s="1018">
        <f t="shared" ca="1" si="472"/>
        <v>83.999999966399997</v>
      </c>
      <c r="CB352" s="1018">
        <f t="shared" ca="1" si="501"/>
        <v>4.5133587786259541</v>
      </c>
      <c r="CC352" s="1018">
        <f t="shared" si="473"/>
        <v>0</v>
      </c>
      <c r="CD352" s="1018">
        <f t="shared" ca="1" si="504"/>
        <v>388.00550349870724</v>
      </c>
      <c r="CE352" s="1018">
        <f t="shared" ca="1" si="502"/>
        <v>149.97789927510865</v>
      </c>
      <c r="CF352" s="1018">
        <f t="shared" ca="1" si="474"/>
        <v>16.139502083214477</v>
      </c>
      <c r="CG352" s="1018">
        <f t="shared" ca="1" si="475"/>
        <v>26871.625388468776</v>
      </c>
    </row>
    <row r="353" spans="4:85" x14ac:dyDescent="0.25">
      <c r="D353" s="1"/>
      <c r="F353" s="1"/>
      <c r="G353" s="3"/>
      <c r="H353" s="6"/>
      <c r="I353" s="3"/>
      <c r="K353" s="8"/>
      <c r="L353" s="6"/>
      <c r="M353" s="1"/>
      <c r="N353" s="1"/>
      <c r="O353" s="1"/>
      <c r="P353" s="1"/>
      <c r="Q353" s="1" t="s">
        <v>22</v>
      </c>
      <c r="R353" s="4"/>
      <c r="S353" s="1"/>
      <c r="T353" s="77"/>
      <c r="U353" s="294"/>
      <c r="X353" s="176">
        <f t="shared" si="503"/>
        <v>0</v>
      </c>
      <c r="Y353" s="34">
        <f>X353/Calculation_sheet!M$67</f>
        <v>0</v>
      </c>
      <c r="Z353" s="176">
        <f ca="1">IF(AN353&gt;0,Y353*Calculation_sheet!C$87,0)</f>
        <v>0</v>
      </c>
      <c r="AA353" s="176">
        <f t="shared" ca="1" si="476"/>
        <v>0</v>
      </c>
      <c r="AB353" s="176">
        <f ca="1">IF(AP353&gt;0,AA353*Calculation_sheet!C$94,0)</f>
        <v>0</v>
      </c>
      <c r="AC353" s="176">
        <f t="shared" ca="1" si="490"/>
        <v>0</v>
      </c>
      <c r="AD353" s="958">
        <f ca="1">AC353*Calculation_sheet!C$99</f>
        <v>0</v>
      </c>
      <c r="AE353" s="176">
        <f t="shared" ca="1" si="490"/>
        <v>0</v>
      </c>
      <c r="AF353" s="176">
        <f t="shared" ca="1" si="491"/>
        <v>0</v>
      </c>
      <c r="AG353" s="958">
        <f ca="1">AF353*User_sheet!B$77/100</f>
        <v>0</v>
      </c>
      <c r="AH353" s="313"/>
      <c r="AI353">
        <v>303</v>
      </c>
      <c r="AK353" s="1018">
        <f t="shared" ca="1" si="470"/>
        <v>388.00550349870724</v>
      </c>
      <c r="AL353" s="924">
        <f ca="1">AK353/'303'!I$24</f>
        <v>1.064049097761435</v>
      </c>
      <c r="AM353" s="924">
        <f ca="1">0.8*(AK353*30+'303'!D$17*0.34*30*1)</f>
        <v>17308.932083968975</v>
      </c>
      <c r="AN353" s="954">
        <f ca="1">IF(AM353&lt;User_sheet!B$50,Y353,0)</f>
        <v>0</v>
      </c>
      <c r="AO353" s="954">
        <f ca="1">20-(User_sheet!B$57/(AK353+'303'!D$17*1*0.34))</f>
        <v>12.096566134966803</v>
      </c>
      <c r="AP353" s="954">
        <f ca="1">IF(AO353&lt;User_sheet!B$59,0,BC353*AA353)</f>
        <v>0</v>
      </c>
      <c r="AR353" s="2">
        <v>0.32</v>
      </c>
      <c r="AS353" s="1020">
        <v>2.41</v>
      </c>
      <c r="AT353" s="2">
        <v>1.42</v>
      </c>
      <c r="AU353" s="2">
        <v>2</v>
      </c>
      <c r="AV353" s="2">
        <v>3.3</v>
      </c>
      <c r="AW353" s="2">
        <v>14356</v>
      </c>
      <c r="AX353" s="2">
        <v>75945.51234133933</v>
      </c>
      <c r="AY353" s="2">
        <v>62673.095488422703</v>
      </c>
      <c r="AZ353" s="27">
        <v>0</v>
      </c>
      <c r="BA353" s="27">
        <v>0</v>
      </c>
      <c r="BB353" s="2">
        <v>0.6</v>
      </c>
      <c r="BC353" s="30">
        <v>0</v>
      </c>
      <c r="BD353" s="34">
        <v>1</v>
      </c>
      <c r="BE353" s="34">
        <v>0</v>
      </c>
      <c r="BF353" s="40">
        <v>0</v>
      </c>
      <c r="BG353" s="2">
        <v>0</v>
      </c>
      <c r="BH353" s="2">
        <v>1</v>
      </c>
      <c r="BI353" s="40">
        <v>0</v>
      </c>
      <c r="BJ353" s="2">
        <v>0</v>
      </c>
      <c r="BK353" s="2">
        <v>1</v>
      </c>
      <c r="BL353" s="2">
        <v>0</v>
      </c>
      <c r="BM353" s="40">
        <v>0</v>
      </c>
      <c r="BN353" s="958">
        <v>0.1</v>
      </c>
      <c r="BO353" s="959">
        <v>14.1</v>
      </c>
      <c r="BP353" s="1018">
        <f t="shared" ca="1" si="492"/>
        <v>350</v>
      </c>
      <c r="BQ353" s="1018">
        <f t="shared" ca="1" si="493"/>
        <v>764.40000000000009</v>
      </c>
      <c r="BR353" s="1018">
        <f t="shared" ca="1" si="494"/>
        <v>105</v>
      </c>
      <c r="BS353" s="1018">
        <f t="shared" ca="1" si="495"/>
        <v>112.64999999999998</v>
      </c>
      <c r="BT353" s="1018">
        <f t="shared" ca="1" si="496"/>
        <v>105</v>
      </c>
      <c r="BU353" s="1018">
        <f t="shared" ca="1" si="497"/>
        <v>42</v>
      </c>
      <c r="BV353" s="1018">
        <f t="shared" ca="1" si="498"/>
        <v>2.15</v>
      </c>
      <c r="BW353" s="1018">
        <v>0</v>
      </c>
      <c r="BX353" s="1018">
        <f t="shared" ca="1" si="499"/>
        <v>31.834259727134924</v>
      </c>
      <c r="BY353" s="1018">
        <f t="shared" ca="1" si="500"/>
        <v>191.4933461864008</v>
      </c>
      <c r="BZ353" s="1018">
        <f t="shared" ca="1" si="471"/>
        <v>39.484538840145518</v>
      </c>
      <c r="CA353" s="1018">
        <f t="shared" ca="1" si="472"/>
        <v>83.999999966399997</v>
      </c>
      <c r="CB353" s="1018">
        <f t="shared" ca="1" si="501"/>
        <v>4.5133587786259541</v>
      </c>
      <c r="CC353" s="1018">
        <f t="shared" si="473"/>
        <v>0</v>
      </c>
      <c r="CD353" s="1018">
        <f t="shared" ca="1" si="504"/>
        <v>388.00550349870724</v>
      </c>
      <c r="CE353" s="1018">
        <f t="shared" ca="1" si="502"/>
        <v>149.97789927510865</v>
      </c>
      <c r="CF353" s="1018">
        <f t="shared" ca="1" si="474"/>
        <v>16.139502083214477</v>
      </c>
      <c r="CG353" s="1018">
        <f t="shared" ca="1" si="475"/>
        <v>26871.625388468776</v>
      </c>
    </row>
    <row r="354" spans="4:85" x14ac:dyDescent="0.25">
      <c r="D354" s="1"/>
      <c r="F354" s="1"/>
      <c r="G354" s="3"/>
      <c r="H354" s="6"/>
      <c r="I354" s="3"/>
      <c r="J354" s="6"/>
      <c r="K354" s="8"/>
      <c r="L354" s="3"/>
      <c r="M354" s="1" t="s">
        <v>22</v>
      </c>
      <c r="N354" s="4"/>
      <c r="O354" s="1" t="s">
        <v>20</v>
      </c>
      <c r="P354" s="4"/>
      <c r="Q354" s="1" t="s">
        <v>7</v>
      </c>
      <c r="R354" s="4"/>
      <c r="S354" s="1"/>
      <c r="T354" s="77"/>
      <c r="U354" s="294"/>
      <c r="X354" s="176">
        <f t="shared" si="503"/>
        <v>0</v>
      </c>
      <c r="Y354" s="34">
        <f>X354/Calculation_sheet!M$67</f>
        <v>0</v>
      </c>
      <c r="Z354" s="176">
        <f ca="1">IF(AN354&gt;0,Y354*Calculation_sheet!C$87,0)</f>
        <v>0</v>
      </c>
      <c r="AA354" s="176">
        <f t="shared" ca="1" si="476"/>
        <v>0</v>
      </c>
      <c r="AB354" s="176">
        <f ca="1">IF(AP354&gt;0,AA354*Calculation_sheet!C$94,0)</f>
        <v>0</v>
      </c>
      <c r="AC354" s="176">
        <f t="shared" ca="1" si="490"/>
        <v>0</v>
      </c>
      <c r="AD354" s="958">
        <f ca="1">AC354*Calculation_sheet!C$99</f>
        <v>0</v>
      </c>
      <c r="AE354" s="176">
        <f t="shared" ca="1" si="490"/>
        <v>0</v>
      </c>
      <c r="AF354" s="176">
        <f t="shared" ca="1" si="491"/>
        <v>0</v>
      </c>
      <c r="AG354" s="958">
        <f ca="1">AF354*User_sheet!B$77/100</f>
        <v>0</v>
      </c>
      <c r="AH354" s="313"/>
      <c r="AI354">
        <v>303</v>
      </c>
      <c r="AK354" s="1018">
        <f t="shared" ca="1" si="470"/>
        <v>388.00550349870724</v>
      </c>
      <c r="AL354" s="924">
        <f ca="1">AK354/'303'!I$24</f>
        <v>1.064049097761435</v>
      </c>
      <c r="AM354" s="924">
        <f ca="1">0.8*(AK354*30+'303'!D$17*0.34*30*1)</f>
        <v>17308.932083968975</v>
      </c>
      <c r="AN354" s="954">
        <f ca="1">IF(AM354&lt;User_sheet!B$50,Y354,0)</f>
        <v>0</v>
      </c>
      <c r="AO354" s="954">
        <f ca="1">20-(User_sheet!B$57/(AK354+'303'!D$17*1*0.34))</f>
        <v>12.096566134966803</v>
      </c>
      <c r="AP354" s="954">
        <f ca="1">IF(AO354&lt;User_sheet!B$59,0,BC354*AA354)</f>
        <v>0</v>
      </c>
      <c r="AR354" s="2">
        <v>0.32</v>
      </c>
      <c r="AS354" s="1020">
        <v>2.41</v>
      </c>
      <c r="AT354" s="2">
        <v>1.42</v>
      </c>
      <c r="AU354" s="2">
        <v>2</v>
      </c>
      <c r="AV354" s="2">
        <v>3.3</v>
      </c>
      <c r="AW354" s="2">
        <v>14356</v>
      </c>
      <c r="AX354" s="2">
        <v>75945.51234133933</v>
      </c>
      <c r="AY354" s="2">
        <v>62673.095488422703</v>
      </c>
      <c r="AZ354" s="27">
        <v>0</v>
      </c>
      <c r="BA354" s="27">
        <v>0</v>
      </c>
      <c r="BB354" s="2">
        <v>0.6</v>
      </c>
      <c r="BC354" s="30">
        <v>0</v>
      </c>
      <c r="BD354" s="34">
        <v>1</v>
      </c>
      <c r="BE354" s="34">
        <v>0</v>
      </c>
      <c r="BF354" s="40">
        <v>0</v>
      </c>
      <c r="BG354" s="2">
        <v>0</v>
      </c>
      <c r="BH354" s="2">
        <v>1</v>
      </c>
      <c r="BI354" s="40">
        <v>0</v>
      </c>
      <c r="BJ354" s="2">
        <v>0</v>
      </c>
      <c r="BK354" s="2">
        <v>0</v>
      </c>
      <c r="BL354" s="2">
        <v>1</v>
      </c>
      <c r="BM354" s="40">
        <v>0</v>
      </c>
      <c r="BN354" s="958">
        <v>0.1</v>
      </c>
      <c r="BO354" s="959">
        <v>14.1</v>
      </c>
      <c r="BP354" s="1018">
        <f t="shared" ca="1" si="492"/>
        <v>350</v>
      </c>
      <c r="BQ354" s="1018">
        <f t="shared" ca="1" si="493"/>
        <v>764.40000000000009</v>
      </c>
      <c r="BR354" s="1018">
        <f t="shared" ca="1" si="494"/>
        <v>105</v>
      </c>
      <c r="BS354" s="1018">
        <f t="shared" ca="1" si="495"/>
        <v>112.64999999999998</v>
      </c>
      <c r="BT354" s="1018">
        <f t="shared" ca="1" si="496"/>
        <v>105</v>
      </c>
      <c r="BU354" s="1018">
        <f t="shared" ca="1" si="497"/>
        <v>42</v>
      </c>
      <c r="BV354" s="1018">
        <f t="shared" ca="1" si="498"/>
        <v>2.15</v>
      </c>
      <c r="BW354" s="1018">
        <v>0</v>
      </c>
      <c r="BX354" s="1018">
        <f t="shared" ca="1" si="499"/>
        <v>31.834259727134924</v>
      </c>
      <c r="BY354" s="1018">
        <f t="shared" ca="1" si="500"/>
        <v>191.4933461864008</v>
      </c>
      <c r="BZ354" s="1018">
        <f t="shared" ca="1" si="471"/>
        <v>39.484538840145518</v>
      </c>
      <c r="CA354" s="1018">
        <f t="shared" ca="1" si="472"/>
        <v>83.999999966399997</v>
      </c>
      <c r="CB354" s="1018">
        <f t="shared" ca="1" si="501"/>
        <v>4.5133587786259541</v>
      </c>
      <c r="CC354" s="1018">
        <f t="shared" si="473"/>
        <v>0</v>
      </c>
      <c r="CD354" s="1018">
        <f t="shared" ca="1" si="504"/>
        <v>388.00550349870724</v>
      </c>
      <c r="CE354" s="1018">
        <f t="shared" ca="1" si="502"/>
        <v>149.97789927510865</v>
      </c>
      <c r="CF354" s="1018">
        <f t="shared" ca="1" si="474"/>
        <v>16.139502083214477</v>
      </c>
      <c r="CG354" s="1018">
        <f t="shared" ca="1" si="475"/>
        <v>26871.625388468776</v>
      </c>
    </row>
    <row r="355" spans="4:85" x14ac:dyDescent="0.25">
      <c r="D355" s="1"/>
      <c r="F355" s="1"/>
      <c r="G355" s="3"/>
      <c r="H355" s="6"/>
      <c r="I355" s="3"/>
      <c r="J355" s="6"/>
      <c r="K355" s="8"/>
      <c r="L355" s="7"/>
      <c r="M355" s="1" t="s">
        <v>7</v>
      </c>
      <c r="N355" s="4"/>
      <c r="O355" s="1" t="s">
        <v>23</v>
      </c>
      <c r="P355" s="4"/>
      <c r="Q355" s="1" t="s">
        <v>7</v>
      </c>
      <c r="R355" s="4"/>
      <c r="S355" s="1"/>
      <c r="T355" s="77"/>
      <c r="U355" s="294"/>
      <c r="X355" s="176">
        <f t="shared" si="503"/>
        <v>0</v>
      </c>
      <c r="Y355" s="34">
        <f>X355/Calculation_sheet!M$67</f>
        <v>0</v>
      </c>
      <c r="Z355" s="176">
        <f ca="1">IF(AN355&gt;0,Y355*Calculation_sheet!C$87,0)</f>
        <v>0</v>
      </c>
      <c r="AA355" s="176">
        <f t="shared" ca="1" si="476"/>
        <v>0</v>
      </c>
      <c r="AB355" s="176">
        <f ca="1">IF(AP355&gt;0,AA355*Calculation_sheet!C$94,0)</f>
        <v>0</v>
      </c>
      <c r="AC355" s="176">
        <f t="shared" ca="1" si="490"/>
        <v>0</v>
      </c>
      <c r="AD355" s="958">
        <f ca="1">AC355*Calculation_sheet!C$99</f>
        <v>0</v>
      </c>
      <c r="AE355" s="176">
        <f t="shared" ca="1" si="490"/>
        <v>0</v>
      </c>
      <c r="AF355" s="176">
        <f t="shared" ca="1" si="491"/>
        <v>0</v>
      </c>
      <c r="AG355" s="958">
        <f ca="1">AF355*User_sheet!B$77/100</f>
        <v>0</v>
      </c>
      <c r="AH355" s="313"/>
      <c r="AI355">
        <v>303</v>
      </c>
      <c r="AK355" s="1018">
        <f t="shared" ca="1" si="470"/>
        <v>388.00550349870724</v>
      </c>
      <c r="AL355" s="924">
        <f ca="1">AK355/'303'!I$24</f>
        <v>1.064049097761435</v>
      </c>
      <c r="AM355" s="924">
        <f ca="1">0.8*(AK355*30+'303'!D$17*0.34*30*1)</f>
        <v>17308.932083968975</v>
      </c>
      <c r="AN355" s="954">
        <f ca="1">IF(AM355&lt;User_sheet!B$50,Y355,0)</f>
        <v>0</v>
      </c>
      <c r="AO355" s="954">
        <f ca="1">20-(User_sheet!B$57/(AK355+'303'!D$17*1*0.34))</f>
        <v>12.096566134966803</v>
      </c>
      <c r="AP355" s="954">
        <f ca="1">IF(AO355&lt;User_sheet!B$59,0,BC355*AA355)</f>
        <v>0</v>
      </c>
      <c r="AR355" s="2">
        <v>0.32</v>
      </c>
      <c r="AS355" s="1020">
        <v>2.41</v>
      </c>
      <c r="AT355" s="2">
        <v>1.42</v>
      </c>
      <c r="AU355" s="2">
        <v>2</v>
      </c>
      <c r="AV355" s="2">
        <v>3.3</v>
      </c>
      <c r="AW355" s="2">
        <v>14356</v>
      </c>
      <c r="AX355" s="2">
        <v>75945.51234133933</v>
      </c>
      <c r="AY355" s="2">
        <v>62673.095488422703</v>
      </c>
      <c r="AZ355" s="27">
        <v>0</v>
      </c>
      <c r="BA355" s="27">
        <v>0</v>
      </c>
      <c r="BB355" s="2">
        <v>0.6</v>
      </c>
      <c r="BC355" s="30">
        <v>0</v>
      </c>
      <c r="BD355" s="34">
        <v>0</v>
      </c>
      <c r="BE355" s="34">
        <v>1</v>
      </c>
      <c r="BF355" s="40">
        <v>0</v>
      </c>
      <c r="BG355" s="2">
        <v>0</v>
      </c>
      <c r="BH355" s="2">
        <v>0</v>
      </c>
      <c r="BI355" s="40">
        <v>1</v>
      </c>
      <c r="BJ355" s="2">
        <v>0</v>
      </c>
      <c r="BK355" s="2">
        <v>0</v>
      </c>
      <c r="BL355" s="2">
        <v>1</v>
      </c>
      <c r="BM355" s="40">
        <v>0</v>
      </c>
      <c r="BN355" s="958">
        <v>0.1</v>
      </c>
      <c r="BO355" s="959">
        <v>14.1</v>
      </c>
      <c r="BP355" s="1018">
        <f t="shared" ca="1" si="492"/>
        <v>350</v>
      </c>
      <c r="BQ355" s="1018">
        <f t="shared" ca="1" si="493"/>
        <v>764.40000000000009</v>
      </c>
      <c r="BR355" s="1018">
        <f t="shared" ca="1" si="494"/>
        <v>105</v>
      </c>
      <c r="BS355" s="1018">
        <f t="shared" ca="1" si="495"/>
        <v>112.64999999999998</v>
      </c>
      <c r="BT355" s="1018">
        <f t="shared" ca="1" si="496"/>
        <v>105</v>
      </c>
      <c r="BU355" s="1018">
        <f t="shared" ca="1" si="497"/>
        <v>42</v>
      </c>
      <c r="BV355" s="1018">
        <f t="shared" ca="1" si="498"/>
        <v>2.15</v>
      </c>
      <c r="BW355" s="1018">
        <v>0</v>
      </c>
      <c r="BX355" s="1018">
        <f t="shared" ca="1" si="499"/>
        <v>31.834259727134924</v>
      </c>
      <c r="BY355" s="1018">
        <f t="shared" ca="1" si="500"/>
        <v>191.4933461864008</v>
      </c>
      <c r="BZ355" s="1018">
        <f t="shared" ca="1" si="471"/>
        <v>39.484538840145518</v>
      </c>
      <c r="CA355" s="1018">
        <f t="shared" ca="1" si="472"/>
        <v>83.999999966399997</v>
      </c>
      <c r="CB355" s="1018">
        <f t="shared" ca="1" si="501"/>
        <v>4.5133587786259541</v>
      </c>
      <c r="CC355" s="1018">
        <f t="shared" si="473"/>
        <v>0</v>
      </c>
      <c r="CD355" s="1018">
        <f t="shared" ca="1" si="504"/>
        <v>388.00550349870724</v>
      </c>
      <c r="CE355" s="1018">
        <f t="shared" ca="1" si="502"/>
        <v>149.97789927510865</v>
      </c>
      <c r="CF355" s="1018">
        <f t="shared" ca="1" si="474"/>
        <v>16.139502083214477</v>
      </c>
      <c r="CG355" s="1018">
        <f t="shared" ca="1" si="475"/>
        <v>26871.625388468776</v>
      </c>
    </row>
    <row r="356" spans="4:85" s="11" customFormat="1" x14ac:dyDescent="0.25">
      <c r="D356" s="12"/>
      <c r="F356" s="12"/>
      <c r="H356" s="12"/>
      <c r="J356" s="12"/>
      <c r="K356" s="13"/>
      <c r="L356" s="12"/>
      <c r="M356" s="12"/>
      <c r="N356" s="12"/>
      <c r="O356" s="12"/>
      <c r="P356" s="12"/>
      <c r="Q356" s="12"/>
      <c r="R356" s="12"/>
      <c r="S356" s="12"/>
      <c r="T356" s="82"/>
      <c r="U356" s="289"/>
      <c r="V356" s="293"/>
      <c r="W356" s="292"/>
      <c r="X356" s="292"/>
      <c r="Y356" s="277"/>
      <c r="Z356" s="292"/>
      <c r="AA356" s="292"/>
      <c r="AB356" s="292"/>
      <c r="AC356" s="292"/>
      <c r="AD356" s="277"/>
      <c r="AE356" s="292"/>
      <c r="AF356" s="292"/>
      <c r="AG356" s="277"/>
      <c r="AH356" s="313"/>
      <c r="AJ356" s="314"/>
      <c r="AK356" s="1018">
        <f t="shared" si="470"/>
        <v>0</v>
      </c>
      <c r="AL356" s="928"/>
      <c r="AM356" s="928"/>
      <c r="AN356" s="941"/>
      <c r="AO356" s="941"/>
      <c r="AP356" s="941"/>
      <c r="AQ356" s="314"/>
      <c r="AR356" s="28"/>
      <c r="AS356" s="941"/>
      <c r="AT356" s="28"/>
      <c r="AU356" s="28"/>
      <c r="AV356" s="28"/>
      <c r="AW356" s="28"/>
      <c r="AX356" s="28"/>
      <c r="AY356" s="28"/>
      <c r="AZ356" s="28"/>
      <c r="BA356" s="28"/>
      <c r="BB356" s="28"/>
      <c r="BC356" s="45"/>
      <c r="BD356" s="277"/>
      <c r="BE356" s="277"/>
      <c r="BF356" s="49"/>
      <c r="BG356" s="28"/>
      <c r="BH356" s="28"/>
      <c r="BI356" s="49"/>
      <c r="BJ356" s="28"/>
      <c r="BK356" s="28"/>
      <c r="BL356" s="28"/>
      <c r="BM356" s="49"/>
      <c r="BN356" s="277"/>
      <c r="BO356" s="49"/>
      <c r="BP356" s="946"/>
      <c r="BQ356" s="946"/>
      <c r="BR356" s="946"/>
      <c r="BS356" s="946"/>
      <c r="BT356" s="946"/>
      <c r="BU356" s="946"/>
      <c r="BV356" s="946"/>
      <c r="BW356" s="946"/>
      <c r="BX356" s="946"/>
      <c r="BY356" s="946"/>
      <c r="BZ356" s="946"/>
      <c r="CA356" s="946"/>
      <c r="CB356" s="946"/>
      <c r="CC356" s="946"/>
      <c r="CD356" s="946"/>
      <c r="CE356" s="946"/>
      <c r="CF356" s="946"/>
      <c r="CG356" s="946"/>
    </row>
    <row r="357" spans="4:85" x14ac:dyDescent="0.25">
      <c r="D357" s="727"/>
      <c r="E357" s="726"/>
      <c r="F357" s="727"/>
      <c r="G357" s="726"/>
      <c r="H357" s="727"/>
      <c r="I357" s="726"/>
      <c r="J357" s="727"/>
      <c r="K357" s="730"/>
      <c r="L357" s="732"/>
      <c r="M357" s="727"/>
      <c r="N357" s="727"/>
      <c r="O357" s="727"/>
      <c r="P357" s="727"/>
      <c r="Q357" s="727" t="s">
        <v>16</v>
      </c>
      <c r="R357" s="729">
        <v>0.92569999999999997</v>
      </c>
      <c r="S357" s="727"/>
      <c r="T357" s="738">
        <v>6.222634191550804E-4</v>
      </c>
      <c r="U357" s="726"/>
      <c r="V357" s="176">
        <f>T357-T357*Calculation_sheet!F$60</f>
        <v>6.222634191550804E-4</v>
      </c>
      <c r="W357" s="176">
        <f>V357-V357*Calculation_sheet!E$68</f>
        <v>6.222634191550804E-4</v>
      </c>
      <c r="X357" s="176">
        <f>W357-W357*Calculation_sheet!E$78</f>
        <v>6.222634191550804E-4</v>
      </c>
      <c r="Y357" s="34">
        <f>X357/Calculation_sheet!M$67</f>
        <v>6.2227614221968704E-4</v>
      </c>
      <c r="Z357" s="176">
        <f ca="1">IF(AN357&gt;0,Y357*Calculation_sheet!C$87,0)</f>
        <v>0</v>
      </c>
      <c r="AA357" s="176">
        <f t="shared" ca="1" si="476"/>
        <v>6.2227614221968704E-4</v>
      </c>
      <c r="AB357" s="176">
        <f ca="1">IF(AP357&gt;0,AA357*Calculation_sheet!C$94,0)</f>
        <v>0</v>
      </c>
      <c r="AC357" s="176">
        <f t="shared" ref="AC357:AE365" ca="1" si="505">AA357-AB357</f>
        <v>6.2227614221968704E-4</v>
      </c>
      <c r="AD357" s="958">
        <f ca="1">AC357*Calculation_sheet!C$99</f>
        <v>3.733656853318122E-4</v>
      </c>
      <c r="AE357" s="176">
        <f t="shared" ca="1" si="505"/>
        <v>2.4891045688787484E-4</v>
      </c>
      <c r="AF357" s="176">
        <f t="shared" ref="AF357:AF365" ca="1" si="506">Y357-AB357</f>
        <v>6.2227614221968704E-4</v>
      </c>
      <c r="AG357" s="958">
        <f ca="1">AF357*User_sheet!B$77/100</f>
        <v>0</v>
      </c>
      <c r="AH357" s="313"/>
      <c r="AI357">
        <v>303</v>
      </c>
      <c r="AK357" s="1018">
        <f t="shared" ca="1" si="470"/>
        <v>499.34246073142543</v>
      </c>
      <c r="AL357" s="924">
        <f ca="1">AK357/'303'!I$24</f>
        <v>1.3693746352157561</v>
      </c>
      <c r="AM357" s="924">
        <f ca="1">0.8*(AK357*30+'303'!D$17*0.34*30*1)</f>
        <v>19981.019057554211</v>
      </c>
      <c r="AN357" s="954">
        <f ca="1">IF(AM357&lt;User_sheet!B$50,Y357,0)</f>
        <v>0</v>
      </c>
      <c r="AO357" s="954">
        <f ca="1">20-(User_sheet!B$57/(AK357+'303'!D$17*1*0.34))</f>
        <v>13.153502351108559</v>
      </c>
      <c r="AP357" s="954">
        <f ca="1">IF(AO357&lt;User_sheet!B$59,0,BC357*AA357)</f>
        <v>6.2227614221968704E-4</v>
      </c>
      <c r="AR357" s="2">
        <v>0.88</v>
      </c>
      <c r="AS357" s="1020">
        <v>2.41</v>
      </c>
      <c r="AT357" s="2">
        <v>1.42</v>
      </c>
      <c r="AU357" s="2">
        <v>3.5</v>
      </c>
      <c r="AV357" s="2">
        <v>3.3</v>
      </c>
      <c r="AW357" s="2">
        <v>11922.428413610982</v>
      </c>
      <c r="AX357" s="2">
        <v>75945.51234133933</v>
      </c>
      <c r="AY357" s="2">
        <v>62673.095488422703</v>
      </c>
      <c r="AZ357" s="2">
        <v>0</v>
      </c>
      <c r="BA357" s="2">
        <v>0</v>
      </c>
      <c r="BB357" s="2">
        <v>0.75</v>
      </c>
      <c r="BC357" s="30">
        <v>1</v>
      </c>
      <c r="BD357" s="34">
        <v>0</v>
      </c>
      <c r="BE357" s="34">
        <v>0</v>
      </c>
      <c r="BF357" s="40">
        <v>0</v>
      </c>
      <c r="BG357" s="2">
        <v>1</v>
      </c>
      <c r="BH357" s="2">
        <v>0</v>
      </c>
      <c r="BI357" s="40">
        <v>0</v>
      </c>
      <c r="BJ357" s="2">
        <v>1</v>
      </c>
      <c r="BK357" s="2">
        <v>0</v>
      </c>
      <c r="BL357" s="2">
        <v>0</v>
      </c>
      <c r="BM357" s="40">
        <v>0</v>
      </c>
      <c r="BN357" s="958">
        <v>0.1</v>
      </c>
      <c r="BO357" s="959">
        <v>14.1</v>
      </c>
      <c r="BP357" s="1018">
        <f t="shared" ref="BP357:BP365" ca="1" si="507">INDIRECT("'"&amp;AI357&amp;"'!"&amp;"B2")</f>
        <v>350</v>
      </c>
      <c r="BQ357" s="1018">
        <f t="shared" ref="BQ357:BQ365" ca="1" si="508">INDIRECT("'"&amp;AI357&amp;"'!"&amp;"C12")+INDIRECT("'"&amp;AI357&amp;"'!"&amp;"C13")+INDIRECT("'"&amp;AI357&amp;"'!"&amp;"C14")+INDIRECT("'"&amp;AI357&amp;"'!"&amp;"C15")+INDIRECT("'"&amp;AI357&amp;"'!"&amp;"C17")</f>
        <v>764.40000000000009</v>
      </c>
      <c r="BR357" s="1018">
        <f t="shared" ref="BR357:BR365" ca="1" si="509">INDIRECT("'"&amp;AI357&amp;"'!"&amp;"G5")</f>
        <v>105</v>
      </c>
      <c r="BS357" s="1018">
        <f t="shared" ref="BS357:BS365" ca="1" si="510">INDIRECT("'"&amp;AI357&amp;"'!"&amp;"G4")</f>
        <v>112.64999999999998</v>
      </c>
      <c r="BT357" s="1018">
        <f t="shared" ref="BT357:BT365" ca="1" si="511">INDIRECT("'"&amp;AI357&amp;"'!"&amp;"G6")</f>
        <v>105</v>
      </c>
      <c r="BU357" s="1018">
        <f t="shared" ref="BU357:BU365" ca="1" si="512">INDIRECT("'"&amp;AI357&amp;"'!"&amp;"G2")</f>
        <v>42</v>
      </c>
      <c r="BV357" s="1018">
        <f t="shared" ref="BV357:BV365" ca="1" si="513">INDIRECT("'"&amp;AI357&amp;"'!"&amp;"G3")</f>
        <v>2.15</v>
      </c>
      <c r="BW357" s="1018">
        <v>0</v>
      </c>
      <c r="BX357" s="1018">
        <f t="shared" ref="BX357:BX365" ca="1" si="514">IF(BR357=0,0,1/(1/(BR357*$BY$3)+1/(BR357*AR357)+1/(BR357*$BY$4)))</f>
        <v>80.171217029153169</v>
      </c>
      <c r="BY357" s="1018">
        <f t="shared" ref="BY357:BY365" ca="1" si="515">IF(BS357=0,0,1/(1/(BS357*$BY$3)+1/(BS357*AS357)+1/(BS357*$BY$4)))</f>
        <v>191.4933461864008</v>
      </c>
      <c r="BZ357" s="1018">
        <f t="shared" ca="1" si="471"/>
        <v>39.484538840145518</v>
      </c>
      <c r="CA357" s="1018">
        <f t="shared" ca="1" si="472"/>
        <v>146.99999989710003</v>
      </c>
      <c r="CB357" s="1018">
        <f t="shared" ref="CB357:CB365" ca="1" si="516">IF(BV357=0,0,1/(1/(BV357*$BY$3)+1/(BV357*AV357)+1/(BV357*$BY$4)))</f>
        <v>4.5133587786259541</v>
      </c>
      <c r="CC357" s="1018">
        <f t="shared" si="473"/>
        <v>0</v>
      </c>
      <c r="CD357" s="1018">
        <f ca="1">SUM(BX357:CC357)+(BR357+BS357+BT357+BU357+BV357)*BN357</f>
        <v>499.34246073142543</v>
      </c>
      <c r="CE357" s="1018">
        <f t="shared" ref="CE357:CE365" ca="1" si="517">0.34*BO357*(1/25)^0.66*(BR357+BS357+BU357+BV357)</f>
        <v>149.97789927510865</v>
      </c>
      <c r="CF357" s="1018">
        <f t="shared" ca="1" si="474"/>
        <v>19.479610800196024</v>
      </c>
      <c r="CG357" s="1018">
        <f t="shared" ca="1" si="475"/>
        <v>32432.772797894366</v>
      </c>
    </row>
    <row r="358" spans="4:85" x14ac:dyDescent="0.25">
      <c r="D358" s="727"/>
      <c r="E358" s="726"/>
      <c r="F358" s="727"/>
      <c r="G358" s="726"/>
      <c r="H358" s="727"/>
      <c r="I358" s="726"/>
      <c r="J358" s="727"/>
      <c r="K358" s="730"/>
      <c r="L358" s="732"/>
      <c r="M358" s="727"/>
      <c r="N358" s="727"/>
      <c r="O358" s="727" t="s">
        <v>18</v>
      </c>
      <c r="P358" s="729">
        <v>0.89156626500000002</v>
      </c>
      <c r="Q358" s="727" t="s">
        <v>7</v>
      </c>
      <c r="R358" s="729">
        <v>7.4300000000000005E-2</v>
      </c>
      <c r="S358" s="727"/>
      <c r="T358" s="738">
        <v>4.9945092409228128E-5</v>
      </c>
      <c r="U358" s="726"/>
      <c r="V358" s="176">
        <f>T358-T358*Calculation_sheet!F$60</f>
        <v>4.9945092409228128E-5</v>
      </c>
      <c r="W358" s="176">
        <f>V358-V358*Calculation_sheet!E$68</f>
        <v>4.9945092409228128E-5</v>
      </c>
      <c r="X358" s="176">
        <f>W358-W358*Calculation_sheet!E$78</f>
        <v>4.9945092409228128E-5</v>
      </c>
      <c r="Y358" s="34">
        <f>X358/Calculation_sheet!M$67</f>
        <v>4.9946113607996917E-5</v>
      </c>
      <c r="Z358" s="176">
        <f ca="1">IF(AN358&gt;0,Y358*Calculation_sheet!C$87,0)</f>
        <v>0</v>
      </c>
      <c r="AA358" s="176">
        <f t="shared" ca="1" si="476"/>
        <v>4.9946113607996917E-5</v>
      </c>
      <c r="AB358" s="176">
        <f ca="1">IF(AP358&gt;0,AA358*Calculation_sheet!C$94,0)</f>
        <v>0</v>
      </c>
      <c r="AC358" s="176">
        <f t="shared" ca="1" si="505"/>
        <v>4.9946113607996917E-5</v>
      </c>
      <c r="AD358" s="958">
        <f ca="1">AC358*Calculation_sheet!C$99</f>
        <v>2.9967668164798148E-5</v>
      </c>
      <c r="AE358" s="176">
        <f t="shared" ca="1" si="505"/>
        <v>1.997844544319877E-5</v>
      </c>
      <c r="AF358" s="176">
        <f t="shared" ca="1" si="506"/>
        <v>4.9946113607996917E-5</v>
      </c>
      <c r="AG358" s="958">
        <f ca="1">AF358*User_sheet!B$77/100</f>
        <v>0</v>
      </c>
      <c r="AH358" s="313"/>
      <c r="AI358">
        <v>303</v>
      </c>
      <c r="AK358" s="1018">
        <f t="shared" ca="1" si="470"/>
        <v>499.34246073142543</v>
      </c>
      <c r="AL358" s="924">
        <f ca="1">AK358/'303'!I$24</f>
        <v>1.3693746352157561</v>
      </c>
      <c r="AM358" s="924">
        <f ca="1">0.8*(AK358*30+'303'!D$17*0.34*30*1)</f>
        <v>19981.019057554211</v>
      </c>
      <c r="AN358" s="954">
        <f ca="1">IF(AM358&lt;User_sheet!B$50,Y358,0)</f>
        <v>0</v>
      </c>
      <c r="AO358" s="954">
        <f ca="1">20-(User_sheet!B$57/(AK358+'303'!D$17*1*0.34))</f>
        <v>13.153502351108559</v>
      </c>
      <c r="AP358" s="954">
        <f ca="1">IF(AO358&lt;User_sheet!B$59,0,BC358*AA358)</f>
        <v>4.9946113607996917E-5</v>
      </c>
      <c r="AR358" s="2">
        <v>0.88</v>
      </c>
      <c r="AS358" s="1020">
        <v>2.41</v>
      </c>
      <c r="AT358" s="2">
        <v>1.42</v>
      </c>
      <c r="AU358" s="2">
        <v>3.5</v>
      </c>
      <c r="AV358" s="2">
        <v>3.3</v>
      </c>
      <c r="AW358" s="2">
        <v>11922.428413610982</v>
      </c>
      <c r="AX358" s="2">
        <v>75945.51234133933</v>
      </c>
      <c r="AY358" s="2">
        <v>62673.095488422703</v>
      </c>
      <c r="AZ358" s="2">
        <v>0</v>
      </c>
      <c r="BA358" s="2">
        <v>0</v>
      </c>
      <c r="BB358" s="2">
        <v>0.75</v>
      </c>
      <c r="BC358" s="30">
        <v>1</v>
      </c>
      <c r="BD358" s="34">
        <v>0</v>
      </c>
      <c r="BE358" s="34">
        <v>0</v>
      </c>
      <c r="BF358" s="40">
        <v>0</v>
      </c>
      <c r="BG358" s="2">
        <v>1</v>
      </c>
      <c r="BH358" s="2">
        <v>0</v>
      </c>
      <c r="BI358" s="40">
        <v>0</v>
      </c>
      <c r="BJ358" s="2">
        <v>0</v>
      </c>
      <c r="BK358" s="2">
        <v>0</v>
      </c>
      <c r="BL358" s="2">
        <v>1</v>
      </c>
      <c r="BM358" s="40">
        <v>0</v>
      </c>
      <c r="BN358" s="958">
        <v>0.1</v>
      </c>
      <c r="BO358" s="959">
        <v>14.1</v>
      </c>
      <c r="BP358" s="1018">
        <f t="shared" ca="1" si="507"/>
        <v>350</v>
      </c>
      <c r="BQ358" s="1018">
        <f t="shared" ca="1" si="508"/>
        <v>764.40000000000009</v>
      </c>
      <c r="BR358" s="1018">
        <f t="shared" ca="1" si="509"/>
        <v>105</v>
      </c>
      <c r="BS358" s="1018">
        <f t="shared" ca="1" si="510"/>
        <v>112.64999999999998</v>
      </c>
      <c r="BT358" s="1018">
        <f t="shared" ca="1" si="511"/>
        <v>105</v>
      </c>
      <c r="BU358" s="1018">
        <f t="shared" ca="1" si="512"/>
        <v>42</v>
      </c>
      <c r="BV358" s="1018">
        <f t="shared" ca="1" si="513"/>
        <v>2.15</v>
      </c>
      <c r="BW358" s="1018">
        <v>0</v>
      </c>
      <c r="BX358" s="1018">
        <f t="shared" ca="1" si="514"/>
        <v>80.171217029153169</v>
      </c>
      <c r="BY358" s="1018">
        <f t="shared" ca="1" si="515"/>
        <v>191.4933461864008</v>
      </c>
      <c r="BZ358" s="1018">
        <f t="shared" ca="1" si="471"/>
        <v>39.484538840145518</v>
      </c>
      <c r="CA358" s="1018">
        <f t="shared" ca="1" si="472"/>
        <v>146.99999989710003</v>
      </c>
      <c r="CB358" s="1018">
        <f t="shared" ca="1" si="516"/>
        <v>4.5133587786259541</v>
      </c>
      <c r="CC358" s="1018">
        <f t="shared" si="473"/>
        <v>0</v>
      </c>
      <c r="CD358" s="1018">
        <f t="shared" ref="CD358:CD365" ca="1" si="518">SUM(BX358:CC358)+(BR358+BS358+BT358+BU358+BV358)*BN358</f>
        <v>499.34246073142543</v>
      </c>
      <c r="CE358" s="1018">
        <f t="shared" ca="1" si="517"/>
        <v>149.97789927510865</v>
      </c>
      <c r="CF358" s="1018">
        <f t="shared" ca="1" si="474"/>
        <v>19.479610800196024</v>
      </c>
      <c r="CG358" s="1018">
        <f t="shared" ca="1" si="475"/>
        <v>32432.772797894366</v>
      </c>
    </row>
    <row r="359" spans="4:85" x14ac:dyDescent="0.25">
      <c r="D359" s="727"/>
      <c r="E359" s="726"/>
      <c r="F359" s="727"/>
      <c r="G359" s="726"/>
      <c r="H359" s="727"/>
      <c r="I359" s="726"/>
      <c r="J359" s="727"/>
      <c r="K359" s="730"/>
      <c r="L359" s="732"/>
      <c r="M359" s="727"/>
      <c r="N359" s="727"/>
      <c r="O359" s="727"/>
      <c r="P359" s="727"/>
      <c r="Q359" s="727" t="s">
        <v>16</v>
      </c>
      <c r="R359" s="729">
        <v>0.92569999999999997</v>
      </c>
      <c r="S359" s="727"/>
      <c r="T359" s="738">
        <v>7.568068616061412E-5</v>
      </c>
      <c r="U359" s="726"/>
      <c r="V359" s="176">
        <f>T359-T359*Calculation_sheet!F$60</f>
        <v>7.568068616061412E-5</v>
      </c>
      <c r="W359" s="176">
        <f>V359-V359*Calculation_sheet!E$68</f>
        <v>7.568068616061412E-5</v>
      </c>
      <c r="X359" s="176">
        <f>W359-W359*Calculation_sheet!E$78</f>
        <v>7.568068616061412E-5</v>
      </c>
      <c r="Y359" s="34">
        <f>X359/Calculation_sheet!M$67</f>
        <v>7.5682233560364542E-5</v>
      </c>
      <c r="Z359" s="176">
        <f ca="1">IF(AN359&gt;0,Y359*Calculation_sheet!C$87,0)</f>
        <v>0</v>
      </c>
      <c r="AA359" s="176">
        <f t="shared" ca="1" si="476"/>
        <v>7.5682233560364542E-5</v>
      </c>
      <c r="AB359" s="176">
        <f ca="1">IF(AP359&gt;0,AA359*Calculation_sheet!C$94,0)</f>
        <v>0</v>
      </c>
      <c r="AC359" s="176">
        <f t="shared" ca="1" si="505"/>
        <v>7.5682233560364542E-5</v>
      </c>
      <c r="AD359" s="958">
        <f ca="1">AC359*Calculation_sheet!C$99</f>
        <v>4.5409340136218722E-5</v>
      </c>
      <c r="AE359" s="176">
        <f t="shared" ca="1" si="505"/>
        <v>3.0272893424145819E-5</v>
      </c>
      <c r="AF359" s="176">
        <f t="shared" ca="1" si="506"/>
        <v>7.5682233560364542E-5</v>
      </c>
      <c r="AG359" s="958">
        <f ca="1">AF359*User_sheet!B$77/100</f>
        <v>0</v>
      </c>
      <c r="AH359" s="313"/>
      <c r="AI359">
        <v>303</v>
      </c>
      <c r="AK359" s="1018">
        <f t="shared" ca="1" si="470"/>
        <v>499.34246073142543</v>
      </c>
      <c r="AL359" s="924">
        <f ca="1">AK359/'303'!I$24</f>
        <v>1.3693746352157561</v>
      </c>
      <c r="AM359" s="924">
        <f ca="1">0.8*(AK359*30+'303'!D$17*0.34*30*1)</f>
        <v>19981.019057554211</v>
      </c>
      <c r="AN359" s="954">
        <f ca="1">IF(AM359&lt;User_sheet!B$50,Y359,0)</f>
        <v>0</v>
      </c>
      <c r="AO359" s="954">
        <f ca="1">20-(User_sheet!B$57/(AK359+'303'!D$17*1*0.34))</f>
        <v>13.153502351108559</v>
      </c>
      <c r="AP359" s="954">
        <f ca="1">IF(AO359&lt;User_sheet!B$59,0,BC359*AA359)</f>
        <v>7.5682233560364542E-5</v>
      </c>
      <c r="AR359" s="2">
        <v>0.88</v>
      </c>
      <c r="AS359" s="1020">
        <v>2.41</v>
      </c>
      <c r="AT359" s="2">
        <v>1.42</v>
      </c>
      <c r="AU359" s="2">
        <v>3.5</v>
      </c>
      <c r="AV359" s="2">
        <v>3.3</v>
      </c>
      <c r="AW359" s="2">
        <v>11922.428413610982</v>
      </c>
      <c r="AX359" s="2">
        <v>75945.51234133933</v>
      </c>
      <c r="AY359" s="2">
        <v>62673.095488422703</v>
      </c>
      <c r="AZ359" s="2">
        <v>0</v>
      </c>
      <c r="BA359" s="2">
        <v>0</v>
      </c>
      <c r="BB359" s="2">
        <v>0.75</v>
      </c>
      <c r="BC359" s="30">
        <v>1</v>
      </c>
      <c r="BD359" s="34">
        <v>0</v>
      </c>
      <c r="BE359" s="34">
        <v>0</v>
      </c>
      <c r="BF359" s="40">
        <v>0</v>
      </c>
      <c r="BG359" s="2">
        <v>0</v>
      </c>
      <c r="BH359" s="2">
        <v>1</v>
      </c>
      <c r="BI359" s="40">
        <v>0</v>
      </c>
      <c r="BJ359" s="2">
        <v>1</v>
      </c>
      <c r="BK359" s="2">
        <v>0</v>
      </c>
      <c r="BL359" s="2">
        <v>0</v>
      </c>
      <c r="BM359" s="40">
        <v>0</v>
      </c>
      <c r="BN359" s="958">
        <v>0.1</v>
      </c>
      <c r="BO359" s="959">
        <v>14.1</v>
      </c>
      <c r="BP359" s="1018">
        <f t="shared" ca="1" si="507"/>
        <v>350</v>
      </c>
      <c r="BQ359" s="1018">
        <f t="shared" ca="1" si="508"/>
        <v>764.40000000000009</v>
      </c>
      <c r="BR359" s="1018">
        <f t="shared" ca="1" si="509"/>
        <v>105</v>
      </c>
      <c r="BS359" s="1018">
        <f t="shared" ca="1" si="510"/>
        <v>112.64999999999998</v>
      </c>
      <c r="BT359" s="1018">
        <f t="shared" ca="1" si="511"/>
        <v>105</v>
      </c>
      <c r="BU359" s="1018">
        <f t="shared" ca="1" si="512"/>
        <v>42</v>
      </c>
      <c r="BV359" s="1018">
        <f t="shared" ca="1" si="513"/>
        <v>2.15</v>
      </c>
      <c r="BW359" s="1018">
        <v>0</v>
      </c>
      <c r="BX359" s="1018">
        <f t="shared" ca="1" si="514"/>
        <v>80.171217029153169</v>
      </c>
      <c r="BY359" s="1018">
        <f t="shared" ca="1" si="515"/>
        <v>191.4933461864008</v>
      </c>
      <c r="BZ359" s="1018">
        <f t="shared" ca="1" si="471"/>
        <v>39.484538840145518</v>
      </c>
      <c r="CA359" s="1018">
        <f t="shared" ca="1" si="472"/>
        <v>146.99999989710003</v>
      </c>
      <c r="CB359" s="1018">
        <f t="shared" ca="1" si="516"/>
        <v>4.5133587786259541</v>
      </c>
      <c r="CC359" s="1018">
        <f t="shared" si="473"/>
        <v>0</v>
      </c>
      <c r="CD359" s="1018">
        <f t="shared" ca="1" si="518"/>
        <v>499.34246073142543</v>
      </c>
      <c r="CE359" s="1018">
        <f t="shared" ca="1" si="517"/>
        <v>149.97789927510865</v>
      </c>
      <c r="CF359" s="1018">
        <f t="shared" ca="1" si="474"/>
        <v>19.479610800196024</v>
      </c>
      <c r="CG359" s="1018">
        <f t="shared" ca="1" si="475"/>
        <v>32432.772797894366</v>
      </c>
    </row>
    <row r="360" spans="4:85" x14ac:dyDescent="0.25">
      <c r="D360" s="727"/>
      <c r="E360" s="726"/>
      <c r="F360" s="727"/>
      <c r="G360" s="726"/>
      <c r="H360" s="727"/>
      <c r="I360" s="726"/>
      <c r="J360" s="727"/>
      <c r="K360" s="730"/>
      <c r="L360" s="732"/>
      <c r="M360" s="727" t="s">
        <v>16</v>
      </c>
      <c r="N360" s="729">
        <v>0.41099999999999998</v>
      </c>
      <c r="O360" s="727" t="s">
        <v>19</v>
      </c>
      <c r="P360" s="729">
        <v>0.108433735</v>
      </c>
      <c r="Q360" s="727" t="s">
        <v>7</v>
      </c>
      <c r="R360" s="729">
        <v>7.4300000000000005E-2</v>
      </c>
      <c r="S360" s="727"/>
      <c r="T360" s="738">
        <v>6.0744031346371716E-6</v>
      </c>
      <c r="U360" s="726"/>
      <c r="V360" s="176">
        <f>T360-T360*Calculation_sheet!F$60</f>
        <v>6.0744031346371716E-6</v>
      </c>
      <c r="W360" s="176">
        <f>V360-V360*Calculation_sheet!E$68</f>
        <v>6.0744031346371716E-6</v>
      </c>
      <c r="X360" s="176">
        <f>W360-W360*Calculation_sheet!E$78</f>
        <v>6.0744031346371716E-6</v>
      </c>
      <c r="Y360" s="34">
        <f>X360/Calculation_sheet!M$67</f>
        <v>6.0745273344875076E-6</v>
      </c>
      <c r="Z360" s="176">
        <f ca="1">IF(AN360&gt;0,Y360*Calculation_sheet!C$87,0)</f>
        <v>0</v>
      </c>
      <c r="AA360" s="176">
        <f t="shared" ca="1" si="476"/>
        <v>6.0745273344875076E-6</v>
      </c>
      <c r="AB360" s="176">
        <f ca="1">IF(AP360&gt;0,AA360*Calculation_sheet!C$94,0)</f>
        <v>0</v>
      </c>
      <c r="AC360" s="176">
        <f t="shared" ca="1" si="505"/>
        <v>6.0745273344875076E-6</v>
      </c>
      <c r="AD360" s="958">
        <f ca="1">AC360*Calculation_sheet!C$99</f>
        <v>3.6447164006925043E-6</v>
      </c>
      <c r="AE360" s="176">
        <f t="shared" ca="1" si="505"/>
        <v>2.4298109337950033E-6</v>
      </c>
      <c r="AF360" s="176">
        <f t="shared" ca="1" si="506"/>
        <v>6.0745273344875076E-6</v>
      </c>
      <c r="AG360" s="958">
        <f ca="1">AF360*User_sheet!B$77/100</f>
        <v>0</v>
      </c>
      <c r="AH360" s="313"/>
      <c r="AI360">
        <v>303</v>
      </c>
      <c r="AK360" s="1018">
        <f t="shared" ca="1" si="470"/>
        <v>499.34246073142543</v>
      </c>
      <c r="AL360" s="924">
        <f ca="1">AK360/'303'!I$24</f>
        <v>1.3693746352157561</v>
      </c>
      <c r="AM360" s="924">
        <f ca="1">0.8*(AK360*30+'303'!D$17*0.34*30*1)</f>
        <v>19981.019057554211</v>
      </c>
      <c r="AN360" s="954">
        <f ca="1">IF(AM360&lt;User_sheet!B$50,Y360,0)</f>
        <v>0</v>
      </c>
      <c r="AO360" s="954">
        <f ca="1">20-(User_sheet!B$57/(AK360+'303'!D$17*1*0.34))</f>
        <v>13.153502351108559</v>
      </c>
      <c r="AP360" s="954">
        <f ca="1">IF(AO360&lt;User_sheet!B$59,0,BC360*AA360)</f>
        <v>6.0745273344875076E-6</v>
      </c>
      <c r="AR360" s="2">
        <v>0.88</v>
      </c>
      <c r="AS360" s="1020">
        <v>2.41</v>
      </c>
      <c r="AT360" s="2">
        <v>1.42</v>
      </c>
      <c r="AU360" s="2">
        <v>3.5</v>
      </c>
      <c r="AV360" s="2">
        <v>3.3</v>
      </c>
      <c r="AW360" s="2">
        <v>11922.428413610982</v>
      </c>
      <c r="AX360" s="2">
        <v>75945.51234133933</v>
      </c>
      <c r="AY360" s="2">
        <v>62673.095488422703</v>
      </c>
      <c r="AZ360" s="2">
        <v>0</v>
      </c>
      <c r="BA360" s="2">
        <v>0</v>
      </c>
      <c r="BB360" s="2">
        <v>0.75</v>
      </c>
      <c r="BC360" s="30">
        <v>1</v>
      </c>
      <c r="BD360" s="34">
        <v>0</v>
      </c>
      <c r="BE360" s="34">
        <v>0</v>
      </c>
      <c r="BF360" s="40">
        <v>0</v>
      </c>
      <c r="BG360" s="2">
        <v>0</v>
      </c>
      <c r="BH360" s="2">
        <v>1</v>
      </c>
      <c r="BI360" s="40">
        <v>0</v>
      </c>
      <c r="BJ360" s="2">
        <v>0</v>
      </c>
      <c r="BK360" s="2">
        <v>0</v>
      </c>
      <c r="BL360" s="2">
        <v>1</v>
      </c>
      <c r="BM360" s="40">
        <v>0</v>
      </c>
      <c r="BN360" s="958">
        <v>0.1</v>
      </c>
      <c r="BO360" s="959">
        <v>14.1</v>
      </c>
      <c r="BP360" s="1018">
        <f t="shared" ca="1" si="507"/>
        <v>350</v>
      </c>
      <c r="BQ360" s="1018">
        <f t="shared" ca="1" si="508"/>
        <v>764.40000000000009</v>
      </c>
      <c r="BR360" s="1018">
        <f t="shared" ca="1" si="509"/>
        <v>105</v>
      </c>
      <c r="BS360" s="1018">
        <f t="shared" ca="1" si="510"/>
        <v>112.64999999999998</v>
      </c>
      <c r="BT360" s="1018">
        <f t="shared" ca="1" si="511"/>
        <v>105</v>
      </c>
      <c r="BU360" s="1018">
        <f t="shared" ca="1" si="512"/>
        <v>42</v>
      </c>
      <c r="BV360" s="1018">
        <f t="shared" ca="1" si="513"/>
        <v>2.15</v>
      </c>
      <c r="BW360" s="1018">
        <v>0</v>
      </c>
      <c r="BX360" s="1018">
        <f t="shared" ca="1" si="514"/>
        <v>80.171217029153169</v>
      </c>
      <c r="BY360" s="1018">
        <f t="shared" ca="1" si="515"/>
        <v>191.4933461864008</v>
      </c>
      <c r="BZ360" s="1018">
        <f t="shared" ca="1" si="471"/>
        <v>39.484538840145518</v>
      </c>
      <c r="CA360" s="1018">
        <f t="shared" ca="1" si="472"/>
        <v>146.99999989710003</v>
      </c>
      <c r="CB360" s="1018">
        <f t="shared" ca="1" si="516"/>
        <v>4.5133587786259541</v>
      </c>
      <c r="CC360" s="1018">
        <f t="shared" si="473"/>
        <v>0</v>
      </c>
      <c r="CD360" s="1018">
        <f t="shared" ca="1" si="518"/>
        <v>499.34246073142543</v>
      </c>
      <c r="CE360" s="1018">
        <f t="shared" ca="1" si="517"/>
        <v>149.97789927510865</v>
      </c>
      <c r="CF360" s="1018">
        <f t="shared" ca="1" si="474"/>
        <v>19.479610800196024</v>
      </c>
      <c r="CG360" s="1018">
        <f t="shared" ca="1" si="475"/>
        <v>32432.772797894366</v>
      </c>
    </row>
    <row r="361" spans="4:85" x14ac:dyDescent="0.25">
      <c r="D361" s="727"/>
      <c r="E361" s="726"/>
      <c r="F361" s="727"/>
      <c r="G361" s="726"/>
      <c r="H361" s="727"/>
      <c r="I361" s="726"/>
      <c r="J361" s="727"/>
      <c r="K361" s="730"/>
      <c r="L361" s="732"/>
      <c r="M361" s="727"/>
      <c r="N361" s="727"/>
      <c r="O361" s="727"/>
      <c r="P361" s="727"/>
      <c r="Q361" s="727" t="s">
        <v>22</v>
      </c>
      <c r="R361" s="729">
        <v>0.60750000000000004</v>
      </c>
      <c r="S361" s="727"/>
      <c r="T361" s="738">
        <v>4.9445263147406796E-4</v>
      </c>
      <c r="U361" s="726"/>
      <c r="V361" s="176">
        <f>T361-T361*Calculation_sheet!F$60</f>
        <v>4.9445263147406796E-4</v>
      </c>
      <c r="W361" s="176">
        <f>V361-V361*Calculation_sheet!E$68</f>
        <v>4.9445263147406796E-4</v>
      </c>
      <c r="X361" s="176">
        <f>W361-W361*Calculation_sheet!E$78</f>
        <v>4.9445263147406796E-4</v>
      </c>
      <c r="Y361" s="34">
        <f>X361/Calculation_sheet!M$67</f>
        <v>4.944627412645224E-4</v>
      </c>
      <c r="Z361" s="176">
        <f ca="1">IF(AN361&gt;0,Y361*Calculation_sheet!C$87,0)</f>
        <v>0</v>
      </c>
      <c r="AA361" s="176">
        <f t="shared" ca="1" si="476"/>
        <v>4.944627412645224E-4</v>
      </c>
      <c r="AB361" s="176">
        <f ca="1">IF(AP361&gt;0,AA361*Calculation_sheet!C$94,0)</f>
        <v>0</v>
      </c>
      <c r="AC361" s="176">
        <f t="shared" ca="1" si="505"/>
        <v>4.944627412645224E-4</v>
      </c>
      <c r="AD361" s="958">
        <f ca="1">AC361*Calculation_sheet!C$99</f>
        <v>2.9667764475871345E-4</v>
      </c>
      <c r="AE361" s="176">
        <f t="shared" ca="1" si="505"/>
        <v>1.9778509650580895E-4</v>
      </c>
      <c r="AF361" s="176">
        <f t="shared" ca="1" si="506"/>
        <v>4.944627412645224E-4</v>
      </c>
      <c r="AG361" s="958">
        <f ca="1">AF361*User_sheet!B$77/100</f>
        <v>0</v>
      </c>
      <c r="AH361" s="313"/>
      <c r="AI361">
        <v>303</v>
      </c>
      <c r="AK361" s="1018">
        <f t="shared" ca="1" si="470"/>
        <v>499.34246073142543</v>
      </c>
      <c r="AL361" s="924">
        <f ca="1">AK361/'303'!I$24</f>
        <v>1.3693746352157561</v>
      </c>
      <c r="AM361" s="924">
        <f ca="1">0.8*(AK361*30+'303'!D$17*0.34*30*1)</f>
        <v>19981.019057554211</v>
      </c>
      <c r="AN361" s="954">
        <f ca="1">IF(AM361&lt;User_sheet!B$50,Y361,0)</f>
        <v>0</v>
      </c>
      <c r="AO361" s="954">
        <f ca="1">20-(User_sheet!B$57/(AK361+'303'!D$17*1*0.34))</f>
        <v>13.153502351108559</v>
      </c>
      <c r="AP361" s="954">
        <f ca="1">IF(AO361&lt;User_sheet!B$59,0,BC361*AA361)</f>
        <v>0</v>
      </c>
      <c r="AR361" s="2">
        <v>0.88</v>
      </c>
      <c r="AS361" s="1020">
        <v>2.41</v>
      </c>
      <c r="AT361" s="2">
        <v>1.42</v>
      </c>
      <c r="AU361" s="2">
        <v>3.5</v>
      </c>
      <c r="AV361" s="2">
        <v>3.3</v>
      </c>
      <c r="AW361" s="2">
        <v>11922.428413610982</v>
      </c>
      <c r="AX361" s="2">
        <v>75945.51234133933</v>
      </c>
      <c r="AY361" s="2">
        <v>62673.095488422703</v>
      </c>
      <c r="AZ361" s="2">
        <v>0</v>
      </c>
      <c r="BA361" s="2">
        <v>0</v>
      </c>
      <c r="BB361" s="2">
        <v>0.75</v>
      </c>
      <c r="BC361" s="30">
        <v>0</v>
      </c>
      <c r="BD361" s="34">
        <v>1</v>
      </c>
      <c r="BE361" s="34">
        <v>0</v>
      </c>
      <c r="BF361" s="40">
        <v>0</v>
      </c>
      <c r="BG361" s="2">
        <v>1</v>
      </c>
      <c r="BH361" s="2">
        <v>0</v>
      </c>
      <c r="BI361" s="40">
        <v>0</v>
      </c>
      <c r="BJ361" s="2">
        <v>0</v>
      </c>
      <c r="BK361" s="2">
        <v>1</v>
      </c>
      <c r="BL361" s="2">
        <v>0</v>
      </c>
      <c r="BM361" s="40">
        <v>0</v>
      </c>
      <c r="BN361" s="958">
        <v>0.1</v>
      </c>
      <c r="BO361" s="959">
        <v>14.1</v>
      </c>
      <c r="BP361" s="1018">
        <f t="shared" ca="1" si="507"/>
        <v>350</v>
      </c>
      <c r="BQ361" s="1018">
        <f t="shared" ca="1" si="508"/>
        <v>764.40000000000009</v>
      </c>
      <c r="BR361" s="1018">
        <f t="shared" ca="1" si="509"/>
        <v>105</v>
      </c>
      <c r="BS361" s="1018">
        <f t="shared" ca="1" si="510"/>
        <v>112.64999999999998</v>
      </c>
      <c r="BT361" s="1018">
        <f t="shared" ca="1" si="511"/>
        <v>105</v>
      </c>
      <c r="BU361" s="1018">
        <f t="shared" ca="1" si="512"/>
        <v>42</v>
      </c>
      <c r="BV361" s="1018">
        <f t="shared" ca="1" si="513"/>
        <v>2.15</v>
      </c>
      <c r="BW361" s="1018">
        <v>0</v>
      </c>
      <c r="BX361" s="1018">
        <f t="shared" ca="1" si="514"/>
        <v>80.171217029153169</v>
      </c>
      <c r="BY361" s="1018">
        <f t="shared" ca="1" si="515"/>
        <v>191.4933461864008</v>
      </c>
      <c r="BZ361" s="1018">
        <f t="shared" ca="1" si="471"/>
        <v>39.484538840145518</v>
      </c>
      <c r="CA361" s="1018">
        <f t="shared" ca="1" si="472"/>
        <v>146.99999989710003</v>
      </c>
      <c r="CB361" s="1018">
        <f t="shared" ca="1" si="516"/>
        <v>4.5133587786259541</v>
      </c>
      <c r="CC361" s="1018">
        <f t="shared" si="473"/>
        <v>0</v>
      </c>
      <c r="CD361" s="1018">
        <f t="shared" ca="1" si="518"/>
        <v>499.34246073142543</v>
      </c>
      <c r="CE361" s="1018">
        <f t="shared" ca="1" si="517"/>
        <v>149.97789927510865</v>
      </c>
      <c r="CF361" s="1018">
        <f t="shared" ca="1" si="474"/>
        <v>19.479610800196024</v>
      </c>
      <c r="CG361" s="1018">
        <f t="shared" ca="1" si="475"/>
        <v>32432.772797894366</v>
      </c>
    </row>
    <row r="362" spans="4:85" x14ac:dyDescent="0.25">
      <c r="D362" s="727"/>
      <c r="E362" s="726"/>
      <c r="F362" s="727"/>
      <c r="G362" s="726"/>
      <c r="H362" s="727"/>
      <c r="I362" s="726"/>
      <c r="J362" s="727"/>
      <c r="K362" s="730"/>
      <c r="L362" s="732"/>
      <c r="M362" s="727"/>
      <c r="N362" s="727"/>
      <c r="O362" s="727" t="s">
        <v>18</v>
      </c>
      <c r="P362" s="729">
        <v>0.94399999999999995</v>
      </c>
      <c r="Q362" s="727" t="s">
        <v>7</v>
      </c>
      <c r="R362" s="729">
        <v>0.39250000000000002</v>
      </c>
      <c r="S362" s="727"/>
      <c r="T362" s="738">
        <v>3.194611651910646E-4</v>
      </c>
      <c r="U362" s="726"/>
      <c r="V362" s="176">
        <f>T362-T362*Calculation_sheet!F$60</f>
        <v>3.194611651910646E-4</v>
      </c>
      <c r="W362" s="176">
        <f>V362-V362*Calculation_sheet!E$68</f>
        <v>3.194611651910646E-4</v>
      </c>
      <c r="X362" s="176">
        <f>W362-W362*Calculation_sheet!E$78</f>
        <v>3.194611651910646E-4</v>
      </c>
      <c r="Y362" s="34">
        <f>X362/Calculation_sheet!M$67</f>
        <v>3.1946769703098787E-4</v>
      </c>
      <c r="Z362" s="176">
        <f ca="1">IF(AN362&gt;0,Y362*Calculation_sheet!C$87,0)</f>
        <v>0</v>
      </c>
      <c r="AA362" s="176">
        <f t="shared" ca="1" si="476"/>
        <v>3.1946769703098787E-4</v>
      </c>
      <c r="AB362" s="176">
        <f ca="1">IF(AP362&gt;0,AA362*Calculation_sheet!C$94,0)</f>
        <v>0</v>
      </c>
      <c r="AC362" s="176">
        <f t="shared" ca="1" si="505"/>
        <v>3.1946769703098787E-4</v>
      </c>
      <c r="AD362" s="958">
        <f ca="1">AC362*Calculation_sheet!C$99</f>
        <v>1.9168061821859273E-4</v>
      </c>
      <c r="AE362" s="176">
        <f t="shared" ca="1" si="505"/>
        <v>1.2778707881239514E-4</v>
      </c>
      <c r="AF362" s="176">
        <f t="shared" ca="1" si="506"/>
        <v>3.1946769703098787E-4</v>
      </c>
      <c r="AG362" s="958">
        <f ca="1">AF362*User_sheet!B$77/100</f>
        <v>0</v>
      </c>
      <c r="AH362" s="313"/>
      <c r="AI362">
        <v>303</v>
      </c>
      <c r="AK362" s="1018">
        <f t="shared" ca="1" si="470"/>
        <v>499.34246073142543</v>
      </c>
      <c r="AL362" s="924">
        <f ca="1">AK362/'303'!I$24</f>
        <v>1.3693746352157561</v>
      </c>
      <c r="AM362" s="924">
        <f ca="1">0.8*(AK362*30+'303'!D$17*0.34*30*1)</f>
        <v>19981.019057554211</v>
      </c>
      <c r="AN362" s="954">
        <f ca="1">IF(AM362&lt;User_sheet!B$50,Y362,0)</f>
        <v>0</v>
      </c>
      <c r="AO362" s="954">
        <f ca="1">20-(User_sheet!B$57/(AK362+'303'!D$17*1*0.34))</f>
        <v>13.153502351108559</v>
      </c>
      <c r="AP362" s="954">
        <f ca="1">IF(AO362&lt;User_sheet!B$59,0,BC362*AA362)</f>
        <v>0</v>
      </c>
      <c r="AR362" s="2">
        <v>0.88</v>
      </c>
      <c r="AS362" s="1020">
        <v>2.41</v>
      </c>
      <c r="AT362" s="2">
        <v>1.42</v>
      </c>
      <c r="AU362" s="2">
        <v>3.5</v>
      </c>
      <c r="AV362" s="2">
        <v>3.3</v>
      </c>
      <c r="AW362" s="2">
        <v>11922.428413610982</v>
      </c>
      <c r="AX362" s="2">
        <v>75945.51234133933</v>
      </c>
      <c r="AY362" s="2">
        <v>62673.095488422703</v>
      </c>
      <c r="AZ362" s="2">
        <v>0</v>
      </c>
      <c r="BA362" s="2">
        <v>0</v>
      </c>
      <c r="BB362" s="2">
        <v>0.75</v>
      </c>
      <c r="BC362" s="30">
        <v>0</v>
      </c>
      <c r="BD362" s="34">
        <v>1</v>
      </c>
      <c r="BE362" s="34">
        <v>0</v>
      </c>
      <c r="BF362" s="40">
        <v>0</v>
      </c>
      <c r="BG362" s="2">
        <v>1</v>
      </c>
      <c r="BH362" s="2">
        <v>0</v>
      </c>
      <c r="BI362" s="40">
        <v>0</v>
      </c>
      <c r="BJ362" s="2">
        <v>0</v>
      </c>
      <c r="BK362" s="2">
        <v>0</v>
      </c>
      <c r="BL362" s="2">
        <v>1</v>
      </c>
      <c r="BM362" s="40">
        <v>0</v>
      </c>
      <c r="BN362" s="958">
        <v>0.1</v>
      </c>
      <c r="BO362" s="959">
        <v>14.1</v>
      </c>
      <c r="BP362" s="1018">
        <f t="shared" ca="1" si="507"/>
        <v>350</v>
      </c>
      <c r="BQ362" s="1018">
        <f t="shared" ca="1" si="508"/>
        <v>764.40000000000009</v>
      </c>
      <c r="BR362" s="1018">
        <f t="shared" ca="1" si="509"/>
        <v>105</v>
      </c>
      <c r="BS362" s="1018">
        <f t="shared" ca="1" si="510"/>
        <v>112.64999999999998</v>
      </c>
      <c r="BT362" s="1018">
        <f t="shared" ca="1" si="511"/>
        <v>105</v>
      </c>
      <c r="BU362" s="1018">
        <f t="shared" ca="1" si="512"/>
        <v>42</v>
      </c>
      <c r="BV362" s="1018">
        <f t="shared" ca="1" si="513"/>
        <v>2.15</v>
      </c>
      <c r="BW362" s="1018">
        <v>0</v>
      </c>
      <c r="BX362" s="1018">
        <f t="shared" ca="1" si="514"/>
        <v>80.171217029153169</v>
      </c>
      <c r="BY362" s="1018">
        <f t="shared" ca="1" si="515"/>
        <v>191.4933461864008</v>
      </c>
      <c r="BZ362" s="1018">
        <f t="shared" ca="1" si="471"/>
        <v>39.484538840145518</v>
      </c>
      <c r="CA362" s="1018">
        <f t="shared" ca="1" si="472"/>
        <v>146.99999989710003</v>
      </c>
      <c r="CB362" s="1018">
        <f t="shared" ca="1" si="516"/>
        <v>4.5133587786259541</v>
      </c>
      <c r="CC362" s="1018">
        <f t="shared" si="473"/>
        <v>0</v>
      </c>
      <c r="CD362" s="1018">
        <f t="shared" ca="1" si="518"/>
        <v>499.34246073142543</v>
      </c>
      <c r="CE362" s="1018">
        <f t="shared" ca="1" si="517"/>
        <v>149.97789927510865</v>
      </c>
      <c r="CF362" s="1018">
        <f t="shared" ca="1" si="474"/>
        <v>19.479610800196024</v>
      </c>
      <c r="CG362" s="1018">
        <f t="shared" ca="1" si="475"/>
        <v>32432.772797894366</v>
      </c>
    </row>
    <row r="363" spans="4:85" x14ac:dyDescent="0.25">
      <c r="D363" s="727"/>
      <c r="E363" s="726"/>
      <c r="F363" s="727"/>
      <c r="G363" s="726"/>
      <c r="H363" s="727"/>
      <c r="I363" s="726"/>
      <c r="J363" s="727"/>
      <c r="K363" s="730"/>
      <c r="L363" s="732"/>
      <c r="M363" s="727"/>
      <c r="N363" s="727"/>
      <c r="O363" s="727"/>
      <c r="P363" s="727"/>
      <c r="Q363" s="727" t="s">
        <v>22</v>
      </c>
      <c r="R363" s="729">
        <v>0.39250000000000002</v>
      </c>
      <c r="S363" s="727"/>
      <c r="T363" s="738">
        <v>1.8951086070656375E-5</v>
      </c>
      <c r="U363" s="726"/>
      <c r="V363" s="176">
        <f>T363-T363*Calculation_sheet!F$60</f>
        <v>1.8951086070656375E-5</v>
      </c>
      <c r="W363" s="176">
        <f>V363-V363*Calculation_sheet!E$68</f>
        <v>1.8951086070656375E-5</v>
      </c>
      <c r="X363" s="176">
        <f>W363-W363*Calculation_sheet!E$78</f>
        <v>1.8951086070656375E-5</v>
      </c>
      <c r="Y363" s="34">
        <f>X363/Calculation_sheet!M$67</f>
        <v>1.8951473552685721E-5</v>
      </c>
      <c r="Z363" s="176">
        <f ca="1">IF(AN363&gt;0,Y363*Calculation_sheet!C$87,0)</f>
        <v>0</v>
      </c>
      <c r="AA363" s="176">
        <f t="shared" ca="1" si="476"/>
        <v>1.8951473552685721E-5</v>
      </c>
      <c r="AB363" s="176">
        <f ca="1">IF(AP363&gt;0,AA363*Calculation_sheet!C$94,0)</f>
        <v>0</v>
      </c>
      <c r="AC363" s="176">
        <f t="shared" ca="1" si="505"/>
        <v>1.8951473552685721E-5</v>
      </c>
      <c r="AD363" s="958">
        <f ca="1">AC363*Calculation_sheet!C$99</f>
        <v>1.1370884131611432E-5</v>
      </c>
      <c r="AE363" s="176">
        <f t="shared" ca="1" si="505"/>
        <v>7.5805894210742894E-6</v>
      </c>
      <c r="AF363" s="176">
        <f t="shared" ca="1" si="506"/>
        <v>1.8951473552685721E-5</v>
      </c>
      <c r="AG363" s="958">
        <f ca="1">AF363*User_sheet!B$77/100</f>
        <v>0</v>
      </c>
      <c r="AH363" s="313"/>
      <c r="AI363">
        <v>303</v>
      </c>
      <c r="AK363" s="1018">
        <f t="shared" ca="1" si="470"/>
        <v>499.34246073142543</v>
      </c>
      <c r="AL363" s="924">
        <f ca="1">AK363/'303'!I$24</f>
        <v>1.3693746352157561</v>
      </c>
      <c r="AM363" s="924">
        <f ca="1">0.8*(AK363*30+'303'!D$17*0.34*30*1)</f>
        <v>19981.019057554211</v>
      </c>
      <c r="AN363" s="954">
        <f ca="1">IF(AM363&lt;User_sheet!B$50,Y363,0)</f>
        <v>0</v>
      </c>
      <c r="AO363" s="954">
        <f ca="1">20-(User_sheet!B$57/(AK363+'303'!D$17*1*0.34))</f>
        <v>13.153502351108559</v>
      </c>
      <c r="AP363" s="954">
        <f ca="1">IF(AO363&lt;User_sheet!B$59,0,BC363*AA363)</f>
        <v>0</v>
      </c>
      <c r="AR363" s="2">
        <v>0.88</v>
      </c>
      <c r="AS363" s="1020">
        <v>2.41</v>
      </c>
      <c r="AT363" s="2">
        <v>1.42</v>
      </c>
      <c r="AU363" s="2">
        <v>3.5</v>
      </c>
      <c r="AV363" s="2">
        <v>3.3</v>
      </c>
      <c r="AW363" s="2">
        <v>11922.428413610982</v>
      </c>
      <c r="AX363" s="2">
        <v>75945.51234133933</v>
      </c>
      <c r="AY363" s="2">
        <v>62673.095488422703</v>
      </c>
      <c r="AZ363" s="2">
        <v>0</v>
      </c>
      <c r="BA363" s="2">
        <v>0</v>
      </c>
      <c r="BB363" s="2">
        <v>0.75</v>
      </c>
      <c r="BC363" s="30">
        <v>0</v>
      </c>
      <c r="BD363" s="34">
        <v>1</v>
      </c>
      <c r="BE363" s="34">
        <v>0</v>
      </c>
      <c r="BF363" s="40">
        <v>0</v>
      </c>
      <c r="BG363" s="2">
        <v>0</v>
      </c>
      <c r="BH363" s="2">
        <v>1</v>
      </c>
      <c r="BI363" s="40">
        <v>0</v>
      </c>
      <c r="BJ363" s="2">
        <v>0</v>
      </c>
      <c r="BK363" s="2">
        <v>1</v>
      </c>
      <c r="BL363" s="2">
        <v>0</v>
      </c>
      <c r="BM363" s="40">
        <v>0</v>
      </c>
      <c r="BN363" s="958">
        <v>0.1</v>
      </c>
      <c r="BO363" s="959">
        <v>14.1</v>
      </c>
      <c r="BP363" s="1018">
        <f t="shared" ca="1" si="507"/>
        <v>350</v>
      </c>
      <c r="BQ363" s="1018">
        <f t="shared" ca="1" si="508"/>
        <v>764.40000000000009</v>
      </c>
      <c r="BR363" s="1018">
        <f t="shared" ca="1" si="509"/>
        <v>105</v>
      </c>
      <c r="BS363" s="1018">
        <f t="shared" ca="1" si="510"/>
        <v>112.64999999999998</v>
      </c>
      <c r="BT363" s="1018">
        <f t="shared" ca="1" si="511"/>
        <v>105</v>
      </c>
      <c r="BU363" s="1018">
        <f t="shared" ca="1" si="512"/>
        <v>42</v>
      </c>
      <c r="BV363" s="1018">
        <f t="shared" ca="1" si="513"/>
        <v>2.15</v>
      </c>
      <c r="BW363" s="1018">
        <v>0</v>
      </c>
      <c r="BX363" s="1018">
        <f t="shared" ca="1" si="514"/>
        <v>80.171217029153169</v>
      </c>
      <c r="BY363" s="1018">
        <f t="shared" ca="1" si="515"/>
        <v>191.4933461864008</v>
      </c>
      <c r="BZ363" s="1018">
        <f t="shared" ca="1" si="471"/>
        <v>39.484538840145518</v>
      </c>
      <c r="CA363" s="1018">
        <f t="shared" ca="1" si="472"/>
        <v>146.99999989710003</v>
      </c>
      <c r="CB363" s="1018">
        <f t="shared" ca="1" si="516"/>
        <v>4.5133587786259541</v>
      </c>
      <c r="CC363" s="1018">
        <f t="shared" si="473"/>
        <v>0</v>
      </c>
      <c r="CD363" s="1018">
        <f t="shared" ca="1" si="518"/>
        <v>499.34246073142543</v>
      </c>
      <c r="CE363" s="1018">
        <f t="shared" ca="1" si="517"/>
        <v>149.97789927510865</v>
      </c>
      <c r="CF363" s="1018">
        <f t="shared" ca="1" si="474"/>
        <v>19.479610800196024</v>
      </c>
      <c r="CG363" s="1018">
        <f t="shared" ca="1" si="475"/>
        <v>32432.772797894366</v>
      </c>
    </row>
    <row r="364" spans="4:85" x14ac:dyDescent="0.25">
      <c r="D364" s="727"/>
      <c r="E364" s="726"/>
      <c r="F364" s="727"/>
      <c r="G364" s="726"/>
      <c r="H364" s="727"/>
      <c r="I364" s="726"/>
      <c r="J364" s="727"/>
      <c r="K364" s="727"/>
      <c r="L364" s="728"/>
      <c r="M364" s="727" t="s">
        <v>22</v>
      </c>
      <c r="N364" s="729">
        <v>0.47</v>
      </c>
      <c r="O364" s="727" t="s">
        <v>20</v>
      </c>
      <c r="P364" s="729">
        <v>5.6000000000000001E-2</v>
      </c>
      <c r="Q364" s="727" t="s">
        <v>7</v>
      </c>
      <c r="R364" s="729">
        <v>0.60750000000000004</v>
      </c>
      <c r="S364" s="727"/>
      <c r="T364" s="738">
        <v>2.9331935765410818E-5</v>
      </c>
      <c r="U364" s="726"/>
      <c r="V364" s="176">
        <f>T364-T364*Calculation_sheet!F$60</f>
        <v>2.9331935765410818E-5</v>
      </c>
      <c r="W364" s="176">
        <f>V364-V364*Calculation_sheet!E$68</f>
        <v>2.9331935765410818E-5</v>
      </c>
      <c r="X364" s="176">
        <f>W364-W364*Calculation_sheet!E$78</f>
        <v>2.9331935765410818E-5</v>
      </c>
      <c r="Y364" s="34">
        <f>X364/Calculation_sheet!M$67</f>
        <v>2.9332535498742865E-5</v>
      </c>
      <c r="Z364" s="176">
        <f ca="1">IF(AN364&gt;0,Y364*Calculation_sheet!C$87,0)</f>
        <v>0</v>
      </c>
      <c r="AA364" s="176">
        <f t="shared" ca="1" si="476"/>
        <v>2.9332535498742865E-5</v>
      </c>
      <c r="AB364" s="176">
        <f ca="1">IF(AP364&gt;0,AA364*Calculation_sheet!C$94,0)</f>
        <v>0</v>
      </c>
      <c r="AC364" s="176">
        <f t="shared" ca="1" si="505"/>
        <v>2.9332535498742865E-5</v>
      </c>
      <c r="AD364" s="958">
        <f ca="1">AC364*Calculation_sheet!C$99</f>
        <v>1.7599521299245719E-5</v>
      </c>
      <c r="AE364" s="176">
        <f t="shared" ca="1" si="505"/>
        <v>1.1733014199497146E-5</v>
      </c>
      <c r="AF364" s="176">
        <f t="shared" ca="1" si="506"/>
        <v>2.9332535498742865E-5</v>
      </c>
      <c r="AG364" s="958">
        <f ca="1">AF364*User_sheet!B$77/100</f>
        <v>0</v>
      </c>
      <c r="AH364" s="313"/>
      <c r="AI364">
        <v>303</v>
      </c>
      <c r="AK364" s="1018">
        <f t="shared" ca="1" si="470"/>
        <v>499.34246073142543</v>
      </c>
      <c r="AL364" s="924">
        <f ca="1">AK364/'303'!I$24</f>
        <v>1.3693746352157561</v>
      </c>
      <c r="AM364" s="924">
        <f ca="1">0.8*(AK364*30+'303'!D$17*0.34*30*1)</f>
        <v>19981.019057554211</v>
      </c>
      <c r="AN364" s="954">
        <f ca="1">IF(AM364&lt;User_sheet!B$50,Y364,0)</f>
        <v>0</v>
      </c>
      <c r="AO364" s="954">
        <f ca="1">20-(User_sheet!B$57/(AK364+'303'!D$17*1*0.34))</f>
        <v>13.153502351108559</v>
      </c>
      <c r="AP364" s="954">
        <f ca="1">IF(AO364&lt;User_sheet!B$59,0,BC364*AA364)</f>
        <v>0</v>
      </c>
      <c r="AR364" s="2">
        <v>0.88</v>
      </c>
      <c r="AS364" s="1020">
        <v>2.41</v>
      </c>
      <c r="AT364" s="2">
        <v>1.42</v>
      </c>
      <c r="AU364" s="2">
        <v>3.5</v>
      </c>
      <c r="AV364" s="2">
        <v>3.3</v>
      </c>
      <c r="AW364" s="2">
        <v>11922.428413610982</v>
      </c>
      <c r="AX364" s="2">
        <v>75945.51234133933</v>
      </c>
      <c r="AY364" s="2">
        <v>62673.095488422703</v>
      </c>
      <c r="AZ364" s="2">
        <v>0</v>
      </c>
      <c r="BA364" s="2">
        <v>0</v>
      </c>
      <c r="BB364" s="2">
        <v>0.75</v>
      </c>
      <c r="BC364" s="30">
        <v>0</v>
      </c>
      <c r="BD364" s="34">
        <v>1</v>
      </c>
      <c r="BE364" s="34">
        <v>0</v>
      </c>
      <c r="BF364" s="40">
        <v>0</v>
      </c>
      <c r="BG364" s="2">
        <v>0</v>
      </c>
      <c r="BH364" s="2">
        <v>1</v>
      </c>
      <c r="BI364" s="40">
        <v>0</v>
      </c>
      <c r="BJ364" s="2">
        <v>0</v>
      </c>
      <c r="BK364" s="2">
        <v>0</v>
      </c>
      <c r="BL364" s="2">
        <v>1</v>
      </c>
      <c r="BM364" s="40">
        <v>0</v>
      </c>
      <c r="BN364" s="958">
        <v>0.1</v>
      </c>
      <c r="BO364" s="959">
        <v>14.1</v>
      </c>
      <c r="BP364" s="1018">
        <f t="shared" ca="1" si="507"/>
        <v>350</v>
      </c>
      <c r="BQ364" s="1018">
        <f t="shared" ca="1" si="508"/>
        <v>764.40000000000009</v>
      </c>
      <c r="BR364" s="1018">
        <f t="shared" ca="1" si="509"/>
        <v>105</v>
      </c>
      <c r="BS364" s="1018">
        <f t="shared" ca="1" si="510"/>
        <v>112.64999999999998</v>
      </c>
      <c r="BT364" s="1018">
        <f t="shared" ca="1" si="511"/>
        <v>105</v>
      </c>
      <c r="BU364" s="1018">
        <f t="shared" ca="1" si="512"/>
        <v>42</v>
      </c>
      <c r="BV364" s="1018">
        <f t="shared" ca="1" si="513"/>
        <v>2.15</v>
      </c>
      <c r="BW364" s="1018">
        <v>0</v>
      </c>
      <c r="BX364" s="1018">
        <f t="shared" ca="1" si="514"/>
        <v>80.171217029153169</v>
      </c>
      <c r="BY364" s="1018">
        <f t="shared" ca="1" si="515"/>
        <v>191.4933461864008</v>
      </c>
      <c r="BZ364" s="1018">
        <f t="shared" ca="1" si="471"/>
        <v>39.484538840145518</v>
      </c>
      <c r="CA364" s="1018">
        <f t="shared" ca="1" si="472"/>
        <v>146.99999989710003</v>
      </c>
      <c r="CB364" s="1018">
        <f t="shared" ca="1" si="516"/>
        <v>4.5133587786259541</v>
      </c>
      <c r="CC364" s="1018">
        <f t="shared" si="473"/>
        <v>0</v>
      </c>
      <c r="CD364" s="1018">
        <f t="shared" ca="1" si="518"/>
        <v>499.34246073142543</v>
      </c>
      <c r="CE364" s="1018">
        <f t="shared" ca="1" si="517"/>
        <v>149.97789927510865</v>
      </c>
      <c r="CF364" s="1018">
        <f t="shared" ca="1" si="474"/>
        <v>19.479610800196024</v>
      </c>
      <c r="CG364" s="1018">
        <f t="shared" ca="1" si="475"/>
        <v>32432.772797894366</v>
      </c>
    </row>
    <row r="365" spans="4:85" x14ac:dyDescent="0.25">
      <c r="D365" s="727"/>
      <c r="E365" s="726"/>
      <c r="F365" s="727"/>
      <c r="G365" s="726" t="s">
        <v>11</v>
      </c>
      <c r="H365" s="731">
        <v>0.25059999999999999</v>
      </c>
      <c r="I365" s="726" t="s">
        <v>10</v>
      </c>
      <c r="J365" s="731">
        <v>1</v>
      </c>
      <c r="K365" s="730" t="s">
        <v>13</v>
      </c>
      <c r="L365" s="733">
        <v>1</v>
      </c>
      <c r="M365" s="727" t="s">
        <v>7</v>
      </c>
      <c r="N365" s="729">
        <v>0.11900000000000005</v>
      </c>
      <c r="O365" s="727" t="s">
        <v>23</v>
      </c>
      <c r="P365" s="729">
        <v>1</v>
      </c>
      <c r="Q365" s="727" t="s">
        <v>7</v>
      </c>
      <c r="R365" s="729">
        <v>1</v>
      </c>
      <c r="S365" s="727"/>
      <c r="T365" s="738">
        <v>2.1830089659924008E-4</v>
      </c>
      <c r="U365" s="736" t="s">
        <v>49</v>
      </c>
      <c r="V365" s="176">
        <f>T365-T365*Calculation_sheet!F$60</f>
        <v>2.1830089659924008E-4</v>
      </c>
      <c r="W365" s="176">
        <f>V365-V365*Calculation_sheet!E$68</f>
        <v>2.1830089659924008E-4</v>
      </c>
      <c r="X365" s="176">
        <f>W365-W365*Calculation_sheet!E$78</f>
        <v>2.1830089659924008E-4</v>
      </c>
      <c r="Y365" s="34">
        <f>X365/Calculation_sheet!M$67</f>
        <v>2.183053600729485E-4</v>
      </c>
      <c r="Z365" s="176">
        <f ca="1">IF(AN365&gt;0,Y365*Calculation_sheet!C$87,0)</f>
        <v>0</v>
      </c>
      <c r="AA365" s="176">
        <f t="shared" ca="1" si="476"/>
        <v>2.183053600729485E-4</v>
      </c>
      <c r="AB365" s="176">
        <f ca="1">IF(AP365&gt;0,AA365*Calculation_sheet!C$94,0)</f>
        <v>0</v>
      </c>
      <c r="AC365" s="176">
        <f t="shared" ca="1" si="505"/>
        <v>2.183053600729485E-4</v>
      </c>
      <c r="AD365" s="958">
        <f ca="1">AC365*Calculation_sheet!C$99</f>
        <v>1.309832160437691E-4</v>
      </c>
      <c r="AE365" s="176">
        <f t="shared" ca="1" si="505"/>
        <v>8.73221440291794E-5</v>
      </c>
      <c r="AF365" s="176">
        <f t="shared" ca="1" si="506"/>
        <v>2.183053600729485E-4</v>
      </c>
      <c r="AG365" s="958">
        <f ca="1">AF365*User_sheet!B$77/100</f>
        <v>0</v>
      </c>
      <c r="AH365" s="313"/>
      <c r="AI365">
        <v>303</v>
      </c>
      <c r="AK365" s="1018">
        <f t="shared" ca="1" si="470"/>
        <v>499.34246073142543</v>
      </c>
      <c r="AL365" s="924">
        <f ca="1">AK365/'303'!I$24</f>
        <v>1.3693746352157561</v>
      </c>
      <c r="AM365" s="924">
        <f ca="1">0.8*(AK365*30+'303'!D$17*0.34*30*1)</f>
        <v>19981.019057554211</v>
      </c>
      <c r="AN365" s="954">
        <f ca="1">IF(AM365&lt;User_sheet!B$50,Y365,0)</f>
        <v>0</v>
      </c>
      <c r="AO365" s="954">
        <f ca="1">20-(User_sheet!B$57/(AK365+'303'!D$17*1*0.34))</f>
        <v>13.153502351108559</v>
      </c>
      <c r="AP365" s="954">
        <f ca="1">IF(AO365&lt;User_sheet!B$59,0,BC365*AA365)</f>
        <v>0</v>
      </c>
      <c r="AR365" s="2">
        <v>0.88</v>
      </c>
      <c r="AS365" s="1020">
        <v>2.41</v>
      </c>
      <c r="AT365" s="2">
        <v>1.42</v>
      </c>
      <c r="AU365" s="2">
        <v>3.5</v>
      </c>
      <c r="AV365" s="2">
        <v>3.3</v>
      </c>
      <c r="AW365" s="2">
        <v>11922.428413610982</v>
      </c>
      <c r="AX365" s="2">
        <v>75945.51234133933</v>
      </c>
      <c r="AY365" s="2">
        <v>62673.095488422703</v>
      </c>
      <c r="AZ365" s="2">
        <v>0</v>
      </c>
      <c r="BA365" s="2">
        <v>0</v>
      </c>
      <c r="BB365" s="2">
        <v>0.75</v>
      </c>
      <c r="BC365" s="30">
        <v>0</v>
      </c>
      <c r="BD365" s="34">
        <v>0</v>
      </c>
      <c r="BE365" s="34">
        <v>1</v>
      </c>
      <c r="BF365" s="40">
        <v>0</v>
      </c>
      <c r="BG365" s="2">
        <v>0</v>
      </c>
      <c r="BH365" s="2">
        <v>0</v>
      </c>
      <c r="BI365" s="40">
        <v>1</v>
      </c>
      <c r="BJ365" s="2">
        <v>0</v>
      </c>
      <c r="BK365" s="2">
        <v>0</v>
      </c>
      <c r="BL365" s="2">
        <v>1</v>
      </c>
      <c r="BM365" s="40">
        <v>0</v>
      </c>
      <c r="BN365" s="958">
        <v>0.1</v>
      </c>
      <c r="BO365" s="959">
        <v>14.1</v>
      </c>
      <c r="BP365" s="1018">
        <f t="shared" ca="1" si="507"/>
        <v>350</v>
      </c>
      <c r="BQ365" s="1018">
        <f t="shared" ca="1" si="508"/>
        <v>764.40000000000009</v>
      </c>
      <c r="BR365" s="1018">
        <f t="shared" ca="1" si="509"/>
        <v>105</v>
      </c>
      <c r="BS365" s="1018">
        <f t="shared" ca="1" si="510"/>
        <v>112.64999999999998</v>
      </c>
      <c r="BT365" s="1018">
        <f t="shared" ca="1" si="511"/>
        <v>105</v>
      </c>
      <c r="BU365" s="1018">
        <f t="shared" ca="1" si="512"/>
        <v>42</v>
      </c>
      <c r="BV365" s="1018">
        <f t="shared" ca="1" si="513"/>
        <v>2.15</v>
      </c>
      <c r="BW365" s="1018">
        <v>0</v>
      </c>
      <c r="BX365" s="1018">
        <f t="shared" ca="1" si="514"/>
        <v>80.171217029153169</v>
      </c>
      <c r="BY365" s="1018">
        <f t="shared" ca="1" si="515"/>
        <v>191.4933461864008</v>
      </c>
      <c r="BZ365" s="1018">
        <f t="shared" ca="1" si="471"/>
        <v>39.484538840145518</v>
      </c>
      <c r="CA365" s="1018">
        <f t="shared" ca="1" si="472"/>
        <v>146.99999989710003</v>
      </c>
      <c r="CB365" s="1018">
        <f t="shared" ca="1" si="516"/>
        <v>4.5133587786259541</v>
      </c>
      <c r="CC365" s="1018">
        <f t="shared" si="473"/>
        <v>0</v>
      </c>
      <c r="CD365" s="1018">
        <f t="shared" ca="1" si="518"/>
        <v>499.34246073142543</v>
      </c>
      <c r="CE365" s="1018">
        <f t="shared" ca="1" si="517"/>
        <v>149.97789927510865</v>
      </c>
      <c r="CF365" s="1018">
        <f t="shared" ca="1" si="474"/>
        <v>19.479610800196024</v>
      </c>
      <c r="CG365" s="1018">
        <f t="shared" ca="1" si="475"/>
        <v>32432.772797894366</v>
      </c>
    </row>
    <row r="366" spans="4:85" s="734" customFormat="1" x14ac:dyDescent="0.25">
      <c r="D366" s="735"/>
      <c r="F366" s="735"/>
      <c r="M366" s="735"/>
      <c r="N366" s="735"/>
      <c r="O366" s="735"/>
      <c r="P366" s="735"/>
      <c r="Q366" s="735"/>
      <c r="R366" s="735"/>
      <c r="S366" s="735"/>
      <c r="T366" s="739"/>
      <c r="U366" s="735">
        <v>1.8769939999999999E-2</v>
      </c>
      <c r="V366" s="292"/>
      <c r="W366" s="292"/>
      <c r="X366" s="292"/>
      <c r="Y366" s="277"/>
      <c r="Z366" s="292"/>
      <c r="AA366" s="292"/>
      <c r="AB366" s="292"/>
      <c r="AC366" s="292"/>
      <c r="AD366" s="277"/>
      <c r="AE366" s="292"/>
      <c r="AF366" s="292"/>
      <c r="AG366" s="277"/>
      <c r="AH366" s="313"/>
      <c r="AJ366" s="314"/>
      <c r="AK366" s="1018">
        <f t="shared" si="470"/>
        <v>0</v>
      </c>
      <c r="AL366" s="928"/>
      <c r="AM366" s="928"/>
      <c r="AN366" s="941"/>
      <c r="AO366" s="941"/>
      <c r="AP366" s="941"/>
      <c r="AQ366" s="314"/>
      <c r="AR366" s="737"/>
      <c r="AS366" s="941"/>
      <c r="AT366" s="737"/>
      <c r="AU366" s="737"/>
      <c r="AV366" s="737"/>
      <c r="AW366" s="737"/>
      <c r="AX366" s="737"/>
      <c r="AY366" s="737"/>
      <c r="AZ366" s="737"/>
      <c r="BA366" s="737"/>
      <c r="BB366" s="737"/>
      <c r="BC366" s="45"/>
      <c r="BD366" s="277"/>
      <c r="BE366" s="277"/>
      <c r="BF366" s="49"/>
      <c r="BG366" s="737"/>
      <c r="BH366" s="737"/>
      <c r="BI366" s="49"/>
      <c r="BJ366" s="737"/>
      <c r="BK366" s="737"/>
      <c r="BL366" s="737"/>
      <c r="BM366" s="49"/>
      <c r="BN366" s="277"/>
      <c r="BO366" s="49"/>
      <c r="BP366" s="928"/>
      <c r="BQ366" s="928"/>
      <c r="BR366" s="928"/>
      <c r="BS366" s="928"/>
      <c r="BT366" s="928"/>
      <c r="BU366" s="928"/>
      <c r="BV366" s="928"/>
      <c r="BW366" s="928"/>
      <c r="BX366" s="928"/>
      <c r="BY366" s="928"/>
      <c r="BZ366" s="928"/>
      <c r="CA366" s="928"/>
      <c r="CB366" s="928"/>
      <c r="CC366" s="928"/>
      <c r="CD366" s="928"/>
      <c r="CE366" s="928"/>
      <c r="CF366" s="928"/>
      <c r="CG366" s="928"/>
    </row>
    <row r="367" spans="4:85" x14ac:dyDescent="0.25">
      <c r="D367" s="1"/>
      <c r="F367" s="1"/>
      <c r="G367" s="3"/>
      <c r="H367" s="6"/>
      <c r="I367" s="3"/>
      <c r="J367" s="6"/>
      <c r="K367" s="8"/>
      <c r="L367" s="6"/>
      <c r="M367" s="1"/>
      <c r="N367" s="1"/>
      <c r="O367" s="1"/>
      <c r="P367" s="1"/>
      <c r="Q367" s="1" t="s">
        <v>16</v>
      </c>
      <c r="R367" s="4"/>
      <c r="S367" s="1"/>
      <c r="T367" s="77"/>
      <c r="U367" s="294"/>
      <c r="X367" s="176">
        <f>W357-X357</f>
        <v>0</v>
      </c>
      <c r="Y367" s="34">
        <f>X367/Calculation_sheet!M$67</f>
        <v>0</v>
      </c>
      <c r="Z367" s="176">
        <f ca="1">IF(AN367&gt;0,Y367*Calculation_sheet!C$87,0)</f>
        <v>0</v>
      </c>
      <c r="AA367" s="176">
        <f t="shared" ca="1" si="476"/>
        <v>0</v>
      </c>
      <c r="AB367" s="176">
        <f ca="1">IF(AP367&gt;0,AA367*Calculation_sheet!C$94,0)</f>
        <v>0</v>
      </c>
      <c r="AC367" s="176">
        <f t="shared" ref="AC367:AE375" ca="1" si="519">AA367-AB367</f>
        <v>0</v>
      </c>
      <c r="AD367" s="958">
        <f ca="1">AC367*Calculation_sheet!C$99</f>
        <v>0</v>
      </c>
      <c r="AE367" s="176">
        <f t="shared" ca="1" si="519"/>
        <v>0</v>
      </c>
      <c r="AF367" s="176">
        <f t="shared" ref="AF367:AF375" ca="1" si="520">Y367-AB367</f>
        <v>0</v>
      </c>
      <c r="AG367" s="958">
        <f ca="1">AF367*User_sheet!B$77/100</f>
        <v>0</v>
      </c>
      <c r="AH367" s="313"/>
      <c r="AI367">
        <v>303</v>
      </c>
      <c r="AK367" s="1018">
        <f t="shared" ca="1" si="470"/>
        <v>388.00550349870724</v>
      </c>
      <c r="AL367" s="924">
        <f ca="1">AK367/'303'!I$24</f>
        <v>1.064049097761435</v>
      </c>
      <c r="AM367" s="924">
        <f ca="1">0.8*(AK367*30+'303'!D$17*0.34*30*1)</f>
        <v>17308.932083968975</v>
      </c>
      <c r="AN367" s="954">
        <f ca="1">IF(AM367&lt;User_sheet!B$50,Y367,0)</f>
        <v>0</v>
      </c>
      <c r="AO367" s="954">
        <f ca="1">20-(User_sheet!B$57/(AK367+'303'!D$17*1*0.34))</f>
        <v>12.096566134966803</v>
      </c>
      <c r="AP367" s="954">
        <f ca="1">IF(AO367&lt;User_sheet!B$59,0,BC367*AA367)</f>
        <v>0</v>
      </c>
      <c r="AR367" s="2">
        <v>0.32</v>
      </c>
      <c r="AS367" s="1020">
        <v>2.41</v>
      </c>
      <c r="AT367" s="2">
        <v>1.42</v>
      </c>
      <c r="AU367" s="2">
        <v>2</v>
      </c>
      <c r="AV367" s="2">
        <v>3.3</v>
      </c>
      <c r="AW367" s="2">
        <v>14356</v>
      </c>
      <c r="AX367" s="2">
        <v>75945.51234133933</v>
      </c>
      <c r="AY367" s="2">
        <v>62673.095488422703</v>
      </c>
      <c r="AZ367" s="27">
        <v>0</v>
      </c>
      <c r="BA367" s="27">
        <v>0</v>
      </c>
      <c r="BB367" s="2">
        <v>0.6</v>
      </c>
      <c r="BC367" s="30">
        <v>1</v>
      </c>
      <c r="BD367" s="34">
        <v>0</v>
      </c>
      <c r="BE367" s="34">
        <v>0</v>
      </c>
      <c r="BF367" s="40">
        <v>0</v>
      </c>
      <c r="BG367" s="2">
        <v>1</v>
      </c>
      <c r="BH367" s="2">
        <v>0</v>
      </c>
      <c r="BI367" s="40">
        <v>0</v>
      </c>
      <c r="BJ367" s="2">
        <v>1</v>
      </c>
      <c r="BK367" s="2">
        <v>0</v>
      </c>
      <c r="BL367" s="2">
        <v>0</v>
      </c>
      <c r="BM367" s="40">
        <v>0</v>
      </c>
      <c r="BN367" s="958">
        <v>0.1</v>
      </c>
      <c r="BO367" s="959">
        <v>14.1</v>
      </c>
      <c r="BP367" s="1018">
        <f t="shared" ref="BP367:BP375" ca="1" si="521">INDIRECT("'"&amp;AI367&amp;"'!"&amp;"B2")</f>
        <v>350</v>
      </c>
      <c r="BQ367" s="1018">
        <f t="shared" ref="BQ367:BQ375" ca="1" si="522">INDIRECT("'"&amp;AI367&amp;"'!"&amp;"C12")+INDIRECT("'"&amp;AI367&amp;"'!"&amp;"C13")+INDIRECT("'"&amp;AI367&amp;"'!"&amp;"C14")+INDIRECT("'"&amp;AI367&amp;"'!"&amp;"C15")+INDIRECT("'"&amp;AI367&amp;"'!"&amp;"C17")</f>
        <v>764.40000000000009</v>
      </c>
      <c r="BR367" s="1018">
        <f t="shared" ref="BR367:BR375" ca="1" si="523">INDIRECT("'"&amp;AI367&amp;"'!"&amp;"G5")</f>
        <v>105</v>
      </c>
      <c r="BS367" s="1018">
        <f t="shared" ref="BS367:BS375" ca="1" si="524">INDIRECT("'"&amp;AI367&amp;"'!"&amp;"G4")</f>
        <v>112.64999999999998</v>
      </c>
      <c r="BT367" s="1018">
        <f t="shared" ref="BT367:BT375" ca="1" si="525">INDIRECT("'"&amp;AI367&amp;"'!"&amp;"G6")</f>
        <v>105</v>
      </c>
      <c r="BU367" s="1018">
        <f t="shared" ref="BU367:BU375" ca="1" si="526">INDIRECT("'"&amp;AI367&amp;"'!"&amp;"G2")</f>
        <v>42</v>
      </c>
      <c r="BV367" s="1018">
        <f t="shared" ref="BV367:BV375" ca="1" si="527">INDIRECT("'"&amp;AI367&amp;"'!"&amp;"G3")</f>
        <v>2.15</v>
      </c>
      <c r="BW367" s="1018">
        <v>0</v>
      </c>
      <c r="BX367" s="1018">
        <f t="shared" ref="BX367:BX375" ca="1" si="528">IF(BR367=0,0,1/(1/(BR367*$BY$3)+1/(BR367*AR367)+1/(BR367*$BY$4)))</f>
        <v>31.834259727134924</v>
      </c>
      <c r="BY367" s="1018">
        <f t="shared" ref="BY367:BY375" ca="1" si="529">IF(BS367=0,0,1/(1/(BS367*$BY$3)+1/(BS367*AS367)+1/(BS367*$BY$4)))</f>
        <v>191.4933461864008</v>
      </c>
      <c r="BZ367" s="1018">
        <f t="shared" ca="1" si="471"/>
        <v>39.484538840145518</v>
      </c>
      <c r="CA367" s="1018">
        <f t="shared" ca="1" si="472"/>
        <v>83.999999966399997</v>
      </c>
      <c r="CB367" s="1018">
        <f t="shared" ref="CB367:CB375" ca="1" si="530">IF(BV367=0,0,1/(1/(BV367*$BY$3)+1/(BV367*AV367)+1/(BV367*$BY$4)))</f>
        <v>4.5133587786259541</v>
      </c>
      <c r="CC367" s="1018">
        <f t="shared" si="473"/>
        <v>0</v>
      </c>
      <c r="CD367" s="1018">
        <f ca="1">SUM(BX367:CC367)+(BR367+BS367+BT367+BU367+BV367)*BN367</f>
        <v>388.00550349870724</v>
      </c>
      <c r="CE367" s="1018">
        <f t="shared" ref="CE367:CE375" ca="1" si="531">0.34*BO367*(1/25)^0.66*(BR367+BS367+BU367+BV367)</f>
        <v>149.97789927510865</v>
      </c>
      <c r="CF367" s="1018">
        <f t="shared" ca="1" si="474"/>
        <v>16.139502083214477</v>
      </c>
      <c r="CG367" s="1018">
        <f t="shared" ca="1" si="475"/>
        <v>26871.625388468776</v>
      </c>
    </row>
    <row r="368" spans="4:85" x14ac:dyDescent="0.25">
      <c r="D368" s="1"/>
      <c r="F368" s="1"/>
      <c r="G368" s="3"/>
      <c r="H368" s="6"/>
      <c r="I368" s="3"/>
      <c r="J368" s="6"/>
      <c r="K368" s="8"/>
      <c r="L368" s="6"/>
      <c r="M368" s="1"/>
      <c r="N368" s="1"/>
      <c r="O368" s="1" t="s">
        <v>18</v>
      </c>
      <c r="P368" s="4"/>
      <c r="Q368" s="1" t="s">
        <v>7</v>
      </c>
      <c r="R368" s="4"/>
      <c r="S368" s="1"/>
      <c r="T368" s="77"/>
      <c r="U368" s="294"/>
      <c r="X368" s="176">
        <f t="shared" ref="X368:X375" si="532">W358-X358</f>
        <v>0</v>
      </c>
      <c r="Y368" s="34">
        <f>X368/Calculation_sheet!M$67</f>
        <v>0</v>
      </c>
      <c r="Z368" s="176">
        <f ca="1">IF(AN368&gt;0,Y368*Calculation_sheet!C$87,0)</f>
        <v>0</v>
      </c>
      <c r="AA368" s="176">
        <f t="shared" ca="1" si="476"/>
        <v>0</v>
      </c>
      <c r="AB368" s="176">
        <f ca="1">IF(AP368&gt;0,AA368*Calculation_sheet!C$94,0)</f>
        <v>0</v>
      </c>
      <c r="AC368" s="176">
        <f t="shared" ca="1" si="519"/>
        <v>0</v>
      </c>
      <c r="AD368" s="958">
        <f ca="1">AC368*Calculation_sheet!C$99</f>
        <v>0</v>
      </c>
      <c r="AE368" s="176">
        <f t="shared" ca="1" si="519"/>
        <v>0</v>
      </c>
      <c r="AF368" s="176">
        <f t="shared" ca="1" si="520"/>
        <v>0</v>
      </c>
      <c r="AG368" s="958">
        <f ca="1">AF368*User_sheet!B$77/100</f>
        <v>0</v>
      </c>
      <c r="AH368" s="313"/>
      <c r="AI368">
        <v>303</v>
      </c>
      <c r="AK368" s="1018">
        <f t="shared" ca="1" si="470"/>
        <v>388.00550349870724</v>
      </c>
      <c r="AL368" s="924">
        <f ca="1">AK368/'303'!I$24</f>
        <v>1.064049097761435</v>
      </c>
      <c r="AM368" s="924">
        <f ca="1">0.8*(AK368*30+'303'!D$17*0.34*30*1)</f>
        <v>17308.932083968975</v>
      </c>
      <c r="AN368" s="954">
        <f ca="1">IF(AM368&lt;User_sheet!B$50,Y368,0)</f>
        <v>0</v>
      </c>
      <c r="AO368" s="954">
        <f ca="1">20-(User_sheet!B$57/(AK368+'303'!D$17*1*0.34))</f>
        <v>12.096566134966803</v>
      </c>
      <c r="AP368" s="954">
        <f ca="1">IF(AO368&lt;User_sheet!B$59,0,BC368*AA368)</f>
        <v>0</v>
      </c>
      <c r="AR368" s="2">
        <v>0.32</v>
      </c>
      <c r="AS368" s="1020">
        <v>2.41</v>
      </c>
      <c r="AT368" s="2">
        <v>1.42</v>
      </c>
      <c r="AU368" s="2">
        <v>2</v>
      </c>
      <c r="AV368" s="2">
        <v>3.3</v>
      </c>
      <c r="AW368" s="2">
        <v>14356</v>
      </c>
      <c r="AX368" s="2">
        <v>75945.51234133933</v>
      </c>
      <c r="AY368" s="2">
        <v>62673.095488422703</v>
      </c>
      <c r="AZ368" s="27">
        <v>0</v>
      </c>
      <c r="BA368" s="27">
        <v>0</v>
      </c>
      <c r="BB368" s="2">
        <v>0.6</v>
      </c>
      <c r="BC368" s="30">
        <v>1</v>
      </c>
      <c r="BD368" s="34">
        <v>0</v>
      </c>
      <c r="BE368" s="34">
        <v>0</v>
      </c>
      <c r="BF368" s="40">
        <v>0</v>
      </c>
      <c r="BG368" s="2">
        <v>1</v>
      </c>
      <c r="BH368" s="2">
        <v>0</v>
      </c>
      <c r="BI368" s="40">
        <v>0</v>
      </c>
      <c r="BJ368" s="2">
        <v>0</v>
      </c>
      <c r="BK368" s="2">
        <v>0</v>
      </c>
      <c r="BL368" s="2">
        <v>1</v>
      </c>
      <c r="BM368" s="40">
        <v>0</v>
      </c>
      <c r="BN368" s="958">
        <v>0.1</v>
      </c>
      <c r="BO368" s="959">
        <v>14.1</v>
      </c>
      <c r="BP368" s="1018">
        <f t="shared" ca="1" si="521"/>
        <v>350</v>
      </c>
      <c r="BQ368" s="1018">
        <f t="shared" ca="1" si="522"/>
        <v>764.40000000000009</v>
      </c>
      <c r="BR368" s="1018">
        <f t="shared" ca="1" si="523"/>
        <v>105</v>
      </c>
      <c r="BS368" s="1018">
        <f t="shared" ca="1" si="524"/>
        <v>112.64999999999998</v>
      </c>
      <c r="BT368" s="1018">
        <f t="shared" ca="1" si="525"/>
        <v>105</v>
      </c>
      <c r="BU368" s="1018">
        <f t="shared" ca="1" si="526"/>
        <v>42</v>
      </c>
      <c r="BV368" s="1018">
        <f t="shared" ca="1" si="527"/>
        <v>2.15</v>
      </c>
      <c r="BW368" s="1018">
        <v>0</v>
      </c>
      <c r="BX368" s="1018">
        <f t="shared" ca="1" si="528"/>
        <v>31.834259727134924</v>
      </c>
      <c r="BY368" s="1018">
        <f t="shared" ca="1" si="529"/>
        <v>191.4933461864008</v>
      </c>
      <c r="BZ368" s="1018">
        <f t="shared" ca="1" si="471"/>
        <v>39.484538840145518</v>
      </c>
      <c r="CA368" s="1018">
        <f t="shared" ca="1" si="472"/>
        <v>83.999999966399997</v>
      </c>
      <c r="CB368" s="1018">
        <f t="shared" ca="1" si="530"/>
        <v>4.5133587786259541</v>
      </c>
      <c r="CC368" s="1018">
        <f t="shared" si="473"/>
        <v>0</v>
      </c>
      <c r="CD368" s="1018">
        <f t="shared" ref="CD368:CD375" ca="1" si="533">SUM(BX368:CC368)+(BR368+BS368+BT368+BU368+BV368)*BN368</f>
        <v>388.00550349870724</v>
      </c>
      <c r="CE368" s="1018">
        <f t="shared" ca="1" si="531"/>
        <v>149.97789927510865</v>
      </c>
      <c r="CF368" s="1018">
        <f t="shared" ca="1" si="474"/>
        <v>16.139502083214477</v>
      </c>
      <c r="CG368" s="1018">
        <f t="shared" ca="1" si="475"/>
        <v>26871.625388468776</v>
      </c>
    </row>
    <row r="369" spans="4:85" x14ac:dyDescent="0.25">
      <c r="D369" s="1"/>
      <c r="F369" s="1"/>
      <c r="G369" s="3"/>
      <c r="H369" s="6"/>
      <c r="I369" s="3"/>
      <c r="J369" s="6"/>
      <c r="K369" s="8"/>
      <c r="L369" s="6"/>
      <c r="M369" s="1"/>
      <c r="N369" s="1"/>
      <c r="O369" s="1"/>
      <c r="P369" s="1"/>
      <c r="Q369" s="1" t="s">
        <v>16</v>
      </c>
      <c r="R369" s="4"/>
      <c r="S369" s="1"/>
      <c r="T369" s="77"/>
      <c r="U369" s="294"/>
      <c r="X369" s="176">
        <f t="shared" si="532"/>
        <v>0</v>
      </c>
      <c r="Y369" s="34">
        <f>X369/Calculation_sheet!M$67</f>
        <v>0</v>
      </c>
      <c r="Z369" s="176">
        <f ca="1">IF(AN369&gt;0,Y369*Calculation_sheet!C$87,0)</f>
        <v>0</v>
      </c>
      <c r="AA369" s="176">
        <f t="shared" ca="1" si="476"/>
        <v>0</v>
      </c>
      <c r="AB369" s="176">
        <f ca="1">IF(AP369&gt;0,AA369*Calculation_sheet!C$94,0)</f>
        <v>0</v>
      </c>
      <c r="AC369" s="176">
        <f t="shared" ca="1" si="519"/>
        <v>0</v>
      </c>
      <c r="AD369" s="958">
        <f ca="1">AC369*Calculation_sheet!C$99</f>
        <v>0</v>
      </c>
      <c r="AE369" s="176">
        <f t="shared" ca="1" si="519"/>
        <v>0</v>
      </c>
      <c r="AF369" s="176">
        <f t="shared" ca="1" si="520"/>
        <v>0</v>
      </c>
      <c r="AG369" s="958">
        <f ca="1">AF369*User_sheet!B$77/100</f>
        <v>0</v>
      </c>
      <c r="AH369" s="313"/>
      <c r="AI369">
        <v>303</v>
      </c>
      <c r="AK369" s="1018">
        <f t="shared" ca="1" si="470"/>
        <v>388.00550349870724</v>
      </c>
      <c r="AL369" s="924">
        <f ca="1">AK369/'303'!I$24</f>
        <v>1.064049097761435</v>
      </c>
      <c r="AM369" s="924">
        <f ca="1">0.8*(AK369*30+'303'!D$17*0.34*30*1)</f>
        <v>17308.932083968975</v>
      </c>
      <c r="AN369" s="954">
        <f ca="1">IF(AM369&lt;User_sheet!B$50,Y369,0)</f>
        <v>0</v>
      </c>
      <c r="AO369" s="954">
        <f ca="1">20-(User_sheet!B$57/(AK369+'303'!D$17*1*0.34))</f>
        <v>12.096566134966803</v>
      </c>
      <c r="AP369" s="954">
        <f ca="1">IF(AO369&lt;User_sheet!B$59,0,BC369*AA369)</f>
        <v>0</v>
      </c>
      <c r="AR369" s="2">
        <v>0.32</v>
      </c>
      <c r="AS369" s="1020">
        <v>2.41</v>
      </c>
      <c r="AT369" s="2">
        <v>1.42</v>
      </c>
      <c r="AU369" s="2">
        <v>2</v>
      </c>
      <c r="AV369" s="2">
        <v>3.3</v>
      </c>
      <c r="AW369" s="2">
        <v>14356</v>
      </c>
      <c r="AX369" s="2">
        <v>75945.51234133933</v>
      </c>
      <c r="AY369" s="2">
        <v>62673.095488422703</v>
      </c>
      <c r="AZ369" s="27">
        <v>0</v>
      </c>
      <c r="BA369" s="27">
        <v>0</v>
      </c>
      <c r="BB369" s="2">
        <v>0.6</v>
      </c>
      <c r="BC369" s="30">
        <v>1</v>
      </c>
      <c r="BD369" s="34">
        <v>0</v>
      </c>
      <c r="BE369" s="34">
        <v>0</v>
      </c>
      <c r="BF369" s="40">
        <v>0</v>
      </c>
      <c r="BG369" s="2">
        <v>0</v>
      </c>
      <c r="BH369" s="2">
        <v>1</v>
      </c>
      <c r="BI369" s="40">
        <v>0</v>
      </c>
      <c r="BJ369" s="2">
        <v>1</v>
      </c>
      <c r="BK369" s="2">
        <v>0</v>
      </c>
      <c r="BL369" s="2">
        <v>0</v>
      </c>
      <c r="BM369" s="40">
        <v>0</v>
      </c>
      <c r="BN369" s="958">
        <v>0.1</v>
      </c>
      <c r="BO369" s="959">
        <v>14.1</v>
      </c>
      <c r="BP369" s="1018">
        <f t="shared" ca="1" si="521"/>
        <v>350</v>
      </c>
      <c r="BQ369" s="1018">
        <f t="shared" ca="1" si="522"/>
        <v>764.40000000000009</v>
      </c>
      <c r="BR369" s="1018">
        <f t="shared" ca="1" si="523"/>
        <v>105</v>
      </c>
      <c r="BS369" s="1018">
        <f t="shared" ca="1" si="524"/>
        <v>112.64999999999998</v>
      </c>
      <c r="BT369" s="1018">
        <f t="shared" ca="1" si="525"/>
        <v>105</v>
      </c>
      <c r="BU369" s="1018">
        <f t="shared" ca="1" si="526"/>
        <v>42</v>
      </c>
      <c r="BV369" s="1018">
        <f t="shared" ca="1" si="527"/>
        <v>2.15</v>
      </c>
      <c r="BW369" s="1018">
        <v>0</v>
      </c>
      <c r="BX369" s="1018">
        <f t="shared" ca="1" si="528"/>
        <v>31.834259727134924</v>
      </c>
      <c r="BY369" s="1018">
        <f t="shared" ca="1" si="529"/>
        <v>191.4933461864008</v>
      </c>
      <c r="BZ369" s="1018">
        <f t="shared" ca="1" si="471"/>
        <v>39.484538840145518</v>
      </c>
      <c r="CA369" s="1018">
        <f t="shared" ca="1" si="472"/>
        <v>83.999999966399997</v>
      </c>
      <c r="CB369" s="1018">
        <f t="shared" ca="1" si="530"/>
        <v>4.5133587786259541</v>
      </c>
      <c r="CC369" s="1018">
        <f t="shared" si="473"/>
        <v>0</v>
      </c>
      <c r="CD369" s="1018">
        <f t="shared" ca="1" si="533"/>
        <v>388.00550349870724</v>
      </c>
      <c r="CE369" s="1018">
        <f t="shared" ca="1" si="531"/>
        <v>149.97789927510865</v>
      </c>
      <c r="CF369" s="1018">
        <f t="shared" ca="1" si="474"/>
        <v>16.139502083214477</v>
      </c>
      <c r="CG369" s="1018">
        <f t="shared" ca="1" si="475"/>
        <v>26871.625388468776</v>
      </c>
    </row>
    <row r="370" spans="4:85" x14ac:dyDescent="0.25">
      <c r="D370" s="1"/>
      <c r="F370" s="1"/>
      <c r="G370" s="3"/>
      <c r="H370" s="6"/>
      <c r="I370" s="3"/>
      <c r="J370" s="3" t="s">
        <v>144</v>
      </c>
      <c r="K370" s="8"/>
      <c r="L370" s="6"/>
      <c r="M370" s="1" t="s">
        <v>16</v>
      </c>
      <c r="N370" s="4"/>
      <c r="O370" s="1" t="s">
        <v>19</v>
      </c>
      <c r="P370" s="4"/>
      <c r="Q370" s="1" t="s">
        <v>7</v>
      </c>
      <c r="R370" s="4"/>
      <c r="S370" s="1"/>
      <c r="T370" s="77"/>
      <c r="U370" s="294"/>
      <c r="X370" s="176">
        <f t="shared" si="532"/>
        <v>0</v>
      </c>
      <c r="Y370" s="34">
        <f>X370/Calculation_sheet!M$67</f>
        <v>0</v>
      </c>
      <c r="Z370" s="176">
        <f ca="1">IF(AN370&gt;0,Y370*Calculation_sheet!C$87,0)</f>
        <v>0</v>
      </c>
      <c r="AA370" s="176">
        <f t="shared" ca="1" si="476"/>
        <v>0</v>
      </c>
      <c r="AB370" s="176">
        <f ca="1">IF(AP370&gt;0,AA370*Calculation_sheet!C$94,0)</f>
        <v>0</v>
      </c>
      <c r="AC370" s="176">
        <f t="shared" ca="1" si="519"/>
        <v>0</v>
      </c>
      <c r="AD370" s="958">
        <f ca="1">AC370*Calculation_sheet!C$99</f>
        <v>0</v>
      </c>
      <c r="AE370" s="176">
        <f t="shared" ca="1" si="519"/>
        <v>0</v>
      </c>
      <c r="AF370" s="176">
        <f t="shared" ca="1" si="520"/>
        <v>0</v>
      </c>
      <c r="AG370" s="958">
        <f ca="1">AF370*User_sheet!B$77/100</f>
        <v>0</v>
      </c>
      <c r="AH370" s="313"/>
      <c r="AI370">
        <v>303</v>
      </c>
      <c r="AK370" s="1018">
        <f t="shared" ca="1" si="470"/>
        <v>388.00550349870724</v>
      </c>
      <c r="AL370" s="924">
        <f ca="1">AK370/'303'!I$24</f>
        <v>1.064049097761435</v>
      </c>
      <c r="AM370" s="924">
        <f ca="1">0.8*(AK370*30+'303'!D$17*0.34*30*1)</f>
        <v>17308.932083968975</v>
      </c>
      <c r="AN370" s="954">
        <f ca="1">IF(AM370&lt;User_sheet!B$50,Y370,0)</f>
        <v>0</v>
      </c>
      <c r="AO370" s="954">
        <f ca="1">20-(User_sheet!B$57/(AK370+'303'!D$17*1*0.34))</f>
        <v>12.096566134966803</v>
      </c>
      <c r="AP370" s="954">
        <f ca="1">IF(AO370&lt;User_sheet!B$59,0,BC370*AA370)</f>
        <v>0</v>
      </c>
      <c r="AR370" s="2">
        <v>0.32</v>
      </c>
      <c r="AS370" s="1020">
        <v>2.41</v>
      </c>
      <c r="AT370" s="2">
        <v>1.42</v>
      </c>
      <c r="AU370" s="2">
        <v>2</v>
      </c>
      <c r="AV370" s="2">
        <v>3.3</v>
      </c>
      <c r="AW370" s="2">
        <v>14356</v>
      </c>
      <c r="AX370" s="2">
        <v>75945.51234133933</v>
      </c>
      <c r="AY370" s="2">
        <v>62673.095488422703</v>
      </c>
      <c r="AZ370" s="27">
        <v>0</v>
      </c>
      <c r="BA370" s="27">
        <v>0</v>
      </c>
      <c r="BB370" s="2">
        <v>0.6</v>
      </c>
      <c r="BC370" s="30">
        <v>1</v>
      </c>
      <c r="BD370" s="34">
        <v>0</v>
      </c>
      <c r="BE370" s="34">
        <v>0</v>
      </c>
      <c r="BF370" s="40">
        <v>0</v>
      </c>
      <c r="BG370" s="2">
        <v>0</v>
      </c>
      <c r="BH370" s="2">
        <v>1</v>
      </c>
      <c r="BI370" s="40">
        <v>0</v>
      </c>
      <c r="BJ370" s="2">
        <v>0</v>
      </c>
      <c r="BK370" s="2">
        <v>0</v>
      </c>
      <c r="BL370" s="2">
        <v>1</v>
      </c>
      <c r="BM370" s="40">
        <v>0</v>
      </c>
      <c r="BN370" s="958">
        <v>0.1</v>
      </c>
      <c r="BO370" s="959">
        <v>14.1</v>
      </c>
      <c r="BP370" s="1018">
        <f t="shared" ca="1" si="521"/>
        <v>350</v>
      </c>
      <c r="BQ370" s="1018">
        <f t="shared" ca="1" si="522"/>
        <v>764.40000000000009</v>
      </c>
      <c r="BR370" s="1018">
        <f t="shared" ca="1" si="523"/>
        <v>105</v>
      </c>
      <c r="BS370" s="1018">
        <f t="shared" ca="1" si="524"/>
        <v>112.64999999999998</v>
      </c>
      <c r="BT370" s="1018">
        <f t="shared" ca="1" si="525"/>
        <v>105</v>
      </c>
      <c r="BU370" s="1018">
        <f t="shared" ca="1" si="526"/>
        <v>42</v>
      </c>
      <c r="BV370" s="1018">
        <f t="shared" ca="1" si="527"/>
        <v>2.15</v>
      </c>
      <c r="BW370" s="1018">
        <v>0</v>
      </c>
      <c r="BX370" s="1018">
        <f t="shared" ca="1" si="528"/>
        <v>31.834259727134924</v>
      </c>
      <c r="BY370" s="1018">
        <f t="shared" ca="1" si="529"/>
        <v>191.4933461864008</v>
      </c>
      <c r="BZ370" s="1018">
        <f t="shared" ca="1" si="471"/>
        <v>39.484538840145518</v>
      </c>
      <c r="CA370" s="1018">
        <f t="shared" ca="1" si="472"/>
        <v>83.999999966399997</v>
      </c>
      <c r="CB370" s="1018">
        <f t="shared" ca="1" si="530"/>
        <v>4.5133587786259541</v>
      </c>
      <c r="CC370" s="1018">
        <f t="shared" si="473"/>
        <v>0</v>
      </c>
      <c r="CD370" s="1018">
        <f t="shared" ca="1" si="533"/>
        <v>388.00550349870724</v>
      </c>
      <c r="CE370" s="1018">
        <f t="shared" ca="1" si="531"/>
        <v>149.97789927510865</v>
      </c>
      <c r="CF370" s="1018">
        <f t="shared" ca="1" si="474"/>
        <v>16.139502083214477</v>
      </c>
      <c r="CG370" s="1018">
        <f t="shared" ca="1" si="475"/>
        <v>26871.625388468776</v>
      </c>
    </row>
    <row r="371" spans="4:85" x14ac:dyDescent="0.25">
      <c r="D371" s="1"/>
      <c r="F371" s="1"/>
      <c r="G371" s="3"/>
      <c r="H371" s="6"/>
      <c r="I371" s="3"/>
      <c r="J371" s="6" t="s">
        <v>190</v>
      </c>
      <c r="K371" s="8"/>
      <c r="L371" s="6"/>
      <c r="M371" s="1"/>
      <c r="N371" s="1"/>
      <c r="O371" s="1"/>
      <c r="P371" s="1"/>
      <c r="Q371" s="1" t="s">
        <v>22</v>
      </c>
      <c r="R371" s="4"/>
      <c r="S371" s="1"/>
      <c r="T371" s="77"/>
      <c r="U371" s="294"/>
      <c r="X371" s="176">
        <f t="shared" si="532"/>
        <v>0</v>
      </c>
      <c r="Y371" s="34">
        <f>X371/Calculation_sheet!M$67</f>
        <v>0</v>
      </c>
      <c r="Z371" s="176">
        <f ca="1">IF(AN371&gt;0,Y371*Calculation_sheet!C$87,0)</f>
        <v>0</v>
      </c>
      <c r="AA371" s="176">
        <f t="shared" ca="1" si="476"/>
        <v>0</v>
      </c>
      <c r="AB371" s="176">
        <f ca="1">IF(AP371&gt;0,AA371*Calculation_sheet!C$94,0)</f>
        <v>0</v>
      </c>
      <c r="AC371" s="176">
        <f t="shared" ca="1" si="519"/>
        <v>0</v>
      </c>
      <c r="AD371" s="958">
        <f ca="1">AC371*Calculation_sheet!C$99</f>
        <v>0</v>
      </c>
      <c r="AE371" s="176">
        <f t="shared" ca="1" si="519"/>
        <v>0</v>
      </c>
      <c r="AF371" s="176">
        <f t="shared" ca="1" si="520"/>
        <v>0</v>
      </c>
      <c r="AG371" s="958">
        <f ca="1">AF371*User_sheet!B$77/100</f>
        <v>0</v>
      </c>
      <c r="AH371" s="313"/>
      <c r="AI371">
        <v>303</v>
      </c>
      <c r="AK371" s="1018">
        <f t="shared" ca="1" si="470"/>
        <v>388.00550349870724</v>
      </c>
      <c r="AL371" s="924">
        <f ca="1">AK371/'303'!I$24</f>
        <v>1.064049097761435</v>
      </c>
      <c r="AM371" s="924">
        <f ca="1">0.8*(AK371*30+'303'!D$17*0.34*30*1)</f>
        <v>17308.932083968975</v>
      </c>
      <c r="AN371" s="954">
        <f ca="1">IF(AM371&lt;User_sheet!B$50,Y371,0)</f>
        <v>0</v>
      </c>
      <c r="AO371" s="954">
        <f ca="1">20-(User_sheet!B$57/(AK371+'303'!D$17*1*0.34))</f>
        <v>12.096566134966803</v>
      </c>
      <c r="AP371" s="954">
        <f ca="1">IF(AO371&lt;User_sheet!B$59,0,BC371*AA371)</f>
        <v>0</v>
      </c>
      <c r="AR371" s="2">
        <v>0.32</v>
      </c>
      <c r="AS371" s="1020">
        <v>2.41</v>
      </c>
      <c r="AT371" s="2">
        <v>1.42</v>
      </c>
      <c r="AU371" s="2">
        <v>2</v>
      </c>
      <c r="AV371" s="2">
        <v>3.3</v>
      </c>
      <c r="AW371" s="2">
        <v>14356</v>
      </c>
      <c r="AX371" s="2">
        <v>75945.51234133933</v>
      </c>
      <c r="AY371" s="2">
        <v>62673.095488422703</v>
      </c>
      <c r="AZ371" s="27">
        <v>0</v>
      </c>
      <c r="BA371" s="27">
        <v>0</v>
      </c>
      <c r="BB371" s="2">
        <v>0.6</v>
      </c>
      <c r="BC371" s="30">
        <v>0</v>
      </c>
      <c r="BD371" s="34">
        <v>1</v>
      </c>
      <c r="BE371" s="34">
        <v>0</v>
      </c>
      <c r="BF371" s="40">
        <v>0</v>
      </c>
      <c r="BG371" s="2">
        <v>1</v>
      </c>
      <c r="BH371" s="2">
        <v>0</v>
      </c>
      <c r="BI371" s="40">
        <v>0</v>
      </c>
      <c r="BJ371" s="2">
        <v>0</v>
      </c>
      <c r="BK371" s="2">
        <v>1</v>
      </c>
      <c r="BL371" s="2">
        <v>0</v>
      </c>
      <c r="BM371" s="40">
        <v>0</v>
      </c>
      <c r="BN371" s="958">
        <v>0.1</v>
      </c>
      <c r="BO371" s="959">
        <v>14.1</v>
      </c>
      <c r="BP371" s="1018">
        <f t="shared" ca="1" si="521"/>
        <v>350</v>
      </c>
      <c r="BQ371" s="1018">
        <f t="shared" ca="1" si="522"/>
        <v>764.40000000000009</v>
      </c>
      <c r="BR371" s="1018">
        <f t="shared" ca="1" si="523"/>
        <v>105</v>
      </c>
      <c r="BS371" s="1018">
        <f t="shared" ca="1" si="524"/>
        <v>112.64999999999998</v>
      </c>
      <c r="BT371" s="1018">
        <f t="shared" ca="1" si="525"/>
        <v>105</v>
      </c>
      <c r="BU371" s="1018">
        <f t="shared" ca="1" si="526"/>
        <v>42</v>
      </c>
      <c r="BV371" s="1018">
        <f t="shared" ca="1" si="527"/>
        <v>2.15</v>
      </c>
      <c r="BW371" s="1018">
        <v>0</v>
      </c>
      <c r="BX371" s="1018">
        <f t="shared" ca="1" si="528"/>
        <v>31.834259727134924</v>
      </c>
      <c r="BY371" s="1018">
        <f t="shared" ca="1" si="529"/>
        <v>191.4933461864008</v>
      </c>
      <c r="BZ371" s="1018">
        <f t="shared" ca="1" si="471"/>
        <v>39.484538840145518</v>
      </c>
      <c r="CA371" s="1018">
        <f t="shared" ca="1" si="472"/>
        <v>83.999999966399997</v>
      </c>
      <c r="CB371" s="1018">
        <f t="shared" ca="1" si="530"/>
        <v>4.5133587786259541</v>
      </c>
      <c r="CC371" s="1018">
        <f t="shared" si="473"/>
        <v>0</v>
      </c>
      <c r="CD371" s="1018">
        <f t="shared" ca="1" si="533"/>
        <v>388.00550349870724</v>
      </c>
      <c r="CE371" s="1018">
        <f t="shared" ca="1" si="531"/>
        <v>149.97789927510865</v>
      </c>
      <c r="CF371" s="1018">
        <f t="shared" ca="1" si="474"/>
        <v>16.139502083214477</v>
      </c>
      <c r="CG371" s="1018">
        <f t="shared" ca="1" si="475"/>
        <v>26871.625388468776</v>
      </c>
    </row>
    <row r="372" spans="4:85" x14ac:dyDescent="0.25">
      <c r="D372" s="1"/>
      <c r="F372" s="1"/>
      <c r="G372" s="3"/>
      <c r="H372" s="6"/>
      <c r="I372" s="3"/>
      <c r="K372" s="8"/>
      <c r="L372" s="6"/>
      <c r="M372" s="1"/>
      <c r="N372" s="1"/>
      <c r="O372" s="1" t="s">
        <v>18</v>
      </c>
      <c r="P372" s="4"/>
      <c r="Q372" s="1" t="s">
        <v>7</v>
      </c>
      <c r="R372" s="4"/>
      <c r="S372" s="1"/>
      <c r="T372" s="77"/>
      <c r="U372" s="294"/>
      <c r="X372" s="176">
        <f t="shared" si="532"/>
        <v>0</v>
      </c>
      <c r="Y372" s="34">
        <f>X372/Calculation_sheet!M$67</f>
        <v>0</v>
      </c>
      <c r="Z372" s="176">
        <f ca="1">IF(AN372&gt;0,Y372*Calculation_sheet!C$87,0)</f>
        <v>0</v>
      </c>
      <c r="AA372" s="176">
        <f t="shared" ca="1" si="476"/>
        <v>0</v>
      </c>
      <c r="AB372" s="176">
        <f ca="1">IF(AP372&gt;0,AA372*Calculation_sheet!C$94,0)</f>
        <v>0</v>
      </c>
      <c r="AC372" s="176">
        <f t="shared" ca="1" si="519"/>
        <v>0</v>
      </c>
      <c r="AD372" s="958">
        <f ca="1">AC372*Calculation_sheet!C$99</f>
        <v>0</v>
      </c>
      <c r="AE372" s="176">
        <f t="shared" ca="1" si="519"/>
        <v>0</v>
      </c>
      <c r="AF372" s="176">
        <f t="shared" ca="1" si="520"/>
        <v>0</v>
      </c>
      <c r="AG372" s="958">
        <f ca="1">AF372*User_sheet!B$77/100</f>
        <v>0</v>
      </c>
      <c r="AH372" s="313"/>
      <c r="AI372">
        <v>303</v>
      </c>
      <c r="AK372" s="1018">
        <f t="shared" ca="1" si="470"/>
        <v>388.00550349870724</v>
      </c>
      <c r="AL372" s="924">
        <f ca="1">AK372/'303'!I$24</f>
        <v>1.064049097761435</v>
      </c>
      <c r="AM372" s="924">
        <f ca="1">0.8*(AK372*30+'303'!D$17*0.34*30*1)</f>
        <v>17308.932083968975</v>
      </c>
      <c r="AN372" s="954">
        <f ca="1">IF(AM372&lt;User_sheet!B$50,Y372,0)</f>
        <v>0</v>
      </c>
      <c r="AO372" s="954">
        <f ca="1">20-(User_sheet!B$57/(AK372+'303'!D$17*1*0.34))</f>
        <v>12.096566134966803</v>
      </c>
      <c r="AP372" s="954">
        <f ca="1">IF(AO372&lt;User_sheet!B$59,0,BC372*AA372)</f>
        <v>0</v>
      </c>
      <c r="AR372" s="2">
        <v>0.32</v>
      </c>
      <c r="AS372" s="1020">
        <v>2.41</v>
      </c>
      <c r="AT372" s="2">
        <v>1.42</v>
      </c>
      <c r="AU372" s="2">
        <v>2</v>
      </c>
      <c r="AV372" s="2">
        <v>3.3</v>
      </c>
      <c r="AW372" s="2">
        <v>14356</v>
      </c>
      <c r="AX372" s="2">
        <v>75945.51234133933</v>
      </c>
      <c r="AY372" s="2">
        <v>62673.095488422703</v>
      </c>
      <c r="AZ372" s="27">
        <v>0</v>
      </c>
      <c r="BA372" s="27">
        <v>0</v>
      </c>
      <c r="BB372" s="2">
        <v>0.6</v>
      </c>
      <c r="BC372" s="30">
        <v>0</v>
      </c>
      <c r="BD372" s="34">
        <v>1</v>
      </c>
      <c r="BE372" s="34">
        <v>0</v>
      </c>
      <c r="BF372" s="40">
        <v>0</v>
      </c>
      <c r="BG372" s="2">
        <v>1</v>
      </c>
      <c r="BH372" s="2">
        <v>0</v>
      </c>
      <c r="BI372" s="40">
        <v>0</v>
      </c>
      <c r="BJ372" s="2">
        <v>0</v>
      </c>
      <c r="BK372" s="2">
        <v>0</v>
      </c>
      <c r="BL372" s="2">
        <v>1</v>
      </c>
      <c r="BM372" s="40">
        <v>0</v>
      </c>
      <c r="BN372" s="958">
        <v>0.1</v>
      </c>
      <c r="BO372" s="959">
        <v>14.1</v>
      </c>
      <c r="BP372" s="1018">
        <f t="shared" ca="1" si="521"/>
        <v>350</v>
      </c>
      <c r="BQ372" s="1018">
        <f t="shared" ca="1" si="522"/>
        <v>764.40000000000009</v>
      </c>
      <c r="BR372" s="1018">
        <f t="shared" ca="1" si="523"/>
        <v>105</v>
      </c>
      <c r="BS372" s="1018">
        <f t="shared" ca="1" si="524"/>
        <v>112.64999999999998</v>
      </c>
      <c r="BT372" s="1018">
        <f t="shared" ca="1" si="525"/>
        <v>105</v>
      </c>
      <c r="BU372" s="1018">
        <f t="shared" ca="1" si="526"/>
        <v>42</v>
      </c>
      <c r="BV372" s="1018">
        <f t="shared" ca="1" si="527"/>
        <v>2.15</v>
      </c>
      <c r="BW372" s="1018">
        <v>0</v>
      </c>
      <c r="BX372" s="1018">
        <f t="shared" ca="1" si="528"/>
        <v>31.834259727134924</v>
      </c>
      <c r="BY372" s="1018">
        <f t="shared" ca="1" si="529"/>
        <v>191.4933461864008</v>
      </c>
      <c r="BZ372" s="1018">
        <f t="shared" ca="1" si="471"/>
        <v>39.484538840145518</v>
      </c>
      <c r="CA372" s="1018">
        <f t="shared" ca="1" si="472"/>
        <v>83.999999966399997</v>
      </c>
      <c r="CB372" s="1018">
        <f t="shared" ca="1" si="530"/>
        <v>4.5133587786259541</v>
      </c>
      <c r="CC372" s="1018">
        <f t="shared" si="473"/>
        <v>0</v>
      </c>
      <c r="CD372" s="1018">
        <f t="shared" ca="1" si="533"/>
        <v>388.00550349870724</v>
      </c>
      <c r="CE372" s="1018">
        <f t="shared" ca="1" si="531"/>
        <v>149.97789927510865</v>
      </c>
      <c r="CF372" s="1018">
        <f t="shared" ca="1" si="474"/>
        <v>16.139502083214477</v>
      </c>
      <c r="CG372" s="1018">
        <f t="shared" ca="1" si="475"/>
        <v>26871.625388468776</v>
      </c>
    </row>
    <row r="373" spans="4:85" x14ac:dyDescent="0.25">
      <c r="D373" s="1"/>
      <c r="F373" s="1"/>
      <c r="G373" s="3"/>
      <c r="H373" s="6"/>
      <c r="I373" s="3"/>
      <c r="K373" s="8"/>
      <c r="L373" s="6"/>
      <c r="M373" s="1"/>
      <c r="N373" s="1"/>
      <c r="O373" s="1"/>
      <c r="P373" s="1"/>
      <c r="Q373" s="1" t="s">
        <v>22</v>
      </c>
      <c r="R373" s="4"/>
      <c r="S373" s="1"/>
      <c r="T373" s="77"/>
      <c r="U373" s="294"/>
      <c r="X373" s="176">
        <f t="shared" si="532"/>
        <v>0</v>
      </c>
      <c r="Y373" s="34">
        <f>X373/Calculation_sheet!M$67</f>
        <v>0</v>
      </c>
      <c r="Z373" s="176">
        <f ca="1">IF(AN373&gt;0,Y373*Calculation_sheet!C$87,0)</f>
        <v>0</v>
      </c>
      <c r="AA373" s="176">
        <f t="shared" ca="1" si="476"/>
        <v>0</v>
      </c>
      <c r="AB373" s="176">
        <f ca="1">IF(AP373&gt;0,AA373*Calculation_sheet!C$94,0)</f>
        <v>0</v>
      </c>
      <c r="AC373" s="176">
        <f t="shared" ca="1" si="519"/>
        <v>0</v>
      </c>
      <c r="AD373" s="958">
        <f ca="1">AC373*Calculation_sheet!C$99</f>
        <v>0</v>
      </c>
      <c r="AE373" s="176">
        <f t="shared" ca="1" si="519"/>
        <v>0</v>
      </c>
      <c r="AF373" s="176">
        <f t="shared" ca="1" si="520"/>
        <v>0</v>
      </c>
      <c r="AG373" s="958">
        <f ca="1">AF373*User_sheet!B$77/100</f>
        <v>0</v>
      </c>
      <c r="AH373" s="313"/>
      <c r="AI373">
        <v>303</v>
      </c>
      <c r="AK373" s="1018">
        <f t="shared" ca="1" si="470"/>
        <v>388.00550349870724</v>
      </c>
      <c r="AL373" s="924">
        <f ca="1">AK373/'303'!I$24</f>
        <v>1.064049097761435</v>
      </c>
      <c r="AM373" s="924">
        <f ca="1">0.8*(AK373*30+'303'!D$17*0.34*30*1)</f>
        <v>17308.932083968975</v>
      </c>
      <c r="AN373" s="954">
        <f ca="1">IF(AM373&lt;User_sheet!B$50,Y373,0)</f>
        <v>0</v>
      </c>
      <c r="AO373" s="954">
        <f ca="1">20-(User_sheet!B$57/(AK373+'303'!D$17*1*0.34))</f>
        <v>12.096566134966803</v>
      </c>
      <c r="AP373" s="954">
        <f ca="1">IF(AO373&lt;User_sheet!B$59,0,BC373*AA373)</f>
        <v>0</v>
      </c>
      <c r="AR373" s="2">
        <v>0.32</v>
      </c>
      <c r="AS373" s="1020">
        <v>2.41</v>
      </c>
      <c r="AT373" s="2">
        <v>1.42</v>
      </c>
      <c r="AU373" s="2">
        <v>2</v>
      </c>
      <c r="AV373" s="2">
        <v>3.3</v>
      </c>
      <c r="AW373" s="2">
        <v>14356</v>
      </c>
      <c r="AX373" s="2">
        <v>75945.51234133933</v>
      </c>
      <c r="AY373" s="2">
        <v>62673.095488422703</v>
      </c>
      <c r="AZ373" s="27">
        <v>0</v>
      </c>
      <c r="BA373" s="27">
        <v>0</v>
      </c>
      <c r="BB373" s="2">
        <v>0.6</v>
      </c>
      <c r="BC373" s="30">
        <v>0</v>
      </c>
      <c r="BD373" s="34">
        <v>1</v>
      </c>
      <c r="BE373" s="34">
        <v>0</v>
      </c>
      <c r="BF373" s="40">
        <v>0</v>
      </c>
      <c r="BG373" s="2">
        <v>0</v>
      </c>
      <c r="BH373" s="2">
        <v>1</v>
      </c>
      <c r="BI373" s="40">
        <v>0</v>
      </c>
      <c r="BJ373" s="2">
        <v>0</v>
      </c>
      <c r="BK373" s="2">
        <v>1</v>
      </c>
      <c r="BL373" s="2">
        <v>0</v>
      </c>
      <c r="BM373" s="40">
        <v>0</v>
      </c>
      <c r="BN373" s="958">
        <v>0.1</v>
      </c>
      <c r="BO373" s="959">
        <v>14.1</v>
      </c>
      <c r="BP373" s="1018">
        <f t="shared" ca="1" si="521"/>
        <v>350</v>
      </c>
      <c r="BQ373" s="1018">
        <f t="shared" ca="1" si="522"/>
        <v>764.40000000000009</v>
      </c>
      <c r="BR373" s="1018">
        <f t="shared" ca="1" si="523"/>
        <v>105</v>
      </c>
      <c r="BS373" s="1018">
        <f t="shared" ca="1" si="524"/>
        <v>112.64999999999998</v>
      </c>
      <c r="BT373" s="1018">
        <f t="shared" ca="1" si="525"/>
        <v>105</v>
      </c>
      <c r="BU373" s="1018">
        <f t="shared" ca="1" si="526"/>
        <v>42</v>
      </c>
      <c r="BV373" s="1018">
        <f t="shared" ca="1" si="527"/>
        <v>2.15</v>
      </c>
      <c r="BW373" s="1018">
        <v>0</v>
      </c>
      <c r="BX373" s="1018">
        <f t="shared" ca="1" si="528"/>
        <v>31.834259727134924</v>
      </c>
      <c r="BY373" s="1018">
        <f t="shared" ca="1" si="529"/>
        <v>191.4933461864008</v>
      </c>
      <c r="BZ373" s="1018">
        <f t="shared" ca="1" si="471"/>
        <v>39.484538840145518</v>
      </c>
      <c r="CA373" s="1018">
        <f t="shared" ca="1" si="472"/>
        <v>83.999999966399997</v>
      </c>
      <c r="CB373" s="1018">
        <f t="shared" ca="1" si="530"/>
        <v>4.5133587786259541</v>
      </c>
      <c r="CC373" s="1018">
        <f t="shared" si="473"/>
        <v>0</v>
      </c>
      <c r="CD373" s="1018">
        <f t="shared" ca="1" si="533"/>
        <v>388.00550349870724</v>
      </c>
      <c r="CE373" s="1018">
        <f t="shared" ca="1" si="531"/>
        <v>149.97789927510865</v>
      </c>
      <c r="CF373" s="1018">
        <f t="shared" ca="1" si="474"/>
        <v>16.139502083214477</v>
      </c>
      <c r="CG373" s="1018">
        <f t="shared" ca="1" si="475"/>
        <v>26871.625388468776</v>
      </c>
    </row>
    <row r="374" spans="4:85" x14ac:dyDescent="0.25">
      <c r="D374" s="1"/>
      <c r="F374" s="1"/>
      <c r="G374" s="3"/>
      <c r="H374" s="6"/>
      <c r="I374" s="3"/>
      <c r="J374" s="6"/>
      <c r="K374" s="8"/>
      <c r="L374" s="3"/>
      <c r="M374" s="1" t="s">
        <v>22</v>
      </c>
      <c r="N374" s="4"/>
      <c r="O374" s="1" t="s">
        <v>20</v>
      </c>
      <c r="P374" s="4"/>
      <c r="Q374" s="1" t="s">
        <v>7</v>
      </c>
      <c r="R374" s="4"/>
      <c r="S374" s="1"/>
      <c r="T374" s="77"/>
      <c r="U374" s="294"/>
      <c r="X374" s="176">
        <f t="shared" si="532"/>
        <v>0</v>
      </c>
      <c r="Y374" s="34">
        <f>X374/Calculation_sheet!M$67</f>
        <v>0</v>
      </c>
      <c r="Z374" s="176">
        <f ca="1">IF(AN374&gt;0,Y374*Calculation_sheet!C$87,0)</f>
        <v>0</v>
      </c>
      <c r="AA374" s="176">
        <f t="shared" ca="1" si="476"/>
        <v>0</v>
      </c>
      <c r="AB374" s="176">
        <f ca="1">IF(AP374&gt;0,AA374*Calculation_sheet!C$94,0)</f>
        <v>0</v>
      </c>
      <c r="AC374" s="176">
        <f t="shared" ca="1" si="519"/>
        <v>0</v>
      </c>
      <c r="AD374" s="958">
        <f ca="1">AC374*Calculation_sheet!C$99</f>
        <v>0</v>
      </c>
      <c r="AE374" s="176">
        <f t="shared" ca="1" si="519"/>
        <v>0</v>
      </c>
      <c r="AF374" s="176">
        <f t="shared" ca="1" si="520"/>
        <v>0</v>
      </c>
      <c r="AG374" s="958">
        <f ca="1">AF374*User_sheet!B$77/100</f>
        <v>0</v>
      </c>
      <c r="AH374" s="313"/>
      <c r="AI374">
        <v>303</v>
      </c>
      <c r="AK374" s="1018">
        <f t="shared" ca="1" si="470"/>
        <v>388.00550349870724</v>
      </c>
      <c r="AL374" s="924">
        <f ca="1">AK374/'303'!I$24</f>
        <v>1.064049097761435</v>
      </c>
      <c r="AM374" s="924">
        <f ca="1">0.8*(AK374*30+'303'!D$17*0.34*30*1)</f>
        <v>17308.932083968975</v>
      </c>
      <c r="AN374" s="954">
        <f ca="1">IF(AM374&lt;User_sheet!B$50,Y374,0)</f>
        <v>0</v>
      </c>
      <c r="AO374" s="954">
        <f ca="1">20-(User_sheet!B$57/(AK374+'303'!D$17*1*0.34))</f>
        <v>12.096566134966803</v>
      </c>
      <c r="AP374" s="954">
        <f ca="1">IF(AO374&lt;User_sheet!B$59,0,BC374*AA374)</f>
        <v>0</v>
      </c>
      <c r="AR374" s="2">
        <v>0.32</v>
      </c>
      <c r="AS374" s="1020">
        <v>2.41</v>
      </c>
      <c r="AT374" s="2">
        <v>1.42</v>
      </c>
      <c r="AU374" s="2">
        <v>2</v>
      </c>
      <c r="AV374" s="2">
        <v>3.3</v>
      </c>
      <c r="AW374" s="2">
        <v>14356</v>
      </c>
      <c r="AX374" s="2">
        <v>75945.51234133933</v>
      </c>
      <c r="AY374" s="2">
        <v>62673.095488422703</v>
      </c>
      <c r="AZ374" s="27">
        <v>0</v>
      </c>
      <c r="BA374" s="27">
        <v>0</v>
      </c>
      <c r="BB374" s="2">
        <v>0.6</v>
      </c>
      <c r="BC374" s="30">
        <v>0</v>
      </c>
      <c r="BD374" s="34">
        <v>1</v>
      </c>
      <c r="BE374" s="34">
        <v>0</v>
      </c>
      <c r="BF374" s="40">
        <v>0</v>
      </c>
      <c r="BG374" s="2">
        <v>0</v>
      </c>
      <c r="BH374" s="2">
        <v>1</v>
      </c>
      <c r="BI374" s="40">
        <v>0</v>
      </c>
      <c r="BJ374" s="2">
        <v>0</v>
      </c>
      <c r="BK374" s="2">
        <v>0</v>
      </c>
      <c r="BL374" s="2">
        <v>1</v>
      </c>
      <c r="BM374" s="40">
        <v>0</v>
      </c>
      <c r="BN374" s="958">
        <v>0.1</v>
      </c>
      <c r="BO374" s="959">
        <v>14.1</v>
      </c>
      <c r="BP374" s="1018">
        <f t="shared" ca="1" si="521"/>
        <v>350</v>
      </c>
      <c r="BQ374" s="1018">
        <f t="shared" ca="1" si="522"/>
        <v>764.40000000000009</v>
      </c>
      <c r="BR374" s="1018">
        <f t="shared" ca="1" si="523"/>
        <v>105</v>
      </c>
      <c r="BS374" s="1018">
        <f t="shared" ca="1" si="524"/>
        <v>112.64999999999998</v>
      </c>
      <c r="BT374" s="1018">
        <f t="shared" ca="1" si="525"/>
        <v>105</v>
      </c>
      <c r="BU374" s="1018">
        <f t="shared" ca="1" si="526"/>
        <v>42</v>
      </c>
      <c r="BV374" s="1018">
        <f t="shared" ca="1" si="527"/>
        <v>2.15</v>
      </c>
      <c r="BW374" s="1018">
        <v>0</v>
      </c>
      <c r="BX374" s="1018">
        <f t="shared" ca="1" si="528"/>
        <v>31.834259727134924</v>
      </c>
      <c r="BY374" s="1018">
        <f t="shared" ca="1" si="529"/>
        <v>191.4933461864008</v>
      </c>
      <c r="BZ374" s="1018">
        <f t="shared" ca="1" si="471"/>
        <v>39.484538840145518</v>
      </c>
      <c r="CA374" s="1018">
        <f t="shared" ca="1" si="472"/>
        <v>83.999999966399997</v>
      </c>
      <c r="CB374" s="1018">
        <f t="shared" ca="1" si="530"/>
        <v>4.5133587786259541</v>
      </c>
      <c r="CC374" s="1018">
        <f t="shared" si="473"/>
        <v>0</v>
      </c>
      <c r="CD374" s="1018">
        <f t="shared" ca="1" si="533"/>
        <v>388.00550349870724</v>
      </c>
      <c r="CE374" s="1018">
        <f t="shared" ca="1" si="531"/>
        <v>149.97789927510865</v>
      </c>
      <c r="CF374" s="1018">
        <f t="shared" ca="1" si="474"/>
        <v>16.139502083214477</v>
      </c>
      <c r="CG374" s="1018">
        <f t="shared" ca="1" si="475"/>
        <v>26871.625388468776</v>
      </c>
    </row>
    <row r="375" spans="4:85" x14ac:dyDescent="0.25">
      <c r="D375" s="1"/>
      <c r="F375" s="1"/>
      <c r="G375" s="3"/>
      <c r="H375" s="6"/>
      <c r="I375" s="3"/>
      <c r="J375" s="6"/>
      <c r="K375" s="8"/>
      <c r="L375" s="7"/>
      <c r="M375" s="1" t="s">
        <v>7</v>
      </c>
      <c r="N375" s="4"/>
      <c r="O375" s="1" t="s">
        <v>23</v>
      </c>
      <c r="P375" s="4"/>
      <c r="Q375" s="1" t="s">
        <v>7</v>
      </c>
      <c r="R375" s="4"/>
      <c r="S375" s="1"/>
      <c r="T375" s="77"/>
      <c r="U375" s="294"/>
      <c r="X375" s="176">
        <f t="shared" si="532"/>
        <v>0</v>
      </c>
      <c r="Y375" s="34">
        <f>X375/Calculation_sheet!M$67</f>
        <v>0</v>
      </c>
      <c r="Z375" s="176">
        <f ca="1">IF(AN375&gt;0,Y375*Calculation_sheet!C$87,0)</f>
        <v>0</v>
      </c>
      <c r="AA375" s="176">
        <f t="shared" ca="1" si="476"/>
        <v>0</v>
      </c>
      <c r="AB375" s="176">
        <f ca="1">IF(AP375&gt;0,AA375*Calculation_sheet!C$94,0)</f>
        <v>0</v>
      </c>
      <c r="AC375" s="176">
        <f t="shared" ca="1" si="519"/>
        <v>0</v>
      </c>
      <c r="AD375" s="958">
        <f ca="1">AC375*Calculation_sheet!C$99</f>
        <v>0</v>
      </c>
      <c r="AE375" s="176">
        <f t="shared" ca="1" si="519"/>
        <v>0</v>
      </c>
      <c r="AF375" s="176">
        <f t="shared" ca="1" si="520"/>
        <v>0</v>
      </c>
      <c r="AG375" s="958">
        <f ca="1">AF375*User_sheet!B$77/100</f>
        <v>0</v>
      </c>
      <c r="AH375" s="313"/>
      <c r="AI375">
        <v>303</v>
      </c>
      <c r="AK375" s="1018">
        <f t="shared" ca="1" si="470"/>
        <v>388.00550349870724</v>
      </c>
      <c r="AL375" s="924">
        <f ca="1">AK375/'303'!I$24</f>
        <v>1.064049097761435</v>
      </c>
      <c r="AM375" s="924">
        <f ca="1">0.8*(AK375*30+'303'!D$17*0.34*30*1)</f>
        <v>17308.932083968975</v>
      </c>
      <c r="AN375" s="954">
        <f ca="1">IF(AM375&lt;User_sheet!B$50,Y375,0)</f>
        <v>0</v>
      </c>
      <c r="AO375" s="954">
        <f ca="1">20-(User_sheet!B$57/(AK375+'303'!D$17*1*0.34))</f>
        <v>12.096566134966803</v>
      </c>
      <c r="AP375" s="954">
        <f ca="1">IF(AO375&lt;User_sheet!B$59,0,BC375*AA375)</f>
        <v>0</v>
      </c>
      <c r="AR375" s="2">
        <v>0.32</v>
      </c>
      <c r="AS375" s="1020">
        <v>2.41</v>
      </c>
      <c r="AT375" s="2">
        <v>1.42</v>
      </c>
      <c r="AU375" s="2">
        <v>2</v>
      </c>
      <c r="AV375" s="2">
        <v>3.3</v>
      </c>
      <c r="AW375" s="2">
        <v>14356</v>
      </c>
      <c r="AX375" s="2">
        <v>75945.51234133933</v>
      </c>
      <c r="AY375" s="2">
        <v>62673.095488422703</v>
      </c>
      <c r="AZ375" s="27">
        <v>0</v>
      </c>
      <c r="BA375" s="27">
        <v>0</v>
      </c>
      <c r="BB375" s="2">
        <v>0.6</v>
      </c>
      <c r="BC375" s="30">
        <v>0</v>
      </c>
      <c r="BD375" s="34">
        <v>0</v>
      </c>
      <c r="BE375" s="34">
        <v>1</v>
      </c>
      <c r="BF375" s="40">
        <v>0</v>
      </c>
      <c r="BG375" s="2">
        <v>0</v>
      </c>
      <c r="BH375" s="2">
        <v>0</v>
      </c>
      <c r="BI375" s="40">
        <v>1</v>
      </c>
      <c r="BJ375" s="2">
        <v>0</v>
      </c>
      <c r="BK375" s="2">
        <v>0</v>
      </c>
      <c r="BL375" s="2">
        <v>1</v>
      </c>
      <c r="BM375" s="40">
        <v>0</v>
      </c>
      <c r="BN375" s="958">
        <v>0.1</v>
      </c>
      <c r="BO375" s="959">
        <v>14.1</v>
      </c>
      <c r="BP375" s="1018">
        <f t="shared" ca="1" si="521"/>
        <v>350</v>
      </c>
      <c r="BQ375" s="1018">
        <f t="shared" ca="1" si="522"/>
        <v>764.40000000000009</v>
      </c>
      <c r="BR375" s="1018">
        <f t="shared" ca="1" si="523"/>
        <v>105</v>
      </c>
      <c r="BS375" s="1018">
        <f t="shared" ca="1" si="524"/>
        <v>112.64999999999998</v>
      </c>
      <c r="BT375" s="1018">
        <f t="shared" ca="1" si="525"/>
        <v>105</v>
      </c>
      <c r="BU375" s="1018">
        <f t="shared" ca="1" si="526"/>
        <v>42</v>
      </c>
      <c r="BV375" s="1018">
        <f t="shared" ca="1" si="527"/>
        <v>2.15</v>
      </c>
      <c r="BW375" s="1018">
        <v>0</v>
      </c>
      <c r="BX375" s="1018">
        <f t="shared" ca="1" si="528"/>
        <v>31.834259727134924</v>
      </c>
      <c r="BY375" s="1018">
        <f t="shared" ca="1" si="529"/>
        <v>191.4933461864008</v>
      </c>
      <c r="BZ375" s="1018">
        <f t="shared" ca="1" si="471"/>
        <v>39.484538840145518</v>
      </c>
      <c r="CA375" s="1018">
        <f t="shared" ca="1" si="472"/>
        <v>83.999999966399997</v>
      </c>
      <c r="CB375" s="1018">
        <f t="shared" ca="1" si="530"/>
        <v>4.5133587786259541</v>
      </c>
      <c r="CC375" s="1018">
        <f t="shared" si="473"/>
        <v>0</v>
      </c>
      <c r="CD375" s="1018">
        <f t="shared" ca="1" si="533"/>
        <v>388.00550349870724</v>
      </c>
      <c r="CE375" s="1018">
        <f t="shared" ca="1" si="531"/>
        <v>149.97789927510865</v>
      </c>
      <c r="CF375" s="1018">
        <f t="shared" ca="1" si="474"/>
        <v>16.139502083214477</v>
      </c>
      <c r="CG375" s="1018">
        <f t="shared" ca="1" si="475"/>
        <v>26871.625388468776</v>
      </c>
    </row>
    <row r="376" spans="4:85" s="11" customFormat="1" x14ac:dyDescent="0.25">
      <c r="D376" s="12"/>
      <c r="F376" s="12"/>
      <c r="H376" s="12"/>
      <c r="J376" s="12"/>
      <c r="K376" s="13"/>
      <c r="L376" s="25"/>
      <c r="M376" s="12"/>
      <c r="N376" s="12"/>
      <c r="O376" s="12"/>
      <c r="P376" s="12"/>
      <c r="Q376" s="12"/>
      <c r="R376" s="12"/>
      <c r="S376" s="12"/>
      <c r="T376" s="82"/>
      <c r="U376" s="296"/>
      <c r="V376" s="293"/>
      <c r="W376" s="292"/>
      <c r="X376" s="292"/>
      <c r="Y376" s="277"/>
      <c r="Z376" s="292"/>
      <c r="AA376" s="292"/>
      <c r="AB376" s="292"/>
      <c r="AC376" s="292"/>
      <c r="AD376" s="277"/>
      <c r="AE376" s="292"/>
      <c r="AF376" s="292"/>
      <c r="AG376" s="277"/>
      <c r="AH376" s="313"/>
      <c r="AJ376" s="314"/>
      <c r="AK376" s="1018">
        <f t="shared" si="470"/>
        <v>0</v>
      </c>
      <c r="AL376" s="928"/>
      <c r="AM376" s="928"/>
      <c r="AN376" s="941"/>
      <c r="AO376" s="941"/>
      <c r="AP376" s="941"/>
      <c r="AQ376" s="314"/>
      <c r="AR376" s="28"/>
      <c r="AS376" s="941"/>
      <c r="AT376" s="28"/>
      <c r="AU376" s="28"/>
      <c r="AV376" s="28"/>
      <c r="AW376" s="28"/>
      <c r="AX376" s="28"/>
      <c r="AY376" s="28"/>
      <c r="AZ376" s="28"/>
      <c r="BA376" s="28"/>
      <c r="BB376" s="28"/>
      <c r="BC376" s="45"/>
      <c r="BD376" s="277"/>
      <c r="BE376" s="277"/>
      <c r="BF376" s="49"/>
      <c r="BG376" s="28"/>
      <c r="BH376" s="28"/>
      <c r="BI376" s="49"/>
      <c r="BJ376" s="28"/>
      <c r="BK376" s="28"/>
      <c r="BL376" s="28"/>
      <c r="BM376" s="49"/>
      <c r="BN376" s="277"/>
      <c r="BO376" s="49"/>
      <c r="BP376" s="946"/>
      <c r="BQ376" s="946"/>
      <c r="BR376" s="946"/>
      <c r="BS376" s="946"/>
      <c r="BT376" s="946"/>
      <c r="BU376" s="946"/>
      <c r="BV376" s="946"/>
      <c r="BW376" s="946"/>
      <c r="BX376" s="946"/>
      <c r="BY376" s="946"/>
      <c r="BZ376" s="946"/>
      <c r="CA376" s="946"/>
      <c r="CB376" s="946"/>
      <c r="CC376" s="946"/>
      <c r="CD376" s="946"/>
      <c r="CE376" s="946"/>
      <c r="CF376" s="946"/>
      <c r="CG376" s="946"/>
    </row>
    <row r="377" spans="4:85" x14ac:dyDescent="0.25">
      <c r="D377" s="1"/>
      <c r="F377" s="1"/>
      <c r="G377" s="3"/>
      <c r="H377" s="6"/>
      <c r="I377" s="3"/>
      <c r="J377" s="6"/>
      <c r="K377" s="8"/>
      <c r="L377" s="6"/>
      <c r="M377" s="1"/>
      <c r="N377" s="1"/>
      <c r="O377" s="1"/>
      <c r="P377" s="1"/>
      <c r="Q377" s="1" t="s">
        <v>16</v>
      </c>
      <c r="R377" s="4"/>
      <c r="S377" s="1"/>
      <c r="T377" s="77"/>
      <c r="U377" s="294"/>
      <c r="W377" s="176">
        <f t="shared" ref="W377:W385" si="534">V357-W357+V337-W337</f>
        <v>0</v>
      </c>
      <c r="X377" s="176">
        <f>W377</f>
        <v>0</v>
      </c>
      <c r="Y377" s="34">
        <f>X377/Calculation_sheet!M$67</f>
        <v>0</v>
      </c>
      <c r="Z377" s="176">
        <f ca="1">IF(AN377&gt;0,Y377*Calculation_sheet!C$87,0)</f>
        <v>0</v>
      </c>
      <c r="AA377" s="176">
        <f t="shared" ca="1" si="476"/>
        <v>0</v>
      </c>
      <c r="AB377" s="176">
        <f ca="1">IF(AP377&gt;0,AA377*Calculation_sheet!C$94,0)</f>
        <v>0</v>
      </c>
      <c r="AC377" s="176">
        <f t="shared" ref="AC377:AE385" ca="1" si="535">AA377-AB377</f>
        <v>0</v>
      </c>
      <c r="AD377" s="958">
        <f ca="1">AC377*Calculation_sheet!C$99</f>
        <v>0</v>
      </c>
      <c r="AE377" s="176">
        <f t="shared" ca="1" si="535"/>
        <v>0</v>
      </c>
      <c r="AF377" s="176">
        <f t="shared" ref="AF377:AF385" ca="1" si="536">Y377-AB377</f>
        <v>0</v>
      </c>
      <c r="AG377" s="958">
        <f ca="1">AF377*User_sheet!B$77/100</f>
        <v>0</v>
      </c>
      <c r="AH377" s="313"/>
      <c r="AI377">
        <v>303</v>
      </c>
      <c r="AK377" s="1018">
        <f t="shared" ca="1" si="470"/>
        <v>186.62920725488826</v>
      </c>
      <c r="AL377" s="924">
        <f ca="1">AK377/'303'!I$24</f>
        <v>0.5118036672285432</v>
      </c>
      <c r="AM377" s="924">
        <f ca="1">0.8*(AK377*30+'303'!D$17*0.34*30*1)</f>
        <v>12475.900974117321</v>
      </c>
      <c r="AN377" s="954">
        <f ca="1">IF(AM377&lt;User_sheet!B$50,Y377,0)</f>
        <v>0</v>
      </c>
      <c r="AO377" s="954">
        <f ca="1">20-(User_sheet!B$57/(AK377+'303'!D$17*1*0.34))</f>
        <v>9.0348600647113813</v>
      </c>
      <c r="AP377" s="954">
        <f ca="1">IF(AO377&lt;User_sheet!B$59,0,BC377*AA377)</f>
        <v>0</v>
      </c>
      <c r="AR377" s="2">
        <v>0.32</v>
      </c>
      <c r="AS377" s="1020">
        <v>0.43</v>
      </c>
      <c r="AT377" s="2">
        <v>0.43</v>
      </c>
      <c r="AU377" s="2">
        <v>2</v>
      </c>
      <c r="AV377" s="2">
        <v>3.3</v>
      </c>
      <c r="AW377" s="2">
        <v>14356</v>
      </c>
      <c r="AX377" s="2">
        <v>74834</v>
      </c>
      <c r="AY377" s="2">
        <v>69246</v>
      </c>
      <c r="AZ377" s="27">
        <v>0</v>
      </c>
      <c r="BA377" s="27">
        <v>0</v>
      </c>
      <c r="BB377" s="2">
        <v>0.6</v>
      </c>
      <c r="BC377" s="30">
        <v>1</v>
      </c>
      <c r="BD377" s="34">
        <v>0</v>
      </c>
      <c r="BE377" s="34">
        <v>0</v>
      </c>
      <c r="BF377" s="40">
        <v>0</v>
      </c>
      <c r="BG377" s="2">
        <v>1</v>
      </c>
      <c r="BH377" s="2">
        <v>0</v>
      </c>
      <c r="BI377" s="40">
        <v>0</v>
      </c>
      <c r="BJ377" s="2">
        <v>1</v>
      </c>
      <c r="BK377" s="2">
        <v>0</v>
      </c>
      <c r="BL377" s="2">
        <v>0</v>
      </c>
      <c r="BM377" s="40">
        <v>0</v>
      </c>
      <c r="BN377" s="958">
        <v>0.02</v>
      </c>
      <c r="BO377" s="959">
        <v>2.5</v>
      </c>
      <c r="BP377" s="1018">
        <f t="shared" ref="BP377:BP385" ca="1" si="537">INDIRECT("'"&amp;AI377&amp;"'!"&amp;"B2")</f>
        <v>350</v>
      </c>
      <c r="BQ377" s="1018">
        <f t="shared" ref="BQ377:BQ385" ca="1" si="538">INDIRECT("'"&amp;AI377&amp;"'!"&amp;"C12")+INDIRECT("'"&amp;AI377&amp;"'!"&amp;"C13")+INDIRECT("'"&amp;AI377&amp;"'!"&amp;"C14")+INDIRECT("'"&amp;AI377&amp;"'!"&amp;"C15")+INDIRECT("'"&amp;AI377&amp;"'!"&amp;"C17")</f>
        <v>764.40000000000009</v>
      </c>
      <c r="BR377" s="1018">
        <f t="shared" ref="BR377:BR385" ca="1" si="539">INDIRECT("'"&amp;AI377&amp;"'!"&amp;"G5")</f>
        <v>105</v>
      </c>
      <c r="BS377" s="1018">
        <f t="shared" ref="BS377:BS385" ca="1" si="540">INDIRECT("'"&amp;AI377&amp;"'!"&amp;"G4")</f>
        <v>112.64999999999998</v>
      </c>
      <c r="BT377" s="1018">
        <f t="shared" ref="BT377:BT385" ca="1" si="541">INDIRECT("'"&amp;AI377&amp;"'!"&amp;"G6")</f>
        <v>105</v>
      </c>
      <c r="BU377" s="1018">
        <f t="shared" ref="BU377:BU385" ca="1" si="542">INDIRECT("'"&amp;AI377&amp;"'!"&amp;"G2")</f>
        <v>42</v>
      </c>
      <c r="BV377" s="1018">
        <f t="shared" ref="BV377:BV385" ca="1" si="543">INDIRECT("'"&amp;AI377&amp;"'!"&amp;"G3")</f>
        <v>2.15</v>
      </c>
      <c r="BW377" s="1018">
        <v>0</v>
      </c>
      <c r="BX377" s="1018">
        <f t="shared" ref="BX377:BX385" ca="1" si="544">IF(BR377=0,0,1/(1/(BR377*$BY$3)+1/(BR377*AR377)+1/(BR377*$BY$4)))</f>
        <v>31.834259727134924</v>
      </c>
      <c r="BY377" s="1018">
        <f t="shared" ref="BY377:BY385" ca="1" si="545">IF(BS377=0,0,1/(1/(BS377*$BY$3)+1/(BS377*AS377)+1/(BS377*$BY$4)))</f>
        <v>45.079569425487023</v>
      </c>
      <c r="BZ377" s="1018">
        <f t="shared" ca="1" si="471"/>
        <v>13.866019357240353</v>
      </c>
      <c r="CA377" s="1018">
        <f t="shared" ca="1" si="472"/>
        <v>83.999999966399997</v>
      </c>
      <c r="CB377" s="1018">
        <f t="shared" ref="CB377:CB385" ca="1" si="546">IF(BV377=0,0,1/(1/(BV377*$BY$3)+1/(BV377*AV377)+1/(BV377*$BY$4)))</f>
        <v>4.5133587786259541</v>
      </c>
      <c r="CC377" s="1018">
        <f t="shared" si="473"/>
        <v>0</v>
      </c>
      <c r="CD377" s="1018">
        <f ca="1">SUM(BX377:CC377)+(BR377+BS377+BT377+BU377+BV377)*BN377</f>
        <v>186.62920725488826</v>
      </c>
      <c r="CE377" s="1018">
        <f t="shared" ref="CE377:CE385" ca="1" si="547">0.34*BO377*(1/25)^0.66*(BR377+BS377+BU377+BV377)+0.6*BQ377*0.34</f>
        <v>182.52942611260795</v>
      </c>
      <c r="CF377" s="1018">
        <f t="shared" ca="1" si="474"/>
        <v>11.074759001024887</v>
      </c>
      <c r="CG377" s="1018">
        <f t="shared" ca="1" si="475"/>
        <v>18439.030746346394</v>
      </c>
    </row>
    <row r="378" spans="4:85" x14ac:dyDescent="0.25">
      <c r="D378" s="1"/>
      <c r="F378" s="1"/>
      <c r="G378" s="3"/>
      <c r="H378" s="6"/>
      <c r="I378" s="3"/>
      <c r="J378" s="6"/>
      <c r="K378" s="8"/>
      <c r="L378" s="6"/>
      <c r="M378" s="1"/>
      <c r="N378" s="1"/>
      <c r="O378" s="1" t="s">
        <v>18</v>
      </c>
      <c r="P378" s="4"/>
      <c r="Q378" s="1" t="s">
        <v>7</v>
      </c>
      <c r="R378" s="4"/>
      <c r="S378" s="1"/>
      <c r="T378" s="77"/>
      <c r="U378" s="294"/>
      <c r="W378" s="176">
        <f t="shared" si="534"/>
        <v>0</v>
      </c>
      <c r="X378" s="176">
        <f t="shared" ref="X378:X385" si="548">W378</f>
        <v>0</v>
      </c>
      <c r="Y378" s="34">
        <f>X378/Calculation_sheet!M$67</f>
        <v>0</v>
      </c>
      <c r="Z378" s="176">
        <f ca="1">IF(AN378&gt;0,Y378*Calculation_sheet!C$87,0)</f>
        <v>0</v>
      </c>
      <c r="AA378" s="176">
        <f t="shared" ca="1" si="476"/>
        <v>0</v>
      </c>
      <c r="AB378" s="176">
        <f ca="1">IF(AP378&gt;0,AA378*Calculation_sheet!C$94,0)</f>
        <v>0</v>
      </c>
      <c r="AC378" s="176">
        <f t="shared" ca="1" si="535"/>
        <v>0</v>
      </c>
      <c r="AD378" s="958">
        <f ca="1">AC378*Calculation_sheet!C$99</f>
        <v>0</v>
      </c>
      <c r="AE378" s="176">
        <f t="shared" ca="1" si="535"/>
        <v>0</v>
      </c>
      <c r="AF378" s="176">
        <f t="shared" ca="1" si="536"/>
        <v>0</v>
      </c>
      <c r="AG378" s="958">
        <f ca="1">AF378*User_sheet!B$77/100</f>
        <v>0</v>
      </c>
      <c r="AH378" s="313"/>
      <c r="AI378">
        <v>303</v>
      </c>
      <c r="AK378" s="1018">
        <f t="shared" ca="1" si="470"/>
        <v>186.62920725488826</v>
      </c>
      <c r="AL378" s="924">
        <f ca="1">AK378/'303'!I$24</f>
        <v>0.5118036672285432</v>
      </c>
      <c r="AM378" s="924">
        <f ca="1">0.8*(AK378*30+'303'!D$17*0.34*30*1)</f>
        <v>12475.900974117321</v>
      </c>
      <c r="AN378" s="954">
        <f ca="1">IF(AM378&lt;User_sheet!B$50,Y378,0)</f>
        <v>0</v>
      </c>
      <c r="AO378" s="954">
        <f ca="1">20-(User_sheet!B$57/(AK378+'303'!D$17*1*0.34))</f>
        <v>9.0348600647113813</v>
      </c>
      <c r="AP378" s="954">
        <f ca="1">IF(AO378&lt;User_sheet!B$59,0,BC378*AA378)</f>
        <v>0</v>
      </c>
      <c r="AR378" s="2">
        <v>0.32</v>
      </c>
      <c r="AS378" s="1020">
        <v>0.43</v>
      </c>
      <c r="AT378" s="2">
        <v>0.43</v>
      </c>
      <c r="AU378" s="2">
        <v>2</v>
      </c>
      <c r="AV378" s="2">
        <v>3.3</v>
      </c>
      <c r="AW378" s="2">
        <v>14356</v>
      </c>
      <c r="AX378" s="2">
        <v>74834</v>
      </c>
      <c r="AY378" s="2">
        <v>69246</v>
      </c>
      <c r="AZ378" s="27">
        <v>0</v>
      </c>
      <c r="BA378" s="27">
        <v>0</v>
      </c>
      <c r="BB378" s="2">
        <v>0.6</v>
      </c>
      <c r="BC378" s="30">
        <v>1</v>
      </c>
      <c r="BD378" s="34">
        <v>0</v>
      </c>
      <c r="BE378" s="34">
        <v>0</v>
      </c>
      <c r="BF378" s="40">
        <v>0</v>
      </c>
      <c r="BG378" s="2">
        <v>1</v>
      </c>
      <c r="BH378" s="2">
        <v>0</v>
      </c>
      <c r="BI378" s="40">
        <v>0</v>
      </c>
      <c r="BJ378" s="2">
        <v>0</v>
      </c>
      <c r="BK378" s="2">
        <v>0</v>
      </c>
      <c r="BL378" s="2">
        <v>1</v>
      </c>
      <c r="BM378" s="40">
        <v>0</v>
      </c>
      <c r="BN378" s="958">
        <v>0.02</v>
      </c>
      <c r="BO378" s="959">
        <v>2.5</v>
      </c>
      <c r="BP378" s="1018">
        <f t="shared" ca="1" si="537"/>
        <v>350</v>
      </c>
      <c r="BQ378" s="1018">
        <f t="shared" ca="1" si="538"/>
        <v>764.40000000000009</v>
      </c>
      <c r="BR378" s="1018">
        <f t="shared" ca="1" si="539"/>
        <v>105</v>
      </c>
      <c r="BS378" s="1018">
        <f t="shared" ca="1" si="540"/>
        <v>112.64999999999998</v>
      </c>
      <c r="BT378" s="1018">
        <f t="shared" ca="1" si="541"/>
        <v>105</v>
      </c>
      <c r="BU378" s="1018">
        <f t="shared" ca="1" si="542"/>
        <v>42</v>
      </c>
      <c r="BV378" s="1018">
        <f t="shared" ca="1" si="543"/>
        <v>2.15</v>
      </c>
      <c r="BW378" s="1018">
        <v>0</v>
      </c>
      <c r="BX378" s="1018">
        <f t="shared" ca="1" si="544"/>
        <v>31.834259727134924</v>
      </c>
      <c r="BY378" s="1018">
        <f t="shared" ca="1" si="545"/>
        <v>45.079569425487023</v>
      </c>
      <c r="BZ378" s="1018">
        <f t="shared" ca="1" si="471"/>
        <v>13.866019357240353</v>
      </c>
      <c r="CA378" s="1018">
        <f t="shared" ca="1" si="472"/>
        <v>83.999999966399997</v>
      </c>
      <c r="CB378" s="1018">
        <f t="shared" ca="1" si="546"/>
        <v>4.5133587786259541</v>
      </c>
      <c r="CC378" s="1018">
        <f t="shared" si="473"/>
        <v>0</v>
      </c>
      <c r="CD378" s="1018">
        <f t="shared" ref="CD378:CD385" ca="1" si="549">SUM(BX378:CC378)+(BR378+BS378+BT378+BU378+BV378)*BN378</f>
        <v>186.62920725488826</v>
      </c>
      <c r="CE378" s="1018">
        <f t="shared" ca="1" si="547"/>
        <v>182.52942611260795</v>
      </c>
      <c r="CF378" s="1018">
        <f t="shared" ca="1" si="474"/>
        <v>11.074759001024887</v>
      </c>
      <c r="CG378" s="1018">
        <f t="shared" ca="1" si="475"/>
        <v>18439.030746346394</v>
      </c>
    </row>
    <row r="379" spans="4:85" x14ac:dyDescent="0.25">
      <c r="D379" s="1"/>
      <c r="F379" s="1"/>
      <c r="G379" s="3"/>
      <c r="H379" s="6"/>
      <c r="I379" s="3"/>
      <c r="J379" s="6"/>
      <c r="K379" s="8"/>
      <c r="L379" s="6"/>
      <c r="M379" s="1"/>
      <c r="N379" s="1"/>
      <c r="O379" s="1"/>
      <c r="P379" s="1"/>
      <c r="Q379" s="1" t="s">
        <v>16</v>
      </c>
      <c r="R379" s="4"/>
      <c r="S379" s="1"/>
      <c r="T379" s="77"/>
      <c r="U379" s="294"/>
      <c r="W379" s="176">
        <f t="shared" si="534"/>
        <v>0</v>
      </c>
      <c r="X379" s="176">
        <f t="shared" si="548"/>
        <v>0</v>
      </c>
      <c r="Y379" s="34">
        <f>X379/Calculation_sheet!M$67</f>
        <v>0</v>
      </c>
      <c r="Z379" s="176">
        <f ca="1">IF(AN379&gt;0,Y379*Calculation_sheet!C$87,0)</f>
        <v>0</v>
      </c>
      <c r="AA379" s="176">
        <f t="shared" ca="1" si="476"/>
        <v>0</v>
      </c>
      <c r="AB379" s="176">
        <f ca="1">IF(AP379&gt;0,AA379*Calculation_sheet!C$94,0)</f>
        <v>0</v>
      </c>
      <c r="AC379" s="176">
        <f t="shared" ca="1" si="535"/>
        <v>0</v>
      </c>
      <c r="AD379" s="958">
        <f ca="1">AC379*Calculation_sheet!C$99</f>
        <v>0</v>
      </c>
      <c r="AE379" s="176">
        <f t="shared" ca="1" si="535"/>
        <v>0</v>
      </c>
      <c r="AF379" s="176">
        <f t="shared" ca="1" si="536"/>
        <v>0</v>
      </c>
      <c r="AG379" s="958">
        <f ca="1">AF379*User_sheet!B$77/100</f>
        <v>0</v>
      </c>
      <c r="AH379" s="313"/>
      <c r="AI379">
        <v>303</v>
      </c>
      <c r="AK379" s="1018">
        <f t="shared" ca="1" si="470"/>
        <v>186.62920725488826</v>
      </c>
      <c r="AL379" s="924">
        <f ca="1">AK379/'303'!I$24</f>
        <v>0.5118036672285432</v>
      </c>
      <c r="AM379" s="924">
        <f ca="1">0.8*(AK379*30+'303'!D$17*0.34*30*1)</f>
        <v>12475.900974117321</v>
      </c>
      <c r="AN379" s="954">
        <f ca="1">IF(AM379&lt;User_sheet!B$50,Y379,0)</f>
        <v>0</v>
      </c>
      <c r="AO379" s="954">
        <f ca="1">20-(User_sheet!B$57/(AK379+'303'!D$17*1*0.34))</f>
        <v>9.0348600647113813</v>
      </c>
      <c r="AP379" s="954">
        <f ca="1">IF(AO379&lt;User_sheet!B$59,0,BC379*AA379)</f>
        <v>0</v>
      </c>
      <c r="AR379" s="2">
        <v>0.32</v>
      </c>
      <c r="AS379" s="1020">
        <v>0.43</v>
      </c>
      <c r="AT379" s="2">
        <v>0.43</v>
      </c>
      <c r="AU379" s="2">
        <v>2</v>
      </c>
      <c r="AV379" s="2">
        <v>3.3</v>
      </c>
      <c r="AW379" s="2">
        <v>14356</v>
      </c>
      <c r="AX379" s="2">
        <v>74834</v>
      </c>
      <c r="AY379" s="2">
        <v>69246</v>
      </c>
      <c r="AZ379" s="27">
        <v>0</v>
      </c>
      <c r="BA379" s="27">
        <v>0</v>
      </c>
      <c r="BB379" s="2">
        <v>0.6</v>
      </c>
      <c r="BC379" s="30">
        <v>1</v>
      </c>
      <c r="BD379" s="34">
        <v>0</v>
      </c>
      <c r="BE379" s="34">
        <v>0</v>
      </c>
      <c r="BF379" s="40">
        <v>0</v>
      </c>
      <c r="BG379" s="2">
        <v>0</v>
      </c>
      <c r="BH379" s="2">
        <v>1</v>
      </c>
      <c r="BI379" s="40">
        <v>0</v>
      </c>
      <c r="BJ379" s="2">
        <v>1</v>
      </c>
      <c r="BK379" s="2">
        <v>0</v>
      </c>
      <c r="BL379" s="2">
        <v>0</v>
      </c>
      <c r="BM379" s="40">
        <v>0</v>
      </c>
      <c r="BN379" s="958">
        <v>0.02</v>
      </c>
      <c r="BO379" s="959">
        <v>2.5</v>
      </c>
      <c r="BP379" s="1018">
        <f t="shared" ca="1" si="537"/>
        <v>350</v>
      </c>
      <c r="BQ379" s="1018">
        <f t="shared" ca="1" si="538"/>
        <v>764.40000000000009</v>
      </c>
      <c r="BR379" s="1018">
        <f t="shared" ca="1" si="539"/>
        <v>105</v>
      </c>
      <c r="BS379" s="1018">
        <f t="shared" ca="1" si="540"/>
        <v>112.64999999999998</v>
      </c>
      <c r="BT379" s="1018">
        <f t="shared" ca="1" si="541"/>
        <v>105</v>
      </c>
      <c r="BU379" s="1018">
        <f t="shared" ca="1" si="542"/>
        <v>42</v>
      </c>
      <c r="BV379" s="1018">
        <f t="shared" ca="1" si="543"/>
        <v>2.15</v>
      </c>
      <c r="BW379" s="1018">
        <v>0</v>
      </c>
      <c r="BX379" s="1018">
        <f t="shared" ca="1" si="544"/>
        <v>31.834259727134924</v>
      </c>
      <c r="BY379" s="1018">
        <f t="shared" ca="1" si="545"/>
        <v>45.079569425487023</v>
      </c>
      <c r="BZ379" s="1018">
        <f t="shared" ca="1" si="471"/>
        <v>13.866019357240353</v>
      </c>
      <c r="CA379" s="1018">
        <f t="shared" ca="1" si="472"/>
        <v>83.999999966399997</v>
      </c>
      <c r="CB379" s="1018">
        <f t="shared" ca="1" si="546"/>
        <v>4.5133587786259541</v>
      </c>
      <c r="CC379" s="1018">
        <f t="shared" si="473"/>
        <v>0</v>
      </c>
      <c r="CD379" s="1018">
        <f t="shared" ca="1" si="549"/>
        <v>186.62920725488826</v>
      </c>
      <c r="CE379" s="1018">
        <f t="shared" ca="1" si="547"/>
        <v>182.52942611260795</v>
      </c>
      <c r="CF379" s="1018">
        <f t="shared" ca="1" si="474"/>
        <v>11.074759001024887</v>
      </c>
      <c r="CG379" s="1018">
        <f t="shared" ca="1" si="475"/>
        <v>18439.030746346394</v>
      </c>
    </row>
    <row r="380" spans="4:85" x14ac:dyDescent="0.25">
      <c r="D380" s="1"/>
      <c r="F380" s="1"/>
      <c r="G380" s="3"/>
      <c r="H380" s="6"/>
      <c r="I380" s="3"/>
      <c r="J380" s="3" t="s">
        <v>143</v>
      </c>
      <c r="K380" s="8"/>
      <c r="L380" s="6"/>
      <c r="M380" s="1" t="s">
        <v>16</v>
      </c>
      <c r="N380" s="4"/>
      <c r="O380" s="1" t="s">
        <v>19</v>
      </c>
      <c r="P380" s="4"/>
      <c r="Q380" s="1" t="s">
        <v>7</v>
      </c>
      <c r="R380" s="4"/>
      <c r="S380" s="1"/>
      <c r="T380" s="77"/>
      <c r="U380" s="294"/>
      <c r="W380" s="176">
        <f t="shared" si="534"/>
        <v>0</v>
      </c>
      <c r="X380" s="176">
        <f t="shared" si="548"/>
        <v>0</v>
      </c>
      <c r="Y380" s="34">
        <f>X380/Calculation_sheet!M$67</f>
        <v>0</v>
      </c>
      <c r="Z380" s="176">
        <f ca="1">IF(AN380&gt;0,Y380*Calculation_sheet!C$87,0)</f>
        <v>0</v>
      </c>
      <c r="AA380" s="176">
        <f t="shared" ca="1" si="476"/>
        <v>0</v>
      </c>
      <c r="AB380" s="176">
        <f ca="1">IF(AP380&gt;0,AA380*Calculation_sheet!C$94,0)</f>
        <v>0</v>
      </c>
      <c r="AC380" s="176">
        <f t="shared" ca="1" si="535"/>
        <v>0</v>
      </c>
      <c r="AD380" s="958">
        <f ca="1">AC380*Calculation_sheet!C$99</f>
        <v>0</v>
      </c>
      <c r="AE380" s="176">
        <f t="shared" ca="1" si="535"/>
        <v>0</v>
      </c>
      <c r="AF380" s="176">
        <f t="shared" ca="1" si="536"/>
        <v>0</v>
      </c>
      <c r="AG380" s="958">
        <f ca="1">AF380*User_sheet!B$77/100</f>
        <v>0</v>
      </c>
      <c r="AH380" s="313"/>
      <c r="AI380">
        <v>303</v>
      </c>
      <c r="AK380" s="1018">
        <f t="shared" ca="1" si="470"/>
        <v>186.62920725488826</v>
      </c>
      <c r="AL380" s="924">
        <f ca="1">AK380/'303'!I$24</f>
        <v>0.5118036672285432</v>
      </c>
      <c r="AM380" s="924">
        <f ca="1">0.8*(AK380*30+'303'!D$17*0.34*30*1)</f>
        <v>12475.900974117321</v>
      </c>
      <c r="AN380" s="954">
        <f ca="1">IF(AM380&lt;User_sheet!B$50,Y380,0)</f>
        <v>0</v>
      </c>
      <c r="AO380" s="954">
        <f ca="1">20-(User_sheet!B$57/(AK380+'303'!D$17*1*0.34))</f>
        <v>9.0348600647113813</v>
      </c>
      <c r="AP380" s="954">
        <f ca="1">IF(AO380&lt;User_sheet!B$59,0,BC380*AA380)</f>
        <v>0</v>
      </c>
      <c r="AR380" s="2">
        <v>0.32</v>
      </c>
      <c r="AS380" s="1020">
        <v>0.43</v>
      </c>
      <c r="AT380" s="2">
        <v>0.43</v>
      </c>
      <c r="AU380" s="2">
        <v>2</v>
      </c>
      <c r="AV380" s="2">
        <v>3.3</v>
      </c>
      <c r="AW380" s="2">
        <v>14356</v>
      </c>
      <c r="AX380" s="2">
        <v>74834</v>
      </c>
      <c r="AY380" s="2">
        <v>69246</v>
      </c>
      <c r="AZ380" s="27">
        <v>0</v>
      </c>
      <c r="BA380" s="27">
        <v>0</v>
      </c>
      <c r="BB380" s="2">
        <v>0.6</v>
      </c>
      <c r="BC380" s="30">
        <v>1</v>
      </c>
      <c r="BD380" s="34">
        <v>0</v>
      </c>
      <c r="BE380" s="34">
        <v>0</v>
      </c>
      <c r="BF380" s="40">
        <v>0</v>
      </c>
      <c r="BG380" s="2">
        <v>0</v>
      </c>
      <c r="BH380" s="2">
        <v>1</v>
      </c>
      <c r="BI380" s="40">
        <v>0</v>
      </c>
      <c r="BJ380" s="2">
        <v>0</v>
      </c>
      <c r="BK380" s="2">
        <v>0</v>
      </c>
      <c r="BL380" s="2">
        <v>1</v>
      </c>
      <c r="BM380" s="40">
        <v>0</v>
      </c>
      <c r="BN380" s="958">
        <v>0.02</v>
      </c>
      <c r="BO380" s="959">
        <v>2.5</v>
      </c>
      <c r="BP380" s="1018">
        <f t="shared" ca="1" si="537"/>
        <v>350</v>
      </c>
      <c r="BQ380" s="1018">
        <f t="shared" ca="1" si="538"/>
        <v>764.40000000000009</v>
      </c>
      <c r="BR380" s="1018">
        <f t="shared" ca="1" si="539"/>
        <v>105</v>
      </c>
      <c r="BS380" s="1018">
        <f t="shared" ca="1" si="540"/>
        <v>112.64999999999998</v>
      </c>
      <c r="BT380" s="1018">
        <f t="shared" ca="1" si="541"/>
        <v>105</v>
      </c>
      <c r="BU380" s="1018">
        <f t="shared" ca="1" si="542"/>
        <v>42</v>
      </c>
      <c r="BV380" s="1018">
        <f t="shared" ca="1" si="543"/>
        <v>2.15</v>
      </c>
      <c r="BW380" s="1018">
        <v>0</v>
      </c>
      <c r="BX380" s="1018">
        <f t="shared" ca="1" si="544"/>
        <v>31.834259727134924</v>
      </c>
      <c r="BY380" s="1018">
        <f t="shared" ca="1" si="545"/>
        <v>45.079569425487023</v>
      </c>
      <c r="BZ380" s="1018">
        <f t="shared" ca="1" si="471"/>
        <v>13.866019357240353</v>
      </c>
      <c r="CA380" s="1018">
        <f t="shared" ca="1" si="472"/>
        <v>83.999999966399997</v>
      </c>
      <c r="CB380" s="1018">
        <f t="shared" ca="1" si="546"/>
        <v>4.5133587786259541</v>
      </c>
      <c r="CC380" s="1018">
        <f t="shared" si="473"/>
        <v>0</v>
      </c>
      <c r="CD380" s="1018">
        <f t="shared" ca="1" si="549"/>
        <v>186.62920725488826</v>
      </c>
      <c r="CE380" s="1018">
        <f t="shared" ca="1" si="547"/>
        <v>182.52942611260795</v>
      </c>
      <c r="CF380" s="1018">
        <f t="shared" ca="1" si="474"/>
        <v>11.074759001024887</v>
      </c>
      <c r="CG380" s="1018">
        <f t="shared" ca="1" si="475"/>
        <v>18439.030746346394</v>
      </c>
    </row>
    <row r="381" spans="4:85" x14ac:dyDescent="0.25">
      <c r="D381" s="1"/>
      <c r="F381" s="1"/>
      <c r="G381" s="3"/>
      <c r="H381" s="6"/>
      <c r="I381" s="3"/>
      <c r="J381" s="6" t="s">
        <v>190</v>
      </c>
      <c r="K381" s="8"/>
      <c r="L381" s="6"/>
      <c r="M381" s="1"/>
      <c r="N381" s="1"/>
      <c r="O381" s="1"/>
      <c r="P381" s="1"/>
      <c r="Q381" s="1" t="s">
        <v>22</v>
      </c>
      <c r="R381" s="4"/>
      <c r="S381" s="1"/>
      <c r="T381" s="77"/>
      <c r="U381" s="294"/>
      <c r="W381" s="176">
        <f t="shared" si="534"/>
        <v>0</v>
      </c>
      <c r="X381" s="176">
        <f t="shared" si="548"/>
        <v>0</v>
      </c>
      <c r="Y381" s="34">
        <f>X381/Calculation_sheet!M$67</f>
        <v>0</v>
      </c>
      <c r="Z381" s="176">
        <f ca="1">IF(AN381&gt;0,Y381*Calculation_sheet!C$87,0)</f>
        <v>0</v>
      </c>
      <c r="AA381" s="176">
        <f t="shared" ca="1" si="476"/>
        <v>0</v>
      </c>
      <c r="AB381" s="176">
        <f ca="1">IF(AP381&gt;0,AA381*Calculation_sheet!C$94,0)</f>
        <v>0</v>
      </c>
      <c r="AC381" s="176">
        <f t="shared" ca="1" si="535"/>
        <v>0</v>
      </c>
      <c r="AD381" s="958">
        <f ca="1">AC381*Calculation_sheet!C$99</f>
        <v>0</v>
      </c>
      <c r="AE381" s="176">
        <f t="shared" ca="1" si="535"/>
        <v>0</v>
      </c>
      <c r="AF381" s="176">
        <f t="shared" ca="1" si="536"/>
        <v>0</v>
      </c>
      <c r="AG381" s="958">
        <f ca="1">AF381*User_sheet!B$77/100</f>
        <v>0</v>
      </c>
      <c r="AH381" s="313"/>
      <c r="AI381">
        <v>303</v>
      </c>
      <c r="AK381" s="1018">
        <f t="shared" ca="1" si="470"/>
        <v>186.62920725488826</v>
      </c>
      <c r="AL381" s="924">
        <f ca="1">AK381/'303'!I$24</f>
        <v>0.5118036672285432</v>
      </c>
      <c r="AM381" s="924">
        <f ca="1">0.8*(AK381*30+'303'!D$17*0.34*30*1)</f>
        <v>12475.900974117321</v>
      </c>
      <c r="AN381" s="954">
        <f ca="1">IF(AM381&lt;User_sheet!B$50,Y381,0)</f>
        <v>0</v>
      </c>
      <c r="AO381" s="954">
        <f ca="1">20-(User_sheet!B$57/(AK381+'303'!D$17*1*0.34))</f>
        <v>9.0348600647113813</v>
      </c>
      <c r="AP381" s="954">
        <f ca="1">IF(AO381&lt;User_sheet!B$59,0,BC381*AA381)</f>
        <v>0</v>
      </c>
      <c r="AR381" s="2">
        <v>0.32</v>
      </c>
      <c r="AS381" s="1020">
        <v>0.43</v>
      </c>
      <c r="AT381" s="2">
        <v>0.43</v>
      </c>
      <c r="AU381" s="2">
        <v>2</v>
      </c>
      <c r="AV381" s="2">
        <v>3.3</v>
      </c>
      <c r="AW381" s="2">
        <v>14356</v>
      </c>
      <c r="AX381" s="2">
        <v>74834</v>
      </c>
      <c r="AY381" s="2">
        <v>69246</v>
      </c>
      <c r="AZ381" s="27">
        <v>0</v>
      </c>
      <c r="BA381" s="27">
        <v>0</v>
      </c>
      <c r="BB381" s="2">
        <v>0.6</v>
      </c>
      <c r="BC381" s="30">
        <v>0</v>
      </c>
      <c r="BD381" s="34">
        <v>1</v>
      </c>
      <c r="BE381" s="34">
        <v>0</v>
      </c>
      <c r="BF381" s="40">
        <v>0</v>
      </c>
      <c r="BG381" s="2">
        <v>1</v>
      </c>
      <c r="BH381" s="2">
        <v>0</v>
      </c>
      <c r="BI381" s="40">
        <v>0</v>
      </c>
      <c r="BJ381" s="2">
        <v>0</v>
      </c>
      <c r="BK381" s="2">
        <v>1</v>
      </c>
      <c r="BL381" s="2">
        <v>0</v>
      </c>
      <c r="BM381" s="40">
        <v>0</v>
      </c>
      <c r="BN381" s="958">
        <v>0.02</v>
      </c>
      <c r="BO381" s="959">
        <v>2.5</v>
      </c>
      <c r="BP381" s="1018">
        <f t="shared" ca="1" si="537"/>
        <v>350</v>
      </c>
      <c r="BQ381" s="1018">
        <f t="shared" ca="1" si="538"/>
        <v>764.40000000000009</v>
      </c>
      <c r="BR381" s="1018">
        <f t="shared" ca="1" si="539"/>
        <v>105</v>
      </c>
      <c r="BS381" s="1018">
        <f t="shared" ca="1" si="540"/>
        <v>112.64999999999998</v>
      </c>
      <c r="BT381" s="1018">
        <f t="shared" ca="1" si="541"/>
        <v>105</v>
      </c>
      <c r="BU381" s="1018">
        <f t="shared" ca="1" si="542"/>
        <v>42</v>
      </c>
      <c r="BV381" s="1018">
        <f t="shared" ca="1" si="543"/>
        <v>2.15</v>
      </c>
      <c r="BW381" s="1018">
        <v>0</v>
      </c>
      <c r="BX381" s="1018">
        <f t="shared" ca="1" si="544"/>
        <v>31.834259727134924</v>
      </c>
      <c r="BY381" s="1018">
        <f t="shared" ca="1" si="545"/>
        <v>45.079569425487023</v>
      </c>
      <c r="BZ381" s="1018">
        <f t="shared" ca="1" si="471"/>
        <v>13.866019357240353</v>
      </c>
      <c r="CA381" s="1018">
        <f t="shared" ca="1" si="472"/>
        <v>83.999999966399997</v>
      </c>
      <c r="CB381" s="1018">
        <f t="shared" ca="1" si="546"/>
        <v>4.5133587786259541</v>
      </c>
      <c r="CC381" s="1018">
        <f t="shared" si="473"/>
        <v>0</v>
      </c>
      <c r="CD381" s="1018">
        <f t="shared" ca="1" si="549"/>
        <v>186.62920725488826</v>
      </c>
      <c r="CE381" s="1018">
        <f t="shared" ca="1" si="547"/>
        <v>182.52942611260795</v>
      </c>
      <c r="CF381" s="1018">
        <f t="shared" ca="1" si="474"/>
        <v>11.074759001024887</v>
      </c>
      <c r="CG381" s="1018">
        <f t="shared" ca="1" si="475"/>
        <v>18439.030746346394</v>
      </c>
    </row>
    <row r="382" spans="4:85" x14ac:dyDescent="0.25">
      <c r="D382" s="1"/>
      <c r="F382" s="1"/>
      <c r="G382" s="3"/>
      <c r="H382" s="6"/>
      <c r="I382" s="3"/>
      <c r="K382" s="8"/>
      <c r="L382" s="6"/>
      <c r="M382" s="1"/>
      <c r="N382" s="1"/>
      <c r="O382" s="1" t="s">
        <v>18</v>
      </c>
      <c r="P382" s="4"/>
      <c r="Q382" s="1" t="s">
        <v>7</v>
      </c>
      <c r="R382" s="4"/>
      <c r="S382" s="1"/>
      <c r="T382" s="77"/>
      <c r="U382" s="294"/>
      <c r="W382" s="176">
        <f t="shared" si="534"/>
        <v>0</v>
      </c>
      <c r="X382" s="176">
        <f t="shared" si="548"/>
        <v>0</v>
      </c>
      <c r="Y382" s="34">
        <f>X382/Calculation_sheet!M$67</f>
        <v>0</v>
      </c>
      <c r="Z382" s="176">
        <f ca="1">IF(AN382&gt;0,Y382*Calculation_sheet!C$87,0)</f>
        <v>0</v>
      </c>
      <c r="AA382" s="176">
        <f t="shared" ca="1" si="476"/>
        <v>0</v>
      </c>
      <c r="AB382" s="176">
        <f ca="1">IF(AP382&gt;0,AA382*Calculation_sheet!C$94,0)</f>
        <v>0</v>
      </c>
      <c r="AC382" s="176">
        <f t="shared" ca="1" si="535"/>
        <v>0</v>
      </c>
      <c r="AD382" s="958">
        <f ca="1">AC382*Calculation_sheet!C$99</f>
        <v>0</v>
      </c>
      <c r="AE382" s="176">
        <f t="shared" ca="1" si="535"/>
        <v>0</v>
      </c>
      <c r="AF382" s="176">
        <f t="shared" ca="1" si="536"/>
        <v>0</v>
      </c>
      <c r="AG382" s="958">
        <f ca="1">AF382*User_sheet!B$77/100</f>
        <v>0</v>
      </c>
      <c r="AH382" s="313"/>
      <c r="AI382">
        <v>303</v>
      </c>
      <c r="AK382" s="1018">
        <f t="shared" ca="1" si="470"/>
        <v>186.62920725488826</v>
      </c>
      <c r="AL382" s="924">
        <f ca="1">AK382/'303'!I$24</f>
        <v>0.5118036672285432</v>
      </c>
      <c r="AM382" s="924">
        <f ca="1">0.8*(AK382*30+'303'!D$17*0.34*30*1)</f>
        <v>12475.900974117321</v>
      </c>
      <c r="AN382" s="954">
        <f ca="1">IF(AM382&lt;User_sheet!B$50,Y382,0)</f>
        <v>0</v>
      </c>
      <c r="AO382" s="954">
        <f ca="1">20-(User_sheet!B$57/(AK382+'303'!D$17*1*0.34))</f>
        <v>9.0348600647113813</v>
      </c>
      <c r="AP382" s="954">
        <f ca="1">IF(AO382&lt;User_sheet!B$59,0,BC382*AA382)</f>
        <v>0</v>
      </c>
      <c r="AR382" s="2">
        <v>0.32</v>
      </c>
      <c r="AS382" s="1020">
        <v>0.43</v>
      </c>
      <c r="AT382" s="2">
        <v>0.43</v>
      </c>
      <c r="AU382" s="2">
        <v>2</v>
      </c>
      <c r="AV382" s="2">
        <v>3.3</v>
      </c>
      <c r="AW382" s="2">
        <v>14356</v>
      </c>
      <c r="AX382" s="2">
        <v>74834</v>
      </c>
      <c r="AY382" s="2">
        <v>69246</v>
      </c>
      <c r="AZ382" s="27">
        <v>0</v>
      </c>
      <c r="BA382" s="27">
        <v>0</v>
      </c>
      <c r="BB382" s="2">
        <v>0.6</v>
      </c>
      <c r="BC382" s="30">
        <v>0</v>
      </c>
      <c r="BD382" s="34">
        <v>1</v>
      </c>
      <c r="BE382" s="34">
        <v>0</v>
      </c>
      <c r="BF382" s="40">
        <v>0</v>
      </c>
      <c r="BG382" s="2">
        <v>1</v>
      </c>
      <c r="BH382" s="2">
        <v>0</v>
      </c>
      <c r="BI382" s="40">
        <v>0</v>
      </c>
      <c r="BJ382" s="2">
        <v>0</v>
      </c>
      <c r="BK382" s="2">
        <v>0</v>
      </c>
      <c r="BL382" s="2">
        <v>1</v>
      </c>
      <c r="BM382" s="40">
        <v>0</v>
      </c>
      <c r="BN382" s="958">
        <v>0.02</v>
      </c>
      <c r="BO382" s="959">
        <v>2.5</v>
      </c>
      <c r="BP382" s="1018">
        <f t="shared" ca="1" si="537"/>
        <v>350</v>
      </c>
      <c r="BQ382" s="1018">
        <f t="shared" ca="1" si="538"/>
        <v>764.40000000000009</v>
      </c>
      <c r="BR382" s="1018">
        <f t="shared" ca="1" si="539"/>
        <v>105</v>
      </c>
      <c r="BS382" s="1018">
        <f t="shared" ca="1" si="540"/>
        <v>112.64999999999998</v>
      </c>
      <c r="BT382" s="1018">
        <f t="shared" ca="1" si="541"/>
        <v>105</v>
      </c>
      <c r="BU382" s="1018">
        <f t="shared" ca="1" si="542"/>
        <v>42</v>
      </c>
      <c r="BV382" s="1018">
        <f t="shared" ca="1" si="543"/>
        <v>2.15</v>
      </c>
      <c r="BW382" s="1018">
        <v>0</v>
      </c>
      <c r="BX382" s="1018">
        <f t="shared" ca="1" si="544"/>
        <v>31.834259727134924</v>
      </c>
      <c r="BY382" s="1018">
        <f t="shared" ca="1" si="545"/>
        <v>45.079569425487023</v>
      </c>
      <c r="BZ382" s="1018">
        <f t="shared" ca="1" si="471"/>
        <v>13.866019357240353</v>
      </c>
      <c r="CA382" s="1018">
        <f t="shared" ca="1" si="472"/>
        <v>83.999999966399997</v>
      </c>
      <c r="CB382" s="1018">
        <f t="shared" ca="1" si="546"/>
        <v>4.5133587786259541</v>
      </c>
      <c r="CC382" s="1018">
        <f t="shared" si="473"/>
        <v>0</v>
      </c>
      <c r="CD382" s="1018">
        <f t="shared" ca="1" si="549"/>
        <v>186.62920725488826</v>
      </c>
      <c r="CE382" s="1018">
        <f t="shared" ca="1" si="547"/>
        <v>182.52942611260795</v>
      </c>
      <c r="CF382" s="1018">
        <f t="shared" ca="1" si="474"/>
        <v>11.074759001024887</v>
      </c>
      <c r="CG382" s="1018">
        <f t="shared" ca="1" si="475"/>
        <v>18439.030746346394</v>
      </c>
    </row>
    <row r="383" spans="4:85" x14ac:dyDescent="0.25">
      <c r="D383" s="1"/>
      <c r="F383" s="1"/>
      <c r="G383" s="3"/>
      <c r="H383" s="6"/>
      <c r="I383" s="3"/>
      <c r="K383" s="8"/>
      <c r="L383" s="6"/>
      <c r="M383" s="1"/>
      <c r="N383" s="1"/>
      <c r="O383" s="1"/>
      <c r="P383" s="1"/>
      <c r="Q383" s="1" t="s">
        <v>22</v>
      </c>
      <c r="R383" s="4"/>
      <c r="S383" s="1"/>
      <c r="T383" s="77"/>
      <c r="U383" s="294"/>
      <c r="W383" s="176">
        <f t="shared" si="534"/>
        <v>0</v>
      </c>
      <c r="X383" s="176">
        <f t="shared" si="548"/>
        <v>0</v>
      </c>
      <c r="Y383" s="34">
        <f>X383/Calculation_sheet!M$67</f>
        <v>0</v>
      </c>
      <c r="Z383" s="176">
        <f ca="1">IF(AN383&gt;0,Y383*Calculation_sheet!C$87,0)</f>
        <v>0</v>
      </c>
      <c r="AA383" s="176">
        <f t="shared" ca="1" si="476"/>
        <v>0</v>
      </c>
      <c r="AB383" s="176">
        <f ca="1">IF(AP383&gt;0,AA383*Calculation_sheet!C$94,0)</f>
        <v>0</v>
      </c>
      <c r="AC383" s="176">
        <f t="shared" ca="1" si="535"/>
        <v>0</v>
      </c>
      <c r="AD383" s="958">
        <f ca="1">AC383*Calculation_sheet!C$99</f>
        <v>0</v>
      </c>
      <c r="AE383" s="176">
        <f t="shared" ca="1" si="535"/>
        <v>0</v>
      </c>
      <c r="AF383" s="176">
        <f t="shared" ca="1" si="536"/>
        <v>0</v>
      </c>
      <c r="AG383" s="958">
        <f ca="1">AF383*User_sheet!B$77/100</f>
        <v>0</v>
      </c>
      <c r="AH383" s="313"/>
      <c r="AI383">
        <v>303</v>
      </c>
      <c r="AK383" s="1018">
        <f t="shared" ca="1" si="470"/>
        <v>186.62920725488826</v>
      </c>
      <c r="AL383" s="924">
        <f ca="1">AK383/'303'!I$24</f>
        <v>0.5118036672285432</v>
      </c>
      <c r="AM383" s="924">
        <f ca="1">0.8*(AK383*30+'303'!D$17*0.34*30*1)</f>
        <v>12475.900974117321</v>
      </c>
      <c r="AN383" s="954">
        <f ca="1">IF(AM383&lt;User_sheet!B$50,Y383,0)</f>
        <v>0</v>
      </c>
      <c r="AO383" s="954">
        <f ca="1">20-(User_sheet!B$57/(AK383+'303'!D$17*1*0.34))</f>
        <v>9.0348600647113813</v>
      </c>
      <c r="AP383" s="954">
        <f ca="1">IF(AO383&lt;User_sheet!B$59,0,BC383*AA383)</f>
        <v>0</v>
      </c>
      <c r="AR383" s="2">
        <v>0.32</v>
      </c>
      <c r="AS383" s="1020">
        <v>0.43</v>
      </c>
      <c r="AT383" s="2">
        <v>0.43</v>
      </c>
      <c r="AU383" s="2">
        <v>2</v>
      </c>
      <c r="AV383" s="2">
        <v>3.3</v>
      </c>
      <c r="AW383" s="2">
        <v>14356</v>
      </c>
      <c r="AX383" s="2">
        <v>74834</v>
      </c>
      <c r="AY383" s="2">
        <v>69246</v>
      </c>
      <c r="AZ383" s="27">
        <v>0</v>
      </c>
      <c r="BA383" s="27">
        <v>0</v>
      </c>
      <c r="BB383" s="2">
        <v>0.6</v>
      </c>
      <c r="BC383" s="30">
        <v>0</v>
      </c>
      <c r="BD383" s="34">
        <v>1</v>
      </c>
      <c r="BE383" s="34">
        <v>0</v>
      </c>
      <c r="BF383" s="40">
        <v>0</v>
      </c>
      <c r="BG383" s="2">
        <v>0</v>
      </c>
      <c r="BH383" s="2">
        <v>1</v>
      </c>
      <c r="BI383" s="40">
        <v>0</v>
      </c>
      <c r="BJ383" s="2">
        <v>0</v>
      </c>
      <c r="BK383" s="2">
        <v>1</v>
      </c>
      <c r="BL383" s="2">
        <v>0</v>
      </c>
      <c r="BM383" s="40">
        <v>0</v>
      </c>
      <c r="BN383" s="958">
        <v>0.02</v>
      </c>
      <c r="BO383" s="959">
        <v>2.5</v>
      </c>
      <c r="BP383" s="1018">
        <f t="shared" ca="1" si="537"/>
        <v>350</v>
      </c>
      <c r="BQ383" s="1018">
        <f t="shared" ca="1" si="538"/>
        <v>764.40000000000009</v>
      </c>
      <c r="BR383" s="1018">
        <f t="shared" ca="1" si="539"/>
        <v>105</v>
      </c>
      <c r="BS383" s="1018">
        <f t="shared" ca="1" si="540"/>
        <v>112.64999999999998</v>
      </c>
      <c r="BT383" s="1018">
        <f t="shared" ca="1" si="541"/>
        <v>105</v>
      </c>
      <c r="BU383" s="1018">
        <f t="shared" ca="1" si="542"/>
        <v>42</v>
      </c>
      <c r="BV383" s="1018">
        <f t="shared" ca="1" si="543"/>
        <v>2.15</v>
      </c>
      <c r="BW383" s="1018">
        <v>0</v>
      </c>
      <c r="BX383" s="1018">
        <f t="shared" ca="1" si="544"/>
        <v>31.834259727134924</v>
      </c>
      <c r="BY383" s="1018">
        <f t="shared" ca="1" si="545"/>
        <v>45.079569425487023</v>
      </c>
      <c r="BZ383" s="1018">
        <f t="shared" ca="1" si="471"/>
        <v>13.866019357240353</v>
      </c>
      <c r="CA383" s="1018">
        <f t="shared" ca="1" si="472"/>
        <v>83.999999966399997</v>
      </c>
      <c r="CB383" s="1018">
        <f t="shared" ca="1" si="546"/>
        <v>4.5133587786259541</v>
      </c>
      <c r="CC383" s="1018">
        <f t="shared" si="473"/>
        <v>0</v>
      </c>
      <c r="CD383" s="1018">
        <f t="shared" ca="1" si="549"/>
        <v>186.62920725488826</v>
      </c>
      <c r="CE383" s="1018">
        <f t="shared" ca="1" si="547"/>
        <v>182.52942611260795</v>
      </c>
      <c r="CF383" s="1018">
        <f t="shared" ca="1" si="474"/>
        <v>11.074759001024887</v>
      </c>
      <c r="CG383" s="1018">
        <f t="shared" ca="1" si="475"/>
        <v>18439.030746346394</v>
      </c>
    </row>
    <row r="384" spans="4:85" x14ac:dyDescent="0.25">
      <c r="D384" s="1"/>
      <c r="F384" s="1"/>
      <c r="G384" s="3"/>
      <c r="H384" s="6"/>
      <c r="I384" s="3"/>
      <c r="J384" s="6"/>
      <c r="K384" s="8"/>
      <c r="L384" s="3"/>
      <c r="M384" s="1" t="s">
        <v>22</v>
      </c>
      <c r="N384" s="4"/>
      <c r="O384" s="1" t="s">
        <v>20</v>
      </c>
      <c r="P384" s="4"/>
      <c r="Q384" s="1" t="s">
        <v>7</v>
      </c>
      <c r="R384" s="4"/>
      <c r="S384" s="1"/>
      <c r="T384" s="77"/>
      <c r="U384" s="294"/>
      <c r="W384" s="176">
        <f t="shared" si="534"/>
        <v>0</v>
      </c>
      <c r="X384" s="176">
        <f t="shared" si="548"/>
        <v>0</v>
      </c>
      <c r="Y384" s="34">
        <f>X384/Calculation_sheet!M$67</f>
        <v>0</v>
      </c>
      <c r="Z384" s="176">
        <f ca="1">IF(AN384&gt;0,Y384*Calculation_sheet!C$87,0)</f>
        <v>0</v>
      </c>
      <c r="AA384" s="176">
        <f t="shared" ca="1" si="476"/>
        <v>0</v>
      </c>
      <c r="AB384" s="176">
        <f ca="1">IF(AP384&gt;0,AA384*Calculation_sheet!C$94,0)</f>
        <v>0</v>
      </c>
      <c r="AC384" s="176">
        <f t="shared" ca="1" si="535"/>
        <v>0</v>
      </c>
      <c r="AD384" s="958">
        <f ca="1">AC384*Calculation_sheet!C$99</f>
        <v>0</v>
      </c>
      <c r="AE384" s="176">
        <f t="shared" ca="1" si="535"/>
        <v>0</v>
      </c>
      <c r="AF384" s="176">
        <f t="shared" ca="1" si="536"/>
        <v>0</v>
      </c>
      <c r="AG384" s="958">
        <f ca="1">AF384*User_sheet!B$77/100</f>
        <v>0</v>
      </c>
      <c r="AH384" s="313"/>
      <c r="AI384">
        <v>303</v>
      </c>
      <c r="AK384" s="1018">
        <f t="shared" ca="1" si="470"/>
        <v>186.62920725488826</v>
      </c>
      <c r="AL384" s="924">
        <f ca="1">AK384/'303'!I$24</f>
        <v>0.5118036672285432</v>
      </c>
      <c r="AM384" s="924">
        <f ca="1">0.8*(AK384*30+'303'!D$17*0.34*30*1)</f>
        <v>12475.900974117321</v>
      </c>
      <c r="AN384" s="954">
        <f ca="1">IF(AM384&lt;User_sheet!B$50,Y384,0)</f>
        <v>0</v>
      </c>
      <c r="AO384" s="954">
        <f ca="1">20-(User_sheet!B$57/(AK384+'303'!D$17*1*0.34))</f>
        <v>9.0348600647113813</v>
      </c>
      <c r="AP384" s="954">
        <f ca="1">IF(AO384&lt;User_sheet!B$59,0,BC384*AA384)</f>
        <v>0</v>
      </c>
      <c r="AR384" s="2">
        <v>0.32</v>
      </c>
      <c r="AS384" s="1020">
        <v>0.43</v>
      </c>
      <c r="AT384" s="2">
        <v>0.43</v>
      </c>
      <c r="AU384" s="2">
        <v>2</v>
      </c>
      <c r="AV384" s="2">
        <v>3.3</v>
      </c>
      <c r="AW384" s="2">
        <v>14356</v>
      </c>
      <c r="AX384" s="2">
        <v>74834</v>
      </c>
      <c r="AY384" s="2">
        <v>69246</v>
      </c>
      <c r="AZ384" s="27">
        <v>0</v>
      </c>
      <c r="BA384" s="27">
        <v>0</v>
      </c>
      <c r="BB384" s="2">
        <v>0.6</v>
      </c>
      <c r="BC384" s="30">
        <v>0</v>
      </c>
      <c r="BD384" s="34">
        <v>1</v>
      </c>
      <c r="BE384" s="34">
        <v>0</v>
      </c>
      <c r="BF384" s="40">
        <v>0</v>
      </c>
      <c r="BG384" s="2">
        <v>0</v>
      </c>
      <c r="BH384" s="2">
        <v>1</v>
      </c>
      <c r="BI384" s="40">
        <v>0</v>
      </c>
      <c r="BJ384" s="2">
        <v>0</v>
      </c>
      <c r="BK384" s="2">
        <v>0</v>
      </c>
      <c r="BL384" s="2">
        <v>1</v>
      </c>
      <c r="BM384" s="40">
        <v>0</v>
      </c>
      <c r="BN384" s="958">
        <v>0.02</v>
      </c>
      <c r="BO384" s="959">
        <v>2.5</v>
      </c>
      <c r="BP384" s="1018">
        <f t="shared" ca="1" si="537"/>
        <v>350</v>
      </c>
      <c r="BQ384" s="1018">
        <f t="shared" ca="1" si="538"/>
        <v>764.40000000000009</v>
      </c>
      <c r="BR384" s="1018">
        <f t="shared" ca="1" si="539"/>
        <v>105</v>
      </c>
      <c r="BS384" s="1018">
        <f t="shared" ca="1" si="540"/>
        <v>112.64999999999998</v>
      </c>
      <c r="BT384" s="1018">
        <f t="shared" ca="1" si="541"/>
        <v>105</v>
      </c>
      <c r="BU384" s="1018">
        <f t="shared" ca="1" si="542"/>
        <v>42</v>
      </c>
      <c r="BV384" s="1018">
        <f t="shared" ca="1" si="543"/>
        <v>2.15</v>
      </c>
      <c r="BW384" s="1018">
        <v>0</v>
      </c>
      <c r="BX384" s="1018">
        <f t="shared" ca="1" si="544"/>
        <v>31.834259727134924</v>
      </c>
      <c r="BY384" s="1018">
        <f t="shared" ca="1" si="545"/>
        <v>45.079569425487023</v>
      </c>
      <c r="BZ384" s="1018">
        <f t="shared" ca="1" si="471"/>
        <v>13.866019357240353</v>
      </c>
      <c r="CA384" s="1018">
        <f t="shared" ca="1" si="472"/>
        <v>83.999999966399997</v>
      </c>
      <c r="CB384" s="1018">
        <f t="shared" ca="1" si="546"/>
        <v>4.5133587786259541</v>
      </c>
      <c r="CC384" s="1018">
        <f t="shared" si="473"/>
        <v>0</v>
      </c>
      <c r="CD384" s="1018">
        <f t="shared" ca="1" si="549"/>
        <v>186.62920725488826</v>
      </c>
      <c r="CE384" s="1018">
        <f t="shared" ca="1" si="547"/>
        <v>182.52942611260795</v>
      </c>
      <c r="CF384" s="1018">
        <f t="shared" ca="1" si="474"/>
        <v>11.074759001024887</v>
      </c>
      <c r="CG384" s="1018">
        <f t="shared" ca="1" si="475"/>
        <v>18439.030746346394</v>
      </c>
    </row>
    <row r="385" spans="4:85" x14ac:dyDescent="0.25">
      <c r="D385" s="1"/>
      <c r="F385" s="1"/>
      <c r="G385" s="3"/>
      <c r="H385" s="6"/>
      <c r="I385" s="3"/>
      <c r="J385" s="6"/>
      <c r="K385" s="8"/>
      <c r="L385" s="7"/>
      <c r="M385" s="1" t="s">
        <v>7</v>
      </c>
      <c r="N385" s="4"/>
      <c r="O385" s="1" t="s">
        <v>23</v>
      </c>
      <c r="P385" s="4"/>
      <c r="Q385" s="1" t="s">
        <v>7</v>
      </c>
      <c r="R385" s="4"/>
      <c r="S385" s="1"/>
      <c r="T385" s="77"/>
      <c r="U385" s="294" t="s">
        <v>49</v>
      </c>
      <c r="W385" s="176">
        <f t="shared" si="534"/>
        <v>0</v>
      </c>
      <c r="X385" s="176">
        <f t="shared" si="548"/>
        <v>0</v>
      </c>
      <c r="Y385" s="34">
        <f>X385/Calculation_sheet!M$67</f>
        <v>0</v>
      </c>
      <c r="Z385" s="176">
        <f ca="1">IF(AN385&gt;0,Y385*Calculation_sheet!C$87,0)</f>
        <v>0</v>
      </c>
      <c r="AA385" s="176">
        <f t="shared" ca="1" si="476"/>
        <v>0</v>
      </c>
      <c r="AB385" s="176">
        <f ca="1">IF(AP385&gt;0,AA385*Calculation_sheet!C$94,0)</f>
        <v>0</v>
      </c>
      <c r="AC385" s="176">
        <f t="shared" ca="1" si="535"/>
        <v>0</v>
      </c>
      <c r="AD385" s="958">
        <f ca="1">AC385*Calculation_sheet!C$99</f>
        <v>0</v>
      </c>
      <c r="AE385" s="176">
        <f t="shared" ca="1" si="535"/>
        <v>0</v>
      </c>
      <c r="AF385" s="176">
        <f t="shared" ca="1" si="536"/>
        <v>0</v>
      </c>
      <c r="AG385" s="958">
        <f ca="1">AF385*User_sheet!B$77/100</f>
        <v>0</v>
      </c>
      <c r="AH385" s="313"/>
      <c r="AI385">
        <v>303</v>
      </c>
      <c r="AK385" s="1018">
        <f t="shared" ca="1" si="470"/>
        <v>186.62920725488826</v>
      </c>
      <c r="AL385" s="924">
        <f ca="1">AK385/'303'!I$24</f>
        <v>0.5118036672285432</v>
      </c>
      <c r="AM385" s="924">
        <f ca="1">0.8*(AK385*30+'303'!D$17*0.34*30*1)</f>
        <v>12475.900974117321</v>
      </c>
      <c r="AN385" s="954">
        <f ca="1">IF(AM385&lt;User_sheet!B$50,Y385,0)</f>
        <v>0</v>
      </c>
      <c r="AO385" s="954">
        <f ca="1">20-(User_sheet!B$57/(AK385+'303'!D$17*1*0.34))</f>
        <v>9.0348600647113813</v>
      </c>
      <c r="AP385" s="954">
        <f ca="1">IF(AO385&lt;User_sheet!B$59,0,BC385*AA385)</f>
        <v>0</v>
      </c>
      <c r="AR385" s="2">
        <v>0.32</v>
      </c>
      <c r="AS385" s="1020">
        <v>0.43</v>
      </c>
      <c r="AT385" s="2">
        <v>0.43</v>
      </c>
      <c r="AU385" s="2">
        <v>2</v>
      </c>
      <c r="AV385" s="2">
        <v>3.3</v>
      </c>
      <c r="AW385" s="2">
        <v>14356</v>
      </c>
      <c r="AX385" s="2">
        <v>74834</v>
      </c>
      <c r="AY385" s="2">
        <v>69246</v>
      </c>
      <c r="AZ385" s="27">
        <v>0</v>
      </c>
      <c r="BA385" s="27">
        <v>0</v>
      </c>
      <c r="BB385" s="2">
        <v>0.6</v>
      </c>
      <c r="BC385" s="30">
        <v>0</v>
      </c>
      <c r="BD385" s="34">
        <v>0</v>
      </c>
      <c r="BE385" s="34">
        <v>1</v>
      </c>
      <c r="BF385" s="40">
        <v>0</v>
      </c>
      <c r="BG385" s="2">
        <v>0</v>
      </c>
      <c r="BH385" s="2">
        <v>0</v>
      </c>
      <c r="BI385" s="40">
        <v>1</v>
      </c>
      <c r="BJ385" s="2">
        <v>0</v>
      </c>
      <c r="BK385" s="2">
        <v>0</v>
      </c>
      <c r="BL385" s="2">
        <v>1</v>
      </c>
      <c r="BM385" s="40">
        <v>0</v>
      </c>
      <c r="BN385" s="958">
        <v>0.02</v>
      </c>
      <c r="BO385" s="959">
        <v>2.5</v>
      </c>
      <c r="BP385" s="1018">
        <f t="shared" ca="1" si="537"/>
        <v>350</v>
      </c>
      <c r="BQ385" s="1018">
        <f t="shared" ca="1" si="538"/>
        <v>764.40000000000009</v>
      </c>
      <c r="BR385" s="1018">
        <f t="shared" ca="1" si="539"/>
        <v>105</v>
      </c>
      <c r="BS385" s="1018">
        <f t="shared" ca="1" si="540"/>
        <v>112.64999999999998</v>
      </c>
      <c r="BT385" s="1018">
        <f t="shared" ca="1" si="541"/>
        <v>105</v>
      </c>
      <c r="BU385" s="1018">
        <f t="shared" ca="1" si="542"/>
        <v>42</v>
      </c>
      <c r="BV385" s="1018">
        <f t="shared" ca="1" si="543"/>
        <v>2.15</v>
      </c>
      <c r="BW385" s="1018">
        <v>0</v>
      </c>
      <c r="BX385" s="1018">
        <f t="shared" ca="1" si="544"/>
        <v>31.834259727134924</v>
      </c>
      <c r="BY385" s="1018">
        <f t="shared" ca="1" si="545"/>
        <v>45.079569425487023</v>
      </c>
      <c r="BZ385" s="1018">
        <f t="shared" ca="1" si="471"/>
        <v>13.866019357240353</v>
      </c>
      <c r="CA385" s="1018">
        <f t="shared" ca="1" si="472"/>
        <v>83.999999966399997</v>
      </c>
      <c r="CB385" s="1018">
        <f t="shared" ca="1" si="546"/>
        <v>4.5133587786259541</v>
      </c>
      <c r="CC385" s="1018">
        <f t="shared" si="473"/>
        <v>0</v>
      </c>
      <c r="CD385" s="1018">
        <f t="shared" ca="1" si="549"/>
        <v>186.62920725488826</v>
      </c>
      <c r="CE385" s="1018">
        <f t="shared" ca="1" si="547"/>
        <v>182.52942611260795</v>
      </c>
      <c r="CF385" s="1018">
        <f t="shared" ca="1" si="474"/>
        <v>11.074759001024887</v>
      </c>
      <c r="CG385" s="1018">
        <f t="shared" ca="1" si="475"/>
        <v>18439.030746346394</v>
      </c>
    </row>
    <row r="386" spans="4:85" s="9" customFormat="1" x14ac:dyDescent="0.25">
      <c r="D386" s="10"/>
      <c r="F386" s="10"/>
      <c r="M386" s="10"/>
      <c r="N386" s="10"/>
      <c r="O386" s="10"/>
      <c r="P386" s="10"/>
      <c r="Q386" s="10"/>
      <c r="R386" s="10"/>
      <c r="S386" s="10"/>
      <c r="T386" s="81"/>
      <c r="U386" s="81">
        <f>D324*B276</f>
        <v>1.8769939999999999E-2</v>
      </c>
      <c r="V386" s="283"/>
      <c r="W386" s="283"/>
      <c r="X386" s="283"/>
      <c r="Y386" s="279"/>
      <c r="Z386" s="283"/>
      <c r="AA386" s="283"/>
      <c r="AB386" s="283"/>
      <c r="AC386" s="283"/>
      <c r="AD386" s="279"/>
      <c r="AE386" s="283"/>
      <c r="AF386" s="283"/>
      <c r="AG386" s="279"/>
      <c r="AH386" s="313"/>
      <c r="AJ386" s="314"/>
      <c r="AK386" s="1018">
        <f t="shared" si="470"/>
        <v>0</v>
      </c>
      <c r="AN386" s="916"/>
      <c r="AO386" s="916"/>
      <c r="AP386" s="916"/>
      <c r="AQ386" s="314"/>
      <c r="AR386" s="24"/>
      <c r="AS386" s="24"/>
      <c r="AT386" s="24"/>
      <c r="AU386" s="24"/>
      <c r="AV386" s="24"/>
      <c r="AW386" s="24"/>
      <c r="AX386" s="24"/>
      <c r="AY386" s="24"/>
      <c r="AZ386" s="24"/>
      <c r="BA386" s="24"/>
      <c r="BB386" s="24"/>
      <c r="BC386" s="47"/>
      <c r="BD386" s="279"/>
      <c r="BE386" s="279"/>
      <c r="BF386" s="51"/>
      <c r="BG386" s="24"/>
      <c r="BH386" s="24"/>
      <c r="BI386" s="51"/>
      <c r="BJ386" s="24"/>
      <c r="BK386" s="24"/>
      <c r="BL386" s="24"/>
      <c r="BM386" s="51"/>
      <c r="BN386" s="279"/>
      <c r="BO386" s="51"/>
    </row>
    <row r="387" spans="4:85" s="3" customFormat="1" x14ac:dyDescent="0.25">
      <c r="D387" s="746"/>
      <c r="E387" s="742"/>
      <c r="F387" s="746"/>
      <c r="G387" s="742"/>
      <c r="H387" s="742"/>
      <c r="I387" s="742"/>
      <c r="J387" s="742"/>
      <c r="K387" s="742"/>
      <c r="L387" s="742"/>
      <c r="M387" s="746"/>
      <c r="N387" s="746"/>
      <c r="O387" s="746"/>
      <c r="P387" s="746"/>
      <c r="Q387" s="746" t="s">
        <v>16</v>
      </c>
      <c r="R387" s="743">
        <v>0.81069999999999998</v>
      </c>
      <c r="S387" s="746"/>
      <c r="T387" s="752">
        <v>4.5234721272201135E-3</v>
      </c>
      <c r="U387" s="742"/>
      <c r="V387" s="176">
        <f t="shared" ref="V387:V498" si="550">T387</f>
        <v>4.5234721272201135E-3</v>
      </c>
      <c r="W387" s="176">
        <f>V387</f>
        <v>4.5234721272201135E-3</v>
      </c>
      <c r="X387" s="176">
        <f>W387</f>
        <v>4.5234721272201135E-3</v>
      </c>
      <c r="Y387" s="34">
        <f>X387/Calculation_sheet!M$67</f>
        <v>4.523564616070252E-3</v>
      </c>
      <c r="Z387" s="176">
        <f ca="1">IF(AN387&gt;0,Y387*Calculation_sheet!C$87,0)</f>
        <v>0</v>
      </c>
      <c r="AA387" s="176">
        <f t="shared" ca="1" si="476"/>
        <v>4.523564616070252E-3</v>
      </c>
      <c r="AB387" s="176">
        <f ca="1">IF(AP387&gt;0,AA387*Calculation_sheet!C$94,0)</f>
        <v>0</v>
      </c>
      <c r="AC387" s="176">
        <f t="shared" ref="AC387:AE395" ca="1" si="551">AA387-AB387</f>
        <v>4.523564616070252E-3</v>
      </c>
      <c r="AD387" s="958">
        <f ca="1">AC387*Calculation_sheet!C$99</f>
        <v>2.7141387696421513E-3</v>
      </c>
      <c r="AE387" s="176">
        <f t="shared" ca="1" si="551"/>
        <v>1.8094258464281007E-3</v>
      </c>
      <c r="AF387" s="176">
        <f t="shared" ref="AF387:AF395" ca="1" si="552">Y387-AB387</f>
        <v>4.523564616070252E-3</v>
      </c>
      <c r="AG387" s="958">
        <f ca="1">AF387*User_sheet!B$77/100</f>
        <v>0</v>
      </c>
      <c r="AH387" s="313"/>
      <c r="AI387" s="3">
        <v>304</v>
      </c>
      <c r="AJ387" s="314"/>
      <c r="AK387" s="1018">
        <f t="shared" ca="1" si="470"/>
        <v>129.46386090951836</v>
      </c>
      <c r="AL387" s="924">
        <f ca="1">AK387/'304'!I$24</f>
        <v>0.51198806046514289</v>
      </c>
      <c r="AM387" s="924">
        <f ca="1">0.8*(AK387*30+'304'!D$17*0.34*30*1)</f>
        <v>7275.3545018284412</v>
      </c>
      <c r="AN387" s="954">
        <f ca="1">IF(AM387&lt;User_sheet!B$50,Y387,0)</f>
        <v>4.523564616070252E-3</v>
      </c>
      <c r="AO387" s="954">
        <f ca="1">20-(User_sheet!B$57/(AK387+'304'!D$17*1*0.34))</f>
        <v>1.1967925459000703</v>
      </c>
      <c r="AP387" s="954">
        <f ca="1">IF(AO387&lt;User_sheet!B$59,0,BC387*AA387)</f>
        <v>0</v>
      </c>
      <c r="AQ387" s="314"/>
      <c r="AR387" s="2">
        <v>0.24</v>
      </c>
      <c r="AS387" s="2">
        <v>0.32</v>
      </c>
      <c r="AT387" s="2">
        <v>0.45</v>
      </c>
      <c r="AU387" s="2">
        <v>2</v>
      </c>
      <c r="AV387" s="2">
        <v>3.3</v>
      </c>
      <c r="AW387" s="2">
        <v>14536.85461731979</v>
      </c>
      <c r="AX387" s="2">
        <v>73366.155837550017</v>
      </c>
      <c r="AY387" s="2">
        <v>65937.809199439725</v>
      </c>
      <c r="AZ387" s="27">
        <v>0</v>
      </c>
      <c r="BA387" s="27">
        <v>0</v>
      </c>
      <c r="BB387" s="2">
        <v>0.6</v>
      </c>
      <c r="BC387" s="46">
        <v>1</v>
      </c>
      <c r="BD387" s="199">
        <v>0</v>
      </c>
      <c r="BE387" s="199">
        <v>0</v>
      </c>
      <c r="BF387" s="50">
        <v>0</v>
      </c>
      <c r="BG387" s="27">
        <v>1</v>
      </c>
      <c r="BH387" s="27">
        <v>0</v>
      </c>
      <c r="BI387" s="50">
        <v>0</v>
      </c>
      <c r="BJ387" s="27">
        <v>1</v>
      </c>
      <c r="BK387" s="27">
        <v>0</v>
      </c>
      <c r="BL387" s="27">
        <v>0</v>
      </c>
      <c r="BM387" s="50">
        <v>0</v>
      </c>
      <c r="BN387" s="958">
        <v>0.1</v>
      </c>
      <c r="BO387" s="959">
        <v>6</v>
      </c>
      <c r="BP387" s="926">
        <f t="shared" ref="BP387:BP395" ca="1" si="553">INDIRECT("'"&amp;AI387&amp;"'!"&amp;"B2")</f>
        <v>206.38</v>
      </c>
      <c r="BQ387" s="926">
        <f t="shared" ref="BQ387:BQ395" ca="1" si="554">INDIRECT("'"&amp;AI387&amp;"'!"&amp;"C12")+INDIRECT("'"&amp;AI387&amp;"'!"&amp;"C13")+INDIRECT("'"&amp;AI387&amp;"'!"&amp;"C14")+INDIRECT("'"&amp;AI387&amp;"'!"&amp;"C15")+INDIRECT("'"&amp;AI387&amp;"'!"&amp;"C17")</f>
        <v>308.92399999999992</v>
      </c>
      <c r="BR387" s="926">
        <f t="shared" ref="BR387:BR395" ca="1" si="555">INDIRECT("'"&amp;AI387&amp;"'!"&amp;"G5")</f>
        <v>90.07</v>
      </c>
      <c r="BS387" s="926">
        <f t="shared" ref="BS387:BS395" ca="1" si="556">INDIRECT("'"&amp;AI387&amp;"'!"&amp;"G4")</f>
        <v>65.974999999999994</v>
      </c>
      <c r="BT387" s="926">
        <f t="shared" ref="BT387:BT395" ca="1" si="557">INDIRECT("'"&amp;AI387&amp;"'!"&amp;"G6")</f>
        <v>78.88</v>
      </c>
      <c r="BU387" s="926">
        <f t="shared" ref="BU387:BU395" ca="1" si="558">INDIRECT("'"&amp;AI387&amp;"'!"&amp;"G2")</f>
        <v>18</v>
      </c>
      <c r="BV387" s="926">
        <f t="shared" ref="BV387:BV395" ca="1" si="559">INDIRECT("'"&amp;AI387&amp;"'!"&amp;"G3")</f>
        <v>7.5250000000000004</v>
      </c>
      <c r="BW387" s="926">
        <v>0</v>
      </c>
      <c r="BX387" s="926">
        <f t="shared" ref="BX387:BX395" ca="1" si="560">IF(BR387=0,0,1/(1/(BR387*$BY$3)+1/(BR387*AR387)+1/(BR387*$BY$4)))</f>
        <v>20.753456221198157</v>
      </c>
      <c r="BY387" s="926">
        <f t="shared" ref="BY387:BY395" ca="1" si="561">IF(BS387=0,0,1/(1/(BS387*$BY$3)+1/(BS387*AS387)+1/(BS387*$BY$4)))</f>
        <v>20.002526528549769</v>
      </c>
      <c r="BZ387" s="926">
        <f t="shared" ca="1" si="471"/>
        <v>10.866122448979594</v>
      </c>
      <c r="CA387" s="926">
        <f t="shared" ca="1" si="472"/>
        <v>35.999999985599999</v>
      </c>
      <c r="CB387" s="926">
        <f t="shared" ref="CB387:CB395" ca="1" si="562">IF(BV387=0,0,1/(1/(BV387*$BY$3)+1/(BV387*AV387)+1/(BV387*$BY$4)))</f>
        <v>15.79675572519084</v>
      </c>
      <c r="CC387" s="926">
        <f t="shared" si="473"/>
        <v>0</v>
      </c>
      <c r="CD387" s="1018">
        <f ca="1">SUM(BX387:CC387)+(BR387+BS387+BT387+BU387+BV387)*BN387</f>
        <v>129.46386090951836</v>
      </c>
      <c r="CE387" s="1018">
        <f t="shared" ref="CE387:CE445" ca="1" si="563">0.34*BO387*(1/25)^0.66*(BR387+BS387+BU387+BV387)</f>
        <v>44.262287553242658</v>
      </c>
      <c r="CF387" s="926">
        <f t="shared" ca="1" si="474"/>
        <v>5.2117844538828306</v>
      </c>
      <c r="CG387" s="926">
        <f t="shared" ca="1" si="475"/>
        <v>8677.4126443367568</v>
      </c>
    </row>
    <row r="388" spans="4:85" s="3" customFormat="1" x14ac:dyDescent="0.25">
      <c r="D388" s="746"/>
      <c r="E388" s="742"/>
      <c r="F388" s="746"/>
      <c r="G388" s="742"/>
      <c r="H388" s="742"/>
      <c r="I388" s="742"/>
      <c r="J388" s="742"/>
      <c r="K388" s="742"/>
      <c r="L388" s="742"/>
      <c r="M388" s="746"/>
      <c r="N388" s="746"/>
      <c r="O388" s="746" t="s">
        <v>18</v>
      </c>
      <c r="P388" s="743">
        <v>0.962121212</v>
      </c>
      <c r="Q388" s="746" t="s">
        <v>7</v>
      </c>
      <c r="R388" s="743">
        <v>0.1893</v>
      </c>
      <c r="S388" s="746"/>
      <c r="T388" s="752">
        <v>1.0562393902587488E-3</v>
      </c>
      <c r="U388" s="742"/>
      <c r="V388" s="176">
        <f t="shared" si="550"/>
        <v>1.0562393902587488E-3</v>
      </c>
      <c r="W388" s="176">
        <f t="shared" ref="W388:X395" si="564">V388</f>
        <v>1.0562393902587488E-3</v>
      </c>
      <c r="X388" s="176">
        <f t="shared" si="564"/>
        <v>1.0562393902587488E-3</v>
      </c>
      <c r="Y388" s="34">
        <f>X388/Calculation_sheet!M$67</f>
        <v>1.056260986582088E-3</v>
      </c>
      <c r="Z388" s="176">
        <f ca="1">IF(AN388&gt;0,Y388*Calculation_sheet!C$87,0)</f>
        <v>0</v>
      </c>
      <c r="AA388" s="176">
        <f t="shared" ca="1" si="476"/>
        <v>1.056260986582088E-3</v>
      </c>
      <c r="AB388" s="176">
        <f ca="1">IF(AP388&gt;0,AA388*Calculation_sheet!C$94,0)</f>
        <v>0</v>
      </c>
      <c r="AC388" s="176">
        <f t="shared" ca="1" si="551"/>
        <v>1.056260986582088E-3</v>
      </c>
      <c r="AD388" s="958">
        <f ca="1">AC388*Calculation_sheet!C$99</f>
        <v>6.3375659194925282E-4</v>
      </c>
      <c r="AE388" s="176">
        <f t="shared" ca="1" si="551"/>
        <v>4.2250439463283518E-4</v>
      </c>
      <c r="AF388" s="176">
        <f t="shared" ca="1" si="552"/>
        <v>1.056260986582088E-3</v>
      </c>
      <c r="AG388" s="958">
        <f ca="1">AF388*User_sheet!B$77/100</f>
        <v>0</v>
      </c>
      <c r="AH388" s="313"/>
      <c r="AI388" s="3">
        <v>304</v>
      </c>
      <c r="AJ388" s="314"/>
      <c r="AK388" s="1018">
        <f t="shared" ca="1" si="470"/>
        <v>129.46386090951836</v>
      </c>
      <c r="AL388" s="924">
        <f ca="1">AK388/'304'!I$24</f>
        <v>0.51198806046514289</v>
      </c>
      <c r="AM388" s="924">
        <f ca="1">0.8*(AK388*30+'304'!D$17*0.34*30*1)</f>
        <v>7275.3545018284412</v>
      </c>
      <c r="AN388" s="954">
        <f ca="1">IF(AM388&lt;User_sheet!B$50,Y388,0)</f>
        <v>1.056260986582088E-3</v>
      </c>
      <c r="AO388" s="954">
        <f ca="1">20-(User_sheet!B$57/(AK388+'304'!D$17*1*0.34))</f>
        <v>1.1967925459000703</v>
      </c>
      <c r="AP388" s="954">
        <f ca="1">IF(AO388&lt;User_sheet!B$59,0,BC388*AA388)</f>
        <v>0</v>
      </c>
      <c r="AQ388" s="314"/>
      <c r="AR388" s="2">
        <v>0.24</v>
      </c>
      <c r="AS388" s="2">
        <v>0.32</v>
      </c>
      <c r="AT388" s="2">
        <v>0.45</v>
      </c>
      <c r="AU388" s="2">
        <v>2</v>
      </c>
      <c r="AV388" s="2">
        <v>3.3</v>
      </c>
      <c r="AW388" s="2">
        <v>14536.85461731979</v>
      </c>
      <c r="AX388" s="2">
        <v>73366.155837550017</v>
      </c>
      <c r="AY388" s="2">
        <v>65937.809199439725</v>
      </c>
      <c r="AZ388" s="27">
        <v>0</v>
      </c>
      <c r="BA388" s="27">
        <v>0</v>
      </c>
      <c r="BB388" s="2">
        <v>0.6</v>
      </c>
      <c r="BC388" s="46">
        <v>1</v>
      </c>
      <c r="BD388" s="199">
        <v>0</v>
      </c>
      <c r="BE388" s="199">
        <v>0</v>
      </c>
      <c r="BF388" s="50">
        <v>0</v>
      </c>
      <c r="BG388" s="27">
        <v>1</v>
      </c>
      <c r="BH388" s="27">
        <v>0</v>
      </c>
      <c r="BI388" s="50">
        <v>0</v>
      </c>
      <c r="BJ388" s="27">
        <v>0</v>
      </c>
      <c r="BK388" s="27">
        <v>0</v>
      </c>
      <c r="BL388" s="27">
        <v>1</v>
      </c>
      <c r="BM388" s="50">
        <v>0</v>
      </c>
      <c r="BN388" s="958">
        <v>0.1</v>
      </c>
      <c r="BO388" s="959">
        <v>6</v>
      </c>
      <c r="BP388" s="926">
        <f t="shared" ca="1" si="553"/>
        <v>206.38</v>
      </c>
      <c r="BQ388" s="926">
        <f t="shared" ca="1" si="554"/>
        <v>308.92399999999992</v>
      </c>
      <c r="BR388" s="926">
        <f t="shared" ca="1" si="555"/>
        <v>90.07</v>
      </c>
      <c r="BS388" s="926">
        <f t="shared" ca="1" si="556"/>
        <v>65.974999999999994</v>
      </c>
      <c r="BT388" s="926">
        <f t="shared" ca="1" si="557"/>
        <v>78.88</v>
      </c>
      <c r="BU388" s="926">
        <f t="shared" ca="1" si="558"/>
        <v>18</v>
      </c>
      <c r="BV388" s="926">
        <f t="shared" ca="1" si="559"/>
        <v>7.5250000000000004</v>
      </c>
      <c r="BW388" s="926">
        <v>0</v>
      </c>
      <c r="BX388" s="926">
        <f t="shared" ca="1" si="560"/>
        <v>20.753456221198157</v>
      </c>
      <c r="BY388" s="926">
        <f t="shared" ca="1" si="561"/>
        <v>20.002526528549769</v>
      </c>
      <c r="BZ388" s="926">
        <f t="shared" ca="1" si="471"/>
        <v>10.866122448979594</v>
      </c>
      <c r="CA388" s="926">
        <f t="shared" ca="1" si="472"/>
        <v>35.999999985599999</v>
      </c>
      <c r="CB388" s="926">
        <f t="shared" ca="1" si="562"/>
        <v>15.79675572519084</v>
      </c>
      <c r="CC388" s="926">
        <f t="shared" si="473"/>
        <v>0</v>
      </c>
      <c r="CD388" s="1018">
        <f t="shared" ref="CD388:CD395" ca="1" si="565">SUM(BX388:CC388)+(BR388+BS388+BT388+BU388+BV388)*BN388</f>
        <v>129.46386090951836</v>
      </c>
      <c r="CE388" s="1018">
        <f t="shared" ca="1" si="563"/>
        <v>44.262287553242658</v>
      </c>
      <c r="CF388" s="926">
        <f t="shared" ca="1" si="474"/>
        <v>5.2117844538828306</v>
      </c>
      <c r="CG388" s="926">
        <f t="shared" ca="1" si="475"/>
        <v>8677.4126443367568</v>
      </c>
    </row>
    <row r="389" spans="4:85" s="3" customFormat="1" x14ac:dyDescent="0.25">
      <c r="D389" s="746"/>
      <c r="E389" s="742"/>
      <c r="F389" s="746"/>
      <c r="G389" s="742"/>
      <c r="H389" s="742"/>
      <c r="I389" s="742"/>
      <c r="J389" s="742"/>
      <c r="K389" s="742"/>
      <c r="L389" s="742"/>
      <c r="M389" s="746"/>
      <c r="N389" s="746"/>
      <c r="O389" s="746"/>
      <c r="P389" s="746"/>
      <c r="Q389" s="746" t="s">
        <v>16</v>
      </c>
      <c r="R389" s="743">
        <v>0.81069999999999998</v>
      </c>
      <c r="S389" s="746"/>
      <c r="T389" s="752">
        <v>1.780894544198862E-4</v>
      </c>
      <c r="U389" s="742"/>
      <c r="V389" s="176">
        <f t="shared" si="550"/>
        <v>1.780894544198862E-4</v>
      </c>
      <c r="W389" s="176">
        <f t="shared" si="564"/>
        <v>1.780894544198862E-4</v>
      </c>
      <c r="X389" s="176">
        <f t="shared" si="564"/>
        <v>1.780894544198862E-4</v>
      </c>
      <c r="Y389" s="34">
        <f>X389/Calculation_sheet!M$67</f>
        <v>1.7809309571321084E-4</v>
      </c>
      <c r="Z389" s="176">
        <f ca="1">IF(AN389&gt;0,Y389*Calculation_sheet!C$87,0)</f>
        <v>0</v>
      </c>
      <c r="AA389" s="176">
        <f t="shared" ca="1" si="476"/>
        <v>1.7809309571321084E-4</v>
      </c>
      <c r="AB389" s="176">
        <f ca="1">IF(AP389&gt;0,AA389*Calculation_sheet!C$94,0)</f>
        <v>0</v>
      </c>
      <c r="AC389" s="176">
        <f t="shared" ca="1" si="551"/>
        <v>1.7809309571321084E-4</v>
      </c>
      <c r="AD389" s="958">
        <f ca="1">AC389*Calculation_sheet!C$99</f>
        <v>1.068558574279265E-4</v>
      </c>
      <c r="AE389" s="176">
        <f t="shared" ca="1" si="551"/>
        <v>7.1237238285284336E-5</v>
      </c>
      <c r="AF389" s="176">
        <f t="shared" ca="1" si="552"/>
        <v>1.7809309571321084E-4</v>
      </c>
      <c r="AG389" s="958">
        <f ca="1">AF389*User_sheet!B$77/100</f>
        <v>0</v>
      </c>
      <c r="AH389" s="313"/>
      <c r="AI389" s="3">
        <v>304</v>
      </c>
      <c r="AJ389" s="314"/>
      <c r="AK389" s="1018">
        <f t="shared" ca="1" si="470"/>
        <v>129.46386090951836</v>
      </c>
      <c r="AL389" s="924">
        <f ca="1">AK389/'304'!I$24</f>
        <v>0.51198806046514289</v>
      </c>
      <c r="AM389" s="924">
        <f ca="1">0.8*(AK389*30+'304'!D$17*0.34*30*1)</f>
        <v>7275.3545018284412</v>
      </c>
      <c r="AN389" s="954">
        <f ca="1">IF(AM389&lt;User_sheet!B$50,Y389,0)</f>
        <v>1.7809309571321084E-4</v>
      </c>
      <c r="AO389" s="954">
        <f ca="1">20-(User_sheet!B$57/(AK389+'304'!D$17*1*0.34))</f>
        <v>1.1967925459000703</v>
      </c>
      <c r="AP389" s="954">
        <f ca="1">IF(AO389&lt;User_sheet!B$59,0,BC389*AA389)</f>
        <v>0</v>
      </c>
      <c r="AQ389" s="314"/>
      <c r="AR389" s="2">
        <v>0.24</v>
      </c>
      <c r="AS389" s="2">
        <v>0.32</v>
      </c>
      <c r="AT389" s="2">
        <v>0.45</v>
      </c>
      <c r="AU389" s="2">
        <v>2</v>
      </c>
      <c r="AV389" s="2">
        <v>3.3</v>
      </c>
      <c r="AW389" s="2">
        <v>14536.85461731979</v>
      </c>
      <c r="AX389" s="2">
        <v>73366.155837550017</v>
      </c>
      <c r="AY389" s="2">
        <v>65937.809199439725</v>
      </c>
      <c r="AZ389" s="27">
        <v>0</v>
      </c>
      <c r="BA389" s="27">
        <v>0</v>
      </c>
      <c r="BB389" s="2">
        <v>0.6</v>
      </c>
      <c r="BC389" s="46">
        <v>1</v>
      </c>
      <c r="BD389" s="199">
        <v>0</v>
      </c>
      <c r="BE389" s="199">
        <v>0</v>
      </c>
      <c r="BF389" s="50">
        <v>0</v>
      </c>
      <c r="BG389" s="27">
        <v>0</v>
      </c>
      <c r="BH389" s="27">
        <v>1</v>
      </c>
      <c r="BI389" s="50">
        <v>0</v>
      </c>
      <c r="BJ389" s="27">
        <v>1</v>
      </c>
      <c r="BK389" s="27">
        <v>0</v>
      </c>
      <c r="BL389" s="27">
        <v>0</v>
      </c>
      <c r="BM389" s="50">
        <v>0</v>
      </c>
      <c r="BN389" s="958">
        <v>0.1</v>
      </c>
      <c r="BO389" s="959">
        <v>6</v>
      </c>
      <c r="BP389" s="926">
        <f t="shared" ca="1" si="553"/>
        <v>206.38</v>
      </c>
      <c r="BQ389" s="926">
        <f t="shared" ca="1" si="554"/>
        <v>308.92399999999992</v>
      </c>
      <c r="BR389" s="926">
        <f t="shared" ca="1" si="555"/>
        <v>90.07</v>
      </c>
      <c r="BS389" s="926">
        <f t="shared" ca="1" si="556"/>
        <v>65.974999999999994</v>
      </c>
      <c r="BT389" s="926">
        <f t="shared" ca="1" si="557"/>
        <v>78.88</v>
      </c>
      <c r="BU389" s="926">
        <f t="shared" ca="1" si="558"/>
        <v>18</v>
      </c>
      <c r="BV389" s="926">
        <f t="shared" ca="1" si="559"/>
        <v>7.5250000000000004</v>
      </c>
      <c r="BW389" s="926">
        <v>0</v>
      </c>
      <c r="BX389" s="926">
        <f t="shared" ca="1" si="560"/>
        <v>20.753456221198157</v>
      </c>
      <c r="BY389" s="926">
        <f t="shared" ca="1" si="561"/>
        <v>20.002526528549769</v>
      </c>
      <c r="BZ389" s="926">
        <f t="shared" ca="1" si="471"/>
        <v>10.866122448979594</v>
      </c>
      <c r="CA389" s="926">
        <f t="shared" ca="1" si="472"/>
        <v>35.999999985599999</v>
      </c>
      <c r="CB389" s="926">
        <f t="shared" ca="1" si="562"/>
        <v>15.79675572519084</v>
      </c>
      <c r="CC389" s="926">
        <f t="shared" si="473"/>
        <v>0</v>
      </c>
      <c r="CD389" s="1018">
        <f t="shared" ca="1" si="565"/>
        <v>129.46386090951836</v>
      </c>
      <c r="CE389" s="1018">
        <f t="shared" ca="1" si="563"/>
        <v>44.262287553242658</v>
      </c>
      <c r="CF389" s="926">
        <f t="shared" ca="1" si="474"/>
        <v>5.2117844538828306</v>
      </c>
      <c r="CG389" s="926">
        <f t="shared" ca="1" si="475"/>
        <v>8677.4126443367568</v>
      </c>
    </row>
    <row r="390" spans="4:85" s="3" customFormat="1" x14ac:dyDescent="0.25">
      <c r="D390" s="746"/>
      <c r="E390" s="742"/>
      <c r="F390" s="746"/>
      <c r="G390" s="742"/>
      <c r="H390" s="742"/>
      <c r="I390" s="742"/>
      <c r="J390" s="742"/>
      <c r="K390" s="742"/>
      <c r="L390" s="742"/>
      <c r="M390" s="746" t="s">
        <v>16</v>
      </c>
      <c r="N390" s="743">
        <v>0.5</v>
      </c>
      <c r="O390" s="746" t="s">
        <v>19</v>
      </c>
      <c r="P390" s="743">
        <v>3.7878787999999997E-2</v>
      </c>
      <c r="Q390" s="746" t="s">
        <v>7</v>
      </c>
      <c r="R390" s="743">
        <v>0.1893</v>
      </c>
      <c r="S390" s="746"/>
      <c r="T390" s="752">
        <v>4.1584228101251341E-5</v>
      </c>
      <c r="U390" s="742"/>
      <c r="V390" s="176">
        <f t="shared" si="550"/>
        <v>4.1584228101251341E-5</v>
      </c>
      <c r="W390" s="176">
        <f t="shared" si="564"/>
        <v>4.1584228101251341E-5</v>
      </c>
      <c r="X390" s="176">
        <f t="shared" si="564"/>
        <v>4.1584228101251341E-5</v>
      </c>
      <c r="Y390" s="34">
        <f>X390/Calculation_sheet!M$67</f>
        <v>4.1585078350204535E-5</v>
      </c>
      <c r="Z390" s="176">
        <f ca="1">IF(AN390&gt;0,Y390*Calculation_sheet!C$87,0)</f>
        <v>0</v>
      </c>
      <c r="AA390" s="176">
        <f t="shared" ca="1" si="476"/>
        <v>4.1585078350204535E-5</v>
      </c>
      <c r="AB390" s="176">
        <f ca="1">IF(AP390&gt;0,AA390*Calculation_sheet!C$94,0)</f>
        <v>0</v>
      </c>
      <c r="AC390" s="176">
        <f t="shared" ca="1" si="551"/>
        <v>4.1585078350204535E-5</v>
      </c>
      <c r="AD390" s="958">
        <f ca="1">AC390*Calculation_sheet!C$99</f>
        <v>2.4951047010122719E-5</v>
      </c>
      <c r="AE390" s="176">
        <f t="shared" ca="1" si="551"/>
        <v>1.6634031340081816E-5</v>
      </c>
      <c r="AF390" s="176">
        <f t="shared" ca="1" si="552"/>
        <v>4.1585078350204535E-5</v>
      </c>
      <c r="AG390" s="958">
        <f ca="1">AF390*User_sheet!B$77/100</f>
        <v>0</v>
      </c>
      <c r="AH390" s="313"/>
      <c r="AI390" s="3">
        <v>304</v>
      </c>
      <c r="AJ390" s="314"/>
      <c r="AK390" s="1018">
        <f t="shared" ca="1" si="470"/>
        <v>129.46386090951836</v>
      </c>
      <c r="AL390" s="924">
        <f ca="1">AK390/'304'!I$24</f>
        <v>0.51198806046514289</v>
      </c>
      <c r="AM390" s="924">
        <f ca="1">0.8*(AK390*30+'304'!D$17*0.34*30*1)</f>
        <v>7275.3545018284412</v>
      </c>
      <c r="AN390" s="954">
        <f ca="1">IF(AM390&lt;User_sheet!B$50,Y390,0)</f>
        <v>4.1585078350204535E-5</v>
      </c>
      <c r="AO390" s="954">
        <f ca="1">20-(User_sheet!B$57/(AK390+'304'!D$17*1*0.34))</f>
        <v>1.1967925459000703</v>
      </c>
      <c r="AP390" s="954">
        <f ca="1">IF(AO390&lt;User_sheet!B$59,0,BC390*AA390)</f>
        <v>0</v>
      </c>
      <c r="AQ390" s="314"/>
      <c r="AR390" s="2">
        <v>0.24</v>
      </c>
      <c r="AS390" s="2">
        <v>0.32</v>
      </c>
      <c r="AT390" s="2">
        <v>0.45</v>
      </c>
      <c r="AU390" s="2">
        <v>2</v>
      </c>
      <c r="AV390" s="2">
        <v>3.3</v>
      </c>
      <c r="AW390" s="2">
        <v>14536.85461731979</v>
      </c>
      <c r="AX390" s="2">
        <v>73366.155837550017</v>
      </c>
      <c r="AY390" s="2">
        <v>65937.809199439725</v>
      </c>
      <c r="AZ390" s="27">
        <v>0</v>
      </c>
      <c r="BA390" s="27">
        <v>0</v>
      </c>
      <c r="BB390" s="2">
        <v>0.6</v>
      </c>
      <c r="BC390" s="46">
        <v>1</v>
      </c>
      <c r="BD390" s="199">
        <v>0</v>
      </c>
      <c r="BE390" s="199">
        <v>0</v>
      </c>
      <c r="BF390" s="50">
        <v>0</v>
      </c>
      <c r="BG390" s="27">
        <v>0</v>
      </c>
      <c r="BH390" s="27">
        <v>1</v>
      </c>
      <c r="BI390" s="50">
        <v>0</v>
      </c>
      <c r="BJ390" s="27">
        <v>0</v>
      </c>
      <c r="BK390" s="27">
        <v>0</v>
      </c>
      <c r="BL390" s="27">
        <v>1</v>
      </c>
      <c r="BM390" s="50">
        <v>0</v>
      </c>
      <c r="BN390" s="958">
        <v>0.1</v>
      </c>
      <c r="BO390" s="959">
        <v>6</v>
      </c>
      <c r="BP390" s="926">
        <f t="shared" ca="1" si="553"/>
        <v>206.38</v>
      </c>
      <c r="BQ390" s="926">
        <f t="shared" ca="1" si="554"/>
        <v>308.92399999999992</v>
      </c>
      <c r="BR390" s="926">
        <f t="shared" ca="1" si="555"/>
        <v>90.07</v>
      </c>
      <c r="BS390" s="926">
        <f t="shared" ca="1" si="556"/>
        <v>65.974999999999994</v>
      </c>
      <c r="BT390" s="926">
        <f t="shared" ca="1" si="557"/>
        <v>78.88</v>
      </c>
      <c r="BU390" s="926">
        <f t="shared" ca="1" si="558"/>
        <v>18</v>
      </c>
      <c r="BV390" s="926">
        <f t="shared" ca="1" si="559"/>
        <v>7.5250000000000004</v>
      </c>
      <c r="BW390" s="926">
        <v>0</v>
      </c>
      <c r="BX390" s="926">
        <f t="shared" ca="1" si="560"/>
        <v>20.753456221198157</v>
      </c>
      <c r="BY390" s="926">
        <f t="shared" ca="1" si="561"/>
        <v>20.002526528549769</v>
      </c>
      <c r="BZ390" s="926">
        <f t="shared" ca="1" si="471"/>
        <v>10.866122448979594</v>
      </c>
      <c r="CA390" s="926">
        <f t="shared" ca="1" si="472"/>
        <v>35.999999985599999</v>
      </c>
      <c r="CB390" s="926">
        <f t="shared" ca="1" si="562"/>
        <v>15.79675572519084</v>
      </c>
      <c r="CC390" s="926">
        <f t="shared" si="473"/>
        <v>0</v>
      </c>
      <c r="CD390" s="1018">
        <f t="shared" ca="1" si="565"/>
        <v>129.46386090951836</v>
      </c>
      <c r="CE390" s="1018">
        <f t="shared" ca="1" si="563"/>
        <v>44.262287553242658</v>
      </c>
      <c r="CF390" s="926">
        <f t="shared" ca="1" si="474"/>
        <v>5.2117844538828306</v>
      </c>
      <c r="CG390" s="926">
        <f t="shared" ca="1" si="475"/>
        <v>8677.4126443367568</v>
      </c>
    </row>
    <row r="391" spans="4:85" x14ac:dyDescent="0.25">
      <c r="D391" s="741"/>
      <c r="E391" s="740"/>
      <c r="F391" s="741"/>
      <c r="G391" s="740"/>
      <c r="H391" s="740"/>
      <c r="I391" s="740"/>
      <c r="J391" s="740"/>
      <c r="K391" s="740"/>
      <c r="L391" s="740"/>
      <c r="M391" s="741"/>
      <c r="N391" s="741"/>
      <c r="O391" s="741"/>
      <c r="P391" s="741"/>
      <c r="Q391" s="741" t="s">
        <v>22</v>
      </c>
      <c r="R391" s="743">
        <v>0.81</v>
      </c>
      <c r="S391" s="741"/>
      <c r="T391" s="752">
        <v>3.3849646860847796E-3</v>
      </c>
      <c r="U391" s="740"/>
      <c r="V391" s="176">
        <f t="shared" si="550"/>
        <v>3.3849646860847796E-3</v>
      </c>
      <c r="W391" s="176">
        <f t="shared" si="564"/>
        <v>3.3849646860847796E-3</v>
      </c>
      <c r="X391" s="176">
        <f t="shared" si="564"/>
        <v>3.3849646860847796E-3</v>
      </c>
      <c r="Y391" s="34">
        <f>X391/Calculation_sheet!M$67</f>
        <v>3.3850338965237454E-3</v>
      </c>
      <c r="Z391" s="176">
        <f ca="1">IF(AN391&gt;0,Y391*Calculation_sheet!C$87,0)</f>
        <v>0</v>
      </c>
      <c r="AA391" s="176">
        <f t="shared" ca="1" si="476"/>
        <v>3.3850338965237454E-3</v>
      </c>
      <c r="AB391" s="176">
        <f ca="1">IF(AP391&gt;0,AA391*Calculation_sheet!C$94,0)</f>
        <v>0</v>
      </c>
      <c r="AC391" s="176">
        <f t="shared" ca="1" si="551"/>
        <v>3.3850338965237454E-3</v>
      </c>
      <c r="AD391" s="958">
        <f ca="1">AC391*Calculation_sheet!C$99</f>
        <v>2.0310203379142471E-3</v>
      </c>
      <c r="AE391" s="176">
        <f t="shared" ca="1" si="551"/>
        <v>1.3540135586094983E-3</v>
      </c>
      <c r="AF391" s="176">
        <f t="shared" ca="1" si="552"/>
        <v>3.3850338965237454E-3</v>
      </c>
      <c r="AG391" s="958">
        <f ca="1">AF391*User_sheet!B$77/100</f>
        <v>0</v>
      </c>
      <c r="AH391" s="313"/>
      <c r="AI391" s="3">
        <v>304</v>
      </c>
      <c r="AK391" s="1018">
        <f t="shared" ca="1" si="470"/>
        <v>129.46386090951836</v>
      </c>
      <c r="AL391" s="924">
        <f ca="1">AK391/'304'!I$24</f>
        <v>0.51198806046514289</v>
      </c>
      <c r="AM391" s="924">
        <f ca="1">0.8*(AK391*30+'304'!D$17*0.34*30*1)</f>
        <v>7275.3545018284412</v>
      </c>
      <c r="AN391" s="954">
        <f ca="1">IF(AM391&lt;User_sheet!B$50,Y391,0)</f>
        <v>3.3850338965237454E-3</v>
      </c>
      <c r="AO391" s="954">
        <f ca="1">20-(User_sheet!B$57/(AK391+'304'!D$17*1*0.34))</f>
        <v>1.1967925459000703</v>
      </c>
      <c r="AP391" s="954">
        <f ca="1">IF(AO391&lt;User_sheet!B$59,0,BC391*AA391)</f>
        <v>0</v>
      </c>
      <c r="AR391" s="2">
        <v>0.24</v>
      </c>
      <c r="AS391" s="2">
        <v>0.32</v>
      </c>
      <c r="AT391" s="2">
        <v>0.45</v>
      </c>
      <c r="AU391" s="2">
        <v>2</v>
      </c>
      <c r="AV391" s="2">
        <v>3.3</v>
      </c>
      <c r="AW391" s="2">
        <v>14536.85461731979</v>
      </c>
      <c r="AX391" s="2">
        <v>73366.155837550017</v>
      </c>
      <c r="AY391" s="2">
        <v>65937.809199439725</v>
      </c>
      <c r="AZ391" s="27">
        <v>0</v>
      </c>
      <c r="BA391" s="27">
        <v>0</v>
      </c>
      <c r="BB391" s="2">
        <v>0.6</v>
      </c>
      <c r="BC391" s="30">
        <v>0</v>
      </c>
      <c r="BD391" s="34">
        <v>1</v>
      </c>
      <c r="BE391" s="34">
        <v>0</v>
      </c>
      <c r="BF391" s="40">
        <v>0</v>
      </c>
      <c r="BG391" s="2">
        <v>1</v>
      </c>
      <c r="BH391" s="2">
        <v>0</v>
      </c>
      <c r="BI391" s="40">
        <v>0</v>
      </c>
      <c r="BJ391" s="2">
        <v>0</v>
      </c>
      <c r="BK391" s="2">
        <v>1</v>
      </c>
      <c r="BL391" s="2">
        <v>0</v>
      </c>
      <c r="BM391" s="40">
        <v>0</v>
      </c>
      <c r="BN391" s="958">
        <v>0.1</v>
      </c>
      <c r="BO391" s="959">
        <v>6</v>
      </c>
      <c r="BP391" s="1018">
        <f t="shared" ca="1" si="553"/>
        <v>206.38</v>
      </c>
      <c r="BQ391" s="1018">
        <f t="shared" ca="1" si="554"/>
        <v>308.92399999999992</v>
      </c>
      <c r="BR391" s="1018">
        <f t="shared" ca="1" si="555"/>
        <v>90.07</v>
      </c>
      <c r="BS391" s="1018">
        <f t="shared" ca="1" si="556"/>
        <v>65.974999999999994</v>
      </c>
      <c r="BT391" s="1018">
        <f t="shared" ca="1" si="557"/>
        <v>78.88</v>
      </c>
      <c r="BU391" s="1018">
        <f t="shared" ca="1" si="558"/>
        <v>18</v>
      </c>
      <c r="BV391" s="1018">
        <f t="shared" ca="1" si="559"/>
        <v>7.5250000000000004</v>
      </c>
      <c r="BW391" s="1018">
        <v>0</v>
      </c>
      <c r="BX391" s="1018">
        <f t="shared" ca="1" si="560"/>
        <v>20.753456221198157</v>
      </c>
      <c r="BY391" s="1018">
        <f t="shared" ca="1" si="561"/>
        <v>20.002526528549769</v>
      </c>
      <c r="BZ391" s="1018">
        <f t="shared" ca="1" si="471"/>
        <v>10.866122448979594</v>
      </c>
      <c r="CA391" s="1018">
        <f t="shared" ca="1" si="472"/>
        <v>35.999999985599999</v>
      </c>
      <c r="CB391" s="1018">
        <f t="shared" ca="1" si="562"/>
        <v>15.79675572519084</v>
      </c>
      <c r="CC391" s="1018">
        <f t="shared" si="473"/>
        <v>0</v>
      </c>
      <c r="CD391" s="1018">
        <f t="shared" ca="1" si="565"/>
        <v>129.46386090951836</v>
      </c>
      <c r="CE391" s="1018">
        <f t="shared" ca="1" si="563"/>
        <v>44.262287553242658</v>
      </c>
      <c r="CF391" s="1018">
        <f t="shared" ca="1" si="474"/>
        <v>5.2117844538828306</v>
      </c>
      <c r="CG391" s="1018">
        <f t="shared" ca="1" si="475"/>
        <v>8677.4126443367568</v>
      </c>
    </row>
    <row r="392" spans="4:85" x14ac:dyDescent="0.25">
      <c r="D392" s="741"/>
      <c r="E392" s="740"/>
      <c r="F392" s="741"/>
      <c r="G392" s="740"/>
      <c r="H392" s="741"/>
      <c r="I392" s="740"/>
      <c r="J392" s="741"/>
      <c r="K392" s="741"/>
      <c r="L392" s="741"/>
      <c r="M392" s="741"/>
      <c r="N392" s="741"/>
      <c r="O392" s="741" t="s">
        <v>18</v>
      </c>
      <c r="P392" s="743">
        <v>0.96078431399999997</v>
      </c>
      <c r="Q392" s="741" t="s">
        <v>7</v>
      </c>
      <c r="R392" s="743">
        <v>0.19</v>
      </c>
      <c r="S392" s="741"/>
      <c r="T392" s="752">
        <v>7.9400406216803456E-4</v>
      </c>
      <c r="U392" s="740"/>
      <c r="V392" s="176">
        <f t="shared" si="550"/>
        <v>7.9400406216803456E-4</v>
      </c>
      <c r="W392" s="176">
        <f t="shared" si="564"/>
        <v>7.9400406216803456E-4</v>
      </c>
      <c r="X392" s="176">
        <f t="shared" si="564"/>
        <v>7.9400406216803456E-4</v>
      </c>
      <c r="Y392" s="34">
        <f>X392/Calculation_sheet!M$67</f>
        <v>7.9402029671544626E-4</v>
      </c>
      <c r="Z392" s="176">
        <f ca="1">IF(AN392&gt;0,Y392*Calculation_sheet!C$87,0)</f>
        <v>0</v>
      </c>
      <c r="AA392" s="176">
        <f t="shared" ca="1" si="476"/>
        <v>7.9402029671544626E-4</v>
      </c>
      <c r="AB392" s="176">
        <f ca="1">IF(AP392&gt;0,AA392*Calculation_sheet!C$94,0)</f>
        <v>0</v>
      </c>
      <c r="AC392" s="176">
        <f t="shared" ca="1" si="551"/>
        <v>7.9402029671544626E-4</v>
      </c>
      <c r="AD392" s="958">
        <f ca="1">AC392*Calculation_sheet!C$99</f>
        <v>4.7641217802926771E-4</v>
      </c>
      <c r="AE392" s="176">
        <f t="shared" ca="1" si="551"/>
        <v>3.1760811868617855E-4</v>
      </c>
      <c r="AF392" s="176">
        <f t="shared" ca="1" si="552"/>
        <v>7.9402029671544626E-4</v>
      </c>
      <c r="AG392" s="958">
        <f ca="1">AF392*User_sheet!B$77/100</f>
        <v>0</v>
      </c>
      <c r="AH392" s="313"/>
      <c r="AI392" s="3">
        <v>304</v>
      </c>
      <c r="AK392" s="1018">
        <f t="shared" ca="1" si="470"/>
        <v>129.46386090951836</v>
      </c>
      <c r="AL392" s="924">
        <f ca="1">AK392/'304'!I$24</f>
        <v>0.51198806046514289</v>
      </c>
      <c r="AM392" s="924">
        <f ca="1">0.8*(AK392*30+'304'!D$17*0.34*30*1)</f>
        <v>7275.3545018284412</v>
      </c>
      <c r="AN392" s="954">
        <f ca="1">IF(AM392&lt;User_sheet!B$50,Y392,0)</f>
        <v>7.9402029671544626E-4</v>
      </c>
      <c r="AO392" s="954">
        <f ca="1">20-(User_sheet!B$57/(AK392+'304'!D$17*1*0.34))</f>
        <v>1.1967925459000703</v>
      </c>
      <c r="AP392" s="954">
        <f ca="1">IF(AO392&lt;User_sheet!B$59,0,BC392*AA392)</f>
        <v>0</v>
      </c>
      <c r="AR392" s="2">
        <v>0.24</v>
      </c>
      <c r="AS392" s="2">
        <v>0.32</v>
      </c>
      <c r="AT392" s="2">
        <v>0.45</v>
      </c>
      <c r="AU392" s="2">
        <v>2</v>
      </c>
      <c r="AV392" s="2">
        <v>3.3</v>
      </c>
      <c r="AW392" s="2">
        <v>14536.85461731979</v>
      </c>
      <c r="AX392" s="2">
        <v>73366.155837550017</v>
      </c>
      <c r="AY392" s="2">
        <v>65937.809199439725</v>
      </c>
      <c r="AZ392" s="27">
        <v>0</v>
      </c>
      <c r="BA392" s="27">
        <v>0</v>
      </c>
      <c r="BB392" s="2">
        <v>0.6</v>
      </c>
      <c r="BC392" s="30">
        <v>0</v>
      </c>
      <c r="BD392" s="34">
        <v>1</v>
      </c>
      <c r="BE392" s="34">
        <v>0</v>
      </c>
      <c r="BF392" s="40">
        <v>0</v>
      </c>
      <c r="BG392" s="2">
        <v>1</v>
      </c>
      <c r="BH392" s="2">
        <v>0</v>
      </c>
      <c r="BI392" s="40">
        <v>0</v>
      </c>
      <c r="BJ392" s="2">
        <v>0</v>
      </c>
      <c r="BK392" s="2">
        <v>0</v>
      </c>
      <c r="BL392" s="2">
        <v>1</v>
      </c>
      <c r="BM392" s="40">
        <v>0</v>
      </c>
      <c r="BN392" s="958">
        <v>0.1</v>
      </c>
      <c r="BO392" s="959">
        <v>6</v>
      </c>
      <c r="BP392" s="1018">
        <f t="shared" ca="1" si="553"/>
        <v>206.38</v>
      </c>
      <c r="BQ392" s="1018">
        <f t="shared" ca="1" si="554"/>
        <v>308.92399999999992</v>
      </c>
      <c r="BR392" s="1018">
        <f t="shared" ca="1" si="555"/>
        <v>90.07</v>
      </c>
      <c r="BS392" s="1018">
        <f t="shared" ca="1" si="556"/>
        <v>65.974999999999994</v>
      </c>
      <c r="BT392" s="1018">
        <f t="shared" ca="1" si="557"/>
        <v>78.88</v>
      </c>
      <c r="BU392" s="1018">
        <f t="shared" ca="1" si="558"/>
        <v>18</v>
      </c>
      <c r="BV392" s="1018">
        <f t="shared" ca="1" si="559"/>
        <v>7.5250000000000004</v>
      </c>
      <c r="BW392" s="1018">
        <v>0</v>
      </c>
      <c r="BX392" s="1018">
        <f t="shared" ca="1" si="560"/>
        <v>20.753456221198157</v>
      </c>
      <c r="BY392" s="1018">
        <f t="shared" ca="1" si="561"/>
        <v>20.002526528549769</v>
      </c>
      <c r="BZ392" s="1018">
        <f t="shared" ca="1" si="471"/>
        <v>10.866122448979594</v>
      </c>
      <c r="CA392" s="1018">
        <f t="shared" ca="1" si="472"/>
        <v>35.999999985599999</v>
      </c>
      <c r="CB392" s="1018">
        <f t="shared" ca="1" si="562"/>
        <v>15.79675572519084</v>
      </c>
      <c r="CC392" s="1018">
        <f t="shared" si="473"/>
        <v>0</v>
      </c>
      <c r="CD392" s="1018">
        <f t="shared" ca="1" si="565"/>
        <v>129.46386090951836</v>
      </c>
      <c r="CE392" s="1018">
        <f t="shared" ca="1" si="563"/>
        <v>44.262287553242658</v>
      </c>
      <c r="CF392" s="1018">
        <f t="shared" ca="1" si="474"/>
        <v>5.2117844538828306</v>
      </c>
      <c r="CG392" s="1018">
        <f t="shared" ca="1" si="475"/>
        <v>8677.4126443367568</v>
      </c>
    </row>
    <row r="393" spans="4:85" x14ac:dyDescent="0.25">
      <c r="D393" s="741"/>
      <c r="E393" s="740"/>
      <c r="F393" s="741"/>
      <c r="G393" s="740"/>
      <c r="H393" s="741"/>
      <c r="I393" s="740"/>
      <c r="J393" s="741"/>
      <c r="K393" s="741"/>
      <c r="L393" s="741"/>
      <c r="M393" s="741"/>
      <c r="N393" s="741"/>
      <c r="O393" s="741"/>
      <c r="P393" s="741"/>
      <c r="Q393" s="741" t="s">
        <v>22</v>
      </c>
      <c r="R393" s="743">
        <v>0.81</v>
      </c>
      <c r="S393" s="741"/>
      <c r="T393" s="752">
        <v>1.3816182291522016E-4</v>
      </c>
      <c r="U393" s="740"/>
      <c r="V393" s="176">
        <f t="shared" si="550"/>
        <v>1.3816182291522016E-4</v>
      </c>
      <c r="W393" s="176">
        <f t="shared" si="564"/>
        <v>1.3816182291522016E-4</v>
      </c>
      <c r="X393" s="176">
        <f t="shared" si="564"/>
        <v>1.3816182291522016E-4</v>
      </c>
      <c r="Y393" s="34">
        <f>X393/Calculation_sheet!M$67</f>
        <v>1.3816464783107573E-4</v>
      </c>
      <c r="Z393" s="176">
        <f ca="1">IF(AN393&gt;0,Y393*Calculation_sheet!C$87,0)</f>
        <v>0</v>
      </c>
      <c r="AA393" s="176">
        <f t="shared" ca="1" si="476"/>
        <v>1.3816464783107573E-4</v>
      </c>
      <c r="AB393" s="176">
        <f ca="1">IF(AP393&gt;0,AA393*Calculation_sheet!C$94,0)</f>
        <v>0</v>
      </c>
      <c r="AC393" s="176">
        <f t="shared" ca="1" si="551"/>
        <v>1.3816464783107573E-4</v>
      </c>
      <c r="AD393" s="958">
        <f ca="1">AC393*Calculation_sheet!C$99</f>
        <v>8.2898788698645433E-5</v>
      </c>
      <c r="AE393" s="176">
        <f t="shared" ca="1" si="551"/>
        <v>5.5265859132430298E-5</v>
      </c>
      <c r="AF393" s="176">
        <f t="shared" ca="1" si="552"/>
        <v>1.3816464783107573E-4</v>
      </c>
      <c r="AG393" s="958">
        <f ca="1">AF393*User_sheet!B$77/100</f>
        <v>0</v>
      </c>
      <c r="AH393" s="313"/>
      <c r="AI393" s="3">
        <v>304</v>
      </c>
      <c r="AK393" s="1018">
        <f t="shared" ca="1" si="470"/>
        <v>129.46386090951836</v>
      </c>
      <c r="AL393" s="924">
        <f ca="1">AK393/'304'!I$24</f>
        <v>0.51198806046514289</v>
      </c>
      <c r="AM393" s="924">
        <f ca="1">0.8*(AK393*30+'304'!D$17*0.34*30*1)</f>
        <v>7275.3545018284412</v>
      </c>
      <c r="AN393" s="954">
        <f ca="1">IF(AM393&lt;User_sheet!B$50,Y393,0)</f>
        <v>1.3816464783107573E-4</v>
      </c>
      <c r="AO393" s="954">
        <f ca="1">20-(User_sheet!B$57/(AK393+'304'!D$17*1*0.34))</f>
        <v>1.1967925459000703</v>
      </c>
      <c r="AP393" s="954">
        <f ca="1">IF(AO393&lt;User_sheet!B$59,0,BC393*AA393)</f>
        <v>0</v>
      </c>
      <c r="AR393" s="2">
        <v>0.24</v>
      </c>
      <c r="AS393" s="2">
        <v>0.32</v>
      </c>
      <c r="AT393" s="2">
        <v>0.45</v>
      </c>
      <c r="AU393" s="2">
        <v>2</v>
      </c>
      <c r="AV393" s="2">
        <v>3.3</v>
      </c>
      <c r="AW393" s="2">
        <v>14536.85461731979</v>
      </c>
      <c r="AX393" s="2">
        <v>73366.155837550017</v>
      </c>
      <c r="AY393" s="2">
        <v>65937.809199439725</v>
      </c>
      <c r="AZ393" s="27">
        <v>0</v>
      </c>
      <c r="BA393" s="27">
        <v>0</v>
      </c>
      <c r="BB393" s="2">
        <v>0.6</v>
      </c>
      <c r="BC393" s="30">
        <v>0</v>
      </c>
      <c r="BD393" s="34">
        <v>1</v>
      </c>
      <c r="BE393" s="34">
        <v>0</v>
      </c>
      <c r="BF393" s="40">
        <v>0</v>
      </c>
      <c r="BG393" s="2">
        <v>0</v>
      </c>
      <c r="BH393" s="2">
        <v>1</v>
      </c>
      <c r="BI393" s="40">
        <v>0</v>
      </c>
      <c r="BJ393" s="2">
        <v>0</v>
      </c>
      <c r="BK393" s="2">
        <v>1</v>
      </c>
      <c r="BL393" s="2">
        <v>0</v>
      </c>
      <c r="BM393" s="40">
        <v>0</v>
      </c>
      <c r="BN393" s="958">
        <v>0.1</v>
      </c>
      <c r="BO393" s="959">
        <v>6</v>
      </c>
      <c r="BP393" s="1018">
        <f t="shared" ca="1" si="553"/>
        <v>206.38</v>
      </c>
      <c r="BQ393" s="1018">
        <f t="shared" ca="1" si="554"/>
        <v>308.92399999999992</v>
      </c>
      <c r="BR393" s="1018">
        <f t="shared" ca="1" si="555"/>
        <v>90.07</v>
      </c>
      <c r="BS393" s="1018">
        <f t="shared" ca="1" si="556"/>
        <v>65.974999999999994</v>
      </c>
      <c r="BT393" s="1018">
        <f t="shared" ca="1" si="557"/>
        <v>78.88</v>
      </c>
      <c r="BU393" s="1018">
        <f t="shared" ca="1" si="558"/>
        <v>18</v>
      </c>
      <c r="BV393" s="1018">
        <f t="shared" ca="1" si="559"/>
        <v>7.5250000000000004</v>
      </c>
      <c r="BW393" s="1018">
        <v>0</v>
      </c>
      <c r="BX393" s="1018">
        <f t="shared" ca="1" si="560"/>
        <v>20.753456221198157</v>
      </c>
      <c r="BY393" s="1018">
        <f t="shared" ca="1" si="561"/>
        <v>20.002526528549769</v>
      </c>
      <c r="BZ393" s="1018">
        <f t="shared" ca="1" si="471"/>
        <v>10.866122448979594</v>
      </c>
      <c r="CA393" s="1018">
        <f t="shared" ca="1" si="472"/>
        <v>35.999999985599999</v>
      </c>
      <c r="CB393" s="1018">
        <f t="shared" ca="1" si="562"/>
        <v>15.79675572519084</v>
      </c>
      <c r="CC393" s="1018">
        <f t="shared" si="473"/>
        <v>0</v>
      </c>
      <c r="CD393" s="1018">
        <f t="shared" ca="1" si="565"/>
        <v>129.46386090951836</v>
      </c>
      <c r="CE393" s="1018">
        <f t="shared" ca="1" si="563"/>
        <v>44.262287553242658</v>
      </c>
      <c r="CF393" s="1018">
        <f t="shared" ca="1" si="474"/>
        <v>5.2117844538828306</v>
      </c>
      <c r="CG393" s="1018">
        <f t="shared" ca="1" si="475"/>
        <v>8677.4126443367568</v>
      </c>
    </row>
    <row r="394" spans="4:85" x14ac:dyDescent="0.25">
      <c r="D394" s="741"/>
      <c r="E394" s="740"/>
      <c r="F394" s="741"/>
      <c r="G394" s="740"/>
      <c r="H394" s="741"/>
      <c r="I394" s="740"/>
      <c r="J394" s="741"/>
      <c r="K394" s="741"/>
      <c r="L394" s="741"/>
      <c r="M394" s="741" t="s">
        <v>22</v>
      </c>
      <c r="N394" s="743">
        <v>0.375</v>
      </c>
      <c r="O394" s="741" t="s">
        <v>20</v>
      </c>
      <c r="P394" s="743">
        <v>3.9215686E-2</v>
      </c>
      <c r="Q394" s="741" t="s">
        <v>7</v>
      </c>
      <c r="R394" s="743">
        <v>0.19</v>
      </c>
      <c r="S394" s="741"/>
      <c r="T394" s="752">
        <v>3.2408328831965216E-5</v>
      </c>
      <c r="U394" s="740"/>
      <c r="V394" s="176">
        <f t="shared" si="550"/>
        <v>3.2408328831965216E-5</v>
      </c>
      <c r="W394" s="176">
        <f t="shared" si="564"/>
        <v>3.2408328831965216E-5</v>
      </c>
      <c r="X394" s="176">
        <f t="shared" si="564"/>
        <v>3.2408328831965216E-5</v>
      </c>
      <c r="Y394" s="34">
        <f>X394/Calculation_sheet!M$67</f>
        <v>3.2408991466548623E-5</v>
      </c>
      <c r="Z394" s="176">
        <f ca="1">IF(AN394&gt;0,Y394*Calculation_sheet!C$87,0)</f>
        <v>0</v>
      </c>
      <c r="AA394" s="176">
        <f t="shared" ca="1" si="476"/>
        <v>3.2408991466548623E-5</v>
      </c>
      <c r="AB394" s="176">
        <f ca="1">IF(AP394&gt;0,AA394*Calculation_sheet!C$94,0)</f>
        <v>0</v>
      </c>
      <c r="AC394" s="176">
        <f t="shared" ca="1" si="551"/>
        <v>3.2408991466548623E-5</v>
      </c>
      <c r="AD394" s="958">
        <f ca="1">AC394*Calculation_sheet!C$99</f>
        <v>1.9445394879929175E-5</v>
      </c>
      <c r="AE394" s="176">
        <f t="shared" ca="1" si="551"/>
        <v>1.2963596586619449E-5</v>
      </c>
      <c r="AF394" s="176">
        <f t="shared" ca="1" si="552"/>
        <v>3.2408991466548623E-5</v>
      </c>
      <c r="AG394" s="958">
        <f ca="1">AF394*User_sheet!B$77/100</f>
        <v>0</v>
      </c>
      <c r="AH394" s="313"/>
      <c r="AI394" s="3">
        <v>304</v>
      </c>
      <c r="AK394" s="1018">
        <f t="shared" ca="1" si="470"/>
        <v>129.46386090951836</v>
      </c>
      <c r="AL394" s="924">
        <f ca="1">AK394/'304'!I$24</f>
        <v>0.51198806046514289</v>
      </c>
      <c r="AM394" s="924">
        <f ca="1">0.8*(AK394*30+'304'!D$17*0.34*30*1)</f>
        <v>7275.3545018284412</v>
      </c>
      <c r="AN394" s="954">
        <f ca="1">IF(AM394&lt;User_sheet!B$50,Y394,0)</f>
        <v>3.2408991466548623E-5</v>
      </c>
      <c r="AO394" s="954">
        <f ca="1">20-(User_sheet!B$57/(AK394+'304'!D$17*1*0.34))</f>
        <v>1.1967925459000703</v>
      </c>
      <c r="AP394" s="954">
        <f ca="1">IF(AO394&lt;User_sheet!B$59,0,BC394*AA394)</f>
        <v>0</v>
      </c>
      <c r="AR394" s="2">
        <v>0.24</v>
      </c>
      <c r="AS394" s="2">
        <v>0.32</v>
      </c>
      <c r="AT394" s="2">
        <v>0.45</v>
      </c>
      <c r="AU394" s="2">
        <v>2</v>
      </c>
      <c r="AV394" s="2">
        <v>3.3</v>
      </c>
      <c r="AW394" s="2">
        <v>14536.85461731979</v>
      </c>
      <c r="AX394" s="2">
        <v>73366.155837550017</v>
      </c>
      <c r="AY394" s="2">
        <v>65937.809199439725</v>
      </c>
      <c r="AZ394" s="27">
        <v>0</v>
      </c>
      <c r="BA394" s="27">
        <v>0</v>
      </c>
      <c r="BB394" s="2">
        <v>0.6</v>
      </c>
      <c r="BC394" s="30">
        <v>0</v>
      </c>
      <c r="BD394" s="34">
        <v>1</v>
      </c>
      <c r="BE394" s="34">
        <v>0</v>
      </c>
      <c r="BF394" s="40">
        <v>0</v>
      </c>
      <c r="BG394" s="2">
        <v>0</v>
      </c>
      <c r="BH394" s="2">
        <v>1</v>
      </c>
      <c r="BI394" s="40">
        <v>0</v>
      </c>
      <c r="BJ394" s="2">
        <v>0</v>
      </c>
      <c r="BK394" s="2">
        <v>0</v>
      </c>
      <c r="BL394" s="2">
        <v>1</v>
      </c>
      <c r="BM394" s="40">
        <v>0</v>
      </c>
      <c r="BN394" s="958">
        <v>0.1</v>
      </c>
      <c r="BO394" s="959">
        <v>6</v>
      </c>
      <c r="BP394" s="1018">
        <f t="shared" ca="1" si="553"/>
        <v>206.38</v>
      </c>
      <c r="BQ394" s="1018">
        <f t="shared" ca="1" si="554"/>
        <v>308.92399999999992</v>
      </c>
      <c r="BR394" s="1018">
        <f t="shared" ca="1" si="555"/>
        <v>90.07</v>
      </c>
      <c r="BS394" s="1018">
        <f t="shared" ca="1" si="556"/>
        <v>65.974999999999994</v>
      </c>
      <c r="BT394" s="1018">
        <f t="shared" ca="1" si="557"/>
        <v>78.88</v>
      </c>
      <c r="BU394" s="1018">
        <f t="shared" ca="1" si="558"/>
        <v>18</v>
      </c>
      <c r="BV394" s="1018">
        <f t="shared" ca="1" si="559"/>
        <v>7.5250000000000004</v>
      </c>
      <c r="BW394" s="1018">
        <v>0</v>
      </c>
      <c r="BX394" s="1018">
        <f t="shared" ca="1" si="560"/>
        <v>20.753456221198157</v>
      </c>
      <c r="BY394" s="1018">
        <f t="shared" ca="1" si="561"/>
        <v>20.002526528549769</v>
      </c>
      <c r="BZ394" s="1018">
        <f t="shared" ca="1" si="471"/>
        <v>10.866122448979594</v>
      </c>
      <c r="CA394" s="1018">
        <f t="shared" ca="1" si="472"/>
        <v>35.999999985599999</v>
      </c>
      <c r="CB394" s="1018">
        <f t="shared" ca="1" si="562"/>
        <v>15.79675572519084</v>
      </c>
      <c r="CC394" s="1018">
        <f t="shared" si="473"/>
        <v>0</v>
      </c>
      <c r="CD394" s="1018">
        <f t="shared" ca="1" si="565"/>
        <v>129.46386090951836</v>
      </c>
      <c r="CE394" s="1018">
        <f t="shared" ca="1" si="563"/>
        <v>44.262287553242658</v>
      </c>
      <c r="CF394" s="1018">
        <f t="shared" ca="1" si="474"/>
        <v>5.2117844538828306</v>
      </c>
      <c r="CG394" s="1018">
        <f t="shared" ca="1" si="475"/>
        <v>8677.4126443367568</v>
      </c>
    </row>
    <row r="395" spans="4:85" x14ac:dyDescent="0.25">
      <c r="D395" s="741"/>
      <c r="E395" s="740" t="s">
        <v>4</v>
      </c>
      <c r="F395" s="745">
        <v>0.87</v>
      </c>
      <c r="G395" s="740" t="s">
        <v>5</v>
      </c>
      <c r="H395" s="745">
        <v>1</v>
      </c>
      <c r="I395" s="740" t="s">
        <v>6</v>
      </c>
      <c r="J395" s="745">
        <v>1</v>
      </c>
      <c r="K395" s="744" t="s">
        <v>12</v>
      </c>
      <c r="L395" s="745">
        <v>1</v>
      </c>
      <c r="M395" s="741" t="s">
        <v>7</v>
      </c>
      <c r="N395" s="743">
        <v>0.125</v>
      </c>
      <c r="O395" s="741" t="s">
        <v>23</v>
      </c>
      <c r="P395" s="743">
        <v>1</v>
      </c>
      <c r="Q395" s="741" t="s">
        <v>7</v>
      </c>
      <c r="R395" s="743">
        <v>1</v>
      </c>
      <c r="S395" s="741"/>
      <c r="T395" s="752">
        <v>1.4498463E-3</v>
      </c>
      <c r="U395" s="740"/>
      <c r="V395" s="176">
        <f t="shared" si="550"/>
        <v>1.4498463E-3</v>
      </c>
      <c r="W395" s="176">
        <f t="shared" si="564"/>
        <v>1.4498463E-3</v>
      </c>
      <c r="X395" s="176">
        <f t="shared" si="564"/>
        <v>1.4498463E-3</v>
      </c>
      <c r="Y395" s="34">
        <f>X395/Calculation_sheet!M$67</f>
        <v>1.4498759441789388E-3</v>
      </c>
      <c r="Z395" s="176">
        <f ca="1">IF(AN395&gt;0,Y395*Calculation_sheet!C$87,0)</f>
        <v>0</v>
      </c>
      <c r="AA395" s="176">
        <f t="shared" ca="1" si="476"/>
        <v>1.4498759441789388E-3</v>
      </c>
      <c r="AB395" s="176">
        <f ca="1">IF(AP395&gt;0,AA395*Calculation_sheet!C$94,0)</f>
        <v>0</v>
      </c>
      <c r="AC395" s="176">
        <f t="shared" ca="1" si="551"/>
        <v>1.4498759441789388E-3</v>
      </c>
      <c r="AD395" s="958">
        <f ca="1">AC395*Calculation_sheet!C$99</f>
        <v>8.6992556650736328E-4</v>
      </c>
      <c r="AE395" s="176">
        <f t="shared" ca="1" si="551"/>
        <v>5.7995037767157552E-4</v>
      </c>
      <c r="AF395" s="176">
        <f t="shared" ca="1" si="552"/>
        <v>1.4498759441789388E-3</v>
      </c>
      <c r="AG395" s="958">
        <f ca="1">AF395*User_sheet!B$77/100</f>
        <v>0</v>
      </c>
      <c r="AH395" s="313"/>
      <c r="AI395" s="3">
        <v>304</v>
      </c>
      <c r="AK395" s="1018">
        <f t="shared" ca="1" si="470"/>
        <v>129.46386090951836</v>
      </c>
      <c r="AL395" s="924">
        <f ca="1">AK395/'304'!I$24</f>
        <v>0.51198806046514289</v>
      </c>
      <c r="AM395" s="924">
        <f ca="1">0.8*(AK395*30+'304'!D$17*0.34*30*1)</f>
        <v>7275.3545018284412</v>
      </c>
      <c r="AN395" s="954">
        <f ca="1">IF(AM395&lt;User_sheet!B$50,Y395,0)</f>
        <v>1.4498759441789388E-3</v>
      </c>
      <c r="AO395" s="954">
        <f ca="1">20-(User_sheet!B$57/(AK395+'304'!D$17*1*0.34))</f>
        <v>1.1967925459000703</v>
      </c>
      <c r="AP395" s="954">
        <f ca="1">IF(AO395&lt;User_sheet!B$59,0,BC395*AA395)</f>
        <v>0</v>
      </c>
      <c r="AR395" s="2">
        <v>0.24</v>
      </c>
      <c r="AS395" s="2">
        <v>0.32</v>
      </c>
      <c r="AT395" s="2">
        <v>0.45</v>
      </c>
      <c r="AU395" s="2">
        <v>2</v>
      </c>
      <c r="AV395" s="2">
        <v>3.3</v>
      </c>
      <c r="AW395" s="2">
        <v>14536.85461731979</v>
      </c>
      <c r="AX395" s="2">
        <v>73366.155837550017</v>
      </c>
      <c r="AY395" s="2">
        <v>65937.809199439725</v>
      </c>
      <c r="AZ395" s="27">
        <v>0</v>
      </c>
      <c r="BA395" s="27">
        <v>0</v>
      </c>
      <c r="BB395" s="2">
        <v>0.6</v>
      </c>
      <c r="BC395" s="30">
        <v>0</v>
      </c>
      <c r="BD395" s="34">
        <v>0</v>
      </c>
      <c r="BE395" s="34">
        <v>1</v>
      </c>
      <c r="BF395" s="40">
        <v>0</v>
      </c>
      <c r="BG395" s="2">
        <v>0</v>
      </c>
      <c r="BH395" s="2">
        <v>0</v>
      </c>
      <c r="BI395" s="40">
        <v>1</v>
      </c>
      <c r="BJ395" s="2">
        <v>0</v>
      </c>
      <c r="BK395" s="2">
        <v>0</v>
      </c>
      <c r="BL395" s="2">
        <v>1</v>
      </c>
      <c r="BM395" s="40">
        <v>0</v>
      </c>
      <c r="BN395" s="958">
        <v>0.1</v>
      </c>
      <c r="BO395" s="959">
        <v>6</v>
      </c>
      <c r="BP395" s="1018">
        <f t="shared" ca="1" si="553"/>
        <v>206.38</v>
      </c>
      <c r="BQ395" s="1018">
        <f t="shared" ca="1" si="554"/>
        <v>308.92399999999992</v>
      </c>
      <c r="BR395" s="1018">
        <f t="shared" ca="1" si="555"/>
        <v>90.07</v>
      </c>
      <c r="BS395" s="1018">
        <f t="shared" ca="1" si="556"/>
        <v>65.974999999999994</v>
      </c>
      <c r="BT395" s="1018">
        <f t="shared" ca="1" si="557"/>
        <v>78.88</v>
      </c>
      <c r="BU395" s="1018">
        <f t="shared" ca="1" si="558"/>
        <v>18</v>
      </c>
      <c r="BV395" s="1018">
        <f t="shared" ca="1" si="559"/>
        <v>7.5250000000000004</v>
      </c>
      <c r="BW395" s="1018">
        <v>0</v>
      </c>
      <c r="BX395" s="1018">
        <f t="shared" ca="1" si="560"/>
        <v>20.753456221198157</v>
      </c>
      <c r="BY395" s="1018">
        <f t="shared" ca="1" si="561"/>
        <v>20.002526528549769</v>
      </c>
      <c r="BZ395" s="1018">
        <f t="shared" ca="1" si="471"/>
        <v>10.866122448979594</v>
      </c>
      <c r="CA395" s="1018">
        <f t="shared" ca="1" si="472"/>
        <v>35.999999985599999</v>
      </c>
      <c r="CB395" s="1018">
        <f t="shared" ca="1" si="562"/>
        <v>15.79675572519084</v>
      </c>
      <c r="CC395" s="1018">
        <f t="shared" si="473"/>
        <v>0</v>
      </c>
      <c r="CD395" s="1018">
        <f t="shared" ca="1" si="565"/>
        <v>129.46386090951836</v>
      </c>
      <c r="CE395" s="1018">
        <f t="shared" ca="1" si="563"/>
        <v>44.262287553242658</v>
      </c>
      <c r="CF395" s="1018">
        <f t="shared" ca="1" si="474"/>
        <v>5.2117844538828306</v>
      </c>
      <c r="CG395" s="1018">
        <f t="shared" ca="1" si="475"/>
        <v>8677.4126443367568</v>
      </c>
    </row>
    <row r="396" spans="4:85" s="11" customFormat="1" x14ac:dyDescent="0.25">
      <c r="D396" s="755"/>
      <c r="E396" s="754"/>
      <c r="F396" s="755"/>
      <c r="G396" s="754"/>
      <c r="H396" s="755"/>
      <c r="I396" s="754"/>
      <c r="J396" s="755"/>
      <c r="K396" s="756"/>
      <c r="L396" s="755"/>
      <c r="M396" s="755"/>
      <c r="N396" s="755"/>
      <c r="O396" s="755"/>
      <c r="P396" s="755"/>
      <c r="Q396" s="755"/>
      <c r="R396" s="755"/>
      <c r="S396" s="755"/>
      <c r="T396" s="757"/>
      <c r="U396" s="754"/>
      <c r="V396" s="293"/>
      <c r="W396" s="293"/>
      <c r="X396" s="293"/>
      <c r="Y396" s="278"/>
      <c r="Z396" s="292"/>
      <c r="AA396" s="292"/>
      <c r="AB396" s="292"/>
      <c r="AC396" s="292"/>
      <c r="AD396" s="277"/>
      <c r="AE396" s="292"/>
      <c r="AF396" s="292"/>
      <c r="AG396" s="277"/>
      <c r="AH396" s="313"/>
      <c r="AI396" s="891"/>
      <c r="AJ396" s="985"/>
      <c r="AK396" s="1018">
        <f t="shared" si="470"/>
        <v>0</v>
      </c>
      <c r="AL396" s="946"/>
      <c r="AM396" s="946"/>
      <c r="AN396" s="955"/>
      <c r="AO396" s="955"/>
      <c r="AP396" s="955"/>
      <c r="AQ396" s="985"/>
      <c r="AR396" s="891"/>
      <c r="AS396" s="891"/>
      <c r="AT396" s="891"/>
      <c r="AU396" s="891"/>
      <c r="AV396" s="891"/>
      <c r="AW396" s="891"/>
      <c r="AX396" s="891"/>
      <c r="AY396" s="891"/>
      <c r="AZ396" s="891"/>
      <c r="BA396" s="891"/>
      <c r="BB396" s="891"/>
      <c r="BC396" s="892"/>
      <c r="BD396" s="893"/>
      <c r="BE396" s="893"/>
      <c r="BF396" s="894"/>
      <c r="BG396" s="891"/>
      <c r="BH396" s="891"/>
      <c r="BI396" s="894"/>
      <c r="BJ396" s="891"/>
      <c r="BK396" s="891"/>
      <c r="BL396" s="891"/>
      <c r="BM396" s="894"/>
      <c r="BN396" s="893"/>
      <c r="BO396" s="894"/>
      <c r="BP396" s="946"/>
      <c r="BQ396" s="946"/>
      <c r="BR396" s="946"/>
      <c r="BS396" s="946"/>
      <c r="BT396" s="946"/>
      <c r="BU396" s="946"/>
      <c r="BV396" s="946"/>
      <c r="BW396" s="946"/>
      <c r="BX396" s="946"/>
      <c r="BY396" s="946"/>
      <c r="BZ396" s="946"/>
      <c r="CA396" s="946"/>
      <c r="CB396" s="946"/>
      <c r="CC396" s="946"/>
      <c r="CD396" s="946"/>
      <c r="CE396" s="946"/>
      <c r="CF396" s="946"/>
      <c r="CG396" s="946"/>
    </row>
    <row r="397" spans="4:85" s="3" customFormat="1" x14ac:dyDescent="0.25">
      <c r="D397" s="746"/>
      <c r="E397" s="742"/>
      <c r="F397" s="746"/>
      <c r="G397" s="742"/>
      <c r="H397" s="746"/>
      <c r="I397" s="742"/>
      <c r="J397" s="746"/>
      <c r="K397" s="747"/>
      <c r="L397" s="746"/>
      <c r="M397" s="741"/>
      <c r="N397" s="741"/>
      <c r="O397" s="741"/>
      <c r="P397" s="741"/>
      <c r="Q397" s="741" t="s">
        <v>16</v>
      </c>
      <c r="R397" s="743">
        <v>0.81069999999999998</v>
      </c>
      <c r="S397" s="741"/>
      <c r="T397" s="752">
        <v>0</v>
      </c>
      <c r="U397" s="740"/>
      <c r="V397" s="176">
        <f t="shared" ref="V397:V405" si="566">T397</f>
        <v>0</v>
      </c>
      <c r="W397" s="176">
        <f>V397</f>
        <v>0</v>
      </c>
      <c r="X397" s="176">
        <f>W397</f>
        <v>0</v>
      </c>
      <c r="Y397" s="958">
        <f>X397/Calculation_sheet!M$67</f>
        <v>0</v>
      </c>
      <c r="Z397" s="176">
        <f ca="1">IF(AN397&gt;0,Y397*Calculation_sheet!C$87,0)</f>
        <v>0</v>
      </c>
      <c r="AA397" s="176">
        <f t="shared" ca="1" si="476"/>
        <v>0</v>
      </c>
      <c r="AB397" s="176">
        <f ca="1">IF(AP397&gt;0,AA397*Calculation_sheet!C$94,0)</f>
        <v>0</v>
      </c>
      <c r="AC397" s="176">
        <f t="shared" ref="AC397:AE405" ca="1" si="567">AA397-AB397</f>
        <v>0</v>
      </c>
      <c r="AD397" s="958">
        <f ca="1">AC397*Calculation_sheet!C$99</f>
        <v>0</v>
      </c>
      <c r="AE397" s="176">
        <f t="shared" ca="1" si="567"/>
        <v>0</v>
      </c>
      <c r="AF397" s="176">
        <f t="shared" ref="AF397:AF405" ca="1" si="568">Y397-AB397</f>
        <v>0</v>
      </c>
      <c r="AG397" s="958">
        <f ca="1">AF397*User_sheet!B$77/100</f>
        <v>0</v>
      </c>
      <c r="AH397" s="313"/>
      <c r="AI397" s="954">
        <v>304</v>
      </c>
      <c r="AJ397" s="985"/>
      <c r="AK397" s="1018">
        <f t="shared" ca="1" si="470"/>
        <v>137.4856321544425</v>
      </c>
      <c r="AL397" s="924">
        <f ca="1">AK397/'304'!I$24</f>
        <v>0.54371159375335654</v>
      </c>
      <c r="AM397" s="924">
        <f ca="1">0.8*(AK397*30+'304'!D$17*0.34*30*1)</f>
        <v>7467.8770117066197</v>
      </c>
      <c r="AN397" s="954">
        <f ca="1">IF(AM397&lt;User_sheet!B$50,Y397,0)</f>
        <v>0</v>
      </c>
      <c r="AO397" s="954">
        <f ca="1">20-(User_sheet!B$57/(AK397+'304'!D$17*1*0.34))</f>
        <v>1.6815408468092379</v>
      </c>
      <c r="AP397" s="954">
        <f ca="1">IF(AO397&lt;User_sheet!B$59,0,BC397*AA397)</f>
        <v>0</v>
      </c>
      <c r="AQ397" s="985"/>
      <c r="AR397" s="954">
        <v>0.24</v>
      </c>
      <c r="AS397" s="954">
        <v>0.32</v>
      </c>
      <c r="AT397" s="954">
        <v>0.83</v>
      </c>
      <c r="AU397" s="954">
        <v>2</v>
      </c>
      <c r="AV397" s="954">
        <v>3.3</v>
      </c>
      <c r="AW397" s="954">
        <v>14536.85461731979</v>
      </c>
      <c r="AX397" s="954">
        <v>73366.155837550017</v>
      </c>
      <c r="AY397" s="954">
        <v>69245.59826015502</v>
      </c>
      <c r="AZ397" s="956">
        <v>0</v>
      </c>
      <c r="BA397" s="956">
        <v>0</v>
      </c>
      <c r="BB397" s="954">
        <v>0.6</v>
      </c>
      <c r="BC397" s="46">
        <v>1</v>
      </c>
      <c r="BD397" s="199">
        <v>0</v>
      </c>
      <c r="BE397" s="199">
        <v>0</v>
      </c>
      <c r="BF397" s="50">
        <v>0</v>
      </c>
      <c r="BG397" s="956">
        <v>1</v>
      </c>
      <c r="BH397" s="956">
        <v>0</v>
      </c>
      <c r="BI397" s="50">
        <v>0</v>
      </c>
      <c r="BJ397" s="956">
        <v>1</v>
      </c>
      <c r="BK397" s="956">
        <v>0</v>
      </c>
      <c r="BL397" s="956">
        <v>0</v>
      </c>
      <c r="BM397" s="50">
        <v>0</v>
      </c>
      <c r="BN397" s="958">
        <v>0.1</v>
      </c>
      <c r="BO397" s="959">
        <v>6</v>
      </c>
      <c r="BP397" s="926">
        <f t="shared" ref="BP397:BP405" ca="1" si="569">INDIRECT("'"&amp;AI397&amp;"'!"&amp;"B2")</f>
        <v>206.38</v>
      </c>
      <c r="BQ397" s="926">
        <f t="shared" ref="BQ397:BQ405" ca="1" si="570">INDIRECT("'"&amp;AI397&amp;"'!"&amp;"C12")+INDIRECT("'"&amp;AI397&amp;"'!"&amp;"C13")+INDIRECT("'"&amp;AI397&amp;"'!"&amp;"C14")+INDIRECT("'"&amp;AI397&amp;"'!"&amp;"C15")+INDIRECT("'"&amp;AI397&amp;"'!"&amp;"C17")</f>
        <v>308.92399999999992</v>
      </c>
      <c r="BR397" s="926">
        <f t="shared" ref="BR397:BR405" ca="1" si="571">INDIRECT("'"&amp;AI397&amp;"'!"&amp;"G5")</f>
        <v>90.07</v>
      </c>
      <c r="BS397" s="926">
        <f t="shared" ref="BS397:BS405" ca="1" si="572">INDIRECT("'"&amp;AI397&amp;"'!"&amp;"G4")</f>
        <v>65.974999999999994</v>
      </c>
      <c r="BT397" s="926">
        <f t="shared" ref="BT397:BT405" ca="1" si="573">INDIRECT("'"&amp;AI397&amp;"'!"&amp;"G6")</f>
        <v>78.88</v>
      </c>
      <c r="BU397" s="926">
        <f t="shared" ref="BU397:BU405" ca="1" si="574">INDIRECT("'"&amp;AI397&amp;"'!"&amp;"G2")</f>
        <v>18</v>
      </c>
      <c r="BV397" s="926">
        <f t="shared" ref="BV397:BV405" ca="1" si="575">INDIRECT("'"&amp;AI397&amp;"'!"&amp;"G3")</f>
        <v>7.5250000000000004</v>
      </c>
      <c r="BW397" s="926">
        <v>0</v>
      </c>
      <c r="BX397" s="926">
        <f t="shared" ref="BX397:BX405" ca="1" si="576">IF(BR397=0,0,1/(1/(BR397*$BY$3)+1/(BR397*AR397)+1/(BR397*$BY$4)))</f>
        <v>20.753456221198157</v>
      </c>
      <c r="BY397" s="926">
        <f t="shared" ref="BY397:BY405" ca="1" si="577">IF(BS397=0,0,1/(1/(BS397*$BY$3)+1/(BS397*AS397)+1/(BS397*$BY$4)))</f>
        <v>20.002526528549769</v>
      </c>
      <c r="BZ397" s="926">
        <f t="shared" ca="1" si="471"/>
        <v>18.887893693903717</v>
      </c>
      <c r="CA397" s="926">
        <f t="shared" ca="1" si="472"/>
        <v>35.999999985599999</v>
      </c>
      <c r="CB397" s="926">
        <f t="shared" ref="CB397:CB405" ca="1" si="578">IF(BV397=0,0,1/(1/(BV397*$BY$3)+1/(BV397*AV397)+1/(BV397*$BY$4)))</f>
        <v>15.79675572519084</v>
      </c>
      <c r="CC397" s="926">
        <f t="shared" si="473"/>
        <v>0</v>
      </c>
      <c r="CD397" s="1018">
        <f ca="1">SUM(BX397:CC397)+(BR397+BS397+BT397+BU397+BV397)*BN397</f>
        <v>137.4856321544425</v>
      </c>
      <c r="CE397" s="1018">
        <f t="shared" ca="1" si="563"/>
        <v>44.262287553242658</v>
      </c>
      <c r="CF397" s="926">
        <f t="shared" ca="1" si="474"/>
        <v>5.4524375912305549</v>
      </c>
      <c r="CG397" s="926">
        <f t="shared" ca="1" si="475"/>
        <v>9078.0904918952237</v>
      </c>
    </row>
    <row r="398" spans="4:85" s="3" customFormat="1" x14ac:dyDescent="0.25">
      <c r="D398" s="746"/>
      <c r="E398" s="742"/>
      <c r="F398" s="746"/>
      <c r="G398" s="742"/>
      <c r="H398" s="746"/>
      <c r="I398" s="742"/>
      <c r="J398" s="746"/>
      <c r="K398" s="747"/>
      <c r="L398" s="746"/>
      <c r="M398" s="741"/>
      <c r="N398" s="741"/>
      <c r="O398" s="741" t="s">
        <v>18</v>
      </c>
      <c r="P398" s="743">
        <v>0.962121212</v>
      </c>
      <c r="Q398" s="741" t="s">
        <v>7</v>
      </c>
      <c r="R398" s="743">
        <v>0.1893</v>
      </c>
      <c r="S398" s="741"/>
      <c r="T398" s="752">
        <v>0</v>
      </c>
      <c r="U398" s="740"/>
      <c r="V398" s="176">
        <f t="shared" si="566"/>
        <v>0</v>
      </c>
      <c r="W398" s="176">
        <f t="shared" ref="W398:W405" si="579">V398</f>
        <v>0</v>
      </c>
      <c r="X398" s="176">
        <f t="shared" ref="X398:X405" si="580">W398</f>
        <v>0</v>
      </c>
      <c r="Y398" s="958">
        <f>X398/Calculation_sheet!M$67</f>
        <v>0</v>
      </c>
      <c r="Z398" s="176">
        <f ca="1">IF(AN398&gt;0,Y398*Calculation_sheet!C$87,0)</f>
        <v>0</v>
      </c>
      <c r="AA398" s="176">
        <f t="shared" ca="1" si="476"/>
        <v>0</v>
      </c>
      <c r="AB398" s="176">
        <f ca="1">IF(AP398&gt;0,AA398*Calculation_sheet!C$94,0)</f>
        <v>0</v>
      </c>
      <c r="AC398" s="176">
        <f t="shared" ca="1" si="567"/>
        <v>0</v>
      </c>
      <c r="AD398" s="958">
        <f ca="1">AC398*Calculation_sheet!C$99</f>
        <v>0</v>
      </c>
      <c r="AE398" s="176">
        <f t="shared" ca="1" si="567"/>
        <v>0</v>
      </c>
      <c r="AF398" s="176">
        <f t="shared" ca="1" si="568"/>
        <v>0</v>
      </c>
      <c r="AG398" s="958">
        <f ca="1">AF398*User_sheet!B$77/100</f>
        <v>0</v>
      </c>
      <c r="AH398" s="313"/>
      <c r="AI398" s="954">
        <v>304</v>
      </c>
      <c r="AJ398" s="985"/>
      <c r="AK398" s="1018">
        <f t="shared" ref="AK398:AK461" ca="1" si="581">CD398</f>
        <v>137.4856321544425</v>
      </c>
      <c r="AL398" s="924">
        <f ca="1">AK398/'304'!I$24</f>
        <v>0.54371159375335654</v>
      </c>
      <c r="AM398" s="924">
        <f ca="1">0.8*(AK398*30+'304'!D$17*0.34*30*1)</f>
        <v>7467.8770117066197</v>
      </c>
      <c r="AN398" s="954">
        <f ca="1">IF(AM398&lt;User_sheet!B$50,Y398,0)</f>
        <v>0</v>
      </c>
      <c r="AO398" s="954">
        <f ca="1">20-(User_sheet!B$57/(AK398+'304'!D$17*1*0.34))</f>
        <v>1.6815408468092379</v>
      </c>
      <c r="AP398" s="954">
        <f ca="1">IF(AO398&lt;User_sheet!B$59,0,BC398*AA398)</f>
        <v>0</v>
      </c>
      <c r="AQ398" s="985"/>
      <c r="AR398" s="954">
        <v>0.24</v>
      </c>
      <c r="AS398" s="954">
        <v>0.32</v>
      </c>
      <c r="AT398" s="954">
        <v>0.83</v>
      </c>
      <c r="AU398" s="954">
        <v>2</v>
      </c>
      <c r="AV398" s="954">
        <v>3.3</v>
      </c>
      <c r="AW398" s="954">
        <v>14536.85461731979</v>
      </c>
      <c r="AX398" s="954">
        <v>73366.155837550017</v>
      </c>
      <c r="AY398" s="954">
        <v>69245.59826015502</v>
      </c>
      <c r="AZ398" s="956">
        <v>0</v>
      </c>
      <c r="BA398" s="956">
        <v>0</v>
      </c>
      <c r="BB398" s="954">
        <v>0.6</v>
      </c>
      <c r="BC398" s="46">
        <v>1</v>
      </c>
      <c r="BD398" s="199">
        <v>0</v>
      </c>
      <c r="BE398" s="199">
        <v>0</v>
      </c>
      <c r="BF398" s="50">
        <v>0</v>
      </c>
      <c r="BG398" s="956">
        <v>1</v>
      </c>
      <c r="BH398" s="956">
        <v>0</v>
      </c>
      <c r="BI398" s="50">
        <v>0</v>
      </c>
      <c r="BJ398" s="956">
        <v>0</v>
      </c>
      <c r="BK398" s="956">
        <v>0</v>
      </c>
      <c r="BL398" s="956">
        <v>1</v>
      </c>
      <c r="BM398" s="50">
        <v>0</v>
      </c>
      <c r="BN398" s="958">
        <v>0.1</v>
      </c>
      <c r="BO398" s="959">
        <v>6</v>
      </c>
      <c r="BP398" s="926">
        <f t="shared" ca="1" si="569"/>
        <v>206.38</v>
      </c>
      <c r="BQ398" s="926">
        <f t="shared" ca="1" si="570"/>
        <v>308.92399999999992</v>
      </c>
      <c r="BR398" s="926">
        <f t="shared" ca="1" si="571"/>
        <v>90.07</v>
      </c>
      <c r="BS398" s="926">
        <f t="shared" ca="1" si="572"/>
        <v>65.974999999999994</v>
      </c>
      <c r="BT398" s="926">
        <f t="shared" ca="1" si="573"/>
        <v>78.88</v>
      </c>
      <c r="BU398" s="926">
        <f t="shared" ca="1" si="574"/>
        <v>18</v>
      </c>
      <c r="BV398" s="926">
        <f t="shared" ca="1" si="575"/>
        <v>7.5250000000000004</v>
      </c>
      <c r="BW398" s="926">
        <v>0</v>
      </c>
      <c r="BX398" s="926">
        <f t="shared" ca="1" si="576"/>
        <v>20.753456221198157</v>
      </c>
      <c r="BY398" s="926">
        <f t="shared" ca="1" si="577"/>
        <v>20.002526528549769</v>
      </c>
      <c r="BZ398" s="926">
        <f t="shared" ref="BZ398:BZ461" ca="1" si="582">IF(BT398=0,0,1/(1/(BT398*$BY$3)+1/(BT398*AT398)+1/(BT398*$BY$4)))*0.33</f>
        <v>18.887893693903717</v>
      </c>
      <c r="CA398" s="926">
        <f t="shared" ref="CA398:CA461" ca="1" si="583">IF(BU398=0,0,1/(1/(BU398*$BY$5)+1/(BU398*AU398)+1/(BU398*$BY$6)))</f>
        <v>35.999999985599999</v>
      </c>
      <c r="CB398" s="926">
        <f t="shared" ca="1" si="578"/>
        <v>15.79675572519084</v>
      </c>
      <c r="CC398" s="926">
        <f t="shared" ref="CC398:CC461" si="584">0.67*IF(BW398=0,0,1/(1/(BW398*$BY$3)+1/(BW398*AS398)+1/(BW398*$BY$4)))</f>
        <v>0</v>
      </c>
      <c r="CD398" s="1018">
        <f t="shared" ref="CD398:CD405" ca="1" si="585">SUM(BX398:CC398)+(BR398+BS398+BT398+BU398+BV398)*BN398</f>
        <v>137.4856321544425</v>
      </c>
      <c r="CE398" s="1018">
        <f t="shared" ca="1" si="563"/>
        <v>44.262287553242658</v>
      </c>
      <c r="CF398" s="926">
        <f t="shared" ref="CF398:CF461" ca="1" si="586">(CD398+CE398)*($BY$7-$BV$5)/1000</f>
        <v>5.4524375912305549</v>
      </c>
      <c r="CG398" s="926">
        <f t="shared" ref="CG398:CG461" ca="1" si="587">$BV$8*(CD398+CE398)*($BY$10-$BV$7)*24/1000</f>
        <v>9078.0904918952237</v>
      </c>
    </row>
    <row r="399" spans="4:85" s="3" customFormat="1" x14ac:dyDescent="0.25">
      <c r="D399" s="746"/>
      <c r="E399" s="742"/>
      <c r="F399" s="746"/>
      <c r="G399" s="742"/>
      <c r="H399" s="746"/>
      <c r="I399" s="742"/>
      <c r="J399" s="746"/>
      <c r="K399" s="747"/>
      <c r="L399" s="746"/>
      <c r="M399" s="741"/>
      <c r="N399" s="741"/>
      <c r="O399" s="741"/>
      <c r="P399" s="741"/>
      <c r="Q399" s="741" t="s">
        <v>16</v>
      </c>
      <c r="R399" s="743">
        <v>0.81069999999999998</v>
      </c>
      <c r="S399" s="741"/>
      <c r="T399" s="752">
        <v>0</v>
      </c>
      <c r="U399" s="740"/>
      <c r="V399" s="176">
        <f t="shared" si="566"/>
        <v>0</v>
      </c>
      <c r="W399" s="176">
        <f t="shared" si="579"/>
        <v>0</v>
      </c>
      <c r="X399" s="176">
        <f t="shared" si="580"/>
        <v>0</v>
      </c>
      <c r="Y399" s="958">
        <f>X399/Calculation_sheet!M$67</f>
        <v>0</v>
      </c>
      <c r="Z399" s="176">
        <f ca="1">IF(AN399&gt;0,Y399*Calculation_sheet!C$87,0)</f>
        <v>0</v>
      </c>
      <c r="AA399" s="176">
        <f t="shared" ca="1" si="476"/>
        <v>0</v>
      </c>
      <c r="AB399" s="176">
        <f ca="1">IF(AP399&gt;0,AA399*Calculation_sheet!C$94,0)</f>
        <v>0</v>
      </c>
      <c r="AC399" s="176">
        <f t="shared" ca="1" si="567"/>
        <v>0</v>
      </c>
      <c r="AD399" s="958">
        <f ca="1">AC399*Calculation_sheet!C$99</f>
        <v>0</v>
      </c>
      <c r="AE399" s="176">
        <f t="shared" ca="1" si="567"/>
        <v>0</v>
      </c>
      <c r="AF399" s="176">
        <f t="shared" ca="1" si="568"/>
        <v>0</v>
      </c>
      <c r="AG399" s="958">
        <f ca="1">AF399*User_sheet!B$77/100</f>
        <v>0</v>
      </c>
      <c r="AH399" s="313"/>
      <c r="AI399" s="954">
        <v>304</v>
      </c>
      <c r="AJ399" s="985"/>
      <c r="AK399" s="1018">
        <f t="shared" ca="1" si="581"/>
        <v>137.4856321544425</v>
      </c>
      <c r="AL399" s="924">
        <f ca="1">AK399/'304'!I$24</f>
        <v>0.54371159375335654</v>
      </c>
      <c r="AM399" s="924">
        <f ca="1">0.8*(AK399*30+'304'!D$17*0.34*30*1)</f>
        <v>7467.8770117066197</v>
      </c>
      <c r="AN399" s="954">
        <f ca="1">IF(AM399&lt;User_sheet!B$50,Y399,0)</f>
        <v>0</v>
      </c>
      <c r="AO399" s="954">
        <f ca="1">20-(User_sheet!B$57/(AK399+'304'!D$17*1*0.34))</f>
        <v>1.6815408468092379</v>
      </c>
      <c r="AP399" s="954">
        <f ca="1">IF(AO399&lt;User_sheet!B$59,0,BC399*AA399)</f>
        <v>0</v>
      </c>
      <c r="AQ399" s="985"/>
      <c r="AR399" s="954">
        <v>0.24</v>
      </c>
      <c r="AS399" s="954">
        <v>0.32</v>
      </c>
      <c r="AT399" s="954">
        <v>0.83</v>
      </c>
      <c r="AU399" s="954">
        <v>2</v>
      </c>
      <c r="AV399" s="954">
        <v>3.3</v>
      </c>
      <c r="AW399" s="954">
        <v>14536.85461731979</v>
      </c>
      <c r="AX399" s="954">
        <v>73366.155837550017</v>
      </c>
      <c r="AY399" s="954">
        <v>69245.59826015502</v>
      </c>
      <c r="AZ399" s="956">
        <v>0</v>
      </c>
      <c r="BA399" s="956">
        <v>0</v>
      </c>
      <c r="BB399" s="954">
        <v>0.6</v>
      </c>
      <c r="BC399" s="46">
        <v>1</v>
      </c>
      <c r="BD399" s="199">
        <v>0</v>
      </c>
      <c r="BE399" s="199">
        <v>0</v>
      </c>
      <c r="BF399" s="50">
        <v>0</v>
      </c>
      <c r="BG399" s="956">
        <v>0</v>
      </c>
      <c r="BH399" s="956">
        <v>1</v>
      </c>
      <c r="BI399" s="50">
        <v>0</v>
      </c>
      <c r="BJ399" s="956">
        <v>1</v>
      </c>
      <c r="BK399" s="956">
        <v>0</v>
      </c>
      <c r="BL399" s="956">
        <v>0</v>
      </c>
      <c r="BM399" s="50">
        <v>0</v>
      </c>
      <c r="BN399" s="958">
        <v>0.1</v>
      </c>
      <c r="BO399" s="959">
        <v>6</v>
      </c>
      <c r="BP399" s="926">
        <f t="shared" ca="1" si="569"/>
        <v>206.38</v>
      </c>
      <c r="BQ399" s="926">
        <f t="shared" ca="1" si="570"/>
        <v>308.92399999999992</v>
      </c>
      <c r="BR399" s="926">
        <f t="shared" ca="1" si="571"/>
        <v>90.07</v>
      </c>
      <c r="BS399" s="926">
        <f t="shared" ca="1" si="572"/>
        <v>65.974999999999994</v>
      </c>
      <c r="BT399" s="926">
        <f t="shared" ca="1" si="573"/>
        <v>78.88</v>
      </c>
      <c r="BU399" s="926">
        <f t="shared" ca="1" si="574"/>
        <v>18</v>
      </c>
      <c r="BV399" s="926">
        <f t="shared" ca="1" si="575"/>
        <v>7.5250000000000004</v>
      </c>
      <c r="BW399" s="926">
        <v>0</v>
      </c>
      <c r="BX399" s="926">
        <f t="shared" ca="1" si="576"/>
        <v>20.753456221198157</v>
      </c>
      <c r="BY399" s="926">
        <f t="shared" ca="1" si="577"/>
        <v>20.002526528549769</v>
      </c>
      <c r="BZ399" s="926">
        <f t="shared" ca="1" si="582"/>
        <v>18.887893693903717</v>
      </c>
      <c r="CA399" s="926">
        <f t="shared" ca="1" si="583"/>
        <v>35.999999985599999</v>
      </c>
      <c r="CB399" s="926">
        <f t="shared" ca="1" si="578"/>
        <v>15.79675572519084</v>
      </c>
      <c r="CC399" s="926">
        <f t="shared" si="584"/>
        <v>0</v>
      </c>
      <c r="CD399" s="1018">
        <f t="shared" ca="1" si="585"/>
        <v>137.4856321544425</v>
      </c>
      <c r="CE399" s="1018">
        <f t="shared" ca="1" si="563"/>
        <v>44.262287553242658</v>
      </c>
      <c r="CF399" s="926">
        <f t="shared" ca="1" si="586"/>
        <v>5.4524375912305549</v>
      </c>
      <c r="CG399" s="926">
        <f t="shared" ca="1" si="587"/>
        <v>9078.0904918952237</v>
      </c>
    </row>
    <row r="400" spans="4:85" s="3" customFormat="1" x14ac:dyDescent="0.25">
      <c r="D400" s="746"/>
      <c r="E400" s="742"/>
      <c r="F400" s="746"/>
      <c r="G400" s="742"/>
      <c r="H400" s="746"/>
      <c r="I400" s="742"/>
      <c r="J400" s="746"/>
      <c r="K400" s="747"/>
      <c r="L400" s="746"/>
      <c r="M400" s="741" t="s">
        <v>16</v>
      </c>
      <c r="N400" s="743">
        <v>0.5</v>
      </c>
      <c r="O400" s="741" t="s">
        <v>19</v>
      </c>
      <c r="P400" s="743">
        <v>3.7878787999999997E-2</v>
      </c>
      <c r="Q400" s="741" t="s">
        <v>7</v>
      </c>
      <c r="R400" s="743">
        <v>0.1893</v>
      </c>
      <c r="S400" s="741"/>
      <c r="T400" s="752">
        <v>0</v>
      </c>
      <c r="U400" s="740"/>
      <c r="V400" s="176">
        <f t="shared" si="566"/>
        <v>0</v>
      </c>
      <c r="W400" s="176">
        <f t="shared" si="579"/>
        <v>0</v>
      </c>
      <c r="X400" s="176">
        <f t="shared" si="580"/>
        <v>0</v>
      </c>
      <c r="Y400" s="958">
        <f>X400/Calculation_sheet!M$67</f>
        <v>0</v>
      </c>
      <c r="Z400" s="176">
        <f ca="1">IF(AN400&gt;0,Y400*Calculation_sheet!C$87,0)</f>
        <v>0</v>
      </c>
      <c r="AA400" s="176">
        <f t="shared" ca="1" si="476"/>
        <v>0</v>
      </c>
      <c r="AB400" s="176">
        <f ca="1">IF(AP400&gt;0,AA400*Calculation_sheet!C$94,0)</f>
        <v>0</v>
      </c>
      <c r="AC400" s="176">
        <f t="shared" ca="1" si="567"/>
        <v>0</v>
      </c>
      <c r="AD400" s="958">
        <f ca="1">AC400*Calculation_sheet!C$99</f>
        <v>0</v>
      </c>
      <c r="AE400" s="176">
        <f t="shared" ca="1" si="567"/>
        <v>0</v>
      </c>
      <c r="AF400" s="176">
        <f t="shared" ca="1" si="568"/>
        <v>0</v>
      </c>
      <c r="AG400" s="958">
        <f ca="1">AF400*User_sheet!B$77/100</f>
        <v>0</v>
      </c>
      <c r="AH400" s="313"/>
      <c r="AI400" s="954">
        <v>304</v>
      </c>
      <c r="AJ400" s="985"/>
      <c r="AK400" s="1018">
        <f t="shared" ca="1" si="581"/>
        <v>137.4856321544425</v>
      </c>
      <c r="AL400" s="924">
        <f ca="1">AK400/'304'!I$24</f>
        <v>0.54371159375335654</v>
      </c>
      <c r="AM400" s="924">
        <f ca="1">0.8*(AK400*30+'304'!D$17*0.34*30*1)</f>
        <v>7467.8770117066197</v>
      </c>
      <c r="AN400" s="954">
        <f ca="1">IF(AM400&lt;User_sheet!B$50,Y400,0)</f>
        <v>0</v>
      </c>
      <c r="AO400" s="954">
        <f ca="1">20-(User_sheet!B$57/(AK400+'304'!D$17*1*0.34))</f>
        <v>1.6815408468092379</v>
      </c>
      <c r="AP400" s="954">
        <f ca="1">IF(AO400&lt;User_sheet!B$59,0,BC400*AA400)</f>
        <v>0</v>
      </c>
      <c r="AQ400" s="985"/>
      <c r="AR400" s="954">
        <v>0.24</v>
      </c>
      <c r="AS400" s="954">
        <v>0.32</v>
      </c>
      <c r="AT400" s="954">
        <v>0.83</v>
      </c>
      <c r="AU400" s="954">
        <v>2</v>
      </c>
      <c r="AV400" s="954">
        <v>3.3</v>
      </c>
      <c r="AW400" s="954">
        <v>14536.85461731979</v>
      </c>
      <c r="AX400" s="954">
        <v>73366.155837550017</v>
      </c>
      <c r="AY400" s="954">
        <v>69245.59826015502</v>
      </c>
      <c r="AZ400" s="956">
        <v>0</v>
      </c>
      <c r="BA400" s="956">
        <v>0</v>
      </c>
      <c r="BB400" s="954">
        <v>0.6</v>
      </c>
      <c r="BC400" s="46">
        <v>1</v>
      </c>
      <c r="BD400" s="199">
        <v>0</v>
      </c>
      <c r="BE400" s="199">
        <v>0</v>
      </c>
      <c r="BF400" s="50">
        <v>0</v>
      </c>
      <c r="BG400" s="956">
        <v>0</v>
      </c>
      <c r="BH400" s="956">
        <v>1</v>
      </c>
      <c r="BI400" s="50">
        <v>0</v>
      </c>
      <c r="BJ400" s="956">
        <v>0</v>
      </c>
      <c r="BK400" s="956">
        <v>0</v>
      </c>
      <c r="BL400" s="956">
        <v>1</v>
      </c>
      <c r="BM400" s="50">
        <v>0</v>
      </c>
      <c r="BN400" s="958">
        <v>0.1</v>
      </c>
      <c r="BO400" s="959">
        <v>6</v>
      </c>
      <c r="BP400" s="926">
        <f t="shared" ca="1" si="569"/>
        <v>206.38</v>
      </c>
      <c r="BQ400" s="926">
        <f t="shared" ca="1" si="570"/>
        <v>308.92399999999992</v>
      </c>
      <c r="BR400" s="926">
        <f t="shared" ca="1" si="571"/>
        <v>90.07</v>
      </c>
      <c r="BS400" s="926">
        <f t="shared" ca="1" si="572"/>
        <v>65.974999999999994</v>
      </c>
      <c r="BT400" s="926">
        <f t="shared" ca="1" si="573"/>
        <v>78.88</v>
      </c>
      <c r="BU400" s="926">
        <f t="shared" ca="1" si="574"/>
        <v>18</v>
      </c>
      <c r="BV400" s="926">
        <f t="shared" ca="1" si="575"/>
        <v>7.5250000000000004</v>
      </c>
      <c r="BW400" s="926">
        <v>0</v>
      </c>
      <c r="BX400" s="926">
        <f t="shared" ca="1" si="576"/>
        <v>20.753456221198157</v>
      </c>
      <c r="BY400" s="926">
        <f t="shared" ca="1" si="577"/>
        <v>20.002526528549769</v>
      </c>
      <c r="BZ400" s="926">
        <f t="shared" ca="1" si="582"/>
        <v>18.887893693903717</v>
      </c>
      <c r="CA400" s="926">
        <f t="shared" ca="1" si="583"/>
        <v>35.999999985599999</v>
      </c>
      <c r="CB400" s="926">
        <f t="shared" ca="1" si="578"/>
        <v>15.79675572519084</v>
      </c>
      <c r="CC400" s="926">
        <f t="shared" si="584"/>
        <v>0</v>
      </c>
      <c r="CD400" s="1018">
        <f t="shared" ca="1" si="585"/>
        <v>137.4856321544425</v>
      </c>
      <c r="CE400" s="1018">
        <f t="shared" ca="1" si="563"/>
        <v>44.262287553242658</v>
      </c>
      <c r="CF400" s="926">
        <f t="shared" ca="1" si="586"/>
        <v>5.4524375912305549</v>
      </c>
      <c r="CG400" s="926">
        <f t="shared" ca="1" si="587"/>
        <v>9078.0904918952237</v>
      </c>
    </row>
    <row r="401" spans="4:85" s="3" customFormat="1" x14ac:dyDescent="0.25">
      <c r="D401" s="746"/>
      <c r="E401" s="742"/>
      <c r="F401" s="746"/>
      <c r="G401" s="742"/>
      <c r="H401" s="746"/>
      <c r="I401" s="742"/>
      <c r="J401" s="746"/>
      <c r="K401" s="747"/>
      <c r="L401" s="746"/>
      <c r="M401" s="741"/>
      <c r="N401" s="741"/>
      <c r="O401" s="741"/>
      <c r="P401" s="741"/>
      <c r="Q401" s="741" t="s">
        <v>22</v>
      </c>
      <c r="R401" s="743">
        <v>0.81</v>
      </c>
      <c r="S401" s="741"/>
      <c r="T401" s="752">
        <v>0</v>
      </c>
      <c r="U401" s="740"/>
      <c r="V401" s="176">
        <f t="shared" si="566"/>
        <v>0</v>
      </c>
      <c r="W401" s="176">
        <f t="shared" si="579"/>
        <v>0</v>
      </c>
      <c r="X401" s="176">
        <f t="shared" si="580"/>
        <v>0</v>
      </c>
      <c r="Y401" s="958">
        <f>X401/Calculation_sheet!M$67</f>
        <v>0</v>
      </c>
      <c r="Z401" s="176">
        <f ca="1">IF(AN401&gt;0,Y401*Calculation_sheet!C$87,0)</f>
        <v>0</v>
      </c>
      <c r="AA401" s="176">
        <f ca="1">Y401-Z401</f>
        <v>0</v>
      </c>
      <c r="AB401" s="176">
        <f ca="1">IF(AP401&gt;0,AA401*Calculation_sheet!C$94,0)</f>
        <v>0</v>
      </c>
      <c r="AC401" s="176">
        <f t="shared" ca="1" si="567"/>
        <v>0</v>
      </c>
      <c r="AD401" s="958">
        <f ca="1">AC401*Calculation_sheet!C$99</f>
        <v>0</v>
      </c>
      <c r="AE401" s="176">
        <f t="shared" ca="1" si="567"/>
        <v>0</v>
      </c>
      <c r="AF401" s="176">
        <f t="shared" ca="1" si="568"/>
        <v>0</v>
      </c>
      <c r="AG401" s="958">
        <f ca="1">AF401*User_sheet!B$77/100</f>
        <v>0</v>
      </c>
      <c r="AH401" s="313"/>
      <c r="AI401" s="954">
        <v>304</v>
      </c>
      <c r="AJ401" s="985"/>
      <c r="AK401" s="1018">
        <f t="shared" ca="1" si="581"/>
        <v>137.4856321544425</v>
      </c>
      <c r="AL401" s="924">
        <f ca="1">AK401/'304'!I$24</f>
        <v>0.54371159375335654</v>
      </c>
      <c r="AM401" s="924">
        <f ca="1">0.8*(AK401*30+'304'!D$17*0.34*30*1)</f>
        <v>7467.8770117066197</v>
      </c>
      <c r="AN401" s="954">
        <f ca="1">IF(AM401&lt;User_sheet!B$50,Y401,0)</f>
        <v>0</v>
      </c>
      <c r="AO401" s="954">
        <f ca="1">20-(User_sheet!B$57/(AK401+'304'!D$17*1*0.34))</f>
        <v>1.6815408468092379</v>
      </c>
      <c r="AP401" s="954">
        <f ca="1">IF(AO401&lt;User_sheet!B$59,0,BC401*AA401)</f>
        <v>0</v>
      </c>
      <c r="AQ401" s="985"/>
      <c r="AR401" s="954">
        <v>0.24</v>
      </c>
      <c r="AS401" s="954">
        <v>0.32</v>
      </c>
      <c r="AT401" s="954">
        <v>0.83</v>
      </c>
      <c r="AU401" s="954">
        <v>2</v>
      </c>
      <c r="AV401" s="954">
        <v>3.3</v>
      </c>
      <c r="AW401" s="954">
        <v>14536.85461731979</v>
      </c>
      <c r="AX401" s="954">
        <v>73366.155837550017</v>
      </c>
      <c r="AY401" s="954">
        <v>69245.59826015502</v>
      </c>
      <c r="AZ401" s="956">
        <v>0</v>
      </c>
      <c r="BA401" s="956">
        <v>0</v>
      </c>
      <c r="BB401" s="954">
        <v>0.6</v>
      </c>
      <c r="BC401" s="957">
        <v>0</v>
      </c>
      <c r="BD401" s="958">
        <v>1</v>
      </c>
      <c r="BE401" s="958">
        <v>0</v>
      </c>
      <c r="BF401" s="959">
        <v>0</v>
      </c>
      <c r="BG401" s="954">
        <v>1</v>
      </c>
      <c r="BH401" s="954">
        <v>0</v>
      </c>
      <c r="BI401" s="959">
        <v>0</v>
      </c>
      <c r="BJ401" s="954">
        <v>0</v>
      </c>
      <c r="BK401" s="954">
        <v>1</v>
      </c>
      <c r="BL401" s="954">
        <v>0</v>
      </c>
      <c r="BM401" s="959">
        <v>0</v>
      </c>
      <c r="BN401" s="958">
        <v>0.1</v>
      </c>
      <c r="BO401" s="959">
        <v>6</v>
      </c>
      <c r="BP401" s="926">
        <f t="shared" ca="1" si="569"/>
        <v>206.38</v>
      </c>
      <c r="BQ401" s="926">
        <f t="shared" ca="1" si="570"/>
        <v>308.92399999999992</v>
      </c>
      <c r="BR401" s="926">
        <f t="shared" ca="1" si="571"/>
        <v>90.07</v>
      </c>
      <c r="BS401" s="926">
        <f t="shared" ca="1" si="572"/>
        <v>65.974999999999994</v>
      </c>
      <c r="BT401" s="926">
        <f t="shared" ca="1" si="573"/>
        <v>78.88</v>
      </c>
      <c r="BU401" s="926">
        <f t="shared" ca="1" si="574"/>
        <v>18</v>
      </c>
      <c r="BV401" s="926">
        <f t="shared" ca="1" si="575"/>
        <v>7.5250000000000004</v>
      </c>
      <c r="BW401" s="926">
        <v>0</v>
      </c>
      <c r="BX401" s="926">
        <f t="shared" ca="1" si="576"/>
        <v>20.753456221198157</v>
      </c>
      <c r="BY401" s="926">
        <f t="shared" ca="1" si="577"/>
        <v>20.002526528549769</v>
      </c>
      <c r="BZ401" s="926">
        <f t="shared" ca="1" si="582"/>
        <v>18.887893693903717</v>
      </c>
      <c r="CA401" s="926">
        <f t="shared" ca="1" si="583"/>
        <v>35.999999985599999</v>
      </c>
      <c r="CB401" s="926">
        <f t="shared" ca="1" si="578"/>
        <v>15.79675572519084</v>
      </c>
      <c r="CC401" s="926">
        <f t="shared" si="584"/>
        <v>0</v>
      </c>
      <c r="CD401" s="1018">
        <f t="shared" ca="1" si="585"/>
        <v>137.4856321544425</v>
      </c>
      <c r="CE401" s="1018">
        <f t="shared" ca="1" si="563"/>
        <v>44.262287553242658</v>
      </c>
      <c r="CF401" s="926">
        <f t="shared" ca="1" si="586"/>
        <v>5.4524375912305549</v>
      </c>
      <c r="CG401" s="926">
        <f t="shared" ca="1" si="587"/>
        <v>9078.0904918952237</v>
      </c>
    </row>
    <row r="402" spans="4:85" s="3" customFormat="1" x14ac:dyDescent="0.25">
      <c r="D402" s="746"/>
      <c r="E402" s="742"/>
      <c r="F402" s="746"/>
      <c r="G402" s="742"/>
      <c r="H402" s="746"/>
      <c r="I402" s="742"/>
      <c r="J402" s="746"/>
      <c r="K402" s="747"/>
      <c r="L402" s="746"/>
      <c r="M402" s="741"/>
      <c r="N402" s="741"/>
      <c r="O402" s="741" t="s">
        <v>18</v>
      </c>
      <c r="P402" s="743">
        <v>0.96078431399999997</v>
      </c>
      <c r="Q402" s="741" t="s">
        <v>7</v>
      </c>
      <c r="R402" s="743">
        <v>0.19</v>
      </c>
      <c r="S402" s="741"/>
      <c r="T402" s="752">
        <v>0</v>
      </c>
      <c r="U402" s="740"/>
      <c r="V402" s="176">
        <f t="shared" si="566"/>
        <v>0</v>
      </c>
      <c r="W402" s="176">
        <f t="shared" si="579"/>
        <v>0</v>
      </c>
      <c r="X402" s="176">
        <f t="shared" si="580"/>
        <v>0</v>
      </c>
      <c r="Y402" s="958">
        <f>X402/Calculation_sheet!M$67</f>
        <v>0</v>
      </c>
      <c r="Z402" s="176">
        <f ca="1">IF(AN402&gt;0,Y402*Calculation_sheet!C$87,0)</f>
        <v>0</v>
      </c>
      <c r="AA402" s="176">
        <f ca="1">Y402-Z402</f>
        <v>0</v>
      </c>
      <c r="AB402" s="176">
        <f ca="1">IF(AP402&gt;0,AA402*Calculation_sheet!C$94,0)</f>
        <v>0</v>
      </c>
      <c r="AC402" s="176">
        <f t="shared" ca="1" si="567"/>
        <v>0</v>
      </c>
      <c r="AD402" s="958">
        <f ca="1">AC402*Calculation_sheet!C$99</f>
        <v>0</v>
      </c>
      <c r="AE402" s="176">
        <f t="shared" ca="1" si="567"/>
        <v>0</v>
      </c>
      <c r="AF402" s="176">
        <f t="shared" ca="1" si="568"/>
        <v>0</v>
      </c>
      <c r="AG402" s="958">
        <f ca="1">AF402*User_sheet!B$77/100</f>
        <v>0</v>
      </c>
      <c r="AH402" s="313"/>
      <c r="AI402" s="954">
        <v>304</v>
      </c>
      <c r="AJ402" s="985"/>
      <c r="AK402" s="1018">
        <f t="shared" ca="1" si="581"/>
        <v>137.4856321544425</v>
      </c>
      <c r="AL402" s="924">
        <f ca="1">AK402/'304'!I$24</f>
        <v>0.54371159375335654</v>
      </c>
      <c r="AM402" s="924">
        <f ca="1">0.8*(AK402*30+'304'!D$17*0.34*30*1)</f>
        <v>7467.8770117066197</v>
      </c>
      <c r="AN402" s="954">
        <f ca="1">IF(AM402&lt;User_sheet!B$50,Y402,0)</f>
        <v>0</v>
      </c>
      <c r="AO402" s="954">
        <f ca="1">20-(User_sheet!B$57/(AK402+'304'!D$17*1*0.34))</f>
        <v>1.6815408468092379</v>
      </c>
      <c r="AP402" s="954">
        <f ca="1">IF(AO402&lt;User_sheet!B$59,0,BC402*AA402)</f>
        <v>0</v>
      </c>
      <c r="AQ402" s="985"/>
      <c r="AR402" s="954">
        <v>0.24</v>
      </c>
      <c r="AS402" s="954">
        <v>0.32</v>
      </c>
      <c r="AT402" s="954">
        <v>0.83</v>
      </c>
      <c r="AU402" s="954">
        <v>2</v>
      </c>
      <c r="AV402" s="954">
        <v>3.3</v>
      </c>
      <c r="AW402" s="954">
        <v>14536.85461731979</v>
      </c>
      <c r="AX402" s="954">
        <v>73366.155837550017</v>
      </c>
      <c r="AY402" s="954">
        <v>69245.59826015502</v>
      </c>
      <c r="AZ402" s="956">
        <v>0</v>
      </c>
      <c r="BA402" s="956">
        <v>0</v>
      </c>
      <c r="BB402" s="954">
        <v>0.6</v>
      </c>
      <c r="BC402" s="957">
        <v>0</v>
      </c>
      <c r="BD402" s="958">
        <v>1</v>
      </c>
      <c r="BE402" s="958">
        <v>0</v>
      </c>
      <c r="BF402" s="959">
        <v>0</v>
      </c>
      <c r="BG402" s="954">
        <v>1</v>
      </c>
      <c r="BH402" s="954">
        <v>0</v>
      </c>
      <c r="BI402" s="959">
        <v>0</v>
      </c>
      <c r="BJ402" s="954">
        <v>0</v>
      </c>
      <c r="BK402" s="954">
        <v>0</v>
      </c>
      <c r="BL402" s="954">
        <v>1</v>
      </c>
      <c r="BM402" s="959">
        <v>0</v>
      </c>
      <c r="BN402" s="958">
        <v>0.1</v>
      </c>
      <c r="BO402" s="959">
        <v>6</v>
      </c>
      <c r="BP402" s="926">
        <f t="shared" ca="1" si="569"/>
        <v>206.38</v>
      </c>
      <c r="BQ402" s="926">
        <f t="shared" ca="1" si="570"/>
        <v>308.92399999999992</v>
      </c>
      <c r="BR402" s="926">
        <f t="shared" ca="1" si="571"/>
        <v>90.07</v>
      </c>
      <c r="BS402" s="926">
        <f t="shared" ca="1" si="572"/>
        <v>65.974999999999994</v>
      </c>
      <c r="BT402" s="926">
        <f t="shared" ca="1" si="573"/>
        <v>78.88</v>
      </c>
      <c r="BU402" s="926">
        <f t="shared" ca="1" si="574"/>
        <v>18</v>
      </c>
      <c r="BV402" s="926">
        <f t="shared" ca="1" si="575"/>
        <v>7.5250000000000004</v>
      </c>
      <c r="BW402" s="926">
        <v>0</v>
      </c>
      <c r="BX402" s="926">
        <f t="shared" ca="1" si="576"/>
        <v>20.753456221198157</v>
      </c>
      <c r="BY402" s="926">
        <f t="shared" ca="1" si="577"/>
        <v>20.002526528549769</v>
      </c>
      <c r="BZ402" s="926">
        <f t="shared" ca="1" si="582"/>
        <v>18.887893693903717</v>
      </c>
      <c r="CA402" s="926">
        <f t="shared" ca="1" si="583"/>
        <v>35.999999985599999</v>
      </c>
      <c r="CB402" s="926">
        <f t="shared" ca="1" si="578"/>
        <v>15.79675572519084</v>
      </c>
      <c r="CC402" s="926">
        <f t="shared" si="584"/>
        <v>0</v>
      </c>
      <c r="CD402" s="1018">
        <f t="shared" ca="1" si="585"/>
        <v>137.4856321544425</v>
      </c>
      <c r="CE402" s="1018">
        <f t="shared" ca="1" si="563"/>
        <v>44.262287553242658</v>
      </c>
      <c r="CF402" s="926">
        <f t="shared" ca="1" si="586"/>
        <v>5.4524375912305549</v>
      </c>
      <c r="CG402" s="926">
        <f t="shared" ca="1" si="587"/>
        <v>9078.0904918952237</v>
      </c>
    </row>
    <row r="403" spans="4:85" s="3" customFormat="1" x14ac:dyDescent="0.25">
      <c r="D403" s="746"/>
      <c r="E403" s="742"/>
      <c r="F403" s="746"/>
      <c r="G403" s="742"/>
      <c r="H403" s="746"/>
      <c r="I403" s="742"/>
      <c r="J403" s="746"/>
      <c r="K403" s="741"/>
      <c r="L403" s="741"/>
      <c r="M403" s="741"/>
      <c r="N403" s="741"/>
      <c r="O403" s="741"/>
      <c r="P403" s="741"/>
      <c r="Q403" s="741" t="s">
        <v>22</v>
      </c>
      <c r="R403" s="743">
        <v>0.81</v>
      </c>
      <c r="S403" s="741"/>
      <c r="T403" s="752">
        <v>0</v>
      </c>
      <c r="U403" s="740"/>
      <c r="V403" s="176">
        <f t="shared" si="566"/>
        <v>0</v>
      </c>
      <c r="W403" s="176">
        <f t="shared" si="579"/>
        <v>0</v>
      </c>
      <c r="X403" s="176">
        <f t="shared" si="580"/>
        <v>0</v>
      </c>
      <c r="Y403" s="958">
        <f>X403/Calculation_sheet!M$67</f>
        <v>0</v>
      </c>
      <c r="Z403" s="176">
        <f ca="1">IF(AN403&gt;0,Y403*Calculation_sheet!C$87,0)</f>
        <v>0</v>
      </c>
      <c r="AA403" s="176">
        <f ca="1">Y403-Z403</f>
        <v>0</v>
      </c>
      <c r="AB403" s="176">
        <f ca="1">IF(AP403&gt;0,AA403*Calculation_sheet!C$94,0)</f>
        <v>0</v>
      </c>
      <c r="AC403" s="176">
        <f t="shared" ca="1" si="567"/>
        <v>0</v>
      </c>
      <c r="AD403" s="958">
        <f ca="1">AC403*Calculation_sheet!C$99</f>
        <v>0</v>
      </c>
      <c r="AE403" s="176">
        <f t="shared" ca="1" si="567"/>
        <v>0</v>
      </c>
      <c r="AF403" s="176">
        <f t="shared" ca="1" si="568"/>
        <v>0</v>
      </c>
      <c r="AG403" s="958">
        <f ca="1">AF403*User_sheet!B$77/100</f>
        <v>0</v>
      </c>
      <c r="AH403" s="313"/>
      <c r="AI403" s="954">
        <v>304</v>
      </c>
      <c r="AJ403" s="985"/>
      <c r="AK403" s="1018">
        <f t="shared" ca="1" si="581"/>
        <v>137.4856321544425</v>
      </c>
      <c r="AL403" s="924">
        <f ca="1">AK403/'304'!I$24</f>
        <v>0.54371159375335654</v>
      </c>
      <c r="AM403" s="924">
        <f ca="1">0.8*(AK403*30+'304'!D$17*0.34*30*1)</f>
        <v>7467.8770117066197</v>
      </c>
      <c r="AN403" s="954">
        <f ca="1">IF(AM403&lt;User_sheet!B$50,Y403,0)</f>
        <v>0</v>
      </c>
      <c r="AO403" s="954">
        <f ca="1">20-(User_sheet!B$57/(AK403+'304'!D$17*1*0.34))</f>
        <v>1.6815408468092379</v>
      </c>
      <c r="AP403" s="954">
        <f ca="1">IF(AO403&lt;User_sheet!B$59,0,BC403*AA403)</f>
        <v>0</v>
      </c>
      <c r="AQ403" s="985"/>
      <c r="AR403" s="954">
        <v>0.24</v>
      </c>
      <c r="AS403" s="954">
        <v>0.32</v>
      </c>
      <c r="AT403" s="954">
        <v>0.83</v>
      </c>
      <c r="AU403" s="954">
        <v>2</v>
      </c>
      <c r="AV403" s="954">
        <v>3.3</v>
      </c>
      <c r="AW403" s="954">
        <v>14536.85461731979</v>
      </c>
      <c r="AX403" s="954">
        <v>73366.155837550017</v>
      </c>
      <c r="AY403" s="954">
        <v>69245.59826015502</v>
      </c>
      <c r="AZ403" s="956">
        <v>0</v>
      </c>
      <c r="BA403" s="956">
        <v>0</v>
      </c>
      <c r="BB403" s="954">
        <v>0.6</v>
      </c>
      <c r="BC403" s="957">
        <v>0</v>
      </c>
      <c r="BD403" s="958">
        <v>1</v>
      </c>
      <c r="BE403" s="958">
        <v>0</v>
      </c>
      <c r="BF403" s="959">
        <v>0</v>
      </c>
      <c r="BG403" s="954">
        <v>0</v>
      </c>
      <c r="BH403" s="954">
        <v>1</v>
      </c>
      <c r="BI403" s="959">
        <v>0</v>
      </c>
      <c r="BJ403" s="954">
        <v>0</v>
      </c>
      <c r="BK403" s="954">
        <v>1</v>
      </c>
      <c r="BL403" s="954">
        <v>0</v>
      </c>
      <c r="BM403" s="959">
        <v>0</v>
      </c>
      <c r="BN403" s="958">
        <v>0.1</v>
      </c>
      <c r="BO403" s="959">
        <v>6</v>
      </c>
      <c r="BP403" s="926">
        <f t="shared" ca="1" si="569"/>
        <v>206.38</v>
      </c>
      <c r="BQ403" s="926">
        <f t="shared" ca="1" si="570"/>
        <v>308.92399999999992</v>
      </c>
      <c r="BR403" s="926">
        <f t="shared" ca="1" si="571"/>
        <v>90.07</v>
      </c>
      <c r="BS403" s="926">
        <f t="shared" ca="1" si="572"/>
        <v>65.974999999999994</v>
      </c>
      <c r="BT403" s="926">
        <f t="shared" ca="1" si="573"/>
        <v>78.88</v>
      </c>
      <c r="BU403" s="926">
        <f t="shared" ca="1" si="574"/>
        <v>18</v>
      </c>
      <c r="BV403" s="926">
        <f t="shared" ca="1" si="575"/>
        <v>7.5250000000000004</v>
      </c>
      <c r="BW403" s="926">
        <v>0</v>
      </c>
      <c r="BX403" s="926">
        <f t="shared" ca="1" si="576"/>
        <v>20.753456221198157</v>
      </c>
      <c r="BY403" s="926">
        <f t="shared" ca="1" si="577"/>
        <v>20.002526528549769</v>
      </c>
      <c r="BZ403" s="926">
        <f t="shared" ca="1" si="582"/>
        <v>18.887893693903717</v>
      </c>
      <c r="CA403" s="926">
        <f t="shared" ca="1" si="583"/>
        <v>35.999999985599999</v>
      </c>
      <c r="CB403" s="926">
        <f t="shared" ca="1" si="578"/>
        <v>15.79675572519084</v>
      </c>
      <c r="CC403" s="926">
        <f t="shared" si="584"/>
        <v>0</v>
      </c>
      <c r="CD403" s="1018">
        <f t="shared" ca="1" si="585"/>
        <v>137.4856321544425</v>
      </c>
      <c r="CE403" s="1018">
        <f t="shared" ca="1" si="563"/>
        <v>44.262287553242658</v>
      </c>
      <c r="CF403" s="926">
        <f t="shared" ca="1" si="586"/>
        <v>5.4524375912305549</v>
      </c>
      <c r="CG403" s="926">
        <f t="shared" ca="1" si="587"/>
        <v>9078.0904918952237</v>
      </c>
    </row>
    <row r="404" spans="4:85" s="3" customFormat="1" x14ac:dyDescent="0.25">
      <c r="D404" s="746"/>
      <c r="E404" s="742"/>
      <c r="F404" s="746"/>
      <c r="G404" s="742"/>
      <c r="H404" s="746"/>
      <c r="I404" s="742"/>
      <c r="J404" s="746"/>
      <c r="K404" s="741"/>
      <c r="L404" s="741"/>
      <c r="M404" s="741" t="s">
        <v>22</v>
      </c>
      <c r="N404" s="743">
        <v>0.375</v>
      </c>
      <c r="O404" s="741" t="s">
        <v>20</v>
      </c>
      <c r="P404" s="743">
        <v>3.9215686E-2</v>
      </c>
      <c r="Q404" s="741" t="s">
        <v>7</v>
      </c>
      <c r="R404" s="743">
        <v>0.19</v>
      </c>
      <c r="S404" s="741"/>
      <c r="T404" s="752">
        <v>0</v>
      </c>
      <c r="U404" s="740"/>
      <c r="V404" s="176">
        <f t="shared" si="566"/>
        <v>0</v>
      </c>
      <c r="W404" s="176">
        <f t="shared" si="579"/>
        <v>0</v>
      </c>
      <c r="X404" s="176">
        <f t="shared" si="580"/>
        <v>0</v>
      </c>
      <c r="Y404" s="958">
        <f>X404/Calculation_sheet!M$67</f>
        <v>0</v>
      </c>
      <c r="Z404" s="176">
        <f ca="1">IF(AN404&gt;0,Y404*Calculation_sheet!C$87,0)</f>
        <v>0</v>
      </c>
      <c r="AA404" s="176">
        <f ca="1">Y404-Z404</f>
        <v>0</v>
      </c>
      <c r="AB404" s="176">
        <f ca="1">IF(AP404&gt;0,AA404*Calculation_sheet!C$94,0)</f>
        <v>0</v>
      </c>
      <c r="AC404" s="176">
        <f t="shared" ca="1" si="567"/>
        <v>0</v>
      </c>
      <c r="AD404" s="958">
        <f ca="1">AC404*Calculation_sheet!C$99</f>
        <v>0</v>
      </c>
      <c r="AE404" s="176">
        <f t="shared" ca="1" si="567"/>
        <v>0</v>
      </c>
      <c r="AF404" s="176">
        <f t="shared" ca="1" si="568"/>
        <v>0</v>
      </c>
      <c r="AG404" s="958">
        <f ca="1">AF404*User_sheet!B$77/100</f>
        <v>0</v>
      </c>
      <c r="AH404" s="313"/>
      <c r="AI404" s="954">
        <v>304</v>
      </c>
      <c r="AJ404" s="985"/>
      <c r="AK404" s="1018">
        <f t="shared" ca="1" si="581"/>
        <v>137.4856321544425</v>
      </c>
      <c r="AL404" s="924">
        <f ca="1">AK404/'304'!I$24</f>
        <v>0.54371159375335654</v>
      </c>
      <c r="AM404" s="924">
        <f ca="1">0.8*(AK404*30+'304'!D$17*0.34*30*1)</f>
        <v>7467.8770117066197</v>
      </c>
      <c r="AN404" s="954">
        <f ca="1">IF(AM404&lt;User_sheet!B$50,Y404,0)</f>
        <v>0</v>
      </c>
      <c r="AO404" s="954">
        <f ca="1">20-(User_sheet!B$57/(AK404+'304'!D$17*1*0.34))</f>
        <v>1.6815408468092379</v>
      </c>
      <c r="AP404" s="954">
        <f ca="1">IF(AO404&lt;User_sheet!B$59,0,BC404*AA404)</f>
        <v>0</v>
      </c>
      <c r="AQ404" s="985"/>
      <c r="AR404" s="954">
        <v>0.24</v>
      </c>
      <c r="AS404" s="954">
        <v>0.32</v>
      </c>
      <c r="AT404" s="954">
        <v>0.83</v>
      </c>
      <c r="AU404" s="954">
        <v>2</v>
      </c>
      <c r="AV404" s="954">
        <v>3.3</v>
      </c>
      <c r="AW404" s="954">
        <v>14536.85461731979</v>
      </c>
      <c r="AX404" s="954">
        <v>73366.155837550017</v>
      </c>
      <c r="AY404" s="954">
        <v>69245.59826015502</v>
      </c>
      <c r="AZ404" s="956">
        <v>0</v>
      </c>
      <c r="BA404" s="956">
        <v>0</v>
      </c>
      <c r="BB404" s="954">
        <v>0.6</v>
      </c>
      <c r="BC404" s="957">
        <v>0</v>
      </c>
      <c r="BD404" s="958">
        <v>1</v>
      </c>
      <c r="BE404" s="958">
        <v>0</v>
      </c>
      <c r="BF404" s="959">
        <v>0</v>
      </c>
      <c r="BG404" s="954">
        <v>0</v>
      </c>
      <c r="BH404" s="954">
        <v>1</v>
      </c>
      <c r="BI404" s="959">
        <v>0</v>
      </c>
      <c r="BJ404" s="954">
        <v>0</v>
      </c>
      <c r="BK404" s="954">
        <v>0</v>
      </c>
      <c r="BL404" s="954">
        <v>1</v>
      </c>
      <c r="BM404" s="959">
        <v>0</v>
      </c>
      <c r="BN404" s="958">
        <v>0.1</v>
      </c>
      <c r="BO404" s="959">
        <v>6</v>
      </c>
      <c r="BP404" s="926">
        <f t="shared" ca="1" si="569"/>
        <v>206.38</v>
      </c>
      <c r="BQ404" s="926">
        <f t="shared" ca="1" si="570"/>
        <v>308.92399999999992</v>
      </c>
      <c r="BR404" s="926">
        <f t="shared" ca="1" si="571"/>
        <v>90.07</v>
      </c>
      <c r="BS404" s="926">
        <f t="shared" ca="1" si="572"/>
        <v>65.974999999999994</v>
      </c>
      <c r="BT404" s="926">
        <f t="shared" ca="1" si="573"/>
        <v>78.88</v>
      </c>
      <c r="BU404" s="926">
        <f t="shared" ca="1" si="574"/>
        <v>18</v>
      </c>
      <c r="BV404" s="926">
        <f t="shared" ca="1" si="575"/>
        <v>7.5250000000000004</v>
      </c>
      <c r="BW404" s="926">
        <v>0</v>
      </c>
      <c r="BX404" s="926">
        <f t="shared" ca="1" si="576"/>
        <v>20.753456221198157</v>
      </c>
      <c r="BY404" s="926">
        <f t="shared" ca="1" si="577"/>
        <v>20.002526528549769</v>
      </c>
      <c r="BZ404" s="926">
        <f t="shared" ca="1" si="582"/>
        <v>18.887893693903717</v>
      </c>
      <c r="CA404" s="926">
        <f t="shared" ca="1" si="583"/>
        <v>35.999999985599999</v>
      </c>
      <c r="CB404" s="926">
        <f t="shared" ca="1" si="578"/>
        <v>15.79675572519084</v>
      </c>
      <c r="CC404" s="926">
        <f t="shared" si="584"/>
        <v>0</v>
      </c>
      <c r="CD404" s="1018">
        <f t="shared" ca="1" si="585"/>
        <v>137.4856321544425</v>
      </c>
      <c r="CE404" s="1018">
        <f t="shared" ca="1" si="563"/>
        <v>44.262287553242658</v>
      </c>
      <c r="CF404" s="926">
        <f t="shared" ca="1" si="586"/>
        <v>5.4524375912305549</v>
      </c>
      <c r="CG404" s="926">
        <f t="shared" ca="1" si="587"/>
        <v>9078.0904918952237</v>
      </c>
    </row>
    <row r="405" spans="4:85" s="3" customFormat="1" x14ac:dyDescent="0.25">
      <c r="D405" s="746"/>
      <c r="E405" s="742"/>
      <c r="F405" s="746"/>
      <c r="G405" s="742"/>
      <c r="H405" s="746"/>
      <c r="I405" s="742"/>
      <c r="J405" s="746"/>
      <c r="K405" s="744" t="s">
        <v>230</v>
      </c>
      <c r="L405" s="745">
        <v>0</v>
      </c>
      <c r="M405" s="741" t="s">
        <v>7</v>
      </c>
      <c r="N405" s="743">
        <v>0.125</v>
      </c>
      <c r="O405" s="741" t="s">
        <v>23</v>
      </c>
      <c r="P405" s="743">
        <v>1</v>
      </c>
      <c r="Q405" s="741" t="s">
        <v>7</v>
      </c>
      <c r="R405" s="743">
        <v>1</v>
      </c>
      <c r="S405" s="741"/>
      <c r="T405" s="752">
        <v>0</v>
      </c>
      <c r="U405" s="740"/>
      <c r="V405" s="176">
        <f t="shared" si="566"/>
        <v>0</v>
      </c>
      <c r="W405" s="176">
        <f t="shared" si="579"/>
        <v>0</v>
      </c>
      <c r="X405" s="176">
        <f t="shared" si="580"/>
        <v>0</v>
      </c>
      <c r="Y405" s="958">
        <f>X405/Calculation_sheet!M$67</f>
        <v>0</v>
      </c>
      <c r="Z405" s="176">
        <f ca="1">IF(AN405&gt;0,Y405*Calculation_sheet!C$87,0)</f>
        <v>0</v>
      </c>
      <c r="AA405" s="176">
        <f ca="1">Y405-Z405</f>
        <v>0</v>
      </c>
      <c r="AB405" s="176">
        <f ca="1">IF(AP405&gt;0,AA405*Calculation_sheet!C$94,0)</f>
        <v>0</v>
      </c>
      <c r="AC405" s="176">
        <f t="shared" ca="1" si="567"/>
        <v>0</v>
      </c>
      <c r="AD405" s="958">
        <f ca="1">AC405*Calculation_sheet!C$99</f>
        <v>0</v>
      </c>
      <c r="AE405" s="176">
        <f t="shared" ca="1" si="567"/>
        <v>0</v>
      </c>
      <c r="AF405" s="176">
        <f t="shared" ca="1" si="568"/>
        <v>0</v>
      </c>
      <c r="AG405" s="958">
        <f ca="1">AF405*User_sheet!B$77/100</f>
        <v>0</v>
      </c>
      <c r="AH405" s="313"/>
      <c r="AI405" s="954">
        <v>304</v>
      </c>
      <c r="AJ405" s="985"/>
      <c r="AK405" s="1018">
        <f t="shared" ca="1" si="581"/>
        <v>137.4856321544425</v>
      </c>
      <c r="AL405" s="924">
        <f ca="1">AK405/'304'!I$24</f>
        <v>0.54371159375335654</v>
      </c>
      <c r="AM405" s="924">
        <f ca="1">0.8*(AK405*30+'304'!D$17*0.34*30*1)</f>
        <v>7467.8770117066197</v>
      </c>
      <c r="AN405" s="954">
        <f ca="1">IF(AM405&lt;User_sheet!B$50,Y405,0)</f>
        <v>0</v>
      </c>
      <c r="AO405" s="954">
        <f ca="1">20-(User_sheet!B$57/(AK405+'304'!D$17*1*0.34))</f>
        <v>1.6815408468092379</v>
      </c>
      <c r="AP405" s="954">
        <f ca="1">IF(AO405&lt;User_sheet!B$59,0,BC405*AA405)</f>
        <v>0</v>
      </c>
      <c r="AQ405" s="985"/>
      <c r="AR405" s="954">
        <v>0.24</v>
      </c>
      <c r="AS405" s="954">
        <v>0.32</v>
      </c>
      <c r="AT405" s="954">
        <v>0.83</v>
      </c>
      <c r="AU405" s="954">
        <v>2</v>
      </c>
      <c r="AV405" s="954">
        <v>3.3</v>
      </c>
      <c r="AW405" s="954">
        <v>14536.85461731979</v>
      </c>
      <c r="AX405" s="954">
        <v>73366.155837550017</v>
      </c>
      <c r="AY405" s="954">
        <v>69245.59826015502</v>
      </c>
      <c r="AZ405" s="956">
        <v>0</v>
      </c>
      <c r="BA405" s="956">
        <v>0</v>
      </c>
      <c r="BB405" s="954">
        <v>0.6</v>
      </c>
      <c r="BC405" s="957">
        <v>0</v>
      </c>
      <c r="BD405" s="958">
        <v>0</v>
      </c>
      <c r="BE405" s="958">
        <v>1</v>
      </c>
      <c r="BF405" s="959">
        <v>0</v>
      </c>
      <c r="BG405" s="954">
        <v>0</v>
      </c>
      <c r="BH405" s="954">
        <v>0</v>
      </c>
      <c r="BI405" s="959">
        <v>1</v>
      </c>
      <c r="BJ405" s="954">
        <v>0</v>
      </c>
      <c r="BK405" s="954">
        <v>0</v>
      </c>
      <c r="BL405" s="954">
        <v>1</v>
      </c>
      <c r="BM405" s="959">
        <v>0</v>
      </c>
      <c r="BN405" s="958">
        <v>0.1</v>
      </c>
      <c r="BO405" s="959">
        <v>6</v>
      </c>
      <c r="BP405" s="926">
        <f t="shared" ca="1" si="569"/>
        <v>206.38</v>
      </c>
      <c r="BQ405" s="926">
        <f t="shared" ca="1" si="570"/>
        <v>308.92399999999992</v>
      </c>
      <c r="BR405" s="926">
        <f t="shared" ca="1" si="571"/>
        <v>90.07</v>
      </c>
      <c r="BS405" s="926">
        <f t="shared" ca="1" si="572"/>
        <v>65.974999999999994</v>
      </c>
      <c r="BT405" s="926">
        <f t="shared" ca="1" si="573"/>
        <v>78.88</v>
      </c>
      <c r="BU405" s="926">
        <f t="shared" ca="1" si="574"/>
        <v>18</v>
      </c>
      <c r="BV405" s="926">
        <f t="shared" ca="1" si="575"/>
        <v>7.5250000000000004</v>
      </c>
      <c r="BW405" s="926">
        <v>0</v>
      </c>
      <c r="BX405" s="926">
        <f t="shared" ca="1" si="576"/>
        <v>20.753456221198157</v>
      </c>
      <c r="BY405" s="926">
        <f t="shared" ca="1" si="577"/>
        <v>20.002526528549769</v>
      </c>
      <c r="BZ405" s="926">
        <f t="shared" ca="1" si="582"/>
        <v>18.887893693903717</v>
      </c>
      <c r="CA405" s="926">
        <f t="shared" ca="1" si="583"/>
        <v>35.999999985599999</v>
      </c>
      <c r="CB405" s="926">
        <f t="shared" ca="1" si="578"/>
        <v>15.79675572519084</v>
      </c>
      <c r="CC405" s="926">
        <f t="shared" si="584"/>
        <v>0</v>
      </c>
      <c r="CD405" s="1018">
        <f t="shared" ca="1" si="585"/>
        <v>137.4856321544425</v>
      </c>
      <c r="CE405" s="1018">
        <f t="shared" ca="1" si="563"/>
        <v>44.262287553242658</v>
      </c>
      <c r="CF405" s="926">
        <f t="shared" ca="1" si="586"/>
        <v>5.4524375912305549</v>
      </c>
      <c r="CG405" s="926">
        <f t="shared" ca="1" si="587"/>
        <v>9078.0904918952237</v>
      </c>
    </row>
    <row r="406" spans="4:85" s="11" customFormat="1" x14ac:dyDescent="0.25">
      <c r="D406" s="749"/>
      <c r="E406" s="748"/>
      <c r="F406" s="749"/>
      <c r="G406" s="748"/>
      <c r="H406" s="749"/>
      <c r="I406" s="748"/>
      <c r="J406" s="749"/>
      <c r="K406" s="750"/>
      <c r="L406" s="749"/>
      <c r="M406" s="749"/>
      <c r="N406" s="749"/>
      <c r="O406" s="749"/>
      <c r="P406" s="749"/>
      <c r="Q406" s="749"/>
      <c r="R406" s="749"/>
      <c r="S406" s="749"/>
      <c r="T406" s="753"/>
      <c r="U406" s="748"/>
      <c r="V406" s="293"/>
      <c r="W406" s="292"/>
      <c r="X406" s="292"/>
      <c r="Y406" s="277"/>
      <c r="Z406" s="292"/>
      <c r="AA406" s="292"/>
      <c r="AB406" s="292"/>
      <c r="AC406" s="292"/>
      <c r="AD406" s="277"/>
      <c r="AE406" s="292"/>
      <c r="AF406" s="292"/>
      <c r="AG406" s="277"/>
      <c r="AH406" s="313"/>
      <c r="AI406" s="955"/>
      <c r="AJ406" s="985"/>
      <c r="AK406" s="1018">
        <f t="shared" si="581"/>
        <v>0</v>
      </c>
      <c r="AL406" s="946"/>
      <c r="AM406" s="946"/>
      <c r="AN406" s="955"/>
      <c r="AO406" s="955"/>
      <c r="AP406" s="955"/>
      <c r="AQ406" s="985"/>
      <c r="AR406" s="955"/>
      <c r="AS406" s="955"/>
      <c r="AT406" s="955"/>
      <c r="AU406" s="955"/>
      <c r="AV406" s="955"/>
      <c r="AW406" s="955"/>
      <c r="AX406" s="955"/>
      <c r="AY406" s="955"/>
      <c r="AZ406" s="955"/>
      <c r="BA406" s="955"/>
      <c r="BB406" s="955"/>
      <c r="BC406" s="335"/>
      <c r="BD406" s="278"/>
      <c r="BE406" s="278"/>
      <c r="BF406" s="52"/>
      <c r="BG406" s="955"/>
      <c r="BH406" s="955"/>
      <c r="BI406" s="52"/>
      <c r="BJ406" s="955"/>
      <c r="BK406" s="955"/>
      <c r="BL406" s="955"/>
      <c r="BM406" s="52"/>
      <c r="BN406" s="278"/>
      <c r="BO406" s="52"/>
      <c r="BP406" s="946"/>
      <c r="BQ406" s="946"/>
      <c r="BR406" s="946"/>
      <c r="BS406" s="946"/>
      <c r="BT406" s="946"/>
      <c r="BU406" s="946"/>
      <c r="BV406" s="946"/>
      <c r="BW406" s="946"/>
      <c r="BX406" s="946"/>
      <c r="BY406" s="946"/>
      <c r="BZ406" s="946"/>
      <c r="CA406" s="946"/>
      <c r="CB406" s="946"/>
      <c r="CC406" s="946"/>
      <c r="CD406" s="946"/>
      <c r="CE406" s="946"/>
      <c r="CF406" s="946"/>
      <c r="CG406" s="946"/>
    </row>
    <row r="407" spans="4:85" x14ac:dyDescent="0.25">
      <c r="D407" s="741"/>
      <c r="E407" s="740"/>
      <c r="F407" s="746"/>
      <c r="G407" s="742"/>
      <c r="H407" s="746"/>
      <c r="I407" s="742"/>
      <c r="J407" s="746"/>
      <c r="K407" s="747"/>
      <c r="L407" s="746"/>
      <c r="M407" s="741"/>
      <c r="N407" s="741"/>
      <c r="O407" s="741"/>
      <c r="P407" s="741"/>
      <c r="Q407" s="741" t="s">
        <v>16</v>
      </c>
      <c r="R407" s="743">
        <v>0.81069999999999998</v>
      </c>
      <c r="S407" s="741"/>
      <c r="T407" s="752">
        <v>3.3189863712883047E-6</v>
      </c>
      <c r="U407" s="740"/>
      <c r="V407" s="176">
        <f t="shared" si="550"/>
        <v>3.3189863712883047E-6</v>
      </c>
      <c r="W407" s="176">
        <f>V407</f>
        <v>3.3189863712883047E-6</v>
      </c>
      <c r="X407" s="176">
        <f>W407</f>
        <v>3.3189863712883047E-6</v>
      </c>
      <c r="Y407" s="34">
        <f>X407/Calculation_sheet!M$67</f>
        <v>3.3190542327063642E-6</v>
      </c>
      <c r="Z407" s="176">
        <f ca="1">IF(AN407&gt;0,Y407*Calculation_sheet!C$87,0)</f>
        <v>0</v>
      </c>
      <c r="AA407" s="176">
        <f t="shared" ref="AA407:AA415" ca="1" si="588">Y407-Z407</f>
        <v>3.3190542327063642E-6</v>
      </c>
      <c r="AB407" s="176">
        <f ca="1">IF(AP407&gt;0,AA407*Calculation_sheet!C$94,0)</f>
        <v>0</v>
      </c>
      <c r="AC407" s="176">
        <f t="shared" ref="AC407:AE415" ca="1" si="589">AA407-AB407</f>
        <v>3.3190542327063642E-6</v>
      </c>
      <c r="AD407" s="958">
        <f ca="1">AC407*Calculation_sheet!C$99</f>
        <v>1.9914325396238183E-6</v>
      </c>
      <c r="AE407" s="176">
        <f t="shared" ca="1" si="589"/>
        <v>1.3276216930825459E-6</v>
      </c>
      <c r="AF407" s="176">
        <f t="shared" ref="AF407:AF415" ca="1" si="590">Y407-AB407</f>
        <v>3.3190542327063642E-6</v>
      </c>
      <c r="AG407" s="958">
        <f ca="1">AF407*User_sheet!B$77/100</f>
        <v>0</v>
      </c>
      <c r="AH407" s="313"/>
      <c r="AI407" s="3">
        <v>304</v>
      </c>
      <c r="AK407" s="1018">
        <f t="shared" ca="1" si="581"/>
        <v>142.03860212054428</v>
      </c>
      <c r="AL407" s="924">
        <f ca="1">AK407/'304'!I$24</f>
        <v>0.56171713017042413</v>
      </c>
      <c r="AM407" s="924">
        <f ca="1">0.8*(AK407*30+'304'!D$17*0.34*30*1)</f>
        <v>7577.1482908930629</v>
      </c>
      <c r="AN407" s="954">
        <f ca="1">IF(AM407&lt;User_sheet!B$50,Y407,0)</f>
        <v>3.3190542327063642E-6</v>
      </c>
      <c r="AO407" s="954">
        <f ca="1">20-(User_sheet!B$57/(AK407+'304'!D$17*1*0.34))</f>
        <v>1.9457143046257599</v>
      </c>
      <c r="AP407" s="954">
        <f ca="1">IF(AO407&lt;User_sheet!B$59,0,BC407*AA407)</f>
        <v>0</v>
      </c>
      <c r="AR407" s="2">
        <v>0.24</v>
      </c>
      <c r="AS407" s="2">
        <v>0.54</v>
      </c>
      <c r="AT407" s="2">
        <v>0.45</v>
      </c>
      <c r="AU407" s="2">
        <v>2</v>
      </c>
      <c r="AV407" s="2">
        <v>3.3</v>
      </c>
      <c r="AW407" s="2">
        <v>14536.85461731979</v>
      </c>
      <c r="AX407" s="2">
        <v>75022.04959166942</v>
      </c>
      <c r="AY407" s="2">
        <v>65937.809199439725</v>
      </c>
      <c r="AZ407" s="27">
        <v>0</v>
      </c>
      <c r="BA407" s="27">
        <v>0</v>
      </c>
      <c r="BB407" s="2">
        <v>0.6</v>
      </c>
      <c r="BC407" s="30">
        <v>1</v>
      </c>
      <c r="BD407" s="34">
        <v>0</v>
      </c>
      <c r="BE407" s="34">
        <v>0</v>
      </c>
      <c r="BF407" s="40">
        <v>0</v>
      </c>
      <c r="BG407" s="2">
        <v>1</v>
      </c>
      <c r="BH407" s="2">
        <v>0</v>
      </c>
      <c r="BI407" s="40">
        <v>0</v>
      </c>
      <c r="BJ407" s="2">
        <v>1</v>
      </c>
      <c r="BK407" s="2">
        <v>0</v>
      </c>
      <c r="BL407" s="2">
        <v>0</v>
      </c>
      <c r="BM407" s="40">
        <v>0</v>
      </c>
      <c r="BN407" s="958">
        <v>0.1</v>
      </c>
      <c r="BO407" s="50">
        <v>10</v>
      </c>
      <c r="BP407" s="1018">
        <f t="shared" ref="BP407:BP415" ca="1" si="591">INDIRECT("'"&amp;AI407&amp;"'!"&amp;"B2")</f>
        <v>206.38</v>
      </c>
      <c r="BQ407" s="1018">
        <f t="shared" ref="BQ407:BQ415" ca="1" si="592">INDIRECT("'"&amp;AI407&amp;"'!"&amp;"C12")+INDIRECT("'"&amp;AI407&amp;"'!"&amp;"C13")+INDIRECT("'"&amp;AI407&amp;"'!"&amp;"C14")+INDIRECT("'"&amp;AI407&amp;"'!"&amp;"C15")+INDIRECT("'"&amp;AI407&amp;"'!"&amp;"C17")</f>
        <v>308.92399999999992</v>
      </c>
      <c r="BR407" s="1018">
        <f t="shared" ref="BR407:BR415" ca="1" si="593">INDIRECT("'"&amp;AI407&amp;"'!"&amp;"G5")</f>
        <v>90.07</v>
      </c>
      <c r="BS407" s="1018">
        <f t="shared" ref="BS407:BS415" ca="1" si="594">INDIRECT("'"&amp;AI407&amp;"'!"&amp;"G4")</f>
        <v>65.974999999999994</v>
      </c>
      <c r="BT407" s="1018">
        <f t="shared" ref="BT407:BT415" ca="1" si="595">INDIRECT("'"&amp;AI407&amp;"'!"&amp;"G6")</f>
        <v>78.88</v>
      </c>
      <c r="BU407" s="1018">
        <f t="shared" ref="BU407:BU415" ca="1" si="596">INDIRECT("'"&amp;AI407&amp;"'!"&amp;"G2")</f>
        <v>18</v>
      </c>
      <c r="BV407" s="1018">
        <f t="shared" ref="BV407:BV415" ca="1" si="597">INDIRECT("'"&amp;AI407&amp;"'!"&amp;"G3")</f>
        <v>7.5250000000000004</v>
      </c>
      <c r="BW407" s="1018">
        <v>0</v>
      </c>
      <c r="BX407" s="1018">
        <f t="shared" ref="BX407:BX415" ca="1" si="598">IF(BR407=0,0,1/(1/(BR407*$BY$3)+1/(BR407*AR407)+1/(BR407*$BY$4)))</f>
        <v>20.753456221198157</v>
      </c>
      <c r="BY407" s="1018">
        <f t="shared" ref="BY407:BY415" ca="1" si="599">IF(BS407=0,0,1/(1/(BS407*$BY$3)+1/(BS407*AS407)+1/(BS407*$BY$4)))</f>
        <v>32.577267739575717</v>
      </c>
      <c r="BZ407" s="1018">
        <f t="shared" ca="1" si="582"/>
        <v>10.866122448979594</v>
      </c>
      <c r="CA407" s="1018">
        <f t="shared" ca="1" si="583"/>
        <v>35.999999985599999</v>
      </c>
      <c r="CB407" s="1018">
        <f t="shared" ref="CB407:CB415" ca="1" si="600">IF(BV407=0,0,1/(1/(BV407*$BY$3)+1/(BV407*AV407)+1/(BV407*$BY$4)))</f>
        <v>15.79675572519084</v>
      </c>
      <c r="CC407" s="1018">
        <f t="shared" si="584"/>
        <v>0</v>
      </c>
      <c r="CD407" s="1018">
        <f ca="1">SUM(BX407:CC407)+(BR407+BS407+BT407+BU407+BV407)*BN407</f>
        <v>142.03860212054428</v>
      </c>
      <c r="CE407" s="1018">
        <f t="shared" ca="1" si="563"/>
        <v>73.770479255404439</v>
      </c>
      <c r="CF407" s="1018">
        <f t="shared" ca="1" si="586"/>
        <v>6.4742724412784618</v>
      </c>
      <c r="CG407" s="1018">
        <f t="shared" ca="1" si="587"/>
        <v>10779.404643830989</v>
      </c>
    </row>
    <row r="408" spans="4:85" x14ac:dyDescent="0.25">
      <c r="D408" s="741"/>
      <c r="E408" s="740"/>
      <c r="F408" s="746"/>
      <c r="G408" s="742"/>
      <c r="H408" s="746"/>
      <c r="I408" s="742"/>
      <c r="J408" s="746"/>
      <c r="K408" s="747"/>
      <c r="L408" s="746"/>
      <c r="M408" s="741"/>
      <c r="N408" s="741"/>
      <c r="O408" s="741" t="s">
        <v>18</v>
      </c>
      <c r="P408" s="743">
        <v>0.962121212</v>
      </c>
      <c r="Q408" s="741" t="s">
        <v>7</v>
      </c>
      <c r="R408" s="743">
        <v>0.1893</v>
      </c>
      <c r="S408" s="741"/>
      <c r="T408" s="752">
        <v>0</v>
      </c>
      <c r="U408" s="740"/>
      <c r="V408" s="176">
        <f t="shared" si="550"/>
        <v>0</v>
      </c>
      <c r="W408" s="176">
        <f t="shared" ref="W408:X415" si="601">V408</f>
        <v>0</v>
      </c>
      <c r="X408" s="176">
        <f t="shared" si="601"/>
        <v>0</v>
      </c>
      <c r="Y408" s="34">
        <f>X408/Calculation_sheet!M$67</f>
        <v>0</v>
      </c>
      <c r="Z408" s="176">
        <f ca="1">IF(AN408&gt;0,Y408*Calculation_sheet!C$87,0)</f>
        <v>0</v>
      </c>
      <c r="AA408" s="176">
        <f t="shared" ca="1" si="588"/>
        <v>0</v>
      </c>
      <c r="AB408" s="176">
        <f ca="1">IF(AP408&gt;0,AA408*Calculation_sheet!C$94,0)</f>
        <v>0</v>
      </c>
      <c r="AC408" s="176">
        <f t="shared" ca="1" si="589"/>
        <v>0</v>
      </c>
      <c r="AD408" s="958">
        <f ca="1">AC408*Calculation_sheet!C$99</f>
        <v>0</v>
      </c>
      <c r="AE408" s="176">
        <f t="shared" ca="1" si="589"/>
        <v>0</v>
      </c>
      <c r="AF408" s="176">
        <f t="shared" ca="1" si="590"/>
        <v>0</v>
      </c>
      <c r="AG408" s="958">
        <f ca="1">AF408*User_sheet!B$77/100</f>
        <v>0</v>
      </c>
      <c r="AH408" s="313"/>
      <c r="AI408" s="3">
        <v>304</v>
      </c>
      <c r="AK408" s="1018">
        <f t="shared" ca="1" si="581"/>
        <v>142.03860212054428</v>
      </c>
      <c r="AL408" s="924">
        <f ca="1">AK408/'304'!I$24</f>
        <v>0.56171713017042413</v>
      </c>
      <c r="AM408" s="924">
        <f ca="1">0.8*(AK408*30+'304'!D$17*0.34*30*1)</f>
        <v>7577.1482908930629</v>
      </c>
      <c r="AN408" s="954">
        <f ca="1">IF(AM408&lt;User_sheet!B$50,Y408,0)</f>
        <v>0</v>
      </c>
      <c r="AO408" s="954">
        <f ca="1">20-(User_sheet!B$57/(AK408+'304'!D$17*1*0.34))</f>
        <v>1.9457143046257599</v>
      </c>
      <c r="AP408" s="954">
        <f ca="1">IF(AO408&lt;User_sheet!B$59,0,BC408*AA408)</f>
        <v>0</v>
      </c>
      <c r="AR408" s="2">
        <v>0.24</v>
      </c>
      <c r="AS408" s="2">
        <v>0.54</v>
      </c>
      <c r="AT408" s="2">
        <v>0.45</v>
      </c>
      <c r="AU408" s="2">
        <v>2</v>
      </c>
      <c r="AV408" s="2">
        <v>3.3</v>
      </c>
      <c r="AW408" s="2">
        <v>14536.85461731979</v>
      </c>
      <c r="AX408" s="2">
        <v>75022.04959166942</v>
      </c>
      <c r="AY408" s="2">
        <v>65937.809199439725</v>
      </c>
      <c r="AZ408" s="27">
        <v>0</v>
      </c>
      <c r="BA408" s="27">
        <v>0</v>
      </c>
      <c r="BB408" s="2">
        <v>0.6</v>
      </c>
      <c r="BC408" s="30">
        <v>1</v>
      </c>
      <c r="BD408" s="34">
        <v>0</v>
      </c>
      <c r="BE408" s="34">
        <v>0</v>
      </c>
      <c r="BF408" s="40">
        <v>0</v>
      </c>
      <c r="BG408" s="2">
        <v>1</v>
      </c>
      <c r="BH408" s="2">
        <v>0</v>
      </c>
      <c r="BI408" s="40">
        <v>0</v>
      </c>
      <c r="BJ408" s="2">
        <v>0</v>
      </c>
      <c r="BK408" s="2">
        <v>0</v>
      </c>
      <c r="BL408" s="2">
        <v>1</v>
      </c>
      <c r="BM408" s="40">
        <v>0</v>
      </c>
      <c r="BN408" s="958">
        <v>0.1</v>
      </c>
      <c r="BO408" s="50">
        <v>10</v>
      </c>
      <c r="BP408" s="1018">
        <f t="shared" ca="1" si="591"/>
        <v>206.38</v>
      </c>
      <c r="BQ408" s="1018">
        <f t="shared" ca="1" si="592"/>
        <v>308.92399999999992</v>
      </c>
      <c r="BR408" s="1018">
        <f t="shared" ca="1" si="593"/>
        <v>90.07</v>
      </c>
      <c r="BS408" s="1018">
        <f t="shared" ca="1" si="594"/>
        <v>65.974999999999994</v>
      </c>
      <c r="BT408" s="1018">
        <f t="shared" ca="1" si="595"/>
        <v>78.88</v>
      </c>
      <c r="BU408" s="1018">
        <f t="shared" ca="1" si="596"/>
        <v>18</v>
      </c>
      <c r="BV408" s="1018">
        <f t="shared" ca="1" si="597"/>
        <v>7.5250000000000004</v>
      </c>
      <c r="BW408" s="1018">
        <v>0</v>
      </c>
      <c r="BX408" s="1018">
        <f t="shared" ca="1" si="598"/>
        <v>20.753456221198157</v>
      </c>
      <c r="BY408" s="1018">
        <f t="shared" ca="1" si="599"/>
        <v>32.577267739575717</v>
      </c>
      <c r="BZ408" s="1018">
        <f t="shared" ca="1" si="582"/>
        <v>10.866122448979594</v>
      </c>
      <c r="CA408" s="1018">
        <f t="shared" ca="1" si="583"/>
        <v>35.999999985599999</v>
      </c>
      <c r="CB408" s="1018">
        <f t="shared" ca="1" si="600"/>
        <v>15.79675572519084</v>
      </c>
      <c r="CC408" s="1018">
        <f t="shared" si="584"/>
        <v>0</v>
      </c>
      <c r="CD408" s="1018">
        <f t="shared" ref="CD408:CD415" ca="1" si="602">SUM(BX408:CC408)+(BR408+BS408+BT408+BU408+BV408)*BN408</f>
        <v>142.03860212054428</v>
      </c>
      <c r="CE408" s="1018">
        <f t="shared" ca="1" si="563"/>
        <v>73.770479255404439</v>
      </c>
      <c r="CF408" s="1018">
        <f t="shared" ca="1" si="586"/>
        <v>6.4742724412784618</v>
      </c>
      <c r="CG408" s="1018">
        <f t="shared" ca="1" si="587"/>
        <v>10779.404643830989</v>
      </c>
    </row>
    <row r="409" spans="4:85" x14ac:dyDescent="0.25">
      <c r="D409" s="741"/>
      <c r="E409" s="740"/>
      <c r="F409" s="746"/>
      <c r="G409" s="742"/>
      <c r="H409" s="746"/>
      <c r="I409" s="742"/>
      <c r="J409" s="746"/>
      <c r="K409" s="747"/>
      <c r="L409" s="746"/>
      <c r="M409" s="741"/>
      <c r="N409" s="741"/>
      <c r="O409" s="741"/>
      <c r="P409" s="741"/>
      <c r="Q409" s="741" t="s">
        <v>16</v>
      </c>
      <c r="R409" s="743">
        <v>0.81069999999999998</v>
      </c>
      <c r="S409" s="741"/>
      <c r="T409" s="752">
        <v>1.3066875520973229E-7</v>
      </c>
      <c r="U409" s="740"/>
      <c r="V409" s="176">
        <f t="shared" si="550"/>
        <v>1.3066875520973229E-7</v>
      </c>
      <c r="W409" s="176">
        <f t="shared" si="601"/>
        <v>1.3066875520973229E-7</v>
      </c>
      <c r="X409" s="176">
        <f t="shared" si="601"/>
        <v>1.3066875520973229E-7</v>
      </c>
      <c r="Y409" s="34">
        <f>X409/Calculation_sheet!M$67</f>
        <v>1.306714269191136E-7</v>
      </c>
      <c r="Z409" s="176">
        <f ca="1">IF(AN409&gt;0,Y409*Calculation_sheet!C$87,0)</f>
        <v>0</v>
      </c>
      <c r="AA409" s="176">
        <f t="shared" ca="1" si="588"/>
        <v>1.306714269191136E-7</v>
      </c>
      <c r="AB409" s="176">
        <f ca="1">IF(AP409&gt;0,AA409*Calculation_sheet!C$94,0)</f>
        <v>0</v>
      </c>
      <c r="AC409" s="176">
        <f t="shared" ca="1" si="589"/>
        <v>1.306714269191136E-7</v>
      </c>
      <c r="AD409" s="958">
        <f ca="1">AC409*Calculation_sheet!C$99</f>
        <v>7.8402856151468163E-8</v>
      </c>
      <c r="AE409" s="176">
        <f t="shared" ca="1" si="589"/>
        <v>5.2268570767645438E-8</v>
      </c>
      <c r="AF409" s="176">
        <f t="shared" ca="1" si="590"/>
        <v>1.306714269191136E-7</v>
      </c>
      <c r="AG409" s="958">
        <f ca="1">AF409*User_sheet!B$77/100</f>
        <v>0</v>
      </c>
      <c r="AH409" s="313"/>
      <c r="AI409" s="3">
        <v>304</v>
      </c>
      <c r="AK409" s="1018">
        <f t="shared" ca="1" si="581"/>
        <v>142.03860212054428</v>
      </c>
      <c r="AL409" s="924">
        <f ca="1">AK409/'304'!I$24</f>
        <v>0.56171713017042413</v>
      </c>
      <c r="AM409" s="924">
        <f ca="1">0.8*(AK409*30+'304'!D$17*0.34*30*1)</f>
        <v>7577.1482908930629</v>
      </c>
      <c r="AN409" s="954">
        <f ca="1">IF(AM409&lt;User_sheet!B$50,Y409,0)</f>
        <v>1.306714269191136E-7</v>
      </c>
      <c r="AO409" s="954">
        <f ca="1">20-(User_sheet!B$57/(AK409+'304'!D$17*1*0.34))</f>
        <v>1.9457143046257599</v>
      </c>
      <c r="AP409" s="954">
        <f ca="1">IF(AO409&lt;User_sheet!B$59,0,BC409*AA409)</f>
        <v>0</v>
      </c>
      <c r="AR409" s="2">
        <v>0.24</v>
      </c>
      <c r="AS409" s="2">
        <v>0.54</v>
      </c>
      <c r="AT409" s="2">
        <v>0.45</v>
      </c>
      <c r="AU409" s="2">
        <v>2</v>
      </c>
      <c r="AV409" s="2">
        <v>3.3</v>
      </c>
      <c r="AW409" s="2">
        <v>14536.85461731979</v>
      </c>
      <c r="AX409" s="2">
        <v>75022.04959166942</v>
      </c>
      <c r="AY409" s="2">
        <v>65937.809199439725</v>
      </c>
      <c r="AZ409" s="27">
        <v>0</v>
      </c>
      <c r="BA409" s="27">
        <v>0</v>
      </c>
      <c r="BB409" s="2">
        <v>0.6</v>
      </c>
      <c r="BC409" s="30">
        <v>1</v>
      </c>
      <c r="BD409" s="34">
        <v>0</v>
      </c>
      <c r="BE409" s="34">
        <v>0</v>
      </c>
      <c r="BF409" s="40">
        <v>0</v>
      </c>
      <c r="BG409" s="2">
        <v>0</v>
      </c>
      <c r="BH409" s="2">
        <v>1</v>
      </c>
      <c r="BI409" s="40">
        <v>0</v>
      </c>
      <c r="BJ409" s="2">
        <v>1</v>
      </c>
      <c r="BK409" s="2">
        <v>0</v>
      </c>
      <c r="BL409" s="2">
        <v>0</v>
      </c>
      <c r="BM409" s="40">
        <v>0</v>
      </c>
      <c r="BN409" s="958">
        <v>0.1</v>
      </c>
      <c r="BO409" s="50">
        <v>10</v>
      </c>
      <c r="BP409" s="1018">
        <f t="shared" ca="1" si="591"/>
        <v>206.38</v>
      </c>
      <c r="BQ409" s="1018">
        <f t="shared" ca="1" si="592"/>
        <v>308.92399999999992</v>
      </c>
      <c r="BR409" s="1018">
        <f t="shared" ca="1" si="593"/>
        <v>90.07</v>
      </c>
      <c r="BS409" s="1018">
        <f t="shared" ca="1" si="594"/>
        <v>65.974999999999994</v>
      </c>
      <c r="BT409" s="1018">
        <f t="shared" ca="1" si="595"/>
        <v>78.88</v>
      </c>
      <c r="BU409" s="1018">
        <f t="shared" ca="1" si="596"/>
        <v>18</v>
      </c>
      <c r="BV409" s="1018">
        <f t="shared" ca="1" si="597"/>
        <v>7.5250000000000004</v>
      </c>
      <c r="BW409" s="1018">
        <v>0</v>
      </c>
      <c r="BX409" s="1018">
        <f t="shared" ca="1" si="598"/>
        <v>20.753456221198157</v>
      </c>
      <c r="BY409" s="1018">
        <f t="shared" ca="1" si="599"/>
        <v>32.577267739575717</v>
      </c>
      <c r="BZ409" s="1018">
        <f t="shared" ca="1" si="582"/>
        <v>10.866122448979594</v>
      </c>
      <c r="CA409" s="1018">
        <f t="shared" ca="1" si="583"/>
        <v>35.999999985599999</v>
      </c>
      <c r="CB409" s="1018">
        <f t="shared" ca="1" si="600"/>
        <v>15.79675572519084</v>
      </c>
      <c r="CC409" s="1018">
        <f t="shared" si="584"/>
        <v>0</v>
      </c>
      <c r="CD409" s="1018">
        <f t="shared" ca="1" si="602"/>
        <v>142.03860212054428</v>
      </c>
      <c r="CE409" s="1018">
        <f t="shared" ca="1" si="563"/>
        <v>73.770479255404439</v>
      </c>
      <c r="CF409" s="1018">
        <f t="shared" ca="1" si="586"/>
        <v>6.4742724412784618</v>
      </c>
      <c r="CG409" s="1018">
        <f t="shared" ca="1" si="587"/>
        <v>10779.404643830989</v>
      </c>
    </row>
    <row r="410" spans="4:85" x14ac:dyDescent="0.25">
      <c r="D410" s="741"/>
      <c r="E410" s="740"/>
      <c r="F410" s="746"/>
      <c r="G410" s="742"/>
      <c r="H410" s="746"/>
      <c r="I410" s="742"/>
      <c r="J410" s="746"/>
      <c r="K410" s="747"/>
      <c r="L410" s="746"/>
      <c r="M410" s="741" t="s">
        <v>16</v>
      </c>
      <c r="N410" s="743">
        <v>0.5</v>
      </c>
      <c r="O410" s="741" t="s">
        <v>19</v>
      </c>
      <c r="P410" s="743">
        <v>3.7878787999999997E-2</v>
      </c>
      <c r="Q410" s="741" t="s">
        <v>7</v>
      </c>
      <c r="R410" s="743">
        <v>0.1893</v>
      </c>
      <c r="S410" s="741"/>
      <c r="T410" s="752">
        <v>3.0511404170719528E-8</v>
      </c>
      <c r="U410" s="740"/>
      <c r="V410" s="176">
        <f t="shared" si="550"/>
        <v>3.0511404170719528E-8</v>
      </c>
      <c r="W410" s="176">
        <f t="shared" si="601"/>
        <v>3.0511404170719528E-8</v>
      </c>
      <c r="X410" s="176">
        <f t="shared" si="601"/>
        <v>3.0511404170719528E-8</v>
      </c>
      <c r="Y410" s="34">
        <f>X410/Calculation_sheet!M$67</f>
        <v>3.0512028019968178E-8</v>
      </c>
      <c r="Z410" s="176">
        <f ca="1">IF(AN410&gt;0,Y410*Calculation_sheet!C$87,0)</f>
        <v>0</v>
      </c>
      <c r="AA410" s="176">
        <f t="shared" ca="1" si="588"/>
        <v>3.0512028019968178E-8</v>
      </c>
      <c r="AB410" s="176">
        <f ca="1">IF(AP410&gt;0,AA410*Calculation_sheet!C$94,0)</f>
        <v>0</v>
      </c>
      <c r="AC410" s="176">
        <f t="shared" ca="1" si="589"/>
        <v>3.0512028019968178E-8</v>
      </c>
      <c r="AD410" s="958">
        <f ca="1">AC410*Calculation_sheet!C$99</f>
        <v>1.8307216811980907E-8</v>
      </c>
      <c r="AE410" s="176">
        <f t="shared" ca="1" si="589"/>
        <v>1.2204811207987271E-8</v>
      </c>
      <c r="AF410" s="176">
        <f t="shared" ca="1" si="590"/>
        <v>3.0512028019968178E-8</v>
      </c>
      <c r="AG410" s="958">
        <f ca="1">AF410*User_sheet!B$77/100</f>
        <v>0</v>
      </c>
      <c r="AH410" s="313"/>
      <c r="AI410" s="3">
        <v>304</v>
      </c>
      <c r="AK410" s="1018">
        <f t="shared" ca="1" si="581"/>
        <v>142.03860212054428</v>
      </c>
      <c r="AL410" s="924">
        <f ca="1">AK410/'304'!I$24</f>
        <v>0.56171713017042413</v>
      </c>
      <c r="AM410" s="924">
        <f ca="1">0.8*(AK410*30+'304'!D$17*0.34*30*1)</f>
        <v>7577.1482908930629</v>
      </c>
      <c r="AN410" s="954">
        <f ca="1">IF(AM410&lt;User_sheet!B$50,Y410,0)</f>
        <v>3.0512028019968178E-8</v>
      </c>
      <c r="AO410" s="954">
        <f ca="1">20-(User_sheet!B$57/(AK410+'304'!D$17*1*0.34))</f>
        <v>1.9457143046257599</v>
      </c>
      <c r="AP410" s="954">
        <f ca="1">IF(AO410&lt;User_sheet!B$59,0,BC410*AA410)</f>
        <v>0</v>
      </c>
      <c r="AR410" s="2">
        <v>0.24</v>
      </c>
      <c r="AS410" s="2">
        <v>0.54</v>
      </c>
      <c r="AT410" s="2">
        <v>0.45</v>
      </c>
      <c r="AU410" s="2">
        <v>2</v>
      </c>
      <c r="AV410" s="2">
        <v>3.3</v>
      </c>
      <c r="AW410" s="2">
        <v>14536.85461731979</v>
      </c>
      <c r="AX410" s="2">
        <v>75022.04959166942</v>
      </c>
      <c r="AY410" s="2">
        <v>65937.809199439725</v>
      </c>
      <c r="AZ410" s="27">
        <v>0</v>
      </c>
      <c r="BA410" s="27">
        <v>0</v>
      </c>
      <c r="BB410" s="2">
        <v>0.6</v>
      </c>
      <c r="BC410" s="30">
        <v>1</v>
      </c>
      <c r="BD410" s="34">
        <v>0</v>
      </c>
      <c r="BE410" s="34">
        <v>0</v>
      </c>
      <c r="BF410" s="40">
        <v>0</v>
      </c>
      <c r="BG410" s="2">
        <v>0</v>
      </c>
      <c r="BH410" s="2">
        <v>1</v>
      </c>
      <c r="BI410" s="40">
        <v>0</v>
      </c>
      <c r="BJ410" s="2">
        <v>0</v>
      </c>
      <c r="BK410" s="2">
        <v>0</v>
      </c>
      <c r="BL410" s="2">
        <v>1</v>
      </c>
      <c r="BM410" s="40">
        <v>0</v>
      </c>
      <c r="BN410" s="958">
        <v>0.1</v>
      </c>
      <c r="BO410" s="50">
        <v>10</v>
      </c>
      <c r="BP410" s="1018">
        <f t="shared" ca="1" si="591"/>
        <v>206.38</v>
      </c>
      <c r="BQ410" s="1018">
        <f t="shared" ca="1" si="592"/>
        <v>308.92399999999992</v>
      </c>
      <c r="BR410" s="1018">
        <f t="shared" ca="1" si="593"/>
        <v>90.07</v>
      </c>
      <c r="BS410" s="1018">
        <f t="shared" ca="1" si="594"/>
        <v>65.974999999999994</v>
      </c>
      <c r="BT410" s="1018">
        <f t="shared" ca="1" si="595"/>
        <v>78.88</v>
      </c>
      <c r="BU410" s="1018">
        <f t="shared" ca="1" si="596"/>
        <v>18</v>
      </c>
      <c r="BV410" s="1018">
        <f t="shared" ca="1" si="597"/>
        <v>7.5250000000000004</v>
      </c>
      <c r="BW410" s="1018">
        <v>0</v>
      </c>
      <c r="BX410" s="1018">
        <f t="shared" ca="1" si="598"/>
        <v>20.753456221198157</v>
      </c>
      <c r="BY410" s="1018">
        <f t="shared" ca="1" si="599"/>
        <v>32.577267739575717</v>
      </c>
      <c r="BZ410" s="1018">
        <f t="shared" ca="1" si="582"/>
        <v>10.866122448979594</v>
      </c>
      <c r="CA410" s="1018">
        <f t="shared" ca="1" si="583"/>
        <v>35.999999985599999</v>
      </c>
      <c r="CB410" s="1018">
        <f t="shared" ca="1" si="600"/>
        <v>15.79675572519084</v>
      </c>
      <c r="CC410" s="1018">
        <f t="shared" si="584"/>
        <v>0</v>
      </c>
      <c r="CD410" s="1018">
        <f t="shared" ca="1" si="602"/>
        <v>142.03860212054428</v>
      </c>
      <c r="CE410" s="1018">
        <f t="shared" ca="1" si="563"/>
        <v>73.770479255404439</v>
      </c>
      <c r="CF410" s="1018">
        <f t="shared" ca="1" si="586"/>
        <v>6.4742724412784618</v>
      </c>
      <c r="CG410" s="1018">
        <f t="shared" ca="1" si="587"/>
        <v>10779.404643830989</v>
      </c>
    </row>
    <row r="411" spans="4:85" x14ac:dyDescent="0.25">
      <c r="D411" s="741"/>
      <c r="E411" s="740"/>
      <c r="F411" s="746"/>
      <c r="G411" s="742"/>
      <c r="H411" s="746"/>
      <c r="I411" s="742"/>
      <c r="J411" s="746"/>
      <c r="K411" s="747"/>
      <c r="L411" s="746"/>
      <c r="M411" s="741"/>
      <c r="N411" s="741"/>
      <c r="O411" s="741"/>
      <c r="P411" s="741"/>
      <c r="Q411" s="741" t="s">
        <v>22</v>
      </c>
      <c r="R411" s="743">
        <v>0.81</v>
      </c>
      <c r="S411" s="741"/>
      <c r="T411" s="752">
        <v>2.4836345498412084E-6</v>
      </c>
      <c r="U411" s="740"/>
      <c r="V411" s="176">
        <f t="shared" si="550"/>
        <v>2.4836345498412084E-6</v>
      </c>
      <c r="W411" s="176">
        <f t="shared" si="601"/>
        <v>2.4836345498412084E-6</v>
      </c>
      <c r="X411" s="176">
        <f t="shared" si="601"/>
        <v>2.4836345498412084E-6</v>
      </c>
      <c r="Y411" s="34">
        <f>X411/Calculation_sheet!M$67</f>
        <v>2.4836853312978459E-6</v>
      </c>
      <c r="Z411" s="176">
        <f ca="1">IF(AN411&gt;0,Y411*Calculation_sheet!C$87,0)</f>
        <v>0</v>
      </c>
      <c r="AA411" s="176">
        <f t="shared" ca="1" si="588"/>
        <v>2.4836853312978459E-6</v>
      </c>
      <c r="AB411" s="176">
        <f ca="1">IF(AP411&gt;0,AA411*Calculation_sheet!C$94,0)</f>
        <v>0</v>
      </c>
      <c r="AC411" s="176">
        <f t="shared" ca="1" si="589"/>
        <v>2.4836853312978459E-6</v>
      </c>
      <c r="AD411" s="958">
        <f ca="1">AC411*Calculation_sheet!C$99</f>
        <v>1.4902111987787076E-6</v>
      </c>
      <c r="AE411" s="176">
        <f t="shared" ca="1" si="589"/>
        <v>9.9347413251913831E-7</v>
      </c>
      <c r="AF411" s="176">
        <f t="shared" ca="1" si="590"/>
        <v>2.4836853312978459E-6</v>
      </c>
      <c r="AG411" s="958">
        <f ca="1">AF411*User_sheet!B$77/100</f>
        <v>0</v>
      </c>
      <c r="AH411" s="313"/>
      <c r="AI411" s="3">
        <v>304</v>
      </c>
      <c r="AK411" s="1018">
        <f t="shared" ca="1" si="581"/>
        <v>142.03860212054428</v>
      </c>
      <c r="AL411" s="924">
        <f ca="1">AK411/'304'!I$24</f>
        <v>0.56171713017042413</v>
      </c>
      <c r="AM411" s="924">
        <f ca="1">0.8*(AK411*30+'304'!D$17*0.34*30*1)</f>
        <v>7577.1482908930629</v>
      </c>
      <c r="AN411" s="954">
        <f ca="1">IF(AM411&lt;User_sheet!B$50,Y411,0)</f>
        <v>2.4836853312978459E-6</v>
      </c>
      <c r="AO411" s="954">
        <f ca="1">20-(User_sheet!B$57/(AK411+'304'!D$17*1*0.34))</f>
        <v>1.9457143046257599</v>
      </c>
      <c r="AP411" s="954">
        <f ca="1">IF(AO411&lt;User_sheet!B$59,0,BC411*AA411)</f>
        <v>0</v>
      </c>
      <c r="AR411" s="2">
        <v>0.24</v>
      </c>
      <c r="AS411" s="2">
        <v>0.54</v>
      </c>
      <c r="AT411" s="2">
        <v>0.45</v>
      </c>
      <c r="AU411" s="2">
        <v>2</v>
      </c>
      <c r="AV411" s="2">
        <v>3.3</v>
      </c>
      <c r="AW411" s="2">
        <v>14536.85461731979</v>
      </c>
      <c r="AX411" s="2">
        <v>75022.04959166942</v>
      </c>
      <c r="AY411" s="2">
        <v>65937.809199439725</v>
      </c>
      <c r="AZ411" s="27">
        <v>0</v>
      </c>
      <c r="BA411" s="27">
        <v>0</v>
      </c>
      <c r="BB411" s="2">
        <v>0.6</v>
      </c>
      <c r="BC411" s="30">
        <v>0</v>
      </c>
      <c r="BD411" s="34">
        <v>1</v>
      </c>
      <c r="BE411" s="34">
        <v>0</v>
      </c>
      <c r="BF411" s="40">
        <v>0</v>
      </c>
      <c r="BG411" s="2">
        <v>1</v>
      </c>
      <c r="BH411" s="2">
        <v>0</v>
      </c>
      <c r="BI411" s="40">
        <v>0</v>
      </c>
      <c r="BJ411" s="2">
        <v>0</v>
      </c>
      <c r="BK411" s="2">
        <v>1</v>
      </c>
      <c r="BL411" s="2">
        <v>0</v>
      </c>
      <c r="BM411" s="40">
        <v>0</v>
      </c>
      <c r="BN411" s="958">
        <v>0.1</v>
      </c>
      <c r="BO411" s="50">
        <v>10</v>
      </c>
      <c r="BP411" s="1018">
        <f t="shared" ca="1" si="591"/>
        <v>206.38</v>
      </c>
      <c r="BQ411" s="1018">
        <f t="shared" ca="1" si="592"/>
        <v>308.92399999999992</v>
      </c>
      <c r="BR411" s="1018">
        <f t="shared" ca="1" si="593"/>
        <v>90.07</v>
      </c>
      <c r="BS411" s="1018">
        <f t="shared" ca="1" si="594"/>
        <v>65.974999999999994</v>
      </c>
      <c r="BT411" s="1018">
        <f t="shared" ca="1" si="595"/>
        <v>78.88</v>
      </c>
      <c r="BU411" s="1018">
        <f t="shared" ca="1" si="596"/>
        <v>18</v>
      </c>
      <c r="BV411" s="1018">
        <f t="shared" ca="1" si="597"/>
        <v>7.5250000000000004</v>
      </c>
      <c r="BW411" s="1018">
        <v>0</v>
      </c>
      <c r="BX411" s="1018">
        <f t="shared" ca="1" si="598"/>
        <v>20.753456221198157</v>
      </c>
      <c r="BY411" s="1018">
        <f t="shared" ca="1" si="599"/>
        <v>32.577267739575717</v>
      </c>
      <c r="BZ411" s="1018">
        <f t="shared" ca="1" si="582"/>
        <v>10.866122448979594</v>
      </c>
      <c r="CA411" s="1018">
        <f t="shared" ca="1" si="583"/>
        <v>35.999999985599999</v>
      </c>
      <c r="CB411" s="1018">
        <f t="shared" ca="1" si="600"/>
        <v>15.79675572519084</v>
      </c>
      <c r="CC411" s="1018">
        <f t="shared" si="584"/>
        <v>0</v>
      </c>
      <c r="CD411" s="1018">
        <f t="shared" ca="1" si="602"/>
        <v>142.03860212054428</v>
      </c>
      <c r="CE411" s="1018">
        <f t="shared" ca="1" si="563"/>
        <v>73.770479255404439</v>
      </c>
      <c r="CF411" s="1018">
        <f t="shared" ca="1" si="586"/>
        <v>6.4742724412784618</v>
      </c>
      <c r="CG411" s="1018">
        <f t="shared" ca="1" si="587"/>
        <v>10779.404643830989</v>
      </c>
    </row>
    <row r="412" spans="4:85" x14ac:dyDescent="0.25">
      <c r="D412" s="741"/>
      <c r="E412" s="740"/>
      <c r="F412" s="746"/>
      <c r="G412" s="742"/>
      <c r="H412" s="746"/>
      <c r="I412" s="742"/>
      <c r="J412" s="746"/>
      <c r="K412" s="747"/>
      <c r="L412" s="746"/>
      <c r="M412" s="741"/>
      <c r="N412" s="741"/>
      <c r="O412" s="741" t="s">
        <v>18</v>
      </c>
      <c r="P412" s="743">
        <v>0.96078431399999997</v>
      </c>
      <c r="Q412" s="741" t="s">
        <v>7</v>
      </c>
      <c r="R412" s="743">
        <v>0.19</v>
      </c>
      <c r="S412" s="741"/>
      <c r="T412" s="752">
        <v>5.8258094378991301E-7</v>
      </c>
      <c r="U412" s="740"/>
      <c r="V412" s="176">
        <f t="shared" si="550"/>
        <v>5.8258094378991301E-7</v>
      </c>
      <c r="W412" s="176">
        <f t="shared" si="601"/>
        <v>5.8258094378991301E-7</v>
      </c>
      <c r="X412" s="176">
        <f t="shared" si="601"/>
        <v>5.8258094378991301E-7</v>
      </c>
      <c r="Y412" s="34">
        <f>X412/Calculation_sheet!M$67</f>
        <v>5.8259285548961804E-7</v>
      </c>
      <c r="Z412" s="176">
        <f ca="1">IF(AN412&gt;0,Y412*Calculation_sheet!C$87,0)</f>
        <v>0</v>
      </c>
      <c r="AA412" s="176">
        <f t="shared" ca="1" si="588"/>
        <v>5.8259285548961804E-7</v>
      </c>
      <c r="AB412" s="176">
        <f ca="1">IF(AP412&gt;0,AA412*Calculation_sheet!C$94,0)</f>
        <v>0</v>
      </c>
      <c r="AC412" s="176">
        <f t="shared" ca="1" si="589"/>
        <v>5.8259285548961804E-7</v>
      </c>
      <c r="AD412" s="958">
        <f ca="1">AC412*Calculation_sheet!C$99</f>
        <v>3.495557132937708E-7</v>
      </c>
      <c r="AE412" s="176">
        <f t="shared" ca="1" si="589"/>
        <v>2.3303714219584724E-7</v>
      </c>
      <c r="AF412" s="176">
        <f t="shared" ca="1" si="590"/>
        <v>5.8259285548961804E-7</v>
      </c>
      <c r="AG412" s="958">
        <f ca="1">AF412*User_sheet!B$77/100</f>
        <v>0</v>
      </c>
      <c r="AH412" s="313"/>
      <c r="AI412" s="3">
        <v>304</v>
      </c>
      <c r="AK412" s="1018">
        <f t="shared" ca="1" si="581"/>
        <v>142.03860212054428</v>
      </c>
      <c r="AL412" s="924">
        <f ca="1">AK412/'304'!I$24</f>
        <v>0.56171713017042413</v>
      </c>
      <c r="AM412" s="924">
        <f ca="1">0.8*(AK412*30+'304'!D$17*0.34*30*1)</f>
        <v>7577.1482908930629</v>
      </c>
      <c r="AN412" s="954">
        <f ca="1">IF(AM412&lt;User_sheet!B$50,Y412,0)</f>
        <v>5.8259285548961804E-7</v>
      </c>
      <c r="AO412" s="954">
        <f ca="1">20-(User_sheet!B$57/(AK412+'304'!D$17*1*0.34))</f>
        <v>1.9457143046257599</v>
      </c>
      <c r="AP412" s="954">
        <f ca="1">IF(AO412&lt;User_sheet!B$59,0,BC412*AA412)</f>
        <v>0</v>
      </c>
      <c r="AR412" s="2">
        <v>0.24</v>
      </c>
      <c r="AS412" s="2">
        <v>0.54</v>
      </c>
      <c r="AT412" s="2">
        <v>0.45</v>
      </c>
      <c r="AU412" s="2">
        <v>2</v>
      </c>
      <c r="AV412" s="2">
        <v>3.3</v>
      </c>
      <c r="AW412" s="2">
        <v>14536.85461731979</v>
      </c>
      <c r="AX412" s="2">
        <v>75022.04959166942</v>
      </c>
      <c r="AY412" s="2">
        <v>65937.809199439725</v>
      </c>
      <c r="AZ412" s="27">
        <v>0</v>
      </c>
      <c r="BA412" s="27">
        <v>0</v>
      </c>
      <c r="BB412" s="2">
        <v>0.6</v>
      </c>
      <c r="BC412" s="30">
        <v>0</v>
      </c>
      <c r="BD412" s="34">
        <v>1</v>
      </c>
      <c r="BE412" s="34">
        <v>0</v>
      </c>
      <c r="BF412" s="40">
        <v>0</v>
      </c>
      <c r="BG412" s="2">
        <v>1</v>
      </c>
      <c r="BH412" s="2">
        <v>0</v>
      </c>
      <c r="BI412" s="40">
        <v>0</v>
      </c>
      <c r="BJ412" s="2">
        <v>0</v>
      </c>
      <c r="BK412" s="2">
        <v>0</v>
      </c>
      <c r="BL412" s="2">
        <v>1</v>
      </c>
      <c r="BM412" s="40">
        <v>0</v>
      </c>
      <c r="BN412" s="958">
        <v>0.1</v>
      </c>
      <c r="BO412" s="50">
        <v>10</v>
      </c>
      <c r="BP412" s="1018">
        <f t="shared" ca="1" si="591"/>
        <v>206.38</v>
      </c>
      <c r="BQ412" s="1018">
        <f t="shared" ca="1" si="592"/>
        <v>308.92399999999992</v>
      </c>
      <c r="BR412" s="1018">
        <f t="shared" ca="1" si="593"/>
        <v>90.07</v>
      </c>
      <c r="BS412" s="1018">
        <f t="shared" ca="1" si="594"/>
        <v>65.974999999999994</v>
      </c>
      <c r="BT412" s="1018">
        <f t="shared" ca="1" si="595"/>
        <v>78.88</v>
      </c>
      <c r="BU412" s="1018">
        <f t="shared" ca="1" si="596"/>
        <v>18</v>
      </c>
      <c r="BV412" s="1018">
        <f t="shared" ca="1" si="597"/>
        <v>7.5250000000000004</v>
      </c>
      <c r="BW412" s="1018">
        <v>0</v>
      </c>
      <c r="BX412" s="1018">
        <f t="shared" ca="1" si="598"/>
        <v>20.753456221198157</v>
      </c>
      <c r="BY412" s="1018">
        <f t="shared" ca="1" si="599"/>
        <v>32.577267739575717</v>
      </c>
      <c r="BZ412" s="1018">
        <f t="shared" ca="1" si="582"/>
        <v>10.866122448979594</v>
      </c>
      <c r="CA412" s="1018">
        <f t="shared" ca="1" si="583"/>
        <v>35.999999985599999</v>
      </c>
      <c r="CB412" s="1018">
        <f t="shared" ca="1" si="600"/>
        <v>15.79675572519084</v>
      </c>
      <c r="CC412" s="1018">
        <f t="shared" si="584"/>
        <v>0</v>
      </c>
      <c r="CD412" s="1018">
        <f t="shared" ca="1" si="602"/>
        <v>142.03860212054428</v>
      </c>
      <c r="CE412" s="1018">
        <f t="shared" ca="1" si="563"/>
        <v>73.770479255404439</v>
      </c>
      <c r="CF412" s="1018">
        <f t="shared" ca="1" si="586"/>
        <v>6.4742724412784618</v>
      </c>
      <c r="CG412" s="1018">
        <f t="shared" ca="1" si="587"/>
        <v>10779.404643830989</v>
      </c>
    </row>
    <row r="413" spans="4:85" x14ac:dyDescent="0.25">
      <c r="D413" s="741"/>
      <c r="E413" s="740"/>
      <c r="F413" s="741"/>
      <c r="G413" s="740"/>
      <c r="H413" s="741"/>
      <c r="I413" s="740"/>
      <c r="J413" s="741"/>
      <c r="K413" s="741"/>
      <c r="L413" s="741"/>
      <c r="M413" s="741"/>
      <c r="N413" s="741"/>
      <c r="O413" s="741"/>
      <c r="P413" s="741"/>
      <c r="Q413" s="741" t="s">
        <v>22</v>
      </c>
      <c r="R413" s="743">
        <v>0.81</v>
      </c>
      <c r="S413" s="741"/>
      <c r="T413" s="752">
        <v>1.0137283803045537E-7</v>
      </c>
      <c r="U413" s="740"/>
      <c r="V413" s="176">
        <f t="shared" si="550"/>
        <v>1.0137283803045537E-7</v>
      </c>
      <c r="W413" s="176">
        <f t="shared" si="601"/>
        <v>1.0137283803045537E-7</v>
      </c>
      <c r="X413" s="176">
        <f t="shared" si="601"/>
        <v>1.0137283803045537E-7</v>
      </c>
      <c r="Y413" s="34">
        <f>X413/Calculation_sheet!M$67</f>
        <v>1.0137491074295607E-7</v>
      </c>
      <c r="Z413" s="176">
        <f ca="1">IF(AN413&gt;0,Y413*Calculation_sheet!C$87,0)</f>
        <v>0</v>
      </c>
      <c r="AA413" s="176">
        <f t="shared" ca="1" si="588"/>
        <v>1.0137491074295607E-7</v>
      </c>
      <c r="AB413" s="176">
        <f ca="1">IF(AP413&gt;0,AA413*Calculation_sheet!C$94,0)</f>
        <v>0</v>
      </c>
      <c r="AC413" s="176">
        <f t="shared" ca="1" si="589"/>
        <v>1.0137491074295607E-7</v>
      </c>
      <c r="AD413" s="958">
        <f ca="1">AC413*Calculation_sheet!C$99</f>
        <v>6.0824946445773647E-8</v>
      </c>
      <c r="AE413" s="176">
        <f t="shared" ca="1" si="589"/>
        <v>4.0549964297182427E-8</v>
      </c>
      <c r="AF413" s="176">
        <f t="shared" ca="1" si="590"/>
        <v>1.0137491074295607E-7</v>
      </c>
      <c r="AG413" s="958">
        <f ca="1">AF413*User_sheet!B$77/100</f>
        <v>0</v>
      </c>
      <c r="AH413" s="313"/>
      <c r="AI413" s="3">
        <v>304</v>
      </c>
      <c r="AK413" s="1018">
        <f t="shared" ca="1" si="581"/>
        <v>142.03860212054428</v>
      </c>
      <c r="AL413" s="924">
        <f ca="1">AK413/'304'!I$24</f>
        <v>0.56171713017042413</v>
      </c>
      <c r="AM413" s="924">
        <f ca="1">0.8*(AK413*30+'304'!D$17*0.34*30*1)</f>
        <v>7577.1482908930629</v>
      </c>
      <c r="AN413" s="954">
        <f ca="1">IF(AM413&lt;User_sheet!B$50,Y413,0)</f>
        <v>1.0137491074295607E-7</v>
      </c>
      <c r="AO413" s="954">
        <f ca="1">20-(User_sheet!B$57/(AK413+'304'!D$17*1*0.34))</f>
        <v>1.9457143046257599</v>
      </c>
      <c r="AP413" s="954">
        <f ca="1">IF(AO413&lt;User_sheet!B$59,0,BC413*AA413)</f>
        <v>0</v>
      </c>
      <c r="AR413" s="2">
        <v>0.24</v>
      </c>
      <c r="AS413" s="2">
        <v>0.54</v>
      </c>
      <c r="AT413" s="2">
        <v>0.45</v>
      </c>
      <c r="AU413" s="2">
        <v>2</v>
      </c>
      <c r="AV413" s="2">
        <v>3.3</v>
      </c>
      <c r="AW413" s="2">
        <v>14536.85461731979</v>
      </c>
      <c r="AX413" s="2">
        <v>75022.04959166942</v>
      </c>
      <c r="AY413" s="2">
        <v>65937.809199439725</v>
      </c>
      <c r="AZ413" s="27">
        <v>0</v>
      </c>
      <c r="BA413" s="27">
        <v>0</v>
      </c>
      <c r="BB413" s="2">
        <v>0.6</v>
      </c>
      <c r="BC413" s="30">
        <v>0</v>
      </c>
      <c r="BD413" s="34">
        <v>1</v>
      </c>
      <c r="BE413" s="34">
        <v>0</v>
      </c>
      <c r="BF413" s="40">
        <v>0</v>
      </c>
      <c r="BG413" s="2">
        <v>0</v>
      </c>
      <c r="BH413" s="2">
        <v>1</v>
      </c>
      <c r="BI413" s="40">
        <v>0</v>
      </c>
      <c r="BJ413" s="2">
        <v>0</v>
      </c>
      <c r="BK413" s="2">
        <v>1</v>
      </c>
      <c r="BL413" s="2">
        <v>0</v>
      </c>
      <c r="BM413" s="40">
        <v>0</v>
      </c>
      <c r="BN413" s="958">
        <v>0.1</v>
      </c>
      <c r="BO413" s="50">
        <v>10</v>
      </c>
      <c r="BP413" s="1018">
        <f t="shared" ca="1" si="591"/>
        <v>206.38</v>
      </c>
      <c r="BQ413" s="1018">
        <f t="shared" ca="1" si="592"/>
        <v>308.92399999999992</v>
      </c>
      <c r="BR413" s="1018">
        <f t="shared" ca="1" si="593"/>
        <v>90.07</v>
      </c>
      <c r="BS413" s="1018">
        <f t="shared" ca="1" si="594"/>
        <v>65.974999999999994</v>
      </c>
      <c r="BT413" s="1018">
        <f t="shared" ca="1" si="595"/>
        <v>78.88</v>
      </c>
      <c r="BU413" s="1018">
        <f t="shared" ca="1" si="596"/>
        <v>18</v>
      </c>
      <c r="BV413" s="1018">
        <f t="shared" ca="1" si="597"/>
        <v>7.5250000000000004</v>
      </c>
      <c r="BW413" s="1018">
        <v>0</v>
      </c>
      <c r="BX413" s="1018">
        <f t="shared" ca="1" si="598"/>
        <v>20.753456221198157</v>
      </c>
      <c r="BY413" s="1018">
        <f t="shared" ca="1" si="599"/>
        <v>32.577267739575717</v>
      </c>
      <c r="BZ413" s="1018">
        <f t="shared" ca="1" si="582"/>
        <v>10.866122448979594</v>
      </c>
      <c r="CA413" s="1018">
        <f t="shared" ca="1" si="583"/>
        <v>35.999999985599999</v>
      </c>
      <c r="CB413" s="1018">
        <f t="shared" ca="1" si="600"/>
        <v>15.79675572519084</v>
      </c>
      <c r="CC413" s="1018">
        <f t="shared" si="584"/>
        <v>0</v>
      </c>
      <c r="CD413" s="1018">
        <f t="shared" ca="1" si="602"/>
        <v>142.03860212054428</v>
      </c>
      <c r="CE413" s="1018">
        <f t="shared" ca="1" si="563"/>
        <v>73.770479255404439</v>
      </c>
      <c r="CF413" s="1018">
        <f t="shared" ca="1" si="586"/>
        <v>6.4742724412784618</v>
      </c>
      <c r="CG413" s="1018">
        <f t="shared" ca="1" si="587"/>
        <v>10779.404643830989</v>
      </c>
    </row>
    <row r="414" spans="4:85" x14ac:dyDescent="0.25">
      <c r="D414" s="741"/>
      <c r="E414" s="740"/>
      <c r="F414" s="741"/>
      <c r="G414" s="740"/>
      <c r="H414" s="740"/>
      <c r="I414" s="740"/>
      <c r="J414" s="741"/>
      <c r="K414" s="741"/>
      <c r="L414" s="741"/>
      <c r="M414" s="741" t="s">
        <v>22</v>
      </c>
      <c r="N414" s="743">
        <v>0.375</v>
      </c>
      <c r="O414" s="741" t="s">
        <v>20</v>
      </c>
      <c r="P414" s="743">
        <v>3.9215686E-2</v>
      </c>
      <c r="Q414" s="741" t="s">
        <v>7</v>
      </c>
      <c r="R414" s="743">
        <v>0.19</v>
      </c>
      <c r="S414" s="741"/>
      <c r="T414" s="752">
        <v>2.37788138589957E-8</v>
      </c>
      <c r="U414" s="740"/>
      <c r="V414" s="176">
        <f t="shared" si="550"/>
        <v>2.37788138589957E-8</v>
      </c>
      <c r="W414" s="176">
        <f t="shared" si="601"/>
        <v>2.37788138589957E-8</v>
      </c>
      <c r="X414" s="176">
        <f t="shared" si="601"/>
        <v>2.37788138589957E-8</v>
      </c>
      <c r="Y414" s="34">
        <f>X414/Calculation_sheet!M$67</f>
        <v>2.3779300050816855E-8</v>
      </c>
      <c r="Z414" s="176">
        <f ca="1">IF(AN414&gt;0,Y414*Calculation_sheet!C$87,0)</f>
        <v>0</v>
      </c>
      <c r="AA414" s="176">
        <f t="shared" ca="1" si="588"/>
        <v>2.3779300050816855E-8</v>
      </c>
      <c r="AB414" s="176">
        <f ca="1">IF(AP414&gt;0,AA414*Calculation_sheet!C$94,0)</f>
        <v>0</v>
      </c>
      <c r="AC414" s="176">
        <f t="shared" ca="1" si="589"/>
        <v>2.3779300050816855E-8</v>
      </c>
      <c r="AD414" s="958">
        <f ca="1">AC414*Calculation_sheet!C$99</f>
        <v>1.4267580030490113E-8</v>
      </c>
      <c r="AE414" s="176">
        <f t="shared" ca="1" si="589"/>
        <v>9.5117200203267421E-9</v>
      </c>
      <c r="AF414" s="176">
        <f t="shared" ca="1" si="590"/>
        <v>2.3779300050816855E-8</v>
      </c>
      <c r="AG414" s="958">
        <f ca="1">AF414*User_sheet!B$77/100</f>
        <v>0</v>
      </c>
      <c r="AH414" s="313"/>
      <c r="AI414" s="3">
        <v>304</v>
      </c>
      <c r="AK414" s="1018">
        <f t="shared" ca="1" si="581"/>
        <v>142.03860212054428</v>
      </c>
      <c r="AL414" s="924">
        <f ca="1">AK414/'304'!I$24</f>
        <v>0.56171713017042413</v>
      </c>
      <c r="AM414" s="924">
        <f ca="1">0.8*(AK414*30+'304'!D$17*0.34*30*1)</f>
        <v>7577.1482908930629</v>
      </c>
      <c r="AN414" s="954">
        <f ca="1">IF(AM414&lt;User_sheet!B$50,Y414,0)</f>
        <v>2.3779300050816855E-8</v>
      </c>
      <c r="AO414" s="954">
        <f ca="1">20-(User_sheet!B$57/(AK414+'304'!D$17*1*0.34))</f>
        <v>1.9457143046257599</v>
      </c>
      <c r="AP414" s="954">
        <f ca="1">IF(AO414&lt;User_sheet!B$59,0,BC414*AA414)</f>
        <v>0</v>
      </c>
      <c r="AR414" s="2">
        <v>0.24</v>
      </c>
      <c r="AS414" s="2">
        <v>0.54</v>
      </c>
      <c r="AT414" s="2">
        <v>0.45</v>
      </c>
      <c r="AU414" s="2">
        <v>2</v>
      </c>
      <c r="AV414" s="2">
        <v>3.3</v>
      </c>
      <c r="AW414" s="2">
        <v>14536.85461731979</v>
      </c>
      <c r="AX414" s="2">
        <v>75022.04959166942</v>
      </c>
      <c r="AY414" s="2">
        <v>65937.809199439725</v>
      </c>
      <c r="AZ414" s="27">
        <v>0</v>
      </c>
      <c r="BA414" s="27">
        <v>0</v>
      </c>
      <c r="BB414" s="2">
        <v>0.6</v>
      </c>
      <c r="BC414" s="30">
        <v>0</v>
      </c>
      <c r="BD414" s="34">
        <v>1</v>
      </c>
      <c r="BE414" s="34">
        <v>0</v>
      </c>
      <c r="BF414" s="40">
        <v>0</v>
      </c>
      <c r="BG414" s="2">
        <v>0</v>
      </c>
      <c r="BH414" s="2">
        <v>1</v>
      </c>
      <c r="BI414" s="40">
        <v>0</v>
      </c>
      <c r="BJ414" s="2">
        <v>0</v>
      </c>
      <c r="BK414" s="2">
        <v>0</v>
      </c>
      <c r="BL414" s="2">
        <v>1</v>
      </c>
      <c r="BM414" s="40">
        <v>0</v>
      </c>
      <c r="BN414" s="958">
        <v>0.1</v>
      </c>
      <c r="BO414" s="50">
        <v>10</v>
      </c>
      <c r="BP414" s="1018">
        <f t="shared" ca="1" si="591"/>
        <v>206.38</v>
      </c>
      <c r="BQ414" s="1018">
        <f t="shared" ca="1" si="592"/>
        <v>308.92399999999992</v>
      </c>
      <c r="BR414" s="1018">
        <f t="shared" ca="1" si="593"/>
        <v>90.07</v>
      </c>
      <c r="BS414" s="1018">
        <f t="shared" ca="1" si="594"/>
        <v>65.974999999999994</v>
      </c>
      <c r="BT414" s="1018">
        <f t="shared" ca="1" si="595"/>
        <v>78.88</v>
      </c>
      <c r="BU414" s="1018">
        <f t="shared" ca="1" si="596"/>
        <v>18</v>
      </c>
      <c r="BV414" s="1018">
        <f t="shared" ca="1" si="597"/>
        <v>7.5250000000000004</v>
      </c>
      <c r="BW414" s="1018">
        <v>0</v>
      </c>
      <c r="BX414" s="1018">
        <f t="shared" ca="1" si="598"/>
        <v>20.753456221198157</v>
      </c>
      <c r="BY414" s="1018">
        <f t="shared" ca="1" si="599"/>
        <v>32.577267739575717</v>
      </c>
      <c r="BZ414" s="1018">
        <f t="shared" ca="1" si="582"/>
        <v>10.866122448979594</v>
      </c>
      <c r="CA414" s="1018">
        <f t="shared" ca="1" si="583"/>
        <v>35.999999985599999</v>
      </c>
      <c r="CB414" s="1018">
        <f t="shared" ca="1" si="600"/>
        <v>15.79675572519084</v>
      </c>
      <c r="CC414" s="1018">
        <f t="shared" si="584"/>
        <v>0</v>
      </c>
      <c r="CD414" s="1018">
        <f t="shared" ca="1" si="602"/>
        <v>142.03860212054428</v>
      </c>
      <c r="CE414" s="1018">
        <f t="shared" ca="1" si="563"/>
        <v>73.770479255404439</v>
      </c>
      <c r="CF414" s="1018">
        <f t="shared" ca="1" si="586"/>
        <v>6.4742724412784618</v>
      </c>
      <c r="CG414" s="1018">
        <f t="shared" ca="1" si="587"/>
        <v>10779.404643830989</v>
      </c>
    </row>
    <row r="415" spans="4:85" x14ac:dyDescent="0.25">
      <c r="D415" s="741"/>
      <c r="E415" s="740"/>
      <c r="F415" s="741"/>
      <c r="G415" s="740"/>
      <c r="H415" s="740"/>
      <c r="I415" s="740"/>
      <c r="J415" s="741"/>
      <c r="K415" s="744" t="s">
        <v>12</v>
      </c>
      <c r="L415" s="745">
        <v>1.1099999999999999E-2</v>
      </c>
      <c r="M415" s="741" t="s">
        <v>7</v>
      </c>
      <c r="N415" s="743">
        <v>0.125</v>
      </c>
      <c r="O415" s="741" t="s">
        <v>23</v>
      </c>
      <c r="P415" s="743">
        <v>1</v>
      </c>
      <c r="Q415" s="741" t="s">
        <v>7</v>
      </c>
      <c r="R415" s="743">
        <v>1</v>
      </c>
      <c r="S415" s="741"/>
      <c r="T415" s="752">
        <v>1.0637890485068575E-6</v>
      </c>
      <c r="U415" s="740"/>
      <c r="V415" s="176">
        <f t="shared" si="550"/>
        <v>1.0637890485068575E-6</v>
      </c>
      <c r="W415" s="176">
        <f t="shared" si="601"/>
        <v>1.0637890485068575E-6</v>
      </c>
      <c r="X415" s="176">
        <f t="shared" si="601"/>
        <v>1.0637890485068575E-6</v>
      </c>
      <c r="Y415" s="34">
        <f>X415/Calculation_sheet!M$67</f>
        <v>1.0638107991937456E-6</v>
      </c>
      <c r="Z415" s="176">
        <f ca="1">IF(AN415&gt;0,Y415*Calculation_sheet!C$87,0)</f>
        <v>0</v>
      </c>
      <c r="AA415" s="176">
        <f t="shared" ca="1" si="588"/>
        <v>1.0638107991937456E-6</v>
      </c>
      <c r="AB415" s="176">
        <f ca="1">IF(AP415&gt;0,AA415*Calculation_sheet!C$94,0)</f>
        <v>0</v>
      </c>
      <c r="AC415" s="176">
        <f t="shared" ca="1" si="589"/>
        <v>1.0638107991937456E-6</v>
      </c>
      <c r="AD415" s="958">
        <f ca="1">AC415*Calculation_sheet!C$99</f>
        <v>6.3828647951624738E-7</v>
      </c>
      <c r="AE415" s="176">
        <f t="shared" ca="1" si="589"/>
        <v>4.2552431967749826E-7</v>
      </c>
      <c r="AF415" s="176">
        <f t="shared" ca="1" si="590"/>
        <v>1.0638107991937456E-6</v>
      </c>
      <c r="AG415" s="958">
        <f ca="1">AF415*User_sheet!B$77/100</f>
        <v>0</v>
      </c>
      <c r="AH415" s="313"/>
      <c r="AI415" s="3">
        <v>304</v>
      </c>
      <c r="AK415" s="1018">
        <f t="shared" ca="1" si="581"/>
        <v>142.03860212054428</v>
      </c>
      <c r="AL415" s="924">
        <f ca="1">AK415/'304'!I$24</f>
        <v>0.56171713017042413</v>
      </c>
      <c r="AM415" s="924">
        <f ca="1">0.8*(AK415*30+'304'!D$17*0.34*30*1)</f>
        <v>7577.1482908930629</v>
      </c>
      <c r="AN415" s="954">
        <f ca="1">IF(AM415&lt;User_sheet!B$50,Y415,0)</f>
        <v>1.0638107991937456E-6</v>
      </c>
      <c r="AO415" s="954">
        <f ca="1">20-(User_sheet!B$57/(AK415+'304'!D$17*1*0.34))</f>
        <v>1.9457143046257599</v>
      </c>
      <c r="AP415" s="954">
        <f ca="1">IF(AO415&lt;User_sheet!B$59,0,BC415*AA415)</f>
        <v>0</v>
      </c>
      <c r="AR415" s="2">
        <v>0.24</v>
      </c>
      <c r="AS415" s="2">
        <v>0.54</v>
      </c>
      <c r="AT415" s="2">
        <v>0.45</v>
      </c>
      <c r="AU415" s="2">
        <v>2</v>
      </c>
      <c r="AV415" s="2">
        <v>3.3</v>
      </c>
      <c r="AW415" s="2">
        <v>14536.85461731979</v>
      </c>
      <c r="AX415" s="2">
        <v>75022.04959166942</v>
      </c>
      <c r="AY415" s="2">
        <v>65937.809199439725</v>
      </c>
      <c r="AZ415" s="27">
        <v>0</v>
      </c>
      <c r="BA415" s="27">
        <v>0</v>
      </c>
      <c r="BB415" s="2">
        <v>0.6</v>
      </c>
      <c r="BC415" s="30">
        <v>0</v>
      </c>
      <c r="BD415" s="34">
        <v>0</v>
      </c>
      <c r="BE415" s="34">
        <v>1</v>
      </c>
      <c r="BF415" s="40">
        <v>0</v>
      </c>
      <c r="BG415" s="2">
        <v>0</v>
      </c>
      <c r="BH415" s="2">
        <v>0</v>
      </c>
      <c r="BI415" s="40">
        <v>1</v>
      </c>
      <c r="BJ415" s="2">
        <v>0</v>
      </c>
      <c r="BK415" s="2">
        <v>0</v>
      </c>
      <c r="BL415" s="2">
        <v>1</v>
      </c>
      <c r="BM415" s="40">
        <v>0</v>
      </c>
      <c r="BN415" s="958">
        <v>0.1</v>
      </c>
      <c r="BO415" s="50">
        <v>10</v>
      </c>
      <c r="BP415" s="1018">
        <f t="shared" ca="1" si="591"/>
        <v>206.38</v>
      </c>
      <c r="BQ415" s="1018">
        <f t="shared" ca="1" si="592"/>
        <v>308.92399999999992</v>
      </c>
      <c r="BR415" s="1018">
        <f t="shared" ca="1" si="593"/>
        <v>90.07</v>
      </c>
      <c r="BS415" s="1018">
        <f t="shared" ca="1" si="594"/>
        <v>65.974999999999994</v>
      </c>
      <c r="BT415" s="1018">
        <f t="shared" ca="1" si="595"/>
        <v>78.88</v>
      </c>
      <c r="BU415" s="1018">
        <f t="shared" ca="1" si="596"/>
        <v>18</v>
      </c>
      <c r="BV415" s="1018">
        <f t="shared" ca="1" si="597"/>
        <v>7.5250000000000004</v>
      </c>
      <c r="BW415" s="1018">
        <v>0</v>
      </c>
      <c r="BX415" s="1018">
        <f t="shared" ca="1" si="598"/>
        <v>20.753456221198157</v>
      </c>
      <c r="BY415" s="1018">
        <f t="shared" ca="1" si="599"/>
        <v>32.577267739575717</v>
      </c>
      <c r="BZ415" s="1018">
        <f t="shared" ca="1" si="582"/>
        <v>10.866122448979594</v>
      </c>
      <c r="CA415" s="1018">
        <f t="shared" ca="1" si="583"/>
        <v>35.999999985599999</v>
      </c>
      <c r="CB415" s="1018">
        <f t="shared" ca="1" si="600"/>
        <v>15.79675572519084</v>
      </c>
      <c r="CC415" s="1018">
        <f t="shared" si="584"/>
        <v>0</v>
      </c>
      <c r="CD415" s="1018">
        <f t="shared" ca="1" si="602"/>
        <v>142.03860212054428</v>
      </c>
      <c r="CE415" s="1018">
        <f t="shared" ca="1" si="563"/>
        <v>73.770479255404439</v>
      </c>
      <c r="CF415" s="1018">
        <f t="shared" ca="1" si="586"/>
        <v>6.4742724412784618</v>
      </c>
      <c r="CG415" s="1018">
        <f t="shared" ca="1" si="587"/>
        <v>10779.404643830989</v>
      </c>
    </row>
    <row r="416" spans="4:85" s="11" customFormat="1" x14ac:dyDescent="0.25">
      <c r="D416" s="749"/>
      <c r="E416" s="748"/>
      <c r="F416" s="749"/>
      <c r="G416" s="748"/>
      <c r="H416" s="748"/>
      <c r="I416" s="748"/>
      <c r="J416" s="749"/>
      <c r="K416" s="750"/>
      <c r="L416" s="749"/>
      <c r="M416" s="749"/>
      <c r="N416" s="749"/>
      <c r="O416" s="749"/>
      <c r="P416" s="749"/>
      <c r="Q416" s="749"/>
      <c r="R416" s="749"/>
      <c r="S416" s="749"/>
      <c r="T416" s="753"/>
      <c r="U416" s="748"/>
      <c r="V416" s="293"/>
      <c r="W416" s="292"/>
      <c r="X416" s="292"/>
      <c r="Y416" s="277"/>
      <c r="Z416" s="292"/>
      <c r="AA416" s="292"/>
      <c r="AB416" s="292"/>
      <c r="AC416" s="292"/>
      <c r="AD416" s="277"/>
      <c r="AE416" s="292"/>
      <c r="AF416" s="292"/>
      <c r="AG416" s="277"/>
      <c r="AH416" s="313"/>
      <c r="AJ416" s="314"/>
      <c r="AK416" s="1018">
        <f t="shared" si="581"/>
        <v>0</v>
      </c>
      <c r="AL416" s="946"/>
      <c r="AM416" s="946"/>
      <c r="AN416" s="955"/>
      <c r="AO416" s="955"/>
      <c r="AP416" s="955"/>
      <c r="AQ416" s="314"/>
      <c r="AR416" s="28"/>
      <c r="AS416" s="28"/>
      <c r="AT416" s="28"/>
      <c r="AU416" s="28"/>
      <c r="AV416" s="28"/>
      <c r="AW416" s="28"/>
      <c r="AX416" s="28"/>
      <c r="AY416" s="28"/>
      <c r="AZ416" s="28"/>
      <c r="BA416" s="28"/>
      <c r="BB416" s="28"/>
      <c r="BC416" s="45"/>
      <c r="BD416" s="277"/>
      <c r="BE416" s="277"/>
      <c r="BF416" s="49"/>
      <c r="BG416" s="28"/>
      <c r="BH416" s="28"/>
      <c r="BI416" s="49"/>
      <c r="BJ416" s="28"/>
      <c r="BK416" s="28"/>
      <c r="BL416" s="28"/>
      <c r="BM416" s="49"/>
      <c r="BN416" s="277"/>
      <c r="BO416" s="49"/>
      <c r="BP416" s="946"/>
      <c r="BQ416" s="946"/>
      <c r="BR416" s="946"/>
      <c r="BS416" s="946"/>
      <c r="BT416" s="946"/>
      <c r="BU416" s="946"/>
      <c r="BV416" s="946"/>
      <c r="BW416" s="946"/>
      <c r="BX416" s="946"/>
      <c r="BY416" s="946"/>
      <c r="BZ416" s="946"/>
      <c r="CA416" s="946"/>
      <c r="CB416" s="946"/>
      <c r="CC416" s="946"/>
      <c r="CD416" s="946"/>
      <c r="CE416" s="946"/>
      <c r="CF416" s="946"/>
      <c r="CG416" s="946"/>
    </row>
    <row r="417" spans="3:85" x14ac:dyDescent="0.25">
      <c r="D417" s="741"/>
      <c r="E417" s="740"/>
      <c r="F417" s="741"/>
      <c r="G417" s="740"/>
      <c r="H417" s="740"/>
      <c r="I417" s="740"/>
      <c r="J417" s="741"/>
      <c r="K417" s="744"/>
      <c r="L417" s="746"/>
      <c r="M417" s="741"/>
      <c r="N417" s="741"/>
      <c r="O417" s="741"/>
      <c r="P417" s="741"/>
      <c r="Q417" s="741" t="s">
        <v>16</v>
      </c>
      <c r="R417" s="743">
        <v>0.81069999999999998</v>
      </c>
      <c r="S417" s="741"/>
      <c r="T417" s="752">
        <v>2.9568879482585634E-4</v>
      </c>
      <c r="U417" s="740"/>
      <c r="V417" s="176">
        <f t="shared" si="550"/>
        <v>2.9568879482585634E-4</v>
      </c>
      <c r="W417" s="176">
        <f>V417</f>
        <v>2.9568879482585634E-4</v>
      </c>
      <c r="X417" s="176">
        <f>W417</f>
        <v>2.9568879482585634E-4</v>
      </c>
      <c r="Y417" s="34">
        <f>X417/Calculation_sheet!M$67</f>
        <v>2.9569484060570488E-4</v>
      </c>
      <c r="Z417" s="176">
        <f ca="1">IF(AN417&gt;0,Y417*Calculation_sheet!C$87,0)</f>
        <v>0</v>
      </c>
      <c r="AA417" s="176">
        <f t="shared" ref="AA417:AA425" ca="1" si="603">Y417-Z417</f>
        <v>2.9569484060570488E-4</v>
      </c>
      <c r="AB417" s="176">
        <f ca="1">IF(AP417&gt;0,AA417*Calculation_sheet!C$94,0)</f>
        <v>0</v>
      </c>
      <c r="AC417" s="176">
        <f t="shared" ref="AC417:AE425" ca="1" si="604">AA417-AB417</f>
        <v>2.9569484060570488E-4</v>
      </c>
      <c r="AD417" s="958">
        <f ca="1">AC417*Calculation_sheet!C$99</f>
        <v>1.7741690436342292E-4</v>
      </c>
      <c r="AE417" s="176">
        <f t="shared" ca="1" si="604"/>
        <v>1.1827793624228196E-4</v>
      </c>
      <c r="AF417" s="176">
        <f t="shared" ref="AF417:AF425" ca="1" si="605">Y417-AB417</f>
        <v>2.9569484060570488E-4</v>
      </c>
      <c r="AG417" s="958">
        <f ca="1">AF417*User_sheet!B$77/100</f>
        <v>0</v>
      </c>
      <c r="AH417" s="313"/>
      <c r="AI417" s="3">
        <v>304</v>
      </c>
      <c r="AK417" s="1018">
        <f t="shared" ca="1" si="581"/>
        <v>150.06037336546842</v>
      </c>
      <c r="AL417" s="924">
        <f ca="1">AK417/'304'!I$24</f>
        <v>0.59344066345863777</v>
      </c>
      <c r="AM417" s="924">
        <f ca="1">0.8*(AK417*30+'304'!D$17*0.34*30*1)</f>
        <v>7769.6708007712414</v>
      </c>
      <c r="AN417" s="954">
        <f ca="1">IF(AM417&lt;User_sheet!B$50,Y417,0)</f>
        <v>2.9569484060570488E-4</v>
      </c>
      <c r="AO417" s="954">
        <f ca="1">20-(User_sheet!B$57/(AK417+'304'!D$17*1*0.34))</f>
        <v>2.3930764239817215</v>
      </c>
      <c r="AP417" s="954">
        <f ca="1">IF(AO417&lt;User_sheet!B$59,0,BC417*AA417)</f>
        <v>0</v>
      </c>
      <c r="AR417" s="2">
        <v>0.24</v>
      </c>
      <c r="AS417" s="2">
        <v>0.54</v>
      </c>
      <c r="AT417" s="2">
        <v>0.83</v>
      </c>
      <c r="AU417" s="2">
        <v>2</v>
      </c>
      <c r="AV417" s="2">
        <v>3.3</v>
      </c>
      <c r="AW417" s="2">
        <v>14536.85461731979</v>
      </c>
      <c r="AX417" s="2">
        <v>75022.04959166942</v>
      </c>
      <c r="AY417" s="2">
        <v>69245.59826015502</v>
      </c>
      <c r="AZ417" s="27">
        <v>0</v>
      </c>
      <c r="BA417" s="27">
        <v>0</v>
      </c>
      <c r="BB417" s="2">
        <v>0.6</v>
      </c>
      <c r="BC417" s="30">
        <v>1</v>
      </c>
      <c r="BD417" s="34">
        <v>0</v>
      </c>
      <c r="BE417" s="34">
        <v>0</v>
      </c>
      <c r="BF417" s="40">
        <v>0</v>
      </c>
      <c r="BG417" s="2">
        <v>1</v>
      </c>
      <c r="BH417" s="2">
        <v>0</v>
      </c>
      <c r="BI417" s="40">
        <v>0</v>
      </c>
      <c r="BJ417" s="2">
        <v>1</v>
      </c>
      <c r="BK417" s="2">
        <v>0</v>
      </c>
      <c r="BL417" s="2">
        <v>0</v>
      </c>
      <c r="BM417" s="40">
        <v>0</v>
      </c>
      <c r="BN417" s="958">
        <v>0.1</v>
      </c>
      <c r="BO417" s="50">
        <v>10</v>
      </c>
      <c r="BP417" s="1018">
        <f t="shared" ref="BP417:BP425" ca="1" si="606">INDIRECT("'"&amp;AI417&amp;"'!"&amp;"B2")</f>
        <v>206.38</v>
      </c>
      <c r="BQ417" s="1018">
        <f t="shared" ref="BQ417:BQ425" ca="1" si="607">INDIRECT("'"&amp;AI417&amp;"'!"&amp;"C12")+INDIRECT("'"&amp;AI417&amp;"'!"&amp;"C13")+INDIRECT("'"&amp;AI417&amp;"'!"&amp;"C14")+INDIRECT("'"&amp;AI417&amp;"'!"&amp;"C15")+INDIRECT("'"&amp;AI417&amp;"'!"&amp;"C17")</f>
        <v>308.92399999999992</v>
      </c>
      <c r="BR417" s="1018">
        <f t="shared" ref="BR417:BR425" ca="1" si="608">INDIRECT("'"&amp;AI417&amp;"'!"&amp;"G5")</f>
        <v>90.07</v>
      </c>
      <c r="BS417" s="1018">
        <f t="shared" ref="BS417:BS425" ca="1" si="609">INDIRECT("'"&amp;AI417&amp;"'!"&amp;"G4")</f>
        <v>65.974999999999994</v>
      </c>
      <c r="BT417" s="1018">
        <f t="shared" ref="BT417:BT425" ca="1" si="610">INDIRECT("'"&amp;AI417&amp;"'!"&amp;"G6")</f>
        <v>78.88</v>
      </c>
      <c r="BU417" s="1018">
        <f t="shared" ref="BU417:BU425" ca="1" si="611">INDIRECT("'"&amp;AI417&amp;"'!"&amp;"G2")</f>
        <v>18</v>
      </c>
      <c r="BV417" s="1018">
        <f t="shared" ref="BV417:BV425" ca="1" si="612">INDIRECT("'"&amp;AI417&amp;"'!"&amp;"G3")</f>
        <v>7.5250000000000004</v>
      </c>
      <c r="BW417" s="1018">
        <v>0</v>
      </c>
      <c r="BX417" s="1018">
        <f t="shared" ref="BX417:BX425" ca="1" si="613">IF(BR417=0,0,1/(1/(BR417*$BY$3)+1/(BR417*AR417)+1/(BR417*$BY$4)))</f>
        <v>20.753456221198157</v>
      </c>
      <c r="BY417" s="1018">
        <f t="shared" ref="BY417:BY425" ca="1" si="614">IF(BS417=0,0,1/(1/(BS417*$BY$3)+1/(BS417*AS417)+1/(BS417*$BY$4)))</f>
        <v>32.577267739575717</v>
      </c>
      <c r="BZ417" s="1018">
        <f t="shared" ca="1" si="582"/>
        <v>18.887893693903717</v>
      </c>
      <c r="CA417" s="1018">
        <f t="shared" ca="1" si="583"/>
        <v>35.999999985599999</v>
      </c>
      <c r="CB417" s="1018">
        <f t="shared" ref="CB417:CB425" ca="1" si="615">IF(BV417=0,0,1/(1/(BV417*$BY$3)+1/(BV417*AV417)+1/(BV417*$BY$4)))</f>
        <v>15.79675572519084</v>
      </c>
      <c r="CC417" s="1018">
        <f t="shared" si="584"/>
        <v>0</v>
      </c>
      <c r="CD417" s="1018">
        <f ca="1">SUM(BX417:CC417)+(BR417+BS417+BT417+BU417+BV417)*BN417</f>
        <v>150.06037336546842</v>
      </c>
      <c r="CE417" s="1018">
        <f t="shared" ca="1" si="563"/>
        <v>73.770479255404439</v>
      </c>
      <c r="CF417" s="1018">
        <f t="shared" ca="1" si="586"/>
        <v>6.7149255786261852</v>
      </c>
      <c r="CG417" s="1018">
        <f t="shared" ca="1" si="587"/>
        <v>11180.082491389456</v>
      </c>
    </row>
    <row r="418" spans="3:85" x14ac:dyDescent="0.25">
      <c r="D418" s="741"/>
      <c r="E418" s="740"/>
      <c r="F418" s="741"/>
      <c r="G418" s="740"/>
      <c r="H418" s="740"/>
      <c r="I418" s="740"/>
      <c r="J418" s="741"/>
      <c r="K418" s="744"/>
      <c r="L418" s="746"/>
      <c r="M418" s="741"/>
      <c r="N418" s="741"/>
      <c r="O418" s="741" t="s">
        <v>18</v>
      </c>
      <c r="P418" s="743">
        <v>0.962121212</v>
      </c>
      <c r="Q418" s="741" t="s">
        <v>7</v>
      </c>
      <c r="R418" s="743">
        <v>0.1893</v>
      </c>
      <c r="S418" s="741"/>
      <c r="T418" s="752">
        <v>6.9043898927512772E-5</v>
      </c>
      <c r="U418" s="740"/>
      <c r="V418" s="176">
        <f t="shared" si="550"/>
        <v>6.9043898927512772E-5</v>
      </c>
      <c r="W418" s="176">
        <f t="shared" ref="W418:X425" si="616">V418</f>
        <v>6.9043898927512772E-5</v>
      </c>
      <c r="X418" s="176">
        <f t="shared" si="616"/>
        <v>6.9043898927512772E-5</v>
      </c>
      <c r="Y418" s="34">
        <f>X418/Calculation_sheet!M$67</f>
        <v>6.9045310628666507E-5</v>
      </c>
      <c r="Z418" s="176">
        <f ca="1">IF(AN418&gt;0,Y418*Calculation_sheet!C$87,0)</f>
        <v>0</v>
      </c>
      <c r="AA418" s="176">
        <f t="shared" ca="1" si="603"/>
        <v>6.9045310628666507E-5</v>
      </c>
      <c r="AB418" s="176">
        <f ca="1">IF(AP418&gt;0,AA418*Calculation_sheet!C$94,0)</f>
        <v>0</v>
      </c>
      <c r="AC418" s="176">
        <f t="shared" ca="1" si="604"/>
        <v>6.9045310628666507E-5</v>
      </c>
      <c r="AD418" s="958">
        <f ca="1">AC418*Calculation_sheet!C$99</f>
        <v>4.1427186377199903E-5</v>
      </c>
      <c r="AE418" s="176">
        <f t="shared" ca="1" si="604"/>
        <v>2.7618124251466604E-5</v>
      </c>
      <c r="AF418" s="176">
        <f t="shared" ca="1" si="605"/>
        <v>6.9045310628666507E-5</v>
      </c>
      <c r="AG418" s="958">
        <f ca="1">AF418*User_sheet!B$77/100</f>
        <v>0</v>
      </c>
      <c r="AH418" s="313"/>
      <c r="AI418" s="3">
        <v>304</v>
      </c>
      <c r="AK418" s="1018">
        <f t="shared" ca="1" si="581"/>
        <v>150.06037336546842</v>
      </c>
      <c r="AL418" s="924">
        <f ca="1">AK418/'304'!I$24</f>
        <v>0.59344066345863777</v>
      </c>
      <c r="AM418" s="924">
        <f ca="1">0.8*(AK418*30+'304'!D$17*0.34*30*1)</f>
        <v>7769.6708007712414</v>
      </c>
      <c r="AN418" s="954">
        <f ca="1">IF(AM418&lt;User_sheet!B$50,Y418,0)</f>
        <v>6.9045310628666507E-5</v>
      </c>
      <c r="AO418" s="954">
        <f ca="1">20-(User_sheet!B$57/(AK418+'304'!D$17*1*0.34))</f>
        <v>2.3930764239817215</v>
      </c>
      <c r="AP418" s="954">
        <f ca="1">IF(AO418&lt;User_sheet!B$59,0,BC418*AA418)</f>
        <v>0</v>
      </c>
      <c r="AR418" s="2">
        <v>0.24</v>
      </c>
      <c r="AS418" s="2">
        <v>0.54</v>
      </c>
      <c r="AT418" s="2">
        <v>0.83</v>
      </c>
      <c r="AU418" s="2">
        <v>2</v>
      </c>
      <c r="AV418" s="2">
        <v>3.3</v>
      </c>
      <c r="AW418" s="2">
        <v>14536.85461731979</v>
      </c>
      <c r="AX418" s="2">
        <v>75022.04959166942</v>
      </c>
      <c r="AY418" s="2">
        <v>69245.59826015502</v>
      </c>
      <c r="AZ418" s="27">
        <v>0</v>
      </c>
      <c r="BA418" s="27">
        <v>0</v>
      </c>
      <c r="BB418" s="2">
        <v>0.6</v>
      </c>
      <c r="BC418" s="30">
        <v>1</v>
      </c>
      <c r="BD418" s="34">
        <v>0</v>
      </c>
      <c r="BE418" s="34">
        <v>0</v>
      </c>
      <c r="BF418" s="40">
        <v>0</v>
      </c>
      <c r="BG418" s="2">
        <v>1</v>
      </c>
      <c r="BH418" s="2">
        <v>0</v>
      </c>
      <c r="BI418" s="40">
        <v>0</v>
      </c>
      <c r="BJ418" s="2">
        <v>0</v>
      </c>
      <c r="BK418" s="2">
        <v>0</v>
      </c>
      <c r="BL418" s="2">
        <v>1</v>
      </c>
      <c r="BM418" s="40">
        <v>0</v>
      </c>
      <c r="BN418" s="958">
        <v>0.1</v>
      </c>
      <c r="BO418" s="50">
        <v>10</v>
      </c>
      <c r="BP418" s="1018">
        <f t="shared" ca="1" si="606"/>
        <v>206.38</v>
      </c>
      <c r="BQ418" s="1018">
        <f t="shared" ca="1" si="607"/>
        <v>308.92399999999992</v>
      </c>
      <c r="BR418" s="1018">
        <f t="shared" ca="1" si="608"/>
        <v>90.07</v>
      </c>
      <c r="BS418" s="1018">
        <f t="shared" ca="1" si="609"/>
        <v>65.974999999999994</v>
      </c>
      <c r="BT418" s="1018">
        <f t="shared" ca="1" si="610"/>
        <v>78.88</v>
      </c>
      <c r="BU418" s="1018">
        <f t="shared" ca="1" si="611"/>
        <v>18</v>
      </c>
      <c r="BV418" s="1018">
        <f t="shared" ca="1" si="612"/>
        <v>7.5250000000000004</v>
      </c>
      <c r="BW418" s="1018">
        <v>0</v>
      </c>
      <c r="BX418" s="1018">
        <f t="shared" ca="1" si="613"/>
        <v>20.753456221198157</v>
      </c>
      <c r="BY418" s="1018">
        <f t="shared" ca="1" si="614"/>
        <v>32.577267739575717</v>
      </c>
      <c r="BZ418" s="1018">
        <f t="shared" ca="1" si="582"/>
        <v>18.887893693903717</v>
      </c>
      <c r="CA418" s="1018">
        <f t="shared" ca="1" si="583"/>
        <v>35.999999985599999</v>
      </c>
      <c r="CB418" s="1018">
        <f t="shared" ca="1" si="615"/>
        <v>15.79675572519084</v>
      </c>
      <c r="CC418" s="1018">
        <f t="shared" si="584"/>
        <v>0</v>
      </c>
      <c r="CD418" s="1018">
        <f t="shared" ref="CD418:CD425" ca="1" si="617">SUM(BX418:CC418)+(BR418+BS418+BT418+BU418+BV418)*BN418</f>
        <v>150.06037336546842</v>
      </c>
      <c r="CE418" s="1018">
        <f t="shared" ca="1" si="563"/>
        <v>73.770479255404439</v>
      </c>
      <c r="CF418" s="1018">
        <f t="shared" ca="1" si="586"/>
        <v>6.7149255786261852</v>
      </c>
      <c r="CG418" s="1018">
        <f t="shared" ca="1" si="587"/>
        <v>11180.082491389456</v>
      </c>
    </row>
    <row r="419" spans="3:85" x14ac:dyDescent="0.25">
      <c r="D419" s="741"/>
      <c r="E419" s="740"/>
      <c r="F419" s="741"/>
      <c r="G419" s="740"/>
      <c r="H419" s="740"/>
      <c r="I419" s="740"/>
      <c r="J419" s="741"/>
      <c r="K419" s="744"/>
      <c r="L419" s="746"/>
      <c r="M419" s="741"/>
      <c r="N419" s="741"/>
      <c r="O419" s="741"/>
      <c r="P419" s="741"/>
      <c r="Q419" s="741" t="s">
        <v>16</v>
      </c>
      <c r="R419" s="743">
        <v>0.81069999999999998</v>
      </c>
      <c r="S419" s="741"/>
      <c r="T419" s="752">
        <v>1.1641291173594981E-5</v>
      </c>
      <c r="U419" s="740"/>
      <c r="V419" s="176">
        <f t="shared" si="550"/>
        <v>1.1641291173594981E-5</v>
      </c>
      <c r="W419" s="176">
        <f t="shared" si="616"/>
        <v>1.1641291173594981E-5</v>
      </c>
      <c r="X419" s="176">
        <f t="shared" si="616"/>
        <v>1.1641291173594981E-5</v>
      </c>
      <c r="Y419" s="34">
        <f>X419/Calculation_sheet!M$67</f>
        <v>1.1641529196424457E-5</v>
      </c>
      <c r="Z419" s="176">
        <f ca="1">IF(AN419&gt;0,Y419*Calculation_sheet!C$87,0)</f>
        <v>0</v>
      </c>
      <c r="AA419" s="176">
        <f t="shared" ca="1" si="603"/>
        <v>1.1641529196424457E-5</v>
      </c>
      <c r="AB419" s="176">
        <f ca="1">IF(AP419&gt;0,AA419*Calculation_sheet!C$94,0)</f>
        <v>0</v>
      </c>
      <c r="AC419" s="176">
        <f t="shared" ca="1" si="604"/>
        <v>1.1641529196424457E-5</v>
      </c>
      <c r="AD419" s="958">
        <f ca="1">AC419*Calculation_sheet!C$99</f>
        <v>6.9849175178546738E-6</v>
      </c>
      <c r="AE419" s="176">
        <f t="shared" ca="1" si="604"/>
        <v>4.6566116785697828E-6</v>
      </c>
      <c r="AF419" s="176">
        <f t="shared" ca="1" si="605"/>
        <v>1.1641529196424457E-5</v>
      </c>
      <c r="AG419" s="958">
        <f ca="1">AF419*User_sheet!B$77/100</f>
        <v>0</v>
      </c>
      <c r="AH419" s="313"/>
      <c r="AI419" s="3">
        <v>304</v>
      </c>
      <c r="AK419" s="1018">
        <f t="shared" ca="1" si="581"/>
        <v>150.06037336546842</v>
      </c>
      <c r="AL419" s="924">
        <f ca="1">AK419/'304'!I$24</f>
        <v>0.59344066345863777</v>
      </c>
      <c r="AM419" s="924">
        <f ca="1">0.8*(AK419*30+'304'!D$17*0.34*30*1)</f>
        <v>7769.6708007712414</v>
      </c>
      <c r="AN419" s="954">
        <f ca="1">IF(AM419&lt;User_sheet!B$50,Y419,0)</f>
        <v>1.1641529196424457E-5</v>
      </c>
      <c r="AO419" s="954">
        <f ca="1">20-(User_sheet!B$57/(AK419+'304'!D$17*1*0.34))</f>
        <v>2.3930764239817215</v>
      </c>
      <c r="AP419" s="954">
        <f ca="1">IF(AO419&lt;User_sheet!B$59,0,BC419*AA419)</f>
        <v>0</v>
      </c>
      <c r="AR419" s="2">
        <v>0.24</v>
      </c>
      <c r="AS419" s="2">
        <v>0.54</v>
      </c>
      <c r="AT419" s="2">
        <v>0.83</v>
      </c>
      <c r="AU419" s="2">
        <v>2</v>
      </c>
      <c r="AV419" s="2">
        <v>3.3</v>
      </c>
      <c r="AW419" s="2">
        <v>14536.85461731979</v>
      </c>
      <c r="AX419" s="2">
        <v>75022.04959166942</v>
      </c>
      <c r="AY419" s="2">
        <v>69245.59826015502</v>
      </c>
      <c r="AZ419" s="27">
        <v>0</v>
      </c>
      <c r="BA419" s="27">
        <v>0</v>
      </c>
      <c r="BB419" s="2">
        <v>0.6</v>
      </c>
      <c r="BC419" s="30">
        <v>1</v>
      </c>
      <c r="BD419" s="34">
        <v>0</v>
      </c>
      <c r="BE419" s="34">
        <v>0</v>
      </c>
      <c r="BF419" s="40">
        <v>0</v>
      </c>
      <c r="BG419" s="2">
        <v>0</v>
      </c>
      <c r="BH419" s="2">
        <v>1</v>
      </c>
      <c r="BI419" s="40">
        <v>0</v>
      </c>
      <c r="BJ419" s="2">
        <v>1</v>
      </c>
      <c r="BK419" s="2">
        <v>0</v>
      </c>
      <c r="BL419" s="2">
        <v>0</v>
      </c>
      <c r="BM419" s="40">
        <v>0</v>
      </c>
      <c r="BN419" s="958">
        <v>0.1</v>
      </c>
      <c r="BO419" s="50">
        <v>10</v>
      </c>
      <c r="BP419" s="1018">
        <f t="shared" ca="1" si="606"/>
        <v>206.38</v>
      </c>
      <c r="BQ419" s="1018">
        <f t="shared" ca="1" si="607"/>
        <v>308.92399999999992</v>
      </c>
      <c r="BR419" s="1018">
        <f t="shared" ca="1" si="608"/>
        <v>90.07</v>
      </c>
      <c r="BS419" s="1018">
        <f t="shared" ca="1" si="609"/>
        <v>65.974999999999994</v>
      </c>
      <c r="BT419" s="1018">
        <f t="shared" ca="1" si="610"/>
        <v>78.88</v>
      </c>
      <c r="BU419" s="1018">
        <f t="shared" ca="1" si="611"/>
        <v>18</v>
      </c>
      <c r="BV419" s="1018">
        <f t="shared" ca="1" si="612"/>
        <v>7.5250000000000004</v>
      </c>
      <c r="BW419" s="1018">
        <v>0</v>
      </c>
      <c r="BX419" s="1018">
        <f t="shared" ca="1" si="613"/>
        <v>20.753456221198157</v>
      </c>
      <c r="BY419" s="1018">
        <f t="shared" ca="1" si="614"/>
        <v>32.577267739575717</v>
      </c>
      <c r="BZ419" s="1018">
        <f t="shared" ca="1" si="582"/>
        <v>18.887893693903717</v>
      </c>
      <c r="CA419" s="1018">
        <f t="shared" ca="1" si="583"/>
        <v>35.999999985599999</v>
      </c>
      <c r="CB419" s="1018">
        <f t="shared" ca="1" si="615"/>
        <v>15.79675572519084</v>
      </c>
      <c r="CC419" s="1018">
        <f t="shared" si="584"/>
        <v>0</v>
      </c>
      <c r="CD419" s="1018">
        <f t="shared" ca="1" si="617"/>
        <v>150.06037336546842</v>
      </c>
      <c r="CE419" s="1018">
        <f t="shared" ca="1" si="563"/>
        <v>73.770479255404439</v>
      </c>
      <c r="CF419" s="1018">
        <f t="shared" ca="1" si="586"/>
        <v>6.7149255786261852</v>
      </c>
      <c r="CG419" s="1018">
        <f t="shared" ca="1" si="587"/>
        <v>11180.082491389456</v>
      </c>
    </row>
    <row r="420" spans="3:85" x14ac:dyDescent="0.25">
      <c r="D420" s="741"/>
      <c r="E420" s="740"/>
      <c r="F420" s="741"/>
      <c r="G420" s="740"/>
      <c r="H420" s="740"/>
      <c r="I420" s="740"/>
      <c r="J420" s="741"/>
      <c r="K420" s="744"/>
      <c r="L420" s="746"/>
      <c r="M420" s="741" t="s">
        <v>16</v>
      </c>
      <c r="N420" s="743">
        <v>0.5</v>
      </c>
      <c r="O420" s="741" t="s">
        <v>19</v>
      </c>
      <c r="P420" s="743">
        <v>3.7878787999999997E-2</v>
      </c>
      <c r="Q420" s="741" t="s">
        <v>7</v>
      </c>
      <c r="R420" s="743">
        <v>0.1893</v>
      </c>
      <c r="S420" s="741"/>
      <c r="T420" s="752">
        <v>2.7182637463445547E-6</v>
      </c>
      <c r="U420" s="740"/>
      <c r="V420" s="176">
        <f t="shared" si="550"/>
        <v>2.7182637463445547E-6</v>
      </c>
      <c r="W420" s="176">
        <f t="shared" si="616"/>
        <v>2.7182637463445547E-6</v>
      </c>
      <c r="X420" s="176">
        <f t="shared" si="616"/>
        <v>2.7182637463445547E-6</v>
      </c>
      <c r="Y420" s="34">
        <f>X420/Calculation_sheet!M$67</f>
        <v>2.7183193251303194E-6</v>
      </c>
      <c r="Z420" s="176">
        <f ca="1">IF(AN420&gt;0,Y420*Calculation_sheet!C$87,0)</f>
        <v>0</v>
      </c>
      <c r="AA420" s="176">
        <f t="shared" ca="1" si="603"/>
        <v>2.7183193251303194E-6</v>
      </c>
      <c r="AB420" s="176">
        <f ca="1">IF(AP420&gt;0,AA420*Calculation_sheet!C$94,0)</f>
        <v>0</v>
      </c>
      <c r="AC420" s="176">
        <f t="shared" ca="1" si="604"/>
        <v>2.7183193251303194E-6</v>
      </c>
      <c r="AD420" s="958">
        <f ca="1">AC420*Calculation_sheet!C$99</f>
        <v>1.6309915950781916E-6</v>
      </c>
      <c r="AE420" s="176">
        <f t="shared" ca="1" si="604"/>
        <v>1.0873277300521278E-6</v>
      </c>
      <c r="AF420" s="176">
        <f t="shared" ca="1" si="605"/>
        <v>2.7183193251303194E-6</v>
      </c>
      <c r="AG420" s="958">
        <f ca="1">AF420*User_sheet!B$77/100</f>
        <v>0</v>
      </c>
      <c r="AH420" s="313"/>
      <c r="AI420" s="3">
        <v>304</v>
      </c>
      <c r="AK420" s="1018">
        <f t="shared" ca="1" si="581"/>
        <v>150.06037336546842</v>
      </c>
      <c r="AL420" s="924">
        <f ca="1">AK420/'304'!I$24</f>
        <v>0.59344066345863777</v>
      </c>
      <c r="AM420" s="924">
        <f ca="1">0.8*(AK420*30+'304'!D$17*0.34*30*1)</f>
        <v>7769.6708007712414</v>
      </c>
      <c r="AN420" s="954">
        <f ca="1">IF(AM420&lt;User_sheet!B$50,Y420,0)</f>
        <v>2.7183193251303194E-6</v>
      </c>
      <c r="AO420" s="954">
        <f ca="1">20-(User_sheet!B$57/(AK420+'304'!D$17*1*0.34))</f>
        <v>2.3930764239817215</v>
      </c>
      <c r="AP420" s="954">
        <f ca="1">IF(AO420&lt;User_sheet!B$59,0,BC420*AA420)</f>
        <v>0</v>
      </c>
      <c r="AR420" s="2">
        <v>0.24</v>
      </c>
      <c r="AS420" s="2">
        <v>0.54</v>
      </c>
      <c r="AT420" s="2">
        <v>0.83</v>
      </c>
      <c r="AU420" s="2">
        <v>2</v>
      </c>
      <c r="AV420" s="2">
        <v>3.3</v>
      </c>
      <c r="AW420" s="2">
        <v>14536.85461731979</v>
      </c>
      <c r="AX420" s="2">
        <v>75022.04959166942</v>
      </c>
      <c r="AY420" s="2">
        <v>69245.59826015502</v>
      </c>
      <c r="AZ420" s="27">
        <v>0</v>
      </c>
      <c r="BA420" s="27">
        <v>0</v>
      </c>
      <c r="BB420" s="2">
        <v>0.6</v>
      </c>
      <c r="BC420" s="30">
        <v>1</v>
      </c>
      <c r="BD420" s="34">
        <v>0</v>
      </c>
      <c r="BE420" s="34">
        <v>0</v>
      </c>
      <c r="BF420" s="40">
        <v>0</v>
      </c>
      <c r="BG420" s="2">
        <v>0</v>
      </c>
      <c r="BH420" s="2">
        <v>1</v>
      </c>
      <c r="BI420" s="40">
        <v>0</v>
      </c>
      <c r="BJ420" s="2">
        <v>0</v>
      </c>
      <c r="BK420" s="2">
        <v>0</v>
      </c>
      <c r="BL420" s="2">
        <v>1</v>
      </c>
      <c r="BM420" s="40">
        <v>0</v>
      </c>
      <c r="BN420" s="958">
        <v>0.1</v>
      </c>
      <c r="BO420" s="50">
        <v>10</v>
      </c>
      <c r="BP420" s="1018">
        <f t="shared" ca="1" si="606"/>
        <v>206.38</v>
      </c>
      <c r="BQ420" s="1018">
        <f t="shared" ca="1" si="607"/>
        <v>308.92399999999992</v>
      </c>
      <c r="BR420" s="1018">
        <f t="shared" ca="1" si="608"/>
        <v>90.07</v>
      </c>
      <c r="BS420" s="1018">
        <f t="shared" ca="1" si="609"/>
        <v>65.974999999999994</v>
      </c>
      <c r="BT420" s="1018">
        <f t="shared" ca="1" si="610"/>
        <v>78.88</v>
      </c>
      <c r="BU420" s="1018">
        <f t="shared" ca="1" si="611"/>
        <v>18</v>
      </c>
      <c r="BV420" s="1018">
        <f t="shared" ca="1" si="612"/>
        <v>7.5250000000000004</v>
      </c>
      <c r="BW420" s="1018">
        <v>0</v>
      </c>
      <c r="BX420" s="1018">
        <f t="shared" ca="1" si="613"/>
        <v>20.753456221198157</v>
      </c>
      <c r="BY420" s="1018">
        <f t="shared" ca="1" si="614"/>
        <v>32.577267739575717</v>
      </c>
      <c r="BZ420" s="1018">
        <f t="shared" ca="1" si="582"/>
        <v>18.887893693903717</v>
      </c>
      <c r="CA420" s="1018">
        <f t="shared" ca="1" si="583"/>
        <v>35.999999985599999</v>
      </c>
      <c r="CB420" s="1018">
        <f t="shared" ca="1" si="615"/>
        <v>15.79675572519084</v>
      </c>
      <c r="CC420" s="1018">
        <f t="shared" si="584"/>
        <v>0</v>
      </c>
      <c r="CD420" s="1018">
        <f t="shared" ca="1" si="617"/>
        <v>150.06037336546842</v>
      </c>
      <c r="CE420" s="1018">
        <f t="shared" ca="1" si="563"/>
        <v>73.770479255404439</v>
      </c>
      <c r="CF420" s="1018">
        <f t="shared" ca="1" si="586"/>
        <v>6.7149255786261852</v>
      </c>
      <c r="CG420" s="1018">
        <f t="shared" ca="1" si="587"/>
        <v>11180.082491389456</v>
      </c>
    </row>
    <row r="421" spans="3:85" x14ac:dyDescent="0.25">
      <c r="D421" s="741"/>
      <c r="E421" s="740"/>
      <c r="F421" s="741"/>
      <c r="G421" s="740"/>
      <c r="H421" s="740"/>
      <c r="I421" s="740"/>
      <c r="J421" s="741"/>
      <c r="K421" s="744"/>
      <c r="L421" s="746"/>
      <c r="M421" s="741"/>
      <c r="N421" s="741"/>
      <c r="O421" s="741"/>
      <c r="P421" s="741"/>
      <c r="Q421" s="741" t="s">
        <v>22</v>
      </c>
      <c r="R421" s="743">
        <v>0.81</v>
      </c>
      <c r="S421" s="741"/>
      <c r="T421" s="752">
        <v>2.212672257962136E-4</v>
      </c>
      <c r="U421" s="740"/>
      <c r="V421" s="176">
        <f t="shared" si="550"/>
        <v>2.212672257962136E-4</v>
      </c>
      <c r="W421" s="176">
        <f t="shared" si="616"/>
        <v>2.212672257962136E-4</v>
      </c>
      <c r="X421" s="176">
        <f t="shared" si="616"/>
        <v>2.212672257962136E-4</v>
      </c>
      <c r="Y421" s="34">
        <f>X421/Calculation_sheet!M$67</f>
        <v>2.2127174992076033E-4</v>
      </c>
      <c r="Z421" s="176">
        <f ca="1">IF(AN421&gt;0,Y421*Calculation_sheet!C$87,0)</f>
        <v>0</v>
      </c>
      <c r="AA421" s="176">
        <f t="shared" ca="1" si="603"/>
        <v>2.2127174992076033E-4</v>
      </c>
      <c r="AB421" s="176">
        <f ca="1">IF(AP421&gt;0,AA421*Calculation_sheet!C$94,0)</f>
        <v>0</v>
      </c>
      <c r="AC421" s="176">
        <f t="shared" ca="1" si="604"/>
        <v>2.2127174992076033E-4</v>
      </c>
      <c r="AD421" s="958">
        <f ca="1">AC421*Calculation_sheet!C$99</f>
        <v>1.327630499524562E-4</v>
      </c>
      <c r="AE421" s="176">
        <f t="shared" ca="1" si="604"/>
        <v>8.8508699968304131E-5</v>
      </c>
      <c r="AF421" s="176">
        <f t="shared" ca="1" si="605"/>
        <v>2.2127174992076033E-4</v>
      </c>
      <c r="AG421" s="958">
        <f ca="1">AF421*User_sheet!B$77/100</f>
        <v>0</v>
      </c>
      <c r="AH421" s="313"/>
      <c r="AI421" s="3">
        <v>304</v>
      </c>
      <c r="AK421" s="1018">
        <f t="shared" ca="1" si="581"/>
        <v>150.06037336546842</v>
      </c>
      <c r="AL421" s="924">
        <f ca="1">AK421/'304'!I$24</f>
        <v>0.59344066345863777</v>
      </c>
      <c r="AM421" s="924">
        <f ca="1">0.8*(AK421*30+'304'!D$17*0.34*30*1)</f>
        <v>7769.6708007712414</v>
      </c>
      <c r="AN421" s="954">
        <f ca="1">IF(AM421&lt;User_sheet!B$50,Y421,0)</f>
        <v>2.2127174992076033E-4</v>
      </c>
      <c r="AO421" s="954">
        <f ca="1">20-(User_sheet!B$57/(AK421+'304'!D$17*1*0.34))</f>
        <v>2.3930764239817215</v>
      </c>
      <c r="AP421" s="954">
        <f ca="1">IF(AO421&lt;User_sheet!B$59,0,BC421*AA421)</f>
        <v>0</v>
      </c>
      <c r="AR421" s="2">
        <v>0.24</v>
      </c>
      <c r="AS421" s="2">
        <v>0.54</v>
      </c>
      <c r="AT421" s="2">
        <v>0.83</v>
      </c>
      <c r="AU421" s="2">
        <v>2</v>
      </c>
      <c r="AV421" s="2">
        <v>3.3</v>
      </c>
      <c r="AW421" s="2">
        <v>14536.85461731979</v>
      </c>
      <c r="AX421" s="2">
        <v>75022.04959166942</v>
      </c>
      <c r="AY421" s="2">
        <v>69245.59826015502</v>
      </c>
      <c r="AZ421" s="27">
        <v>0</v>
      </c>
      <c r="BA421" s="27">
        <v>0</v>
      </c>
      <c r="BB421" s="2">
        <v>0.6</v>
      </c>
      <c r="BC421" s="30">
        <v>0</v>
      </c>
      <c r="BD421" s="34">
        <v>1</v>
      </c>
      <c r="BE421" s="34">
        <v>0</v>
      </c>
      <c r="BF421" s="40">
        <v>0</v>
      </c>
      <c r="BG421" s="2">
        <v>1</v>
      </c>
      <c r="BH421" s="2">
        <v>0</v>
      </c>
      <c r="BI421" s="40">
        <v>0</v>
      </c>
      <c r="BJ421" s="2">
        <v>0</v>
      </c>
      <c r="BK421" s="2">
        <v>1</v>
      </c>
      <c r="BL421" s="2">
        <v>0</v>
      </c>
      <c r="BM421" s="40">
        <v>0</v>
      </c>
      <c r="BN421" s="958">
        <v>0.1</v>
      </c>
      <c r="BO421" s="50">
        <v>10</v>
      </c>
      <c r="BP421" s="1018">
        <f t="shared" ca="1" si="606"/>
        <v>206.38</v>
      </c>
      <c r="BQ421" s="1018">
        <f t="shared" ca="1" si="607"/>
        <v>308.92399999999992</v>
      </c>
      <c r="BR421" s="1018">
        <f t="shared" ca="1" si="608"/>
        <v>90.07</v>
      </c>
      <c r="BS421" s="1018">
        <f t="shared" ca="1" si="609"/>
        <v>65.974999999999994</v>
      </c>
      <c r="BT421" s="1018">
        <f t="shared" ca="1" si="610"/>
        <v>78.88</v>
      </c>
      <c r="BU421" s="1018">
        <f t="shared" ca="1" si="611"/>
        <v>18</v>
      </c>
      <c r="BV421" s="1018">
        <f t="shared" ca="1" si="612"/>
        <v>7.5250000000000004</v>
      </c>
      <c r="BW421" s="1018">
        <v>0</v>
      </c>
      <c r="BX421" s="1018">
        <f t="shared" ca="1" si="613"/>
        <v>20.753456221198157</v>
      </c>
      <c r="BY421" s="1018">
        <f t="shared" ca="1" si="614"/>
        <v>32.577267739575717</v>
      </c>
      <c r="BZ421" s="1018">
        <f t="shared" ca="1" si="582"/>
        <v>18.887893693903717</v>
      </c>
      <c r="CA421" s="1018">
        <f t="shared" ca="1" si="583"/>
        <v>35.999999985599999</v>
      </c>
      <c r="CB421" s="1018">
        <f t="shared" ca="1" si="615"/>
        <v>15.79675572519084</v>
      </c>
      <c r="CC421" s="1018">
        <f t="shared" si="584"/>
        <v>0</v>
      </c>
      <c r="CD421" s="1018">
        <f t="shared" ca="1" si="617"/>
        <v>150.06037336546842</v>
      </c>
      <c r="CE421" s="1018">
        <f t="shared" ca="1" si="563"/>
        <v>73.770479255404439</v>
      </c>
      <c r="CF421" s="1018">
        <f t="shared" ca="1" si="586"/>
        <v>6.7149255786261852</v>
      </c>
      <c r="CG421" s="1018">
        <f t="shared" ca="1" si="587"/>
        <v>11180.082491389456</v>
      </c>
    </row>
    <row r="422" spans="3:85" x14ac:dyDescent="0.25">
      <c r="D422" s="741"/>
      <c r="E422" s="740"/>
      <c r="F422" s="741"/>
      <c r="G422" s="740"/>
      <c r="H422" s="740"/>
      <c r="I422" s="740"/>
      <c r="J422" s="741"/>
      <c r="K422" s="741"/>
      <c r="L422" s="741"/>
      <c r="M422" s="741"/>
      <c r="N422" s="741"/>
      <c r="O422" s="741" t="s">
        <v>18</v>
      </c>
      <c r="P422" s="743">
        <v>0.96078431399999997</v>
      </c>
      <c r="Q422" s="741" t="s">
        <v>7</v>
      </c>
      <c r="R422" s="743">
        <v>0.19</v>
      </c>
      <c r="S422" s="741"/>
      <c r="T422" s="752">
        <v>5.1902188767013074E-5</v>
      </c>
      <c r="U422" s="740"/>
      <c r="V422" s="176">
        <f t="shared" si="550"/>
        <v>5.1902188767013074E-5</v>
      </c>
      <c r="W422" s="176">
        <f t="shared" si="616"/>
        <v>5.1902188767013074E-5</v>
      </c>
      <c r="X422" s="176">
        <f t="shared" si="616"/>
        <v>5.1902188767013074E-5</v>
      </c>
      <c r="Y422" s="34">
        <f>X422/Calculation_sheet!M$67</f>
        <v>5.1903249981412924E-5</v>
      </c>
      <c r="Z422" s="176">
        <f ca="1">IF(AN422&gt;0,Y422*Calculation_sheet!C$87,0)</f>
        <v>0</v>
      </c>
      <c r="AA422" s="176">
        <f t="shared" ca="1" si="603"/>
        <v>5.1903249981412924E-5</v>
      </c>
      <c r="AB422" s="176">
        <f ca="1">IF(AP422&gt;0,AA422*Calculation_sheet!C$94,0)</f>
        <v>0</v>
      </c>
      <c r="AC422" s="176">
        <f t="shared" ca="1" si="604"/>
        <v>5.1903249981412924E-5</v>
      </c>
      <c r="AD422" s="958">
        <f ca="1">AC422*Calculation_sheet!C$99</f>
        <v>3.1141949988847752E-5</v>
      </c>
      <c r="AE422" s="176">
        <f t="shared" ca="1" si="604"/>
        <v>2.0761299992565172E-5</v>
      </c>
      <c r="AF422" s="176">
        <f t="shared" ca="1" si="605"/>
        <v>5.1903249981412924E-5</v>
      </c>
      <c r="AG422" s="958">
        <f ca="1">AF422*User_sheet!B$77/100</f>
        <v>0</v>
      </c>
      <c r="AH422" s="313"/>
      <c r="AI422" s="3">
        <v>304</v>
      </c>
      <c r="AK422" s="1018">
        <f t="shared" ca="1" si="581"/>
        <v>150.06037336546842</v>
      </c>
      <c r="AL422" s="924">
        <f ca="1">AK422/'304'!I$24</f>
        <v>0.59344066345863777</v>
      </c>
      <c r="AM422" s="924">
        <f ca="1">0.8*(AK422*30+'304'!D$17*0.34*30*1)</f>
        <v>7769.6708007712414</v>
      </c>
      <c r="AN422" s="954">
        <f ca="1">IF(AM422&lt;User_sheet!B$50,Y422,0)</f>
        <v>5.1903249981412924E-5</v>
      </c>
      <c r="AO422" s="954">
        <f ca="1">20-(User_sheet!B$57/(AK422+'304'!D$17*1*0.34))</f>
        <v>2.3930764239817215</v>
      </c>
      <c r="AP422" s="954">
        <f ca="1">IF(AO422&lt;User_sheet!B$59,0,BC422*AA422)</f>
        <v>0</v>
      </c>
      <c r="AR422" s="2">
        <v>0.24</v>
      </c>
      <c r="AS422" s="2">
        <v>0.54</v>
      </c>
      <c r="AT422" s="2">
        <v>0.83</v>
      </c>
      <c r="AU422" s="2">
        <v>2</v>
      </c>
      <c r="AV422" s="2">
        <v>3.3</v>
      </c>
      <c r="AW422" s="2">
        <v>14536.85461731979</v>
      </c>
      <c r="AX422" s="2">
        <v>75022.04959166942</v>
      </c>
      <c r="AY422" s="2">
        <v>69245.59826015502</v>
      </c>
      <c r="AZ422" s="27">
        <v>0</v>
      </c>
      <c r="BA422" s="27">
        <v>0</v>
      </c>
      <c r="BB422" s="2">
        <v>0.6</v>
      </c>
      <c r="BC422" s="30">
        <v>0</v>
      </c>
      <c r="BD422" s="34">
        <v>1</v>
      </c>
      <c r="BE422" s="34">
        <v>0</v>
      </c>
      <c r="BF422" s="40">
        <v>0</v>
      </c>
      <c r="BG422" s="2">
        <v>1</v>
      </c>
      <c r="BH422" s="2">
        <v>0</v>
      </c>
      <c r="BI422" s="40">
        <v>0</v>
      </c>
      <c r="BJ422" s="2">
        <v>0</v>
      </c>
      <c r="BK422" s="2">
        <v>0</v>
      </c>
      <c r="BL422" s="2">
        <v>1</v>
      </c>
      <c r="BM422" s="40">
        <v>0</v>
      </c>
      <c r="BN422" s="958">
        <v>0.1</v>
      </c>
      <c r="BO422" s="50">
        <v>10</v>
      </c>
      <c r="BP422" s="1018">
        <f t="shared" ca="1" si="606"/>
        <v>206.38</v>
      </c>
      <c r="BQ422" s="1018">
        <f t="shared" ca="1" si="607"/>
        <v>308.92399999999992</v>
      </c>
      <c r="BR422" s="1018">
        <f t="shared" ca="1" si="608"/>
        <v>90.07</v>
      </c>
      <c r="BS422" s="1018">
        <f t="shared" ca="1" si="609"/>
        <v>65.974999999999994</v>
      </c>
      <c r="BT422" s="1018">
        <f t="shared" ca="1" si="610"/>
        <v>78.88</v>
      </c>
      <c r="BU422" s="1018">
        <f t="shared" ca="1" si="611"/>
        <v>18</v>
      </c>
      <c r="BV422" s="1018">
        <f t="shared" ca="1" si="612"/>
        <v>7.5250000000000004</v>
      </c>
      <c r="BW422" s="1018">
        <v>0</v>
      </c>
      <c r="BX422" s="1018">
        <f t="shared" ca="1" si="613"/>
        <v>20.753456221198157</v>
      </c>
      <c r="BY422" s="1018">
        <f t="shared" ca="1" si="614"/>
        <v>32.577267739575717</v>
      </c>
      <c r="BZ422" s="1018">
        <f t="shared" ca="1" si="582"/>
        <v>18.887893693903717</v>
      </c>
      <c r="CA422" s="1018">
        <f t="shared" ca="1" si="583"/>
        <v>35.999999985599999</v>
      </c>
      <c r="CB422" s="1018">
        <f t="shared" ca="1" si="615"/>
        <v>15.79675572519084</v>
      </c>
      <c r="CC422" s="1018">
        <f t="shared" si="584"/>
        <v>0</v>
      </c>
      <c r="CD422" s="1018">
        <f t="shared" ca="1" si="617"/>
        <v>150.06037336546842</v>
      </c>
      <c r="CE422" s="1018">
        <f t="shared" ca="1" si="563"/>
        <v>73.770479255404439</v>
      </c>
      <c r="CF422" s="1018">
        <f t="shared" ca="1" si="586"/>
        <v>6.7149255786261852</v>
      </c>
      <c r="CG422" s="1018">
        <f t="shared" ca="1" si="587"/>
        <v>11180.082491389456</v>
      </c>
    </row>
    <row r="423" spans="3:85" x14ac:dyDescent="0.25">
      <c r="D423" s="741"/>
      <c r="E423" s="740"/>
      <c r="F423" s="741"/>
      <c r="G423" s="740"/>
      <c r="H423" s="741"/>
      <c r="I423" s="740" t="s">
        <v>6</v>
      </c>
      <c r="J423" s="745">
        <v>0.59030000000000005</v>
      </c>
      <c r="K423" s="741"/>
      <c r="L423" s="741"/>
      <c r="M423" s="741"/>
      <c r="N423" s="741"/>
      <c r="O423" s="741"/>
      <c r="P423" s="741"/>
      <c r="Q423" s="741" t="s">
        <v>22</v>
      </c>
      <c r="R423" s="743">
        <v>0.81</v>
      </c>
      <c r="S423" s="741"/>
      <c r="T423" s="752">
        <v>9.0313152728213811E-6</v>
      </c>
      <c r="U423" s="740"/>
      <c r="V423" s="176">
        <f t="shared" si="550"/>
        <v>9.0313152728213811E-6</v>
      </c>
      <c r="W423" s="176">
        <f t="shared" si="616"/>
        <v>9.0313152728213811E-6</v>
      </c>
      <c r="X423" s="176">
        <f t="shared" si="616"/>
        <v>9.0313152728213811E-6</v>
      </c>
      <c r="Y423" s="34">
        <f>X423/Calculation_sheet!M$67</f>
        <v>9.0314999309648004E-6</v>
      </c>
      <c r="Z423" s="176">
        <f ca="1">IF(AN423&gt;0,Y423*Calculation_sheet!C$87,0)</f>
        <v>0</v>
      </c>
      <c r="AA423" s="176">
        <f t="shared" ca="1" si="603"/>
        <v>9.0314999309648004E-6</v>
      </c>
      <c r="AB423" s="176">
        <f ca="1">IF(AP423&gt;0,AA423*Calculation_sheet!C$94,0)</f>
        <v>0</v>
      </c>
      <c r="AC423" s="176">
        <f t="shared" ca="1" si="604"/>
        <v>9.0314999309648004E-6</v>
      </c>
      <c r="AD423" s="958">
        <f ca="1">AC423*Calculation_sheet!C$99</f>
        <v>5.4188999585788801E-6</v>
      </c>
      <c r="AE423" s="176">
        <f t="shared" ca="1" si="604"/>
        <v>3.6125999723859203E-6</v>
      </c>
      <c r="AF423" s="176">
        <f t="shared" ca="1" si="605"/>
        <v>9.0314999309648004E-6</v>
      </c>
      <c r="AG423" s="958">
        <f ca="1">AF423*User_sheet!B$77/100</f>
        <v>0</v>
      </c>
      <c r="AH423" s="313"/>
      <c r="AI423" s="3">
        <v>304</v>
      </c>
      <c r="AK423" s="1018">
        <f t="shared" ca="1" si="581"/>
        <v>150.06037336546842</v>
      </c>
      <c r="AL423" s="924">
        <f ca="1">AK423/'304'!I$24</f>
        <v>0.59344066345863777</v>
      </c>
      <c r="AM423" s="924">
        <f ca="1">0.8*(AK423*30+'304'!D$17*0.34*30*1)</f>
        <v>7769.6708007712414</v>
      </c>
      <c r="AN423" s="954">
        <f ca="1">IF(AM423&lt;User_sheet!B$50,Y423,0)</f>
        <v>9.0314999309648004E-6</v>
      </c>
      <c r="AO423" s="954">
        <f ca="1">20-(User_sheet!B$57/(AK423+'304'!D$17*1*0.34))</f>
        <v>2.3930764239817215</v>
      </c>
      <c r="AP423" s="954">
        <f ca="1">IF(AO423&lt;User_sheet!B$59,0,BC423*AA423)</f>
        <v>0</v>
      </c>
      <c r="AR423" s="2">
        <v>0.24</v>
      </c>
      <c r="AS423" s="2">
        <v>0.54</v>
      </c>
      <c r="AT423" s="2">
        <v>0.83</v>
      </c>
      <c r="AU423" s="2">
        <v>2</v>
      </c>
      <c r="AV423" s="2">
        <v>3.3</v>
      </c>
      <c r="AW423" s="2">
        <v>14536.85461731979</v>
      </c>
      <c r="AX423" s="2">
        <v>75022.04959166942</v>
      </c>
      <c r="AY423" s="2">
        <v>69245.59826015502</v>
      </c>
      <c r="AZ423" s="27">
        <v>0</v>
      </c>
      <c r="BA423" s="27">
        <v>0</v>
      </c>
      <c r="BB423" s="2">
        <v>0.6</v>
      </c>
      <c r="BC423" s="30">
        <v>0</v>
      </c>
      <c r="BD423" s="34">
        <v>1</v>
      </c>
      <c r="BE423" s="34">
        <v>0</v>
      </c>
      <c r="BF423" s="40">
        <v>0</v>
      </c>
      <c r="BG423" s="2">
        <v>0</v>
      </c>
      <c r="BH423" s="2">
        <v>1</v>
      </c>
      <c r="BI423" s="40">
        <v>0</v>
      </c>
      <c r="BJ423" s="2">
        <v>0</v>
      </c>
      <c r="BK423" s="2">
        <v>1</v>
      </c>
      <c r="BL423" s="2">
        <v>0</v>
      </c>
      <c r="BM423" s="40">
        <v>0</v>
      </c>
      <c r="BN423" s="958">
        <v>0.1</v>
      </c>
      <c r="BO423" s="50">
        <v>10</v>
      </c>
      <c r="BP423" s="1018">
        <f t="shared" ca="1" si="606"/>
        <v>206.38</v>
      </c>
      <c r="BQ423" s="1018">
        <f t="shared" ca="1" si="607"/>
        <v>308.92399999999992</v>
      </c>
      <c r="BR423" s="1018">
        <f t="shared" ca="1" si="608"/>
        <v>90.07</v>
      </c>
      <c r="BS423" s="1018">
        <f t="shared" ca="1" si="609"/>
        <v>65.974999999999994</v>
      </c>
      <c r="BT423" s="1018">
        <f t="shared" ca="1" si="610"/>
        <v>78.88</v>
      </c>
      <c r="BU423" s="1018">
        <f t="shared" ca="1" si="611"/>
        <v>18</v>
      </c>
      <c r="BV423" s="1018">
        <f t="shared" ca="1" si="612"/>
        <v>7.5250000000000004</v>
      </c>
      <c r="BW423" s="1018">
        <v>0</v>
      </c>
      <c r="BX423" s="1018">
        <f t="shared" ca="1" si="613"/>
        <v>20.753456221198157</v>
      </c>
      <c r="BY423" s="1018">
        <f t="shared" ca="1" si="614"/>
        <v>32.577267739575717</v>
      </c>
      <c r="BZ423" s="1018">
        <f t="shared" ca="1" si="582"/>
        <v>18.887893693903717</v>
      </c>
      <c r="CA423" s="1018">
        <f t="shared" ca="1" si="583"/>
        <v>35.999999985599999</v>
      </c>
      <c r="CB423" s="1018">
        <f t="shared" ca="1" si="615"/>
        <v>15.79675572519084</v>
      </c>
      <c r="CC423" s="1018">
        <f t="shared" si="584"/>
        <v>0</v>
      </c>
      <c r="CD423" s="1018">
        <f t="shared" ca="1" si="617"/>
        <v>150.06037336546842</v>
      </c>
      <c r="CE423" s="1018">
        <f t="shared" ca="1" si="563"/>
        <v>73.770479255404439</v>
      </c>
      <c r="CF423" s="1018">
        <f t="shared" ca="1" si="586"/>
        <v>6.7149255786261852</v>
      </c>
      <c r="CG423" s="1018">
        <f t="shared" ca="1" si="587"/>
        <v>11180.082491389456</v>
      </c>
    </row>
    <row r="424" spans="3:85" x14ac:dyDescent="0.25">
      <c r="D424" s="741"/>
      <c r="E424" s="740"/>
      <c r="F424" s="741"/>
      <c r="G424" s="740"/>
      <c r="H424" s="741"/>
      <c r="I424" s="740"/>
      <c r="J424" s="741"/>
      <c r="K424" s="741"/>
      <c r="L424" s="741"/>
      <c r="M424" s="741" t="s">
        <v>22</v>
      </c>
      <c r="N424" s="743">
        <v>0.375</v>
      </c>
      <c r="O424" s="741" t="s">
        <v>20</v>
      </c>
      <c r="P424" s="743">
        <v>3.9215686E-2</v>
      </c>
      <c r="Q424" s="741" t="s">
        <v>7</v>
      </c>
      <c r="R424" s="743">
        <v>0.19</v>
      </c>
      <c r="S424" s="741"/>
      <c r="T424" s="752">
        <v>2.11845666893341E-6</v>
      </c>
      <c r="U424" s="740"/>
      <c r="V424" s="176">
        <f t="shared" si="550"/>
        <v>2.11845666893341E-6</v>
      </c>
      <c r="W424" s="176">
        <f t="shared" si="616"/>
        <v>2.11845666893341E-6</v>
      </c>
      <c r="X424" s="176">
        <f t="shared" si="616"/>
        <v>2.11845666893341E-6</v>
      </c>
      <c r="Y424" s="34">
        <f>X424/Calculation_sheet!M$67</f>
        <v>2.1184999838065577E-6</v>
      </c>
      <c r="Z424" s="176">
        <f ca="1">IF(AN424&gt;0,Y424*Calculation_sheet!C$87,0)</f>
        <v>0</v>
      </c>
      <c r="AA424" s="176">
        <f t="shared" ca="1" si="603"/>
        <v>2.1184999838065577E-6</v>
      </c>
      <c r="AB424" s="176">
        <f ca="1">IF(AP424&gt;0,AA424*Calculation_sheet!C$94,0)</f>
        <v>0</v>
      </c>
      <c r="AC424" s="176">
        <f t="shared" ca="1" si="604"/>
        <v>2.1184999838065577E-6</v>
      </c>
      <c r="AD424" s="958">
        <f ca="1">AC424*Calculation_sheet!C$99</f>
        <v>1.2710999902839345E-6</v>
      </c>
      <c r="AE424" s="176">
        <f t="shared" ca="1" si="604"/>
        <v>8.4739999352262315E-7</v>
      </c>
      <c r="AF424" s="176">
        <f t="shared" ca="1" si="605"/>
        <v>2.1184999838065577E-6</v>
      </c>
      <c r="AG424" s="958">
        <f ca="1">AF424*User_sheet!B$77/100</f>
        <v>0</v>
      </c>
      <c r="AH424" s="313"/>
      <c r="AI424" s="3">
        <v>304</v>
      </c>
      <c r="AK424" s="1018">
        <f t="shared" ca="1" si="581"/>
        <v>150.06037336546842</v>
      </c>
      <c r="AL424" s="924">
        <f ca="1">AK424/'304'!I$24</f>
        <v>0.59344066345863777</v>
      </c>
      <c r="AM424" s="924">
        <f ca="1">0.8*(AK424*30+'304'!D$17*0.34*30*1)</f>
        <v>7769.6708007712414</v>
      </c>
      <c r="AN424" s="954">
        <f ca="1">IF(AM424&lt;User_sheet!B$50,Y424,0)</f>
        <v>2.1184999838065577E-6</v>
      </c>
      <c r="AO424" s="954">
        <f ca="1">20-(User_sheet!B$57/(AK424+'304'!D$17*1*0.34))</f>
        <v>2.3930764239817215</v>
      </c>
      <c r="AP424" s="954">
        <f ca="1">IF(AO424&lt;User_sheet!B$59,0,BC424*AA424)</f>
        <v>0</v>
      </c>
      <c r="AR424" s="2">
        <v>0.24</v>
      </c>
      <c r="AS424" s="2">
        <v>0.54</v>
      </c>
      <c r="AT424" s="2">
        <v>0.83</v>
      </c>
      <c r="AU424" s="2">
        <v>2</v>
      </c>
      <c r="AV424" s="2">
        <v>3.3</v>
      </c>
      <c r="AW424" s="2">
        <v>14536.85461731979</v>
      </c>
      <c r="AX424" s="2">
        <v>75022.04959166942</v>
      </c>
      <c r="AY424" s="2">
        <v>69245.59826015502</v>
      </c>
      <c r="AZ424" s="27">
        <v>0</v>
      </c>
      <c r="BA424" s="27">
        <v>0</v>
      </c>
      <c r="BB424" s="2">
        <v>0.6</v>
      </c>
      <c r="BC424" s="30">
        <v>0</v>
      </c>
      <c r="BD424" s="34">
        <v>1</v>
      </c>
      <c r="BE424" s="34">
        <v>0</v>
      </c>
      <c r="BF424" s="40">
        <v>0</v>
      </c>
      <c r="BG424" s="2">
        <v>0</v>
      </c>
      <c r="BH424" s="2">
        <v>1</v>
      </c>
      <c r="BI424" s="40">
        <v>0</v>
      </c>
      <c r="BJ424" s="2">
        <v>0</v>
      </c>
      <c r="BK424" s="2">
        <v>0</v>
      </c>
      <c r="BL424" s="2">
        <v>1</v>
      </c>
      <c r="BM424" s="40">
        <v>0</v>
      </c>
      <c r="BN424" s="958">
        <v>0.1</v>
      </c>
      <c r="BO424" s="50">
        <v>10</v>
      </c>
      <c r="BP424" s="1018">
        <f t="shared" ca="1" si="606"/>
        <v>206.38</v>
      </c>
      <c r="BQ424" s="1018">
        <f t="shared" ca="1" si="607"/>
        <v>308.92399999999992</v>
      </c>
      <c r="BR424" s="1018">
        <f t="shared" ca="1" si="608"/>
        <v>90.07</v>
      </c>
      <c r="BS424" s="1018">
        <f t="shared" ca="1" si="609"/>
        <v>65.974999999999994</v>
      </c>
      <c r="BT424" s="1018">
        <f t="shared" ca="1" si="610"/>
        <v>78.88</v>
      </c>
      <c r="BU424" s="1018">
        <f t="shared" ca="1" si="611"/>
        <v>18</v>
      </c>
      <c r="BV424" s="1018">
        <f t="shared" ca="1" si="612"/>
        <v>7.5250000000000004</v>
      </c>
      <c r="BW424" s="1018">
        <v>0</v>
      </c>
      <c r="BX424" s="1018">
        <f t="shared" ca="1" si="613"/>
        <v>20.753456221198157</v>
      </c>
      <c r="BY424" s="1018">
        <f t="shared" ca="1" si="614"/>
        <v>32.577267739575717</v>
      </c>
      <c r="BZ424" s="1018">
        <f t="shared" ca="1" si="582"/>
        <v>18.887893693903717</v>
      </c>
      <c r="CA424" s="1018">
        <f t="shared" ca="1" si="583"/>
        <v>35.999999985599999</v>
      </c>
      <c r="CB424" s="1018">
        <f t="shared" ca="1" si="615"/>
        <v>15.79675572519084</v>
      </c>
      <c r="CC424" s="1018">
        <f t="shared" si="584"/>
        <v>0</v>
      </c>
      <c r="CD424" s="1018">
        <f t="shared" ca="1" si="617"/>
        <v>150.06037336546842</v>
      </c>
      <c r="CE424" s="1018">
        <f t="shared" ca="1" si="563"/>
        <v>73.770479255404439</v>
      </c>
      <c r="CF424" s="1018">
        <f t="shared" ca="1" si="586"/>
        <v>6.7149255786261852</v>
      </c>
      <c r="CG424" s="1018">
        <f t="shared" ca="1" si="587"/>
        <v>11180.082491389456</v>
      </c>
    </row>
    <row r="425" spans="3:85" x14ac:dyDescent="0.25">
      <c r="C425" s="741" t="s">
        <v>14</v>
      </c>
      <c r="D425" s="743">
        <v>5.3199999999999997E-2</v>
      </c>
      <c r="E425" s="740"/>
      <c r="F425" s="741"/>
      <c r="G425" s="740"/>
      <c r="H425" s="741"/>
      <c r="I425" s="740"/>
      <c r="J425" s="741"/>
      <c r="K425" s="744" t="s">
        <v>13</v>
      </c>
      <c r="L425" s="745">
        <v>0.9889</v>
      </c>
      <c r="M425" s="741" t="s">
        <v>7</v>
      </c>
      <c r="N425" s="743">
        <v>0.125</v>
      </c>
      <c r="O425" s="741" t="s">
        <v>23</v>
      </c>
      <c r="P425" s="743">
        <v>1</v>
      </c>
      <c r="Q425" s="741" t="s">
        <v>7</v>
      </c>
      <c r="R425" s="743">
        <v>1</v>
      </c>
      <c r="S425" s="741"/>
      <c r="T425" s="752">
        <v>9.4773062168327149E-5</v>
      </c>
      <c r="U425" s="740"/>
      <c r="V425" s="176">
        <f t="shared" si="550"/>
        <v>9.4773062168327149E-5</v>
      </c>
      <c r="W425" s="176">
        <f t="shared" si="616"/>
        <v>9.4773062168327149E-5</v>
      </c>
      <c r="X425" s="176">
        <f t="shared" si="616"/>
        <v>9.4773062168327149E-5</v>
      </c>
      <c r="Y425" s="34">
        <f>X425/Calculation_sheet!M$67</f>
        <v>9.4774999938981535E-5</v>
      </c>
      <c r="Z425" s="176">
        <f ca="1">IF(AN425&gt;0,Y425*Calculation_sheet!C$87,0)</f>
        <v>0</v>
      </c>
      <c r="AA425" s="176">
        <f t="shared" ca="1" si="603"/>
        <v>9.4774999938981535E-5</v>
      </c>
      <c r="AB425" s="176">
        <f ca="1">IF(AP425&gt;0,AA425*Calculation_sheet!C$94,0)</f>
        <v>0</v>
      </c>
      <c r="AC425" s="176">
        <f t="shared" ca="1" si="604"/>
        <v>9.4774999938981535E-5</v>
      </c>
      <c r="AD425" s="958">
        <f ca="1">AC425*Calculation_sheet!C$99</f>
        <v>5.6864999963388917E-5</v>
      </c>
      <c r="AE425" s="176">
        <f t="shared" ca="1" si="604"/>
        <v>3.7909999975592618E-5</v>
      </c>
      <c r="AF425" s="176">
        <f t="shared" ca="1" si="605"/>
        <v>9.4774999938981535E-5</v>
      </c>
      <c r="AG425" s="958">
        <f ca="1">AF425*User_sheet!B$77/100</f>
        <v>0</v>
      </c>
      <c r="AH425" s="313"/>
      <c r="AI425" s="3">
        <v>304</v>
      </c>
      <c r="AK425" s="1018">
        <f t="shared" ca="1" si="581"/>
        <v>150.06037336546842</v>
      </c>
      <c r="AL425" s="924">
        <f ca="1">AK425/'304'!I$24</f>
        <v>0.59344066345863777</v>
      </c>
      <c r="AM425" s="924">
        <f ca="1">0.8*(AK425*30+'304'!D$17*0.34*30*1)</f>
        <v>7769.6708007712414</v>
      </c>
      <c r="AN425" s="954">
        <f ca="1">IF(AM425&lt;User_sheet!B$50,Y425,0)</f>
        <v>9.4774999938981535E-5</v>
      </c>
      <c r="AO425" s="954">
        <f ca="1">20-(User_sheet!B$57/(AK425+'304'!D$17*1*0.34))</f>
        <v>2.3930764239817215</v>
      </c>
      <c r="AP425" s="954">
        <f ca="1">IF(AO425&lt;User_sheet!B$59,0,BC425*AA425)</f>
        <v>0</v>
      </c>
      <c r="AR425" s="2">
        <v>0.24</v>
      </c>
      <c r="AS425" s="2">
        <v>0.54</v>
      </c>
      <c r="AT425" s="2">
        <v>0.83</v>
      </c>
      <c r="AU425" s="2">
        <v>2</v>
      </c>
      <c r="AV425" s="2">
        <v>3.3</v>
      </c>
      <c r="AW425" s="2">
        <v>14536.85461731979</v>
      </c>
      <c r="AX425" s="2">
        <v>75022.04959166942</v>
      </c>
      <c r="AY425" s="2">
        <v>69245.59826015502</v>
      </c>
      <c r="AZ425" s="27">
        <v>0</v>
      </c>
      <c r="BA425" s="27">
        <v>0</v>
      </c>
      <c r="BB425" s="2">
        <v>0.6</v>
      </c>
      <c r="BC425" s="30">
        <v>0</v>
      </c>
      <c r="BD425" s="34">
        <v>0</v>
      </c>
      <c r="BE425" s="34">
        <v>1</v>
      </c>
      <c r="BF425" s="40">
        <v>0</v>
      </c>
      <c r="BG425" s="2">
        <v>0</v>
      </c>
      <c r="BH425" s="2">
        <v>0</v>
      </c>
      <c r="BI425" s="40">
        <v>1</v>
      </c>
      <c r="BJ425" s="2">
        <v>0</v>
      </c>
      <c r="BK425" s="2">
        <v>0</v>
      </c>
      <c r="BL425" s="2">
        <v>1</v>
      </c>
      <c r="BM425" s="40">
        <v>0</v>
      </c>
      <c r="BN425" s="958">
        <v>0.1</v>
      </c>
      <c r="BO425" s="50">
        <v>10</v>
      </c>
      <c r="BP425" s="1018">
        <f t="shared" ca="1" si="606"/>
        <v>206.38</v>
      </c>
      <c r="BQ425" s="1018">
        <f t="shared" ca="1" si="607"/>
        <v>308.92399999999992</v>
      </c>
      <c r="BR425" s="1018">
        <f t="shared" ca="1" si="608"/>
        <v>90.07</v>
      </c>
      <c r="BS425" s="1018">
        <f t="shared" ca="1" si="609"/>
        <v>65.974999999999994</v>
      </c>
      <c r="BT425" s="1018">
        <f t="shared" ca="1" si="610"/>
        <v>78.88</v>
      </c>
      <c r="BU425" s="1018">
        <f t="shared" ca="1" si="611"/>
        <v>18</v>
      </c>
      <c r="BV425" s="1018">
        <f t="shared" ca="1" si="612"/>
        <v>7.5250000000000004</v>
      </c>
      <c r="BW425" s="1018">
        <v>0</v>
      </c>
      <c r="BX425" s="1018">
        <f t="shared" ca="1" si="613"/>
        <v>20.753456221198157</v>
      </c>
      <c r="BY425" s="1018">
        <f t="shared" ca="1" si="614"/>
        <v>32.577267739575717</v>
      </c>
      <c r="BZ425" s="1018">
        <f t="shared" ca="1" si="582"/>
        <v>18.887893693903717</v>
      </c>
      <c r="CA425" s="1018">
        <f t="shared" ca="1" si="583"/>
        <v>35.999999985599999</v>
      </c>
      <c r="CB425" s="1018">
        <f t="shared" ca="1" si="615"/>
        <v>15.79675572519084</v>
      </c>
      <c r="CC425" s="1018">
        <f t="shared" si="584"/>
        <v>0</v>
      </c>
      <c r="CD425" s="1018">
        <f t="shared" ca="1" si="617"/>
        <v>150.06037336546842</v>
      </c>
      <c r="CE425" s="1018">
        <f t="shared" ca="1" si="563"/>
        <v>73.770479255404439</v>
      </c>
      <c r="CF425" s="1018">
        <f t="shared" ca="1" si="586"/>
        <v>6.7149255786261852</v>
      </c>
      <c r="CG425" s="1018">
        <f t="shared" ca="1" si="587"/>
        <v>11180.082491389456</v>
      </c>
    </row>
    <row r="426" spans="3:85" s="11" customFormat="1" x14ac:dyDescent="0.25">
      <c r="C426" s="749"/>
      <c r="D426" s="749"/>
      <c r="E426" s="748"/>
      <c r="F426" s="749"/>
      <c r="G426" s="748"/>
      <c r="H426" s="749"/>
      <c r="I426" s="748"/>
      <c r="J426" s="749"/>
      <c r="K426" s="750"/>
      <c r="L426" s="749"/>
      <c r="M426" s="749"/>
      <c r="N426" s="749"/>
      <c r="O426" s="749"/>
      <c r="P426" s="749"/>
      <c r="Q426" s="749"/>
      <c r="R426" s="749"/>
      <c r="S426" s="749"/>
      <c r="T426" s="753"/>
      <c r="U426" s="748"/>
      <c r="V426" s="293"/>
      <c r="W426" s="292"/>
      <c r="X426" s="292"/>
      <c r="Y426" s="277"/>
      <c r="Z426" s="292"/>
      <c r="AA426" s="292"/>
      <c r="AB426" s="292"/>
      <c r="AC426" s="292"/>
      <c r="AD426" s="277"/>
      <c r="AE426" s="292"/>
      <c r="AF426" s="292"/>
      <c r="AG426" s="277"/>
      <c r="AH426" s="313"/>
      <c r="AJ426" s="314"/>
      <c r="AK426" s="1018">
        <f t="shared" si="581"/>
        <v>0</v>
      </c>
      <c r="AL426" s="946"/>
      <c r="AM426" s="946"/>
      <c r="AN426" s="955"/>
      <c r="AO426" s="955"/>
      <c r="AP426" s="955"/>
      <c r="AQ426" s="314"/>
      <c r="AR426" s="28"/>
      <c r="AS426" s="28"/>
      <c r="AT426" s="28"/>
      <c r="AU426" s="28"/>
      <c r="AV426" s="28"/>
      <c r="AW426" s="28"/>
      <c r="AX426" s="28"/>
      <c r="AY426" s="28"/>
      <c r="AZ426" s="28"/>
      <c r="BA426" s="28"/>
      <c r="BB426" s="28"/>
      <c r="BC426" s="45"/>
      <c r="BD426" s="277"/>
      <c r="BE426" s="277"/>
      <c r="BF426" s="49"/>
      <c r="BG426" s="28"/>
      <c r="BH426" s="28"/>
      <c r="BI426" s="49"/>
      <c r="BJ426" s="28"/>
      <c r="BK426" s="28"/>
      <c r="BL426" s="28"/>
      <c r="BM426" s="49"/>
      <c r="BN426" s="277"/>
      <c r="BO426" s="49"/>
      <c r="BP426" s="946"/>
      <c r="BQ426" s="946"/>
      <c r="BR426" s="946"/>
      <c r="BS426" s="946"/>
      <c r="BT426" s="946"/>
      <c r="BU426" s="946"/>
      <c r="BV426" s="946"/>
      <c r="BW426" s="946"/>
      <c r="BX426" s="946"/>
      <c r="BY426" s="946"/>
      <c r="BZ426" s="946"/>
      <c r="CA426" s="946"/>
      <c r="CB426" s="946"/>
      <c r="CC426" s="946"/>
      <c r="CD426" s="946"/>
      <c r="CE426" s="946"/>
      <c r="CF426" s="946"/>
      <c r="CG426" s="946"/>
    </row>
    <row r="427" spans="3:85" x14ac:dyDescent="0.25">
      <c r="C427" s="741"/>
      <c r="D427" s="746"/>
      <c r="E427" s="740"/>
      <c r="F427" s="741"/>
      <c r="G427" s="740"/>
      <c r="H427" s="741"/>
      <c r="I427" s="740"/>
      <c r="J427" s="741"/>
      <c r="K427" s="744"/>
      <c r="L427" s="746"/>
      <c r="M427" s="741"/>
      <c r="N427" s="741"/>
      <c r="O427" s="741"/>
      <c r="P427" s="741"/>
      <c r="Q427" s="741" t="s">
        <v>16</v>
      </c>
      <c r="R427" s="743">
        <v>0.81069999999999998</v>
      </c>
      <c r="S427" s="741"/>
      <c r="T427" s="752">
        <v>0</v>
      </c>
      <c r="U427" s="740"/>
      <c r="V427" s="176">
        <f t="shared" si="550"/>
        <v>0</v>
      </c>
      <c r="W427" s="176">
        <f>V427</f>
        <v>0</v>
      </c>
      <c r="X427" s="176">
        <f>W427-W427*Calculation_sheet!O$79</f>
        <v>0</v>
      </c>
      <c r="Y427" s="34">
        <f>X427/Calculation_sheet!M$67</f>
        <v>0</v>
      </c>
      <c r="Z427" s="176">
        <f ca="1">IF(AN427&gt;0,Y427*Calculation_sheet!C$87,0)</f>
        <v>0</v>
      </c>
      <c r="AA427" s="176">
        <f t="shared" ref="AA427:AA435" ca="1" si="618">Y427-Z427</f>
        <v>0</v>
      </c>
      <c r="AB427" s="176">
        <f ca="1">IF(AP427&gt;0,AA427*Calculation_sheet!C$94,0)</f>
        <v>0</v>
      </c>
      <c r="AC427" s="176">
        <f t="shared" ref="AC427:AE435" ca="1" si="619">AA427-AB427</f>
        <v>0</v>
      </c>
      <c r="AD427" s="958">
        <f ca="1">AC427*Calculation_sheet!C$99</f>
        <v>0</v>
      </c>
      <c r="AE427" s="176">
        <f t="shared" ca="1" si="619"/>
        <v>0</v>
      </c>
      <c r="AF427" s="176">
        <f t="shared" ref="AF427:AF435" ca="1" si="620">Y427-AB427</f>
        <v>0</v>
      </c>
      <c r="AG427" s="958">
        <f ca="1">AF427*User_sheet!B$77/100</f>
        <v>0</v>
      </c>
      <c r="AH427" s="313"/>
      <c r="AI427" s="3">
        <v>304</v>
      </c>
      <c r="AK427" s="1018">
        <f t="shared" ca="1" si="581"/>
        <v>160.42911704963586</v>
      </c>
      <c r="AL427" s="924">
        <f ca="1">AK427/'304'!I$24</f>
        <v>0.63444572024454104</v>
      </c>
      <c r="AM427" s="924">
        <f ca="1">0.8*(AK427*30+'304'!D$17*0.34*30*1)</f>
        <v>8018.5206491912604</v>
      </c>
      <c r="AN427" s="954">
        <f ca="1">IF(AM427&lt;User_sheet!B$50,Y427,0)</f>
        <v>0</v>
      </c>
      <c r="AO427" s="954">
        <f ca="1">20-(User_sheet!B$57/(AK427+'304'!D$17*1*0.34))</f>
        <v>2.9394964501591083</v>
      </c>
      <c r="AP427" s="954">
        <f ca="1">IF(AO427&lt;User_sheet!B$59,0,BC427*AA427)</f>
        <v>0</v>
      </c>
      <c r="AR427" s="2">
        <v>0.47</v>
      </c>
      <c r="AS427" s="2">
        <v>0.54</v>
      </c>
      <c r="AT427" s="2">
        <v>0.45</v>
      </c>
      <c r="AU427" s="2">
        <v>2</v>
      </c>
      <c r="AV427" s="2">
        <v>3.3</v>
      </c>
      <c r="AW427" s="2">
        <v>12848.541887298286</v>
      </c>
      <c r="AX427" s="2">
        <v>75022.04959166942</v>
      </c>
      <c r="AY427" s="2">
        <v>65937.809199439725</v>
      </c>
      <c r="AZ427" s="27">
        <v>0</v>
      </c>
      <c r="BA427" s="27">
        <v>0</v>
      </c>
      <c r="BB427" s="2">
        <v>0.6</v>
      </c>
      <c r="BC427" s="30">
        <v>1</v>
      </c>
      <c r="BD427" s="34">
        <v>0</v>
      </c>
      <c r="BE427" s="34">
        <v>0</v>
      </c>
      <c r="BF427" s="40">
        <v>0</v>
      </c>
      <c r="BG427" s="2">
        <v>1</v>
      </c>
      <c r="BH427" s="2">
        <v>0</v>
      </c>
      <c r="BI427" s="40">
        <v>0</v>
      </c>
      <c r="BJ427" s="2">
        <v>1</v>
      </c>
      <c r="BK427" s="2">
        <v>0</v>
      </c>
      <c r="BL427" s="2">
        <v>0</v>
      </c>
      <c r="BM427" s="40">
        <v>0</v>
      </c>
      <c r="BN427" s="958">
        <v>0.1</v>
      </c>
      <c r="BO427" s="50">
        <v>10</v>
      </c>
      <c r="BP427" s="1018">
        <f t="shared" ref="BP427:BP435" ca="1" si="621">INDIRECT("'"&amp;AI427&amp;"'!"&amp;"B2")</f>
        <v>206.38</v>
      </c>
      <c r="BQ427" s="1018">
        <f t="shared" ref="BQ427:BQ435" ca="1" si="622">INDIRECT("'"&amp;AI427&amp;"'!"&amp;"C12")+INDIRECT("'"&amp;AI427&amp;"'!"&amp;"C13")+INDIRECT("'"&amp;AI427&amp;"'!"&amp;"C14")+INDIRECT("'"&amp;AI427&amp;"'!"&amp;"C15")+INDIRECT("'"&amp;AI427&amp;"'!"&amp;"C17")</f>
        <v>308.92399999999992</v>
      </c>
      <c r="BR427" s="1018">
        <f t="shared" ref="BR427:BR435" ca="1" si="623">INDIRECT("'"&amp;AI427&amp;"'!"&amp;"G5")</f>
        <v>90.07</v>
      </c>
      <c r="BS427" s="1018">
        <f t="shared" ref="BS427:BS435" ca="1" si="624">INDIRECT("'"&amp;AI427&amp;"'!"&amp;"G4")</f>
        <v>65.974999999999994</v>
      </c>
      <c r="BT427" s="1018">
        <f t="shared" ref="BT427:BT435" ca="1" si="625">INDIRECT("'"&amp;AI427&amp;"'!"&amp;"G6")</f>
        <v>78.88</v>
      </c>
      <c r="BU427" s="1018">
        <f t="shared" ref="BU427:BU435" ca="1" si="626">INDIRECT("'"&amp;AI427&amp;"'!"&amp;"G2")</f>
        <v>18</v>
      </c>
      <c r="BV427" s="1018">
        <f t="shared" ref="BV427:BV435" ca="1" si="627">INDIRECT("'"&amp;AI427&amp;"'!"&amp;"G3")</f>
        <v>7.5250000000000004</v>
      </c>
      <c r="BW427" s="1018">
        <v>0</v>
      </c>
      <c r="BX427" s="1018">
        <f t="shared" ref="BX427:BX435" ca="1" si="628">IF(BR427=0,0,1/(1/(BR427*$BY$3)+1/(BR427*AR427)+1/(BR427*$BY$4)))</f>
        <v>39.143971150289723</v>
      </c>
      <c r="BY427" s="1018">
        <f t="shared" ref="BY427:BY435" ca="1" si="629">IF(BS427=0,0,1/(1/(BS427*$BY$3)+1/(BS427*AS427)+1/(BS427*$BY$4)))</f>
        <v>32.577267739575717</v>
      </c>
      <c r="BZ427" s="1018">
        <f t="shared" ca="1" si="582"/>
        <v>10.866122448979594</v>
      </c>
      <c r="CA427" s="1018">
        <f t="shared" ca="1" si="583"/>
        <v>35.999999985599999</v>
      </c>
      <c r="CB427" s="1018">
        <f t="shared" ref="CB427:CB435" ca="1" si="630">IF(BV427=0,0,1/(1/(BV427*$BY$3)+1/(BV427*AV427)+1/(BV427*$BY$4)))</f>
        <v>15.79675572519084</v>
      </c>
      <c r="CC427" s="1018">
        <f t="shared" si="584"/>
        <v>0</v>
      </c>
      <c r="CD427" s="1018">
        <f ca="1">SUM(BX427:CC427)+(BR427+BS427+BT427+BU427+BV427)*BN427</f>
        <v>160.42911704963586</v>
      </c>
      <c r="CE427" s="1018">
        <f t="shared" ca="1" si="563"/>
        <v>73.770479255404439</v>
      </c>
      <c r="CF427" s="1018">
        <f t="shared" ca="1" si="586"/>
        <v>7.0259878891512093</v>
      </c>
      <c r="CG427" s="1018">
        <f t="shared" ca="1" si="587"/>
        <v>11697.988795921196</v>
      </c>
    </row>
    <row r="428" spans="3:85" x14ac:dyDescent="0.25">
      <c r="C428" s="741"/>
      <c r="D428" s="746"/>
      <c r="E428" s="740"/>
      <c r="F428" s="741"/>
      <c r="G428" s="740"/>
      <c r="H428" s="741"/>
      <c r="I428" s="740"/>
      <c r="J428" s="741"/>
      <c r="K428" s="744"/>
      <c r="L428" s="746"/>
      <c r="M428" s="741"/>
      <c r="N428" s="741"/>
      <c r="O428" s="741" t="s">
        <v>18</v>
      </c>
      <c r="P428" s="743">
        <v>0.962121212</v>
      </c>
      <c r="Q428" s="741" t="s">
        <v>7</v>
      </c>
      <c r="R428" s="743">
        <v>0.1893</v>
      </c>
      <c r="S428" s="741"/>
      <c r="T428" s="752">
        <v>0</v>
      </c>
      <c r="U428" s="740"/>
      <c r="V428" s="176">
        <f t="shared" si="550"/>
        <v>0</v>
      </c>
      <c r="W428" s="176">
        <f t="shared" ref="W428:W435" si="631">V428</f>
        <v>0</v>
      </c>
      <c r="X428" s="176">
        <f>W428-W428*Calculation_sheet!O$79</f>
        <v>0</v>
      </c>
      <c r="Y428" s="34">
        <f>X428/Calculation_sheet!M$67</f>
        <v>0</v>
      </c>
      <c r="Z428" s="176">
        <f ca="1">IF(AN428&gt;0,Y428*Calculation_sheet!C$87,0)</f>
        <v>0</v>
      </c>
      <c r="AA428" s="176">
        <f t="shared" ca="1" si="618"/>
        <v>0</v>
      </c>
      <c r="AB428" s="176">
        <f ca="1">IF(AP428&gt;0,AA428*Calculation_sheet!C$94,0)</f>
        <v>0</v>
      </c>
      <c r="AC428" s="176">
        <f t="shared" ca="1" si="619"/>
        <v>0</v>
      </c>
      <c r="AD428" s="958">
        <f ca="1">AC428*Calculation_sheet!C$99</f>
        <v>0</v>
      </c>
      <c r="AE428" s="176">
        <f t="shared" ca="1" si="619"/>
        <v>0</v>
      </c>
      <c r="AF428" s="176">
        <f t="shared" ca="1" si="620"/>
        <v>0</v>
      </c>
      <c r="AG428" s="958">
        <f ca="1">AF428*User_sheet!B$77/100</f>
        <v>0</v>
      </c>
      <c r="AH428" s="313"/>
      <c r="AI428" s="3">
        <v>304</v>
      </c>
      <c r="AK428" s="1018">
        <f t="shared" ca="1" si="581"/>
        <v>160.42911704963586</v>
      </c>
      <c r="AL428" s="924">
        <f ca="1">AK428/'304'!I$24</f>
        <v>0.63444572024454104</v>
      </c>
      <c r="AM428" s="924">
        <f ca="1">0.8*(AK428*30+'304'!D$17*0.34*30*1)</f>
        <v>8018.5206491912604</v>
      </c>
      <c r="AN428" s="954">
        <f ca="1">IF(AM428&lt;User_sheet!B$50,Y428,0)</f>
        <v>0</v>
      </c>
      <c r="AO428" s="954">
        <f ca="1">20-(User_sheet!B$57/(AK428+'304'!D$17*1*0.34))</f>
        <v>2.9394964501591083</v>
      </c>
      <c r="AP428" s="954">
        <f ca="1">IF(AO428&lt;User_sheet!B$59,0,BC428*AA428)</f>
        <v>0</v>
      </c>
      <c r="AR428" s="2">
        <v>0.47</v>
      </c>
      <c r="AS428" s="2">
        <v>0.54</v>
      </c>
      <c r="AT428" s="2">
        <v>0.45</v>
      </c>
      <c r="AU428" s="2">
        <v>2</v>
      </c>
      <c r="AV428" s="2">
        <v>3.3</v>
      </c>
      <c r="AW428" s="2">
        <v>12848.541887298286</v>
      </c>
      <c r="AX428" s="2">
        <v>75022.04959166942</v>
      </c>
      <c r="AY428" s="2">
        <v>65937.809199439725</v>
      </c>
      <c r="AZ428" s="27">
        <v>0</v>
      </c>
      <c r="BA428" s="27">
        <v>0</v>
      </c>
      <c r="BB428" s="2">
        <v>0.6</v>
      </c>
      <c r="BC428" s="30">
        <v>1</v>
      </c>
      <c r="BD428" s="34">
        <v>0</v>
      </c>
      <c r="BE428" s="34">
        <v>0</v>
      </c>
      <c r="BF428" s="40">
        <v>0</v>
      </c>
      <c r="BG428" s="2">
        <v>1</v>
      </c>
      <c r="BH428" s="2">
        <v>0</v>
      </c>
      <c r="BI428" s="40">
        <v>0</v>
      </c>
      <c r="BJ428" s="2">
        <v>0</v>
      </c>
      <c r="BK428" s="2">
        <v>0</v>
      </c>
      <c r="BL428" s="2">
        <v>1</v>
      </c>
      <c r="BM428" s="40">
        <v>0</v>
      </c>
      <c r="BN428" s="958">
        <v>0.1</v>
      </c>
      <c r="BO428" s="50">
        <v>10</v>
      </c>
      <c r="BP428" s="1018">
        <f t="shared" ca="1" si="621"/>
        <v>206.38</v>
      </c>
      <c r="BQ428" s="1018">
        <f t="shared" ca="1" si="622"/>
        <v>308.92399999999992</v>
      </c>
      <c r="BR428" s="1018">
        <f t="shared" ca="1" si="623"/>
        <v>90.07</v>
      </c>
      <c r="BS428" s="1018">
        <f t="shared" ca="1" si="624"/>
        <v>65.974999999999994</v>
      </c>
      <c r="BT428" s="1018">
        <f t="shared" ca="1" si="625"/>
        <v>78.88</v>
      </c>
      <c r="BU428" s="1018">
        <f t="shared" ca="1" si="626"/>
        <v>18</v>
      </c>
      <c r="BV428" s="1018">
        <f t="shared" ca="1" si="627"/>
        <v>7.5250000000000004</v>
      </c>
      <c r="BW428" s="1018">
        <v>0</v>
      </c>
      <c r="BX428" s="1018">
        <f t="shared" ca="1" si="628"/>
        <v>39.143971150289723</v>
      </c>
      <c r="BY428" s="1018">
        <f t="shared" ca="1" si="629"/>
        <v>32.577267739575717</v>
      </c>
      <c r="BZ428" s="1018">
        <f t="shared" ca="1" si="582"/>
        <v>10.866122448979594</v>
      </c>
      <c r="CA428" s="1018">
        <f t="shared" ca="1" si="583"/>
        <v>35.999999985599999</v>
      </c>
      <c r="CB428" s="1018">
        <f t="shared" ca="1" si="630"/>
        <v>15.79675572519084</v>
      </c>
      <c r="CC428" s="1018">
        <f t="shared" si="584"/>
        <v>0</v>
      </c>
      <c r="CD428" s="1018">
        <f t="shared" ref="CD428:CD435" ca="1" si="632">SUM(BX428:CC428)+(BR428+BS428+BT428+BU428+BV428)*BN428</f>
        <v>160.42911704963586</v>
      </c>
      <c r="CE428" s="1018">
        <f t="shared" ca="1" si="563"/>
        <v>73.770479255404439</v>
      </c>
      <c r="CF428" s="1018">
        <f t="shared" ca="1" si="586"/>
        <v>7.0259878891512093</v>
      </c>
      <c r="CG428" s="1018">
        <f t="shared" ca="1" si="587"/>
        <v>11697.988795921196</v>
      </c>
    </row>
    <row r="429" spans="3:85" x14ac:dyDescent="0.25">
      <c r="C429" s="741"/>
      <c r="D429" s="746"/>
      <c r="E429" s="740"/>
      <c r="F429" s="741"/>
      <c r="G429" s="740"/>
      <c r="H429" s="741"/>
      <c r="I429" s="740"/>
      <c r="J429" s="741"/>
      <c r="K429" s="744"/>
      <c r="L429" s="746"/>
      <c r="M429" s="741"/>
      <c r="N429" s="741"/>
      <c r="O429" s="741"/>
      <c r="P429" s="741"/>
      <c r="Q429" s="741" t="s">
        <v>16</v>
      </c>
      <c r="R429" s="743">
        <v>0.81069999999999998</v>
      </c>
      <c r="S429" s="741"/>
      <c r="T429" s="752">
        <v>0</v>
      </c>
      <c r="U429" s="740"/>
      <c r="V429" s="176">
        <f t="shared" si="550"/>
        <v>0</v>
      </c>
      <c r="W429" s="176">
        <f t="shared" si="631"/>
        <v>0</v>
      </c>
      <c r="X429" s="176">
        <f>W429-W429*Calculation_sheet!O$79</f>
        <v>0</v>
      </c>
      <c r="Y429" s="34">
        <f>X429/Calculation_sheet!M$67</f>
        <v>0</v>
      </c>
      <c r="Z429" s="176">
        <f ca="1">IF(AN429&gt;0,Y429*Calculation_sheet!C$87,0)</f>
        <v>0</v>
      </c>
      <c r="AA429" s="176">
        <f t="shared" ca="1" si="618"/>
        <v>0</v>
      </c>
      <c r="AB429" s="176">
        <f ca="1">IF(AP429&gt;0,AA429*Calculation_sheet!C$94,0)</f>
        <v>0</v>
      </c>
      <c r="AC429" s="176">
        <f t="shared" ca="1" si="619"/>
        <v>0</v>
      </c>
      <c r="AD429" s="958">
        <f ca="1">AC429*Calculation_sheet!C$99</f>
        <v>0</v>
      </c>
      <c r="AE429" s="176">
        <f t="shared" ca="1" si="619"/>
        <v>0</v>
      </c>
      <c r="AF429" s="176">
        <f t="shared" ca="1" si="620"/>
        <v>0</v>
      </c>
      <c r="AG429" s="958">
        <f ca="1">AF429*User_sheet!B$77/100</f>
        <v>0</v>
      </c>
      <c r="AH429" s="313"/>
      <c r="AI429" s="3">
        <v>304</v>
      </c>
      <c r="AK429" s="1018">
        <f t="shared" ca="1" si="581"/>
        <v>160.42911704963586</v>
      </c>
      <c r="AL429" s="924">
        <f ca="1">AK429/'304'!I$24</f>
        <v>0.63444572024454104</v>
      </c>
      <c r="AM429" s="924">
        <f ca="1">0.8*(AK429*30+'304'!D$17*0.34*30*1)</f>
        <v>8018.5206491912604</v>
      </c>
      <c r="AN429" s="954">
        <f ca="1">IF(AM429&lt;User_sheet!B$50,Y429,0)</f>
        <v>0</v>
      </c>
      <c r="AO429" s="954">
        <f ca="1">20-(User_sheet!B$57/(AK429+'304'!D$17*1*0.34))</f>
        <v>2.9394964501591083</v>
      </c>
      <c r="AP429" s="954">
        <f ca="1">IF(AO429&lt;User_sheet!B$59,0,BC429*AA429)</f>
        <v>0</v>
      </c>
      <c r="AR429" s="2">
        <v>0.47</v>
      </c>
      <c r="AS429" s="2">
        <v>0.54</v>
      </c>
      <c r="AT429" s="2">
        <v>0.45</v>
      </c>
      <c r="AU429" s="2">
        <v>2</v>
      </c>
      <c r="AV429" s="2">
        <v>3.3</v>
      </c>
      <c r="AW429" s="2">
        <v>12848.541887298286</v>
      </c>
      <c r="AX429" s="2">
        <v>75022.04959166942</v>
      </c>
      <c r="AY429" s="2">
        <v>65937.809199439725</v>
      </c>
      <c r="AZ429" s="27">
        <v>0</v>
      </c>
      <c r="BA429" s="27">
        <v>0</v>
      </c>
      <c r="BB429" s="2">
        <v>0.6</v>
      </c>
      <c r="BC429" s="30">
        <v>1</v>
      </c>
      <c r="BD429" s="34">
        <v>0</v>
      </c>
      <c r="BE429" s="34">
        <v>0</v>
      </c>
      <c r="BF429" s="40">
        <v>0</v>
      </c>
      <c r="BG429" s="2">
        <v>0</v>
      </c>
      <c r="BH429" s="2">
        <v>1</v>
      </c>
      <c r="BI429" s="40">
        <v>0</v>
      </c>
      <c r="BJ429" s="2">
        <v>1</v>
      </c>
      <c r="BK429" s="2">
        <v>0</v>
      </c>
      <c r="BL429" s="2">
        <v>0</v>
      </c>
      <c r="BM429" s="40">
        <v>0</v>
      </c>
      <c r="BN429" s="958">
        <v>0.1</v>
      </c>
      <c r="BO429" s="50">
        <v>10</v>
      </c>
      <c r="BP429" s="1018">
        <f t="shared" ca="1" si="621"/>
        <v>206.38</v>
      </c>
      <c r="BQ429" s="1018">
        <f t="shared" ca="1" si="622"/>
        <v>308.92399999999992</v>
      </c>
      <c r="BR429" s="1018">
        <f t="shared" ca="1" si="623"/>
        <v>90.07</v>
      </c>
      <c r="BS429" s="1018">
        <f t="shared" ca="1" si="624"/>
        <v>65.974999999999994</v>
      </c>
      <c r="BT429" s="1018">
        <f t="shared" ca="1" si="625"/>
        <v>78.88</v>
      </c>
      <c r="BU429" s="1018">
        <f t="shared" ca="1" si="626"/>
        <v>18</v>
      </c>
      <c r="BV429" s="1018">
        <f t="shared" ca="1" si="627"/>
        <v>7.5250000000000004</v>
      </c>
      <c r="BW429" s="1018">
        <v>0</v>
      </c>
      <c r="BX429" s="1018">
        <f t="shared" ca="1" si="628"/>
        <v>39.143971150289723</v>
      </c>
      <c r="BY429" s="1018">
        <f t="shared" ca="1" si="629"/>
        <v>32.577267739575717</v>
      </c>
      <c r="BZ429" s="1018">
        <f t="shared" ca="1" si="582"/>
        <v>10.866122448979594</v>
      </c>
      <c r="CA429" s="1018">
        <f t="shared" ca="1" si="583"/>
        <v>35.999999985599999</v>
      </c>
      <c r="CB429" s="1018">
        <f t="shared" ca="1" si="630"/>
        <v>15.79675572519084</v>
      </c>
      <c r="CC429" s="1018">
        <f t="shared" si="584"/>
        <v>0</v>
      </c>
      <c r="CD429" s="1018">
        <f t="shared" ca="1" si="632"/>
        <v>160.42911704963586</v>
      </c>
      <c r="CE429" s="1018">
        <f t="shared" ca="1" si="563"/>
        <v>73.770479255404439</v>
      </c>
      <c r="CF429" s="1018">
        <f t="shared" ca="1" si="586"/>
        <v>7.0259878891512093</v>
      </c>
      <c r="CG429" s="1018">
        <f t="shared" ca="1" si="587"/>
        <v>11697.988795921196</v>
      </c>
    </row>
    <row r="430" spans="3:85" x14ac:dyDescent="0.25">
      <c r="C430" s="741"/>
      <c r="D430" s="746"/>
      <c r="E430" s="740"/>
      <c r="F430" s="741"/>
      <c r="G430" s="740"/>
      <c r="H430" s="741"/>
      <c r="I430" s="740"/>
      <c r="J430" s="741"/>
      <c r="K430" s="744"/>
      <c r="L430" s="746"/>
      <c r="M430" s="741" t="s">
        <v>16</v>
      </c>
      <c r="N430" s="743">
        <v>0.5</v>
      </c>
      <c r="O430" s="741" t="s">
        <v>19</v>
      </c>
      <c r="P430" s="743">
        <v>3.7878787999999997E-2</v>
      </c>
      <c r="Q430" s="741" t="s">
        <v>7</v>
      </c>
      <c r="R430" s="743">
        <v>0.1893</v>
      </c>
      <c r="S430" s="741"/>
      <c r="T430" s="752">
        <v>0</v>
      </c>
      <c r="U430" s="740"/>
      <c r="V430" s="176">
        <f t="shared" si="550"/>
        <v>0</v>
      </c>
      <c r="W430" s="176">
        <f t="shared" si="631"/>
        <v>0</v>
      </c>
      <c r="X430" s="176">
        <f>W430-W430*Calculation_sheet!O$79</f>
        <v>0</v>
      </c>
      <c r="Y430" s="34">
        <f>X430/Calculation_sheet!M$67</f>
        <v>0</v>
      </c>
      <c r="Z430" s="176">
        <f ca="1">IF(AN430&gt;0,Y430*Calculation_sheet!C$87,0)</f>
        <v>0</v>
      </c>
      <c r="AA430" s="176">
        <f t="shared" ca="1" si="618"/>
        <v>0</v>
      </c>
      <c r="AB430" s="176">
        <f ca="1">IF(AP430&gt;0,AA430*Calculation_sheet!C$94,0)</f>
        <v>0</v>
      </c>
      <c r="AC430" s="176">
        <f t="shared" ca="1" si="619"/>
        <v>0</v>
      </c>
      <c r="AD430" s="958">
        <f ca="1">AC430*Calculation_sheet!C$99</f>
        <v>0</v>
      </c>
      <c r="AE430" s="176">
        <f t="shared" ca="1" si="619"/>
        <v>0</v>
      </c>
      <c r="AF430" s="176">
        <f t="shared" ca="1" si="620"/>
        <v>0</v>
      </c>
      <c r="AG430" s="958">
        <f ca="1">AF430*User_sheet!B$77/100</f>
        <v>0</v>
      </c>
      <c r="AH430" s="313"/>
      <c r="AI430" s="3">
        <v>304</v>
      </c>
      <c r="AK430" s="1018">
        <f t="shared" ca="1" si="581"/>
        <v>160.42911704963586</v>
      </c>
      <c r="AL430" s="924">
        <f ca="1">AK430/'304'!I$24</f>
        <v>0.63444572024454104</v>
      </c>
      <c r="AM430" s="924">
        <f ca="1">0.8*(AK430*30+'304'!D$17*0.34*30*1)</f>
        <v>8018.5206491912604</v>
      </c>
      <c r="AN430" s="954">
        <f ca="1">IF(AM430&lt;User_sheet!B$50,Y430,0)</f>
        <v>0</v>
      </c>
      <c r="AO430" s="954">
        <f ca="1">20-(User_sheet!B$57/(AK430+'304'!D$17*1*0.34))</f>
        <v>2.9394964501591083</v>
      </c>
      <c r="AP430" s="954">
        <f ca="1">IF(AO430&lt;User_sheet!B$59,0,BC430*AA430)</f>
        <v>0</v>
      </c>
      <c r="AR430" s="2">
        <v>0.47</v>
      </c>
      <c r="AS430" s="2">
        <v>0.54</v>
      </c>
      <c r="AT430" s="2">
        <v>0.45</v>
      </c>
      <c r="AU430" s="2">
        <v>2</v>
      </c>
      <c r="AV430" s="2">
        <v>3.3</v>
      </c>
      <c r="AW430" s="2">
        <v>12848.541887298286</v>
      </c>
      <c r="AX430" s="2">
        <v>75022.04959166942</v>
      </c>
      <c r="AY430" s="2">
        <v>65937.809199439725</v>
      </c>
      <c r="AZ430" s="27">
        <v>0</v>
      </c>
      <c r="BA430" s="27">
        <v>0</v>
      </c>
      <c r="BB430" s="2">
        <v>0.6</v>
      </c>
      <c r="BC430" s="30">
        <v>1</v>
      </c>
      <c r="BD430" s="34">
        <v>0</v>
      </c>
      <c r="BE430" s="34">
        <v>0</v>
      </c>
      <c r="BF430" s="40">
        <v>0</v>
      </c>
      <c r="BG430" s="2">
        <v>0</v>
      </c>
      <c r="BH430" s="2">
        <v>1</v>
      </c>
      <c r="BI430" s="40">
        <v>0</v>
      </c>
      <c r="BJ430" s="2">
        <v>0</v>
      </c>
      <c r="BK430" s="2">
        <v>0</v>
      </c>
      <c r="BL430" s="2">
        <v>1</v>
      </c>
      <c r="BM430" s="40">
        <v>0</v>
      </c>
      <c r="BN430" s="958">
        <v>0.1</v>
      </c>
      <c r="BO430" s="50">
        <v>10</v>
      </c>
      <c r="BP430" s="1018">
        <f t="shared" ca="1" si="621"/>
        <v>206.38</v>
      </c>
      <c r="BQ430" s="1018">
        <f t="shared" ca="1" si="622"/>
        <v>308.92399999999992</v>
      </c>
      <c r="BR430" s="1018">
        <f t="shared" ca="1" si="623"/>
        <v>90.07</v>
      </c>
      <c r="BS430" s="1018">
        <f t="shared" ca="1" si="624"/>
        <v>65.974999999999994</v>
      </c>
      <c r="BT430" s="1018">
        <f t="shared" ca="1" si="625"/>
        <v>78.88</v>
      </c>
      <c r="BU430" s="1018">
        <f t="shared" ca="1" si="626"/>
        <v>18</v>
      </c>
      <c r="BV430" s="1018">
        <f t="shared" ca="1" si="627"/>
        <v>7.5250000000000004</v>
      </c>
      <c r="BW430" s="1018">
        <v>0</v>
      </c>
      <c r="BX430" s="1018">
        <f t="shared" ca="1" si="628"/>
        <v>39.143971150289723</v>
      </c>
      <c r="BY430" s="1018">
        <f t="shared" ca="1" si="629"/>
        <v>32.577267739575717</v>
      </c>
      <c r="BZ430" s="1018">
        <f t="shared" ca="1" si="582"/>
        <v>10.866122448979594</v>
      </c>
      <c r="CA430" s="1018">
        <f t="shared" ca="1" si="583"/>
        <v>35.999999985599999</v>
      </c>
      <c r="CB430" s="1018">
        <f t="shared" ca="1" si="630"/>
        <v>15.79675572519084</v>
      </c>
      <c r="CC430" s="1018">
        <f t="shared" si="584"/>
        <v>0</v>
      </c>
      <c r="CD430" s="1018">
        <f t="shared" ca="1" si="632"/>
        <v>160.42911704963586</v>
      </c>
      <c r="CE430" s="1018">
        <f t="shared" ca="1" si="563"/>
        <v>73.770479255404439</v>
      </c>
      <c r="CF430" s="1018">
        <f t="shared" ca="1" si="586"/>
        <v>7.0259878891512093</v>
      </c>
      <c r="CG430" s="1018">
        <f t="shared" ca="1" si="587"/>
        <v>11697.988795921196</v>
      </c>
    </row>
    <row r="431" spans="3:85" x14ac:dyDescent="0.25">
      <c r="C431" s="741"/>
      <c r="D431" s="746"/>
      <c r="E431" s="740"/>
      <c r="F431" s="741"/>
      <c r="G431" s="740"/>
      <c r="H431" s="741"/>
      <c r="I431" s="740"/>
      <c r="J431" s="741"/>
      <c r="K431" s="744"/>
      <c r="L431" s="746"/>
      <c r="M431" s="741"/>
      <c r="N431" s="741"/>
      <c r="O431" s="741"/>
      <c r="P431" s="741"/>
      <c r="Q431" s="741" t="s">
        <v>22</v>
      </c>
      <c r="R431" s="743">
        <v>0.81</v>
      </c>
      <c r="S431" s="741"/>
      <c r="T431" s="752">
        <v>0</v>
      </c>
      <c r="U431" s="740"/>
      <c r="V431" s="176">
        <f t="shared" si="550"/>
        <v>0</v>
      </c>
      <c r="W431" s="176">
        <f t="shared" si="631"/>
        <v>0</v>
      </c>
      <c r="X431" s="176">
        <f>W431-W431*Calculation_sheet!O$79</f>
        <v>0</v>
      </c>
      <c r="Y431" s="34">
        <f>X431/Calculation_sheet!M$67</f>
        <v>0</v>
      </c>
      <c r="Z431" s="176">
        <f ca="1">IF(AN431&gt;0,Y431*Calculation_sheet!C$87,0)</f>
        <v>0</v>
      </c>
      <c r="AA431" s="176">
        <f t="shared" ca="1" si="618"/>
        <v>0</v>
      </c>
      <c r="AB431" s="176">
        <f ca="1">IF(AP431&gt;0,AA431*Calculation_sheet!C$94,0)</f>
        <v>0</v>
      </c>
      <c r="AC431" s="176">
        <f t="shared" ca="1" si="619"/>
        <v>0</v>
      </c>
      <c r="AD431" s="958">
        <f ca="1">AC431*Calculation_sheet!C$99</f>
        <v>0</v>
      </c>
      <c r="AE431" s="176">
        <f t="shared" ca="1" si="619"/>
        <v>0</v>
      </c>
      <c r="AF431" s="176">
        <f t="shared" ca="1" si="620"/>
        <v>0</v>
      </c>
      <c r="AG431" s="958">
        <f ca="1">AF431*User_sheet!B$77/100</f>
        <v>0</v>
      </c>
      <c r="AH431" s="313"/>
      <c r="AI431" s="3">
        <v>304</v>
      </c>
      <c r="AK431" s="1018">
        <f t="shared" ca="1" si="581"/>
        <v>160.42911704963586</v>
      </c>
      <c r="AL431" s="924">
        <f ca="1">AK431/'304'!I$24</f>
        <v>0.63444572024454104</v>
      </c>
      <c r="AM431" s="924">
        <f ca="1">0.8*(AK431*30+'304'!D$17*0.34*30*1)</f>
        <v>8018.5206491912604</v>
      </c>
      <c r="AN431" s="954">
        <f ca="1">IF(AM431&lt;User_sheet!B$50,Y431,0)</f>
        <v>0</v>
      </c>
      <c r="AO431" s="954">
        <f ca="1">20-(User_sheet!B$57/(AK431+'304'!D$17*1*0.34))</f>
        <v>2.9394964501591083</v>
      </c>
      <c r="AP431" s="954">
        <f ca="1">IF(AO431&lt;User_sheet!B$59,0,BC431*AA431)</f>
        <v>0</v>
      </c>
      <c r="AR431" s="2">
        <v>0.47</v>
      </c>
      <c r="AS431" s="2">
        <v>0.54</v>
      </c>
      <c r="AT431" s="2">
        <v>0.45</v>
      </c>
      <c r="AU431" s="2">
        <v>2</v>
      </c>
      <c r="AV431" s="2">
        <v>3.3</v>
      </c>
      <c r="AW431" s="2">
        <v>12848.541887298286</v>
      </c>
      <c r="AX431" s="2">
        <v>75022.04959166942</v>
      </c>
      <c r="AY431" s="2">
        <v>65937.809199439725</v>
      </c>
      <c r="AZ431" s="27">
        <v>0</v>
      </c>
      <c r="BA431" s="27">
        <v>0</v>
      </c>
      <c r="BB431" s="2">
        <v>0.6</v>
      </c>
      <c r="BC431" s="30">
        <v>0</v>
      </c>
      <c r="BD431" s="34">
        <v>1</v>
      </c>
      <c r="BE431" s="34">
        <v>0</v>
      </c>
      <c r="BF431" s="40">
        <v>0</v>
      </c>
      <c r="BG431" s="2">
        <v>1</v>
      </c>
      <c r="BH431" s="2">
        <v>0</v>
      </c>
      <c r="BI431" s="40">
        <v>0</v>
      </c>
      <c r="BJ431" s="2">
        <v>0</v>
      </c>
      <c r="BK431" s="2">
        <v>1</v>
      </c>
      <c r="BL431" s="2">
        <v>0</v>
      </c>
      <c r="BM431" s="40">
        <v>0</v>
      </c>
      <c r="BN431" s="958">
        <v>0.1</v>
      </c>
      <c r="BO431" s="50">
        <v>10</v>
      </c>
      <c r="BP431" s="1018">
        <f t="shared" ca="1" si="621"/>
        <v>206.38</v>
      </c>
      <c r="BQ431" s="1018">
        <f t="shared" ca="1" si="622"/>
        <v>308.92399999999992</v>
      </c>
      <c r="BR431" s="1018">
        <f t="shared" ca="1" si="623"/>
        <v>90.07</v>
      </c>
      <c r="BS431" s="1018">
        <f t="shared" ca="1" si="624"/>
        <v>65.974999999999994</v>
      </c>
      <c r="BT431" s="1018">
        <f t="shared" ca="1" si="625"/>
        <v>78.88</v>
      </c>
      <c r="BU431" s="1018">
        <f t="shared" ca="1" si="626"/>
        <v>18</v>
      </c>
      <c r="BV431" s="1018">
        <f t="shared" ca="1" si="627"/>
        <v>7.5250000000000004</v>
      </c>
      <c r="BW431" s="1018">
        <v>0</v>
      </c>
      <c r="BX431" s="1018">
        <f t="shared" ca="1" si="628"/>
        <v>39.143971150289723</v>
      </c>
      <c r="BY431" s="1018">
        <f t="shared" ca="1" si="629"/>
        <v>32.577267739575717</v>
      </c>
      <c r="BZ431" s="1018">
        <f t="shared" ca="1" si="582"/>
        <v>10.866122448979594</v>
      </c>
      <c r="CA431" s="1018">
        <f t="shared" ca="1" si="583"/>
        <v>35.999999985599999</v>
      </c>
      <c r="CB431" s="1018">
        <f t="shared" ca="1" si="630"/>
        <v>15.79675572519084</v>
      </c>
      <c r="CC431" s="1018">
        <f t="shared" si="584"/>
        <v>0</v>
      </c>
      <c r="CD431" s="1018">
        <f t="shared" ca="1" si="632"/>
        <v>160.42911704963586</v>
      </c>
      <c r="CE431" s="1018">
        <f t="shared" ca="1" si="563"/>
        <v>73.770479255404439</v>
      </c>
      <c r="CF431" s="1018">
        <f t="shared" ca="1" si="586"/>
        <v>7.0259878891512093</v>
      </c>
      <c r="CG431" s="1018">
        <f t="shared" ca="1" si="587"/>
        <v>11697.988795921196</v>
      </c>
    </row>
    <row r="432" spans="3:85" x14ac:dyDescent="0.25">
      <c r="C432" s="741"/>
      <c r="D432" s="746"/>
      <c r="E432" s="740"/>
      <c r="F432" s="741"/>
      <c r="G432" s="740"/>
      <c r="H432" s="741"/>
      <c r="I432" s="740"/>
      <c r="J432" s="741"/>
      <c r="K432" s="744"/>
      <c r="L432" s="746"/>
      <c r="M432" s="741"/>
      <c r="N432" s="741"/>
      <c r="O432" s="741" t="s">
        <v>18</v>
      </c>
      <c r="P432" s="743">
        <v>0.96078431399999997</v>
      </c>
      <c r="Q432" s="741" t="s">
        <v>7</v>
      </c>
      <c r="R432" s="743">
        <v>0.19</v>
      </c>
      <c r="S432" s="741"/>
      <c r="T432" s="752">
        <v>0</v>
      </c>
      <c r="U432" s="740"/>
      <c r="V432" s="176">
        <f t="shared" si="550"/>
        <v>0</v>
      </c>
      <c r="W432" s="176">
        <f t="shared" si="631"/>
        <v>0</v>
      </c>
      <c r="X432" s="176">
        <f>W432-W432*Calculation_sheet!O$79</f>
        <v>0</v>
      </c>
      <c r="Y432" s="34">
        <f>X432/Calculation_sheet!M$67</f>
        <v>0</v>
      </c>
      <c r="Z432" s="176">
        <f ca="1">IF(AN432&gt;0,Y432*Calculation_sheet!C$87,0)</f>
        <v>0</v>
      </c>
      <c r="AA432" s="176">
        <f t="shared" ca="1" si="618"/>
        <v>0</v>
      </c>
      <c r="AB432" s="176">
        <f ca="1">IF(AP432&gt;0,AA432*Calculation_sheet!C$94,0)</f>
        <v>0</v>
      </c>
      <c r="AC432" s="176">
        <f t="shared" ca="1" si="619"/>
        <v>0</v>
      </c>
      <c r="AD432" s="958">
        <f ca="1">AC432*Calculation_sheet!C$99</f>
        <v>0</v>
      </c>
      <c r="AE432" s="176">
        <f t="shared" ca="1" si="619"/>
        <v>0</v>
      </c>
      <c r="AF432" s="176">
        <f t="shared" ca="1" si="620"/>
        <v>0</v>
      </c>
      <c r="AG432" s="958">
        <f ca="1">AF432*User_sheet!B$77/100</f>
        <v>0</v>
      </c>
      <c r="AH432" s="313"/>
      <c r="AI432" s="3">
        <v>304</v>
      </c>
      <c r="AK432" s="1018">
        <f t="shared" ca="1" si="581"/>
        <v>160.42911704963586</v>
      </c>
      <c r="AL432" s="924">
        <f ca="1">AK432/'304'!I$24</f>
        <v>0.63444572024454104</v>
      </c>
      <c r="AM432" s="924">
        <f ca="1">0.8*(AK432*30+'304'!D$17*0.34*30*1)</f>
        <v>8018.5206491912604</v>
      </c>
      <c r="AN432" s="954">
        <f ca="1">IF(AM432&lt;User_sheet!B$50,Y432,0)</f>
        <v>0</v>
      </c>
      <c r="AO432" s="954">
        <f ca="1">20-(User_sheet!B$57/(AK432+'304'!D$17*1*0.34))</f>
        <v>2.9394964501591083</v>
      </c>
      <c r="AP432" s="954">
        <f ca="1">IF(AO432&lt;User_sheet!B$59,0,BC432*AA432)</f>
        <v>0</v>
      </c>
      <c r="AR432" s="2">
        <v>0.47</v>
      </c>
      <c r="AS432" s="2">
        <v>0.54</v>
      </c>
      <c r="AT432" s="2">
        <v>0.45</v>
      </c>
      <c r="AU432" s="2">
        <v>2</v>
      </c>
      <c r="AV432" s="2">
        <v>3.3</v>
      </c>
      <c r="AW432" s="2">
        <v>12848.541887298286</v>
      </c>
      <c r="AX432" s="2">
        <v>75022.04959166942</v>
      </c>
      <c r="AY432" s="2">
        <v>65937.809199439725</v>
      </c>
      <c r="AZ432" s="27">
        <v>0</v>
      </c>
      <c r="BA432" s="27">
        <v>0</v>
      </c>
      <c r="BB432" s="2">
        <v>0.6</v>
      </c>
      <c r="BC432" s="30">
        <v>0</v>
      </c>
      <c r="BD432" s="34">
        <v>1</v>
      </c>
      <c r="BE432" s="34">
        <v>0</v>
      </c>
      <c r="BF432" s="40">
        <v>0</v>
      </c>
      <c r="BG432" s="2">
        <v>1</v>
      </c>
      <c r="BH432" s="2">
        <v>0</v>
      </c>
      <c r="BI432" s="40">
        <v>0</v>
      </c>
      <c r="BJ432" s="2">
        <v>0</v>
      </c>
      <c r="BK432" s="2">
        <v>0</v>
      </c>
      <c r="BL432" s="2">
        <v>1</v>
      </c>
      <c r="BM432" s="40">
        <v>0</v>
      </c>
      <c r="BN432" s="958">
        <v>0.1</v>
      </c>
      <c r="BO432" s="50">
        <v>10</v>
      </c>
      <c r="BP432" s="1018">
        <f t="shared" ca="1" si="621"/>
        <v>206.38</v>
      </c>
      <c r="BQ432" s="1018">
        <f t="shared" ca="1" si="622"/>
        <v>308.92399999999992</v>
      </c>
      <c r="BR432" s="1018">
        <f t="shared" ca="1" si="623"/>
        <v>90.07</v>
      </c>
      <c r="BS432" s="1018">
        <f t="shared" ca="1" si="624"/>
        <v>65.974999999999994</v>
      </c>
      <c r="BT432" s="1018">
        <f t="shared" ca="1" si="625"/>
        <v>78.88</v>
      </c>
      <c r="BU432" s="1018">
        <f t="shared" ca="1" si="626"/>
        <v>18</v>
      </c>
      <c r="BV432" s="1018">
        <f t="shared" ca="1" si="627"/>
        <v>7.5250000000000004</v>
      </c>
      <c r="BW432" s="1018">
        <v>0</v>
      </c>
      <c r="BX432" s="1018">
        <f t="shared" ca="1" si="628"/>
        <v>39.143971150289723</v>
      </c>
      <c r="BY432" s="1018">
        <f t="shared" ca="1" si="629"/>
        <v>32.577267739575717</v>
      </c>
      <c r="BZ432" s="1018">
        <f t="shared" ca="1" si="582"/>
        <v>10.866122448979594</v>
      </c>
      <c r="CA432" s="1018">
        <f t="shared" ca="1" si="583"/>
        <v>35.999999985599999</v>
      </c>
      <c r="CB432" s="1018">
        <f t="shared" ca="1" si="630"/>
        <v>15.79675572519084</v>
      </c>
      <c r="CC432" s="1018">
        <f t="shared" si="584"/>
        <v>0</v>
      </c>
      <c r="CD432" s="1018">
        <f t="shared" ca="1" si="632"/>
        <v>160.42911704963586</v>
      </c>
      <c r="CE432" s="1018">
        <f t="shared" ca="1" si="563"/>
        <v>73.770479255404439</v>
      </c>
      <c r="CF432" s="1018">
        <f t="shared" ca="1" si="586"/>
        <v>7.0259878891512093</v>
      </c>
      <c r="CG432" s="1018">
        <f t="shared" ca="1" si="587"/>
        <v>11697.988795921196</v>
      </c>
    </row>
    <row r="433" spans="3:85" x14ac:dyDescent="0.25">
      <c r="C433" s="741"/>
      <c r="D433" s="741"/>
      <c r="E433" s="740"/>
      <c r="F433" s="741"/>
      <c r="G433" s="740" t="s">
        <v>9</v>
      </c>
      <c r="H433" s="745">
        <v>0.74940000000000007</v>
      </c>
      <c r="I433" s="740"/>
      <c r="J433" s="741"/>
      <c r="K433" s="740"/>
      <c r="L433" s="740"/>
      <c r="M433" s="741"/>
      <c r="N433" s="741"/>
      <c r="O433" s="741"/>
      <c r="P433" s="741"/>
      <c r="Q433" s="741" t="s">
        <v>22</v>
      </c>
      <c r="R433" s="743">
        <v>0.81</v>
      </c>
      <c r="S433" s="741"/>
      <c r="T433" s="752">
        <v>0</v>
      </c>
      <c r="U433" s="740"/>
      <c r="V433" s="176">
        <f t="shared" si="550"/>
        <v>0</v>
      </c>
      <c r="W433" s="176">
        <f t="shared" si="631"/>
        <v>0</v>
      </c>
      <c r="X433" s="176">
        <f>W433-W433*Calculation_sheet!O$79</f>
        <v>0</v>
      </c>
      <c r="Y433" s="34">
        <f>X433/Calculation_sheet!M$67</f>
        <v>0</v>
      </c>
      <c r="Z433" s="176">
        <f ca="1">IF(AN433&gt;0,Y433*Calculation_sheet!C$87,0)</f>
        <v>0</v>
      </c>
      <c r="AA433" s="176">
        <f t="shared" ca="1" si="618"/>
        <v>0</v>
      </c>
      <c r="AB433" s="176">
        <f ca="1">IF(AP433&gt;0,AA433*Calculation_sheet!C$94,0)</f>
        <v>0</v>
      </c>
      <c r="AC433" s="176">
        <f t="shared" ca="1" si="619"/>
        <v>0</v>
      </c>
      <c r="AD433" s="958">
        <f ca="1">AC433*Calculation_sheet!C$99</f>
        <v>0</v>
      </c>
      <c r="AE433" s="176">
        <f t="shared" ca="1" si="619"/>
        <v>0</v>
      </c>
      <c r="AF433" s="176">
        <f t="shared" ca="1" si="620"/>
        <v>0</v>
      </c>
      <c r="AG433" s="958">
        <f ca="1">AF433*User_sheet!B$77/100</f>
        <v>0</v>
      </c>
      <c r="AH433" s="313"/>
      <c r="AI433" s="3">
        <v>304</v>
      </c>
      <c r="AK433" s="1018">
        <f t="shared" ca="1" si="581"/>
        <v>160.42911704963586</v>
      </c>
      <c r="AL433" s="924">
        <f ca="1">AK433/'304'!I$24</f>
        <v>0.63444572024454104</v>
      </c>
      <c r="AM433" s="924">
        <f ca="1">0.8*(AK433*30+'304'!D$17*0.34*30*1)</f>
        <v>8018.5206491912604</v>
      </c>
      <c r="AN433" s="954">
        <f ca="1">IF(AM433&lt;User_sheet!B$50,Y433,0)</f>
        <v>0</v>
      </c>
      <c r="AO433" s="954">
        <f ca="1">20-(User_sheet!B$57/(AK433+'304'!D$17*1*0.34))</f>
        <v>2.9394964501591083</v>
      </c>
      <c r="AP433" s="954">
        <f ca="1">IF(AO433&lt;User_sheet!B$59,0,BC433*AA433)</f>
        <v>0</v>
      </c>
      <c r="AR433" s="2">
        <v>0.47</v>
      </c>
      <c r="AS433" s="2">
        <v>0.54</v>
      </c>
      <c r="AT433" s="2">
        <v>0.45</v>
      </c>
      <c r="AU433" s="2">
        <v>2</v>
      </c>
      <c r="AV433" s="2">
        <v>3.3</v>
      </c>
      <c r="AW433" s="2">
        <v>12848.541887298286</v>
      </c>
      <c r="AX433" s="2">
        <v>75022.04959166942</v>
      </c>
      <c r="AY433" s="2">
        <v>65937.809199439725</v>
      </c>
      <c r="AZ433" s="27">
        <v>0</v>
      </c>
      <c r="BA433" s="27">
        <v>0</v>
      </c>
      <c r="BB433" s="2">
        <v>0.6</v>
      </c>
      <c r="BC433" s="30">
        <v>0</v>
      </c>
      <c r="BD433" s="34">
        <v>1</v>
      </c>
      <c r="BE433" s="34">
        <v>0</v>
      </c>
      <c r="BF433" s="40">
        <v>0</v>
      </c>
      <c r="BG433" s="2">
        <v>0</v>
      </c>
      <c r="BH433" s="2">
        <v>1</v>
      </c>
      <c r="BI433" s="40">
        <v>0</v>
      </c>
      <c r="BJ433" s="2">
        <v>0</v>
      </c>
      <c r="BK433" s="2">
        <v>1</v>
      </c>
      <c r="BL433" s="2">
        <v>0</v>
      </c>
      <c r="BM433" s="40">
        <v>0</v>
      </c>
      <c r="BN433" s="958">
        <v>0.1</v>
      </c>
      <c r="BO433" s="50">
        <v>10</v>
      </c>
      <c r="BP433" s="1018">
        <f t="shared" ca="1" si="621"/>
        <v>206.38</v>
      </c>
      <c r="BQ433" s="1018">
        <f t="shared" ca="1" si="622"/>
        <v>308.92399999999992</v>
      </c>
      <c r="BR433" s="1018">
        <f t="shared" ca="1" si="623"/>
        <v>90.07</v>
      </c>
      <c r="BS433" s="1018">
        <f t="shared" ca="1" si="624"/>
        <v>65.974999999999994</v>
      </c>
      <c r="BT433" s="1018">
        <f t="shared" ca="1" si="625"/>
        <v>78.88</v>
      </c>
      <c r="BU433" s="1018">
        <f t="shared" ca="1" si="626"/>
        <v>18</v>
      </c>
      <c r="BV433" s="1018">
        <f t="shared" ca="1" si="627"/>
        <v>7.5250000000000004</v>
      </c>
      <c r="BW433" s="1018">
        <v>0</v>
      </c>
      <c r="BX433" s="1018">
        <f t="shared" ca="1" si="628"/>
        <v>39.143971150289723</v>
      </c>
      <c r="BY433" s="1018">
        <f t="shared" ca="1" si="629"/>
        <v>32.577267739575717</v>
      </c>
      <c r="BZ433" s="1018">
        <f t="shared" ca="1" si="582"/>
        <v>10.866122448979594</v>
      </c>
      <c r="CA433" s="1018">
        <f t="shared" ca="1" si="583"/>
        <v>35.999999985599999</v>
      </c>
      <c r="CB433" s="1018">
        <f t="shared" ca="1" si="630"/>
        <v>15.79675572519084</v>
      </c>
      <c r="CC433" s="1018">
        <f t="shared" si="584"/>
        <v>0</v>
      </c>
      <c r="CD433" s="1018">
        <f t="shared" ca="1" si="632"/>
        <v>160.42911704963586</v>
      </c>
      <c r="CE433" s="1018">
        <f t="shared" ca="1" si="563"/>
        <v>73.770479255404439</v>
      </c>
      <c r="CF433" s="1018">
        <f t="shared" ca="1" si="586"/>
        <v>7.0259878891512093</v>
      </c>
      <c r="CG433" s="1018">
        <f t="shared" ca="1" si="587"/>
        <v>11697.988795921196</v>
      </c>
    </row>
    <row r="434" spans="3:85" x14ac:dyDescent="0.25">
      <c r="C434" s="741"/>
      <c r="D434" s="741"/>
      <c r="E434" s="740"/>
      <c r="F434" s="741"/>
      <c r="G434" s="740"/>
      <c r="H434" s="741"/>
      <c r="I434" s="740"/>
      <c r="J434" s="741"/>
      <c r="K434" s="744"/>
      <c r="L434" s="746"/>
      <c r="M434" s="741" t="s">
        <v>22</v>
      </c>
      <c r="N434" s="743">
        <v>0.375</v>
      </c>
      <c r="O434" s="741" t="s">
        <v>20</v>
      </c>
      <c r="P434" s="743">
        <v>3.9215686E-2</v>
      </c>
      <c r="Q434" s="741" t="s">
        <v>7</v>
      </c>
      <c r="R434" s="743">
        <v>0.19</v>
      </c>
      <c r="S434" s="741"/>
      <c r="T434" s="752">
        <v>0</v>
      </c>
      <c r="U434" s="740"/>
      <c r="V434" s="176">
        <f t="shared" si="550"/>
        <v>0</v>
      </c>
      <c r="W434" s="176">
        <f t="shared" si="631"/>
        <v>0</v>
      </c>
      <c r="X434" s="176">
        <f>W434-W434*Calculation_sheet!O$79</f>
        <v>0</v>
      </c>
      <c r="Y434" s="34">
        <f>X434/Calculation_sheet!M$67</f>
        <v>0</v>
      </c>
      <c r="Z434" s="176">
        <f ca="1">IF(AN434&gt;0,Y434*Calculation_sheet!C$87,0)</f>
        <v>0</v>
      </c>
      <c r="AA434" s="176">
        <f t="shared" ca="1" si="618"/>
        <v>0</v>
      </c>
      <c r="AB434" s="176">
        <f ca="1">IF(AP434&gt;0,AA434*Calculation_sheet!C$94,0)</f>
        <v>0</v>
      </c>
      <c r="AC434" s="176">
        <f t="shared" ca="1" si="619"/>
        <v>0</v>
      </c>
      <c r="AD434" s="958">
        <f ca="1">AC434*Calculation_sheet!C$99</f>
        <v>0</v>
      </c>
      <c r="AE434" s="176">
        <f t="shared" ca="1" si="619"/>
        <v>0</v>
      </c>
      <c r="AF434" s="176">
        <f t="shared" ca="1" si="620"/>
        <v>0</v>
      </c>
      <c r="AG434" s="958">
        <f ca="1">AF434*User_sheet!B$77/100</f>
        <v>0</v>
      </c>
      <c r="AH434" s="313"/>
      <c r="AI434" s="3">
        <v>304</v>
      </c>
      <c r="AK434" s="1018">
        <f t="shared" ca="1" si="581"/>
        <v>160.42911704963586</v>
      </c>
      <c r="AL434" s="924">
        <f ca="1">AK434/'304'!I$24</f>
        <v>0.63444572024454104</v>
      </c>
      <c r="AM434" s="924">
        <f ca="1">0.8*(AK434*30+'304'!D$17*0.34*30*1)</f>
        <v>8018.5206491912604</v>
      </c>
      <c r="AN434" s="954">
        <f ca="1">IF(AM434&lt;User_sheet!B$50,Y434,0)</f>
        <v>0</v>
      </c>
      <c r="AO434" s="954">
        <f ca="1">20-(User_sheet!B$57/(AK434+'304'!D$17*1*0.34))</f>
        <v>2.9394964501591083</v>
      </c>
      <c r="AP434" s="954">
        <f ca="1">IF(AO434&lt;User_sheet!B$59,0,BC434*AA434)</f>
        <v>0</v>
      </c>
      <c r="AR434" s="2">
        <v>0.47</v>
      </c>
      <c r="AS434" s="2">
        <v>0.54</v>
      </c>
      <c r="AT434" s="2">
        <v>0.45</v>
      </c>
      <c r="AU434" s="2">
        <v>2</v>
      </c>
      <c r="AV434" s="2">
        <v>3.3</v>
      </c>
      <c r="AW434" s="2">
        <v>12848.541887298286</v>
      </c>
      <c r="AX434" s="2">
        <v>75022.04959166942</v>
      </c>
      <c r="AY434" s="2">
        <v>65937.809199439725</v>
      </c>
      <c r="AZ434" s="27">
        <v>0</v>
      </c>
      <c r="BA434" s="27">
        <v>0</v>
      </c>
      <c r="BB434" s="2">
        <v>0.6</v>
      </c>
      <c r="BC434" s="30">
        <v>0</v>
      </c>
      <c r="BD434" s="34">
        <v>1</v>
      </c>
      <c r="BE434" s="34">
        <v>0</v>
      </c>
      <c r="BF434" s="40">
        <v>0</v>
      </c>
      <c r="BG434" s="2">
        <v>0</v>
      </c>
      <c r="BH434" s="2">
        <v>1</v>
      </c>
      <c r="BI434" s="40">
        <v>0</v>
      </c>
      <c r="BJ434" s="2">
        <v>0</v>
      </c>
      <c r="BK434" s="2">
        <v>0</v>
      </c>
      <c r="BL434" s="2">
        <v>1</v>
      </c>
      <c r="BM434" s="40">
        <v>0</v>
      </c>
      <c r="BN434" s="958">
        <v>0.1</v>
      </c>
      <c r="BO434" s="50">
        <v>10</v>
      </c>
      <c r="BP434" s="1018">
        <f t="shared" ca="1" si="621"/>
        <v>206.38</v>
      </c>
      <c r="BQ434" s="1018">
        <f t="shared" ca="1" si="622"/>
        <v>308.92399999999992</v>
      </c>
      <c r="BR434" s="1018">
        <f t="shared" ca="1" si="623"/>
        <v>90.07</v>
      </c>
      <c r="BS434" s="1018">
        <f t="shared" ca="1" si="624"/>
        <v>65.974999999999994</v>
      </c>
      <c r="BT434" s="1018">
        <f t="shared" ca="1" si="625"/>
        <v>78.88</v>
      </c>
      <c r="BU434" s="1018">
        <f t="shared" ca="1" si="626"/>
        <v>18</v>
      </c>
      <c r="BV434" s="1018">
        <f t="shared" ca="1" si="627"/>
        <v>7.5250000000000004</v>
      </c>
      <c r="BW434" s="1018">
        <v>0</v>
      </c>
      <c r="BX434" s="1018">
        <f t="shared" ca="1" si="628"/>
        <v>39.143971150289723</v>
      </c>
      <c r="BY434" s="1018">
        <f t="shared" ca="1" si="629"/>
        <v>32.577267739575717</v>
      </c>
      <c r="BZ434" s="1018">
        <f t="shared" ca="1" si="582"/>
        <v>10.866122448979594</v>
      </c>
      <c r="CA434" s="1018">
        <f t="shared" ca="1" si="583"/>
        <v>35.999999985599999</v>
      </c>
      <c r="CB434" s="1018">
        <f t="shared" ca="1" si="630"/>
        <v>15.79675572519084</v>
      </c>
      <c r="CC434" s="1018">
        <f t="shared" si="584"/>
        <v>0</v>
      </c>
      <c r="CD434" s="1018">
        <f t="shared" ca="1" si="632"/>
        <v>160.42911704963586</v>
      </c>
      <c r="CE434" s="1018">
        <f t="shared" ca="1" si="563"/>
        <v>73.770479255404439</v>
      </c>
      <c r="CF434" s="1018">
        <f t="shared" ca="1" si="586"/>
        <v>7.0259878891512093</v>
      </c>
      <c r="CG434" s="1018">
        <f t="shared" ca="1" si="587"/>
        <v>11697.988795921196</v>
      </c>
    </row>
    <row r="435" spans="3:85" x14ac:dyDescent="0.25">
      <c r="C435" s="740"/>
      <c r="D435" s="741"/>
      <c r="E435" s="740" t="s">
        <v>8</v>
      </c>
      <c r="F435" s="745">
        <v>0.13</v>
      </c>
      <c r="G435" s="740"/>
      <c r="H435" s="741"/>
      <c r="I435" s="740"/>
      <c r="J435" s="741"/>
      <c r="K435" s="740" t="s">
        <v>12</v>
      </c>
      <c r="L435" s="751">
        <v>0</v>
      </c>
      <c r="M435" s="741" t="s">
        <v>7</v>
      </c>
      <c r="N435" s="743">
        <v>0.125</v>
      </c>
      <c r="O435" s="741" t="s">
        <v>23</v>
      </c>
      <c r="P435" s="743">
        <v>1</v>
      </c>
      <c r="Q435" s="741" t="s">
        <v>7</v>
      </c>
      <c r="R435" s="743">
        <v>1</v>
      </c>
      <c r="S435" s="741"/>
      <c r="T435" s="752">
        <v>0</v>
      </c>
      <c r="U435" s="740"/>
      <c r="V435" s="176">
        <f t="shared" si="550"/>
        <v>0</v>
      </c>
      <c r="W435" s="176">
        <f t="shared" si="631"/>
        <v>0</v>
      </c>
      <c r="X435" s="176">
        <f>W435-W435*Calculation_sheet!O$79</f>
        <v>0</v>
      </c>
      <c r="Y435" s="34">
        <f>X435/Calculation_sheet!M$67</f>
        <v>0</v>
      </c>
      <c r="Z435" s="176">
        <f ca="1">IF(AN435&gt;0,Y435*Calculation_sheet!C$87,0)</f>
        <v>0</v>
      </c>
      <c r="AA435" s="176">
        <f t="shared" ca="1" si="618"/>
        <v>0</v>
      </c>
      <c r="AB435" s="176">
        <f ca="1">IF(AP435&gt;0,AA435*Calculation_sheet!C$94,0)</f>
        <v>0</v>
      </c>
      <c r="AC435" s="176">
        <f t="shared" ca="1" si="619"/>
        <v>0</v>
      </c>
      <c r="AD435" s="958">
        <f ca="1">AC435*Calculation_sheet!C$99</f>
        <v>0</v>
      </c>
      <c r="AE435" s="176">
        <f t="shared" ca="1" si="619"/>
        <v>0</v>
      </c>
      <c r="AF435" s="176">
        <f t="shared" ca="1" si="620"/>
        <v>0</v>
      </c>
      <c r="AG435" s="958">
        <f ca="1">AF435*User_sheet!B$77/100</f>
        <v>0</v>
      </c>
      <c r="AH435" s="313"/>
      <c r="AI435" s="3">
        <v>304</v>
      </c>
      <c r="AK435" s="1018">
        <f t="shared" ca="1" si="581"/>
        <v>160.42911704963586</v>
      </c>
      <c r="AL435" s="924">
        <f ca="1">AK435/'304'!I$24</f>
        <v>0.63444572024454104</v>
      </c>
      <c r="AM435" s="924">
        <f ca="1">0.8*(AK435*30+'304'!D$17*0.34*30*1)</f>
        <v>8018.5206491912604</v>
      </c>
      <c r="AN435" s="954">
        <f ca="1">IF(AM435&lt;User_sheet!B$50,Y435,0)</f>
        <v>0</v>
      </c>
      <c r="AO435" s="954">
        <f ca="1">20-(User_sheet!B$57/(AK435+'304'!D$17*1*0.34))</f>
        <v>2.9394964501591083</v>
      </c>
      <c r="AP435" s="954">
        <f ca="1">IF(AO435&lt;User_sheet!B$59,0,BC435*AA435)</f>
        <v>0</v>
      </c>
      <c r="AR435" s="2">
        <v>0.47</v>
      </c>
      <c r="AS435" s="2">
        <v>0.54</v>
      </c>
      <c r="AT435" s="2">
        <v>0.45</v>
      </c>
      <c r="AU435" s="2">
        <v>2</v>
      </c>
      <c r="AV435" s="2">
        <v>3.3</v>
      </c>
      <c r="AW435" s="2">
        <v>12848.541887298286</v>
      </c>
      <c r="AX435" s="2">
        <v>75022.04959166942</v>
      </c>
      <c r="AY435" s="2">
        <v>65937.809199439725</v>
      </c>
      <c r="AZ435" s="27">
        <v>0</v>
      </c>
      <c r="BA435" s="27">
        <v>0</v>
      </c>
      <c r="BB435" s="2">
        <v>0.6</v>
      </c>
      <c r="BC435" s="30">
        <v>0</v>
      </c>
      <c r="BD435" s="34">
        <v>0</v>
      </c>
      <c r="BE435" s="34">
        <v>1</v>
      </c>
      <c r="BF435" s="40">
        <v>0</v>
      </c>
      <c r="BG435" s="2">
        <v>0</v>
      </c>
      <c r="BH435" s="2">
        <v>0</v>
      </c>
      <c r="BI435" s="40">
        <v>1</v>
      </c>
      <c r="BJ435" s="2">
        <v>0</v>
      </c>
      <c r="BK435" s="2">
        <v>0</v>
      </c>
      <c r="BL435" s="2">
        <v>1</v>
      </c>
      <c r="BM435" s="40">
        <v>0</v>
      </c>
      <c r="BN435" s="958">
        <v>0.1</v>
      </c>
      <c r="BO435" s="50">
        <v>10</v>
      </c>
      <c r="BP435" s="1018">
        <f t="shared" ca="1" si="621"/>
        <v>206.38</v>
      </c>
      <c r="BQ435" s="1018">
        <f t="shared" ca="1" si="622"/>
        <v>308.92399999999992</v>
      </c>
      <c r="BR435" s="1018">
        <f t="shared" ca="1" si="623"/>
        <v>90.07</v>
      </c>
      <c r="BS435" s="1018">
        <f t="shared" ca="1" si="624"/>
        <v>65.974999999999994</v>
      </c>
      <c r="BT435" s="1018">
        <f t="shared" ca="1" si="625"/>
        <v>78.88</v>
      </c>
      <c r="BU435" s="1018">
        <f t="shared" ca="1" si="626"/>
        <v>18</v>
      </c>
      <c r="BV435" s="1018">
        <f t="shared" ca="1" si="627"/>
        <v>7.5250000000000004</v>
      </c>
      <c r="BW435" s="1018">
        <v>0</v>
      </c>
      <c r="BX435" s="1018">
        <f t="shared" ca="1" si="628"/>
        <v>39.143971150289723</v>
      </c>
      <c r="BY435" s="1018">
        <f t="shared" ca="1" si="629"/>
        <v>32.577267739575717</v>
      </c>
      <c r="BZ435" s="1018">
        <f t="shared" ca="1" si="582"/>
        <v>10.866122448979594</v>
      </c>
      <c r="CA435" s="1018">
        <f t="shared" ca="1" si="583"/>
        <v>35.999999985599999</v>
      </c>
      <c r="CB435" s="1018">
        <f t="shared" ca="1" si="630"/>
        <v>15.79675572519084</v>
      </c>
      <c r="CC435" s="1018">
        <f t="shared" si="584"/>
        <v>0</v>
      </c>
      <c r="CD435" s="1018">
        <f t="shared" ca="1" si="632"/>
        <v>160.42911704963586</v>
      </c>
      <c r="CE435" s="1018">
        <f t="shared" ca="1" si="563"/>
        <v>73.770479255404439</v>
      </c>
      <c r="CF435" s="1018">
        <f t="shared" ca="1" si="586"/>
        <v>7.0259878891512093</v>
      </c>
      <c r="CG435" s="1018">
        <f t="shared" ca="1" si="587"/>
        <v>11697.988795921196</v>
      </c>
    </row>
    <row r="436" spans="3:85" s="11" customFormat="1" x14ac:dyDescent="0.25">
      <c r="D436" s="12"/>
      <c r="F436" s="12"/>
      <c r="H436" s="12"/>
      <c r="J436" s="12"/>
      <c r="K436" s="13"/>
      <c r="L436" s="25"/>
      <c r="M436" s="12"/>
      <c r="N436" s="12"/>
      <c r="O436" s="12"/>
      <c r="P436" s="12"/>
      <c r="Q436" s="12"/>
      <c r="R436" s="12"/>
      <c r="S436" s="12"/>
      <c r="T436" s="82"/>
      <c r="U436" s="296"/>
      <c r="V436" s="293"/>
      <c r="W436" s="292"/>
      <c r="X436" s="292"/>
      <c r="Y436" s="277"/>
      <c r="Z436" s="292"/>
      <c r="AA436" s="292"/>
      <c r="AB436" s="292"/>
      <c r="AC436" s="292"/>
      <c r="AD436" s="277"/>
      <c r="AE436" s="292"/>
      <c r="AF436" s="292"/>
      <c r="AG436" s="277"/>
      <c r="AH436" s="313"/>
      <c r="AJ436" s="314"/>
      <c r="AK436" s="1018">
        <f t="shared" si="581"/>
        <v>0</v>
      </c>
      <c r="AL436" s="946"/>
      <c r="AM436" s="946"/>
      <c r="AN436" s="955"/>
      <c r="AO436" s="955"/>
      <c r="AP436" s="955"/>
      <c r="AQ436" s="314"/>
      <c r="AR436" s="28"/>
      <c r="AS436" s="28"/>
      <c r="AT436" s="28"/>
      <c r="AU436" s="28"/>
      <c r="AV436" s="28"/>
      <c r="AW436" s="28"/>
      <c r="AX436" s="28"/>
      <c r="AY436" s="28"/>
      <c r="AZ436" s="28"/>
      <c r="BA436" s="28"/>
      <c r="BB436" s="28"/>
      <c r="BC436" s="45"/>
      <c r="BD436" s="277"/>
      <c r="BE436" s="277"/>
      <c r="BF436" s="49"/>
      <c r="BG436" s="28"/>
      <c r="BH436" s="28"/>
      <c r="BI436" s="49"/>
      <c r="BJ436" s="28"/>
      <c r="BK436" s="28"/>
      <c r="BL436" s="28"/>
      <c r="BM436" s="49"/>
      <c r="BN436" s="277"/>
      <c r="BO436" s="49"/>
      <c r="BP436" s="946"/>
      <c r="BQ436" s="946"/>
      <c r="BR436" s="946"/>
      <c r="BS436" s="946"/>
      <c r="BT436" s="946"/>
      <c r="BU436" s="946"/>
      <c r="BV436" s="946"/>
      <c r="BW436" s="946"/>
      <c r="BX436" s="946"/>
      <c r="BY436" s="946"/>
      <c r="BZ436" s="946"/>
      <c r="CA436" s="946"/>
      <c r="CB436" s="946"/>
      <c r="CC436" s="946"/>
      <c r="CD436" s="946"/>
      <c r="CE436" s="946"/>
      <c r="CF436" s="946"/>
      <c r="CG436" s="946"/>
    </row>
    <row r="437" spans="3:85" x14ac:dyDescent="0.25">
      <c r="D437" s="1"/>
      <c r="F437" s="1"/>
      <c r="G437" s="3"/>
      <c r="H437" s="6"/>
      <c r="I437" s="3"/>
      <c r="J437" s="6"/>
      <c r="K437" s="8"/>
      <c r="L437" s="6"/>
      <c r="M437" s="1"/>
      <c r="N437" s="1"/>
      <c r="O437" s="1"/>
      <c r="P437" s="1"/>
      <c r="Q437" s="1" t="s">
        <v>16</v>
      </c>
      <c r="R437" s="4"/>
      <c r="S437" s="1"/>
      <c r="T437" s="77"/>
      <c r="U437" s="294"/>
      <c r="X437" s="176">
        <f>W427-X427</f>
        <v>0</v>
      </c>
      <c r="Y437" s="34">
        <f>X437/Calculation_sheet!M$67</f>
        <v>0</v>
      </c>
      <c r="Z437" s="176">
        <f ca="1">IF(AN437&gt;0,Y437*Calculation_sheet!C$87,0)</f>
        <v>0</v>
      </c>
      <c r="AA437" s="176">
        <f t="shared" ref="AA437:AA445" ca="1" si="633">Y437-Z437</f>
        <v>0</v>
      </c>
      <c r="AB437" s="176">
        <f ca="1">IF(AP437&gt;0,AA437*Calculation_sheet!C$94,0)</f>
        <v>0</v>
      </c>
      <c r="AC437" s="176">
        <f t="shared" ref="AC437:AE445" ca="1" si="634">AA437-AB437</f>
        <v>0</v>
      </c>
      <c r="AD437" s="958">
        <f ca="1">AC437*Calculation_sheet!C$99</f>
        <v>0</v>
      </c>
      <c r="AE437" s="176">
        <f t="shared" ca="1" si="634"/>
        <v>0</v>
      </c>
      <c r="AF437" s="176">
        <f t="shared" ref="AF437:AF445" ca="1" si="635">Y437-AB437</f>
        <v>0</v>
      </c>
      <c r="AG437" s="958">
        <f ca="1">AF437*User_sheet!B$77/100</f>
        <v>0</v>
      </c>
      <c r="AH437" s="313"/>
      <c r="AI437" s="3">
        <v>304</v>
      </c>
      <c r="AK437" s="1018">
        <f t="shared" ca="1" si="581"/>
        <v>148.59287707670845</v>
      </c>
      <c r="AL437" s="924">
        <f ca="1">AK437/'304'!I$24</f>
        <v>0.58763718615351457</v>
      </c>
      <c r="AM437" s="924">
        <f ca="1">0.8*(AK437*30+'304'!D$17*0.34*30*1)</f>
        <v>7734.4508898410022</v>
      </c>
      <c r="AN437" s="954">
        <f ca="1">IF(AM437&lt;User_sheet!B$50,Y437,0)</f>
        <v>0</v>
      </c>
      <c r="AO437" s="954">
        <f ca="1">20-(User_sheet!B$57/(AK437+'304'!D$17*1*0.34))</f>
        <v>2.3129008188954714</v>
      </c>
      <c r="AP437" s="954">
        <f ca="1">IF(AO437&lt;User_sheet!B$59,0,BC437*AA437)</f>
        <v>0</v>
      </c>
      <c r="AR437" s="2">
        <v>0.32</v>
      </c>
      <c r="AS437" s="2">
        <v>0.54</v>
      </c>
      <c r="AT437" s="2">
        <v>0.45</v>
      </c>
      <c r="AU437" s="2">
        <v>2</v>
      </c>
      <c r="AV437" s="2">
        <v>3.3</v>
      </c>
      <c r="AW437" s="2">
        <v>14356</v>
      </c>
      <c r="AX437" s="2">
        <v>75022.04959166942</v>
      </c>
      <c r="AY437" s="2">
        <v>65937.809199439725</v>
      </c>
      <c r="AZ437" s="27">
        <v>0</v>
      </c>
      <c r="BA437" s="27">
        <v>0</v>
      </c>
      <c r="BB437" s="2">
        <v>0.6</v>
      </c>
      <c r="BC437" s="30">
        <v>1</v>
      </c>
      <c r="BD437" s="34">
        <v>0</v>
      </c>
      <c r="BE437" s="34">
        <v>0</v>
      </c>
      <c r="BF437" s="40">
        <v>0</v>
      </c>
      <c r="BG437" s="2">
        <v>1</v>
      </c>
      <c r="BH437" s="2">
        <v>0</v>
      </c>
      <c r="BI437" s="40">
        <v>0</v>
      </c>
      <c r="BJ437" s="2">
        <v>1</v>
      </c>
      <c r="BK437" s="2">
        <v>0</v>
      </c>
      <c r="BL437" s="2">
        <v>0</v>
      </c>
      <c r="BM437" s="40">
        <v>0</v>
      </c>
      <c r="BN437" s="958">
        <v>0.1</v>
      </c>
      <c r="BO437" s="50">
        <v>10</v>
      </c>
      <c r="BP437" s="1018">
        <f t="shared" ref="BP437:BP445" ca="1" si="636">INDIRECT("'"&amp;AI437&amp;"'!"&amp;"B2")</f>
        <v>206.38</v>
      </c>
      <c r="BQ437" s="1018">
        <f t="shared" ref="BQ437:BQ445" ca="1" si="637">INDIRECT("'"&amp;AI437&amp;"'!"&amp;"C12")+INDIRECT("'"&amp;AI437&amp;"'!"&amp;"C13")+INDIRECT("'"&amp;AI437&amp;"'!"&amp;"C14")+INDIRECT("'"&amp;AI437&amp;"'!"&amp;"C15")+INDIRECT("'"&amp;AI437&amp;"'!"&amp;"C17")</f>
        <v>308.92399999999992</v>
      </c>
      <c r="BR437" s="1018">
        <f t="shared" ref="BR437:BR445" ca="1" si="638">INDIRECT("'"&amp;AI437&amp;"'!"&amp;"G5")</f>
        <v>90.07</v>
      </c>
      <c r="BS437" s="1018">
        <f t="shared" ref="BS437:BS445" ca="1" si="639">INDIRECT("'"&amp;AI437&amp;"'!"&amp;"G4")</f>
        <v>65.974999999999994</v>
      </c>
      <c r="BT437" s="1018">
        <f t="shared" ref="BT437:BT445" ca="1" si="640">INDIRECT("'"&amp;AI437&amp;"'!"&amp;"G6")</f>
        <v>78.88</v>
      </c>
      <c r="BU437" s="1018">
        <f t="shared" ref="BU437:BU445" ca="1" si="641">INDIRECT("'"&amp;AI437&amp;"'!"&amp;"G2")</f>
        <v>18</v>
      </c>
      <c r="BV437" s="1018">
        <f t="shared" ref="BV437:BV445" ca="1" si="642">INDIRECT("'"&amp;AI437&amp;"'!"&amp;"G3")</f>
        <v>7.5250000000000004</v>
      </c>
      <c r="BW437" s="1018">
        <v>0</v>
      </c>
      <c r="BX437" s="1018">
        <f t="shared" ref="BX437:BX445" ca="1" si="643">IF(BR437=0,0,1/(1/(BR437*$BY$3)+1/(BR437*AR437)+1/(BR437*$BY$4)))</f>
        <v>27.307731177362307</v>
      </c>
      <c r="BY437" s="1018">
        <f t="shared" ref="BY437:BY445" ca="1" si="644">IF(BS437=0,0,1/(1/(BS437*$BY$3)+1/(BS437*AS437)+1/(BS437*$BY$4)))</f>
        <v>32.577267739575717</v>
      </c>
      <c r="BZ437" s="1018">
        <f t="shared" ca="1" si="582"/>
        <v>10.866122448979594</v>
      </c>
      <c r="CA437" s="1018">
        <f t="shared" ca="1" si="583"/>
        <v>35.999999985599999</v>
      </c>
      <c r="CB437" s="1018">
        <f t="shared" ref="CB437:CB445" ca="1" si="645">IF(BV437=0,0,1/(1/(BV437*$BY$3)+1/(BV437*AV437)+1/(BV437*$BY$4)))</f>
        <v>15.79675572519084</v>
      </c>
      <c r="CC437" s="1018">
        <f t="shared" si="584"/>
        <v>0</v>
      </c>
      <c r="CD437" s="1018">
        <f ca="1">SUM(BX437:CC437)+(BR437+BS437+BT437+BU437+BV437)*BN437</f>
        <v>148.59287707670845</v>
      </c>
      <c r="CE437" s="1018">
        <f t="shared" ca="1" si="563"/>
        <v>73.770479255404439</v>
      </c>
      <c r="CF437" s="1018">
        <f t="shared" ca="1" si="586"/>
        <v>6.6709006899633865</v>
      </c>
      <c r="CG437" s="1018">
        <f t="shared" ca="1" si="587"/>
        <v>11106.782812761441</v>
      </c>
    </row>
    <row r="438" spans="3:85" x14ac:dyDescent="0.25">
      <c r="D438" s="1"/>
      <c r="F438" s="1"/>
      <c r="G438" s="3"/>
      <c r="H438" s="6"/>
      <c r="I438" s="3"/>
      <c r="J438" s="6"/>
      <c r="K438" s="8"/>
      <c r="L438" s="6"/>
      <c r="M438" s="1"/>
      <c r="N438" s="1"/>
      <c r="O438" s="1" t="s">
        <v>18</v>
      </c>
      <c r="P438" s="4"/>
      <c r="Q438" s="1" t="s">
        <v>7</v>
      </c>
      <c r="R438" s="4"/>
      <c r="S438" s="1"/>
      <c r="T438" s="77"/>
      <c r="U438" s="294"/>
      <c r="X438" s="176">
        <f t="shared" ref="X438:X445" si="646">W428-X428</f>
        <v>0</v>
      </c>
      <c r="Y438" s="34">
        <f>X438/Calculation_sheet!M$67</f>
        <v>0</v>
      </c>
      <c r="Z438" s="176">
        <f ca="1">IF(AN438&gt;0,Y438*Calculation_sheet!C$87,0)</f>
        <v>0</v>
      </c>
      <c r="AA438" s="176">
        <f t="shared" ca="1" si="633"/>
        <v>0</v>
      </c>
      <c r="AB438" s="176">
        <f ca="1">IF(AP438&gt;0,AA438*Calculation_sheet!C$94,0)</f>
        <v>0</v>
      </c>
      <c r="AC438" s="176">
        <f t="shared" ca="1" si="634"/>
        <v>0</v>
      </c>
      <c r="AD438" s="958">
        <f ca="1">AC438*Calculation_sheet!C$99</f>
        <v>0</v>
      </c>
      <c r="AE438" s="176">
        <f t="shared" ca="1" si="634"/>
        <v>0</v>
      </c>
      <c r="AF438" s="176">
        <f t="shared" ca="1" si="635"/>
        <v>0</v>
      </c>
      <c r="AG438" s="958">
        <f ca="1">AF438*User_sheet!B$77/100</f>
        <v>0</v>
      </c>
      <c r="AH438" s="313"/>
      <c r="AI438" s="3">
        <v>304</v>
      </c>
      <c r="AK438" s="1018">
        <f t="shared" ca="1" si="581"/>
        <v>148.59287707670845</v>
      </c>
      <c r="AL438" s="924">
        <f ca="1">AK438/'304'!I$24</f>
        <v>0.58763718615351457</v>
      </c>
      <c r="AM438" s="924">
        <f ca="1">0.8*(AK438*30+'304'!D$17*0.34*30*1)</f>
        <v>7734.4508898410022</v>
      </c>
      <c r="AN438" s="954">
        <f ca="1">IF(AM438&lt;User_sheet!B$50,Y438,0)</f>
        <v>0</v>
      </c>
      <c r="AO438" s="954">
        <f ca="1">20-(User_sheet!B$57/(AK438+'304'!D$17*1*0.34))</f>
        <v>2.3129008188954714</v>
      </c>
      <c r="AP438" s="954">
        <f ca="1">IF(AO438&lt;User_sheet!B$59,0,BC438*AA438)</f>
        <v>0</v>
      </c>
      <c r="AR438" s="2">
        <v>0.32</v>
      </c>
      <c r="AS438" s="2">
        <v>0.54</v>
      </c>
      <c r="AT438" s="2">
        <v>0.45</v>
      </c>
      <c r="AU438" s="2">
        <v>2</v>
      </c>
      <c r="AV438" s="2">
        <v>3.3</v>
      </c>
      <c r="AW438" s="2">
        <v>14356</v>
      </c>
      <c r="AX438" s="2">
        <v>75022.04959166942</v>
      </c>
      <c r="AY438" s="2">
        <v>65937.809199439725</v>
      </c>
      <c r="AZ438" s="27">
        <v>0</v>
      </c>
      <c r="BA438" s="27">
        <v>0</v>
      </c>
      <c r="BB438" s="2">
        <v>0.6</v>
      </c>
      <c r="BC438" s="30">
        <v>1</v>
      </c>
      <c r="BD438" s="34">
        <v>0</v>
      </c>
      <c r="BE438" s="34">
        <v>0</v>
      </c>
      <c r="BF438" s="40">
        <v>0</v>
      </c>
      <c r="BG438" s="2">
        <v>1</v>
      </c>
      <c r="BH438" s="2">
        <v>0</v>
      </c>
      <c r="BI438" s="40">
        <v>0</v>
      </c>
      <c r="BJ438" s="2">
        <v>0</v>
      </c>
      <c r="BK438" s="2">
        <v>0</v>
      </c>
      <c r="BL438" s="2">
        <v>1</v>
      </c>
      <c r="BM438" s="40">
        <v>0</v>
      </c>
      <c r="BN438" s="958">
        <v>0.1</v>
      </c>
      <c r="BO438" s="50">
        <v>10</v>
      </c>
      <c r="BP438" s="1018">
        <f t="shared" ca="1" si="636"/>
        <v>206.38</v>
      </c>
      <c r="BQ438" s="1018">
        <f t="shared" ca="1" si="637"/>
        <v>308.92399999999992</v>
      </c>
      <c r="BR438" s="1018">
        <f t="shared" ca="1" si="638"/>
        <v>90.07</v>
      </c>
      <c r="BS438" s="1018">
        <f t="shared" ca="1" si="639"/>
        <v>65.974999999999994</v>
      </c>
      <c r="BT438" s="1018">
        <f t="shared" ca="1" si="640"/>
        <v>78.88</v>
      </c>
      <c r="BU438" s="1018">
        <f t="shared" ca="1" si="641"/>
        <v>18</v>
      </c>
      <c r="BV438" s="1018">
        <f t="shared" ca="1" si="642"/>
        <v>7.5250000000000004</v>
      </c>
      <c r="BW438" s="1018">
        <v>0</v>
      </c>
      <c r="BX438" s="1018">
        <f t="shared" ca="1" si="643"/>
        <v>27.307731177362307</v>
      </c>
      <c r="BY438" s="1018">
        <f t="shared" ca="1" si="644"/>
        <v>32.577267739575717</v>
      </c>
      <c r="BZ438" s="1018">
        <f t="shared" ca="1" si="582"/>
        <v>10.866122448979594</v>
      </c>
      <c r="CA438" s="1018">
        <f t="shared" ca="1" si="583"/>
        <v>35.999999985599999</v>
      </c>
      <c r="CB438" s="1018">
        <f t="shared" ca="1" si="645"/>
        <v>15.79675572519084</v>
      </c>
      <c r="CC438" s="1018">
        <f t="shared" si="584"/>
        <v>0</v>
      </c>
      <c r="CD438" s="1018">
        <f t="shared" ref="CD438:CD445" ca="1" si="647">SUM(BX438:CC438)+(BR438+BS438+BT438+BU438+BV438)*BN438</f>
        <v>148.59287707670845</v>
      </c>
      <c r="CE438" s="1018">
        <f t="shared" ca="1" si="563"/>
        <v>73.770479255404439</v>
      </c>
      <c r="CF438" s="1018">
        <f t="shared" ca="1" si="586"/>
        <v>6.6709006899633865</v>
      </c>
      <c r="CG438" s="1018">
        <f t="shared" ca="1" si="587"/>
        <v>11106.782812761441</v>
      </c>
    </row>
    <row r="439" spans="3:85" x14ac:dyDescent="0.25">
      <c r="D439" s="1"/>
      <c r="F439" s="1"/>
      <c r="G439" s="3"/>
      <c r="H439" s="6"/>
      <c r="I439" s="3"/>
      <c r="J439" s="6"/>
      <c r="K439" s="8"/>
      <c r="L439" s="6"/>
      <c r="M439" s="1"/>
      <c r="N439" s="1"/>
      <c r="O439" s="1"/>
      <c r="P439" s="1"/>
      <c r="Q439" s="1" t="s">
        <v>16</v>
      </c>
      <c r="R439" s="4"/>
      <c r="S439" s="1"/>
      <c r="T439" s="77"/>
      <c r="U439" s="294"/>
      <c r="X439" s="176">
        <f t="shared" si="646"/>
        <v>0</v>
      </c>
      <c r="Y439" s="34">
        <f>X439/Calculation_sheet!M$67</f>
        <v>0</v>
      </c>
      <c r="Z439" s="176">
        <f ca="1">IF(AN439&gt;0,Y439*Calculation_sheet!C$87,0)</f>
        <v>0</v>
      </c>
      <c r="AA439" s="176">
        <f t="shared" ca="1" si="633"/>
        <v>0</v>
      </c>
      <c r="AB439" s="176">
        <f ca="1">IF(AP439&gt;0,AA439*Calculation_sheet!C$94,0)</f>
        <v>0</v>
      </c>
      <c r="AC439" s="176">
        <f t="shared" ca="1" si="634"/>
        <v>0</v>
      </c>
      <c r="AD439" s="958">
        <f ca="1">AC439*Calculation_sheet!C$99</f>
        <v>0</v>
      </c>
      <c r="AE439" s="176">
        <f t="shared" ca="1" si="634"/>
        <v>0</v>
      </c>
      <c r="AF439" s="176">
        <f t="shared" ca="1" si="635"/>
        <v>0</v>
      </c>
      <c r="AG439" s="958">
        <f ca="1">AF439*User_sheet!B$77/100</f>
        <v>0</v>
      </c>
      <c r="AH439" s="313"/>
      <c r="AI439" s="3">
        <v>304</v>
      </c>
      <c r="AK439" s="1018">
        <f t="shared" ca="1" si="581"/>
        <v>148.59287707670845</v>
      </c>
      <c r="AL439" s="924">
        <f ca="1">AK439/'304'!I$24</f>
        <v>0.58763718615351457</v>
      </c>
      <c r="AM439" s="924">
        <f ca="1">0.8*(AK439*30+'304'!D$17*0.34*30*1)</f>
        <v>7734.4508898410022</v>
      </c>
      <c r="AN439" s="954">
        <f ca="1">IF(AM439&lt;User_sheet!B$50,Y439,0)</f>
        <v>0</v>
      </c>
      <c r="AO439" s="954">
        <f ca="1">20-(User_sheet!B$57/(AK439+'304'!D$17*1*0.34))</f>
        <v>2.3129008188954714</v>
      </c>
      <c r="AP439" s="954">
        <f ca="1">IF(AO439&lt;User_sheet!B$59,0,BC439*AA439)</f>
        <v>0</v>
      </c>
      <c r="AR439" s="2">
        <v>0.32</v>
      </c>
      <c r="AS439" s="2">
        <v>0.54</v>
      </c>
      <c r="AT439" s="2">
        <v>0.45</v>
      </c>
      <c r="AU439" s="2">
        <v>2</v>
      </c>
      <c r="AV439" s="2">
        <v>3.3</v>
      </c>
      <c r="AW439" s="2">
        <v>14356</v>
      </c>
      <c r="AX439" s="2">
        <v>75022.04959166942</v>
      </c>
      <c r="AY439" s="2">
        <v>65937.809199439725</v>
      </c>
      <c r="AZ439" s="27">
        <v>0</v>
      </c>
      <c r="BA439" s="27">
        <v>0</v>
      </c>
      <c r="BB439" s="2">
        <v>0.6</v>
      </c>
      <c r="BC439" s="30">
        <v>1</v>
      </c>
      <c r="BD439" s="34">
        <v>0</v>
      </c>
      <c r="BE439" s="34">
        <v>0</v>
      </c>
      <c r="BF439" s="40">
        <v>0</v>
      </c>
      <c r="BG439" s="2">
        <v>0</v>
      </c>
      <c r="BH439" s="2">
        <v>1</v>
      </c>
      <c r="BI439" s="40">
        <v>0</v>
      </c>
      <c r="BJ439" s="2">
        <v>1</v>
      </c>
      <c r="BK439" s="2">
        <v>0</v>
      </c>
      <c r="BL439" s="2">
        <v>0</v>
      </c>
      <c r="BM439" s="40">
        <v>0</v>
      </c>
      <c r="BN439" s="958">
        <v>0.1</v>
      </c>
      <c r="BO439" s="50">
        <v>10</v>
      </c>
      <c r="BP439" s="1018">
        <f t="shared" ca="1" si="636"/>
        <v>206.38</v>
      </c>
      <c r="BQ439" s="1018">
        <f t="shared" ca="1" si="637"/>
        <v>308.92399999999992</v>
      </c>
      <c r="BR439" s="1018">
        <f t="shared" ca="1" si="638"/>
        <v>90.07</v>
      </c>
      <c r="BS439" s="1018">
        <f t="shared" ca="1" si="639"/>
        <v>65.974999999999994</v>
      </c>
      <c r="BT439" s="1018">
        <f t="shared" ca="1" si="640"/>
        <v>78.88</v>
      </c>
      <c r="BU439" s="1018">
        <f t="shared" ca="1" si="641"/>
        <v>18</v>
      </c>
      <c r="BV439" s="1018">
        <f t="shared" ca="1" si="642"/>
        <v>7.5250000000000004</v>
      </c>
      <c r="BW439" s="1018">
        <v>0</v>
      </c>
      <c r="BX439" s="1018">
        <f t="shared" ca="1" si="643"/>
        <v>27.307731177362307</v>
      </c>
      <c r="BY439" s="1018">
        <f t="shared" ca="1" si="644"/>
        <v>32.577267739575717</v>
      </c>
      <c r="BZ439" s="1018">
        <f t="shared" ca="1" si="582"/>
        <v>10.866122448979594</v>
      </c>
      <c r="CA439" s="1018">
        <f t="shared" ca="1" si="583"/>
        <v>35.999999985599999</v>
      </c>
      <c r="CB439" s="1018">
        <f t="shared" ca="1" si="645"/>
        <v>15.79675572519084</v>
      </c>
      <c r="CC439" s="1018">
        <f t="shared" si="584"/>
        <v>0</v>
      </c>
      <c r="CD439" s="1018">
        <f t="shared" ca="1" si="647"/>
        <v>148.59287707670845</v>
      </c>
      <c r="CE439" s="1018">
        <f t="shared" ca="1" si="563"/>
        <v>73.770479255404439</v>
      </c>
      <c r="CF439" s="1018">
        <f t="shared" ca="1" si="586"/>
        <v>6.6709006899633865</v>
      </c>
      <c r="CG439" s="1018">
        <f t="shared" ca="1" si="587"/>
        <v>11106.782812761441</v>
      </c>
    </row>
    <row r="440" spans="3:85" x14ac:dyDescent="0.25">
      <c r="D440" s="1"/>
      <c r="F440" s="1"/>
      <c r="G440" s="3"/>
      <c r="H440" s="6"/>
      <c r="I440" s="3"/>
      <c r="J440" s="3" t="s">
        <v>144</v>
      </c>
      <c r="K440" s="8"/>
      <c r="L440" s="6"/>
      <c r="M440" s="1" t="s">
        <v>16</v>
      </c>
      <c r="N440" s="4"/>
      <c r="O440" s="1" t="s">
        <v>19</v>
      </c>
      <c r="P440" s="4"/>
      <c r="Q440" s="1" t="s">
        <v>7</v>
      </c>
      <c r="R440" s="4"/>
      <c r="S440" s="1"/>
      <c r="T440" s="77"/>
      <c r="U440" s="294"/>
      <c r="X440" s="176">
        <f t="shared" si="646"/>
        <v>0</v>
      </c>
      <c r="Y440" s="34">
        <f>X440/Calculation_sheet!M$67</f>
        <v>0</v>
      </c>
      <c r="Z440" s="176">
        <f ca="1">IF(AN440&gt;0,Y440*Calculation_sheet!C$87,0)</f>
        <v>0</v>
      </c>
      <c r="AA440" s="176">
        <f t="shared" ca="1" si="633"/>
        <v>0</v>
      </c>
      <c r="AB440" s="176">
        <f ca="1">IF(AP440&gt;0,AA440*Calculation_sheet!C$94,0)</f>
        <v>0</v>
      </c>
      <c r="AC440" s="176">
        <f t="shared" ca="1" si="634"/>
        <v>0</v>
      </c>
      <c r="AD440" s="958">
        <f ca="1">AC440*Calculation_sheet!C$99</f>
        <v>0</v>
      </c>
      <c r="AE440" s="176">
        <f t="shared" ca="1" si="634"/>
        <v>0</v>
      </c>
      <c r="AF440" s="176">
        <f t="shared" ca="1" si="635"/>
        <v>0</v>
      </c>
      <c r="AG440" s="958">
        <f ca="1">AF440*User_sheet!B$77/100</f>
        <v>0</v>
      </c>
      <c r="AH440" s="313"/>
      <c r="AI440" s="3">
        <v>304</v>
      </c>
      <c r="AK440" s="1018">
        <f t="shared" ca="1" si="581"/>
        <v>148.59287707670845</v>
      </c>
      <c r="AL440" s="924">
        <f ca="1">AK440/'304'!I$24</f>
        <v>0.58763718615351457</v>
      </c>
      <c r="AM440" s="924">
        <f ca="1">0.8*(AK440*30+'304'!D$17*0.34*30*1)</f>
        <v>7734.4508898410022</v>
      </c>
      <c r="AN440" s="954">
        <f ca="1">IF(AM440&lt;User_sheet!B$50,Y440,0)</f>
        <v>0</v>
      </c>
      <c r="AO440" s="954">
        <f ca="1">20-(User_sheet!B$57/(AK440+'304'!D$17*1*0.34))</f>
        <v>2.3129008188954714</v>
      </c>
      <c r="AP440" s="954">
        <f ca="1">IF(AO440&lt;User_sheet!B$59,0,BC440*AA440)</f>
        <v>0</v>
      </c>
      <c r="AR440" s="2">
        <v>0.32</v>
      </c>
      <c r="AS440" s="2">
        <v>0.54</v>
      </c>
      <c r="AT440" s="2">
        <v>0.45</v>
      </c>
      <c r="AU440" s="2">
        <v>2</v>
      </c>
      <c r="AV440" s="2">
        <v>3.3</v>
      </c>
      <c r="AW440" s="2">
        <v>14356</v>
      </c>
      <c r="AX440" s="2">
        <v>75022.04959166942</v>
      </c>
      <c r="AY440" s="2">
        <v>65937.809199439725</v>
      </c>
      <c r="AZ440" s="27">
        <v>0</v>
      </c>
      <c r="BA440" s="27">
        <v>0</v>
      </c>
      <c r="BB440" s="2">
        <v>0.6</v>
      </c>
      <c r="BC440" s="30">
        <v>1</v>
      </c>
      <c r="BD440" s="34">
        <v>0</v>
      </c>
      <c r="BE440" s="34">
        <v>0</v>
      </c>
      <c r="BF440" s="40">
        <v>0</v>
      </c>
      <c r="BG440" s="2">
        <v>0</v>
      </c>
      <c r="BH440" s="2">
        <v>1</v>
      </c>
      <c r="BI440" s="40">
        <v>0</v>
      </c>
      <c r="BJ440" s="2">
        <v>0</v>
      </c>
      <c r="BK440" s="2">
        <v>0</v>
      </c>
      <c r="BL440" s="2">
        <v>1</v>
      </c>
      <c r="BM440" s="40">
        <v>0</v>
      </c>
      <c r="BN440" s="958">
        <v>0.1</v>
      </c>
      <c r="BO440" s="50">
        <v>10</v>
      </c>
      <c r="BP440" s="1018">
        <f t="shared" ca="1" si="636"/>
        <v>206.38</v>
      </c>
      <c r="BQ440" s="1018">
        <f t="shared" ca="1" si="637"/>
        <v>308.92399999999992</v>
      </c>
      <c r="BR440" s="1018">
        <f t="shared" ca="1" si="638"/>
        <v>90.07</v>
      </c>
      <c r="BS440" s="1018">
        <f t="shared" ca="1" si="639"/>
        <v>65.974999999999994</v>
      </c>
      <c r="BT440" s="1018">
        <f t="shared" ca="1" si="640"/>
        <v>78.88</v>
      </c>
      <c r="BU440" s="1018">
        <f t="shared" ca="1" si="641"/>
        <v>18</v>
      </c>
      <c r="BV440" s="1018">
        <f t="shared" ca="1" si="642"/>
        <v>7.5250000000000004</v>
      </c>
      <c r="BW440" s="1018">
        <v>0</v>
      </c>
      <c r="BX440" s="1018">
        <f t="shared" ca="1" si="643"/>
        <v>27.307731177362307</v>
      </c>
      <c r="BY440" s="1018">
        <f t="shared" ca="1" si="644"/>
        <v>32.577267739575717</v>
      </c>
      <c r="BZ440" s="1018">
        <f t="shared" ca="1" si="582"/>
        <v>10.866122448979594</v>
      </c>
      <c r="CA440" s="1018">
        <f t="shared" ca="1" si="583"/>
        <v>35.999999985599999</v>
      </c>
      <c r="CB440" s="1018">
        <f t="shared" ca="1" si="645"/>
        <v>15.79675572519084</v>
      </c>
      <c r="CC440" s="1018">
        <f t="shared" si="584"/>
        <v>0</v>
      </c>
      <c r="CD440" s="1018">
        <f t="shared" ca="1" si="647"/>
        <v>148.59287707670845</v>
      </c>
      <c r="CE440" s="1018">
        <f t="shared" ca="1" si="563"/>
        <v>73.770479255404439</v>
      </c>
      <c r="CF440" s="1018">
        <f t="shared" ca="1" si="586"/>
        <v>6.6709006899633865</v>
      </c>
      <c r="CG440" s="1018">
        <f t="shared" ca="1" si="587"/>
        <v>11106.782812761441</v>
      </c>
    </row>
    <row r="441" spans="3:85" x14ac:dyDescent="0.25">
      <c r="D441" s="1"/>
      <c r="F441" s="1"/>
      <c r="G441" s="3"/>
      <c r="H441" s="6"/>
      <c r="I441" s="3"/>
      <c r="J441" s="6" t="s">
        <v>190</v>
      </c>
      <c r="K441" s="8"/>
      <c r="L441" s="6"/>
      <c r="M441" s="1"/>
      <c r="N441" s="1"/>
      <c r="O441" s="1"/>
      <c r="P441" s="1"/>
      <c r="Q441" s="1" t="s">
        <v>22</v>
      </c>
      <c r="R441" s="4"/>
      <c r="S441" s="1"/>
      <c r="T441" s="77"/>
      <c r="U441" s="294"/>
      <c r="X441" s="176">
        <f t="shared" si="646"/>
        <v>0</v>
      </c>
      <c r="Y441" s="34">
        <f>X441/Calculation_sheet!M$67</f>
        <v>0</v>
      </c>
      <c r="Z441" s="176">
        <f ca="1">IF(AN441&gt;0,Y441*Calculation_sheet!C$87,0)</f>
        <v>0</v>
      </c>
      <c r="AA441" s="176">
        <f t="shared" ca="1" si="633"/>
        <v>0</v>
      </c>
      <c r="AB441" s="176">
        <f ca="1">IF(AP441&gt;0,AA441*Calculation_sheet!C$94,0)</f>
        <v>0</v>
      </c>
      <c r="AC441" s="176">
        <f t="shared" ca="1" si="634"/>
        <v>0</v>
      </c>
      <c r="AD441" s="958">
        <f ca="1">AC441*Calculation_sheet!C$99</f>
        <v>0</v>
      </c>
      <c r="AE441" s="176">
        <f t="shared" ca="1" si="634"/>
        <v>0</v>
      </c>
      <c r="AF441" s="176">
        <f t="shared" ca="1" si="635"/>
        <v>0</v>
      </c>
      <c r="AG441" s="958">
        <f ca="1">AF441*User_sheet!B$77/100</f>
        <v>0</v>
      </c>
      <c r="AH441" s="313"/>
      <c r="AI441" s="3">
        <v>304</v>
      </c>
      <c r="AK441" s="1018">
        <f t="shared" ca="1" si="581"/>
        <v>148.59287707670845</v>
      </c>
      <c r="AL441" s="924">
        <f ca="1">AK441/'304'!I$24</f>
        <v>0.58763718615351457</v>
      </c>
      <c r="AM441" s="924">
        <f ca="1">0.8*(AK441*30+'304'!D$17*0.34*30*1)</f>
        <v>7734.4508898410022</v>
      </c>
      <c r="AN441" s="954">
        <f ca="1">IF(AM441&lt;User_sheet!B$50,Y441,0)</f>
        <v>0</v>
      </c>
      <c r="AO441" s="954">
        <f ca="1">20-(User_sheet!B$57/(AK441+'304'!D$17*1*0.34))</f>
        <v>2.3129008188954714</v>
      </c>
      <c r="AP441" s="954">
        <f ca="1">IF(AO441&lt;User_sheet!B$59,0,BC441*AA441)</f>
        <v>0</v>
      </c>
      <c r="AR441" s="2">
        <v>0.32</v>
      </c>
      <c r="AS441" s="2">
        <v>0.54</v>
      </c>
      <c r="AT441" s="2">
        <v>0.45</v>
      </c>
      <c r="AU441" s="2">
        <v>2</v>
      </c>
      <c r="AV441" s="2">
        <v>3.3</v>
      </c>
      <c r="AW441" s="2">
        <v>14356</v>
      </c>
      <c r="AX441" s="2">
        <v>75022.04959166942</v>
      </c>
      <c r="AY441" s="2">
        <v>65937.809199439725</v>
      </c>
      <c r="AZ441" s="27">
        <v>0</v>
      </c>
      <c r="BA441" s="27">
        <v>0</v>
      </c>
      <c r="BB441" s="2">
        <v>0.6</v>
      </c>
      <c r="BC441" s="30">
        <v>0</v>
      </c>
      <c r="BD441" s="34">
        <v>1</v>
      </c>
      <c r="BE441" s="34">
        <v>0</v>
      </c>
      <c r="BF441" s="40">
        <v>0</v>
      </c>
      <c r="BG441" s="2">
        <v>1</v>
      </c>
      <c r="BH441" s="2">
        <v>0</v>
      </c>
      <c r="BI441" s="40">
        <v>0</v>
      </c>
      <c r="BJ441" s="2">
        <v>0</v>
      </c>
      <c r="BK441" s="2">
        <v>1</v>
      </c>
      <c r="BL441" s="2">
        <v>0</v>
      </c>
      <c r="BM441" s="40">
        <v>0</v>
      </c>
      <c r="BN441" s="958">
        <v>0.1</v>
      </c>
      <c r="BO441" s="50">
        <v>10</v>
      </c>
      <c r="BP441" s="1018">
        <f t="shared" ca="1" si="636"/>
        <v>206.38</v>
      </c>
      <c r="BQ441" s="1018">
        <f t="shared" ca="1" si="637"/>
        <v>308.92399999999992</v>
      </c>
      <c r="BR441" s="1018">
        <f t="shared" ca="1" si="638"/>
        <v>90.07</v>
      </c>
      <c r="BS441" s="1018">
        <f t="shared" ca="1" si="639"/>
        <v>65.974999999999994</v>
      </c>
      <c r="BT441" s="1018">
        <f t="shared" ca="1" si="640"/>
        <v>78.88</v>
      </c>
      <c r="BU441" s="1018">
        <f t="shared" ca="1" si="641"/>
        <v>18</v>
      </c>
      <c r="BV441" s="1018">
        <f t="shared" ca="1" si="642"/>
        <v>7.5250000000000004</v>
      </c>
      <c r="BW441" s="1018">
        <v>0</v>
      </c>
      <c r="BX441" s="1018">
        <f t="shared" ca="1" si="643"/>
        <v>27.307731177362307</v>
      </c>
      <c r="BY441" s="1018">
        <f t="shared" ca="1" si="644"/>
        <v>32.577267739575717</v>
      </c>
      <c r="BZ441" s="1018">
        <f t="shared" ca="1" si="582"/>
        <v>10.866122448979594</v>
      </c>
      <c r="CA441" s="1018">
        <f t="shared" ca="1" si="583"/>
        <v>35.999999985599999</v>
      </c>
      <c r="CB441" s="1018">
        <f t="shared" ca="1" si="645"/>
        <v>15.79675572519084</v>
      </c>
      <c r="CC441" s="1018">
        <f t="shared" si="584"/>
        <v>0</v>
      </c>
      <c r="CD441" s="1018">
        <f t="shared" ca="1" si="647"/>
        <v>148.59287707670845</v>
      </c>
      <c r="CE441" s="1018">
        <f t="shared" ca="1" si="563"/>
        <v>73.770479255404439</v>
      </c>
      <c r="CF441" s="1018">
        <f t="shared" ca="1" si="586"/>
        <v>6.6709006899633865</v>
      </c>
      <c r="CG441" s="1018">
        <f t="shared" ca="1" si="587"/>
        <v>11106.782812761441</v>
      </c>
    </row>
    <row r="442" spans="3:85" x14ac:dyDescent="0.25">
      <c r="D442" s="1"/>
      <c r="F442" s="1"/>
      <c r="G442" s="3"/>
      <c r="H442" s="6"/>
      <c r="I442" s="3"/>
      <c r="K442" s="8"/>
      <c r="L442" s="6"/>
      <c r="M442" s="1"/>
      <c r="N442" s="1"/>
      <c r="O442" s="1" t="s">
        <v>18</v>
      </c>
      <c r="P442" s="4"/>
      <c r="Q442" s="1" t="s">
        <v>7</v>
      </c>
      <c r="R442" s="4"/>
      <c r="S442" s="1"/>
      <c r="T442" s="77"/>
      <c r="U442" s="294"/>
      <c r="X442" s="176">
        <f t="shared" si="646"/>
        <v>0</v>
      </c>
      <c r="Y442" s="34">
        <f>X442/Calculation_sheet!M$67</f>
        <v>0</v>
      </c>
      <c r="Z442" s="176">
        <f ca="1">IF(AN442&gt;0,Y442*Calculation_sheet!C$87,0)</f>
        <v>0</v>
      </c>
      <c r="AA442" s="176">
        <f t="shared" ca="1" si="633"/>
        <v>0</v>
      </c>
      <c r="AB442" s="176">
        <f ca="1">IF(AP442&gt;0,AA442*Calculation_sheet!C$94,0)</f>
        <v>0</v>
      </c>
      <c r="AC442" s="176">
        <f t="shared" ca="1" si="634"/>
        <v>0</v>
      </c>
      <c r="AD442" s="958">
        <f ca="1">AC442*Calculation_sheet!C$99</f>
        <v>0</v>
      </c>
      <c r="AE442" s="176">
        <f t="shared" ca="1" si="634"/>
        <v>0</v>
      </c>
      <c r="AF442" s="176">
        <f t="shared" ca="1" si="635"/>
        <v>0</v>
      </c>
      <c r="AG442" s="958">
        <f ca="1">AF442*User_sheet!B$77/100</f>
        <v>0</v>
      </c>
      <c r="AH442" s="313"/>
      <c r="AI442" s="3">
        <v>304</v>
      </c>
      <c r="AK442" s="1018">
        <f t="shared" ca="1" si="581"/>
        <v>148.59287707670845</v>
      </c>
      <c r="AL442" s="924">
        <f ca="1">AK442/'304'!I$24</f>
        <v>0.58763718615351457</v>
      </c>
      <c r="AM442" s="924">
        <f ca="1">0.8*(AK442*30+'304'!D$17*0.34*30*1)</f>
        <v>7734.4508898410022</v>
      </c>
      <c r="AN442" s="954">
        <f ca="1">IF(AM442&lt;User_sheet!B$50,Y442,0)</f>
        <v>0</v>
      </c>
      <c r="AO442" s="954">
        <f ca="1">20-(User_sheet!B$57/(AK442+'304'!D$17*1*0.34))</f>
        <v>2.3129008188954714</v>
      </c>
      <c r="AP442" s="954">
        <f ca="1">IF(AO442&lt;User_sheet!B$59,0,BC442*AA442)</f>
        <v>0</v>
      </c>
      <c r="AR442" s="2">
        <v>0.32</v>
      </c>
      <c r="AS442" s="2">
        <v>0.54</v>
      </c>
      <c r="AT442" s="2">
        <v>0.45</v>
      </c>
      <c r="AU442" s="2">
        <v>2</v>
      </c>
      <c r="AV442" s="2">
        <v>3.3</v>
      </c>
      <c r="AW442" s="2">
        <v>14356</v>
      </c>
      <c r="AX442" s="2">
        <v>75022.04959166942</v>
      </c>
      <c r="AY442" s="2">
        <v>65937.809199439725</v>
      </c>
      <c r="AZ442" s="27">
        <v>0</v>
      </c>
      <c r="BA442" s="27">
        <v>0</v>
      </c>
      <c r="BB442" s="2">
        <v>0.6</v>
      </c>
      <c r="BC442" s="30">
        <v>0</v>
      </c>
      <c r="BD442" s="34">
        <v>1</v>
      </c>
      <c r="BE442" s="34">
        <v>0</v>
      </c>
      <c r="BF442" s="40">
        <v>0</v>
      </c>
      <c r="BG442" s="2">
        <v>1</v>
      </c>
      <c r="BH442" s="2">
        <v>0</v>
      </c>
      <c r="BI442" s="40">
        <v>0</v>
      </c>
      <c r="BJ442" s="2">
        <v>0</v>
      </c>
      <c r="BK442" s="2">
        <v>0</v>
      </c>
      <c r="BL442" s="2">
        <v>1</v>
      </c>
      <c r="BM442" s="40">
        <v>0</v>
      </c>
      <c r="BN442" s="958">
        <v>0.1</v>
      </c>
      <c r="BO442" s="50">
        <v>10</v>
      </c>
      <c r="BP442" s="1018">
        <f t="shared" ca="1" si="636"/>
        <v>206.38</v>
      </c>
      <c r="BQ442" s="1018">
        <f t="shared" ca="1" si="637"/>
        <v>308.92399999999992</v>
      </c>
      <c r="BR442" s="1018">
        <f t="shared" ca="1" si="638"/>
        <v>90.07</v>
      </c>
      <c r="BS442" s="1018">
        <f t="shared" ca="1" si="639"/>
        <v>65.974999999999994</v>
      </c>
      <c r="BT442" s="1018">
        <f t="shared" ca="1" si="640"/>
        <v>78.88</v>
      </c>
      <c r="BU442" s="1018">
        <f t="shared" ca="1" si="641"/>
        <v>18</v>
      </c>
      <c r="BV442" s="1018">
        <f t="shared" ca="1" si="642"/>
        <v>7.5250000000000004</v>
      </c>
      <c r="BW442" s="1018">
        <v>0</v>
      </c>
      <c r="BX442" s="1018">
        <f t="shared" ca="1" si="643"/>
        <v>27.307731177362307</v>
      </c>
      <c r="BY442" s="1018">
        <f t="shared" ca="1" si="644"/>
        <v>32.577267739575717</v>
      </c>
      <c r="BZ442" s="1018">
        <f t="shared" ca="1" si="582"/>
        <v>10.866122448979594</v>
      </c>
      <c r="CA442" s="1018">
        <f t="shared" ca="1" si="583"/>
        <v>35.999999985599999</v>
      </c>
      <c r="CB442" s="1018">
        <f t="shared" ca="1" si="645"/>
        <v>15.79675572519084</v>
      </c>
      <c r="CC442" s="1018">
        <f t="shared" si="584"/>
        <v>0</v>
      </c>
      <c r="CD442" s="1018">
        <f t="shared" ca="1" si="647"/>
        <v>148.59287707670845</v>
      </c>
      <c r="CE442" s="1018">
        <f t="shared" ca="1" si="563"/>
        <v>73.770479255404439</v>
      </c>
      <c r="CF442" s="1018">
        <f t="shared" ca="1" si="586"/>
        <v>6.6709006899633865</v>
      </c>
      <c r="CG442" s="1018">
        <f t="shared" ca="1" si="587"/>
        <v>11106.782812761441</v>
      </c>
    </row>
    <row r="443" spans="3:85" x14ac:dyDescent="0.25">
      <c r="D443" s="1"/>
      <c r="F443" s="1"/>
      <c r="G443" s="3"/>
      <c r="H443" s="6"/>
      <c r="I443" s="3"/>
      <c r="K443" s="8"/>
      <c r="L443" s="6"/>
      <c r="M443" s="1"/>
      <c r="N443" s="1"/>
      <c r="O443" s="1"/>
      <c r="P443" s="1"/>
      <c r="Q443" s="1" t="s">
        <v>22</v>
      </c>
      <c r="R443" s="4"/>
      <c r="S443" s="1"/>
      <c r="T443" s="77"/>
      <c r="U443" s="294"/>
      <c r="X443" s="176">
        <f t="shared" si="646"/>
        <v>0</v>
      </c>
      <c r="Y443" s="34">
        <f>X443/Calculation_sheet!M$67</f>
        <v>0</v>
      </c>
      <c r="Z443" s="176">
        <f ca="1">IF(AN443&gt;0,Y443*Calculation_sheet!C$87,0)</f>
        <v>0</v>
      </c>
      <c r="AA443" s="176">
        <f t="shared" ca="1" si="633"/>
        <v>0</v>
      </c>
      <c r="AB443" s="176">
        <f ca="1">IF(AP443&gt;0,AA443*Calculation_sheet!C$94,0)</f>
        <v>0</v>
      </c>
      <c r="AC443" s="176">
        <f t="shared" ca="1" si="634"/>
        <v>0</v>
      </c>
      <c r="AD443" s="958">
        <f ca="1">AC443*Calculation_sheet!C$99</f>
        <v>0</v>
      </c>
      <c r="AE443" s="176">
        <f t="shared" ca="1" si="634"/>
        <v>0</v>
      </c>
      <c r="AF443" s="176">
        <f t="shared" ca="1" si="635"/>
        <v>0</v>
      </c>
      <c r="AG443" s="958">
        <f ca="1">AF443*User_sheet!B$77/100</f>
        <v>0</v>
      </c>
      <c r="AH443" s="313"/>
      <c r="AI443" s="3">
        <v>304</v>
      </c>
      <c r="AK443" s="1018">
        <f t="shared" ca="1" si="581"/>
        <v>148.59287707670845</v>
      </c>
      <c r="AL443" s="924">
        <f ca="1">AK443/'304'!I$24</f>
        <v>0.58763718615351457</v>
      </c>
      <c r="AM443" s="924">
        <f ca="1">0.8*(AK443*30+'304'!D$17*0.34*30*1)</f>
        <v>7734.4508898410022</v>
      </c>
      <c r="AN443" s="954">
        <f ca="1">IF(AM443&lt;User_sheet!B$50,Y443,0)</f>
        <v>0</v>
      </c>
      <c r="AO443" s="954">
        <f ca="1">20-(User_sheet!B$57/(AK443+'304'!D$17*1*0.34))</f>
        <v>2.3129008188954714</v>
      </c>
      <c r="AP443" s="954">
        <f ca="1">IF(AO443&lt;User_sheet!B$59,0,BC443*AA443)</f>
        <v>0</v>
      </c>
      <c r="AR443" s="2">
        <v>0.32</v>
      </c>
      <c r="AS443" s="2">
        <v>0.54</v>
      </c>
      <c r="AT443" s="2">
        <v>0.45</v>
      </c>
      <c r="AU443" s="2">
        <v>2</v>
      </c>
      <c r="AV443" s="2">
        <v>3.3</v>
      </c>
      <c r="AW443" s="2">
        <v>14356</v>
      </c>
      <c r="AX443" s="2">
        <v>75022.04959166942</v>
      </c>
      <c r="AY443" s="2">
        <v>65937.809199439725</v>
      </c>
      <c r="AZ443" s="27">
        <v>0</v>
      </c>
      <c r="BA443" s="27">
        <v>0</v>
      </c>
      <c r="BB443" s="2">
        <v>0.6</v>
      </c>
      <c r="BC443" s="30">
        <v>0</v>
      </c>
      <c r="BD443" s="34">
        <v>1</v>
      </c>
      <c r="BE443" s="34">
        <v>0</v>
      </c>
      <c r="BF443" s="40">
        <v>0</v>
      </c>
      <c r="BG443" s="2">
        <v>0</v>
      </c>
      <c r="BH443" s="2">
        <v>1</v>
      </c>
      <c r="BI443" s="40">
        <v>0</v>
      </c>
      <c r="BJ443" s="2">
        <v>0</v>
      </c>
      <c r="BK443" s="2">
        <v>1</v>
      </c>
      <c r="BL443" s="2">
        <v>0</v>
      </c>
      <c r="BM443" s="40">
        <v>0</v>
      </c>
      <c r="BN443" s="958">
        <v>0.1</v>
      </c>
      <c r="BO443" s="50">
        <v>10</v>
      </c>
      <c r="BP443" s="1018">
        <f t="shared" ca="1" si="636"/>
        <v>206.38</v>
      </c>
      <c r="BQ443" s="1018">
        <f t="shared" ca="1" si="637"/>
        <v>308.92399999999992</v>
      </c>
      <c r="BR443" s="1018">
        <f t="shared" ca="1" si="638"/>
        <v>90.07</v>
      </c>
      <c r="BS443" s="1018">
        <f t="shared" ca="1" si="639"/>
        <v>65.974999999999994</v>
      </c>
      <c r="BT443" s="1018">
        <f t="shared" ca="1" si="640"/>
        <v>78.88</v>
      </c>
      <c r="BU443" s="1018">
        <f t="shared" ca="1" si="641"/>
        <v>18</v>
      </c>
      <c r="BV443" s="1018">
        <f t="shared" ca="1" si="642"/>
        <v>7.5250000000000004</v>
      </c>
      <c r="BW443" s="1018">
        <v>0</v>
      </c>
      <c r="BX443" s="1018">
        <f t="shared" ca="1" si="643"/>
        <v>27.307731177362307</v>
      </c>
      <c r="BY443" s="1018">
        <f t="shared" ca="1" si="644"/>
        <v>32.577267739575717</v>
      </c>
      <c r="BZ443" s="1018">
        <f t="shared" ca="1" si="582"/>
        <v>10.866122448979594</v>
      </c>
      <c r="CA443" s="1018">
        <f t="shared" ca="1" si="583"/>
        <v>35.999999985599999</v>
      </c>
      <c r="CB443" s="1018">
        <f t="shared" ca="1" si="645"/>
        <v>15.79675572519084</v>
      </c>
      <c r="CC443" s="1018">
        <f t="shared" si="584"/>
        <v>0</v>
      </c>
      <c r="CD443" s="1018">
        <f t="shared" ca="1" si="647"/>
        <v>148.59287707670845</v>
      </c>
      <c r="CE443" s="1018">
        <f t="shared" ca="1" si="563"/>
        <v>73.770479255404439</v>
      </c>
      <c r="CF443" s="1018">
        <f t="shared" ca="1" si="586"/>
        <v>6.6709006899633865</v>
      </c>
      <c r="CG443" s="1018">
        <f t="shared" ca="1" si="587"/>
        <v>11106.782812761441</v>
      </c>
    </row>
    <row r="444" spans="3:85" x14ac:dyDescent="0.25">
      <c r="D444" s="1"/>
      <c r="F444" s="1"/>
      <c r="G444" s="3"/>
      <c r="H444" s="6"/>
      <c r="I444" s="3"/>
      <c r="J444" s="6"/>
      <c r="K444" s="8"/>
      <c r="L444" s="3"/>
      <c r="M444" s="1" t="s">
        <v>22</v>
      </c>
      <c r="N444" s="4"/>
      <c r="O444" s="1" t="s">
        <v>20</v>
      </c>
      <c r="P444" s="4"/>
      <c r="Q444" s="1" t="s">
        <v>7</v>
      </c>
      <c r="R444" s="4"/>
      <c r="S444" s="1"/>
      <c r="T444" s="77"/>
      <c r="U444" s="294"/>
      <c r="X444" s="176">
        <f t="shared" si="646"/>
        <v>0</v>
      </c>
      <c r="Y444" s="34">
        <f>X444/Calculation_sheet!M$67</f>
        <v>0</v>
      </c>
      <c r="Z444" s="176">
        <f ca="1">IF(AN444&gt;0,Y444*Calculation_sheet!C$87,0)</f>
        <v>0</v>
      </c>
      <c r="AA444" s="176">
        <f t="shared" ca="1" si="633"/>
        <v>0</v>
      </c>
      <c r="AB444" s="176">
        <f ca="1">IF(AP444&gt;0,AA444*Calculation_sheet!C$94,0)</f>
        <v>0</v>
      </c>
      <c r="AC444" s="176">
        <f t="shared" ca="1" si="634"/>
        <v>0</v>
      </c>
      <c r="AD444" s="958">
        <f ca="1">AC444*Calculation_sheet!C$99</f>
        <v>0</v>
      </c>
      <c r="AE444" s="176">
        <f t="shared" ca="1" si="634"/>
        <v>0</v>
      </c>
      <c r="AF444" s="176">
        <f t="shared" ca="1" si="635"/>
        <v>0</v>
      </c>
      <c r="AG444" s="958">
        <f ca="1">AF444*User_sheet!B$77/100</f>
        <v>0</v>
      </c>
      <c r="AH444" s="313"/>
      <c r="AI444" s="3">
        <v>304</v>
      </c>
      <c r="AK444" s="1018">
        <f t="shared" ca="1" si="581"/>
        <v>148.59287707670845</v>
      </c>
      <c r="AL444" s="924">
        <f ca="1">AK444/'304'!I$24</f>
        <v>0.58763718615351457</v>
      </c>
      <c r="AM444" s="924">
        <f ca="1">0.8*(AK444*30+'304'!D$17*0.34*30*1)</f>
        <v>7734.4508898410022</v>
      </c>
      <c r="AN444" s="954">
        <f ca="1">IF(AM444&lt;User_sheet!B$50,Y444,0)</f>
        <v>0</v>
      </c>
      <c r="AO444" s="954">
        <f ca="1">20-(User_sheet!B$57/(AK444+'304'!D$17*1*0.34))</f>
        <v>2.3129008188954714</v>
      </c>
      <c r="AP444" s="954">
        <f ca="1">IF(AO444&lt;User_sheet!B$59,0,BC444*AA444)</f>
        <v>0</v>
      </c>
      <c r="AR444" s="2">
        <v>0.32</v>
      </c>
      <c r="AS444" s="2">
        <v>0.54</v>
      </c>
      <c r="AT444" s="2">
        <v>0.45</v>
      </c>
      <c r="AU444" s="2">
        <v>2</v>
      </c>
      <c r="AV444" s="2">
        <v>3.3</v>
      </c>
      <c r="AW444" s="2">
        <v>14356</v>
      </c>
      <c r="AX444" s="2">
        <v>75022.04959166942</v>
      </c>
      <c r="AY444" s="2">
        <v>65937.809199439725</v>
      </c>
      <c r="AZ444" s="27">
        <v>0</v>
      </c>
      <c r="BA444" s="27">
        <v>0</v>
      </c>
      <c r="BB444" s="2">
        <v>0.6</v>
      </c>
      <c r="BC444" s="30">
        <v>0</v>
      </c>
      <c r="BD444" s="34">
        <v>1</v>
      </c>
      <c r="BE444" s="34">
        <v>0</v>
      </c>
      <c r="BF444" s="40">
        <v>0</v>
      </c>
      <c r="BG444" s="2">
        <v>0</v>
      </c>
      <c r="BH444" s="2">
        <v>1</v>
      </c>
      <c r="BI444" s="40">
        <v>0</v>
      </c>
      <c r="BJ444" s="2">
        <v>0</v>
      </c>
      <c r="BK444" s="2">
        <v>0</v>
      </c>
      <c r="BL444" s="2">
        <v>1</v>
      </c>
      <c r="BM444" s="40">
        <v>0</v>
      </c>
      <c r="BN444" s="958">
        <v>0.1</v>
      </c>
      <c r="BO444" s="50">
        <v>10</v>
      </c>
      <c r="BP444" s="1018">
        <f t="shared" ca="1" si="636"/>
        <v>206.38</v>
      </c>
      <c r="BQ444" s="1018">
        <f t="shared" ca="1" si="637"/>
        <v>308.92399999999992</v>
      </c>
      <c r="BR444" s="1018">
        <f t="shared" ca="1" si="638"/>
        <v>90.07</v>
      </c>
      <c r="BS444" s="1018">
        <f t="shared" ca="1" si="639"/>
        <v>65.974999999999994</v>
      </c>
      <c r="BT444" s="1018">
        <f t="shared" ca="1" si="640"/>
        <v>78.88</v>
      </c>
      <c r="BU444" s="1018">
        <f t="shared" ca="1" si="641"/>
        <v>18</v>
      </c>
      <c r="BV444" s="1018">
        <f t="shared" ca="1" si="642"/>
        <v>7.5250000000000004</v>
      </c>
      <c r="BW444" s="1018">
        <v>0</v>
      </c>
      <c r="BX444" s="1018">
        <f t="shared" ca="1" si="643"/>
        <v>27.307731177362307</v>
      </c>
      <c r="BY444" s="1018">
        <f t="shared" ca="1" si="644"/>
        <v>32.577267739575717</v>
      </c>
      <c r="BZ444" s="1018">
        <f t="shared" ca="1" si="582"/>
        <v>10.866122448979594</v>
      </c>
      <c r="CA444" s="1018">
        <f t="shared" ca="1" si="583"/>
        <v>35.999999985599999</v>
      </c>
      <c r="CB444" s="1018">
        <f t="shared" ca="1" si="645"/>
        <v>15.79675572519084</v>
      </c>
      <c r="CC444" s="1018">
        <f t="shared" si="584"/>
        <v>0</v>
      </c>
      <c r="CD444" s="1018">
        <f t="shared" ca="1" si="647"/>
        <v>148.59287707670845</v>
      </c>
      <c r="CE444" s="1018">
        <f t="shared" ca="1" si="563"/>
        <v>73.770479255404439</v>
      </c>
      <c r="CF444" s="1018">
        <f t="shared" ca="1" si="586"/>
        <v>6.6709006899633865</v>
      </c>
      <c r="CG444" s="1018">
        <f t="shared" ca="1" si="587"/>
        <v>11106.782812761441</v>
      </c>
    </row>
    <row r="445" spans="3:85" x14ac:dyDescent="0.25">
      <c r="D445" s="1"/>
      <c r="F445" s="1"/>
      <c r="G445" s="3"/>
      <c r="H445" s="6"/>
      <c r="I445" s="3"/>
      <c r="J445" s="6"/>
      <c r="K445" s="8"/>
      <c r="L445" s="7"/>
      <c r="M445" s="1" t="s">
        <v>7</v>
      </c>
      <c r="N445" s="4"/>
      <c r="O445" s="1" t="s">
        <v>23</v>
      </c>
      <c r="P445" s="4"/>
      <c r="Q445" s="1" t="s">
        <v>7</v>
      </c>
      <c r="R445" s="4"/>
      <c r="S445" s="1"/>
      <c r="T445" s="77"/>
      <c r="U445" s="294"/>
      <c r="X445" s="176">
        <f t="shared" si="646"/>
        <v>0</v>
      </c>
      <c r="Y445" s="34">
        <f>X445/Calculation_sheet!M$67</f>
        <v>0</v>
      </c>
      <c r="Z445" s="176">
        <f ca="1">IF(AN445&gt;0,Y445*Calculation_sheet!C$87,0)</f>
        <v>0</v>
      </c>
      <c r="AA445" s="176">
        <f t="shared" ca="1" si="633"/>
        <v>0</v>
      </c>
      <c r="AB445" s="176">
        <f ca="1">IF(AP445&gt;0,AA445*Calculation_sheet!C$94,0)</f>
        <v>0</v>
      </c>
      <c r="AC445" s="176">
        <f t="shared" ca="1" si="634"/>
        <v>0</v>
      </c>
      <c r="AD445" s="958">
        <f ca="1">AC445*Calculation_sheet!C$99</f>
        <v>0</v>
      </c>
      <c r="AE445" s="176">
        <f t="shared" ca="1" si="634"/>
        <v>0</v>
      </c>
      <c r="AF445" s="176">
        <f t="shared" ca="1" si="635"/>
        <v>0</v>
      </c>
      <c r="AG445" s="958">
        <f ca="1">AF445*User_sheet!B$77/100</f>
        <v>0</v>
      </c>
      <c r="AH445" s="313"/>
      <c r="AI445" s="3">
        <v>304</v>
      </c>
      <c r="AK445" s="1018">
        <f t="shared" ca="1" si="581"/>
        <v>148.59287707670845</v>
      </c>
      <c r="AL445" s="924">
        <f ca="1">AK445/'304'!I$24</f>
        <v>0.58763718615351457</v>
      </c>
      <c r="AM445" s="924">
        <f ca="1">0.8*(AK445*30+'304'!D$17*0.34*30*1)</f>
        <v>7734.4508898410022</v>
      </c>
      <c r="AN445" s="954">
        <f ca="1">IF(AM445&lt;User_sheet!B$50,Y445,0)</f>
        <v>0</v>
      </c>
      <c r="AO445" s="954">
        <f ca="1">20-(User_sheet!B$57/(AK445+'304'!D$17*1*0.34))</f>
        <v>2.3129008188954714</v>
      </c>
      <c r="AP445" s="954">
        <f ca="1">IF(AO445&lt;User_sheet!B$59,0,BC445*AA445)</f>
        <v>0</v>
      </c>
      <c r="AR445" s="2">
        <v>0.32</v>
      </c>
      <c r="AS445" s="2">
        <v>0.54</v>
      </c>
      <c r="AT445" s="2">
        <v>0.45</v>
      </c>
      <c r="AU445" s="2">
        <v>2</v>
      </c>
      <c r="AV445" s="2">
        <v>3.3</v>
      </c>
      <c r="AW445" s="2">
        <v>14356</v>
      </c>
      <c r="AX445" s="2">
        <v>75022.04959166942</v>
      </c>
      <c r="AY445" s="2">
        <v>65937.809199439725</v>
      </c>
      <c r="AZ445" s="27">
        <v>0</v>
      </c>
      <c r="BA445" s="27">
        <v>0</v>
      </c>
      <c r="BB445" s="2">
        <v>0.6</v>
      </c>
      <c r="BC445" s="30">
        <v>0</v>
      </c>
      <c r="BD445" s="34">
        <v>0</v>
      </c>
      <c r="BE445" s="34">
        <v>1</v>
      </c>
      <c r="BF445" s="40">
        <v>0</v>
      </c>
      <c r="BG445" s="2">
        <v>0</v>
      </c>
      <c r="BH445" s="2">
        <v>0</v>
      </c>
      <c r="BI445" s="40">
        <v>1</v>
      </c>
      <c r="BJ445" s="2">
        <v>0</v>
      </c>
      <c r="BK445" s="2">
        <v>0</v>
      </c>
      <c r="BL445" s="2">
        <v>1</v>
      </c>
      <c r="BM445" s="40">
        <v>0</v>
      </c>
      <c r="BN445" s="958">
        <v>0.1</v>
      </c>
      <c r="BO445" s="50">
        <v>10</v>
      </c>
      <c r="BP445" s="1018">
        <f t="shared" ca="1" si="636"/>
        <v>206.38</v>
      </c>
      <c r="BQ445" s="1018">
        <f t="shared" ca="1" si="637"/>
        <v>308.92399999999992</v>
      </c>
      <c r="BR445" s="1018">
        <f t="shared" ca="1" si="638"/>
        <v>90.07</v>
      </c>
      <c r="BS445" s="1018">
        <f t="shared" ca="1" si="639"/>
        <v>65.974999999999994</v>
      </c>
      <c r="BT445" s="1018">
        <f t="shared" ca="1" si="640"/>
        <v>78.88</v>
      </c>
      <c r="BU445" s="1018">
        <f t="shared" ca="1" si="641"/>
        <v>18</v>
      </c>
      <c r="BV445" s="1018">
        <f t="shared" ca="1" si="642"/>
        <v>7.5250000000000004</v>
      </c>
      <c r="BW445" s="1018">
        <v>0</v>
      </c>
      <c r="BX445" s="1018">
        <f t="shared" ca="1" si="643"/>
        <v>27.307731177362307</v>
      </c>
      <c r="BY445" s="1018">
        <f t="shared" ca="1" si="644"/>
        <v>32.577267739575717</v>
      </c>
      <c r="BZ445" s="1018">
        <f t="shared" ca="1" si="582"/>
        <v>10.866122448979594</v>
      </c>
      <c r="CA445" s="1018">
        <f t="shared" ca="1" si="583"/>
        <v>35.999999985599999</v>
      </c>
      <c r="CB445" s="1018">
        <f t="shared" ca="1" si="645"/>
        <v>15.79675572519084</v>
      </c>
      <c r="CC445" s="1018">
        <f t="shared" si="584"/>
        <v>0</v>
      </c>
      <c r="CD445" s="1018">
        <f t="shared" ca="1" si="647"/>
        <v>148.59287707670845</v>
      </c>
      <c r="CE445" s="1018">
        <f t="shared" ca="1" si="563"/>
        <v>73.770479255404439</v>
      </c>
      <c r="CF445" s="1018">
        <f t="shared" ca="1" si="586"/>
        <v>6.6709006899633865</v>
      </c>
      <c r="CG445" s="1018">
        <f t="shared" ca="1" si="587"/>
        <v>11106.782812761441</v>
      </c>
    </row>
    <row r="446" spans="3:85" s="11" customFormat="1" x14ac:dyDescent="0.25">
      <c r="D446" s="12"/>
      <c r="F446" s="12"/>
      <c r="H446" s="12"/>
      <c r="J446" s="12"/>
      <c r="M446" s="12"/>
      <c r="N446" s="12"/>
      <c r="O446" s="12"/>
      <c r="P446" s="12"/>
      <c r="Q446" s="12"/>
      <c r="R446" s="12"/>
      <c r="S446" s="12"/>
      <c r="T446" s="82"/>
      <c r="U446" s="289"/>
      <c r="V446" s="293"/>
      <c r="W446" s="292"/>
      <c r="X446" s="292"/>
      <c r="Y446" s="277"/>
      <c r="Z446" s="292"/>
      <c r="AA446" s="292"/>
      <c r="AB446" s="292"/>
      <c r="AC446" s="292"/>
      <c r="AD446" s="277"/>
      <c r="AE446" s="292"/>
      <c r="AF446" s="292"/>
      <c r="AG446" s="277"/>
      <c r="AH446" s="313"/>
      <c r="AJ446" s="314"/>
      <c r="AK446" s="1018">
        <f t="shared" si="581"/>
        <v>0</v>
      </c>
      <c r="AL446" s="946"/>
      <c r="AM446" s="946"/>
      <c r="AN446" s="955"/>
      <c r="AO446" s="955"/>
      <c r="AP446" s="955"/>
      <c r="AQ446" s="314"/>
      <c r="AR446" s="28"/>
      <c r="AS446" s="28"/>
      <c r="AT446" s="28"/>
      <c r="AU446" s="28"/>
      <c r="AV446" s="28"/>
      <c r="AW446" s="28"/>
      <c r="AX446" s="28"/>
      <c r="AY446" s="28"/>
      <c r="AZ446" s="28"/>
      <c r="BA446" s="28"/>
      <c r="BB446" s="28"/>
      <c r="BC446" s="45"/>
      <c r="BD446" s="277"/>
      <c r="BE446" s="277"/>
      <c r="BF446" s="49"/>
      <c r="BG446" s="28"/>
      <c r="BH446" s="28"/>
      <c r="BI446" s="49"/>
      <c r="BJ446" s="28"/>
      <c r="BK446" s="28"/>
      <c r="BL446" s="28"/>
      <c r="BM446" s="49"/>
      <c r="BN446" s="277"/>
      <c r="BO446" s="49"/>
      <c r="BP446" s="946"/>
      <c r="BQ446" s="946"/>
      <c r="BR446" s="946"/>
      <c r="BS446" s="946"/>
      <c r="BT446" s="946"/>
      <c r="BU446" s="946"/>
      <c r="BV446" s="946"/>
      <c r="BW446" s="946"/>
      <c r="BX446" s="946"/>
      <c r="BY446" s="946"/>
      <c r="BZ446" s="946"/>
      <c r="CA446" s="946"/>
      <c r="CB446" s="946"/>
      <c r="CC446" s="946"/>
      <c r="CD446" s="946"/>
      <c r="CE446" s="946"/>
      <c r="CF446" s="946"/>
      <c r="CG446" s="946"/>
    </row>
    <row r="447" spans="3:85" x14ac:dyDescent="0.25">
      <c r="C447" s="758"/>
      <c r="D447" s="759"/>
      <c r="E447" s="764" t="s">
        <v>15</v>
      </c>
      <c r="F447" s="765">
        <v>0.23546700000000001</v>
      </c>
      <c r="G447" s="758"/>
      <c r="H447" s="758"/>
      <c r="I447" s="758" t="s">
        <v>10</v>
      </c>
      <c r="J447" s="762">
        <v>0.40970000000000001</v>
      </c>
      <c r="K447" s="759"/>
      <c r="L447" s="759"/>
      <c r="M447" s="759"/>
      <c r="N447" s="759"/>
      <c r="O447" s="759"/>
      <c r="P447" s="759"/>
      <c r="Q447" s="759" t="s">
        <v>16</v>
      </c>
      <c r="R447" s="760">
        <v>0.81069999999999998</v>
      </c>
      <c r="S447" s="759"/>
      <c r="T447" s="767">
        <v>2.0752750797301396E-4</v>
      </c>
      <c r="U447" s="758"/>
      <c r="V447" s="176">
        <f t="shared" si="550"/>
        <v>2.0752750797301396E-4</v>
      </c>
      <c r="W447" s="176">
        <f>V447-V447*Calculation_sheet!J$69</f>
        <v>2.0752750797301396E-4</v>
      </c>
      <c r="X447" s="176">
        <f>W447-W447*Calculation_sheet!J$79</f>
        <v>2.0752750797301396E-4</v>
      </c>
      <c r="Y447" s="34">
        <f>X447/Calculation_sheet!M$67</f>
        <v>2.0753175116940042E-4</v>
      </c>
      <c r="Z447" s="176">
        <f ca="1">IF(AN447&gt;0,Y447*Calculation_sheet!C$87,0)</f>
        <v>0</v>
      </c>
      <c r="AA447" s="176">
        <f t="shared" ref="AA447:AA455" ca="1" si="648">Y447-Z447</f>
        <v>2.0753175116940042E-4</v>
      </c>
      <c r="AB447" s="176">
        <f ca="1">IF(AP447&gt;0,AA447*Calculation_sheet!C$94,0)</f>
        <v>0</v>
      </c>
      <c r="AC447" s="176">
        <f t="shared" ref="AC447:AE455" ca="1" si="649">AA447-AB447</f>
        <v>2.0753175116940042E-4</v>
      </c>
      <c r="AD447" s="958">
        <f ca="1">AC447*Calculation_sheet!C$99</f>
        <v>1.2451905070164025E-4</v>
      </c>
      <c r="AE447" s="176">
        <f t="shared" ca="1" si="649"/>
        <v>8.3012700467760168E-5</v>
      </c>
      <c r="AF447" s="176">
        <f t="shared" ref="AF447:AF455" ca="1" si="650">Y447-AB447</f>
        <v>2.0753175116940042E-4</v>
      </c>
      <c r="AG447" s="958">
        <f ca="1">AF447*User_sheet!B$77/100</f>
        <v>0</v>
      </c>
      <c r="AH447" s="313"/>
      <c r="AI447" s="3">
        <v>304</v>
      </c>
      <c r="AK447" s="1018">
        <f t="shared" ca="1" si="581"/>
        <v>168.45088829456</v>
      </c>
      <c r="AL447" s="924">
        <f ca="1">AK447/'304'!I$24</f>
        <v>0.66616925353275469</v>
      </c>
      <c r="AM447" s="924">
        <f ca="1">0.8*(AK447*30+'304'!D$17*0.34*30*1)</f>
        <v>8211.0431590694407</v>
      </c>
      <c r="AN447" s="954">
        <f ca="1">IF(AM447&lt;User_sheet!B$50,Y447,0)</f>
        <v>2.0753175116940042E-4</v>
      </c>
      <c r="AO447" s="954">
        <f ca="1">20-(User_sheet!B$57/(AK447+'304'!D$17*1*0.34))</f>
        <v>3.3395102973123834</v>
      </c>
      <c r="AP447" s="954">
        <f ca="1">IF(AO447&lt;User_sheet!B$59,0,BC447*AA447)</f>
        <v>0</v>
      </c>
      <c r="AR447" s="2">
        <v>0.47</v>
      </c>
      <c r="AS447" s="2">
        <v>0.54</v>
      </c>
      <c r="AT447" s="2">
        <v>0.83</v>
      </c>
      <c r="AU447" s="2">
        <v>2</v>
      </c>
      <c r="AV447" s="2">
        <v>3.3</v>
      </c>
      <c r="AW447" s="2">
        <v>12848.541887298286</v>
      </c>
      <c r="AX447" s="2">
        <v>75022.04959166942</v>
      </c>
      <c r="AY447" s="2">
        <v>69245.59826015502</v>
      </c>
      <c r="AZ447" s="27">
        <v>0</v>
      </c>
      <c r="BA447" s="27">
        <v>0</v>
      </c>
      <c r="BB447" s="2">
        <v>0.6</v>
      </c>
      <c r="BC447" s="30">
        <v>1</v>
      </c>
      <c r="BD447" s="34">
        <v>0</v>
      </c>
      <c r="BE447" s="34">
        <v>0</v>
      </c>
      <c r="BF447" s="40">
        <v>0</v>
      </c>
      <c r="BG447" s="2">
        <v>1</v>
      </c>
      <c r="BH447" s="2">
        <v>0</v>
      </c>
      <c r="BI447" s="40">
        <v>0</v>
      </c>
      <c r="BJ447" s="2">
        <v>1</v>
      </c>
      <c r="BK447" s="2">
        <v>0</v>
      </c>
      <c r="BL447" s="2">
        <v>0</v>
      </c>
      <c r="BM447" s="40">
        <v>0</v>
      </c>
      <c r="BN447" s="958">
        <v>0.1</v>
      </c>
      <c r="BO447" s="50">
        <v>10</v>
      </c>
      <c r="BP447" s="1018">
        <f t="shared" ref="BP447:BP455" ca="1" si="651">INDIRECT("'"&amp;AI447&amp;"'!"&amp;"B2")</f>
        <v>206.38</v>
      </c>
      <c r="BQ447" s="1018">
        <f t="shared" ref="BQ447:BQ455" ca="1" si="652">INDIRECT("'"&amp;AI447&amp;"'!"&amp;"C12")+INDIRECT("'"&amp;AI447&amp;"'!"&amp;"C13")+INDIRECT("'"&amp;AI447&amp;"'!"&amp;"C14")+INDIRECT("'"&amp;AI447&amp;"'!"&amp;"C15")+INDIRECT("'"&amp;AI447&amp;"'!"&amp;"C17")</f>
        <v>308.92399999999992</v>
      </c>
      <c r="BR447" s="1018">
        <f t="shared" ref="BR447:BR455" ca="1" si="653">INDIRECT("'"&amp;AI447&amp;"'!"&amp;"G5")</f>
        <v>90.07</v>
      </c>
      <c r="BS447" s="1018">
        <f t="shared" ref="BS447:BS455" ca="1" si="654">INDIRECT("'"&amp;AI447&amp;"'!"&amp;"G4")</f>
        <v>65.974999999999994</v>
      </c>
      <c r="BT447" s="1018">
        <f t="shared" ref="BT447:BT455" ca="1" si="655">INDIRECT("'"&amp;AI447&amp;"'!"&amp;"G6")</f>
        <v>78.88</v>
      </c>
      <c r="BU447" s="1018">
        <f t="shared" ref="BU447:BU455" ca="1" si="656">INDIRECT("'"&amp;AI447&amp;"'!"&amp;"G2")</f>
        <v>18</v>
      </c>
      <c r="BV447" s="1018">
        <f t="shared" ref="BV447:BV455" ca="1" si="657">INDIRECT("'"&amp;AI447&amp;"'!"&amp;"G3")</f>
        <v>7.5250000000000004</v>
      </c>
      <c r="BW447" s="1018">
        <v>0</v>
      </c>
      <c r="BX447" s="1018">
        <f t="shared" ref="BX447:BX455" ca="1" si="658">IF(BR447=0,0,1/(1/(BR447*$BY$3)+1/(BR447*AR447)+1/(BR447*$BY$4)))</f>
        <v>39.143971150289723</v>
      </c>
      <c r="BY447" s="1018">
        <f t="shared" ref="BY447:BY455" ca="1" si="659">IF(BS447=0,0,1/(1/(BS447*$BY$3)+1/(BS447*AS447)+1/(BS447*$BY$4)))</f>
        <v>32.577267739575717</v>
      </c>
      <c r="BZ447" s="1018">
        <f t="shared" ca="1" si="582"/>
        <v>18.887893693903717</v>
      </c>
      <c r="CA447" s="1018">
        <f t="shared" ca="1" si="583"/>
        <v>35.999999985599999</v>
      </c>
      <c r="CB447" s="1018">
        <f t="shared" ref="CB447:CB455" ca="1" si="660">IF(BV447=0,0,1/(1/(BV447*$BY$3)+1/(BV447*AV447)+1/(BV447*$BY$4)))</f>
        <v>15.79675572519084</v>
      </c>
      <c r="CC447" s="1018">
        <f t="shared" si="584"/>
        <v>0</v>
      </c>
      <c r="CD447" s="1018">
        <f ca="1">SUM(BX447:CC447)+(BR447+BS447+BT447+BU447+BV447)*BN447</f>
        <v>168.45088829456</v>
      </c>
      <c r="CE447" s="1018">
        <f t="shared" ref="CE447:CE455" ca="1" si="661">0.34*BO447*(1/25)^0.66*(BR447+BS447+BU447+BV447)</f>
        <v>73.770479255404439</v>
      </c>
      <c r="CF447" s="1018">
        <f t="shared" ca="1" si="586"/>
        <v>7.2666410264989336</v>
      </c>
      <c r="CG447" s="1018">
        <f t="shared" ca="1" si="587"/>
        <v>12098.666643479664</v>
      </c>
    </row>
    <row r="448" spans="3:85" x14ac:dyDescent="0.25">
      <c r="C448" s="758"/>
      <c r="D448" s="759"/>
      <c r="E448" s="758"/>
      <c r="F448" s="759"/>
      <c r="G448" s="758"/>
      <c r="H448" s="759"/>
      <c r="I448" s="758"/>
      <c r="J448" s="759"/>
      <c r="K448" s="759"/>
      <c r="L448" s="763"/>
      <c r="M448" s="759"/>
      <c r="N448" s="759"/>
      <c r="O448" s="759" t="s">
        <v>18</v>
      </c>
      <c r="P448" s="760">
        <v>0.962121212</v>
      </c>
      <c r="Q448" s="759" t="s">
        <v>7</v>
      </c>
      <c r="R448" s="760">
        <v>0.1893</v>
      </c>
      <c r="S448" s="759"/>
      <c r="T448" s="767">
        <v>4.8458069889344457E-5</v>
      </c>
      <c r="U448" s="758"/>
      <c r="V448" s="176">
        <f t="shared" si="550"/>
        <v>4.8458069889344457E-5</v>
      </c>
      <c r="W448" s="176">
        <f>V448-V448*Calculation_sheet!J$69</f>
        <v>4.8458069889344457E-5</v>
      </c>
      <c r="X448" s="176">
        <f>W448-W448*Calculation_sheet!J$79</f>
        <v>4.8458069889344457E-5</v>
      </c>
      <c r="Y448" s="34">
        <f>X448/Calculation_sheet!M$67</f>
        <v>4.845906068381338E-5</v>
      </c>
      <c r="Z448" s="176">
        <f ca="1">IF(AN448&gt;0,Y448*Calculation_sheet!C$87,0)</f>
        <v>0</v>
      </c>
      <c r="AA448" s="176">
        <f t="shared" ca="1" si="648"/>
        <v>4.845906068381338E-5</v>
      </c>
      <c r="AB448" s="176">
        <f ca="1">IF(AP448&gt;0,AA448*Calculation_sheet!C$94,0)</f>
        <v>0</v>
      </c>
      <c r="AC448" s="176">
        <f t="shared" ca="1" si="649"/>
        <v>4.845906068381338E-5</v>
      </c>
      <c r="AD448" s="958">
        <f ca="1">AC448*Calculation_sheet!C$99</f>
        <v>2.9075436410288026E-5</v>
      </c>
      <c r="AE448" s="176">
        <f t="shared" ca="1" si="649"/>
        <v>1.9383624273525354E-5</v>
      </c>
      <c r="AF448" s="176">
        <f t="shared" ca="1" si="650"/>
        <v>4.845906068381338E-5</v>
      </c>
      <c r="AG448" s="958">
        <f ca="1">AF448*User_sheet!B$77/100</f>
        <v>0</v>
      </c>
      <c r="AH448" s="313"/>
      <c r="AI448" s="3">
        <v>304</v>
      </c>
      <c r="AK448" s="1018">
        <f t="shared" ca="1" si="581"/>
        <v>168.45088829456</v>
      </c>
      <c r="AL448" s="924">
        <f ca="1">AK448/'304'!I$24</f>
        <v>0.66616925353275469</v>
      </c>
      <c r="AM448" s="924">
        <f ca="1">0.8*(AK448*30+'304'!D$17*0.34*30*1)</f>
        <v>8211.0431590694407</v>
      </c>
      <c r="AN448" s="954">
        <f ca="1">IF(AM448&lt;User_sheet!B$50,Y448,0)</f>
        <v>4.845906068381338E-5</v>
      </c>
      <c r="AO448" s="954">
        <f ca="1">20-(User_sheet!B$57/(AK448+'304'!D$17*1*0.34))</f>
        <v>3.3395102973123834</v>
      </c>
      <c r="AP448" s="954">
        <f ca="1">IF(AO448&lt;User_sheet!B$59,0,BC448*AA448)</f>
        <v>0</v>
      </c>
      <c r="AR448" s="2">
        <v>0.47</v>
      </c>
      <c r="AS448" s="2">
        <v>0.54</v>
      </c>
      <c r="AT448" s="2">
        <v>0.83</v>
      </c>
      <c r="AU448" s="2">
        <v>2</v>
      </c>
      <c r="AV448" s="2">
        <v>3.3</v>
      </c>
      <c r="AW448" s="2">
        <v>12848.541887298286</v>
      </c>
      <c r="AX448" s="2">
        <v>75022.04959166942</v>
      </c>
      <c r="AY448" s="2">
        <v>69245.59826015502</v>
      </c>
      <c r="AZ448" s="27">
        <v>0</v>
      </c>
      <c r="BA448" s="27">
        <v>0</v>
      </c>
      <c r="BB448" s="2">
        <v>0.6</v>
      </c>
      <c r="BC448" s="30">
        <v>1</v>
      </c>
      <c r="BD448" s="34">
        <v>0</v>
      </c>
      <c r="BE448" s="34">
        <v>0</v>
      </c>
      <c r="BF448" s="40">
        <v>0</v>
      </c>
      <c r="BG448" s="2">
        <v>1</v>
      </c>
      <c r="BH448" s="2">
        <v>0</v>
      </c>
      <c r="BI448" s="40">
        <v>0</v>
      </c>
      <c r="BJ448" s="2">
        <v>0</v>
      </c>
      <c r="BK448" s="2">
        <v>0</v>
      </c>
      <c r="BL448" s="2">
        <v>1</v>
      </c>
      <c r="BM448" s="40">
        <v>0</v>
      </c>
      <c r="BN448" s="958">
        <v>0.1</v>
      </c>
      <c r="BO448" s="50">
        <v>10</v>
      </c>
      <c r="BP448" s="1018">
        <f t="shared" ca="1" si="651"/>
        <v>206.38</v>
      </c>
      <c r="BQ448" s="1018">
        <f t="shared" ca="1" si="652"/>
        <v>308.92399999999992</v>
      </c>
      <c r="BR448" s="1018">
        <f t="shared" ca="1" si="653"/>
        <v>90.07</v>
      </c>
      <c r="BS448" s="1018">
        <f t="shared" ca="1" si="654"/>
        <v>65.974999999999994</v>
      </c>
      <c r="BT448" s="1018">
        <f t="shared" ca="1" si="655"/>
        <v>78.88</v>
      </c>
      <c r="BU448" s="1018">
        <f t="shared" ca="1" si="656"/>
        <v>18</v>
      </c>
      <c r="BV448" s="1018">
        <f t="shared" ca="1" si="657"/>
        <v>7.5250000000000004</v>
      </c>
      <c r="BW448" s="1018">
        <v>0</v>
      </c>
      <c r="BX448" s="1018">
        <f t="shared" ca="1" si="658"/>
        <v>39.143971150289723</v>
      </c>
      <c r="BY448" s="1018">
        <f t="shared" ca="1" si="659"/>
        <v>32.577267739575717</v>
      </c>
      <c r="BZ448" s="1018">
        <f t="shared" ca="1" si="582"/>
        <v>18.887893693903717</v>
      </c>
      <c r="CA448" s="1018">
        <f t="shared" ca="1" si="583"/>
        <v>35.999999985599999</v>
      </c>
      <c r="CB448" s="1018">
        <f t="shared" ca="1" si="660"/>
        <v>15.79675572519084</v>
      </c>
      <c r="CC448" s="1018">
        <f t="shared" si="584"/>
        <v>0</v>
      </c>
      <c r="CD448" s="1018">
        <f t="shared" ref="CD448:CD455" ca="1" si="662">SUM(BX448:CC448)+(BR448+BS448+BT448+BU448+BV448)*BN448</f>
        <v>168.45088829456</v>
      </c>
      <c r="CE448" s="1018">
        <f t="shared" ca="1" si="661"/>
        <v>73.770479255404439</v>
      </c>
      <c r="CF448" s="1018">
        <f t="shared" ca="1" si="586"/>
        <v>7.2666410264989336</v>
      </c>
      <c r="CG448" s="1018">
        <f t="shared" ca="1" si="587"/>
        <v>12098.666643479664</v>
      </c>
    </row>
    <row r="449" spans="3:85" x14ac:dyDescent="0.25">
      <c r="C449" s="758"/>
      <c r="D449" s="759"/>
      <c r="E449" s="758"/>
      <c r="F449" s="759"/>
      <c r="G449" s="758"/>
      <c r="H449" s="759"/>
      <c r="I449" s="758"/>
      <c r="J449" s="759"/>
      <c r="K449" s="759"/>
      <c r="L449" s="763"/>
      <c r="M449" s="759"/>
      <c r="N449" s="759"/>
      <c r="O449" s="759"/>
      <c r="P449" s="759"/>
      <c r="Q449" s="759" t="s">
        <v>16</v>
      </c>
      <c r="R449" s="760">
        <v>0.81069999999999998</v>
      </c>
      <c r="S449" s="759"/>
      <c r="T449" s="767">
        <v>8.1703743568207549E-6</v>
      </c>
      <c r="U449" s="758"/>
      <c r="V449" s="176">
        <f t="shared" si="550"/>
        <v>8.1703743568207549E-6</v>
      </c>
      <c r="W449" s="176">
        <f>V449-V449*Calculation_sheet!J$69</f>
        <v>8.1703743568207549E-6</v>
      </c>
      <c r="X449" s="176">
        <f>W449-W449*Calculation_sheet!J$79</f>
        <v>8.1703743568207549E-6</v>
      </c>
      <c r="Y449" s="34">
        <f>X449/Calculation_sheet!M$67</f>
        <v>8.1705414117971558E-6</v>
      </c>
      <c r="Z449" s="176">
        <f ca="1">IF(AN449&gt;0,Y449*Calculation_sheet!C$87,0)</f>
        <v>0</v>
      </c>
      <c r="AA449" s="176">
        <f t="shared" ca="1" si="648"/>
        <v>8.1705414117971558E-6</v>
      </c>
      <c r="AB449" s="176">
        <f ca="1">IF(AP449&gt;0,AA449*Calculation_sheet!C$94,0)</f>
        <v>0</v>
      </c>
      <c r="AC449" s="176">
        <f t="shared" ca="1" si="649"/>
        <v>8.1705414117971558E-6</v>
      </c>
      <c r="AD449" s="958">
        <f ca="1">AC449*Calculation_sheet!C$99</f>
        <v>4.9023248470782935E-6</v>
      </c>
      <c r="AE449" s="176">
        <f t="shared" ca="1" si="649"/>
        <v>3.2682165647188623E-6</v>
      </c>
      <c r="AF449" s="176">
        <f t="shared" ca="1" si="650"/>
        <v>8.1705414117971558E-6</v>
      </c>
      <c r="AG449" s="958">
        <f ca="1">AF449*User_sheet!B$77/100</f>
        <v>0</v>
      </c>
      <c r="AH449" s="313"/>
      <c r="AI449" s="3">
        <v>304</v>
      </c>
      <c r="AK449" s="1018">
        <f t="shared" ca="1" si="581"/>
        <v>168.45088829456</v>
      </c>
      <c r="AL449" s="924">
        <f ca="1">AK449/'304'!I$24</f>
        <v>0.66616925353275469</v>
      </c>
      <c r="AM449" s="924">
        <f ca="1">0.8*(AK449*30+'304'!D$17*0.34*30*1)</f>
        <v>8211.0431590694407</v>
      </c>
      <c r="AN449" s="954">
        <f ca="1">IF(AM449&lt;User_sheet!B$50,Y449,0)</f>
        <v>8.1705414117971558E-6</v>
      </c>
      <c r="AO449" s="954">
        <f ca="1">20-(User_sheet!B$57/(AK449+'304'!D$17*1*0.34))</f>
        <v>3.3395102973123834</v>
      </c>
      <c r="AP449" s="954">
        <f ca="1">IF(AO449&lt;User_sheet!B$59,0,BC449*AA449)</f>
        <v>0</v>
      </c>
      <c r="AR449" s="2">
        <v>0.47</v>
      </c>
      <c r="AS449" s="2">
        <v>0.54</v>
      </c>
      <c r="AT449" s="2">
        <v>0.83</v>
      </c>
      <c r="AU449" s="2">
        <v>2</v>
      </c>
      <c r="AV449" s="2">
        <v>3.3</v>
      </c>
      <c r="AW449" s="2">
        <v>12848.541887298286</v>
      </c>
      <c r="AX449" s="2">
        <v>75022.04959166942</v>
      </c>
      <c r="AY449" s="2">
        <v>69245.59826015502</v>
      </c>
      <c r="AZ449" s="27">
        <v>0</v>
      </c>
      <c r="BA449" s="27">
        <v>0</v>
      </c>
      <c r="BB449" s="2">
        <v>0.6</v>
      </c>
      <c r="BC449" s="30">
        <v>1</v>
      </c>
      <c r="BD449" s="34">
        <v>0</v>
      </c>
      <c r="BE449" s="34">
        <v>0</v>
      </c>
      <c r="BF449" s="40">
        <v>0</v>
      </c>
      <c r="BG449" s="2">
        <v>0</v>
      </c>
      <c r="BH449" s="2">
        <v>1</v>
      </c>
      <c r="BI449" s="40">
        <v>0</v>
      </c>
      <c r="BJ449" s="2">
        <v>1</v>
      </c>
      <c r="BK449" s="2">
        <v>0</v>
      </c>
      <c r="BL449" s="2">
        <v>0</v>
      </c>
      <c r="BM449" s="40">
        <v>0</v>
      </c>
      <c r="BN449" s="958">
        <v>0.1</v>
      </c>
      <c r="BO449" s="50">
        <v>10</v>
      </c>
      <c r="BP449" s="1018">
        <f t="shared" ca="1" si="651"/>
        <v>206.38</v>
      </c>
      <c r="BQ449" s="1018">
        <f t="shared" ca="1" si="652"/>
        <v>308.92399999999992</v>
      </c>
      <c r="BR449" s="1018">
        <f t="shared" ca="1" si="653"/>
        <v>90.07</v>
      </c>
      <c r="BS449" s="1018">
        <f t="shared" ca="1" si="654"/>
        <v>65.974999999999994</v>
      </c>
      <c r="BT449" s="1018">
        <f t="shared" ca="1" si="655"/>
        <v>78.88</v>
      </c>
      <c r="BU449" s="1018">
        <f t="shared" ca="1" si="656"/>
        <v>18</v>
      </c>
      <c r="BV449" s="1018">
        <f t="shared" ca="1" si="657"/>
        <v>7.5250000000000004</v>
      </c>
      <c r="BW449" s="1018">
        <v>0</v>
      </c>
      <c r="BX449" s="1018">
        <f t="shared" ca="1" si="658"/>
        <v>39.143971150289723</v>
      </c>
      <c r="BY449" s="1018">
        <f t="shared" ca="1" si="659"/>
        <v>32.577267739575717</v>
      </c>
      <c r="BZ449" s="1018">
        <f t="shared" ca="1" si="582"/>
        <v>18.887893693903717</v>
      </c>
      <c r="CA449" s="1018">
        <f t="shared" ca="1" si="583"/>
        <v>35.999999985599999</v>
      </c>
      <c r="CB449" s="1018">
        <f t="shared" ca="1" si="660"/>
        <v>15.79675572519084</v>
      </c>
      <c r="CC449" s="1018">
        <f t="shared" si="584"/>
        <v>0</v>
      </c>
      <c r="CD449" s="1018">
        <f t="shared" ca="1" si="662"/>
        <v>168.45088829456</v>
      </c>
      <c r="CE449" s="1018">
        <f t="shared" ca="1" si="661"/>
        <v>73.770479255404439</v>
      </c>
      <c r="CF449" s="1018">
        <f t="shared" ca="1" si="586"/>
        <v>7.2666410264989336</v>
      </c>
      <c r="CG449" s="1018">
        <f t="shared" ca="1" si="587"/>
        <v>12098.666643479664</v>
      </c>
    </row>
    <row r="450" spans="3:85" x14ac:dyDescent="0.25">
      <c r="C450" s="758"/>
      <c r="D450" s="759"/>
      <c r="E450" s="758"/>
      <c r="F450" s="759"/>
      <c r="G450" s="758"/>
      <c r="H450" s="759"/>
      <c r="I450" s="758"/>
      <c r="J450" s="759"/>
      <c r="K450" s="759"/>
      <c r="L450" s="763"/>
      <c r="M450" s="759" t="s">
        <v>16</v>
      </c>
      <c r="N450" s="760">
        <v>0.5</v>
      </c>
      <c r="O450" s="759" t="s">
        <v>19</v>
      </c>
      <c r="P450" s="760">
        <v>3.7878787999999997E-2</v>
      </c>
      <c r="Q450" s="759" t="s">
        <v>7</v>
      </c>
      <c r="R450" s="760">
        <v>0.1893</v>
      </c>
      <c r="S450" s="759"/>
      <c r="T450" s="767">
        <v>1.9077980334848511E-6</v>
      </c>
      <c r="U450" s="758"/>
      <c r="V450" s="176">
        <f t="shared" si="550"/>
        <v>1.9077980334848511E-6</v>
      </c>
      <c r="W450" s="176">
        <f>V450-V450*Calculation_sheet!J$69</f>
        <v>1.9077980334848511E-6</v>
      </c>
      <c r="X450" s="176">
        <f>W450-W450*Calculation_sheet!J$79</f>
        <v>1.9077980334848511E-6</v>
      </c>
      <c r="Y450" s="34">
        <f>X450/Calculation_sheet!M$67</f>
        <v>1.9078370411412378E-6</v>
      </c>
      <c r="Z450" s="176">
        <f ca="1">IF(AN450&gt;0,Y450*Calculation_sheet!C$87,0)</f>
        <v>0</v>
      </c>
      <c r="AA450" s="176">
        <f t="shared" ca="1" si="648"/>
        <v>1.9078370411412378E-6</v>
      </c>
      <c r="AB450" s="176">
        <f ca="1">IF(AP450&gt;0,AA450*Calculation_sheet!C$94,0)</f>
        <v>0</v>
      </c>
      <c r="AC450" s="176">
        <f t="shared" ca="1" si="649"/>
        <v>1.9078370411412378E-6</v>
      </c>
      <c r="AD450" s="958">
        <f ca="1">AC450*Calculation_sheet!C$99</f>
        <v>1.1447022246847428E-6</v>
      </c>
      <c r="AE450" s="176">
        <f t="shared" ca="1" si="649"/>
        <v>7.631348164564951E-7</v>
      </c>
      <c r="AF450" s="176">
        <f t="shared" ca="1" si="650"/>
        <v>1.9078370411412378E-6</v>
      </c>
      <c r="AG450" s="958">
        <f ca="1">AF450*User_sheet!B$77/100</f>
        <v>0</v>
      </c>
      <c r="AH450" s="313"/>
      <c r="AI450" s="3">
        <v>304</v>
      </c>
      <c r="AK450" s="1018">
        <f t="shared" ca="1" si="581"/>
        <v>168.45088829456</v>
      </c>
      <c r="AL450" s="924">
        <f ca="1">AK450/'304'!I$24</f>
        <v>0.66616925353275469</v>
      </c>
      <c r="AM450" s="924">
        <f ca="1">0.8*(AK450*30+'304'!D$17*0.34*30*1)</f>
        <v>8211.0431590694407</v>
      </c>
      <c r="AN450" s="954">
        <f ca="1">IF(AM450&lt;User_sheet!B$50,Y450,0)</f>
        <v>1.9078370411412378E-6</v>
      </c>
      <c r="AO450" s="954">
        <f ca="1">20-(User_sheet!B$57/(AK450+'304'!D$17*1*0.34))</f>
        <v>3.3395102973123834</v>
      </c>
      <c r="AP450" s="954">
        <f ca="1">IF(AO450&lt;User_sheet!B$59,0,BC450*AA450)</f>
        <v>0</v>
      </c>
      <c r="AR450" s="2">
        <v>0.47</v>
      </c>
      <c r="AS450" s="2">
        <v>0.54</v>
      </c>
      <c r="AT450" s="2">
        <v>0.83</v>
      </c>
      <c r="AU450" s="2">
        <v>2</v>
      </c>
      <c r="AV450" s="2">
        <v>3.3</v>
      </c>
      <c r="AW450" s="2">
        <v>12848.541887298286</v>
      </c>
      <c r="AX450" s="2">
        <v>75022.04959166942</v>
      </c>
      <c r="AY450" s="2">
        <v>69245.59826015502</v>
      </c>
      <c r="AZ450" s="27">
        <v>0</v>
      </c>
      <c r="BA450" s="27">
        <v>0</v>
      </c>
      <c r="BB450" s="2">
        <v>0.6</v>
      </c>
      <c r="BC450" s="30">
        <v>1</v>
      </c>
      <c r="BD450" s="34">
        <v>0</v>
      </c>
      <c r="BE450" s="34">
        <v>0</v>
      </c>
      <c r="BF450" s="40">
        <v>0</v>
      </c>
      <c r="BG450" s="2">
        <v>0</v>
      </c>
      <c r="BH450" s="2">
        <v>1</v>
      </c>
      <c r="BI450" s="40">
        <v>0</v>
      </c>
      <c r="BJ450" s="2">
        <v>0</v>
      </c>
      <c r="BK450" s="2">
        <v>0</v>
      </c>
      <c r="BL450" s="2">
        <v>1</v>
      </c>
      <c r="BM450" s="40">
        <v>0</v>
      </c>
      <c r="BN450" s="958">
        <v>0.1</v>
      </c>
      <c r="BO450" s="50">
        <v>10</v>
      </c>
      <c r="BP450" s="1018">
        <f t="shared" ca="1" si="651"/>
        <v>206.38</v>
      </c>
      <c r="BQ450" s="1018">
        <f t="shared" ca="1" si="652"/>
        <v>308.92399999999992</v>
      </c>
      <c r="BR450" s="1018">
        <f t="shared" ca="1" si="653"/>
        <v>90.07</v>
      </c>
      <c r="BS450" s="1018">
        <f t="shared" ca="1" si="654"/>
        <v>65.974999999999994</v>
      </c>
      <c r="BT450" s="1018">
        <f t="shared" ca="1" si="655"/>
        <v>78.88</v>
      </c>
      <c r="BU450" s="1018">
        <f t="shared" ca="1" si="656"/>
        <v>18</v>
      </c>
      <c r="BV450" s="1018">
        <f t="shared" ca="1" si="657"/>
        <v>7.5250000000000004</v>
      </c>
      <c r="BW450" s="1018">
        <v>0</v>
      </c>
      <c r="BX450" s="1018">
        <f t="shared" ca="1" si="658"/>
        <v>39.143971150289723</v>
      </c>
      <c r="BY450" s="1018">
        <f t="shared" ca="1" si="659"/>
        <v>32.577267739575717</v>
      </c>
      <c r="BZ450" s="1018">
        <f t="shared" ca="1" si="582"/>
        <v>18.887893693903717</v>
      </c>
      <c r="CA450" s="1018">
        <f t="shared" ca="1" si="583"/>
        <v>35.999999985599999</v>
      </c>
      <c r="CB450" s="1018">
        <f t="shared" ca="1" si="660"/>
        <v>15.79675572519084</v>
      </c>
      <c r="CC450" s="1018">
        <f t="shared" si="584"/>
        <v>0</v>
      </c>
      <c r="CD450" s="1018">
        <f t="shared" ca="1" si="662"/>
        <v>168.45088829456</v>
      </c>
      <c r="CE450" s="1018">
        <f t="shared" ca="1" si="661"/>
        <v>73.770479255404439</v>
      </c>
      <c r="CF450" s="1018">
        <f t="shared" ca="1" si="586"/>
        <v>7.2666410264989336</v>
      </c>
      <c r="CG450" s="1018">
        <f t="shared" ca="1" si="587"/>
        <v>12098.666643479664</v>
      </c>
    </row>
    <row r="451" spans="3:85" x14ac:dyDescent="0.25">
      <c r="D451" s="759"/>
      <c r="E451" s="758"/>
      <c r="F451" s="759"/>
      <c r="G451" s="758"/>
      <c r="H451" s="759"/>
      <c r="I451" s="758"/>
      <c r="J451" s="759"/>
      <c r="K451" s="759"/>
      <c r="L451" s="763"/>
      <c r="M451" s="759"/>
      <c r="N451" s="759"/>
      <c r="O451" s="759"/>
      <c r="P451" s="759"/>
      <c r="Q451" s="759" t="s">
        <v>22</v>
      </c>
      <c r="R451" s="760">
        <v>0.81</v>
      </c>
      <c r="S451" s="759"/>
      <c r="T451" s="767">
        <v>1.5529515074331468E-4</v>
      </c>
      <c r="U451" s="758"/>
      <c r="V451" s="176">
        <f t="shared" si="550"/>
        <v>1.5529515074331468E-4</v>
      </c>
      <c r="W451" s="176">
        <f>V451-V451*Calculation_sheet!J$69</f>
        <v>1.5529515074331468E-4</v>
      </c>
      <c r="X451" s="176">
        <f>W451-W451*Calculation_sheet!J$79</f>
        <v>1.5529515074331468E-4</v>
      </c>
      <c r="Y451" s="34">
        <f>X451/Calculation_sheet!M$67</f>
        <v>1.5529832597453537E-4</v>
      </c>
      <c r="Z451" s="176">
        <f ca="1">IF(AN451&gt;0,Y451*Calculation_sheet!C$87,0)</f>
        <v>0</v>
      </c>
      <c r="AA451" s="176">
        <f t="shared" ca="1" si="648"/>
        <v>1.5529832597453537E-4</v>
      </c>
      <c r="AB451" s="176">
        <f ca="1">IF(AP451&gt;0,AA451*Calculation_sheet!C$94,0)</f>
        <v>0</v>
      </c>
      <c r="AC451" s="176">
        <f t="shared" ca="1" si="649"/>
        <v>1.5529832597453537E-4</v>
      </c>
      <c r="AD451" s="958">
        <f ca="1">AC451*Calculation_sheet!C$99</f>
        <v>9.3178995584721226E-5</v>
      </c>
      <c r="AE451" s="176">
        <f t="shared" ca="1" si="649"/>
        <v>6.2119330389814146E-5</v>
      </c>
      <c r="AF451" s="176">
        <f t="shared" ca="1" si="650"/>
        <v>1.5529832597453537E-4</v>
      </c>
      <c r="AG451" s="958">
        <f ca="1">AF451*User_sheet!B$77/100</f>
        <v>0</v>
      </c>
      <c r="AH451" s="313"/>
      <c r="AI451" s="3">
        <v>304</v>
      </c>
      <c r="AK451" s="1018">
        <f t="shared" ca="1" si="581"/>
        <v>168.45088829456</v>
      </c>
      <c r="AL451" s="924">
        <f ca="1">AK451/'304'!I$24</f>
        <v>0.66616925353275469</v>
      </c>
      <c r="AM451" s="924">
        <f ca="1">0.8*(AK451*30+'304'!D$17*0.34*30*1)</f>
        <v>8211.0431590694407</v>
      </c>
      <c r="AN451" s="954">
        <f ca="1">IF(AM451&lt;User_sheet!B$50,Y451,0)</f>
        <v>1.5529832597453537E-4</v>
      </c>
      <c r="AO451" s="954">
        <f ca="1">20-(User_sheet!B$57/(AK451+'304'!D$17*1*0.34))</f>
        <v>3.3395102973123834</v>
      </c>
      <c r="AP451" s="954">
        <f ca="1">IF(AO451&lt;User_sheet!B$59,0,BC451*AA451)</f>
        <v>0</v>
      </c>
      <c r="AR451" s="2">
        <v>0.47</v>
      </c>
      <c r="AS451" s="2">
        <v>0.54</v>
      </c>
      <c r="AT451" s="2">
        <v>0.83</v>
      </c>
      <c r="AU451" s="2">
        <v>2</v>
      </c>
      <c r="AV451" s="2">
        <v>3.3</v>
      </c>
      <c r="AW451" s="2">
        <v>12848.541887298286</v>
      </c>
      <c r="AX451" s="2">
        <v>75022.04959166942</v>
      </c>
      <c r="AY451" s="2">
        <v>69245.59826015502</v>
      </c>
      <c r="AZ451" s="27">
        <v>0</v>
      </c>
      <c r="BA451" s="27">
        <v>0</v>
      </c>
      <c r="BB451" s="2">
        <v>0.6</v>
      </c>
      <c r="BC451" s="30">
        <v>0</v>
      </c>
      <c r="BD451" s="34">
        <v>1</v>
      </c>
      <c r="BE451" s="34">
        <v>0</v>
      </c>
      <c r="BF451" s="40">
        <v>0</v>
      </c>
      <c r="BG451" s="2">
        <v>1</v>
      </c>
      <c r="BH451" s="2">
        <v>0</v>
      </c>
      <c r="BI451" s="40">
        <v>0</v>
      </c>
      <c r="BJ451" s="2">
        <v>0</v>
      </c>
      <c r="BK451" s="2">
        <v>1</v>
      </c>
      <c r="BL451" s="2">
        <v>0</v>
      </c>
      <c r="BM451" s="40">
        <v>0</v>
      </c>
      <c r="BN451" s="958">
        <v>0.1</v>
      </c>
      <c r="BO451" s="50">
        <v>10</v>
      </c>
      <c r="BP451" s="1018">
        <f t="shared" ca="1" si="651"/>
        <v>206.38</v>
      </c>
      <c r="BQ451" s="1018">
        <f t="shared" ca="1" si="652"/>
        <v>308.92399999999992</v>
      </c>
      <c r="BR451" s="1018">
        <f t="shared" ca="1" si="653"/>
        <v>90.07</v>
      </c>
      <c r="BS451" s="1018">
        <f t="shared" ca="1" si="654"/>
        <v>65.974999999999994</v>
      </c>
      <c r="BT451" s="1018">
        <f t="shared" ca="1" si="655"/>
        <v>78.88</v>
      </c>
      <c r="BU451" s="1018">
        <f t="shared" ca="1" si="656"/>
        <v>18</v>
      </c>
      <c r="BV451" s="1018">
        <f t="shared" ca="1" si="657"/>
        <v>7.5250000000000004</v>
      </c>
      <c r="BW451" s="1018">
        <v>0</v>
      </c>
      <c r="BX451" s="1018">
        <f t="shared" ca="1" si="658"/>
        <v>39.143971150289723</v>
      </c>
      <c r="BY451" s="1018">
        <f t="shared" ca="1" si="659"/>
        <v>32.577267739575717</v>
      </c>
      <c r="BZ451" s="1018">
        <f t="shared" ca="1" si="582"/>
        <v>18.887893693903717</v>
      </c>
      <c r="CA451" s="1018">
        <f t="shared" ca="1" si="583"/>
        <v>35.999999985599999</v>
      </c>
      <c r="CB451" s="1018">
        <f t="shared" ca="1" si="660"/>
        <v>15.79675572519084</v>
      </c>
      <c r="CC451" s="1018">
        <f t="shared" si="584"/>
        <v>0</v>
      </c>
      <c r="CD451" s="1018">
        <f t="shared" ca="1" si="662"/>
        <v>168.45088829456</v>
      </c>
      <c r="CE451" s="1018">
        <f t="shared" ca="1" si="661"/>
        <v>73.770479255404439</v>
      </c>
      <c r="CF451" s="1018">
        <f t="shared" ca="1" si="586"/>
        <v>7.2666410264989336</v>
      </c>
      <c r="CG451" s="1018">
        <f t="shared" ca="1" si="587"/>
        <v>12098.666643479664</v>
      </c>
    </row>
    <row r="452" spans="3:85" x14ac:dyDescent="0.25">
      <c r="D452" s="759"/>
      <c r="E452" s="758"/>
      <c r="F452" s="759"/>
      <c r="G452" s="758"/>
      <c r="H452" s="759"/>
      <c r="I452" s="758"/>
      <c r="J452" s="759"/>
      <c r="K452" s="759"/>
      <c r="L452" s="763"/>
      <c r="M452" s="759"/>
      <c r="N452" s="759"/>
      <c r="O452" s="759" t="s">
        <v>18</v>
      </c>
      <c r="P452" s="760">
        <v>0.96078431399999997</v>
      </c>
      <c r="Q452" s="759" t="s">
        <v>7</v>
      </c>
      <c r="R452" s="760">
        <v>0.19</v>
      </c>
      <c r="S452" s="759"/>
      <c r="T452" s="767">
        <v>3.6427257581765171E-5</v>
      </c>
      <c r="U452" s="758"/>
      <c r="V452" s="176">
        <f t="shared" si="550"/>
        <v>3.6427257581765171E-5</v>
      </c>
      <c r="W452" s="176">
        <f>V452-V452*Calculation_sheet!J$69</f>
        <v>3.6427257581765171E-5</v>
      </c>
      <c r="X452" s="176">
        <f>W452-W452*Calculation_sheet!J$79</f>
        <v>3.6427257581765171E-5</v>
      </c>
      <c r="Y452" s="34">
        <f>X452/Calculation_sheet!M$67</f>
        <v>3.6428002389088545E-5</v>
      </c>
      <c r="Z452" s="176">
        <f ca="1">IF(AN452&gt;0,Y452*Calculation_sheet!C$87,0)</f>
        <v>0</v>
      </c>
      <c r="AA452" s="176">
        <f t="shared" ca="1" si="648"/>
        <v>3.6428002389088545E-5</v>
      </c>
      <c r="AB452" s="176">
        <f ca="1">IF(AP452&gt;0,AA452*Calculation_sheet!C$94,0)</f>
        <v>0</v>
      </c>
      <c r="AC452" s="176">
        <f t="shared" ca="1" si="649"/>
        <v>3.6428002389088545E-5</v>
      </c>
      <c r="AD452" s="958">
        <f ca="1">AC452*Calculation_sheet!C$99</f>
        <v>2.1856801433453125E-5</v>
      </c>
      <c r="AE452" s="176">
        <f t="shared" ca="1" si="649"/>
        <v>1.4571200955635419E-5</v>
      </c>
      <c r="AF452" s="176">
        <f t="shared" ca="1" si="650"/>
        <v>3.6428002389088545E-5</v>
      </c>
      <c r="AG452" s="958">
        <f ca="1">AF452*User_sheet!B$77/100</f>
        <v>0</v>
      </c>
      <c r="AH452" s="313"/>
      <c r="AI452" s="3">
        <v>304</v>
      </c>
      <c r="AK452" s="1018">
        <f t="shared" ca="1" si="581"/>
        <v>168.45088829456</v>
      </c>
      <c r="AL452" s="924">
        <f ca="1">AK452/'304'!I$24</f>
        <v>0.66616925353275469</v>
      </c>
      <c r="AM452" s="924">
        <f ca="1">0.8*(AK452*30+'304'!D$17*0.34*30*1)</f>
        <v>8211.0431590694407</v>
      </c>
      <c r="AN452" s="954">
        <f ca="1">IF(AM452&lt;User_sheet!B$50,Y452,0)</f>
        <v>3.6428002389088545E-5</v>
      </c>
      <c r="AO452" s="954">
        <f ca="1">20-(User_sheet!B$57/(AK452+'304'!D$17*1*0.34))</f>
        <v>3.3395102973123834</v>
      </c>
      <c r="AP452" s="954">
        <f ca="1">IF(AO452&lt;User_sheet!B$59,0,BC452*AA452)</f>
        <v>0</v>
      </c>
      <c r="AR452" s="2">
        <v>0.47</v>
      </c>
      <c r="AS452" s="2">
        <v>0.54</v>
      </c>
      <c r="AT452" s="2">
        <v>0.83</v>
      </c>
      <c r="AU452" s="2">
        <v>2</v>
      </c>
      <c r="AV452" s="2">
        <v>3.3</v>
      </c>
      <c r="AW452" s="2">
        <v>12848.541887298286</v>
      </c>
      <c r="AX452" s="2">
        <v>75022.04959166942</v>
      </c>
      <c r="AY452" s="2">
        <v>69245.59826015502</v>
      </c>
      <c r="AZ452" s="27">
        <v>0</v>
      </c>
      <c r="BA452" s="27">
        <v>0</v>
      </c>
      <c r="BB452" s="2">
        <v>0.6</v>
      </c>
      <c r="BC452" s="30">
        <v>0</v>
      </c>
      <c r="BD452" s="34">
        <v>1</v>
      </c>
      <c r="BE452" s="34">
        <v>0</v>
      </c>
      <c r="BF452" s="40">
        <v>0</v>
      </c>
      <c r="BG452" s="2">
        <v>1</v>
      </c>
      <c r="BH452" s="2">
        <v>0</v>
      </c>
      <c r="BI452" s="40">
        <v>0</v>
      </c>
      <c r="BJ452" s="2">
        <v>0</v>
      </c>
      <c r="BK452" s="2">
        <v>0</v>
      </c>
      <c r="BL452" s="2">
        <v>1</v>
      </c>
      <c r="BM452" s="40">
        <v>0</v>
      </c>
      <c r="BN452" s="958">
        <v>0.1</v>
      </c>
      <c r="BO452" s="50">
        <v>10</v>
      </c>
      <c r="BP452" s="1018">
        <f t="shared" ca="1" si="651"/>
        <v>206.38</v>
      </c>
      <c r="BQ452" s="1018">
        <f t="shared" ca="1" si="652"/>
        <v>308.92399999999992</v>
      </c>
      <c r="BR452" s="1018">
        <f t="shared" ca="1" si="653"/>
        <v>90.07</v>
      </c>
      <c r="BS452" s="1018">
        <f t="shared" ca="1" si="654"/>
        <v>65.974999999999994</v>
      </c>
      <c r="BT452" s="1018">
        <f t="shared" ca="1" si="655"/>
        <v>78.88</v>
      </c>
      <c r="BU452" s="1018">
        <f t="shared" ca="1" si="656"/>
        <v>18</v>
      </c>
      <c r="BV452" s="1018">
        <f t="shared" ca="1" si="657"/>
        <v>7.5250000000000004</v>
      </c>
      <c r="BW452" s="1018">
        <v>0</v>
      </c>
      <c r="BX452" s="1018">
        <f t="shared" ca="1" si="658"/>
        <v>39.143971150289723</v>
      </c>
      <c r="BY452" s="1018">
        <f t="shared" ca="1" si="659"/>
        <v>32.577267739575717</v>
      </c>
      <c r="BZ452" s="1018">
        <f t="shared" ca="1" si="582"/>
        <v>18.887893693903717</v>
      </c>
      <c r="CA452" s="1018">
        <f t="shared" ca="1" si="583"/>
        <v>35.999999985599999</v>
      </c>
      <c r="CB452" s="1018">
        <f t="shared" ca="1" si="660"/>
        <v>15.79675572519084</v>
      </c>
      <c r="CC452" s="1018">
        <f t="shared" si="584"/>
        <v>0</v>
      </c>
      <c r="CD452" s="1018">
        <f t="shared" ca="1" si="662"/>
        <v>168.45088829456</v>
      </c>
      <c r="CE452" s="1018">
        <f t="shared" ca="1" si="661"/>
        <v>73.770479255404439</v>
      </c>
      <c r="CF452" s="1018">
        <f t="shared" ca="1" si="586"/>
        <v>7.2666410264989336</v>
      </c>
      <c r="CG452" s="1018">
        <f t="shared" ca="1" si="587"/>
        <v>12098.666643479664</v>
      </c>
    </row>
    <row r="453" spans="3:85" x14ac:dyDescent="0.25">
      <c r="D453" s="759"/>
      <c r="E453" s="758"/>
      <c r="F453" s="759"/>
      <c r="G453" s="758"/>
      <c r="H453" s="759"/>
      <c r="I453" s="758"/>
      <c r="J453" s="759"/>
      <c r="K453" s="759"/>
      <c r="L453" s="763"/>
      <c r="M453" s="759"/>
      <c r="N453" s="759"/>
      <c r="O453" s="759"/>
      <c r="P453" s="759"/>
      <c r="Q453" s="759" t="s">
        <v>22</v>
      </c>
      <c r="R453" s="760">
        <v>0.81</v>
      </c>
      <c r="S453" s="759"/>
      <c r="T453" s="767">
        <v>6.3385775351787173E-6</v>
      </c>
      <c r="U453" s="758"/>
      <c r="V453" s="176">
        <f t="shared" si="550"/>
        <v>6.3385775351787173E-6</v>
      </c>
      <c r="W453" s="176">
        <f>V453-V453*Calculation_sheet!J$69</f>
        <v>6.3385775351787173E-6</v>
      </c>
      <c r="X453" s="176">
        <f>W453-W453*Calculation_sheet!J$79</f>
        <v>6.3385775351787173E-6</v>
      </c>
      <c r="Y453" s="34">
        <f>X453/Calculation_sheet!M$67</f>
        <v>6.3387071364520873E-6</v>
      </c>
      <c r="Z453" s="176">
        <f ca="1">IF(AN453&gt;0,Y453*Calculation_sheet!C$87,0)</f>
        <v>0</v>
      </c>
      <c r="AA453" s="176">
        <f t="shared" ca="1" si="648"/>
        <v>6.3387071364520873E-6</v>
      </c>
      <c r="AB453" s="176">
        <f ca="1">IF(AP453&gt;0,AA453*Calculation_sheet!C$94,0)</f>
        <v>0</v>
      </c>
      <c r="AC453" s="176">
        <f t="shared" ca="1" si="649"/>
        <v>6.3387071364520873E-6</v>
      </c>
      <c r="AD453" s="958">
        <f ca="1">AC453*Calculation_sheet!C$99</f>
        <v>3.8032242818712523E-6</v>
      </c>
      <c r="AE453" s="176">
        <f t="shared" ca="1" si="649"/>
        <v>2.535482854580835E-6</v>
      </c>
      <c r="AF453" s="176">
        <f t="shared" ca="1" si="650"/>
        <v>6.3387071364520873E-6</v>
      </c>
      <c r="AG453" s="958">
        <f ca="1">AF453*User_sheet!B$77/100</f>
        <v>0</v>
      </c>
      <c r="AH453" s="313"/>
      <c r="AI453" s="3">
        <v>304</v>
      </c>
      <c r="AK453" s="1018">
        <f t="shared" ca="1" si="581"/>
        <v>168.45088829456</v>
      </c>
      <c r="AL453" s="924">
        <f ca="1">AK453/'304'!I$24</f>
        <v>0.66616925353275469</v>
      </c>
      <c r="AM453" s="924">
        <f ca="1">0.8*(AK453*30+'304'!D$17*0.34*30*1)</f>
        <v>8211.0431590694407</v>
      </c>
      <c r="AN453" s="954">
        <f ca="1">IF(AM453&lt;User_sheet!B$50,Y453,0)</f>
        <v>6.3387071364520873E-6</v>
      </c>
      <c r="AO453" s="954">
        <f ca="1">20-(User_sheet!B$57/(AK453+'304'!D$17*1*0.34))</f>
        <v>3.3395102973123834</v>
      </c>
      <c r="AP453" s="954">
        <f ca="1">IF(AO453&lt;User_sheet!B$59,0,BC453*AA453)</f>
        <v>0</v>
      </c>
      <c r="AR453" s="2">
        <v>0.47</v>
      </c>
      <c r="AS453" s="2">
        <v>0.54</v>
      </c>
      <c r="AT453" s="2">
        <v>0.83</v>
      </c>
      <c r="AU453" s="2">
        <v>2</v>
      </c>
      <c r="AV453" s="2">
        <v>3.3</v>
      </c>
      <c r="AW453" s="2">
        <v>12848.541887298286</v>
      </c>
      <c r="AX453" s="2">
        <v>75022.04959166942</v>
      </c>
      <c r="AY453" s="2">
        <v>69245.59826015502</v>
      </c>
      <c r="AZ453" s="27">
        <v>0</v>
      </c>
      <c r="BA453" s="27">
        <v>0</v>
      </c>
      <c r="BB453" s="2">
        <v>0.6</v>
      </c>
      <c r="BC453" s="30">
        <v>0</v>
      </c>
      <c r="BD453" s="34">
        <v>1</v>
      </c>
      <c r="BE453" s="34">
        <v>0</v>
      </c>
      <c r="BF453" s="40">
        <v>0</v>
      </c>
      <c r="BG453" s="2">
        <v>0</v>
      </c>
      <c r="BH453" s="2">
        <v>1</v>
      </c>
      <c r="BI453" s="40">
        <v>0</v>
      </c>
      <c r="BJ453" s="2">
        <v>0</v>
      </c>
      <c r="BK453" s="2">
        <v>1</v>
      </c>
      <c r="BL453" s="2">
        <v>0</v>
      </c>
      <c r="BM453" s="40">
        <v>0</v>
      </c>
      <c r="BN453" s="958">
        <v>0.1</v>
      </c>
      <c r="BO453" s="50">
        <v>10</v>
      </c>
      <c r="BP453" s="1018">
        <f t="shared" ca="1" si="651"/>
        <v>206.38</v>
      </c>
      <c r="BQ453" s="1018">
        <f t="shared" ca="1" si="652"/>
        <v>308.92399999999992</v>
      </c>
      <c r="BR453" s="1018">
        <f t="shared" ca="1" si="653"/>
        <v>90.07</v>
      </c>
      <c r="BS453" s="1018">
        <f t="shared" ca="1" si="654"/>
        <v>65.974999999999994</v>
      </c>
      <c r="BT453" s="1018">
        <f t="shared" ca="1" si="655"/>
        <v>78.88</v>
      </c>
      <c r="BU453" s="1018">
        <f t="shared" ca="1" si="656"/>
        <v>18</v>
      </c>
      <c r="BV453" s="1018">
        <f t="shared" ca="1" si="657"/>
        <v>7.5250000000000004</v>
      </c>
      <c r="BW453" s="1018">
        <v>0</v>
      </c>
      <c r="BX453" s="1018">
        <f t="shared" ca="1" si="658"/>
        <v>39.143971150289723</v>
      </c>
      <c r="BY453" s="1018">
        <f t="shared" ca="1" si="659"/>
        <v>32.577267739575717</v>
      </c>
      <c r="BZ453" s="1018">
        <f t="shared" ca="1" si="582"/>
        <v>18.887893693903717</v>
      </c>
      <c r="CA453" s="1018">
        <f t="shared" ca="1" si="583"/>
        <v>35.999999985599999</v>
      </c>
      <c r="CB453" s="1018">
        <f t="shared" ca="1" si="660"/>
        <v>15.79675572519084</v>
      </c>
      <c r="CC453" s="1018">
        <f t="shared" si="584"/>
        <v>0</v>
      </c>
      <c r="CD453" s="1018">
        <f t="shared" ca="1" si="662"/>
        <v>168.45088829456</v>
      </c>
      <c r="CE453" s="1018">
        <f t="shared" ca="1" si="661"/>
        <v>73.770479255404439</v>
      </c>
      <c r="CF453" s="1018">
        <f t="shared" ca="1" si="586"/>
        <v>7.2666410264989336</v>
      </c>
      <c r="CG453" s="1018">
        <f t="shared" ca="1" si="587"/>
        <v>12098.666643479664</v>
      </c>
    </row>
    <row r="454" spans="3:85" x14ac:dyDescent="0.25">
      <c r="D454" s="759"/>
      <c r="E454" s="758"/>
      <c r="F454" s="759"/>
      <c r="G454" s="758"/>
      <c r="H454" s="759"/>
      <c r="I454" s="758"/>
      <c r="J454" s="759"/>
      <c r="K454" s="759"/>
      <c r="L454" s="763"/>
      <c r="M454" s="759" t="s">
        <v>22</v>
      </c>
      <c r="N454" s="760">
        <v>0.375</v>
      </c>
      <c r="O454" s="759" t="s">
        <v>20</v>
      </c>
      <c r="P454" s="760">
        <v>3.9215686E-2</v>
      </c>
      <c r="Q454" s="759" t="s">
        <v>7</v>
      </c>
      <c r="R454" s="760">
        <v>0.19</v>
      </c>
      <c r="S454" s="759"/>
      <c r="T454" s="767">
        <v>1.4868268292394521E-6</v>
      </c>
      <c r="U454" s="758"/>
      <c r="V454" s="176">
        <f t="shared" si="550"/>
        <v>1.4868268292394521E-6</v>
      </c>
      <c r="W454" s="176">
        <f>V454-V454*Calculation_sheet!J$69</f>
        <v>1.4868268292394521E-6</v>
      </c>
      <c r="X454" s="176">
        <f>W454-W454*Calculation_sheet!J$79</f>
        <v>1.4868268292394521E-6</v>
      </c>
      <c r="Y454" s="34">
        <f>X454/Calculation_sheet!M$67</f>
        <v>1.4868572295381438E-6</v>
      </c>
      <c r="Z454" s="176">
        <f ca="1">IF(AN454&gt;0,Y454*Calculation_sheet!C$87,0)</f>
        <v>0</v>
      </c>
      <c r="AA454" s="176">
        <f t="shared" ca="1" si="648"/>
        <v>1.4868572295381438E-6</v>
      </c>
      <c r="AB454" s="176">
        <f ca="1">IF(AP454&gt;0,AA454*Calculation_sheet!C$94,0)</f>
        <v>0</v>
      </c>
      <c r="AC454" s="176">
        <f t="shared" ca="1" si="649"/>
        <v>1.4868572295381438E-6</v>
      </c>
      <c r="AD454" s="958">
        <f ca="1">AC454*Calculation_sheet!C$99</f>
        <v>8.9211433772288621E-7</v>
      </c>
      <c r="AE454" s="176">
        <f t="shared" ca="1" si="649"/>
        <v>5.9474289181525761E-7</v>
      </c>
      <c r="AF454" s="176">
        <f t="shared" ca="1" si="650"/>
        <v>1.4868572295381438E-6</v>
      </c>
      <c r="AG454" s="958">
        <f ca="1">AF454*User_sheet!B$77/100</f>
        <v>0</v>
      </c>
      <c r="AH454" s="313"/>
      <c r="AI454" s="3">
        <v>304</v>
      </c>
      <c r="AK454" s="1018">
        <f t="shared" ca="1" si="581"/>
        <v>168.45088829456</v>
      </c>
      <c r="AL454" s="924">
        <f ca="1">AK454/'304'!I$24</f>
        <v>0.66616925353275469</v>
      </c>
      <c r="AM454" s="924">
        <f ca="1">0.8*(AK454*30+'304'!D$17*0.34*30*1)</f>
        <v>8211.0431590694407</v>
      </c>
      <c r="AN454" s="954">
        <f ca="1">IF(AM454&lt;User_sheet!B$50,Y454,0)</f>
        <v>1.4868572295381438E-6</v>
      </c>
      <c r="AO454" s="954">
        <f ca="1">20-(User_sheet!B$57/(AK454+'304'!D$17*1*0.34))</f>
        <v>3.3395102973123834</v>
      </c>
      <c r="AP454" s="954">
        <f ca="1">IF(AO454&lt;User_sheet!B$59,0,BC454*AA454)</f>
        <v>0</v>
      </c>
      <c r="AR454" s="2">
        <v>0.47</v>
      </c>
      <c r="AS454" s="2">
        <v>0.54</v>
      </c>
      <c r="AT454" s="2">
        <v>0.83</v>
      </c>
      <c r="AU454" s="2">
        <v>2</v>
      </c>
      <c r="AV454" s="2">
        <v>3.3</v>
      </c>
      <c r="AW454" s="2">
        <v>12848.541887298286</v>
      </c>
      <c r="AX454" s="2">
        <v>75022.04959166942</v>
      </c>
      <c r="AY454" s="2">
        <v>69245.59826015502</v>
      </c>
      <c r="AZ454" s="27">
        <v>0</v>
      </c>
      <c r="BA454" s="27">
        <v>0</v>
      </c>
      <c r="BB454" s="2">
        <v>0.6</v>
      </c>
      <c r="BC454" s="30">
        <v>0</v>
      </c>
      <c r="BD454" s="34">
        <v>1</v>
      </c>
      <c r="BE454" s="34">
        <v>0</v>
      </c>
      <c r="BF454" s="40">
        <v>0</v>
      </c>
      <c r="BG454" s="2">
        <v>0</v>
      </c>
      <c r="BH454" s="2">
        <v>1</v>
      </c>
      <c r="BI454" s="40">
        <v>0</v>
      </c>
      <c r="BJ454" s="2">
        <v>0</v>
      </c>
      <c r="BK454" s="2">
        <v>0</v>
      </c>
      <c r="BL454" s="2">
        <v>1</v>
      </c>
      <c r="BM454" s="40">
        <v>0</v>
      </c>
      <c r="BN454" s="958">
        <v>0.1</v>
      </c>
      <c r="BO454" s="50">
        <v>10</v>
      </c>
      <c r="BP454" s="1018">
        <f t="shared" ca="1" si="651"/>
        <v>206.38</v>
      </c>
      <c r="BQ454" s="1018">
        <f t="shared" ca="1" si="652"/>
        <v>308.92399999999992</v>
      </c>
      <c r="BR454" s="1018">
        <f t="shared" ca="1" si="653"/>
        <v>90.07</v>
      </c>
      <c r="BS454" s="1018">
        <f t="shared" ca="1" si="654"/>
        <v>65.974999999999994</v>
      </c>
      <c r="BT454" s="1018">
        <f t="shared" ca="1" si="655"/>
        <v>78.88</v>
      </c>
      <c r="BU454" s="1018">
        <f t="shared" ca="1" si="656"/>
        <v>18</v>
      </c>
      <c r="BV454" s="1018">
        <f t="shared" ca="1" si="657"/>
        <v>7.5250000000000004</v>
      </c>
      <c r="BW454" s="1018">
        <v>0</v>
      </c>
      <c r="BX454" s="1018">
        <f t="shared" ca="1" si="658"/>
        <v>39.143971150289723</v>
      </c>
      <c r="BY454" s="1018">
        <f t="shared" ca="1" si="659"/>
        <v>32.577267739575717</v>
      </c>
      <c r="BZ454" s="1018">
        <f t="shared" ca="1" si="582"/>
        <v>18.887893693903717</v>
      </c>
      <c r="CA454" s="1018">
        <f t="shared" ca="1" si="583"/>
        <v>35.999999985599999</v>
      </c>
      <c r="CB454" s="1018">
        <f t="shared" ca="1" si="660"/>
        <v>15.79675572519084</v>
      </c>
      <c r="CC454" s="1018">
        <f t="shared" si="584"/>
        <v>0</v>
      </c>
      <c r="CD454" s="1018">
        <f t="shared" ca="1" si="662"/>
        <v>168.45088829456</v>
      </c>
      <c r="CE454" s="1018">
        <f t="shared" ca="1" si="661"/>
        <v>73.770479255404439</v>
      </c>
      <c r="CF454" s="1018">
        <f t="shared" ca="1" si="586"/>
        <v>7.2666410264989336</v>
      </c>
      <c r="CG454" s="1018">
        <f t="shared" ca="1" si="587"/>
        <v>12098.666643479664</v>
      </c>
    </row>
    <row r="455" spans="3:85" x14ac:dyDescent="0.25">
      <c r="D455" s="759"/>
      <c r="E455" s="758"/>
      <c r="F455" s="759"/>
      <c r="G455" s="758"/>
      <c r="H455" s="759"/>
      <c r="I455" s="758"/>
      <c r="J455" s="759"/>
      <c r="K455" s="761" t="s">
        <v>13</v>
      </c>
      <c r="L455" s="762">
        <v>1</v>
      </c>
      <c r="M455" s="759" t="s">
        <v>7</v>
      </c>
      <c r="N455" s="760">
        <v>0.125</v>
      </c>
      <c r="O455" s="759" t="s">
        <v>23</v>
      </c>
      <c r="P455" s="760">
        <v>1</v>
      </c>
      <c r="Q455" s="759" t="s">
        <v>7</v>
      </c>
      <c r="R455" s="760">
        <v>1</v>
      </c>
      <c r="S455" s="759"/>
      <c r="T455" s="767">
        <v>6.6515937563166002E-5</v>
      </c>
      <c r="U455" s="766"/>
      <c r="V455" s="176">
        <f t="shared" si="550"/>
        <v>6.6515937563166002E-5</v>
      </c>
      <c r="W455" s="176">
        <f>V455-V455*Calculation_sheet!J$69</f>
        <v>6.6515937563166002E-5</v>
      </c>
      <c r="X455" s="176">
        <f>W455-W455*Calculation_sheet!J$79</f>
        <v>6.6515937563166002E-5</v>
      </c>
      <c r="Y455" s="34">
        <f>X455/Calculation_sheet!M$67</f>
        <v>6.651729757653805E-5</v>
      </c>
      <c r="Z455" s="176">
        <f ca="1">IF(AN455&gt;0,Y455*Calculation_sheet!C$87,0)</f>
        <v>0</v>
      </c>
      <c r="AA455" s="176">
        <f t="shared" ca="1" si="648"/>
        <v>6.651729757653805E-5</v>
      </c>
      <c r="AB455" s="176">
        <f ca="1">IF(AP455&gt;0,AA455*Calculation_sheet!C$94,0)</f>
        <v>0</v>
      </c>
      <c r="AC455" s="176">
        <f t="shared" ca="1" si="649"/>
        <v>6.651729757653805E-5</v>
      </c>
      <c r="AD455" s="958">
        <f ca="1">AC455*Calculation_sheet!C$99</f>
        <v>3.9910378545922827E-5</v>
      </c>
      <c r="AE455" s="176">
        <f t="shared" ca="1" si="649"/>
        <v>2.6606919030615223E-5</v>
      </c>
      <c r="AF455" s="176">
        <f t="shared" ca="1" si="650"/>
        <v>6.651729757653805E-5</v>
      </c>
      <c r="AG455" s="958">
        <f ca="1">AF455*User_sheet!B$77/100</f>
        <v>0</v>
      </c>
      <c r="AH455" s="313"/>
      <c r="AI455" s="3">
        <v>304</v>
      </c>
      <c r="AK455" s="1018">
        <f t="shared" ca="1" si="581"/>
        <v>168.45088829456</v>
      </c>
      <c r="AL455" s="924">
        <f ca="1">AK455/'304'!I$24</f>
        <v>0.66616925353275469</v>
      </c>
      <c r="AM455" s="924">
        <f ca="1">0.8*(AK455*30+'304'!D$17*0.34*30*1)</f>
        <v>8211.0431590694407</v>
      </c>
      <c r="AN455" s="954">
        <f ca="1">IF(AM455&lt;User_sheet!B$50,Y455,0)</f>
        <v>6.651729757653805E-5</v>
      </c>
      <c r="AO455" s="954">
        <f ca="1">20-(User_sheet!B$57/(AK455+'304'!D$17*1*0.34))</f>
        <v>3.3395102973123834</v>
      </c>
      <c r="AP455" s="954">
        <f ca="1">IF(AO455&lt;User_sheet!B$59,0,BC455*AA455)</f>
        <v>0</v>
      </c>
      <c r="AR455" s="2">
        <v>0.47</v>
      </c>
      <c r="AS455" s="2">
        <v>0.54</v>
      </c>
      <c r="AT455" s="2">
        <v>0.83</v>
      </c>
      <c r="AU455" s="2">
        <v>2</v>
      </c>
      <c r="AV455" s="2">
        <v>3.3</v>
      </c>
      <c r="AW455" s="2">
        <v>12848.541887298286</v>
      </c>
      <c r="AX455" s="2">
        <v>75022.04959166942</v>
      </c>
      <c r="AY455" s="2">
        <v>69245.59826015502</v>
      </c>
      <c r="AZ455" s="27">
        <v>0</v>
      </c>
      <c r="BA455" s="27">
        <v>0</v>
      </c>
      <c r="BB455" s="2">
        <v>0.6</v>
      </c>
      <c r="BC455" s="30">
        <v>0</v>
      </c>
      <c r="BD455" s="34">
        <v>0</v>
      </c>
      <c r="BE455" s="34">
        <v>1</v>
      </c>
      <c r="BF455" s="40">
        <v>0</v>
      </c>
      <c r="BG455" s="2">
        <v>0</v>
      </c>
      <c r="BH455" s="2">
        <v>0</v>
      </c>
      <c r="BI455" s="40">
        <v>1</v>
      </c>
      <c r="BJ455" s="2">
        <v>0</v>
      </c>
      <c r="BK455" s="2">
        <v>0</v>
      </c>
      <c r="BL455" s="2">
        <v>1</v>
      </c>
      <c r="BM455" s="40">
        <v>0</v>
      </c>
      <c r="BN455" s="958">
        <v>0.1</v>
      </c>
      <c r="BO455" s="50">
        <v>10</v>
      </c>
      <c r="BP455" s="1018">
        <f t="shared" ca="1" si="651"/>
        <v>206.38</v>
      </c>
      <c r="BQ455" s="1018">
        <f t="shared" ca="1" si="652"/>
        <v>308.92399999999992</v>
      </c>
      <c r="BR455" s="1018">
        <f t="shared" ca="1" si="653"/>
        <v>90.07</v>
      </c>
      <c r="BS455" s="1018">
        <f t="shared" ca="1" si="654"/>
        <v>65.974999999999994</v>
      </c>
      <c r="BT455" s="1018">
        <f t="shared" ca="1" si="655"/>
        <v>78.88</v>
      </c>
      <c r="BU455" s="1018">
        <f t="shared" ca="1" si="656"/>
        <v>18</v>
      </c>
      <c r="BV455" s="1018">
        <f t="shared" ca="1" si="657"/>
        <v>7.5250000000000004</v>
      </c>
      <c r="BW455" s="1018">
        <v>0</v>
      </c>
      <c r="BX455" s="1018">
        <f t="shared" ca="1" si="658"/>
        <v>39.143971150289723</v>
      </c>
      <c r="BY455" s="1018">
        <f t="shared" ca="1" si="659"/>
        <v>32.577267739575717</v>
      </c>
      <c r="BZ455" s="1018">
        <f t="shared" ca="1" si="582"/>
        <v>18.887893693903717</v>
      </c>
      <c r="CA455" s="1018">
        <f t="shared" ca="1" si="583"/>
        <v>35.999999985599999</v>
      </c>
      <c r="CB455" s="1018">
        <f t="shared" ca="1" si="660"/>
        <v>15.79675572519084</v>
      </c>
      <c r="CC455" s="1018">
        <f t="shared" si="584"/>
        <v>0</v>
      </c>
      <c r="CD455" s="1018">
        <f t="shared" ca="1" si="662"/>
        <v>168.45088829456</v>
      </c>
      <c r="CE455" s="1018">
        <f t="shared" ca="1" si="661"/>
        <v>73.770479255404439</v>
      </c>
      <c r="CF455" s="1018">
        <f t="shared" ca="1" si="586"/>
        <v>7.2666410264989336</v>
      </c>
      <c r="CG455" s="1018">
        <f t="shared" ca="1" si="587"/>
        <v>12098.666643479664</v>
      </c>
    </row>
    <row r="456" spans="3:85" s="11" customFormat="1" x14ac:dyDescent="0.25">
      <c r="D456" s="12"/>
      <c r="F456" s="12"/>
      <c r="H456" s="12"/>
      <c r="J456" s="12"/>
      <c r="K456" s="13"/>
      <c r="L456" s="25"/>
      <c r="M456" s="12"/>
      <c r="N456" s="12"/>
      <c r="O456" s="12"/>
      <c r="P456" s="12"/>
      <c r="Q456" s="12"/>
      <c r="R456" s="12"/>
      <c r="S456" s="12"/>
      <c r="T456" s="82"/>
      <c r="U456" s="296"/>
      <c r="V456" s="293"/>
      <c r="W456" s="292"/>
      <c r="X456" s="292"/>
      <c r="Y456" s="277"/>
      <c r="Z456" s="292"/>
      <c r="AA456" s="292"/>
      <c r="AB456" s="292"/>
      <c r="AC456" s="292"/>
      <c r="AD456" s="277"/>
      <c r="AE456" s="292"/>
      <c r="AF456" s="292"/>
      <c r="AG456" s="277"/>
      <c r="AH456" s="313"/>
      <c r="AJ456" s="314"/>
      <c r="AK456" s="1018">
        <f t="shared" si="581"/>
        <v>0</v>
      </c>
      <c r="AL456" s="946"/>
      <c r="AM456" s="946"/>
      <c r="AN456" s="955"/>
      <c r="AO456" s="955"/>
      <c r="AP456" s="955"/>
      <c r="AQ456" s="314"/>
      <c r="AR456" s="28"/>
      <c r="AS456" s="28"/>
      <c r="AT456" s="28"/>
      <c r="AU456" s="28"/>
      <c r="AV456" s="28"/>
      <c r="AW456" s="28"/>
      <c r="AX456" s="28"/>
      <c r="AY456" s="28"/>
      <c r="AZ456" s="28"/>
      <c r="BA456" s="28"/>
      <c r="BB456" s="28"/>
      <c r="BC456" s="45"/>
      <c r="BD456" s="277"/>
      <c r="BE456" s="277"/>
      <c r="BF456" s="49"/>
      <c r="BG456" s="28"/>
      <c r="BH456" s="28"/>
      <c r="BI456" s="49"/>
      <c r="BJ456" s="28"/>
      <c r="BK456" s="28"/>
      <c r="BL456" s="28"/>
      <c r="BM456" s="49"/>
      <c r="BN456" s="277"/>
      <c r="BO456" s="49"/>
      <c r="BP456" s="946"/>
      <c r="BQ456" s="946"/>
      <c r="BR456" s="946"/>
      <c r="BS456" s="946"/>
      <c r="BT456" s="946"/>
      <c r="BU456" s="946"/>
      <c r="BV456" s="946"/>
      <c r="BW456" s="946"/>
      <c r="BX456" s="946"/>
      <c r="BY456" s="946"/>
      <c r="BZ456" s="946"/>
      <c r="CA456" s="946"/>
      <c r="CB456" s="946"/>
      <c r="CC456" s="946"/>
      <c r="CD456" s="946"/>
      <c r="CE456" s="946"/>
      <c r="CF456" s="946"/>
      <c r="CG456" s="946"/>
    </row>
    <row r="457" spans="3:85" x14ac:dyDescent="0.25">
      <c r="D457" s="1"/>
      <c r="F457" s="1"/>
      <c r="G457" s="3"/>
      <c r="H457" s="6"/>
      <c r="I457" s="3"/>
      <c r="J457" s="6"/>
      <c r="K457" s="8"/>
      <c r="L457" s="6"/>
      <c r="M457" s="1"/>
      <c r="N457" s="1"/>
      <c r="O457" s="1"/>
      <c r="P457" s="1"/>
      <c r="Q457" s="1" t="s">
        <v>16</v>
      </c>
      <c r="R457" s="4"/>
      <c r="S457" s="1"/>
      <c r="T457" s="77"/>
      <c r="U457" s="294"/>
      <c r="X457" s="176">
        <f>W447-X447</f>
        <v>0</v>
      </c>
      <c r="Y457" s="34">
        <f>X457/Calculation_sheet!M$67</f>
        <v>0</v>
      </c>
      <c r="Z457" s="176">
        <f ca="1">IF(AN457&gt;0,Y457*Calculation_sheet!C$87,0)</f>
        <v>0</v>
      </c>
      <c r="AA457" s="176">
        <f t="shared" ref="AA457:AA465" ca="1" si="663">Y457-Z457</f>
        <v>0</v>
      </c>
      <c r="AB457" s="176">
        <f ca="1">IF(AP457&gt;0,AA457*Calculation_sheet!C$94,0)</f>
        <v>0</v>
      </c>
      <c r="AC457" s="176">
        <f t="shared" ref="AC457:AE465" ca="1" si="664">AA457-AB457</f>
        <v>0</v>
      </c>
      <c r="AD457" s="958">
        <f ca="1">AC457*Calculation_sheet!C$99</f>
        <v>0</v>
      </c>
      <c r="AE457" s="176">
        <f t="shared" ca="1" si="664"/>
        <v>0</v>
      </c>
      <c r="AF457" s="176">
        <f t="shared" ref="AF457:AF465" ca="1" si="665">Y457-AB457</f>
        <v>0</v>
      </c>
      <c r="AG457" s="958">
        <f ca="1">AF457*User_sheet!B$77/100</f>
        <v>0</v>
      </c>
      <c r="AH457" s="313"/>
      <c r="AI457" s="3">
        <v>304</v>
      </c>
      <c r="AK457" s="1018">
        <f t="shared" ca="1" si="581"/>
        <v>156.61464832163256</v>
      </c>
      <c r="AL457" s="924">
        <f ca="1">AK457/'304'!I$24</f>
        <v>0.6193607194417281</v>
      </c>
      <c r="AM457" s="924">
        <f ca="1">0.8*(AK457*30+'304'!D$17*0.34*30*1)</f>
        <v>7926.9733997191815</v>
      </c>
      <c r="AN457" s="954">
        <f ca="1">IF(AM457&lt;User_sheet!B$50,Y457,0)</f>
        <v>0</v>
      </c>
      <c r="AO457" s="954">
        <f ca="1">20-(User_sheet!B$57/(AK457+'304'!D$17*1*0.34))</f>
        <v>2.7424676352709554</v>
      </c>
      <c r="AP457" s="954">
        <f ca="1">IF(AO457&lt;User_sheet!B$59,0,BC457*AA457)</f>
        <v>0</v>
      </c>
      <c r="AR457" s="2">
        <v>0.32</v>
      </c>
      <c r="AS457" s="2">
        <v>0.54</v>
      </c>
      <c r="AT457" s="2">
        <v>0.83</v>
      </c>
      <c r="AU457" s="2">
        <v>2</v>
      </c>
      <c r="AV457" s="2">
        <v>3.3</v>
      </c>
      <c r="AW457" s="2">
        <v>14356</v>
      </c>
      <c r="AX457" s="2">
        <v>75022.04959166942</v>
      </c>
      <c r="AY457" s="2">
        <v>69245.59826015502</v>
      </c>
      <c r="AZ457" s="27">
        <v>0</v>
      </c>
      <c r="BA457" s="27">
        <v>0</v>
      </c>
      <c r="BB457" s="2">
        <v>0.6</v>
      </c>
      <c r="BC457" s="30">
        <v>1</v>
      </c>
      <c r="BD457" s="34">
        <v>0</v>
      </c>
      <c r="BE457" s="34">
        <v>0</v>
      </c>
      <c r="BF457" s="40">
        <v>0</v>
      </c>
      <c r="BG457" s="2">
        <v>1</v>
      </c>
      <c r="BH457" s="2">
        <v>0</v>
      </c>
      <c r="BI457" s="40">
        <v>0</v>
      </c>
      <c r="BJ457" s="2">
        <v>1</v>
      </c>
      <c r="BK457" s="2">
        <v>0</v>
      </c>
      <c r="BL457" s="2">
        <v>0</v>
      </c>
      <c r="BM457" s="40">
        <v>0</v>
      </c>
      <c r="BN457" s="958">
        <v>0.1</v>
      </c>
      <c r="BO457" s="50">
        <v>10</v>
      </c>
      <c r="BP457" s="1018">
        <f t="shared" ref="BP457:BP465" ca="1" si="666">INDIRECT("'"&amp;AI457&amp;"'!"&amp;"B2")</f>
        <v>206.38</v>
      </c>
      <c r="BQ457" s="1018">
        <f t="shared" ref="BQ457:BQ465" ca="1" si="667">INDIRECT("'"&amp;AI457&amp;"'!"&amp;"C12")+INDIRECT("'"&amp;AI457&amp;"'!"&amp;"C13")+INDIRECT("'"&amp;AI457&amp;"'!"&amp;"C14")+INDIRECT("'"&amp;AI457&amp;"'!"&amp;"C15")+INDIRECT("'"&amp;AI457&amp;"'!"&amp;"C17")</f>
        <v>308.92399999999992</v>
      </c>
      <c r="BR457" s="1018">
        <f t="shared" ref="BR457:BR465" ca="1" si="668">INDIRECT("'"&amp;AI457&amp;"'!"&amp;"G5")</f>
        <v>90.07</v>
      </c>
      <c r="BS457" s="1018">
        <f t="shared" ref="BS457:BS465" ca="1" si="669">INDIRECT("'"&amp;AI457&amp;"'!"&amp;"G4")</f>
        <v>65.974999999999994</v>
      </c>
      <c r="BT457" s="1018">
        <f t="shared" ref="BT457:BT465" ca="1" si="670">INDIRECT("'"&amp;AI457&amp;"'!"&amp;"G6")</f>
        <v>78.88</v>
      </c>
      <c r="BU457" s="1018">
        <f t="shared" ref="BU457:BU465" ca="1" si="671">INDIRECT("'"&amp;AI457&amp;"'!"&amp;"G2")</f>
        <v>18</v>
      </c>
      <c r="BV457" s="1018">
        <f t="shared" ref="BV457:BV465" ca="1" si="672">INDIRECT("'"&amp;AI457&amp;"'!"&amp;"G3")</f>
        <v>7.5250000000000004</v>
      </c>
      <c r="BW457" s="1018">
        <v>0</v>
      </c>
      <c r="BX457" s="1018">
        <f t="shared" ref="BX457:BX465" ca="1" si="673">IF(BR457=0,0,1/(1/(BR457*$BY$3)+1/(BR457*AR457)+1/(BR457*$BY$4)))</f>
        <v>27.307731177362307</v>
      </c>
      <c r="BY457" s="1018">
        <f t="shared" ref="BY457:BY465" ca="1" si="674">IF(BS457=0,0,1/(1/(BS457*$BY$3)+1/(BS457*AS457)+1/(BS457*$BY$4)))</f>
        <v>32.577267739575717</v>
      </c>
      <c r="BZ457" s="1018">
        <f t="shared" ca="1" si="582"/>
        <v>18.887893693903717</v>
      </c>
      <c r="CA457" s="1018">
        <f t="shared" ca="1" si="583"/>
        <v>35.999999985599999</v>
      </c>
      <c r="CB457" s="1018">
        <f t="shared" ref="CB457:CB465" ca="1" si="675">IF(BV457=0,0,1/(1/(BV457*$BY$3)+1/(BV457*AV457)+1/(BV457*$BY$4)))</f>
        <v>15.79675572519084</v>
      </c>
      <c r="CC457" s="1018">
        <f t="shared" si="584"/>
        <v>0</v>
      </c>
      <c r="CD457" s="1018">
        <f ca="1">SUM(BX457:CC457)+(BR457+BS457+BT457+BU457+BV457)*BN457</f>
        <v>156.61464832163256</v>
      </c>
      <c r="CE457" s="1018">
        <f t="shared" ref="CE457:CE465" ca="1" si="676">0.34*BO457*(1/25)^0.66*(BR457+BS457+BU457+BV457)</f>
        <v>73.770479255404439</v>
      </c>
      <c r="CF457" s="1018">
        <f t="shared" ca="1" si="586"/>
        <v>6.9115538273111099</v>
      </c>
      <c r="CG457" s="1018">
        <f t="shared" ca="1" si="587"/>
        <v>11507.460660319906</v>
      </c>
    </row>
    <row r="458" spans="3:85" x14ac:dyDescent="0.25">
      <c r="D458" s="1"/>
      <c r="F458" s="1"/>
      <c r="G458" s="3"/>
      <c r="H458" s="6"/>
      <c r="I458" s="3"/>
      <c r="J458" s="6"/>
      <c r="K458" s="8"/>
      <c r="L458" s="6"/>
      <c r="M458" s="1"/>
      <c r="N458" s="1"/>
      <c r="O458" s="1" t="s">
        <v>18</v>
      </c>
      <c r="P458" s="4"/>
      <c r="Q458" s="1" t="s">
        <v>7</v>
      </c>
      <c r="R458" s="4"/>
      <c r="S458" s="1"/>
      <c r="T458" s="77"/>
      <c r="U458" s="294"/>
      <c r="X458" s="176">
        <f t="shared" ref="X458:X465" si="677">W448-X448</f>
        <v>0</v>
      </c>
      <c r="Y458" s="34">
        <f>X458/Calculation_sheet!M$67</f>
        <v>0</v>
      </c>
      <c r="Z458" s="176">
        <f ca="1">IF(AN458&gt;0,Y458*Calculation_sheet!C$87,0)</f>
        <v>0</v>
      </c>
      <c r="AA458" s="176">
        <f t="shared" ca="1" si="663"/>
        <v>0</v>
      </c>
      <c r="AB458" s="176">
        <f ca="1">IF(AP458&gt;0,AA458*Calculation_sheet!C$94,0)</f>
        <v>0</v>
      </c>
      <c r="AC458" s="176">
        <f t="shared" ca="1" si="664"/>
        <v>0</v>
      </c>
      <c r="AD458" s="958">
        <f ca="1">AC458*Calculation_sheet!C$99</f>
        <v>0</v>
      </c>
      <c r="AE458" s="176">
        <f t="shared" ca="1" si="664"/>
        <v>0</v>
      </c>
      <c r="AF458" s="176">
        <f t="shared" ca="1" si="665"/>
        <v>0</v>
      </c>
      <c r="AG458" s="958">
        <f ca="1">AF458*User_sheet!B$77/100</f>
        <v>0</v>
      </c>
      <c r="AH458" s="313"/>
      <c r="AI458" s="3">
        <v>304</v>
      </c>
      <c r="AK458" s="1018">
        <f t="shared" ca="1" si="581"/>
        <v>156.61464832163256</v>
      </c>
      <c r="AL458" s="924">
        <f ca="1">AK458/'304'!I$24</f>
        <v>0.6193607194417281</v>
      </c>
      <c r="AM458" s="924">
        <f ca="1">0.8*(AK458*30+'304'!D$17*0.34*30*1)</f>
        <v>7926.9733997191815</v>
      </c>
      <c r="AN458" s="954">
        <f ca="1">IF(AM458&lt;User_sheet!B$50,Y458,0)</f>
        <v>0</v>
      </c>
      <c r="AO458" s="954">
        <f ca="1">20-(User_sheet!B$57/(AK458+'304'!D$17*1*0.34))</f>
        <v>2.7424676352709554</v>
      </c>
      <c r="AP458" s="954">
        <f ca="1">IF(AO458&lt;User_sheet!B$59,0,BC458*AA458)</f>
        <v>0</v>
      </c>
      <c r="AR458" s="2">
        <v>0.32</v>
      </c>
      <c r="AS458" s="2">
        <v>0.54</v>
      </c>
      <c r="AT458" s="2">
        <v>0.83</v>
      </c>
      <c r="AU458" s="2">
        <v>2</v>
      </c>
      <c r="AV458" s="2">
        <v>3.3</v>
      </c>
      <c r="AW458" s="2">
        <v>14356</v>
      </c>
      <c r="AX458" s="2">
        <v>75022.04959166942</v>
      </c>
      <c r="AY458" s="2">
        <v>69245.59826015502</v>
      </c>
      <c r="AZ458" s="27">
        <v>0</v>
      </c>
      <c r="BA458" s="27">
        <v>0</v>
      </c>
      <c r="BB458" s="2">
        <v>0.6</v>
      </c>
      <c r="BC458" s="30">
        <v>1</v>
      </c>
      <c r="BD458" s="34">
        <v>0</v>
      </c>
      <c r="BE458" s="34">
        <v>0</v>
      </c>
      <c r="BF458" s="40">
        <v>0</v>
      </c>
      <c r="BG458" s="2">
        <v>1</v>
      </c>
      <c r="BH458" s="2">
        <v>0</v>
      </c>
      <c r="BI458" s="40">
        <v>0</v>
      </c>
      <c r="BJ458" s="2">
        <v>0</v>
      </c>
      <c r="BK458" s="2">
        <v>0</v>
      </c>
      <c r="BL458" s="2">
        <v>1</v>
      </c>
      <c r="BM458" s="40">
        <v>0</v>
      </c>
      <c r="BN458" s="958">
        <v>0.1</v>
      </c>
      <c r="BO458" s="50">
        <v>10</v>
      </c>
      <c r="BP458" s="1018">
        <f t="shared" ca="1" si="666"/>
        <v>206.38</v>
      </c>
      <c r="BQ458" s="1018">
        <f t="shared" ca="1" si="667"/>
        <v>308.92399999999992</v>
      </c>
      <c r="BR458" s="1018">
        <f t="shared" ca="1" si="668"/>
        <v>90.07</v>
      </c>
      <c r="BS458" s="1018">
        <f t="shared" ca="1" si="669"/>
        <v>65.974999999999994</v>
      </c>
      <c r="BT458" s="1018">
        <f t="shared" ca="1" si="670"/>
        <v>78.88</v>
      </c>
      <c r="BU458" s="1018">
        <f t="shared" ca="1" si="671"/>
        <v>18</v>
      </c>
      <c r="BV458" s="1018">
        <f t="shared" ca="1" si="672"/>
        <v>7.5250000000000004</v>
      </c>
      <c r="BW458" s="1018">
        <v>0</v>
      </c>
      <c r="BX458" s="1018">
        <f t="shared" ca="1" si="673"/>
        <v>27.307731177362307</v>
      </c>
      <c r="BY458" s="1018">
        <f t="shared" ca="1" si="674"/>
        <v>32.577267739575717</v>
      </c>
      <c r="BZ458" s="1018">
        <f t="shared" ca="1" si="582"/>
        <v>18.887893693903717</v>
      </c>
      <c r="CA458" s="1018">
        <f t="shared" ca="1" si="583"/>
        <v>35.999999985599999</v>
      </c>
      <c r="CB458" s="1018">
        <f t="shared" ca="1" si="675"/>
        <v>15.79675572519084</v>
      </c>
      <c r="CC458" s="1018">
        <f t="shared" si="584"/>
        <v>0</v>
      </c>
      <c r="CD458" s="1018">
        <f t="shared" ref="CD458:CD465" ca="1" si="678">SUM(BX458:CC458)+(BR458+BS458+BT458+BU458+BV458)*BN458</f>
        <v>156.61464832163256</v>
      </c>
      <c r="CE458" s="1018">
        <f t="shared" ca="1" si="676"/>
        <v>73.770479255404439</v>
      </c>
      <c r="CF458" s="1018">
        <f t="shared" ca="1" si="586"/>
        <v>6.9115538273111099</v>
      </c>
      <c r="CG458" s="1018">
        <f t="shared" ca="1" si="587"/>
        <v>11507.460660319906</v>
      </c>
    </row>
    <row r="459" spans="3:85" x14ac:dyDescent="0.25">
      <c r="D459" s="1"/>
      <c r="F459" s="1"/>
      <c r="G459" s="3"/>
      <c r="H459" s="6"/>
      <c r="I459" s="3"/>
      <c r="J459" s="6"/>
      <c r="K459" s="8"/>
      <c r="L459" s="6"/>
      <c r="M459" s="1"/>
      <c r="N459" s="1"/>
      <c r="O459" s="1"/>
      <c r="P459" s="1"/>
      <c r="Q459" s="1" t="s">
        <v>16</v>
      </c>
      <c r="R459" s="4"/>
      <c r="S459" s="1"/>
      <c r="T459" s="77"/>
      <c r="U459" s="294"/>
      <c r="X459" s="176">
        <f t="shared" si="677"/>
        <v>0</v>
      </c>
      <c r="Y459" s="34">
        <f>X459/Calculation_sheet!M$67</f>
        <v>0</v>
      </c>
      <c r="Z459" s="176">
        <f ca="1">IF(AN459&gt;0,Y459*Calculation_sheet!C$87,0)</f>
        <v>0</v>
      </c>
      <c r="AA459" s="176">
        <f t="shared" ca="1" si="663"/>
        <v>0</v>
      </c>
      <c r="AB459" s="176">
        <f ca="1">IF(AP459&gt;0,AA459*Calculation_sheet!C$94,0)</f>
        <v>0</v>
      </c>
      <c r="AC459" s="176">
        <f t="shared" ca="1" si="664"/>
        <v>0</v>
      </c>
      <c r="AD459" s="958">
        <f ca="1">AC459*Calculation_sheet!C$99</f>
        <v>0</v>
      </c>
      <c r="AE459" s="176">
        <f t="shared" ca="1" si="664"/>
        <v>0</v>
      </c>
      <c r="AF459" s="176">
        <f t="shared" ca="1" si="665"/>
        <v>0</v>
      </c>
      <c r="AG459" s="958">
        <f ca="1">AF459*User_sheet!B$77/100</f>
        <v>0</v>
      </c>
      <c r="AH459" s="313"/>
      <c r="AI459" s="3">
        <v>304</v>
      </c>
      <c r="AK459" s="1018">
        <f t="shared" ca="1" si="581"/>
        <v>156.61464832163256</v>
      </c>
      <c r="AL459" s="924">
        <f ca="1">AK459/'304'!I$24</f>
        <v>0.6193607194417281</v>
      </c>
      <c r="AM459" s="924">
        <f ca="1">0.8*(AK459*30+'304'!D$17*0.34*30*1)</f>
        <v>7926.9733997191815</v>
      </c>
      <c r="AN459" s="954">
        <f ca="1">IF(AM459&lt;User_sheet!B$50,Y459,0)</f>
        <v>0</v>
      </c>
      <c r="AO459" s="954">
        <f ca="1">20-(User_sheet!B$57/(AK459+'304'!D$17*1*0.34))</f>
        <v>2.7424676352709554</v>
      </c>
      <c r="AP459" s="954">
        <f ca="1">IF(AO459&lt;User_sheet!B$59,0,BC459*AA459)</f>
        <v>0</v>
      </c>
      <c r="AR459" s="2">
        <v>0.32</v>
      </c>
      <c r="AS459" s="2">
        <v>0.54</v>
      </c>
      <c r="AT459" s="2">
        <v>0.83</v>
      </c>
      <c r="AU459" s="2">
        <v>2</v>
      </c>
      <c r="AV459" s="2">
        <v>3.3</v>
      </c>
      <c r="AW459" s="2">
        <v>14356</v>
      </c>
      <c r="AX459" s="2">
        <v>75022.04959166942</v>
      </c>
      <c r="AY459" s="2">
        <v>69245.59826015502</v>
      </c>
      <c r="AZ459" s="27">
        <v>0</v>
      </c>
      <c r="BA459" s="27">
        <v>0</v>
      </c>
      <c r="BB459" s="2">
        <v>0.6</v>
      </c>
      <c r="BC459" s="30">
        <v>1</v>
      </c>
      <c r="BD459" s="34">
        <v>0</v>
      </c>
      <c r="BE459" s="34">
        <v>0</v>
      </c>
      <c r="BF459" s="40">
        <v>0</v>
      </c>
      <c r="BG459" s="2">
        <v>0</v>
      </c>
      <c r="BH459" s="2">
        <v>1</v>
      </c>
      <c r="BI459" s="40">
        <v>0</v>
      </c>
      <c r="BJ459" s="2">
        <v>1</v>
      </c>
      <c r="BK459" s="2">
        <v>0</v>
      </c>
      <c r="BL459" s="2">
        <v>0</v>
      </c>
      <c r="BM459" s="40">
        <v>0</v>
      </c>
      <c r="BN459" s="958">
        <v>0.1</v>
      </c>
      <c r="BO459" s="50">
        <v>10</v>
      </c>
      <c r="BP459" s="1018">
        <f t="shared" ca="1" si="666"/>
        <v>206.38</v>
      </c>
      <c r="BQ459" s="1018">
        <f t="shared" ca="1" si="667"/>
        <v>308.92399999999992</v>
      </c>
      <c r="BR459" s="1018">
        <f t="shared" ca="1" si="668"/>
        <v>90.07</v>
      </c>
      <c r="BS459" s="1018">
        <f t="shared" ca="1" si="669"/>
        <v>65.974999999999994</v>
      </c>
      <c r="BT459" s="1018">
        <f t="shared" ca="1" si="670"/>
        <v>78.88</v>
      </c>
      <c r="BU459" s="1018">
        <f t="shared" ca="1" si="671"/>
        <v>18</v>
      </c>
      <c r="BV459" s="1018">
        <f t="shared" ca="1" si="672"/>
        <v>7.5250000000000004</v>
      </c>
      <c r="BW459" s="1018">
        <v>0</v>
      </c>
      <c r="BX459" s="1018">
        <f t="shared" ca="1" si="673"/>
        <v>27.307731177362307</v>
      </c>
      <c r="BY459" s="1018">
        <f t="shared" ca="1" si="674"/>
        <v>32.577267739575717</v>
      </c>
      <c r="BZ459" s="1018">
        <f t="shared" ca="1" si="582"/>
        <v>18.887893693903717</v>
      </c>
      <c r="CA459" s="1018">
        <f t="shared" ca="1" si="583"/>
        <v>35.999999985599999</v>
      </c>
      <c r="CB459" s="1018">
        <f t="shared" ca="1" si="675"/>
        <v>15.79675572519084</v>
      </c>
      <c r="CC459" s="1018">
        <f t="shared" si="584"/>
        <v>0</v>
      </c>
      <c r="CD459" s="1018">
        <f t="shared" ca="1" si="678"/>
        <v>156.61464832163256</v>
      </c>
      <c r="CE459" s="1018">
        <f t="shared" ca="1" si="676"/>
        <v>73.770479255404439</v>
      </c>
      <c r="CF459" s="1018">
        <f t="shared" ca="1" si="586"/>
        <v>6.9115538273111099</v>
      </c>
      <c r="CG459" s="1018">
        <f t="shared" ca="1" si="587"/>
        <v>11507.460660319906</v>
      </c>
    </row>
    <row r="460" spans="3:85" x14ac:dyDescent="0.25">
      <c r="D460" s="1"/>
      <c r="F460" s="1"/>
      <c r="G460" s="3"/>
      <c r="H460" s="6"/>
      <c r="I460" s="3"/>
      <c r="J460" s="3" t="s">
        <v>144</v>
      </c>
      <c r="K460" s="8"/>
      <c r="L460" s="6"/>
      <c r="M460" s="1" t="s">
        <v>16</v>
      </c>
      <c r="N460" s="4"/>
      <c r="O460" s="1" t="s">
        <v>19</v>
      </c>
      <c r="P460" s="4"/>
      <c r="Q460" s="1" t="s">
        <v>7</v>
      </c>
      <c r="R460" s="4"/>
      <c r="S460" s="1"/>
      <c r="T460" s="77"/>
      <c r="U460" s="294"/>
      <c r="X460" s="176">
        <f t="shared" si="677"/>
        <v>0</v>
      </c>
      <c r="Y460" s="34">
        <f>X460/Calculation_sheet!M$67</f>
        <v>0</v>
      </c>
      <c r="Z460" s="176">
        <f ca="1">IF(AN460&gt;0,Y460*Calculation_sheet!C$87,0)</f>
        <v>0</v>
      </c>
      <c r="AA460" s="176">
        <f t="shared" ca="1" si="663"/>
        <v>0</v>
      </c>
      <c r="AB460" s="176">
        <f ca="1">IF(AP460&gt;0,AA460*Calculation_sheet!C$94,0)</f>
        <v>0</v>
      </c>
      <c r="AC460" s="176">
        <f t="shared" ca="1" si="664"/>
        <v>0</v>
      </c>
      <c r="AD460" s="958">
        <f ca="1">AC460*Calculation_sheet!C$99</f>
        <v>0</v>
      </c>
      <c r="AE460" s="176">
        <f t="shared" ca="1" si="664"/>
        <v>0</v>
      </c>
      <c r="AF460" s="176">
        <f t="shared" ca="1" si="665"/>
        <v>0</v>
      </c>
      <c r="AG460" s="958">
        <f ca="1">AF460*User_sheet!B$77/100</f>
        <v>0</v>
      </c>
      <c r="AH460" s="313"/>
      <c r="AI460" s="3">
        <v>304</v>
      </c>
      <c r="AK460" s="1018">
        <f t="shared" ca="1" si="581"/>
        <v>156.61464832163256</v>
      </c>
      <c r="AL460" s="924">
        <f ca="1">AK460/'304'!I$24</f>
        <v>0.6193607194417281</v>
      </c>
      <c r="AM460" s="924">
        <f ca="1">0.8*(AK460*30+'304'!D$17*0.34*30*1)</f>
        <v>7926.9733997191815</v>
      </c>
      <c r="AN460" s="954">
        <f ca="1">IF(AM460&lt;User_sheet!B$50,Y460,0)</f>
        <v>0</v>
      </c>
      <c r="AO460" s="954">
        <f ca="1">20-(User_sheet!B$57/(AK460+'304'!D$17*1*0.34))</f>
        <v>2.7424676352709554</v>
      </c>
      <c r="AP460" s="954">
        <f ca="1">IF(AO460&lt;User_sheet!B$59,0,BC460*AA460)</f>
        <v>0</v>
      </c>
      <c r="AR460" s="2">
        <v>0.32</v>
      </c>
      <c r="AS460" s="2">
        <v>0.54</v>
      </c>
      <c r="AT460" s="2">
        <v>0.83</v>
      </c>
      <c r="AU460" s="2">
        <v>2</v>
      </c>
      <c r="AV460" s="2">
        <v>3.3</v>
      </c>
      <c r="AW460" s="2">
        <v>14356</v>
      </c>
      <c r="AX460" s="2">
        <v>75022.04959166942</v>
      </c>
      <c r="AY460" s="2">
        <v>69245.59826015502</v>
      </c>
      <c r="AZ460" s="27">
        <v>0</v>
      </c>
      <c r="BA460" s="27">
        <v>0</v>
      </c>
      <c r="BB460" s="2">
        <v>0.6</v>
      </c>
      <c r="BC460" s="30">
        <v>1</v>
      </c>
      <c r="BD460" s="34">
        <v>0</v>
      </c>
      <c r="BE460" s="34">
        <v>0</v>
      </c>
      <c r="BF460" s="40">
        <v>0</v>
      </c>
      <c r="BG460" s="2">
        <v>0</v>
      </c>
      <c r="BH460" s="2">
        <v>1</v>
      </c>
      <c r="BI460" s="40">
        <v>0</v>
      </c>
      <c r="BJ460" s="2">
        <v>0</v>
      </c>
      <c r="BK460" s="2">
        <v>0</v>
      </c>
      <c r="BL460" s="2">
        <v>1</v>
      </c>
      <c r="BM460" s="40">
        <v>0</v>
      </c>
      <c r="BN460" s="958">
        <v>0.1</v>
      </c>
      <c r="BO460" s="50">
        <v>10</v>
      </c>
      <c r="BP460" s="1018">
        <f t="shared" ca="1" si="666"/>
        <v>206.38</v>
      </c>
      <c r="BQ460" s="1018">
        <f t="shared" ca="1" si="667"/>
        <v>308.92399999999992</v>
      </c>
      <c r="BR460" s="1018">
        <f t="shared" ca="1" si="668"/>
        <v>90.07</v>
      </c>
      <c r="BS460" s="1018">
        <f t="shared" ca="1" si="669"/>
        <v>65.974999999999994</v>
      </c>
      <c r="BT460" s="1018">
        <f t="shared" ca="1" si="670"/>
        <v>78.88</v>
      </c>
      <c r="BU460" s="1018">
        <f t="shared" ca="1" si="671"/>
        <v>18</v>
      </c>
      <c r="BV460" s="1018">
        <f t="shared" ca="1" si="672"/>
        <v>7.5250000000000004</v>
      </c>
      <c r="BW460" s="1018">
        <v>0</v>
      </c>
      <c r="BX460" s="1018">
        <f t="shared" ca="1" si="673"/>
        <v>27.307731177362307</v>
      </c>
      <c r="BY460" s="1018">
        <f t="shared" ca="1" si="674"/>
        <v>32.577267739575717</v>
      </c>
      <c r="BZ460" s="1018">
        <f t="shared" ca="1" si="582"/>
        <v>18.887893693903717</v>
      </c>
      <c r="CA460" s="1018">
        <f t="shared" ca="1" si="583"/>
        <v>35.999999985599999</v>
      </c>
      <c r="CB460" s="1018">
        <f t="shared" ca="1" si="675"/>
        <v>15.79675572519084</v>
      </c>
      <c r="CC460" s="1018">
        <f t="shared" si="584"/>
        <v>0</v>
      </c>
      <c r="CD460" s="1018">
        <f t="shared" ca="1" si="678"/>
        <v>156.61464832163256</v>
      </c>
      <c r="CE460" s="1018">
        <f t="shared" ca="1" si="676"/>
        <v>73.770479255404439</v>
      </c>
      <c r="CF460" s="1018">
        <f t="shared" ca="1" si="586"/>
        <v>6.9115538273111099</v>
      </c>
      <c r="CG460" s="1018">
        <f t="shared" ca="1" si="587"/>
        <v>11507.460660319906</v>
      </c>
    </row>
    <row r="461" spans="3:85" x14ac:dyDescent="0.25">
      <c r="D461" s="1"/>
      <c r="F461" s="1"/>
      <c r="G461" s="3"/>
      <c r="H461" s="6"/>
      <c r="I461" s="3"/>
      <c r="J461" s="6" t="s">
        <v>190</v>
      </c>
      <c r="K461" s="8"/>
      <c r="L461" s="6"/>
      <c r="M461" s="1"/>
      <c r="N461" s="1"/>
      <c r="O461" s="1"/>
      <c r="P461" s="1"/>
      <c r="Q461" s="1" t="s">
        <v>22</v>
      </c>
      <c r="R461" s="4"/>
      <c r="S461" s="1"/>
      <c r="T461" s="77"/>
      <c r="U461" s="294"/>
      <c r="X461" s="176">
        <f t="shared" si="677"/>
        <v>0</v>
      </c>
      <c r="Y461" s="34">
        <f>X461/Calculation_sheet!M$67</f>
        <v>0</v>
      </c>
      <c r="Z461" s="176">
        <f ca="1">IF(AN461&gt;0,Y461*Calculation_sheet!C$87,0)</f>
        <v>0</v>
      </c>
      <c r="AA461" s="176">
        <f t="shared" ca="1" si="663"/>
        <v>0</v>
      </c>
      <c r="AB461" s="176">
        <f ca="1">IF(AP461&gt;0,AA461*Calculation_sheet!C$94,0)</f>
        <v>0</v>
      </c>
      <c r="AC461" s="176">
        <f t="shared" ca="1" si="664"/>
        <v>0</v>
      </c>
      <c r="AD461" s="958">
        <f ca="1">AC461*Calculation_sheet!C$99</f>
        <v>0</v>
      </c>
      <c r="AE461" s="176">
        <f t="shared" ca="1" si="664"/>
        <v>0</v>
      </c>
      <c r="AF461" s="176">
        <f t="shared" ca="1" si="665"/>
        <v>0</v>
      </c>
      <c r="AG461" s="958">
        <f ca="1">AF461*User_sheet!B$77/100</f>
        <v>0</v>
      </c>
      <c r="AH461" s="313"/>
      <c r="AI461" s="3">
        <v>304</v>
      </c>
      <c r="AK461" s="1018">
        <f t="shared" ca="1" si="581"/>
        <v>156.61464832163256</v>
      </c>
      <c r="AL461" s="924">
        <f ca="1">AK461/'304'!I$24</f>
        <v>0.6193607194417281</v>
      </c>
      <c r="AM461" s="924">
        <f ca="1">0.8*(AK461*30+'304'!D$17*0.34*30*1)</f>
        <v>7926.9733997191815</v>
      </c>
      <c r="AN461" s="954">
        <f ca="1">IF(AM461&lt;User_sheet!B$50,Y461,0)</f>
        <v>0</v>
      </c>
      <c r="AO461" s="954">
        <f ca="1">20-(User_sheet!B$57/(AK461+'304'!D$17*1*0.34))</f>
        <v>2.7424676352709554</v>
      </c>
      <c r="AP461" s="954">
        <f ca="1">IF(AO461&lt;User_sheet!B$59,0,BC461*AA461)</f>
        <v>0</v>
      </c>
      <c r="AR461" s="2">
        <v>0.32</v>
      </c>
      <c r="AS461" s="2">
        <v>0.54</v>
      </c>
      <c r="AT461" s="2">
        <v>0.83</v>
      </c>
      <c r="AU461" s="2">
        <v>2</v>
      </c>
      <c r="AV461" s="2">
        <v>3.3</v>
      </c>
      <c r="AW461" s="2">
        <v>14356</v>
      </c>
      <c r="AX461" s="2">
        <v>75022.04959166942</v>
      </c>
      <c r="AY461" s="2">
        <v>69245.59826015502</v>
      </c>
      <c r="AZ461" s="27">
        <v>0</v>
      </c>
      <c r="BA461" s="27">
        <v>0</v>
      </c>
      <c r="BB461" s="2">
        <v>0.6</v>
      </c>
      <c r="BC461" s="30">
        <v>0</v>
      </c>
      <c r="BD461" s="34">
        <v>1</v>
      </c>
      <c r="BE461" s="34">
        <v>0</v>
      </c>
      <c r="BF461" s="40">
        <v>0</v>
      </c>
      <c r="BG461" s="2">
        <v>1</v>
      </c>
      <c r="BH461" s="2">
        <v>0</v>
      </c>
      <c r="BI461" s="40">
        <v>0</v>
      </c>
      <c r="BJ461" s="2">
        <v>0</v>
      </c>
      <c r="BK461" s="2">
        <v>1</v>
      </c>
      <c r="BL461" s="2">
        <v>0</v>
      </c>
      <c r="BM461" s="40">
        <v>0</v>
      </c>
      <c r="BN461" s="958">
        <v>0.1</v>
      </c>
      <c r="BO461" s="50">
        <v>10</v>
      </c>
      <c r="BP461" s="1018">
        <f t="shared" ca="1" si="666"/>
        <v>206.38</v>
      </c>
      <c r="BQ461" s="1018">
        <f t="shared" ca="1" si="667"/>
        <v>308.92399999999992</v>
      </c>
      <c r="BR461" s="1018">
        <f t="shared" ca="1" si="668"/>
        <v>90.07</v>
      </c>
      <c r="BS461" s="1018">
        <f t="shared" ca="1" si="669"/>
        <v>65.974999999999994</v>
      </c>
      <c r="BT461" s="1018">
        <f t="shared" ca="1" si="670"/>
        <v>78.88</v>
      </c>
      <c r="BU461" s="1018">
        <f t="shared" ca="1" si="671"/>
        <v>18</v>
      </c>
      <c r="BV461" s="1018">
        <f t="shared" ca="1" si="672"/>
        <v>7.5250000000000004</v>
      </c>
      <c r="BW461" s="1018">
        <v>0</v>
      </c>
      <c r="BX461" s="1018">
        <f t="shared" ca="1" si="673"/>
        <v>27.307731177362307</v>
      </c>
      <c r="BY461" s="1018">
        <f t="shared" ca="1" si="674"/>
        <v>32.577267739575717</v>
      </c>
      <c r="BZ461" s="1018">
        <f t="shared" ca="1" si="582"/>
        <v>18.887893693903717</v>
      </c>
      <c r="CA461" s="1018">
        <f t="shared" ca="1" si="583"/>
        <v>35.999999985599999</v>
      </c>
      <c r="CB461" s="1018">
        <f t="shared" ca="1" si="675"/>
        <v>15.79675572519084</v>
      </c>
      <c r="CC461" s="1018">
        <f t="shared" si="584"/>
        <v>0</v>
      </c>
      <c r="CD461" s="1018">
        <f t="shared" ca="1" si="678"/>
        <v>156.61464832163256</v>
      </c>
      <c r="CE461" s="1018">
        <f t="shared" ca="1" si="676"/>
        <v>73.770479255404439</v>
      </c>
      <c r="CF461" s="1018">
        <f t="shared" ca="1" si="586"/>
        <v>6.9115538273111099</v>
      </c>
      <c r="CG461" s="1018">
        <f t="shared" ca="1" si="587"/>
        <v>11507.460660319906</v>
      </c>
    </row>
    <row r="462" spans="3:85" x14ac:dyDescent="0.25">
      <c r="D462" s="1"/>
      <c r="F462" s="1"/>
      <c r="G462" s="3"/>
      <c r="H462" s="6"/>
      <c r="I462" s="3"/>
      <c r="K462" s="8"/>
      <c r="L462" s="6"/>
      <c r="M462" s="1"/>
      <c r="N462" s="1"/>
      <c r="O462" s="1" t="s">
        <v>18</v>
      </c>
      <c r="P462" s="4"/>
      <c r="Q462" s="1" t="s">
        <v>7</v>
      </c>
      <c r="R462" s="4"/>
      <c r="S462" s="1"/>
      <c r="T462" s="77"/>
      <c r="U462" s="294"/>
      <c r="X462" s="176">
        <f t="shared" si="677"/>
        <v>0</v>
      </c>
      <c r="Y462" s="34">
        <f>X462/Calculation_sheet!M$67</f>
        <v>0</v>
      </c>
      <c r="Z462" s="176">
        <f ca="1">IF(AN462&gt;0,Y462*Calculation_sheet!C$87,0)</f>
        <v>0</v>
      </c>
      <c r="AA462" s="176">
        <f t="shared" ca="1" si="663"/>
        <v>0</v>
      </c>
      <c r="AB462" s="176">
        <f ca="1">IF(AP462&gt;0,AA462*Calculation_sheet!C$94,0)</f>
        <v>0</v>
      </c>
      <c r="AC462" s="176">
        <f t="shared" ca="1" si="664"/>
        <v>0</v>
      </c>
      <c r="AD462" s="958">
        <f ca="1">AC462*Calculation_sheet!C$99</f>
        <v>0</v>
      </c>
      <c r="AE462" s="176">
        <f t="shared" ca="1" si="664"/>
        <v>0</v>
      </c>
      <c r="AF462" s="176">
        <f t="shared" ca="1" si="665"/>
        <v>0</v>
      </c>
      <c r="AG462" s="958">
        <f ca="1">AF462*User_sheet!B$77/100</f>
        <v>0</v>
      </c>
      <c r="AH462" s="313"/>
      <c r="AI462" s="3">
        <v>304</v>
      </c>
      <c r="AK462" s="1018">
        <f t="shared" ref="AK462:AK502" ca="1" si="679">CD462</f>
        <v>156.61464832163256</v>
      </c>
      <c r="AL462" s="924">
        <f ca="1">AK462/'304'!I$24</f>
        <v>0.6193607194417281</v>
      </c>
      <c r="AM462" s="924">
        <f ca="1">0.8*(AK462*30+'304'!D$17*0.34*30*1)</f>
        <v>7926.9733997191815</v>
      </c>
      <c r="AN462" s="954">
        <f ca="1">IF(AM462&lt;User_sheet!B$50,Y462,0)</f>
        <v>0</v>
      </c>
      <c r="AO462" s="954">
        <f ca="1">20-(User_sheet!B$57/(AK462+'304'!D$17*1*0.34))</f>
        <v>2.7424676352709554</v>
      </c>
      <c r="AP462" s="954">
        <f ca="1">IF(AO462&lt;User_sheet!B$59,0,BC462*AA462)</f>
        <v>0</v>
      </c>
      <c r="AR462" s="2">
        <v>0.32</v>
      </c>
      <c r="AS462" s="2">
        <v>0.54</v>
      </c>
      <c r="AT462" s="2">
        <v>0.83</v>
      </c>
      <c r="AU462" s="2">
        <v>2</v>
      </c>
      <c r="AV462" s="2">
        <v>3.3</v>
      </c>
      <c r="AW462" s="2">
        <v>14356</v>
      </c>
      <c r="AX462" s="2">
        <v>75022.04959166942</v>
      </c>
      <c r="AY462" s="2">
        <v>69245.59826015502</v>
      </c>
      <c r="AZ462" s="27">
        <v>0</v>
      </c>
      <c r="BA462" s="27">
        <v>0</v>
      </c>
      <c r="BB462" s="2">
        <v>0.6</v>
      </c>
      <c r="BC462" s="30">
        <v>0</v>
      </c>
      <c r="BD462" s="34">
        <v>1</v>
      </c>
      <c r="BE462" s="34">
        <v>0</v>
      </c>
      <c r="BF462" s="40">
        <v>0</v>
      </c>
      <c r="BG462" s="2">
        <v>1</v>
      </c>
      <c r="BH462" s="2">
        <v>0</v>
      </c>
      <c r="BI462" s="40">
        <v>0</v>
      </c>
      <c r="BJ462" s="2">
        <v>0</v>
      </c>
      <c r="BK462" s="2">
        <v>0</v>
      </c>
      <c r="BL462" s="2">
        <v>1</v>
      </c>
      <c r="BM462" s="40">
        <v>0</v>
      </c>
      <c r="BN462" s="958">
        <v>0.1</v>
      </c>
      <c r="BO462" s="50">
        <v>10</v>
      </c>
      <c r="BP462" s="1018">
        <f t="shared" ca="1" si="666"/>
        <v>206.38</v>
      </c>
      <c r="BQ462" s="1018">
        <f t="shared" ca="1" si="667"/>
        <v>308.92399999999992</v>
      </c>
      <c r="BR462" s="1018">
        <f t="shared" ca="1" si="668"/>
        <v>90.07</v>
      </c>
      <c r="BS462" s="1018">
        <f t="shared" ca="1" si="669"/>
        <v>65.974999999999994</v>
      </c>
      <c r="BT462" s="1018">
        <f t="shared" ca="1" si="670"/>
        <v>78.88</v>
      </c>
      <c r="BU462" s="1018">
        <f t="shared" ca="1" si="671"/>
        <v>18</v>
      </c>
      <c r="BV462" s="1018">
        <f t="shared" ca="1" si="672"/>
        <v>7.5250000000000004</v>
      </c>
      <c r="BW462" s="1018">
        <v>0</v>
      </c>
      <c r="BX462" s="1018">
        <f t="shared" ca="1" si="673"/>
        <v>27.307731177362307</v>
      </c>
      <c r="BY462" s="1018">
        <f t="shared" ca="1" si="674"/>
        <v>32.577267739575717</v>
      </c>
      <c r="BZ462" s="1018">
        <f t="shared" ref="BZ462:BZ502" ca="1" si="680">IF(BT462=0,0,1/(1/(BT462*$BY$3)+1/(BT462*AT462)+1/(BT462*$BY$4)))*0.33</f>
        <v>18.887893693903717</v>
      </c>
      <c r="CA462" s="1018">
        <f t="shared" ref="CA462:CA502" ca="1" si="681">IF(BU462=0,0,1/(1/(BU462*$BY$5)+1/(BU462*AU462)+1/(BU462*$BY$6)))</f>
        <v>35.999999985599999</v>
      </c>
      <c r="CB462" s="1018">
        <f t="shared" ca="1" si="675"/>
        <v>15.79675572519084</v>
      </c>
      <c r="CC462" s="1018">
        <f t="shared" ref="CC462:CC502" si="682">0.67*IF(BW462=0,0,1/(1/(BW462*$BY$3)+1/(BW462*AS462)+1/(BW462*$BY$4)))</f>
        <v>0</v>
      </c>
      <c r="CD462" s="1018">
        <f t="shared" ca="1" si="678"/>
        <v>156.61464832163256</v>
      </c>
      <c r="CE462" s="1018">
        <f t="shared" ca="1" si="676"/>
        <v>73.770479255404439</v>
      </c>
      <c r="CF462" s="1018">
        <f t="shared" ref="CF462:CF502" ca="1" si="683">(CD462+CE462)*($BY$7-$BV$5)/1000</f>
        <v>6.9115538273111099</v>
      </c>
      <c r="CG462" s="1018">
        <f t="shared" ref="CG462:CG502" ca="1" si="684">$BV$8*(CD462+CE462)*($BY$10-$BV$7)*24/1000</f>
        <v>11507.460660319906</v>
      </c>
    </row>
    <row r="463" spans="3:85" x14ac:dyDescent="0.25">
      <c r="D463" s="1"/>
      <c r="F463" s="1"/>
      <c r="G463" s="3"/>
      <c r="H463" s="6"/>
      <c r="I463" s="3"/>
      <c r="K463" s="8"/>
      <c r="L463" s="6"/>
      <c r="M463" s="1"/>
      <c r="N463" s="1"/>
      <c r="O463" s="1"/>
      <c r="P463" s="1"/>
      <c r="Q463" s="1" t="s">
        <v>22</v>
      </c>
      <c r="R463" s="4"/>
      <c r="S463" s="1"/>
      <c r="T463" s="77"/>
      <c r="U463" s="294"/>
      <c r="X463" s="176">
        <f t="shared" si="677"/>
        <v>0</v>
      </c>
      <c r="Y463" s="34">
        <f>X463/Calculation_sheet!M$67</f>
        <v>0</v>
      </c>
      <c r="Z463" s="176">
        <f ca="1">IF(AN463&gt;0,Y463*Calculation_sheet!C$87,0)</f>
        <v>0</v>
      </c>
      <c r="AA463" s="176">
        <f t="shared" ca="1" si="663"/>
        <v>0</v>
      </c>
      <c r="AB463" s="176">
        <f ca="1">IF(AP463&gt;0,AA463*Calculation_sheet!C$94,0)</f>
        <v>0</v>
      </c>
      <c r="AC463" s="176">
        <f t="shared" ca="1" si="664"/>
        <v>0</v>
      </c>
      <c r="AD463" s="958">
        <f ca="1">AC463*Calculation_sheet!C$99</f>
        <v>0</v>
      </c>
      <c r="AE463" s="176">
        <f t="shared" ca="1" si="664"/>
        <v>0</v>
      </c>
      <c r="AF463" s="176">
        <f t="shared" ca="1" si="665"/>
        <v>0</v>
      </c>
      <c r="AG463" s="958">
        <f ca="1">AF463*User_sheet!B$77/100</f>
        <v>0</v>
      </c>
      <c r="AH463" s="313"/>
      <c r="AI463" s="3">
        <v>304</v>
      </c>
      <c r="AK463" s="1018">
        <f t="shared" ca="1" si="679"/>
        <v>156.61464832163256</v>
      </c>
      <c r="AL463" s="924">
        <f ca="1">AK463/'304'!I$24</f>
        <v>0.6193607194417281</v>
      </c>
      <c r="AM463" s="924">
        <f ca="1">0.8*(AK463*30+'304'!D$17*0.34*30*1)</f>
        <v>7926.9733997191815</v>
      </c>
      <c r="AN463" s="954">
        <f ca="1">IF(AM463&lt;User_sheet!B$50,Y463,0)</f>
        <v>0</v>
      </c>
      <c r="AO463" s="954">
        <f ca="1">20-(User_sheet!B$57/(AK463+'304'!D$17*1*0.34))</f>
        <v>2.7424676352709554</v>
      </c>
      <c r="AP463" s="954">
        <f ca="1">IF(AO463&lt;User_sheet!B$59,0,BC463*AA463)</f>
        <v>0</v>
      </c>
      <c r="AR463" s="2">
        <v>0.32</v>
      </c>
      <c r="AS463" s="2">
        <v>0.54</v>
      </c>
      <c r="AT463" s="2">
        <v>0.83</v>
      </c>
      <c r="AU463" s="2">
        <v>2</v>
      </c>
      <c r="AV463" s="2">
        <v>3.3</v>
      </c>
      <c r="AW463" s="2">
        <v>14356</v>
      </c>
      <c r="AX463" s="2">
        <v>75022.04959166942</v>
      </c>
      <c r="AY463" s="2">
        <v>69245.59826015502</v>
      </c>
      <c r="AZ463" s="27">
        <v>0</v>
      </c>
      <c r="BA463" s="27">
        <v>0</v>
      </c>
      <c r="BB463" s="2">
        <v>0.6</v>
      </c>
      <c r="BC463" s="30">
        <v>0</v>
      </c>
      <c r="BD463" s="34">
        <v>1</v>
      </c>
      <c r="BE463" s="34">
        <v>0</v>
      </c>
      <c r="BF463" s="40">
        <v>0</v>
      </c>
      <c r="BG463" s="2">
        <v>0</v>
      </c>
      <c r="BH463" s="2">
        <v>1</v>
      </c>
      <c r="BI463" s="40">
        <v>0</v>
      </c>
      <c r="BJ463" s="2">
        <v>0</v>
      </c>
      <c r="BK463" s="2">
        <v>1</v>
      </c>
      <c r="BL463" s="2">
        <v>0</v>
      </c>
      <c r="BM463" s="40">
        <v>0</v>
      </c>
      <c r="BN463" s="958">
        <v>0.1</v>
      </c>
      <c r="BO463" s="50">
        <v>10</v>
      </c>
      <c r="BP463" s="1018">
        <f t="shared" ca="1" si="666"/>
        <v>206.38</v>
      </c>
      <c r="BQ463" s="1018">
        <f t="shared" ca="1" si="667"/>
        <v>308.92399999999992</v>
      </c>
      <c r="BR463" s="1018">
        <f t="shared" ca="1" si="668"/>
        <v>90.07</v>
      </c>
      <c r="BS463" s="1018">
        <f t="shared" ca="1" si="669"/>
        <v>65.974999999999994</v>
      </c>
      <c r="BT463" s="1018">
        <f t="shared" ca="1" si="670"/>
        <v>78.88</v>
      </c>
      <c r="BU463" s="1018">
        <f t="shared" ca="1" si="671"/>
        <v>18</v>
      </c>
      <c r="BV463" s="1018">
        <f t="shared" ca="1" si="672"/>
        <v>7.5250000000000004</v>
      </c>
      <c r="BW463" s="1018">
        <v>0</v>
      </c>
      <c r="BX463" s="1018">
        <f t="shared" ca="1" si="673"/>
        <v>27.307731177362307</v>
      </c>
      <c r="BY463" s="1018">
        <f t="shared" ca="1" si="674"/>
        <v>32.577267739575717</v>
      </c>
      <c r="BZ463" s="1018">
        <f t="shared" ca="1" si="680"/>
        <v>18.887893693903717</v>
      </c>
      <c r="CA463" s="1018">
        <f t="shared" ca="1" si="681"/>
        <v>35.999999985599999</v>
      </c>
      <c r="CB463" s="1018">
        <f t="shared" ca="1" si="675"/>
        <v>15.79675572519084</v>
      </c>
      <c r="CC463" s="1018">
        <f t="shared" si="682"/>
        <v>0</v>
      </c>
      <c r="CD463" s="1018">
        <f t="shared" ca="1" si="678"/>
        <v>156.61464832163256</v>
      </c>
      <c r="CE463" s="1018">
        <f t="shared" ca="1" si="676"/>
        <v>73.770479255404439</v>
      </c>
      <c r="CF463" s="1018">
        <f t="shared" ca="1" si="683"/>
        <v>6.9115538273111099</v>
      </c>
      <c r="CG463" s="1018">
        <f t="shared" ca="1" si="684"/>
        <v>11507.460660319906</v>
      </c>
    </row>
    <row r="464" spans="3:85" x14ac:dyDescent="0.25">
      <c r="D464" s="1"/>
      <c r="F464" s="1"/>
      <c r="G464" s="3"/>
      <c r="H464" s="6"/>
      <c r="I464" s="3"/>
      <c r="J464" s="6"/>
      <c r="K464" s="8"/>
      <c r="L464" s="3"/>
      <c r="M464" s="1" t="s">
        <v>22</v>
      </c>
      <c r="N464" s="4"/>
      <c r="O464" s="1" t="s">
        <v>20</v>
      </c>
      <c r="P464" s="4"/>
      <c r="Q464" s="1" t="s">
        <v>7</v>
      </c>
      <c r="R464" s="4"/>
      <c r="S464" s="1"/>
      <c r="T464" s="77"/>
      <c r="U464" s="294"/>
      <c r="X464" s="176">
        <f t="shared" si="677"/>
        <v>0</v>
      </c>
      <c r="Y464" s="34">
        <f>X464/Calculation_sheet!M$67</f>
        <v>0</v>
      </c>
      <c r="Z464" s="176">
        <f ca="1">IF(AN464&gt;0,Y464*Calculation_sheet!C$87,0)</f>
        <v>0</v>
      </c>
      <c r="AA464" s="176">
        <f t="shared" ca="1" si="663"/>
        <v>0</v>
      </c>
      <c r="AB464" s="176">
        <f ca="1">IF(AP464&gt;0,AA464*Calculation_sheet!C$94,0)</f>
        <v>0</v>
      </c>
      <c r="AC464" s="176">
        <f t="shared" ca="1" si="664"/>
        <v>0</v>
      </c>
      <c r="AD464" s="958">
        <f ca="1">AC464*Calculation_sheet!C$99</f>
        <v>0</v>
      </c>
      <c r="AE464" s="176">
        <f t="shared" ca="1" si="664"/>
        <v>0</v>
      </c>
      <c r="AF464" s="176">
        <f t="shared" ca="1" si="665"/>
        <v>0</v>
      </c>
      <c r="AG464" s="958">
        <f ca="1">AF464*User_sheet!B$77/100</f>
        <v>0</v>
      </c>
      <c r="AH464" s="313"/>
      <c r="AI464" s="3">
        <v>304</v>
      </c>
      <c r="AK464" s="1018">
        <f t="shared" ca="1" si="679"/>
        <v>156.61464832163256</v>
      </c>
      <c r="AL464" s="924">
        <f ca="1">AK464/'304'!I$24</f>
        <v>0.6193607194417281</v>
      </c>
      <c r="AM464" s="924">
        <f ca="1">0.8*(AK464*30+'304'!D$17*0.34*30*1)</f>
        <v>7926.9733997191815</v>
      </c>
      <c r="AN464" s="954">
        <f ca="1">IF(AM464&lt;User_sheet!B$50,Y464,0)</f>
        <v>0</v>
      </c>
      <c r="AO464" s="954">
        <f ca="1">20-(User_sheet!B$57/(AK464+'304'!D$17*1*0.34))</f>
        <v>2.7424676352709554</v>
      </c>
      <c r="AP464" s="954">
        <f ca="1">IF(AO464&lt;User_sheet!B$59,0,BC464*AA464)</f>
        <v>0</v>
      </c>
      <c r="AR464" s="2">
        <v>0.32</v>
      </c>
      <c r="AS464" s="2">
        <v>0.54</v>
      </c>
      <c r="AT464" s="2">
        <v>0.83</v>
      </c>
      <c r="AU464" s="2">
        <v>2</v>
      </c>
      <c r="AV464" s="2">
        <v>3.3</v>
      </c>
      <c r="AW464" s="2">
        <v>14356</v>
      </c>
      <c r="AX464" s="2">
        <v>75022.04959166942</v>
      </c>
      <c r="AY464" s="2">
        <v>69245.59826015502</v>
      </c>
      <c r="AZ464" s="27">
        <v>0</v>
      </c>
      <c r="BA464" s="27">
        <v>0</v>
      </c>
      <c r="BB464" s="2">
        <v>0.6</v>
      </c>
      <c r="BC464" s="30">
        <v>0</v>
      </c>
      <c r="BD464" s="34">
        <v>1</v>
      </c>
      <c r="BE464" s="34">
        <v>0</v>
      </c>
      <c r="BF464" s="40">
        <v>0</v>
      </c>
      <c r="BG464" s="2">
        <v>0</v>
      </c>
      <c r="BH464" s="2">
        <v>1</v>
      </c>
      <c r="BI464" s="40">
        <v>0</v>
      </c>
      <c r="BJ464" s="2">
        <v>0</v>
      </c>
      <c r="BK464" s="2">
        <v>0</v>
      </c>
      <c r="BL464" s="2">
        <v>1</v>
      </c>
      <c r="BM464" s="40">
        <v>0</v>
      </c>
      <c r="BN464" s="958">
        <v>0.1</v>
      </c>
      <c r="BO464" s="50">
        <v>10</v>
      </c>
      <c r="BP464" s="1018">
        <f t="shared" ca="1" si="666"/>
        <v>206.38</v>
      </c>
      <c r="BQ464" s="1018">
        <f t="shared" ca="1" si="667"/>
        <v>308.92399999999992</v>
      </c>
      <c r="BR464" s="1018">
        <f t="shared" ca="1" si="668"/>
        <v>90.07</v>
      </c>
      <c r="BS464" s="1018">
        <f t="shared" ca="1" si="669"/>
        <v>65.974999999999994</v>
      </c>
      <c r="BT464" s="1018">
        <f t="shared" ca="1" si="670"/>
        <v>78.88</v>
      </c>
      <c r="BU464" s="1018">
        <f t="shared" ca="1" si="671"/>
        <v>18</v>
      </c>
      <c r="BV464" s="1018">
        <f t="shared" ca="1" si="672"/>
        <v>7.5250000000000004</v>
      </c>
      <c r="BW464" s="1018">
        <v>0</v>
      </c>
      <c r="BX464" s="1018">
        <f t="shared" ca="1" si="673"/>
        <v>27.307731177362307</v>
      </c>
      <c r="BY464" s="1018">
        <f t="shared" ca="1" si="674"/>
        <v>32.577267739575717</v>
      </c>
      <c r="BZ464" s="1018">
        <f t="shared" ca="1" si="680"/>
        <v>18.887893693903717</v>
      </c>
      <c r="CA464" s="1018">
        <f t="shared" ca="1" si="681"/>
        <v>35.999999985599999</v>
      </c>
      <c r="CB464" s="1018">
        <f t="shared" ca="1" si="675"/>
        <v>15.79675572519084</v>
      </c>
      <c r="CC464" s="1018">
        <f t="shared" si="682"/>
        <v>0</v>
      </c>
      <c r="CD464" s="1018">
        <f t="shared" ca="1" si="678"/>
        <v>156.61464832163256</v>
      </c>
      <c r="CE464" s="1018">
        <f t="shared" ca="1" si="676"/>
        <v>73.770479255404439</v>
      </c>
      <c r="CF464" s="1018">
        <f t="shared" ca="1" si="683"/>
        <v>6.9115538273111099</v>
      </c>
      <c r="CG464" s="1018">
        <f t="shared" ca="1" si="684"/>
        <v>11507.460660319906</v>
      </c>
    </row>
    <row r="465" spans="4:85" x14ac:dyDescent="0.25">
      <c r="D465" s="1"/>
      <c r="F465" s="1"/>
      <c r="G465" s="3"/>
      <c r="H465" s="6"/>
      <c r="I465" s="3"/>
      <c r="J465" s="6"/>
      <c r="K465" s="8"/>
      <c r="L465" s="7"/>
      <c r="M465" s="1" t="s">
        <v>7</v>
      </c>
      <c r="N465" s="4"/>
      <c r="O465" s="1" t="s">
        <v>23</v>
      </c>
      <c r="P465" s="4"/>
      <c r="Q465" s="1" t="s">
        <v>7</v>
      </c>
      <c r="R465" s="4"/>
      <c r="S465" s="1"/>
      <c r="T465" s="77"/>
      <c r="U465" s="294"/>
      <c r="X465" s="176">
        <f t="shared" si="677"/>
        <v>0</v>
      </c>
      <c r="Y465" s="34">
        <f>X465/Calculation_sheet!M$67</f>
        <v>0</v>
      </c>
      <c r="Z465" s="176">
        <f ca="1">IF(AN465&gt;0,Y465*Calculation_sheet!C$87,0)</f>
        <v>0</v>
      </c>
      <c r="AA465" s="176">
        <f t="shared" ca="1" si="663"/>
        <v>0</v>
      </c>
      <c r="AB465" s="176">
        <f ca="1">IF(AP465&gt;0,AA465*Calculation_sheet!C$94,0)</f>
        <v>0</v>
      </c>
      <c r="AC465" s="176">
        <f t="shared" ca="1" si="664"/>
        <v>0</v>
      </c>
      <c r="AD465" s="958">
        <f ca="1">AC465*Calculation_sheet!C$99</f>
        <v>0</v>
      </c>
      <c r="AE465" s="176">
        <f t="shared" ca="1" si="664"/>
        <v>0</v>
      </c>
      <c r="AF465" s="176">
        <f t="shared" ca="1" si="665"/>
        <v>0</v>
      </c>
      <c r="AG465" s="958">
        <f ca="1">AF465*User_sheet!B$77/100</f>
        <v>0</v>
      </c>
      <c r="AH465" s="313"/>
      <c r="AI465" s="3">
        <v>304</v>
      </c>
      <c r="AK465" s="1018">
        <f t="shared" ca="1" si="679"/>
        <v>156.61464832163256</v>
      </c>
      <c r="AL465" s="924">
        <f ca="1">AK465/'304'!I$24</f>
        <v>0.6193607194417281</v>
      </c>
      <c r="AM465" s="924">
        <f ca="1">0.8*(AK465*30+'304'!D$17*0.34*30*1)</f>
        <v>7926.9733997191815</v>
      </c>
      <c r="AN465" s="954">
        <f ca="1">IF(AM465&lt;User_sheet!B$50,Y465,0)</f>
        <v>0</v>
      </c>
      <c r="AO465" s="954">
        <f ca="1">20-(User_sheet!B$57/(AK465+'304'!D$17*1*0.34))</f>
        <v>2.7424676352709554</v>
      </c>
      <c r="AP465" s="954">
        <f ca="1">IF(AO465&lt;User_sheet!B$59,0,BC465*AA465)</f>
        <v>0</v>
      </c>
      <c r="AR465" s="2">
        <v>0.32</v>
      </c>
      <c r="AS465" s="2">
        <v>0.54</v>
      </c>
      <c r="AT465" s="2">
        <v>0.83</v>
      </c>
      <c r="AU465" s="2">
        <v>2</v>
      </c>
      <c r="AV465" s="2">
        <v>3.3</v>
      </c>
      <c r="AW465" s="2">
        <v>14356</v>
      </c>
      <c r="AX465" s="2">
        <v>75022.04959166942</v>
      </c>
      <c r="AY465" s="2">
        <v>69245.59826015502</v>
      </c>
      <c r="AZ465" s="27">
        <v>0</v>
      </c>
      <c r="BA465" s="27">
        <v>0</v>
      </c>
      <c r="BB465" s="2">
        <v>0.6</v>
      </c>
      <c r="BC465" s="30">
        <v>0</v>
      </c>
      <c r="BD465" s="34">
        <v>0</v>
      </c>
      <c r="BE465" s="34">
        <v>1</v>
      </c>
      <c r="BF465" s="40">
        <v>0</v>
      </c>
      <c r="BG465" s="2">
        <v>0</v>
      </c>
      <c r="BH465" s="2">
        <v>0</v>
      </c>
      <c r="BI465" s="40">
        <v>1</v>
      </c>
      <c r="BJ465" s="2">
        <v>0</v>
      </c>
      <c r="BK465" s="2">
        <v>0</v>
      </c>
      <c r="BL465" s="2">
        <v>1</v>
      </c>
      <c r="BM465" s="40">
        <v>0</v>
      </c>
      <c r="BN465" s="958">
        <v>0.1</v>
      </c>
      <c r="BO465" s="50">
        <v>10</v>
      </c>
      <c r="BP465" s="1018">
        <f t="shared" ca="1" si="666"/>
        <v>206.38</v>
      </c>
      <c r="BQ465" s="1018">
        <f t="shared" ca="1" si="667"/>
        <v>308.92399999999992</v>
      </c>
      <c r="BR465" s="1018">
        <f t="shared" ca="1" si="668"/>
        <v>90.07</v>
      </c>
      <c r="BS465" s="1018">
        <f t="shared" ca="1" si="669"/>
        <v>65.974999999999994</v>
      </c>
      <c r="BT465" s="1018">
        <f t="shared" ca="1" si="670"/>
        <v>78.88</v>
      </c>
      <c r="BU465" s="1018">
        <f t="shared" ca="1" si="671"/>
        <v>18</v>
      </c>
      <c r="BV465" s="1018">
        <f t="shared" ca="1" si="672"/>
        <v>7.5250000000000004</v>
      </c>
      <c r="BW465" s="1018">
        <v>0</v>
      </c>
      <c r="BX465" s="1018">
        <f t="shared" ca="1" si="673"/>
        <v>27.307731177362307</v>
      </c>
      <c r="BY465" s="1018">
        <f t="shared" ca="1" si="674"/>
        <v>32.577267739575717</v>
      </c>
      <c r="BZ465" s="1018">
        <f t="shared" ca="1" si="680"/>
        <v>18.887893693903717</v>
      </c>
      <c r="CA465" s="1018">
        <f t="shared" ca="1" si="681"/>
        <v>35.999999985599999</v>
      </c>
      <c r="CB465" s="1018">
        <f t="shared" ca="1" si="675"/>
        <v>15.79675572519084</v>
      </c>
      <c r="CC465" s="1018">
        <f t="shared" si="682"/>
        <v>0</v>
      </c>
      <c r="CD465" s="1018">
        <f t="shared" ca="1" si="678"/>
        <v>156.61464832163256</v>
      </c>
      <c r="CE465" s="1018">
        <f t="shared" ca="1" si="676"/>
        <v>73.770479255404439</v>
      </c>
      <c r="CF465" s="1018">
        <f t="shared" ca="1" si="683"/>
        <v>6.9115538273111099</v>
      </c>
      <c r="CG465" s="1018">
        <f t="shared" ca="1" si="684"/>
        <v>11507.460660319906</v>
      </c>
    </row>
    <row r="466" spans="4:85" s="11" customFormat="1" x14ac:dyDescent="0.25">
      <c r="D466" s="12"/>
      <c r="F466" s="12"/>
      <c r="H466" s="12"/>
      <c r="J466" s="12"/>
      <c r="K466" s="13"/>
      <c r="L466" s="12"/>
      <c r="M466" s="12"/>
      <c r="N466" s="12"/>
      <c r="O466" s="12"/>
      <c r="P466" s="12"/>
      <c r="Q466" s="12"/>
      <c r="R466" s="12"/>
      <c r="S466" s="12"/>
      <c r="T466" s="82"/>
      <c r="U466" s="293"/>
      <c r="V466" s="293"/>
      <c r="W466" s="292"/>
      <c r="X466" s="292"/>
      <c r="Y466" s="277"/>
      <c r="Z466" s="292"/>
      <c r="AA466" s="292"/>
      <c r="AB466" s="292"/>
      <c r="AC466" s="292"/>
      <c r="AD466" s="277"/>
      <c r="AE466" s="292"/>
      <c r="AF466" s="292"/>
      <c r="AG466" s="277"/>
      <c r="AH466" s="313"/>
      <c r="AJ466" s="314"/>
      <c r="AK466" s="1018">
        <f t="shared" si="679"/>
        <v>0</v>
      </c>
      <c r="AL466" s="946"/>
      <c r="AM466" s="946"/>
      <c r="AN466" s="955"/>
      <c r="AO466" s="955"/>
      <c r="AP466" s="955"/>
      <c r="AQ466" s="314"/>
      <c r="AR466" s="28"/>
      <c r="AS466" s="28"/>
      <c r="AT466" s="28"/>
      <c r="AU466" s="28"/>
      <c r="AV466" s="28"/>
      <c r="AW466" s="28"/>
      <c r="AX466" s="28"/>
      <c r="AY466" s="28"/>
      <c r="AZ466" s="28"/>
      <c r="BA466" s="28"/>
      <c r="BB466" s="28"/>
      <c r="BC466" s="45"/>
      <c r="BD466" s="277"/>
      <c r="BE466" s="277"/>
      <c r="BF466" s="49"/>
      <c r="BG466" s="28"/>
      <c r="BH466" s="28"/>
      <c r="BI466" s="49"/>
      <c r="BJ466" s="28"/>
      <c r="BK466" s="28"/>
      <c r="BL466" s="28"/>
      <c r="BM466" s="49"/>
      <c r="BN466" s="277"/>
      <c r="BO466" s="49"/>
      <c r="BP466" s="946"/>
      <c r="BQ466" s="946"/>
      <c r="BR466" s="946"/>
      <c r="BS466" s="946"/>
      <c r="BT466" s="946"/>
      <c r="BU466" s="946"/>
      <c r="BV466" s="946"/>
      <c r="BW466" s="946"/>
      <c r="BX466" s="946"/>
      <c r="BY466" s="946"/>
      <c r="BZ466" s="946"/>
      <c r="CA466" s="946"/>
      <c r="CB466" s="946"/>
      <c r="CC466" s="946"/>
      <c r="CD466" s="946"/>
      <c r="CE466" s="946"/>
      <c r="CF466" s="946"/>
      <c r="CG466" s="946"/>
    </row>
    <row r="467" spans="4:85" s="3" customFormat="1" x14ac:dyDescent="0.25">
      <c r="D467" s="774"/>
      <c r="E467" s="770"/>
      <c r="F467" s="774"/>
      <c r="G467" s="770"/>
      <c r="H467" s="774"/>
      <c r="I467" s="770"/>
      <c r="J467" s="774"/>
      <c r="K467" s="775"/>
      <c r="L467" s="774"/>
      <c r="M467" s="774"/>
      <c r="N467" s="774"/>
      <c r="O467" s="774"/>
      <c r="P467" s="774"/>
      <c r="Q467" s="774" t="s">
        <v>16</v>
      </c>
      <c r="R467" s="771">
        <v>0.81069999999999998</v>
      </c>
      <c r="S467" s="774"/>
      <c r="T467" s="779">
        <v>1.6938583328801935E-4</v>
      </c>
      <c r="U467" s="770"/>
      <c r="V467" s="176">
        <f t="shared" si="550"/>
        <v>1.6938583328801935E-4</v>
      </c>
      <c r="W467" s="176">
        <f>V467-V467*Calculation_sheet!E$69</f>
        <v>1.6938583328801935E-4</v>
      </c>
      <c r="X467" s="176">
        <f>W467-W467*Calculation_sheet!E$79</f>
        <v>1.6938583328801935E-4</v>
      </c>
      <c r="Y467" s="34">
        <f>X467/Calculation_sheet!M$67</f>
        <v>1.6938929662337545E-4</v>
      </c>
      <c r="Z467" s="176">
        <f ca="1">IF(AN467&gt;0,Y467*Calculation_sheet!C$87,0)</f>
        <v>0</v>
      </c>
      <c r="AA467" s="176">
        <f t="shared" ref="AA467:AA475" ca="1" si="685">Y467-Z467</f>
        <v>1.6938929662337545E-4</v>
      </c>
      <c r="AB467" s="176">
        <f ca="1">IF(AP467&gt;0,AA467*Calculation_sheet!C$94,0)</f>
        <v>0</v>
      </c>
      <c r="AC467" s="176">
        <f t="shared" ref="AC467:AE475" ca="1" si="686">AA467-AB467</f>
        <v>1.6938929662337545E-4</v>
      </c>
      <c r="AD467" s="958">
        <f ca="1">AC467*Calculation_sheet!C$99</f>
        <v>1.0163357797402527E-4</v>
      </c>
      <c r="AE467" s="176">
        <f t="shared" ca="1" si="686"/>
        <v>6.7755718649350184E-5</v>
      </c>
      <c r="AF467" s="176">
        <f t="shared" ref="AF467:AF475" ca="1" si="687">Y467-AB467</f>
        <v>1.6938929662337545E-4</v>
      </c>
      <c r="AG467" s="958">
        <f ca="1">AF467*User_sheet!B$77/100</f>
        <v>0</v>
      </c>
      <c r="AH467" s="313"/>
      <c r="AI467" s="3">
        <v>304</v>
      </c>
      <c r="AJ467" s="314"/>
      <c r="AK467" s="1018">
        <f t="shared" ca="1" si="679"/>
        <v>195.45088826486</v>
      </c>
      <c r="AL467" s="924">
        <f ca="1">AK467/'304'!I$24</f>
        <v>0.77294559652328321</v>
      </c>
      <c r="AM467" s="924">
        <f ca="1">0.8*(AK467*30+'304'!D$17*0.34*30*1)</f>
        <v>8859.0431583566387</v>
      </c>
      <c r="AN467" s="954">
        <f ca="1">IF(AM467&lt;User_sheet!B$50,Y467,0)</f>
        <v>1.6938929662337545E-4</v>
      </c>
      <c r="AO467" s="954">
        <f ca="1">20-(User_sheet!B$57/(AK467+'304'!D$17*1*0.34))</f>
        <v>4.5581517603333896</v>
      </c>
      <c r="AP467" s="954">
        <f ca="1">IF(AO467&lt;User_sheet!B$59,0,BC467*AA467)</f>
        <v>0</v>
      </c>
      <c r="AQ467" s="314"/>
      <c r="AR467" s="2">
        <v>0.47</v>
      </c>
      <c r="AS467" s="2">
        <v>0.54</v>
      </c>
      <c r="AT467" s="2">
        <v>0.83</v>
      </c>
      <c r="AU467" s="2">
        <v>3.5</v>
      </c>
      <c r="AV467" s="2">
        <v>3.3</v>
      </c>
      <c r="AW467" s="2">
        <v>12848.541887298286</v>
      </c>
      <c r="AX467" s="2">
        <v>75022.04959166942</v>
      </c>
      <c r="AY467" s="2">
        <v>69245.59826015502</v>
      </c>
      <c r="AZ467" s="27">
        <v>0</v>
      </c>
      <c r="BA467" s="27">
        <v>0</v>
      </c>
      <c r="BB467" s="2">
        <v>0.75</v>
      </c>
      <c r="BC467" s="46">
        <v>1</v>
      </c>
      <c r="BD467" s="199">
        <v>0</v>
      </c>
      <c r="BE467" s="199">
        <v>0</v>
      </c>
      <c r="BF467" s="50">
        <v>0</v>
      </c>
      <c r="BG467" s="27">
        <v>1</v>
      </c>
      <c r="BH467" s="27">
        <v>0</v>
      </c>
      <c r="BI467" s="50">
        <v>0</v>
      </c>
      <c r="BJ467" s="27">
        <v>1</v>
      </c>
      <c r="BK467" s="27">
        <v>0</v>
      </c>
      <c r="BL467" s="27">
        <v>0</v>
      </c>
      <c r="BM467" s="50">
        <v>0</v>
      </c>
      <c r="BN467" s="958">
        <v>0.1</v>
      </c>
      <c r="BO467" s="50">
        <v>10</v>
      </c>
      <c r="BP467" s="926">
        <f t="shared" ref="BP467:BP475" ca="1" si="688">INDIRECT("'"&amp;AI467&amp;"'!"&amp;"B2")</f>
        <v>206.38</v>
      </c>
      <c r="BQ467" s="926">
        <f t="shared" ref="BQ467:BQ475" ca="1" si="689">INDIRECT("'"&amp;AI467&amp;"'!"&amp;"C12")+INDIRECT("'"&amp;AI467&amp;"'!"&amp;"C13")+INDIRECT("'"&amp;AI467&amp;"'!"&amp;"C14")+INDIRECT("'"&amp;AI467&amp;"'!"&amp;"C15")+INDIRECT("'"&amp;AI467&amp;"'!"&amp;"C17")</f>
        <v>308.92399999999992</v>
      </c>
      <c r="BR467" s="926">
        <f t="shared" ref="BR467:BR475" ca="1" si="690">INDIRECT("'"&amp;AI467&amp;"'!"&amp;"G5")</f>
        <v>90.07</v>
      </c>
      <c r="BS467" s="926">
        <f t="shared" ref="BS467:BS475" ca="1" si="691">INDIRECT("'"&amp;AI467&amp;"'!"&amp;"G4")</f>
        <v>65.974999999999994</v>
      </c>
      <c r="BT467" s="926">
        <f t="shared" ref="BT467:BT475" ca="1" si="692">INDIRECT("'"&amp;AI467&amp;"'!"&amp;"G6")</f>
        <v>78.88</v>
      </c>
      <c r="BU467" s="926">
        <f t="shared" ref="BU467:BU475" ca="1" si="693">INDIRECT("'"&amp;AI467&amp;"'!"&amp;"G2")</f>
        <v>18</v>
      </c>
      <c r="BV467" s="926">
        <f t="shared" ref="BV467:BV475" ca="1" si="694">INDIRECT("'"&amp;AI467&amp;"'!"&amp;"G3")</f>
        <v>7.5250000000000004</v>
      </c>
      <c r="BW467" s="926">
        <v>0</v>
      </c>
      <c r="BX467" s="926">
        <f t="shared" ref="BX467:BX475" ca="1" si="695">IF(BR467=0,0,1/(1/(BR467*$BY$3)+1/(BR467*AR467)+1/(BR467*$BY$4)))</f>
        <v>39.143971150289723</v>
      </c>
      <c r="BY467" s="926">
        <f t="shared" ref="BY467:BY475" ca="1" si="696">IF(BS467=0,0,1/(1/(BS467*$BY$3)+1/(BS467*AS467)+1/(BS467*$BY$4)))</f>
        <v>32.577267739575717</v>
      </c>
      <c r="BZ467" s="926">
        <f t="shared" ca="1" si="680"/>
        <v>18.887893693903717</v>
      </c>
      <c r="CA467" s="926">
        <f t="shared" ca="1" si="681"/>
        <v>62.999999955900002</v>
      </c>
      <c r="CB467" s="926">
        <f t="shared" ref="CB467:CB475" ca="1" si="697">IF(BV467=0,0,1/(1/(BV467*$BY$3)+1/(BV467*AV467)+1/(BV467*$BY$4)))</f>
        <v>15.79675572519084</v>
      </c>
      <c r="CC467" s="926">
        <f t="shared" si="682"/>
        <v>0</v>
      </c>
      <c r="CD467" s="1018">
        <f ca="1">SUM(BX467:CC467)+(BR467+BS467+BT467+BU467+BV467)*BN467</f>
        <v>195.45088826486</v>
      </c>
      <c r="CE467" s="1018">
        <f t="shared" ref="CE467:CE475" ca="1" si="698">0.34*BO467*(1/25)^0.66*(BR467+BS467+BU467+BV467)</f>
        <v>73.770479255404439</v>
      </c>
      <c r="CF467" s="926">
        <f t="shared" ca="1" si="683"/>
        <v>8.076641025607934</v>
      </c>
      <c r="CG467" s="926">
        <f t="shared" ca="1" si="684"/>
        <v>13447.284241996183</v>
      </c>
    </row>
    <row r="468" spans="4:85" s="3" customFormat="1" x14ac:dyDescent="0.25">
      <c r="D468" s="774"/>
      <c r="E468" s="770"/>
      <c r="F468" s="774"/>
      <c r="G468" s="770"/>
      <c r="H468" s="774"/>
      <c r="I468" s="770"/>
      <c r="J468" s="774"/>
      <c r="K468" s="775"/>
      <c r="L468" s="774"/>
      <c r="M468" s="774"/>
      <c r="N468" s="774"/>
      <c r="O468" s="774" t="s">
        <v>18</v>
      </c>
      <c r="P468" s="771">
        <v>0.962121212</v>
      </c>
      <c r="Q468" s="774" t="s">
        <v>7</v>
      </c>
      <c r="R468" s="771">
        <v>0.1893</v>
      </c>
      <c r="S468" s="774"/>
      <c r="T468" s="779">
        <v>3.955191592626381E-5</v>
      </c>
      <c r="U468" s="770"/>
      <c r="V468" s="176">
        <f t="shared" si="550"/>
        <v>3.955191592626381E-5</v>
      </c>
      <c r="W468" s="176">
        <f>V468-V468*Calculation_sheet!E$69</f>
        <v>3.955191592626381E-5</v>
      </c>
      <c r="X468" s="176">
        <f>W468-W468*Calculation_sheet!E$79</f>
        <v>3.955191592626381E-5</v>
      </c>
      <c r="Y468" s="34">
        <f>X468/Calculation_sheet!M$67</f>
        <v>3.9552724621691105E-5</v>
      </c>
      <c r="Z468" s="176">
        <f ca="1">IF(AN468&gt;0,Y468*Calculation_sheet!C$87,0)</f>
        <v>0</v>
      </c>
      <c r="AA468" s="176">
        <f t="shared" ca="1" si="685"/>
        <v>3.9552724621691105E-5</v>
      </c>
      <c r="AB468" s="176">
        <f ca="1">IF(AP468&gt;0,AA468*Calculation_sheet!C$94,0)</f>
        <v>0</v>
      </c>
      <c r="AC468" s="176">
        <f t="shared" ca="1" si="686"/>
        <v>3.9552724621691105E-5</v>
      </c>
      <c r="AD468" s="958">
        <f ca="1">AC468*Calculation_sheet!C$99</f>
        <v>2.3731634773014663E-5</v>
      </c>
      <c r="AE468" s="176">
        <f t="shared" ca="1" si="686"/>
        <v>1.5821089848676442E-5</v>
      </c>
      <c r="AF468" s="176">
        <f t="shared" ca="1" si="687"/>
        <v>3.9552724621691105E-5</v>
      </c>
      <c r="AG468" s="958">
        <f ca="1">AF468*User_sheet!B$77/100</f>
        <v>0</v>
      </c>
      <c r="AH468" s="313"/>
      <c r="AI468" s="3">
        <v>304</v>
      </c>
      <c r="AJ468" s="314"/>
      <c r="AK468" s="1018">
        <f t="shared" ca="1" si="679"/>
        <v>195.45088826486</v>
      </c>
      <c r="AL468" s="924">
        <f ca="1">AK468/'304'!I$24</f>
        <v>0.77294559652328321</v>
      </c>
      <c r="AM468" s="924">
        <f ca="1">0.8*(AK468*30+'304'!D$17*0.34*30*1)</f>
        <v>8859.0431583566387</v>
      </c>
      <c r="AN468" s="954">
        <f ca="1">IF(AM468&lt;User_sheet!B$50,Y468,0)</f>
        <v>3.9552724621691105E-5</v>
      </c>
      <c r="AO468" s="954">
        <f ca="1">20-(User_sheet!B$57/(AK468+'304'!D$17*1*0.34))</f>
        <v>4.5581517603333896</v>
      </c>
      <c r="AP468" s="954">
        <f ca="1">IF(AO468&lt;User_sheet!B$59,0,BC468*AA468)</f>
        <v>0</v>
      </c>
      <c r="AQ468" s="314"/>
      <c r="AR468" s="2">
        <v>0.47</v>
      </c>
      <c r="AS468" s="2">
        <v>0.54</v>
      </c>
      <c r="AT468" s="2">
        <v>0.83</v>
      </c>
      <c r="AU468" s="2">
        <v>3.5</v>
      </c>
      <c r="AV468" s="2">
        <v>3.3</v>
      </c>
      <c r="AW468" s="2">
        <v>12848.541887298286</v>
      </c>
      <c r="AX468" s="2">
        <v>75022.04959166942</v>
      </c>
      <c r="AY468" s="2">
        <v>69245.59826015502</v>
      </c>
      <c r="AZ468" s="27">
        <v>0</v>
      </c>
      <c r="BA468" s="27">
        <v>0</v>
      </c>
      <c r="BB468" s="2">
        <v>0.75</v>
      </c>
      <c r="BC468" s="46">
        <v>1</v>
      </c>
      <c r="BD468" s="199">
        <v>0</v>
      </c>
      <c r="BE468" s="199">
        <v>0</v>
      </c>
      <c r="BF468" s="50">
        <v>0</v>
      </c>
      <c r="BG468" s="27">
        <v>1</v>
      </c>
      <c r="BH468" s="27">
        <v>0</v>
      </c>
      <c r="BI468" s="50">
        <v>0</v>
      </c>
      <c r="BJ468" s="27">
        <v>0</v>
      </c>
      <c r="BK468" s="27">
        <v>0</v>
      </c>
      <c r="BL468" s="27">
        <v>1</v>
      </c>
      <c r="BM468" s="50">
        <v>0</v>
      </c>
      <c r="BN468" s="958">
        <v>0.1</v>
      </c>
      <c r="BO468" s="50">
        <v>10</v>
      </c>
      <c r="BP468" s="926">
        <f t="shared" ca="1" si="688"/>
        <v>206.38</v>
      </c>
      <c r="BQ468" s="926">
        <f t="shared" ca="1" si="689"/>
        <v>308.92399999999992</v>
      </c>
      <c r="BR468" s="926">
        <f t="shared" ca="1" si="690"/>
        <v>90.07</v>
      </c>
      <c r="BS468" s="926">
        <f t="shared" ca="1" si="691"/>
        <v>65.974999999999994</v>
      </c>
      <c r="BT468" s="926">
        <f t="shared" ca="1" si="692"/>
        <v>78.88</v>
      </c>
      <c r="BU468" s="926">
        <f t="shared" ca="1" si="693"/>
        <v>18</v>
      </c>
      <c r="BV468" s="926">
        <f t="shared" ca="1" si="694"/>
        <v>7.5250000000000004</v>
      </c>
      <c r="BW468" s="926">
        <v>0</v>
      </c>
      <c r="BX468" s="926">
        <f t="shared" ca="1" si="695"/>
        <v>39.143971150289723</v>
      </c>
      <c r="BY468" s="926">
        <f t="shared" ca="1" si="696"/>
        <v>32.577267739575717</v>
      </c>
      <c r="BZ468" s="926">
        <f t="shared" ca="1" si="680"/>
        <v>18.887893693903717</v>
      </c>
      <c r="CA468" s="926">
        <f t="shared" ca="1" si="681"/>
        <v>62.999999955900002</v>
      </c>
      <c r="CB468" s="926">
        <f t="shared" ca="1" si="697"/>
        <v>15.79675572519084</v>
      </c>
      <c r="CC468" s="926">
        <f t="shared" si="682"/>
        <v>0</v>
      </c>
      <c r="CD468" s="1018">
        <f t="shared" ref="CD468:CD475" ca="1" si="699">SUM(BX468:CC468)+(BR468+BS468+BT468+BU468+BV468)*BN468</f>
        <v>195.45088826486</v>
      </c>
      <c r="CE468" s="1018">
        <f t="shared" ca="1" si="698"/>
        <v>73.770479255404439</v>
      </c>
      <c r="CF468" s="926">
        <f t="shared" ca="1" si="683"/>
        <v>8.076641025607934</v>
      </c>
      <c r="CG468" s="926">
        <f t="shared" ca="1" si="684"/>
        <v>13447.284241996183</v>
      </c>
    </row>
    <row r="469" spans="4:85" s="3" customFormat="1" x14ac:dyDescent="0.25">
      <c r="D469" s="774"/>
      <c r="E469" s="770"/>
      <c r="F469" s="774"/>
      <c r="G469" s="770"/>
      <c r="H469" s="774"/>
      <c r="I469" s="770"/>
      <c r="J469" s="774"/>
      <c r="K469" s="775"/>
      <c r="L469" s="774"/>
      <c r="M469" s="774"/>
      <c r="N469" s="774"/>
      <c r="O469" s="774"/>
      <c r="P469" s="774"/>
      <c r="Q469" s="774" t="s">
        <v>16</v>
      </c>
      <c r="R469" s="771">
        <v>0.81069999999999998</v>
      </c>
      <c r="S469" s="774"/>
      <c r="T469" s="779">
        <v>6.6687336161966135E-6</v>
      </c>
      <c r="U469" s="770"/>
      <c r="V469" s="176">
        <f t="shared" si="550"/>
        <v>6.6687336161966135E-6</v>
      </c>
      <c r="W469" s="176">
        <f>V469-V469*Calculation_sheet!E$69</f>
        <v>6.6687336161966135E-6</v>
      </c>
      <c r="X469" s="176">
        <f>W469-W469*Calculation_sheet!E$79</f>
        <v>6.6687336161966135E-6</v>
      </c>
      <c r="Y469" s="34">
        <f>X469/Calculation_sheet!M$67</f>
        <v>6.6688699679827401E-6</v>
      </c>
      <c r="Z469" s="176">
        <f ca="1">IF(AN469&gt;0,Y469*Calculation_sheet!C$87,0)</f>
        <v>0</v>
      </c>
      <c r="AA469" s="176">
        <f t="shared" ca="1" si="685"/>
        <v>6.6688699679827401E-6</v>
      </c>
      <c r="AB469" s="176">
        <f ca="1">IF(AP469&gt;0,AA469*Calculation_sheet!C$94,0)</f>
        <v>0</v>
      </c>
      <c r="AC469" s="176">
        <f t="shared" ca="1" si="686"/>
        <v>6.6688699679827401E-6</v>
      </c>
      <c r="AD469" s="958">
        <f ca="1">AC469*Calculation_sheet!C$99</f>
        <v>4.0013219807896437E-6</v>
      </c>
      <c r="AE469" s="176">
        <f t="shared" ca="1" si="686"/>
        <v>2.6675479871930964E-6</v>
      </c>
      <c r="AF469" s="176">
        <f t="shared" ca="1" si="687"/>
        <v>6.6688699679827401E-6</v>
      </c>
      <c r="AG469" s="958">
        <f ca="1">AF469*User_sheet!B$77/100</f>
        <v>0</v>
      </c>
      <c r="AH469" s="313"/>
      <c r="AI469" s="3">
        <v>304</v>
      </c>
      <c r="AJ469" s="314"/>
      <c r="AK469" s="1018">
        <f t="shared" ca="1" si="679"/>
        <v>195.45088826486</v>
      </c>
      <c r="AL469" s="924">
        <f ca="1">AK469/'304'!I$24</f>
        <v>0.77294559652328321</v>
      </c>
      <c r="AM469" s="924">
        <f ca="1">0.8*(AK469*30+'304'!D$17*0.34*30*1)</f>
        <v>8859.0431583566387</v>
      </c>
      <c r="AN469" s="954">
        <f ca="1">IF(AM469&lt;User_sheet!B$50,Y469,0)</f>
        <v>6.6688699679827401E-6</v>
      </c>
      <c r="AO469" s="954">
        <f ca="1">20-(User_sheet!B$57/(AK469+'304'!D$17*1*0.34))</f>
        <v>4.5581517603333896</v>
      </c>
      <c r="AP469" s="954">
        <f ca="1">IF(AO469&lt;User_sheet!B$59,0,BC469*AA469)</f>
        <v>0</v>
      </c>
      <c r="AQ469" s="314"/>
      <c r="AR469" s="2">
        <v>0.47</v>
      </c>
      <c r="AS469" s="2">
        <v>0.54</v>
      </c>
      <c r="AT469" s="2">
        <v>0.83</v>
      </c>
      <c r="AU469" s="2">
        <v>3.5</v>
      </c>
      <c r="AV469" s="2">
        <v>3.3</v>
      </c>
      <c r="AW469" s="2">
        <v>12848.541887298286</v>
      </c>
      <c r="AX469" s="2">
        <v>75022.04959166942</v>
      </c>
      <c r="AY469" s="2">
        <v>69245.59826015502</v>
      </c>
      <c r="AZ469" s="27">
        <v>0</v>
      </c>
      <c r="BA469" s="27">
        <v>0</v>
      </c>
      <c r="BB469" s="2">
        <v>0.75</v>
      </c>
      <c r="BC469" s="46">
        <v>1</v>
      </c>
      <c r="BD469" s="199">
        <v>0</v>
      </c>
      <c r="BE469" s="199">
        <v>0</v>
      </c>
      <c r="BF469" s="50">
        <v>0</v>
      </c>
      <c r="BG469" s="27">
        <v>0</v>
      </c>
      <c r="BH469" s="27">
        <v>1</v>
      </c>
      <c r="BI469" s="50">
        <v>0</v>
      </c>
      <c r="BJ469" s="27">
        <v>1</v>
      </c>
      <c r="BK469" s="27">
        <v>0</v>
      </c>
      <c r="BL469" s="27">
        <v>0</v>
      </c>
      <c r="BM469" s="50">
        <v>0</v>
      </c>
      <c r="BN469" s="958">
        <v>0.1</v>
      </c>
      <c r="BO469" s="50">
        <v>10</v>
      </c>
      <c r="BP469" s="926">
        <f t="shared" ca="1" si="688"/>
        <v>206.38</v>
      </c>
      <c r="BQ469" s="926">
        <f t="shared" ca="1" si="689"/>
        <v>308.92399999999992</v>
      </c>
      <c r="BR469" s="926">
        <f t="shared" ca="1" si="690"/>
        <v>90.07</v>
      </c>
      <c r="BS469" s="926">
        <f t="shared" ca="1" si="691"/>
        <v>65.974999999999994</v>
      </c>
      <c r="BT469" s="926">
        <f t="shared" ca="1" si="692"/>
        <v>78.88</v>
      </c>
      <c r="BU469" s="926">
        <f t="shared" ca="1" si="693"/>
        <v>18</v>
      </c>
      <c r="BV469" s="926">
        <f t="shared" ca="1" si="694"/>
        <v>7.5250000000000004</v>
      </c>
      <c r="BW469" s="926">
        <v>0</v>
      </c>
      <c r="BX469" s="926">
        <f t="shared" ca="1" si="695"/>
        <v>39.143971150289723</v>
      </c>
      <c r="BY469" s="926">
        <f t="shared" ca="1" si="696"/>
        <v>32.577267739575717</v>
      </c>
      <c r="BZ469" s="926">
        <f t="shared" ca="1" si="680"/>
        <v>18.887893693903717</v>
      </c>
      <c r="CA469" s="926">
        <f t="shared" ca="1" si="681"/>
        <v>62.999999955900002</v>
      </c>
      <c r="CB469" s="926">
        <f t="shared" ca="1" si="697"/>
        <v>15.79675572519084</v>
      </c>
      <c r="CC469" s="926">
        <f t="shared" si="682"/>
        <v>0</v>
      </c>
      <c r="CD469" s="1018">
        <f t="shared" ca="1" si="699"/>
        <v>195.45088826486</v>
      </c>
      <c r="CE469" s="1018">
        <f t="shared" ca="1" si="698"/>
        <v>73.770479255404439</v>
      </c>
      <c r="CF469" s="926">
        <f t="shared" ca="1" si="683"/>
        <v>8.076641025607934</v>
      </c>
      <c r="CG469" s="926">
        <f t="shared" ca="1" si="684"/>
        <v>13447.284241996183</v>
      </c>
    </row>
    <row r="470" spans="4:85" s="3" customFormat="1" x14ac:dyDescent="0.25">
      <c r="D470" s="774"/>
      <c r="E470" s="770"/>
      <c r="F470" s="774"/>
      <c r="G470" s="770"/>
      <c r="H470" s="774"/>
      <c r="I470" s="770"/>
      <c r="J470" s="774"/>
      <c r="K470" s="775"/>
      <c r="L470" s="774"/>
      <c r="M470" s="774" t="s">
        <v>16</v>
      </c>
      <c r="N470" s="771">
        <v>0.5</v>
      </c>
      <c r="O470" s="774" t="s">
        <v>19</v>
      </c>
      <c r="P470" s="771">
        <v>3.7878787999999997E-2</v>
      </c>
      <c r="Q470" s="774" t="s">
        <v>7</v>
      </c>
      <c r="R470" s="771">
        <v>0.1893</v>
      </c>
      <c r="S470" s="774"/>
      <c r="T470" s="779">
        <v>1.5571620495201911E-6</v>
      </c>
      <c r="U470" s="770"/>
      <c r="V470" s="176">
        <f t="shared" si="550"/>
        <v>1.5571620495201911E-6</v>
      </c>
      <c r="W470" s="176">
        <f>V470-V470*Calculation_sheet!E$69</f>
        <v>1.5571620495201911E-6</v>
      </c>
      <c r="X470" s="176">
        <f>W470-W470*Calculation_sheet!E$79</f>
        <v>1.5571620495201911E-6</v>
      </c>
      <c r="Y470" s="34">
        <f>X470/Calculation_sheet!M$67</f>
        <v>1.5571938879229464E-6</v>
      </c>
      <c r="Z470" s="176">
        <f ca="1">IF(AN470&gt;0,Y470*Calculation_sheet!C$87,0)</f>
        <v>0</v>
      </c>
      <c r="AA470" s="176">
        <f t="shared" ca="1" si="685"/>
        <v>1.5571938879229464E-6</v>
      </c>
      <c r="AB470" s="176">
        <f ca="1">IF(AP470&gt;0,AA470*Calculation_sheet!C$94,0)</f>
        <v>0</v>
      </c>
      <c r="AC470" s="176">
        <f t="shared" ca="1" si="686"/>
        <v>1.5571938879229464E-6</v>
      </c>
      <c r="AD470" s="958">
        <f ca="1">AC470*Calculation_sheet!C$99</f>
        <v>9.3431633275376779E-7</v>
      </c>
      <c r="AE470" s="176">
        <f t="shared" ca="1" si="686"/>
        <v>6.2287755516917863E-7</v>
      </c>
      <c r="AF470" s="176">
        <f t="shared" ca="1" si="687"/>
        <v>1.5571938879229464E-6</v>
      </c>
      <c r="AG470" s="958">
        <f ca="1">AF470*User_sheet!B$77/100</f>
        <v>0</v>
      </c>
      <c r="AH470" s="313"/>
      <c r="AI470" s="3">
        <v>304</v>
      </c>
      <c r="AJ470" s="314"/>
      <c r="AK470" s="1018">
        <f t="shared" ca="1" si="679"/>
        <v>195.45088826486</v>
      </c>
      <c r="AL470" s="924">
        <f ca="1">AK470/'304'!I$24</f>
        <v>0.77294559652328321</v>
      </c>
      <c r="AM470" s="924">
        <f ca="1">0.8*(AK470*30+'304'!D$17*0.34*30*1)</f>
        <v>8859.0431583566387</v>
      </c>
      <c r="AN470" s="954">
        <f ca="1">IF(AM470&lt;User_sheet!B$50,Y470,0)</f>
        <v>1.5571938879229464E-6</v>
      </c>
      <c r="AO470" s="954">
        <f ca="1">20-(User_sheet!B$57/(AK470+'304'!D$17*1*0.34))</f>
        <v>4.5581517603333896</v>
      </c>
      <c r="AP470" s="954">
        <f ca="1">IF(AO470&lt;User_sheet!B$59,0,BC470*AA470)</f>
        <v>0</v>
      </c>
      <c r="AQ470" s="314"/>
      <c r="AR470" s="2">
        <v>0.47</v>
      </c>
      <c r="AS470" s="2">
        <v>0.54</v>
      </c>
      <c r="AT470" s="2">
        <v>0.83</v>
      </c>
      <c r="AU470" s="2">
        <v>3.5</v>
      </c>
      <c r="AV470" s="2">
        <v>3.3</v>
      </c>
      <c r="AW470" s="2">
        <v>12848.541887298286</v>
      </c>
      <c r="AX470" s="2">
        <v>75022.04959166942</v>
      </c>
      <c r="AY470" s="2">
        <v>69245.59826015502</v>
      </c>
      <c r="AZ470" s="27">
        <v>0</v>
      </c>
      <c r="BA470" s="27">
        <v>0</v>
      </c>
      <c r="BB470" s="2">
        <v>0.75</v>
      </c>
      <c r="BC470" s="46">
        <v>1</v>
      </c>
      <c r="BD470" s="199">
        <v>0</v>
      </c>
      <c r="BE470" s="199">
        <v>0</v>
      </c>
      <c r="BF470" s="50">
        <v>0</v>
      </c>
      <c r="BG470" s="27">
        <v>0</v>
      </c>
      <c r="BH470" s="27">
        <v>1</v>
      </c>
      <c r="BI470" s="50">
        <v>0</v>
      </c>
      <c r="BJ470" s="27">
        <v>0</v>
      </c>
      <c r="BK470" s="27">
        <v>0</v>
      </c>
      <c r="BL470" s="27">
        <v>1</v>
      </c>
      <c r="BM470" s="50">
        <v>0</v>
      </c>
      <c r="BN470" s="958">
        <v>0.1</v>
      </c>
      <c r="BO470" s="50">
        <v>10</v>
      </c>
      <c r="BP470" s="926">
        <f t="shared" ca="1" si="688"/>
        <v>206.38</v>
      </c>
      <c r="BQ470" s="926">
        <f t="shared" ca="1" si="689"/>
        <v>308.92399999999992</v>
      </c>
      <c r="BR470" s="926">
        <f t="shared" ca="1" si="690"/>
        <v>90.07</v>
      </c>
      <c r="BS470" s="926">
        <f t="shared" ca="1" si="691"/>
        <v>65.974999999999994</v>
      </c>
      <c r="BT470" s="926">
        <f t="shared" ca="1" si="692"/>
        <v>78.88</v>
      </c>
      <c r="BU470" s="926">
        <f t="shared" ca="1" si="693"/>
        <v>18</v>
      </c>
      <c r="BV470" s="926">
        <f t="shared" ca="1" si="694"/>
        <v>7.5250000000000004</v>
      </c>
      <c r="BW470" s="926">
        <v>0</v>
      </c>
      <c r="BX470" s="926">
        <f t="shared" ca="1" si="695"/>
        <v>39.143971150289723</v>
      </c>
      <c r="BY470" s="926">
        <f t="shared" ca="1" si="696"/>
        <v>32.577267739575717</v>
      </c>
      <c r="BZ470" s="926">
        <f t="shared" ca="1" si="680"/>
        <v>18.887893693903717</v>
      </c>
      <c r="CA470" s="926">
        <f t="shared" ca="1" si="681"/>
        <v>62.999999955900002</v>
      </c>
      <c r="CB470" s="926">
        <f t="shared" ca="1" si="697"/>
        <v>15.79675572519084</v>
      </c>
      <c r="CC470" s="926">
        <f t="shared" si="682"/>
        <v>0</v>
      </c>
      <c r="CD470" s="1018">
        <f t="shared" ca="1" si="699"/>
        <v>195.45088826486</v>
      </c>
      <c r="CE470" s="1018">
        <f t="shared" ca="1" si="698"/>
        <v>73.770479255404439</v>
      </c>
      <c r="CF470" s="926">
        <f t="shared" ca="1" si="683"/>
        <v>8.076641025607934</v>
      </c>
      <c r="CG470" s="926">
        <f t="shared" ca="1" si="684"/>
        <v>13447.284241996183</v>
      </c>
    </row>
    <row r="471" spans="4:85" s="3" customFormat="1" x14ac:dyDescent="0.25">
      <c r="D471" s="774"/>
      <c r="E471" s="770"/>
      <c r="F471" s="774"/>
      <c r="G471" s="770"/>
      <c r="H471" s="774"/>
      <c r="I471" s="770"/>
      <c r="J471" s="774"/>
      <c r="K471" s="775"/>
      <c r="L471" s="774"/>
      <c r="M471" s="774"/>
      <c r="N471" s="769"/>
      <c r="O471" s="774"/>
      <c r="P471" s="774"/>
      <c r="Q471" s="774" t="s">
        <v>22</v>
      </c>
      <c r="R471" s="771">
        <v>0.81</v>
      </c>
      <c r="S471" s="774"/>
      <c r="T471" s="779">
        <v>1.2675330981985053E-4</v>
      </c>
      <c r="U471" s="770"/>
      <c r="V471" s="176">
        <f t="shared" si="550"/>
        <v>1.2675330981985053E-4</v>
      </c>
      <c r="W471" s="176">
        <f>V471-V471*Calculation_sheet!E$69</f>
        <v>1.2675330981985053E-4</v>
      </c>
      <c r="X471" s="176">
        <f>W471-W471*Calculation_sheet!E$79</f>
        <v>1.2675330981985053E-4</v>
      </c>
      <c r="Y471" s="34">
        <f>X471/Calculation_sheet!M$67</f>
        <v>1.2675590147235701E-4</v>
      </c>
      <c r="Z471" s="176">
        <f ca="1">IF(AN471&gt;0,Y471*Calculation_sheet!C$87,0)</f>
        <v>0</v>
      </c>
      <c r="AA471" s="176">
        <f t="shared" ca="1" si="685"/>
        <v>1.2675590147235701E-4</v>
      </c>
      <c r="AB471" s="176">
        <f ca="1">IF(AP471&gt;0,AA471*Calculation_sheet!C$94,0)</f>
        <v>0</v>
      </c>
      <c r="AC471" s="176">
        <f t="shared" ca="1" si="686"/>
        <v>1.2675590147235701E-4</v>
      </c>
      <c r="AD471" s="958">
        <f ca="1">AC471*Calculation_sheet!C$99</f>
        <v>7.6053540883414201E-5</v>
      </c>
      <c r="AE471" s="176">
        <f t="shared" ca="1" si="686"/>
        <v>5.0702360588942809E-5</v>
      </c>
      <c r="AF471" s="176">
        <f t="shared" ca="1" si="687"/>
        <v>1.2675590147235701E-4</v>
      </c>
      <c r="AG471" s="958">
        <f ca="1">AF471*User_sheet!B$77/100</f>
        <v>0</v>
      </c>
      <c r="AH471" s="313"/>
      <c r="AI471" s="3">
        <v>304</v>
      </c>
      <c r="AJ471" s="314"/>
      <c r="AK471" s="1018">
        <f t="shared" ca="1" si="679"/>
        <v>195.45088826486</v>
      </c>
      <c r="AL471" s="924">
        <f ca="1">AK471/'304'!I$24</f>
        <v>0.77294559652328321</v>
      </c>
      <c r="AM471" s="924">
        <f ca="1">0.8*(AK471*30+'304'!D$17*0.34*30*1)</f>
        <v>8859.0431583566387</v>
      </c>
      <c r="AN471" s="954">
        <f ca="1">IF(AM471&lt;User_sheet!B$50,Y471,0)</f>
        <v>1.2675590147235701E-4</v>
      </c>
      <c r="AO471" s="954">
        <f ca="1">20-(User_sheet!B$57/(AK471+'304'!D$17*1*0.34))</f>
        <v>4.5581517603333896</v>
      </c>
      <c r="AP471" s="954">
        <f ca="1">IF(AO471&lt;User_sheet!B$59,0,BC471*AA471)</f>
        <v>0</v>
      </c>
      <c r="AQ471" s="314"/>
      <c r="AR471" s="2">
        <v>0.47</v>
      </c>
      <c r="AS471" s="2">
        <v>0.54</v>
      </c>
      <c r="AT471" s="2">
        <v>0.83</v>
      </c>
      <c r="AU471" s="2">
        <v>3.5</v>
      </c>
      <c r="AV471" s="2">
        <v>3.3</v>
      </c>
      <c r="AW471" s="2">
        <v>12848.541887298286</v>
      </c>
      <c r="AX471" s="2">
        <v>75022.04959166942</v>
      </c>
      <c r="AY471" s="2">
        <v>69245.59826015502</v>
      </c>
      <c r="AZ471" s="27">
        <v>0</v>
      </c>
      <c r="BA471" s="27">
        <v>0</v>
      </c>
      <c r="BB471" s="2">
        <v>0.75</v>
      </c>
      <c r="BC471" s="46">
        <v>0</v>
      </c>
      <c r="BD471" s="199">
        <v>1</v>
      </c>
      <c r="BE471" s="199">
        <v>0</v>
      </c>
      <c r="BF471" s="50">
        <v>0</v>
      </c>
      <c r="BG471" s="27">
        <v>1</v>
      </c>
      <c r="BH471" s="27">
        <v>0</v>
      </c>
      <c r="BI471" s="50">
        <v>0</v>
      </c>
      <c r="BJ471" s="27">
        <v>0</v>
      </c>
      <c r="BK471" s="27">
        <v>1</v>
      </c>
      <c r="BL471" s="27">
        <v>0</v>
      </c>
      <c r="BM471" s="50">
        <v>0</v>
      </c>
      <c r="BN471" s="958">
        <v>0.1</v>
      </c>
      <c r="BO471" s="50">
        <v>10</v>
      </c>
      <c r="BP471" s="926">
        <f t="shared" ca="1" si="688"/>
        <v>206.38</v>
      </c>
      <c r="BQ471" s="926">
        <f t="shared" ca="1" si="689"/>
        <v>308.92399999999992</v>
      </c>
      <c r="BR471" s="926">
        <f t="shared" ca="1" si="690"/>
        <v>90.07</v>
      </c>
      <c r="BS471" s="926">
        <f t="shared" ca="1" si="691"/>
        <v>65.974999999999994</v>
      </c>
      <c r="BT471" s="926">
        <f t="shared" ca="1" si="692"/>
        <v>78.88</v>
      </c>
      <c r="BU471" s="926">
        <f t="shared" ca="1" si="693"/>
        <v>18</v>
      </c>
      <c r="BV471" s="926">
        <f t="shared" ca="1" si="694"/>
        <v>7.5250000000000004</v>
      </c>
      <c r="BW471" s="926">
        <v>0</v>
      </c>
      <c r="BX471" s="926">
        <f t="shared" ca="1" si="695"/>
        <v>39.143971150289723</v>
      </c>
      <c r="BY471" s="926">
        <f t="shared" ca="1" si="696"/>
        <v>32.577267739575717</v>
      </c>
      <c r="BZ471" s="926">
        <f t="shared" ca="1" si="680"/>
        <v>18.887893693903717</v>
      </c>
      <c r="CA471" s="926">
        <f t="shared" ca="1" si="681"/>
        <v>62.999999955900002</v>
      </c>
      <c r="CB471" s="926">
        <f t="shared" ca="1" si="697"/>
        <v>15.79675572519084</v>
      </c>
      <c r="CC471" s="926">
        <f t="shared" si="682"/>
        <v>0</v>
      </c>
      <c r="CD471" s="1018">
        <f t="shared" ca="1" si="699"/>
        <v>195.45088826486</v>
      </c>
      <c r="CE471" s="1018">
        <f t="shared" ca="1" si="698"/>
        <v>73.770479255404439</v>
      </c>
      <c r="CF471" s="926">
        <f t="shared" ca="1" si="683"/>
        <v>8.076641025607934</v>
      </c>
      <c r="CG471" s="926">
        <f t="shared" ca="1" si="684"/>
        <v>13447.284241996183</v>
      </c>
    </row>
    <row r="472" spans="4:85" x14ac:dyDescent="0.25">
      <c r="D472" s="769"/>
      <c r="E472" s="768"/>
      <c r="F472" s="769"/>
      <c r="G472" s="768"/>
      <c r="H472" s="769"/>
      <c r="I472" s="768"/>
      <c r="J472" s="769"/>
      <c r="K472" s="772"/>
      <c r="L472" s="774"/>
      <c r="M472" s="769"/>
      <c r="N472" s="769"/>
      <c r="O472" s="769" t="s">
        <v>18</v>
      </c>
      <c r="P472" s="771">
        <v>0.96078431399999997</v>
      </c>
      <c r="Q472" s="769" t="s">
        <v>7</v>
      </c>
      <c r="R472" s="771">
        <v>0.19</v>
      </c>
      <c r="S472" s="769"/>
      <c r="T472" s="779">
        <v>2.9732257858977283E-5</v>
      </c>
      <c r="U472" s="768"/>
      <c r="V472" s="176">
        <f t="shared" si="550"/>
        <v>2.9732257858977283E-5</v>
      </c>
      <c r="W472" s="176">
        <f>V472-V472*Calculation_sheet!E$69</f>
        <v>2.9732257858977283E-5</v>
      </c>
      <c r="X472" s="176">
        <f>W472-W472*Calculation_sheet!E$79</f>
        <v>2.9732257858977283E-5</v>
      </c>
      <c r="Y472" s="34">
        <f>X472/Calculation_sheet!M$67</f>
        <v>2.9732865777466455E-5</v>
      </c>
      <c r="Z472" s="176">
        <f ca="1">IF(AN472&gt;0,Y472*Calculation_sheet!C$87,0)</f>
        <v>0</v>
      </c>
      <c r="AA472" s="176">
        <f t="shared" ca="1" si="685"/>
        <v>2.9732865777466455E-5</v>
      </c>
      <c r="AB472" s="176">
        <f ca="1">IF(AP472&gt;0,AA472*Calculation_sheet!C$94,0)</f>
        <v>0</v>
      </c>
      <c r="AC472" s="176">
        <f t="shared" ca="1" si="686"/>
        <v>2.9732865777466455E-5</v>
      </c>
      <c r="AD472" s="958">
        <f ca="1">AC472*Calculation_sheet!C$99</f>
        <v>1.7839719466479872E-5</v>
      </c>
      <c r="AE472" s="176">
        <f t="shared" ca="1" si="686"/>
        <v>1.1893146310986583E-5</v>
      </c>
      <c r="AF472" s="176">
        <f t="shared" ca="1" si="687"/>
        <v>2.9732865777466455E-5</v>
      </c>
      <c r="AG472" s="958">
        <f ca="1">AF472*User_sheet!B$77/100</f>
        <v>0</v>
      </c>
      <c r="AH472" s="313"/>
      <c r="AI472" s="3">
        <v>304</v>
      </c>
      <c r="AK472" s="1018">
        <f t="shared" ca="1" si="679"/>
        <v>195.45088826486</v>
      </c>
      <c r="AL472" s="924">
        <f ca="1">AK472/'304'!I$24</f>
        <v>0.77294559652328321</v>
      </c>
      <c r="AM472" s="924">
        <f ca="1">0.8*(AK472*30+'304'!D$17*0.34*30*1)</f>
        <v>8859.0431583566387</v>
      </c>
      <c r="AN472" s="954">
        <f ca="1">IF(AM472&lt;User_sheet!B$50,Y472,0)</f>
        <v>2.9732865777466455E-5</v>
      </c>
      <c r="AO472" s="954">
        <f ca="1">20-(User_sheet!B$57/(AK472+'304'!D$17*1*0.34))</f>
        <v>4.5581517603333896</v>
      </c>
      <c r="AP472" s="954">
        <f ca="1">IF(AO472&lt;User_sheet!B$59,0,BC472*AA472)</f>
        <v>0</v>
      </c>
      <c r="AR472" s="2">
        <v>0.47</v>
      </c>
      <c r="AS472" s="2">
        <v>0.54</v>
      </c>
      <c r="AT472" s="2">
        <v>0.83</v>
      </c>
      <c r="AU472" s="2">
        <v>3.5</v>
      </c>
      <c r="AV472" s="2">
        <v>3.3</v>
      </c>
      <c r="AW472" s="2">
        <v>12848.541887298286</v>
      </c>
      <c r="AX472" s="2">
        <v>75022.04959166942</v>
      </c>
      <c r="AY472" s="2">
        <v>69245.59826015502</v>
      </c>
      <c r="AZ472" s="27">
        <v>0</v>
      </c>
      <c r="BA472" s="27">
        <v>0</v>
      </c>
      <c r="BB472" s="2">
        <v>0.75</v>
      </c>
      <c r="BC472" s="30">
        <v>0</v>
      </c>
      <c r="BD472" s="34">
        <v>1</v>
      </c>
      <c r="BE472" s="34">
        <v>0</v>
      </c>
      <c r="BF472" s="40">
        <v>0</v>
      </c>
      <c r="BG472" s="2">
        <v>1</v>
      </c>
      <c r="BH472" s="2">
        <v>0</v>
      </c>
      <c r="BI472" s="40">
        <v>0</v>
      </c>
      <c r="BJ472" s="2">
        <v>0</v>
      </c>
      <c r="BK472" s="2">
        <v>0</v>
      </c>
      <c r="BL472" s="2">
        <v>1</v>
      </c>
      <c r="BM472" s="40">
        <v>0</v>
      </c>
      <c r="BN472" s="958">
        <v>0.1</v>
      </c>
      <c r="BO472" s="50">
        <v>10</v>
      </c>
      <c r="BP472" s="1018">
        <f t="shared" ca="1" si="688"/>
        <v>206.38</v>
      </c>
      <c r="BQ472" s="1018">
        <f t="shared" ca="1" si="689"/>
        <v>308.92399999999992</v>
      </c>
      <c r="BR472" s="1018">
        <f t="shared" ca="1" si="690"/>
        <v>90.07</v>
      </c>
      <c r="BS472" s="1018">
        <f t="shared" ca="1" si="691"/>
        <v>65.974999999999994</v>
      </c>
      <c r="BT472" s="1018">
        <f t="shared" ca="1" si="692"/>
        <v>78.88</v>
      </c>
      <c r="BU472" s="1018">
        <f t="shared" ca="1" si="693"/>
        <v>18</v>
      </c>
      <c r="BV472" s="1018">
        <f t="shared" ca="1" si="694"/>
        <v>7.5250000000000004</v>
      </c>
      <c r="BW472" s="1018">
        <v>0</v>
      </c>
      <c r="BX472" s="1018">
        <f t="shared" ca="1" si="695"/>
        <v>39.143971150289723</v>
      </c>
      <c r="BY472" s="1018">
        <f t="shared" ca="1" si="696"/>
        <v>32.577267739575717</v>
      </c>
      <c r="BZ472" s="1018">
        <f t="shared" ca="1" si="680"/>
        <v>18.887893693903717</v>
      </c>
      <c r="CA472" s="1018">
        <f t="shared" ca="1" si="681"/>
        <v>62.999999955900002</v>
      </c>
      <c r="CB472" s="1018">
        <f t="shared" ca="1" si="697"/>
        <v>15.79675572519084</v>
      </c>
      <c r="CC472" s="1018">
        <f t="shared" si="682"/>
        <v>0</v>
      </c>
      <c r="CD472" s="1018">
        <f t="shared" ca="1" si="699"/>
        <v>195.45088826486</v>
      </c>
      <c r="CE472" s="1018">
        <f t="shared" ca="1" si="698"/>
        <v>73.770479255404439</v>
      </c>
      <c r="CF472" s="1018">
        <f t="shared" ca="1" si="683"/>
        <v>8.076641025607934</v>
      </c>
      <c r="CG472" s="1018">
        <f t="shared" ca="1" si="684"/>
        <v>13447.284241996183</v>
      </c>
    </row>
    <row r="473" spans="4:85" x14ac:dyDescent="0.25">
      <c r="D473" s="769"/>
      <c r="E473" s="768"/>
      <c r="F473" s="769"/>
      <c r="G473" s="768"/>
      <c r="H473" s="769"/>
      <c r="I473" s="768"/>
      <c r="J473" s="769"/>
      <c r="K473" s="772"/>
      <c r="L473" s="774"/>
      <c r="M473" s="769"/>
      <c r="N473" s="769"/>
      <c r="O473" s="769"/>
      <c r="P473" s="769"/>
      <c r="Q473" s="769" t="s">
        <v>22</v>
      </c>
      <c r="R473" s="771">
        <v>0.81</v>
      </c>
      <c r="S473" s="769"/>
      <c r="T473" s="779">
        <v>5.1736044447494737E-6</v>
      </c>
      <c r="U473" s="768"/>
      <c r="V473" s="176">
        <f t="shared" si="550"/>
        <v>5.1736044447494737E-6</v>
      </c>
      <c r="W473" s="176">
        <f>V473-V473*Calculation_sheet!E$69</f>
        <v>5.1736044447494737E-6</v>
      </c>
      <c r="X473" s="176">
        <f>W473-W473*Calculation_sheet!E$79</f>
        <v>5.1736044447494737E-6</v>
      </c>
      <c r="Y473" s="34">
        <f>X473/Calculation_sheet!M$67</f>
        <v>5.1737102264836606E-6</v>
      </c>
      <c r="Z473" s="176">
        <f ca="1">IF(AN473&gt;0,Y473*Calculation_sheet!C$87,0)</f>
        <v>0</v>
      </c>
      <c r="AA473" s="176">
        <f t="shared" ca="1" si="685"/>
        <v>5.1737102264836606E-6</v>
      </c>
      <c r="AB473" s="176">
        <f ca="1">IF(AP473&gt;0,AA473*Calculation_sheet!C$94,0)</f>
        <v>0</v>
      </c>
      <c r="AC473" s="176">
        <f t="shared" ca="1" si="686"/>
        <v>5.1737102264836606E-6</v>
      </c>
      <c r="AD473" s="958">
        <f ca="1">AC473*Calculation_sheet!C$99</f>
        <v>3.1042261358901964E-6</v>
      </c>
      <c r="AE473" s="176">
        <f t="shared" ca="1" si="686"/>
        <v>2.0694840905934643E-6</v>
      </c>
      <c r="AF473" s="176">
        <f t="shared" ca="1" si="687"/>
        <v>5.1737102264836606E-6</v>
      </c>
      <c r="AG473" s="958">
        <f ca="1">AF473*User_sheet!B$77/100</f>
        <v>0</v>
      </c>
      <c r="AH473" s="313"/>
      <c r="AI473" s="3">
        <v>304</v>
      </c>
      <c r="AK473" s="1018">
        <f t="shared" ca="1" si="679"/>
        <v>195.45088826486</v>
      </c>
      <c r="AL473" s="924">
        <f ca="1">AK473/'304'!I$24</f>
        <v>0.77294559652328321</v>
      </c>
      <c r="AM473" s="924">
        <f ca="1">0.8*(AK473*30+'304'!D$17*0.34*30*1)</f>
        <v>8859.0431583566387</v>
      </c>
      <c r="AN473" s="954">
        <f ca="1">IF(AM473&lt;User_sheet!B$50,Y473,0)</f>
        <v>5.1737102264836606E-6</v>
      </c>
      <c r="AO473" s="954">
        <f ca="1">20-(User_sheet!B$57/(AK473+'304'!D$17*1*0.34))</f>
        <v>4.5581517603333896</v>
      </c>
      <c r="AP473" s="954">
        <f ca="1">IF(AO473&lt;User_sheet!B$59,0,BC473*AA473)</f>
        <v>0</v>
      </c>
      <c r="AR473" s="2">
        <v>0.47</v>
      </c>
      <c r="AS473" s="2">
        <v>0.54</v>
      </c>
      <c r="AT473" s="2">
        <v>0.83</v>
      </c>
      <c r="AU473" s="2">
        <v>3.5</v>
      </c>
      <c r="AV473" s="2">
        <v>3.3</v>
      </c>
      <c r="AW473" s="2">
        <v>12848.541887298286</v>
      </c>
      <c r="AX473" s="2">
        <v>75022.04959166942</v>
      </c>
      <c r="AY473" s="2">
        <v>69245.59826015502</v>
      </c>
      <c r="AZ473" s="27">
        <v>0</v>
      </c>
      <c r="BA473" s="27">
        <v>0</v>
      </c>
      <c r="BB473" s="2">
        <v>0.75</v>
      </c>
      <c r="BC473" s="30">
        <v>0</v>
      </c>
      <c r="BD473" s="34">
        <v>1</v>
      </c>
      <c r="BE473" s="34">
        <v>0</v>
      </c>
      <c r="BF473" s="40">
        <v>0</v>
      </c>
      <c r="BG473" s="2">
        <v>0</v>
      </c>
      <c r="BH473" s="2">
        <v>1</v>
      </c>
      <c r="BI473" s="40">
        <v>0</v>
      </c>
      <c r="BJ473" s="2">
        <v>0</v>
      </c>
      <c r="BK473" s="2">
        <v>1</v>
      </c>
      <c r="BL473" s="2">
        <v>0</v>
      </c>
      <c r="BM473" s="40">
        <v>0</v>
      </c>
      <c r="BN473" s="958">
        <v>0.1</v>
      </c>
      <c r="BO473" s="50">
        <v>10</v>
      </c>
      <c r="BP473" s="1018">
        <f t="shared" ca="1" si="688"/>
        <v>206.38</v>
      </c>
      <c r="BQ473" s="1018">
        <f t="shared" ca="1" si="689"/>
        <v>308.92399999999992</v>
      </c>
      <c r="BR473" s="1018">
        <f t="shared" ca="1" si="690"/>
        <v>90.07</v>
      </c>
      <c r="BS473" s="1018">
        <f t="shared" ca="1" si="691"/>
        <v>65.974999999999994</v>
      </c>
      <c r="BT473" s="1018">
        <f t="shared" ca="1" si="692"/>
        <v>78.88</v>
      </c>
      <c r="BU473" s="1018">
        <f t="shared" ca="1" si="693"/>
        <v>18</v>
      </c>
      <c r="BV473" s="1018">
        <f t="shared" ca="1" si="694"/>
        <v>7.5250000000000004</v>
      </c>
      <c r="BW473" s="1018">
        <v>0</v>
      </c>
      <c r="BX473" s="1018">
        <f t="shared" ca="1" si="695"/>
        <v>39.143971150289723</v>
      </c>
      <c r="BY473" s="1018">
        <f t="shared" ca="1" si="696"/>
        <v>32.577267739575717</v>
      </c>
      <c r="BZ473" s="1018">
        <f t="shared" ca="1" si="680"/>
        <v>18.887893693903717</v>
      </c>
      <c r="CA473" s="1018">
        <f t="shared" ca="1" si="681"/>
        <v>62.999999955900002</v>
      </c>
      <c r="CB473" s="1018">
        <f t="shared" ca="1" si="697"/>
        <v>15.79675572519084</v>
      </c>
      <c r="CC473" s="1018">
        <f t="shared" si="682"/>
        <v>0</v>
      </c>
      <c r="CD473" s="1018">
        <f t="shared" ca="1" si="699"/>
        <v>195.45088826486</v>
      </c>
      <c r="CE473" s="1018">
        <f t="shared" ca="1" si="698"/>
        <v>73.770479255404439</v>
      </c>
      <c r="CF473" s="1018">
        <f t="shared" ca="1" si="683"/>
        <v>8.076641025607934</v>
      </c>
      <c r="CG473" s="1018">
        <f t="shared" ca="1" si="684"/>
        <v>13447.284241996183</v>
      </c>
    </row>
    <row r="474" spans="4:85" x14ac:dyDescent="0.25">
      <c r="D474" s="769"/>
      <c r="E474" s="768"/>
      <c r="F474" s="769"/>
      <c r="G474" s="768"/>
      <c r="H474" s="769"/>
      <c r="I474" s="768"/>
      <c r="J474" s="769"/>
      <c r="K474" s="772"/>
      <c r="L474" s="774"/>
      <c r="M474" s="769" t="s">
        <v>22</v>
      </c>
      <c r="N474" s="771">
        <v>0.375</v>
      </c>
      <c r="O474" s="769" t="s">
        <v>20</v>
      </c>
      <c r="P474" s="771">
        <v>3.9215686E-2</v>
      </c>
      <c r="Q474" s="769" t="s">
        <v>7</v>
      </c>
      <c r="R474" s="771">
        <v>0.19</v>
      </c>
      <c r="S474" s="769"/>
      <c r="T474" s="779">
        <v>1.2135615364227162E-6</v>
      </c>
      <c r="U474" s="768"/>
      <c r="V474" s="176">
        <f t="shared" si="550"/>
        <v>1.2135615364227162E-6</v>
      </c>
      <c r="W474" s="176">
        <f>V474-V474*Calculation_sheet!E$69</f>
        <v>1.2135615364227162E-6</v>
      </c>
      <c r="X474" s="176">
        <f>W474-W474*Calculation_sheet!E$79</f>
        <v>1.2135615364227162E-6</v>
      </c>
      <c r="Y474" s="34">
        <f>X474/Calculation_sheet!M$67</f>
        <v>1.2135863494220935E-6</v>
      </c>
      <c r="Z474" s="176">
        <f ca="1">IF(AN474&gt;0,Y474*Calculation_sheet!C$87,0)</f>
        <v>0</v>
      </c>
      <c r="AA474" s="176">
        <f t="shared" ca="1" si="685"/>
        <v>1.2135863494220935E-6</v>
      </c>
      <c r="AB474" s="176">
        <f ca="1">IF(AP474&gt;0,AA474*Calculation_sheet!C$94,0)</f>
        <v>0</v>
      </c>
      <c r="AC474" s="176">
        <f t="shared" ca="1" si="686"/>
        <v>1.2135863494220935E-6</v>
      </c>
      <c r="AD474" s="958">
        <f ca="1">AC474*Calculation_sheet!C$99</f>
        <v>7.2815180965325612E-7</v>
      </c>
      <c r="AE474" s="176">
        <f t="shared" ca="1" si="686"/>
        <v>4.8543453976883738E-7</v>
      </c>
      <c r="AF474" s="176">
        <f t="shared" ca="1" si="687"/>
        <v>1.2135863494220935E-6</v>
      </c>
      <c r="AG474" s="958">
        <f ca="1">AF474*User_sheet!B$77/100</f>
        <v>0</v>
      </c>
      <c r="AH474" s="313"/>
      <c r="AI474" s="3">
        <v>304</v>
      </c>
      <c r="AK474" s="1018">
        <f t="shared" ca="1" si="679"/>
        <v>195.45088826486</v>
      </c>
      <c r="AL474" s="924">
        <f ca="1">AK474/'304'!I$24</f>
        <v>0.77294559652328321</v>
      </c>
      <c r="AM474" s="924">
        <f ca="1">0.8*(AK474*30+'304'!D$17*0.34*30*1)</f>
        <v>8859.0431583566387</v>
      </c>
      <c r="AN474" s="954">
        <f ca="1">IF(AM474&lt;User_sheet!B$50,Y474,0)</f>
        <v>1.2135863494220935E-6</v>
      </c>
      <c r="AO474" s="954">
        <f ca="1">20-(User_sheet!B$57/(AK474+'304'!D$17*1*0.34))</f>
        <v>4.5581517603333896</v>
      </c>
      <c r="AP474" s="954">
        <f ca="1">IF(AO474&lt;User_sheet!B$59,0,BC474*AA474)</f>
        <v>0</v>
      </c>
      <c r="AR474" s="2">
        <v>0.47</v>
      </c>
      <c r="AS474" s="2">
        <v>0.54</v>
      </c>
      <c r="AT474" s="2">
        <v>0.83</v>
      </c>
      <c r="AU474" s="2">
        <v>3.5</v>
      </c>
      <c r="AV474" s="2">
        <v>3.3</v>
      </c>
      <c r="AW474" s="2">
        <v>12848.541887298286</v>
      </c>
      <c r="AX474" s="2">
        <v>75022.04959166942</v>
      </c>
      <c r="AY474" s="2">
        <v>69245.59826015502</v>
      </c>
      <c r="AZ474" s="27">
        <v>0</v>
      </c>
      <c r="BA474" s="27">
        <v>0</v>
      </c>
      <c r="BB474" s="2">
        <v>0.75</v>
      </c>
      <c r="BC474" s="30">
        <v>0</v>
      </c>
      <c r="BD474" s="34">
        <v>1</v>
      </c>
      <c r="BE474" s="34">
        <v>0</v>
      </c>
      <c r="BF474" s="40">
        <v>0</v>
      </c>
      <c r="BG474" s="2">
        <v>0</v>
      </c>
      <c r="BH474" s="2">
        <v>1</v>
      </c>
      <c r="BI474" s="40">
        <v>0</v>
      </c>
      <c r="BJ474" s="2">
        <v>0</v>
      </c>
      <c r="BK474" s="2">
        <v>0</v>
      </c>
      <c r="BL474" s="2">
        <v>1</v>
      </c>
      <c r="BM474" s="40">
        <v>0</v>
      </c>
      <c r="BN474" s="958">
        <v>0.1</v>
      </c>
      <c r="BO474" s="50">
        <v>10</v>
      </c>
      <c r="BP474" s="1018">
        <f t="shared" ca="1" si="688"/>
        <v>206.38</v>
      </c>
      <c r="BQ474" s="1018">
        <f t="shared" ca="1" si="689"/>
        <v>308.92399999999992</v>
      </c>
      <c r="BR474" s="1018">
        <f t="shared" ca="1" si="690"/>
        <v>90.07</v>
      </c>
      <c r="BS474" s="1018">
        <f t="shared" ca="1" si="691"/>
        <v>65.974999999999994</v>
      </c>
      <c r="BT474" s="1018">
        <f t="shared" ca="1" si="692"/>
        <v>78.88</v>
      </c>
      <c r="BU474" s="1018">
        <f t="shared" ca="1" si="693"/>
        <v>18</v>
      </c>
      <c r="BV474" s="1018">
        <f t="shared" ca="1" si="694"/>
        <v>7.5250000000000004</v>
      </c>
      <c r="BW474" s="1018">
        <v>0</v>
      </c>
      <c r="BX474" s="1018">
        <f t="shared" ca="1" si="695"/>
        <v>39.143971150289723</v>
      </c>
      <c r="BY474" s="1018">
        <f t="shared" ca="1" si="696"/>
        <v>32.577267739575717</v>
      </c>
      <c r="BZ474" s="1018">
        <f t="shared" ca="1" si="680"/>
        <v>18.887893693903717</v>
      </c>
      <c r="CA474" s="1018">
        <f t="shared" ca="1" si="681"/>
        <v>62.999999955900002</v>
      </c>
      <c r="CB474" s="1018">
        <f t="shared" ca="1" si="697"/>
        <v>15.79675572519084</v>
      </c>
      <c r="CC474" s="1018">
        <f t="shared" si="682"/>
        <v>0</v>
      </c>
      <c r="CD474" s="1018">
        <f t="shared" ca="1" si="699"/>
        <v>195.45088826486</v>
      </c>
      <c r="CE474" s="1018">
        <f t="shared" ca="1" si="698"/>
        <v>73.770479255404439</v>
      </c>
      <c r="CF474" s="1018">
        <f t="shared" ca="1" si="683"/>
        <v>8.076641025607934</v>
      </c>
      <c r="CG474" s="1018">
        <f t="shared" ca="1" si="684"/>
        <v>13447.284241996183</v>
      </c>
    </row>
    <row r="475" spans="4:85" x14ac:dyDescent="0.25">
      <c r="D475" s="769"/>
      <c r="E475" s="768"/>
      <c r="F475" s="769"/>
      <c r="G475" s="768" t="s">
        <v>11</v>
      </c>
      <c r="H475" s="773">
        <v>0.25059999999999999</v>
      </c>
      <c r="I475" s="768" t="s">
        <v>10</v>
      </c>
      <c r="J475" s="773">
        <v>1</v>
      </c>
      <c r="K475" s="772" t="s">
        <v>13</v>
      </c>
      <c r="L475" s="773">
        <v>1</v>
      </c>
      <c r="M475" s="769" t="s">
        <v>7</v>
      </c>
      <c r="N475" s="771">
        <v>0.125</v>
      </c>
      <c r="O475" s="769" t="s">
        <v>23</v>
      </c>
      <c r="P475" s="771">
        <v>1</v>
      </c>
      <c r="Q475" s="769" t="s">
        <v>7</v>
      </c>
      <c r="R475" s="771">
        <v>1</v>
      </c>
      <c r="S475" s="769"/>
      <c r="T475" s="779">
        <v>5.4290911219999998E-5</v>
      </c>
      <c r="U475" s="768" t="s">
        <v>49</v>
      </c>
      <c r="V475" s="176">
        <f t="shared" si="550"/>
        <v>5.4290911219999998E-5</v>
      </c>
      <c r="W475" s="176">
        <f>V475-V475*Calculation_sheet!E$69</f>
        <v>5.4290911219999998E-5</v>
      </c>
      <c r="X475" s="176">
        <f>W475-W475*Calculation_sheet!E$79</f>
        <v>5.4290911219999998E-5</v>
      </c>
      <c r="Y475" s="34">
        <f>X475/Calculation_sheet!M$67</f>
        <v>5.429202127524307E-5</v>
      </c>
      <c r="Z475" s="176">
        <f ca="1">IF(AN475&gt;0,Y475*Calculation_sheet!C$87,0)</f>
        <v>0</v>
      </c>
      <c r="AA475" s="176">
        <f t="shared" ca="1" si="685"/>
        <v>5.429202127524307E-5</v>
      </c>
      <c r="AB475" s="176">
        <f ca="1">IF(AP475&gt;0,AA475*Calculation_sheet!C$94,0)</f>
        <v>0</v>
      </c>
      <c r="AC475" s="176">
        <f t="shared" ca="1" si="686"/>
        <v>5.429202127524307E-5</v>
      </c>
      <c r="AD475" s="958">
        <f ca="1">AC475*Calculation_sheet!C$99</f>
        <v>3.2575212765145839E-5</v>
      </c>
      <c r="AE475" s="176">
        <f t="shared" ca="1" si="686"/>
        <v>2.1716808510097231E-5</v>
      </c>
      <c r="AF475" s="176">
        <f t="shared" ca="1" si="687"/>
        <v>5.429202127524307E-5</v>
      </c>
      <c r="AG475" s="958">
        <f ca="1">AF475*User_sheet!B$77/100</f>
        <v>0</v>
      </c>
      <c r="AH475" s="313"/>
      <c r="AI475" s="3">
        <v>304</v>
      </c>
      <c r="AK475" s="1018">
        <f t="shared" ca="1" si="679"/>
        <v>195.45088826486</v>
      </c>
      <c r="AL475" s="924">
        <f ca="1">AK475/'304'!I$24</f>
        <v>0.77294559652328321</v>
      </c>
      <c r="AM475" s="924">
        <f ca="1">0.8*(AK475*30+'304'!D$17*0.34*30*1)</f>
        <v>8859.0431583566387</v>
      </c>
      <c r="AN475" s="954">
        <f ca="1">IF(AM475&lt;User_sheet!B$50,Y475,0)</f>
        <v>5.429202127524307E-5</v>
      </c>
      <c r="AO475" s="954">
        <f ca="1">20-(User_sheet!B$57/(AK475+'304'!D$17*1*0.34))</f>
        <v>4.5581517603333896</v>
      </c>
      <c r="AP475" s="954">
        <f ca="1">IF(AO475&lt;User_sheet!B$59,0,BC475*AA475)</f>
        <v>0</v>
      </c>
      <c r="AR475" s="2">
        <v>0.47</v>
      </c>
      <c r="AS475" s="2">
        <v>0.54</v>
      </c>
      <c r="AT475" s="2">
        <v>0.83</v>
      </c>
      <c r="AU475" s="2">
        <v>3.5</v>
      </c>
      <c r="AV475" s="2">
        <v>3.3</v>
      </c>
      <c r="AW475" s="2">
        <v>12848.541887298286</v>
      </c>
      <c r="AX475" s="2">
        <v>75022.04959166942</v>
      </c>
      <c r="AY475" s="2">
        <v>69245.59826015502</v>
      </c>
      <c r="AZ475" s="27">
        <v>0</v>
      </c>
      <c r="BA475" s="27">
        <v>0</v>
      </c>
      <c r="BB475" s="2">
        <v>0.75</v>
      </c>
      <c r="BC475" s="30">
        <v>0</v>
      </c>
      <c r="BD475" s="34">
        <v>0</v>
      </c>
      <c r="BE475" s="34">
        <v>1</v>
      </c>
      <c r="BF475" s="40">
        <v>0</v>
      </c>
      <c r="BG475" s="2">
        <v>0</v>
      </c>
      <c r="BH475" s="2">
        <v>0</v>
      </c>
      <c r="BI475" s="40">
        <v>1</v>
      </c>
      <c r="BJ475" s="2">
        <v>0</v>
      </c>
      <c r="BK475" s="2">
        <v>0</v>
      </c>
      <c r="BL475" s="2">
        <v>1</v>
      </c>
      <c r="BM475" s="40">
        <v>0</v>
      </c>
      <c r="BN475" s="958">
        <v>0.1</v>
      </c>
      <c r="BO475" s="50">
        <v>10</v>
      </c>
      <c r="BP475" s="1018">
        <f t="shared" ca="1" si="688"/>
        <v>206.38</v>
      </c>
      <c r="BQ475" s="1018">
        <f t="shared" ca="1" si="689"/>
        <v>308.92399999999992</v>
      </c>
      <c r="BR475" s="1018">
        <f t="shared" ca="1" si="690"/>
        <v>90.07</v>
      </c>
      <c r="BS475" s="1018">
        <f t="shared" ca="1" si="691"/>
        <v>65.974999999999994</v>
      </c>
      <c r="BT475" s="1018">
        <f t="shared" ca="1" si="692"/>
        <v>78.88</v>
      </c>
      <c r="BU475" s="1018">
        <f t="shared" ca="1" si="693"/>
        <v>18</v>
      </c>
      <c r="BV475" s="1018">
        <f t="shared" ca="1" si="694"/>
        <v>7.5250000000000004</v>
      </c>
      <c r="BW475" s="1018">
        <v>0</v>
      </c>
      <c r="BX475" s="1018">
        <f t="shared" ca="1" si="695"/>
        <v>39.143971150289723</v>
      </c>
      <c r="BY475" s="1018">
        <f t="shared" ca="1" si="696"/>
        <v>32.577267739575717</v>
      </c>
      <c r="BZ475" s="1018">
        <f t="shared" ca="1" si="680"/>
        <v>18.887893693903717</v>
      </c>
      <c r="CA475" s="1018">
        <f t="shared" ca="1" si="681"/>
        <v>62.999999955900002</v>
      </c>
      <c r="CB475" s="1018">
        <f t="shared" ca="1" si="697"/>
        <v>15.79675572519084</v>
      </c>
      <c r="CC475" s="1018">
        <f t="shared" si="682"/>
        <v>0</v>
      </c>
      <c r="CD475" s="1018">
        <f t="shared" ca="1" si="699"/>
        <v>195.45088826486</v>
      </c>
      <c r="CE475" s="1018">
        <f t="shared" ca="1" si="698"/>
        <v>73.770479255404439</v>
      </c>
      <c r="CF475" s="1018">
        <f t="shared" ca="1" si="683"/>
        <v>8.076641025607934</v>
      </c>
      <c r="CG475" s="1018">
        <f t="shared" ca="1" si="684"/>
        <v>13447.284241996183</v>
      </c>
    </row>
    <row r="476" spans="4:85" s="776" customFormat="1" x14ac:dyDescent="0.25">
      <c r="D476" s="777"/>
      <c r="F476" s="777"/>
      <c r="H476" s="777"/>
      <c r="J476" s="777"/>
      <c r="M476" s="777"/>
      <c r="N476" s="777"/>
      <c r="O476" s="777"/>
      <c r="P476" s="777"/>
      <c r="Q476" s="777"/>
      <c r="R476" s="777"/>
      <c r="S476" s="777"/>
      <c r="T476" s="780"/>
      <c r="U476" s="776">
        <v>1.3331919999999999E-2</v>
      </c>
      <c r="V476" s="292"/>
      <c r="W476" s="292"/>
      <c r="X476" s="292"/>
      <c r="Y476" s="277"/>
      <c r="Z476" s="292"/>
      <c r="AA476" s="292"/>
      <c r="AB476" s="292"/>
      <c r="AC476" s="292"/>
      <c r="AD476" s="277"/>
      <c r="AE476" s="292"/>
      <c r="AF476" s="292"/>
      <c r="AG476" s="277"/>
      <c r="AH476" s="313"/>
      <c r="AJ476" s="314"/>
      <c r="AK476" s="1018">
        <f t="shared" si="679"/>
        <v>0</v>
      </c>
      <c r="AL476" s="946"/>
      <c r="AM476" s="946"/>
      <c r="AN476" s="955"/>
      <c r="AO476" s="955"/>
      <c r="AP476" s="955"/>
      <c r="AQ476" s="314"/>
      <c r="AR476" s="778"/>
      <c r="AS476" s="778"/>
      <c r="AT476" s="778"/>
      <c r="AU476" s="778"/>
      <c r="AV476" s="778"/>
      <c r="AW476" s="778"/>
      <c r="AX476" s="778"/>
      <c r="AY476" s="778"/>
      <c r="AZ476" s="778"/>
      <c r="BA476" s="778"/>
      <c r="BB476" s="778"/>
      <c r="BC476" s="45"/>
      <c r="BD476" s="277"/>
      <c r="BE476" s="277"/>
      <c r="BF476" s="49"/>
      <c r="BG476" s="778"/>
      <c r="BH476" s="778"/>
      <c r="BI476" s="49"/>
      <c r="BJ476" s="778"/>
      <c r="BK476" s="778"/>
      <c r="BL476" s="778"/>
      <c r="BM476" s="49"/>
      <c r="BN476" s="277"/>
      <c r="BO476" s="49"/>
      <c r="BP476" s="928"/>
      <c r="BQ476" s="928"/>
      <c r="BR476" s="928"/>
      <c r="BS476" s="928"/>
      <c r="BT476" s="928"/>
      <c r="BU476" s="928"/>
      <c r="BV476" s="928"/>
      <c r="BW476" s="928"/>
      <c r="BX476" s="928"/>
      <c r="BY476" s="928"/>
      <c r="BZ476" s="928"/>
      <c r="CA476" s="928"/>
      <c r="CB476" s="928"/>
      <c r="CC476" s="928"/>
      <c r="CD476" s="928"/>
      <c r="CE476" s="928"/>
      <c r="CF476" s="928"/>
      <c r="CG476" s="928"/>
    </row>
    <row r="477" spans="4:85" x14ac:dyDescent="0.25">
      <c r="D477" s="1"/>
      <c r="F477" s="1"/>
      <c r="G477" s="3"/>
      <c r="H477" s="6"/>
      <c r="I477" s="3"/>
      <c r="J477" s="6"/>
      <c r="K477" s="8"/>
      <c r="L477" s="6"/>
      <c r="M477" s="1"/>
      <c r="N477" s="1"/>
      <c r="O477" s="1"/>
      <c r="P477" s="1"/>
      <c r="Q477" s="1" t="s">
        <v>16</v>
      </c>
      <c r="R477" s="4"/>
      <c r="S477" s="1"/>
      <c r="T477" s="77"/>
      <c r="U477" s="294"/>
      <c r="X477" s="176">
        <f>W467-X467</f>
        <v>0</v>
      </c>
      <c r="Y477" s="34">
        <f>X477/Calculation_sheet!M$67</f>
        <v>0</v>
      </c>
      <c r="Z477" s="176">
        <f ca="1">IF(AN477&gt;0,Y477*Calculation_sheet!C$87,0)</f>
        <v>0</v>
      </c>
      <c r="AA477" s="176">
        <f t="shared" ref="AA477:AA485" ca="1" si="700">Y477-Z477</f>
        <v>0</v>
      </c>
      <c r="AB477" s="176">
        <f ca="1">IF(AP477&gt;0,AA477*Calculation_sheet!C$94,0)</f>
        <v>0</v>
      </c>
      <c r="AC477" s="176">
        <f t="shared" ref="AC477:AE485" ca="1" si="701">AA477-AB477</f>
        <v>0</v>
      </c>
      <c r="AD477" s="958">
        <f ca="1">AC477*Calculation_sheet!C$99</f>
        <v>0</v>
      </c>
      <c r="AE477" s="176">
        <f t="shared" ca="1" si="701"/>
        <v>0</v>
      </c>
      <c r="AF477" s="176">
        <f t="shared" ref="AF477:AF485" ca="1" si="702">Y477-AB477</f>
        <v>0</v>
      </c>
      <c r="AG477" s="958">
        <f ca="1">AF477*User_sheet!B$77/100</f>
        <v>0</v>
      </c>
      <c r="AH477" s="313"/>
      <c r="AI477" s="3">
        <v>304</v>
      </c>
      <c r="AK477" s="1018">
        <f t="shared" ca="1" si="679"/>
        <v>156.61464832163256</v>
      </c>
      <c r="AL477" s="924">
        <f ca="1">AK477/'304'!I$24</f>
        <v>0.6193607194417281</v>
      </c>
      <c r="AM477" s="924">
        <f ca="1">0.8*(AK477*30+'304'!D$17*0.34*30*1)</f>
        <v>7926.9733997191815</v>
      </c>
      <c r="AN477" s="954">
        <f ca="1">IF(AM477&lt;User_sheet!B$50,Y477,0)</f>
        <v>0</v>
      </c>
      <c r="AO477" s="954">
        <f ca="1">20-(User_sheet!B$57/(AK477+'304'!D$17*1*0.34))</f>
        <v>2.7424676352709554</v>
      </c>
      <c r="AP477" s="954">
        <f ca="1">IF(AO477&lt;User_sheet!B$59,0,BC477*AA477)</f>
        <v>0</v>
      </c>
      <c r="AR477" s="2">
        <v>0.32</v>
      </c>
      <c r="AS477" s="2">
        <v>0.54</v>
      </c>
      <c r="AT477" s="2">
        <v>0.83</v>
      </c>
      <c r="AU477" s="2">
        <v>2</v>
      </c>
      <c r="AV477" s="2">
        <v>3.3</v>
      </c>
      <c r="AW477" s="2">
        <v>14356</v>
      </c>
      <c r="AX477" s="2">
        <v>75022.04959166942</v>
      </c>
      <c r="AY477" s="2">
        <v>69245.59826015502</v>
      </c>
      <c r="AZ477" s="27">
        <v>0</v>
      </c>
      <c r="BA477" s="27">
        <v>0</v>
      </c>
      <c r="BB477" s="2">
        <v>0.6</v>
      </c>
      <c r="BC477" s="30">
        <v>1</v>
      </c>
      <c r="BD477" s="34">
        <v>0</v>
      </c>
      <c r="BE477" s="34">
        <v>0</v>
      </c>
      <c r="BF477" s="40">
        <v>0</v>
      </c>
      <c r="BG477" s="2">
        <v>1</v>
      </c>
      <c r="BH477" s="2">
        <v>0</v>
      </c>
      <c r="BI477" s="40">
        <v>0</v>
      </c>
      <c r="BJ477" s="2">
        <v>1</v>
      </c>
      <c r="BK477" s="2">
        <v>0</v>
      </c>
      <c r="BL477" s="2">
        <v>0</v>
      </c>
      <c r="BM477" s="40">
        <v>0</v>
      </c>
      <c r="BN477" s="958">
        <v>0.1</v>
      </c>
      <c r="BO477" s="50">
        <v>10</v>
      </c>
      <c r="BP477" s="1018">
        <f t="shared" ref="BP477:BP485" ca="1" si="703">INDIRECT("'"&amp;AI477&amp;"'!"&amp;"B2")</f>
        <v>206.38</v>
      </c>
      <c r="BQ477" s="1018">
        <f t="shared" ref="BQ477:BQ485" ca="1" si="704">INDIRECT("'"&amp;AI477&amp;"'!"&amp;"C12")+INDIRECT("'"&amp;AI477&amp;"'!"&amp;"C13")+INDIRECT("'"&amp;AI477&amp;"'!"&amp;"C14")+INDIRECT("'"&amp;AI477&amp;"'!"&amp;"C15")+INDIRECT("'"&amp;AI477&amp;"'!"&amp;"C17")</f>
        <v>308.92399999999992</v>
      </c>
      <c r="BR477" s="1018">
        <f t="shared" ref="BR477:BR485" ca="1" si="705">INDIRECT("'"&amp;AI477&amp;"'!"&amp;"G5")</f>
        <v>90.07</v>
      </c>
      <c r="BS477" s="1018">
        <f t="shared" ref="BS477:BS485" ca="1" si="706">INDIRECT("'"&amp;AI477&amp;"'!"&amp;"G4")</f>
        <v>65.974999999999994</v>
      </c>
      <c r="BT477" s="1018">
        <f t="shared" ref="BT477:BT485" ca="1" si="707">INDIRECT("'"&amp;AI477&amp;"'!"&amp;"G6")</f>
        <v>78.88</v>
      </c>
      <c r="BU477" s="1018">
        <f t="shared" ref="BU477:BU485" ca="1" si="708">INDIRECT("'"&amp;AI477&amp;"'!"&amp;"G2")</f>
        <v>18</v>
      </c>
      <c r="BV477" s="1018">
        <f t="shared" ref="BV477:BV485" ca="1" si="709">INDIRECT("'"&amp;AI477&amp;"'!"&amp;"G3")</f>
        <v>7.5250000000000004</v>
      </c>
      <c r="BW477" s="1018">
        <v>0</v>
      </c>
      <c r="BX477" s="1018">
        <f t="shared" ref="BX477:BX485" ca="1" si="710">IF(BR477=0,0,1/(1/(BR477*$BY$3)+1/(BR477*AR477)+1/(BR477*$BY$4)))</f>
        <v>27.307731177362307</v>
      </c>
      <c r="BY477" s="1018">
        <f t="shared" ref="BY477:BY485" ca="1" si="711">IF(BS477=0,0,1/(1/(BS477*$BY$3)+1/(BS477*AS477)+1/(BS477*$BY$4)))</f>
        <v>32.577267739575717</v>
      </c>
      <c r="BZ477" s="1018">
        <f t="shared" ca="1" si="680"/>
        <v>18.887893693903717</v>
      </c>
      <c r="CA477" s="1018">
        <f t="shared" ca="1" si="681"/>
        <v>35.999999985599999</v>
      </c>
      <c r="CB477" s="1018">
        <f t="shared" ref="CB477:CB485" ca="1" si="712">IF(BV477=0,0,1/(1/(BV477*$BY$3)+1/(BV477*AV477)+1/(BV477*$BY$4)))</f>
        <v>15.79675572519084</v>
      </c>
      <c r="CC477" s="1018">
        <f t="shared" si="682"/>
        <v>0</v>
      </c>
      <c r="CD477" s="1018">
        <f ca="1">SUM(BX477:CC477)+(BR477+BS477+BT477+BU477+BV477)*BN477</f>
        <v>156.61464832163256</v>
      </c>
      <c r="CE477" s="1018">
        <f t="shared" ref="CE477:CE485" ca="1" si="713">0.34*BO477*(1/25)^0.66*(BR477+BS477+BU477+BV477)</f>
        <v>73.770479255404439</v>
      </c>
      <c r="CF477" s="1018">
        <f t="shared" ca="1" si="683"/>
        <v>6.9115538273111099</v>
      </c>
      <c r="CG477" s="1018">
        <f t="shared" ca="1" si="684"/>
        <v>11507.460660319906</v>
      </c>
    </row>
    <row r="478" spans="4:85" x14ac:dyDescent="0.25">
      <c r="D478" s="1"/>
      <c r="F478" s="1"/>
      <c r="G478" s="3"/>
      <c r="H478" s="6"/>
      <c r="I478" s="3"/>
      <c r="J478" s="6"/>
      <c r="K478" s="8"/>
      <c r="L478" s="6"/>
      <c r="M478" s="1"/>
      <c r="N478" s="1"/>
      <c r="O478" s="1" t="s">
        <v>18</v>
      </c>
      <c r="P478" s="4"/>
      <c r="Q478" s="1" t="s">
        <v>7</v>
      </c>
      <c r="R478" s="4"/>
      <c r="S478" s="1"/>
      <c r="T478" s="77"/>
      <c r="U478" s="294"/>
      <c r="X478" s="176">
        <f t="shared" ref="X478:X485" si="714">W468-X468</f>
        <v>0</v>
      </c>
      <c r="Y478" s="34">
        <f>X478/Calculation_sheet!M$67</f>
        <v>0</v>
      </c>
      <c r="Z478" s="176">
        <f ca="1">IF(AN478&gt;0,Y478*Calculation_sheet!C$87,0)</f>
        <v>0</v>
      </c>
      <c r="AA478" s="176">
        <f t="shared" ca="1" si="700"/>
        <v>0</v>
      </c>
      <c r="AB478" s="176">
        <f ca="1">IF(AP478&gt;0,AA478*Calculation_sheet!C$94,0)</f>
        <v>0</v>
      </c>
      <c r="AC478" s="176">
        <f t="shared" ca="1" si="701"/>
        <v>0</v>
      </c>
      <c r="AD478" s="958">
        <f ca="1">AC478*Calculation_sheet!C$99</f>
        <v>0</v>
      </c>
      <c r="AE478" s="176">
        <f t="shared" ca="1" si="701"/>
        <v>0</v>
      </c>
      <c r="AF478" s="176">
        <f t="shared" ca="1" si="702"/>
        <v>0</v>
      </c>
      <c r="AG478" s="958">
        <f ca="1">AF478*User_sheet!B$77/100</f>
        <v>0</v>
      </c>
      <c r="AH478" s="313"/>
      <c r="AI478" s="3">
        <v>304</v>
      </c>
      <c r="AK478" s="1018">
        <f t="shared" ca="1" si="679"/>
        <v>156.61464832163256</v>
      </c>
      <c r="AL478" s="924">
        <f ca="1">AK478/'304'!I$24</f>
        <v>0.6193607194417281</v>
      </c>
      <c r="AM478" s="924">
        <f ca="1">0.8*(AK478*30+'304'!D$17*0.34*30*1)</f>
        <v>7926.9733997191815</v>
      </c>
      <c r="AN478" s="954">
        <f ca="1">IF(AM478&lt;User_sheet!B$50,Y478,0)</f>
        <v>0</v>
      </c>
      <c r="AO478" s="954">
        <f ca="1">20-(User_sheet!B$57/(AK478+'304'!D$17*1*0.34))</f>
        <v>2.7424676352709554</v>
      </c>
      <c r="AP478" s="954">
        <f ca="1">IF(AO478&lt;User_sheet!B$59,0,BC478*AA478)</f>
        <v>0</v>
      </c>
      <c r="AR478" s="2">
        <v>0.32</v>
      </c>
      <c r="AS478" s="2">
        <v>0.54</v>
      </c>
      <c r="AT478" s="2">
        <v>0.83</v>
      </c>
      <c r="AU478" s="2">
        <v>2</v>
      </c>
      <c r="AV478" s="2">
        <v>3.3</v>
      </c>
      <c r="AW478" s="2">
        <v>14356</v>
      </c>
      <c r="AX478" s="2">
        <v>75022.04959166942</v>
      </c>
      <c r="AY478" s="2">
        <v>69245.59826015502</v>
      </c>
      <c r="AZ478" s="27">
        <v>0</v>
      </c>
      <c r="BA478" s="27">
        <v>0</v>
      </c>
      <c r="BB478" s="2">
        <v>0.6</v>
      </c>
      <c r="BC478" s="30">
        <v>1</v>
      </c>
      <c r="BD478" s="34">
        <v>0</v>
      </c>
      <c r="BE478" s="34">
        <v>0</v>
      </c>
      <c r="BF478" s="40">
        <v>0</v>
      </c>
      <c r="BG478" s="2">
        <v>1</v>
      </c>
      <c r="BH478" s="2">
        <v>0</v>
      </c>
      <c r="BI478" s="40">
        <v>0</v>
      </c>
      <c r="BJ478" s="2">
        <v>0</v>
      </c>
      <c r="BK478" s="2">
        <v>0</v>
      </c>
      <c r="BL478" s="2">
        <v>1</v>
      </c>
      <c r="BM478" s="40">
        <v>0</v>
      </c>
      <c r="BN478" s="958">
        <v>0.1</v>
      </c>
      <c r="BO478" s="50">
        <v>10</v>
      </c>
      <c r="BP478" s="1018">
        <f t="shared" ca="1" si="703"/>
        <v>206.38</v>
      </c>
      <c r="BQ478" s="1018">
        <f t="shared" ca="1" si="704"/>
        <v>308.92399999999992</v>
      </c>
      <c r="BR478" s="1018">
        <f t="shared" ca="1" si="705"/>
        <v>90.07</v>
      </c>
      <c r="BS478" s="1018">
        <f t="shared" ca="1" si="706"/>
        <v>65.974999999999994</v>
      </c>
      <c r="BT478" s="1018">
        <f t="shared" ca="1" si="707"/>
        <v>78.88</v>
      </c>
      <c r="BU478" s="1018">
        <f t="shared" ca="1" si="708"/>
        <v>18</v>
      </c>
      <c r="BV478" s="1018">
        <f t="shared" ca="1" si="709"/>
        <v>7.5250000000000004</v>
      </c>
      <c r="BW478" s="1018">
        <v>0</v>
      </c>
      <c r="BX478" s="1018">
        <f t="shared" ca="1" si="710"/>
        <v>27.307731177362307</v>
      </c>
      <c r="BY478" s="1018">
        <f t="shared" ca="1" si="711"/>
        <v>32.577267739575717</v>
      </c>
      <c r="BZ478" s="1018">
        <f t="shared" ca="1" si="680"/>
        <v>18.887893693903717</v>
      </c>
      <c r="CA478" s="1018">
        <f t="shared" ca="1" si="681"/>
        <v>35.999999985599999</v>
      </c>
      <c r="CB478" s="1018">
        <f t="shared" ca="1" si="712"/>
        <v>15.79675572519084</v>
      </c>
      <c r="CC478" s="1018">
        <f t="shared" si="682"/>
        <v>0</v>
      </c>
      <c r="CD478" s="1018">
        <f t="shared" ref="CD478:CD485" ca="1" si="715">SUM(BX478:CC478)+(BR478+BS478+BT478+BU478+BV478)*BN478</f>
        <v>156.61464832163256</v>
      </c>
      <c r="CE478" s="1018">
        <f t="shared" ca="1" si="713"/>
        <v>73.770479255404439</v>
      </c>
      <c r="CF478" s="1018">
        <f t="shared" ca="1" si="683"/>
        <v>6.9115538273111099</v>
      </c>
      <c r="CG478" s="1018">
        <f t="shared" ca="1" si="684"/>
        <v>11507.460660319906</v>
      </c>
    </row>
    <row r="479" spans="4:85" x14ac:dyDescent="0.25">
      <c r="D479" s="1"/>
      <c r="F479" s="1"/>
      <c r="G479" s="3"/>
      <c r="H479" s="6"/>
      <c r="I479" s="3"/>
      <c r="J479" s="6"/>
      <c r="K479" s="8"/>
      <c r="L479" s="6"/>
      <c r="M479" s="1"/>
      <c r="N479" s="1"/>
      <c r="O479" s="1"/>
      <c r="P479" s="1"/>
      <c r="Q479" s="1" t="s">
        <v>16</v>
      </c>
      <c r="R479" s="4"/>
      <c r="S479" s="1"/>
      <c r="T479" s="77"/>
      <c r="U479" s="294"/>
      <c r="X479" s="176">
        <f t="shared" si="714"/>
        <v>0</v>
      </c>
      <c r="Y479" s="34">
        <f>X479/Calculation_sheet!M$67</f>
        <v>0</v>
      </c>
      <c r="Z479" s="176">
        <f ca="1">IF(AN479&gt;0,Y479*Calculation_sheet!C$87,0)</f>
        <v>0</v>
      </c>
      <c r="AA479" s="176">
        <f t="shared" ca="1" si="700"/>
        <v>0</v>
      </c>
      <c r="AB479" s="176">
        <f ca="1">IF(AP479&gt;0,AA479*Calculation_sheet!C$94,0)</f>
        <v>0</v>
      </c>
      <c r="AC479" s="176">
        <f t="shared" ca="1" si="701"/>
        <v>0</v>
      </c>
      <c r="AD479" s="958">
        <f ca="1">AC479*Calculation_sheet!C$99</f>
        <v>0</v>
      </c>
      <c r="AE479" s="176">
        <f t="shared" ca="1" si="701"/>
        <v>0</v>
      </c>
      <c r="AF479" s="176">
        <f t="shared" ca="1" si="702"/>
        <v>0</v>
      </c>
      <c r="AG479" s="958">
        <f ca="1">AF479*User_sheet!B$77/100</f>
        <v>0</v>
      </c>
      <c r="AH479" s="313"/>
      <c r="AI479" s="3">
        <v>304</v>
      </c>
      <c r="AK479" s="1018">
        <f t="shared" ca="1" si="679"/>
        <v>156.61464832163256</v>
      </c>
      <c r="AL479" s="924">
        <f ca="1">AK479/'304'!I$24</f>
        <v>0.6193607194417281</v>
      </c>
      <c r="AM479" s="924">
        <f ca="1">0.8*(AK479*30+'304'!D$17*0.34*30*1)</f>
        <v>7926.9733997191815</v>
      </c>
      <c r="AN479" s="954">
        <f ca="1">IF(AM479&lt;User_sheet!B$50,Y479,0)</f>
        <v>0</v>
      </c>
      <c r="AO479" s="954">
        <f ca="1">20-(User_sheet!B$57/(AK479+'304'!D$17*1*0.34))</f>
        <v>2.7424676352709554</v>
      </c>
      <c r="AP479" s="954">
        <f ca="1">IF(AO479&lt;User_sheet!B$59,0,BC479*AA479)</f>
        <v>0</v>
      </c>
      <c r="AR479" s="2">
        <v>0.32</v>
      </c>
      <c r="AS479" s="2">
        <v>0.54</v>
      </c>
      <c r="AT479" s="2">
        <v>0.83</v>
      </c>
      <c r="AU479" s="2">
        <v>2</v>
      </c>
      <c r="AV479" s="2">
        <v>3.3</v>
      </c>
      <c r="AW479" s="2">
        <v>14356</v>
      </c>
      <c r="AX479" s="2">
        <v>75022.04959166942</v>
      </c>
      <c r="AY479" s="2">
        <v>69245.59826015502</v>
      </c>
      <c r="AZ479" s="27">
        <v>0</v>
      </c>
      <c r="BA479" s="27">
        <v>0</v>
      </c>
      <c r="BB479" s="2">
        <v>0.6</v>
      </c>
      <c r="BC479" s="30">
        <v>1</v>
      </c>
      <c r="BD479" s="34">
        <v>0</v>
      </c>
      <c r="BE479" s="34">
        <v>0</v>
      </c>
      <c r="BF479" s="40">
        <v>0</v>
      </c>
      <c r="BG479" s="2">
        <v>0</v>
      </c>
      <c r="BH479" s="2">
        <v>1</v>
      </c>
      <c r="BI479" s="40">
        <v>0</v>
      </c>
      <c r="BJ479" s="2">
        <v>1</v>
      </c>
      <c r="BK479" s="2">
        <v>0</v>
      </c>
      <c r="BL479" s="2">
        <v>0</v>
      </c>
      <c r="BM479" s="40">
        <v>0</v>
      </c>
      <c r="BN479" s="958">
        <v>0.1</v>
      </c>
      <c r="BO479" s="50">
        <v>10</v>
      </c>
      <c r="BP479" s="1018">
        <f t="shared" ca="1" si="703"/>
        <v>206.38</v>
      </c>
      <c r="BQ479" s="1018">
        <f t="shared" ca="1" si="704"/>
        <v>308.92399999999992</v>
      </c>
      <c r="BR479" s="1018">
        <f t="shared" ca="1" si="705"/>
        <v>90.07</v>
      </c>
      <c r="BS479" s="1018">
        <f t="shared" ca="1" si="706"/>
        <v>65.974999999999994</v>
      </c>
      <c r="BT479" s="1018">
        <f t="shared" ca="1" si="707"/>
        <v>78.88</v>
      </c>
      <c r="BU479" s="1018">
        <f t="shared" ca="1" si="708"/>
        <v>18</v>
      </c>
      <c r="BV479" s="1018">
        <f t="shared" ca="1" si="709"/>
        <v>7.5250000000000004</v>
      </c>
      <c r="BW479" s="1018">
        <v>0</v>
      </c>
      <c r="BX479" s="1018">
        <f t="shared" ca="1" si="710"/>
        <v>27.307731177362307</v>
      </c>
      <c r="BY479" s="1018">
        <f t="shared" ca="1" si="711"/>
        <v>32.577267739575717</v>
      </c>
      <c r="BZ479" s="1018">
        <f t="shared" ca="1" si="680"/>
        <v>18.887893693903717</v>
      </c>
      <c r="CA479" s="1018">
        <f t="shared" ca="1" si="681"/>
        <v>35.999999985599999</v>
      </c>
      <c r="CB479" s="1018">
        <f t="shared" ca="1" si="712"/>
        <v>15.79675572519084</v>
      </c>
      <c r="CC479" s="1018">
        <f t="shared" si="682"/>
        <v>0</v>
      </c>
      <c r="CD479" s="1018">
        <f t="shared" ca="1" si="715"/>
        <v>156.61464832163256</v>
      </c>
      <c r="CE479" s="1018">
        <f t="shared" ca="1" si="713"/>
        <v>73.770479255404439</v>
      </c>
      <c r="CF479" s="1018">
        <f t="shared" ca="1" si="683"/>
        <v>6.9115538273111099</v>
      </c>
      <c r="CG479" s="1018">
        <f t="shared" ca="1" si="684"/>
        <v>11507.460660319906</v>
      </c>
    </row>
    <row r="480" spans="4:85" x14ac:dyDescent="0.25">
      <c r="D480" s="1"/>
      <c r="F480" s="1"/>
      <c r="G480" s="3"/>
      <c r="H480" s="6"/>
      <c r="I480" s="3"/>
      <c r="J480" s="3" t="s">
        <v>144</v>
      </c>
      <c r="K480" s="8"/>
      <c r="L480" s="6"/>
      <c r="M480" s="1" t="s">
        <v>16</v>
      </c>
      <c r="N480" s="4"/>
      <c r="O480" s="1" t="s">
        <v>19</v>
      </c>
      <c r="P480" s="4"/>
      <c r="Q480" s="1" t="s">
        <v>7</v>
      </c>
      <c r="R480" s="4"/>
      <c r="S480" s="1"/>
      <c r="T480" s="77"/>
      <c r="U480" s="294"/>
      <c r="X480" s="176">
        <f t="shared" si="714"/>
        <v>0</v>
      </c>
      <c r="Y480" s="34">
        <f>X480/Calculation_sheet!M$67</f>
        <v>0</v>
      </c>
      <c r="Z480" s="176">
        <f ca="1">IF(AN480&gt;0,Y480*Calculation_sheet!C$87,0)</f>
        <v>0</v>
      </c>
      <c r="AA480" s="176">
        <f t="shared" ca="1" si="700"/>
        <v>0</v>
      </c>
      <c r="AB480" s="176">
        <f ca="1">IF(AP480&gt;0,AA480*Calculation_sheet!C$94,0)</f>
        <v>0</v>
      </c>
      <c r="AC480" s="176">
        <f t="shared" ca="1" si="701"/>
        <v>0</v>
      </c>
      <c r="AD480" s="958">
        <f ca="1">AC480*Calculation_sheet!C$99</f>
        <v>0</v>
      </c>
      <c r="AE480" s="176">
        <f t="shared" ca="1" si="701"/>
        <v>0</v>
      </c>
      <c r="AF480" s="176">
        <f t="shared" ca="1" si="702"/>
        <v>0</v>
      </c>
      <c r="AG480" s="958">
        <f ca="1">AF480*User_sheet!B$77/100</f>
        <v>0</v>
      </c>
      <c r="AH480" s="313"/>
      <c r="AI480" s="3">
        <v>304</v>
      </c>
      <c r="AK480" s="1018">
        <f t="shared" ca="1" si="679"/>
        <v>156.61464832163256</v>
      </c>
      <c r="AL480" s="924">
        <f ca="1">AK480/'304'!I$24</f>
        <v>0.6193607194417281</v>
      </c>
      <c r="AM480" s="924">
        <f ca="1">0.8*(AK480*30+'304'!D$17*0.34*30*1)</f>
        <v>7926.9733997191815</v>
      </c>
      <c r="AN480" s="954">
        <f ca="1">IF(AM480&lt;User_sheet!B$50,Y480,0)</f>
        <v>0</v>
      </c>
      <c r="AO480" s="954">
        <f ca="1">20-(User_sheet!B$57/(AK480+'304'!D$17*1*0.34))</f>
        <v>2.7424676352709554</v>
      </c>
      <c r="AP480" s="954">
        <f ca="1">IF(AO480&lt;User_sheet!B$59,0,BC480*AA480)</f>
        <v>0</v>
      </c>
      <c r="AR480" s="2">
        <v>0.32</v>
      </c>
      <c r="AS480" s="2">
        <v>0.54</v>
      </c>
      <c r="AT480" s="2">
        <v>0.83</v>
      </c>
      <c r="AU480" s="2">
        <v>2</v>
      </c>
      <c r="AV480" s="2">
        <v>3.3</v>
      </c>
      <c r="AW480" s="2">
        <v>14356</v>
      </c>
      <c r="AX480" s="2">
        <v>75022.04959166942</v>
      </c>
      <c r="AY480" s="2">
        <v>69245.59826015502</v>
      </c>
      <c r="AZ480" s="27">
        <v>0</v>
      </c>
      <c r="BA480" s="27">
        <v>0</v>
      </c>
      <c r="BB480" s="2">
        <v>0.6</v>
      </c>
      <c r="BC480" s="30">
        <v>1</v>
      </c>
      <c r="BD480" s="34">
        <v>0</v>
      </c>
      <c r="BE480" s="34">
        <v>0</v>
      </c>
      <c r="BF480" s="40">
        <v>0</v>
      </c>
      <c r="BG480" s="2">
        <v>0</v>
      </c>
      <c r="BH480" s="2">
        <v>1</v>
      </c>
      <c r="BI480" s="40">
        <v>0</v>
      </c>
      <c r="BJ480" s="2">
        <v>0</v>
      </c>
      <c r="BK480" s="2">
        <v>0</v>
      </c>
      <c r="BL480" s="2">
        <v>1</v>
      </c>
      <c r="BM480" s="40">
        <v>0</v>
      </c>
      <c r="BN480" s="958">
        <v>0.1</v>
      </c>
      <c r="BO480" s="50">
        <v>10</v>
      </c>
      <c r="BP480" s="1018">
        <f t="shared" ca="1" si="703"/>
        <v>206.38</v>
      </c>
      <c r="BQ480" s="1018">
        <f t="shared" ca="1" si="704"/>
        <v>308.92399999999992</v>
      </c>
      <c r="BR480" s="1018">
        <f t="shared" ca="1" si="705"/>
        <v>90.07</v>
      </c>
      <c r="BS480" s="1018">
        <f t="shared" ca="1" si="706"/>
        <v>65.974999999999994</v>
      </c>
      <c r="BT480" s="1018">
        <f t="shared" ca="1" si="707"/>
        <v>78.88</v>
      </c>
      <c r="BU480" s="1018">
        <f t="shared" ca="1" si="708"/>
        <v>18</v>
      </c>
      <c r="BV480" s="1018">
        <f t="shared" ca="1" si="709"/>
        <v>7.5250000000000004</v>
      </c>
      <c r="BW480" s="1018">
        <v>0</v>
      </c>
      <c r="BX480" s="1018">
        <f t="shared" ca="1" si="710"/>
        <v>27.307731177362307</v>
      </c>
      <c r="BY480" s="1018">
        <f t="shared" ca="1" si="711"/>
        <v>32.577267739575717</v>
      </c>
      <c r="BZ480" s="1018">
        <f t="shared" ca="1" si="680"/>
        <v>18.887893693903717</v>
      </c>
      <c r="CA480" s="1018">
        <f t="shared" ca="1" si="681"/>
        <v>35.999999985599999</v>
      </c>
      <c r="CB480" s="1018">
        <f t="shared" ca="1" si="712"/>
        <v>15.79675572519084</v>
      </c>
      <c r="CC480" s="1018">
        <f t="shared" si="682"/>
        <v>0</v>
      </c>
      <c r="CD480" s="1018">
        <f t="shared" ca="1" si="715"/>
        <v>156.61464832163256</v>
      </c>
      <c r="CE480" s="1018">
        <f t="shared" ca="1" si="713"/>
        <v>73.770479255404439</v>
      </c>
      <c r="CF480" s="1018">
        <f t="shared" ca="1" si="683"/>
        <v>6.9115538273111099</v>
      </c>
      <c r="CG480" s="1018">
        <f t="shared" ca="1" si="684"/>
        <v>11507.460660319906</v>
      </c>
    </row>
    <row r="481" spans="4:85" x14ac:dyDescent="0.25">
      <c r="D481" s="1"/>
      <c r="F481" s="1"/>
      <c r="G481" s="3"/>
      <c r="H481" s="6"/>
      <c r="I481" s="3"/>
      <c r="J481" s="6" t="s">
        <v>190</v>
      </c>
      <c r="K481" s="8"/>
      <c r="L481" s="6"/>
      <c r="M481" s="1"/>
      <c r="N481" s="1"/>
      <c r="O481" s="1"/>
      <c r="P481" s="1"/>
      <c r="Q481" s="1" t="s">
        <v>22</v>
      </c>
      <c r="R481" s="4"/>
      <c r="S481" s="1"/>
      <c r="T481" s="77"/>
      <c r="U481" s="294"/>
      <c r="X481" s="176">
        <f t="shared" si="714"/>
        <v>0</v>
      </c>
      <c r="Y481" s="34">
        <f>X481/Calculation_sheet!M$67</f>
        <v>0</v>
      </c>
      <c r="Z481" s="176">
        <f ca="1">IF(AN481&gt;0,Y481*Calculation_sheet!C$87,0)</f>
        <v>0</v>
      </c>
      <c r="AA481" s="176">
        <f t="shared" ca="1" si="700"/>
        <v>0</v>
      </c>
      <c r="AB481" s="176">
        <f ca="1">IF(AP481&gt;0,AA481*Calculation_sheet!C$94,0)</f>
        <v>0</v>
      </c>
      <c r="AC481" s="176">
        <f t="shared" ca="1" si="701"/>
        <v>0</v>
      </c>
      <c r="AD481" s="958">
        <f ca="1">AC481*Calculation_sheet!C$99</f>
        <v>0</v>
      </c>
      <c r="AE481" s="176">
        <f t="shared" ca="1" si="701"/>
        <v>0</v>
      </c>
      <c r="AF481" s="176">
        <f t="shared" ca="1" si="702"/>
        <v>0</v>
      </c>
      <c r="AG481" s="958">
        <f ca="1">AF481*User_sheet!B$77/100</f>
        <v>0</v>
      </c>
      <c r="AH481" s="313"/>
      <c r="AI481" s="3">
        <v>304</v>
      </c>
      <c r="AK481" s="1018">
        <f t="shared" ca="1" si="679"/>
        <v>156.61464832163256</v>
      </c>
      <c r="AL481" s="924">
        <f ca="1">AK481/'304'!I$24</f>
        <v>0.6193607194417281</v>
      </c>
      <c r="AM481" s="924">
        <f ca="1">0.8*(AK481*30+'304'!D$17*0.34*30*1)</f>
        <v>7926.9733997191815</v>
      </c>
      <c r="AN481" s="954">
        <f ca="1">IF(AM481&lt;User_sheet!B$50,Y481,0)</f>
        <v>0</v>
      </c>
      <c r="AO481" s="954">
        <f ca="1">20-(User_sheet!B$57/(AK481+'304'!D$17*1*0.34))</f>
        <v>2.7424676352709554</v>
      </c>
      <c r="AP481" s="954">
        <f ca="1">IF(AO481&lt;User_sheet!B$59,0,BC481*AA481)</f>
        <v>0</v>
      </c>
      <c r="AR481" s="2">
        <v>0.32</v>
      </c>
      <c r="AS481" s="2">
        <v>0.54</v>
      </c>
      <c r="AT481" s="2">
        <v>0.83</v>
      </c>
      <c r="AU481" s="2">
        <v>2</v>
      </c>
      <c r="AV481" s="2">
        <v>3.3</v>
      </c>
      <c r="AW481" s="2">
        <v>14356</v>
      </c>
      <c r="AX481" s="2">
        <v>75022.04959166942</v>
      </c>
      <c r="AY481" s="2">
        <v>69245.59826015502</v>
      </c>
      <c r="AZ481" s="27">
        <v>0</v>
      </c>
      <c r="BA481" s="27">
        <v>0</v>
      </c>
      <c r="BB481" s="2">
        <v>0.6</v>
      </c>
      <c r="BC481" s="30">
        <v>0</v>
      </c>
      <c r="BD481" s="34">
        <v>1</v>
      </c>
      <c r="BE481" s="34">
        <v>0</v>
      </c>
      <c r="BF481" s="40">
        <v>0</v>
      </c>
      <c r="BG481" s="2">
        <v>1</v>
      </c>
      <c r="BH481" s="2">
        <v>0</v>
      </c>
      <c r="BI481" s="40">
        <v>0</v>
      </c>
      <c r="BJ481" s="2">
        <v>0</v>
      </c>
      <c r="BK481" s="2">
        <v>1</v>
      </c>
      <c r="BL481" s="2">
        <v>0</v>
      </c>
      <c r="BM481" s="40">
        <v>0</v>
      </c>
      <c r="BN481" s="958">
        <v>0.1</v>
      </c>
      <c r="BO481" s="50">
        <v>10</v>
      </c>
      <c r="BP481" s="1018">
        <f t="shared" ca="1" si="703"/>
        <v>206.38</v>
      </c>
      <c r="BQ481" s="1018">
        <f t="shared" ca="1" si="704"/>
        <v>308.92399999999992</v>
      </c>
      <c r="BR481" s="1018">
        <f t="shared" ca="1" si="705"/>
        <v>90.07</v>
      </c>
      <c r="BS481" s="1018">
        <f t="shared" ca="1" si="706"/>
        <v>65.974999999999994</v>
      </c>
      <c r="BT481" s="1018">
        <f t="shared" ca="1" si="707"/>
        <v>78.88</v>
      </c>
      <c r="BU481" s="1018">
        <f t="shared" ca="1" si="708"/>
        <v>18</v>
      </c>
      <c r="BV481" s="1018">
        <f t="shared" ca="1" si="709"/>
        <v>7.5250000000000004</v>
      </c>
      <c r="BW481" s="1018">
        <v>0</v>
      </c>
      <c r="BX481" s="1018">
        <f t="shared" ca="1" si="710"/>
        <v>27.307731177362307</v>
      </c>
      <c r="BY481" s="1018">
        <f t="shared" ca="1" si="711"/>
        <v>32.577267739575717</v>
      </c>
      <c r="BZ481" s="1018">
        <f t="shared" ca="1" si="680"/>
        <v>18.887893693903717</v>
      </c>
      <c r="CA481" s="1018">
        <f t="shared" ca="1" si="681"/>
        <v>35.999999985599999</v>
      </c>
      <c r="CB481" s="1018">
        <f t="shared" ca="1" si="712"/>
        <v>15.79675572519084</v>
      </c>
      <c r="CC481" s="1018">
        <f t="shared" si="682"/>
        <v>0</v>
      </c>
      <c r="CD481" s="1018">
        <f t="shared" ca="1" si="715"/>
        <v>156.61464832163256</v>
      </c>
      <c r="CE481" s="1018">
        <f t="shared" ca="1" si="713"/>
        <v>73.770479255404439</v>
      </c>
      <c r="CF481" s="1018">
        <f t="shared" ca="1" si="683"/>
        <v>6.9115538273111099</v>
      </c>
      <c r="CG481" s="1018">
        <f t="shared" ca="1" si="684"/>
        <v>11507.460660319906</v>
      </c>
    </row>
    <row r="482" spans="4:85" x14ac:dyDescent="0.25">
      <c r="D482" s="1"/>
      <c r="F482" s="1"/>
      <c r="G482" s="3"/>
      <c r="H482" s="6"/>
      <c r="I482" s="3"/>
      <c r="K482" s="8"/>
      <c r="L482" s="6"/>
      <c r="M482" s="1"/>
      <c r="N482" s="1"/>
      <c r="O482" s="1" t="s">
        <v>18</v>
      </c>
      <c r="P482" s="4"/>
      <c r="Q482" s="1" t="s">
        <v>7</v>
      </c>
      <c r="R482" s="4"/>
      <c r="S482" s="1"/>
      <c r="T482" s="77"/>
      <c r="U482" s="294"/>
      <c r="X482" s="176">
        <f t="shared" si="714"/>
        <v>0</v>
      </c>
      <c r="Y482" s="34">
        <f>X482/Calculation_sheet!M$67</f>
        <v>0</v>
      </c>
      <c r="Z482" s="176">
        <f ca="1">IF(AN482&gt;0,Y482*Calculation_sheet!C$87,0)</f>
        <v>0</v>
      </c>
      <c r="AA482" s="176">
        <f t="shared" ca="1" si="700"/>
        <v>0</v>
      </c>
      <c r="AB482" s="176">
        <f ca="1">IF(AP482&gt;0,AA482*Calculation_sheet!C$94,0)</f>
        <v>0</v>
      </c>
      <c r="AC482" s="176">
        <f t="shared" ca="1" si="701"/>
        <v>0</v>
      </c>
      <c r="AD482" s="958">
        <f ca="1">AC482*Calculation_sheet!C$99</f>
        <v>0</v>
      </c>
      <c r="AE482" s="176">
        <f t="shared" ca="1" si="701"/>
        <v>0</v>
      </c>
      <c r="AF482" s="176">
        <f t="shared" ca="1" si="702"/>
        <v>0</v>
      </c>
      <c r="AG482" s="958">
        <f ca="1">AF482*User_sheet!B$77/100</f>
        <v>0</v>
      </c>
      <c r="AH482" s="313"/>
      <c r="AI482" s="3">
        <v>304</v>
      </c>
      <c r="AK482" s="1018">
        <f t="shared" ca="1" si="679"/>
        <v>156.61464832163256</v>
      </c>
      <c r="AL482" s="924">
        <f ca="1">AK482/'304'!I$24</f>
        <v>0.6193607194417281</v>
      </c>
      <c r="AM482" s="924">
        <f ca="1">0.8*(AK482*30+'304'!D$17*0.34*30*1)</f>
        <v>7926.9733997191815</v>
      </c>
      <c r="AN482" s="954">
        <f ca="1">IF(AM482&lt;User_sheet!B$50,Y482,0)</f>
        <v>0</v>
      </c>
      <c r="AO482" s="954">
        <f ca="1">20-(User_sheet!B$57/(AK482+'304'!D$17*1*0.34))</f>
        <v>2.7424676352709554</v>
      </c>
      <c r="AP482" s="954">
        <f ca="1">IF(AO482&lt;User_sheet!B$59,0,BC482*AA482)</f>
        <v>0</v>
      </c>
      <c r="AR482" s="2">
        <v>0.32</v>
      </c>
      <c r="AS482" s="2">
        <v>0.54</v>
      </c>
      <c r="AT482" s="2">
        <v>0.83</v>
      </c>
      <c r="AU482" s="2">
        <v>2</v>
      </c>
      <c r="AV482" s="2">
        <v>3.3</v>
      </c>
      <c r="AW482" s="2">
        <v>14356</v>
      </c>
      <c r="AX482" s="2">
        <v>75022.04959166942</v>
      </c>
      <c r="AY482" s="2">
        <v>69245.59826015502</v>
      </c>
      <c r="AZ482" s="27">
        <v>0</v>
      </c>
      <c r="BA482" s="27">
        <v>0</v>
      </c>
      <c r="BB482" s="2">
        <v>0.6</v>
      </c>
      <c r="BC482" s="30">
        <v>0</v>
      </c>
      <c r="BD482" s="34">
        <v>1</v>
      </c>
      <c r="BE482" s="34">
        <v>0</v>
      </c>
      <c r="BF482" s="40">
        <v>0</v>
      </c>
      <c r="BG482" s="2">
        <v>1</v>
      </c>
      <c r="BH482" s="2">
        <v>0</v>
      </c>
      <c r="BI482" s="40">
        <v>0</v>
      </c>
      <c r="BJ482" s="2">
        <v>0</v>
      </c>
      <c r="BK482" s="2">
        <v>0</v>
      </c>
      <c r="BL482" s="2">
        <v>1</v>
      </c>
      <c r="BM482" s="40">
        <v>0</v>
      </c>
      <c r="BN482" s="958">
        <v>0.1</v>
      </c>
      <c r="BO482" s="50">
        <v>10</v>
      </c>
      <c r="BP482" s="1018">
        <f t="shared" ca="1" si="703"/>
        <v>206.38</v>
      </c>
      <c r="BQ482" s="1018">
        <f t="shared" ca="1" si="704"/>
        <v>308.92399999999992</v>
      </c>
      <c r="BR482" s="1018">
        <f t="shared" ca="1" si="705"/>
        <v>90.07</v>
      </c>
      <c r="BS482" s="1018">
        <f t="shared" ca="1" si="706"/>
        <v>65.974999999999994</v>
      </c>
      <c r="BT482" s="1018">
        <f t="shared" ca="1" si="707"/>
        <v>78.88</v>
      </c>
      <c r="BU482" s="1018">
        <f t="shared" ca="1" si="708"/>
        <v>18</v>
      </c>
      <c r="BV482" s="1018">
        <f t="shared" ca="1" si="709"/>
        <v>7.5250000000000004</v>
      </c>
      <c r="BW482" s="1018">
        <v>0</v>
      </c>
      <c r="BX482" s="1018">
        <f t="shared" ca="1" si="710"/>
        <v>27.307731177362307</v>
      </c>
      <c r="BY482" s="1018">
        <f t="shared" ca="1" si="711"/>
        <v>32.577267739575717</v>
      </c>
      <c r="BZ482" s="1018">
        <f t="shared" ca="1" si="680"/>
        <v>18.887893693903717</v>
      </c>
      <c r="CA482" s="1018">
        <f t="shared" ca="1" si="681"/>
        <v>35.999999985599999</v>
      </c>
      <c r="CB482" s="1018">
        <f t="shared" ca="1" si="712"/>
        <v>15.79675572519084</v>
      </c>
      <c r="CC482" s="1018">
        <f t="shared" si="682"/>
        <v>0</v>
      </c>
      <c r="CD482" s="1018">
        <f t="shared" ca="1" si="715"/>
        <v>156.61464832163256</v>
      </c>
      <c r="CE482" s="1018">
        <f t="shared" ca="1" si="713"/>
        <v>73.770479255404439</v>
      </c>
      <c r="CF482" s="1018">
        <f t="shared" ca="1" si="683"/>
        <v>6.9115538273111099</v>
      </c>
      <c r="CG482" s="1018">
        <f t="shared" ca="1" si="684"/>
        <v>11507.460660319906</v>
      </c>
    </row>
    <row r="483" spans="4:85" x14ac:dyDescent="0.25">
      <c r="D483" s="1"/>
      <c r="F483" s="1"/>
      <c r="G483" s="3"/>
      <c r="H483" s="6"/>
      <c r="I483" s="3"/>
      <c r="K483" s="8"/>
      <c r="L483" s="6"/>
      <c r="M483" s="1"/>
      <c r="N483" s="1"/>
      <c r="O483" s="1"/>
      <c r="P483" s="1"/>
      <c r="Q483" s="1" t="s">
        <v>22</v>
      </c>
      <c r="R483" s="4"/>
      <c r="S483" s="1"/>
      <c r="T483" s="77"/>
      <c r="U483" s="294"/>
      <c r="X483" s="176">
        <f t="shared" si="714"/>
        <v>0</v>
      </c>
      <c r="Y483" s="34">
        <f>X483/Calculation_sheet!M$67</f>
        <v>0</v>
      </c>
      <c r="Z483" s="176">
        <f ca="1">IF(AN483&gt;0,Y483*Calculation_sheet!C$87,0)</f>
        <v>0</v>
      </c>
      <c r="AA483" s="176">
        <f t="shared" ca="1" si="700"/>
        <v>0</v>
      </c>
      <c r="AB483" s="176">
        <f ca="1">IF(AP483&gt;0,AA483*Calculation_sheet!C$94,0)</f>
        <v>0</v>
      </c>
      <c r="AC483" s="176">
        <f t="shared" ca="1" si="701"/>
        <v>0</v>
      </c>
      <c r="AD483" s="958">
        <f ca="1">AC483*Calculation_sheet!C$99</f>
        <v>0</v>
      </c>
      <c r="AE483" s="176">
        <f t="shared" ca="1" si="701"/>
        <v>0</v>
      </c>
      <c r="AF483" s="176">
        <f t="shared" ca="1" si="702"/>
        <v>0</v>
      </c>
      <c r="AG483" s="958">
        <f ca="1">AF483*User_sheet!B$77/100</f>
        <v>0</v>
      </c>
      <c r="AH483" s="313"/>
      <c r="AI483" s="3">
        <v>304</v>
      </c>
      <c r="AK483" s="1018">
        <f t="shared" ca="1" si="679"/>
        <v>156.61464832163256</v>
      </c>
      <c r="AL483" s="924">
        <f ca="1">AK483/'304'!I$24</f>
        <v>0.6193607194417281</v>
      </c>
      <c r="AM483" s="924">
        <f ca="1">0.8*(AK483*30+'304'!D$17*0.34*30*1)</f>
        <v>7926.9733997191815</v>
      </c>
      <c r="AN483" s="954">
        <f ca="1">IF(AM483&lt;User_sheet!B$50,Y483,0)</f>
        <v>0</v>
      </c>
      <c r="AO483" s="954">
        <f ca="1">20-(User_sheet!B$57/(AK483+'304'!D$17*1*0.34))</f>
        <v>2.7424676352709554</v>
      </c>
      <c r="AP483" s="954">
        <f ca="1">IF(AO483&lt;User_sheet!B$59,0,BC483*AA483)</f>
        <v>0</v>
      </c>
      <c r="AR483" s="2">
        <v>0.32</v>
      </c>
      <c r="AS483" s="2">
        <v>0.54</v>
      </c>
      <c r="AT483" s="2">
        <v>0.83</v>
      </c>
      <c r="AU483" s="2">
        <v>2</v>
      </c>
      <c r="AV483" s="2">
        <v>3.3</v>
      </c>
      <c r="AW483" s="2">
        <v>14356</v>
      </c>
      <c r="AX483" s="2">
        <v>75022.04959166942</v>
      </c>
      <c r="AY483" s="2">
        <v>69245.59826015502</v>
      </c>
      <c r="AZ483" s="27">
        <v>0</v>
      </c>
      <c r="BA483" s="27">
        <v>0</v>
      </c>
      <c r="BB483" s="2">
        <v>0.6</v>
      </c>
      <c r="BC483" s="30">
        <v>0</v>
      </c>
      <c r="BD483" s="34">
        <v>1</v>
      </c>
      <c r="BE483" s="34">
        <v>0</v>
      </c>
      <c r="BF483" s="40">
        <v>0</v>
      </c>
      <c r="BG483" s="2">
        <v>0</v>
      </c>
      <c r="BH483" s="2">
        <v>1</v>
      </c>
      <c r="BI483" s="40">
        <v>0</v>
      </c>
      <c r="BJ483" s="2">
        <v>0</v>
      </c>
      <c r="BK483" s="2">
        <v>1</v>
      </c>
      <c r="BL483" s="2">
        <v>0</v>
      </c>
      <c r="BM483" s="40">
        <v>0</v>
      </c>
      <c r="BN483" s="958">
        <v>0.1</v>
      </c>
      <c r="BO483" s="50">
        <v>10</v>
      </c>
      <c r="BP483" s="1018">
        <f t="shared" ca="1" si="703"/>
        <v>206.38</v>
      </c>
      <c r="BQ483" s="1018">
        <f t="shared" ca="1" si="704"/>
        <v>308.92399999999992</v>
      </c>
      <c r="BR483" s="1018">
        <f t="shared" ca="1" si="705"/>
        <v>90.07</v>
      </c>
      <c r="BS483" s="1018">
        <f t="shared" ca="1" si="706"/>
        <v>65.974999999999994</v>
      </c>
      <c r="BT483" s="1018">
        <f t="shared" ca="1" si="707"/>
        <v>78.88</v>
      </c>
      <c r="BU483" s="1018">
        <f t="shared" ca="1" si="708"/>
        <v>18</v>
      </c>
      <c r="BV483" s="1018">
        <f t="shared" ca="1" si="709"/>
        <v>7.5250000000000004</v>
      </c>
      <c r="BW483" s="1018">
        <v>0</v>
      </c>
      <c r="BX483" s="1018">
        <f t="shared" ca="1" si="710"/>
        <v>27.307731177362307</v>
      </c>
      <c r="BY483" s="1018">
        <f t="shared" ca="1" si="711"/>
        <v>32.577267739575717</v>
      </c>
      <c r="BZ483" s="1018">
        <f t="shared" ca="1" si="680"/>
        <v>18.887893693903717</v>
      </c>
      <c r="CA483" s="1018">
        <f t="shared" ca="1" si="681"/>
        <v>35.999999985599999</v>
      </c>
      <c r="CB483" s="1018">
        <f t="shared" ca="1" si="712"/>
        <v>15.79675572519084</v>
      </c>
      <c r="CC483" s="1018">
        <f t="shared" si="682"/>
        <v>0</v>
      </c>
      <c r="CD483" s="1018">
        <f t="shared" ca="1" si="715"/>
        <v>156.61464832163256</v>
      </c>
      <c r="CE483" s="1018">
        <f t="shared" ca="1" si="713"/>
        <v>73.770479255404439</v>
      </c>
      <c r="CF483" s="1018">
        <f t="shared" ca="1" si="683"/>
        <v>6.9115538273111099</v>
      </c>
      <c r="CG483" s="1018">
        <f t="shared" ca="1" si="684"/>
        <v>11507.460660319906</v>
      </c>
    </row>
    <row r="484" spans="4:85" x14ac:dyDescent="0.25">
      <c r="D484" s="1"/>
      <c r="F484" s="1"/>
      <c r="G484" s="3"/>
      <c r="H484" s="6"/>
      <c r="I484" s="3"/>
      <c r="J484" s="6"/>
      <c r="K484" s="8"/>
      <c r="L484" s="3"/>
      <c r="M484" s="1" t="s">
        <v>22</v>
      </c>
      <c r="N484" s="4"/>
      <c r="O484" s="1" t="s">
        <v>20</v>
      </c>
      <c r="P484" s="4"/>
      <c r="Q484" s="1" t="s">
        <v>7</v>
      </c>
      <c r="R484" s="4"/>
      <c r="S484" s="1"/>
      <c r="T484" s="77"/>
      <c r="U484" s="294"/>
      <c r="X484" s="176">
        <f t="shared" si="714"/>
        <v>0</v>
      </c>
      <c r="Y484" s="34">
        <f>X484/Calculation_sheet!M$67</f>
        <v>0</v>
      </c>
      <c r="Z484" s="176">
        <f ca="1">IF(AN484&gt;0,Y484*Calculation_sheet!C$87,0)</f>
        <v>0</v>
      </c>
      <c r="AA484" s="176">
        <f t="shared" ca="1" si="700"/>
        <v>0</v>
      </c>
      <c r="AB484" s="176">
        <f ca="1">IF(AP484&gt;0,AA484*Calculation_sheet!C$94,0)</f>
        <v>0</v>
      </c>
      <c r="AC484" s="176">
        <f t="shared" ca="1" si="701"/>
        <v>0</v>
      </c>
      <c r="AD484" s="958">
        <f ca="1">AC484*Calculation_sheet!C$99</f>
        <v>0</v>
      </c>
      <c r="AE484" s="176">
        <f t="shared" ca="1" si="701"/>
        <v>0</v>
      </c>
      <c r="AF484" s="176">
        <f t="shared" ca="1" si="702"/>
        <v>0</v>
      </c>
      <c r="AG484" s="958">
        <f ca="1">AF484*User_sheet!B$77/100</f>
        <v>0</v>
      </c>
      <c r="AH484" s="313"/>
      <c r="AI484" s="3">
        <v>304</v>
      </c>
      <c r="AK484" s="1018">
        <f t="shared" ca="1" si="679"/>
        <v>156.61464832163256</v>
      </c>
      <c r="AL484" s="924">
        <f ca="1">AK484/'304'!I$24</f>
        <v>0.6193607194417281</v>
      </c>
      <c r="AM484" s="924">
        <f ca="1">0.8*(AK484*30+'304'!D$17*0.34*30*1)</f>
        <v>7926.9733997191815</v>
      </c>
      <c r="AN484" s="954">
        <f ca="1">IF(AM484&lt;User_sheet!B$50,Y484,0)</f>
        <v>0</v>
      </c>
      <c r="AO484" s="954">
        <f ca="1">20-(User_sheet!B$57/(AK484+'304'!D$17*1*0.34))</f>
        <v>2.7424676352709554</v>
      </c>
      <c r="AP484" s="954">
        <f ca="1">IF(AO484&lt;User_sheet!B$59,0,BC484*AA484)</f>
        <v>0</v>
      </c>
      <c r="AR484" s="2">
        <v>0.32</v>
      </c>
      <c r="AS484" s="2">
        <v>0.54</v>
      </c>
      <c r="AT484" s="2">
        <v>0.83</v>
      </c>
      <c r="AU484" s="2">
        <v>2</v>
      </c>
      <c r="AV484" s="2">
        <v>3.3</v>
      </c>
      <c r="AW484" s="2">
        <v>14356</v>
      </c>
      <c r="AX484" s="2">
        <v>75022.04959166942</v>
      </c>
      <c r="AY484" s="2">
        <v>69245.59826015502</v>
      </c>
      <c r="AZ484" s="27">
        <v>0</v>
      </c>
      <c r="BA484" s="27">
        <v>0</v>
      </c>
      <c r="BB484" s="2">
        <v>0.6</v>
      </c>
      <c r="BC484" s="30">
        <v>0</v>
      </c>
      <c r="BD484" s="34">
        <v>1</v>
      </c>
      <c r="BE484" s="34">
        <v>0</v>
      </c>
      <c r="BF484" s="40">
        <v>0</v>
      </c>
      <c r="BG484" s="2">
        <v>0</v>
      </c>
      <c r="BH484" s="2">
        <v>1</v>
      </c>
      <c r="BI484" s="40">
        <v>0</v>
      </c>
      <c r="BJ484" s="2">
        <v>0</v>
      </c>
      <c r="BK484" s="2">
        <v>0</v>
      </c>
      <c r="BL484" s="2">
        <v>1</v>
      </c>
      <c r="BM484" s="40">
        <v>0</v>
      </c>
      <c r="BN484" s="958">
        <v>0.1</v>
      </c>
      <c r="BO484" s="50">
        <v>10</v>
      </c>
      <c r="BP484" s="1018">
        <f t="shared" ca="1" si="703"/>
        <v>206.38</v>
      </c>
      <c r="BQ484" s="1018">
        <f t="shared" ca="1" si="704"/>
        <v>308.92399999999992</v>
      </c>
      <c r="BR484" s="1018">
        <f t="shared" ca="1" si="705"/>
        <v>90.07</v>
      </c>
      <c r="BS484" s="1018">
        <f t="shared" ca="1" si="706"/>
        <v>65.974999999999994</v>
      </c>
      <c r="BT484" s="1018">
        <f t="shared" ca="1" si="707"/>
        <v>78.88</v>
      </c>
      <c r="BU484" s="1018">
        <f t="shared" ca="1" si="708"/>
        <v>18</v>
      </c>
      <c r="BV484" s="1018">
        <f t="shared" ca="1" si="709"/>
        <v>7.5250000000000004</v>
      </c>
      <c r="BW484" s="1018">
        <v>0</v>
      </c>
      <c r="BX484" s="1018">
        <f t="shared" ca="1" si="710"/>
        <v>27.307731177362307</v>
      </c>
      <c r="BY484" s="1018">
        <f t="shared" ca="1" si="711"/>
        <v>32.577267739575717</v>
      </c>
      <c r="BZ484" s="1018">
        <f t="shared" ca="1" si="680"/>
        <v>18.887893693903717</v>
      </c>
      <c r="CA484" s="1018">
        <f t="shared" ca="1" si="681"/>
        <v>35.999999985599999</v>
      </c>
      <c r="CB484" s="1018">
        <f t="shared" ca="1" si="712"/>
        <v>15.79675572519084</v>
      </c>
      <c r="CC484" s="1018">
        <f t="shared" si="682"/>
        <v>0</v>
      </c>
      <c r="CD484" s="1018">
        <f t="shared" ca="1" si="715"/>
        <v>156.61464832163256</v>
      </c>
      <c r="CE484" s="1018">
        <f t="shared" ca="1" si="713"/>
        <v>73.770479255404439</v>
      </c>
      <c r="CF484" s="1018">
        <f t="shared" ca="1" si="683"/>
        <v>6.9115538273111099</v>
      </c>
      <c r="CG484" s="1018">
        <f t="shared" ca="1" si="684"/>
        <v>11507.460660319906</v>
      </c>
    </row>
    <row r="485" spans="4:85" x14ac:dyDescent="0.25">
      <c r="D485" s="1"/>
      <c r="F485" s="1"/>
      <c r="G485" s="3"/>
      <c r="H485" s="6"/>
      <c r="I485" s="3"/>
      <c r="J485" s="6"/>
      <c r="K485" s="8"/>
      <c r="L485" s="7"/>
      <c r="M485" s="1" t="s">
        <v>7</v>
      </c>
      <c r="N485" s="4"/>
      <c r="O485" s="1" t="s">
        <v>23</v>
      </c>
      <c r="P485" s="4"/>
      <c r="Q485" s="1" t="s">
        <v>7</v>
      </c>
      <c r="R485" s="4"/>
      <c r="S485" s="1"/>
      <c r="T485" s="77"/>
      <c r="U485" s="294"/>
      <c r="X485" s="176">
        <f t="shared" si="714"/>
        <v>0</v>
      </c>
      <c r="Y485" s="34">
        <f>X485/Calculation_sheet!M$67</f>
        <v>0</v>
      </c>
      <c r="Z485" s="176">
        <f ca="1">IF(AN485&gt;0,Y485*Calculation_sheet!C$87,0)</f>
        <v>0</v>
      </c>
      <c r="AA485" s="176">
        <f t="shared" ca="1" si="700"/>
        <v>0</v>
      </c>
      <c r="AB485" s="176">
        <f ca="1">IF(AP485&gt;0,AA485*Calculation_sheet!C$94,0)</f>
        <v>0</v>
      </c>
      <c r="AC485" s="176">
        <f t="shared" ca="1" si="701"/>
        <v>0</v>
      </c>
      <c r="AD485" s="958">
        <f ca="1">AC485*Calculation_sheet!C$99</f>
        <v>0</v>
      </c>
      <c r="AE485" s="176">
        <f t="shared" ca="1" si="701"/>
        <v>0</v>
      </c>
      <c r="AF485" s="176">
        <f t="shared" ca="1" si="702"/>
        <v>0</v>
      </c>
      <c r="AG485" s="958">
        <f ca="1">AF485*User_sheet!B$77/100</f>
        <v>0</v>
      </c>
      <c r="AH485" s="313"/>
      <c r="AI485" s="3">
        <v>304</v>
      </c>
      <c r="AK485" s="1018">
        <f t="shared" ca="1" si="679"/>
        <v>156.61464832163256</v>
      </c>
      <c r="AL485" s="924">
        <f ca="1">AK485/'304'!I$24</f>
        <v>0.6193607194417281</v>
      </c>
      <c r="AM485" s="924">
        <f ca="1">0.8*(AK485*30+'304'!D$17*0.34*30*1)</f>
        <v>7926.9733997191815</v>
      </c>
      <c r="AN485" s="954">
        <f ca="1">IF(AM485&lt;User_sheet!B$50,Y485,0)</f>
        <v>0</v>
      </c>
      <c r="AO485" s="954">
        <f ca="1">20-(User_sheet!B$57/(AK485+'304'!D$17*1*0.34))</f>
        <v>2.7424676352709554</v>
      </c>
      <c r="AP485" s="954">
        <f ca="1">IF(AO485&lt;User_sheet!B$59,0,BC485*AA485)</f>
        <v>0</v>
      </c>
      <c r="AR485" s="2">
        <v>0.32</v>
      </c>
      <c r="AS485" s="2">
        <v>0.54</v>
      </c>
      <c r="AT485" s="2">
        <v>0.83</v>
      </c>
      <c r="AU485" s="2">
        <v>2</v>
      </c>
      <c r="AV485" s="2">
        <v>3.3</v>
      </c>
      <c r="AW485" s="2">
        <v>14356</v>
      </c>
      <c r="AX485" s="2">
        <v>75022.04959166942</v>
      </c>
      <c r="AY485" s="2">
        <v>69245.59826015502</v>
      </c>
      <c r="AZ485" s="27">
        <v>0</v>
      </c>
      <c r="BA485" s="27">
        <v>0</v>
      </c>
      <c r="BB485" s="2">
        <v>0.6</v>
      </c>
      <c r="BC485" s="30">
        <v>0</v>
      </c>
      <c r="BD485" s="34">
        <v>0</v>
      </c>
      <c r="BE485" s="34">
        <v>1</v>
      </c>
      <c r="BF485" s="40">
        <v>0</v>
      </c>
      <c r="BG485" s="2">
        <v>0</v>
      </c>
      <c r="BH485" s="2">
        <v>0</v>
      </c>
      <c r="BI485" s="40">
        <v>1</v>
      </c>
      <c r="BJ485" s="2">
        <v>0</v>
      </c>
      <c r="BK485" s="2">
        <v>0</v>
      </c>
      <c r="BL485" s="2">
        <v>1</v>
      </c>
      <c r="BM485" s="40">
        <v>0</v>
      </c>
      <c r="BN485" s="958">
        <v>0.1</v>
      </c>
      <c r="BO485" s="50">
        <v>10</v>
      </c>
      <c r="BP485" s="1018">
        <f t="shared" ca="1" si="703"/>
        <v>206.38</v>
      </c>
      <c r="BQ485" s="1018">
        <f t="shared" ca="1" si="704"/>
        <v>308.92399999999992</v>
      </c>
      <c r="BR485" s="1018">
        <f t="shared" ca="1" si="705"/>
        <v>90.07</v>
      </c>
      <c r="BS485" s="1018">
        <f t="shared" ca="1" si="706"/>
        <v>65.974999999999994</v>
      </c>
      <c r="BT485" s="1018">
        <f t="shared" ca="1" si="707"/>
        <v>78.88</v>
      </c>
      <c r="BU485" s="1018">
        <f t="shared" ca="1" si="708"/>
        <v>18</v>
      </c>
      <c r="BV485" s="1018">
        <f t="shared" ca="1" si="709"/>
        <v>7.5250000000000004</v>
      </c>
      <c r="BW485" s="1018">
        <v>0</v>
      </c>
      <c r="BX485" s="1018">
        <f t="shared" ca="1" si="710"/>
        <v>27.307731177362307</v>
      </c>
      <c r="BY485" s="1018">
        <f t="shared" ca="1" si="711"/>
        <v>32.577267739575717</v>
      </c>
      <c r="BZ485" s="1018">
        <f t="shared" ca="1" si="680"/>
        <v>18.887893693903717</v>
      </c>
      <c r="CA485" s="1018">
        <f t="shared" ca="1" si="681"/>
        <v>35.999999985599999</v>
      </c>
      <c r="CB485" s="1018">
        <f t="shared" ca="1" si="712"/>
        <v>15.79675572519084</v>
      </c>
      <c r="CC485" s="1018">
        <f t="shared" si="682"/>
        <v>0</v>
      </c>
      <c r="CD485" s="1018">
        <f t="shared" ca="1" si="715"/>
        <v>156.61464832163256</v>
      </c>
      <c r="CE485" s="1018">
        <f t="shared" ca="1" si="713"/>
        <v>73.770479255404439</v>
      </c>
      <c r="CF485" s="1018">
        <f t="shared" ca="1" si="683"/>
        <v>6.9115538273111099</v>
      </c>
      <c r="CG485" s="1018">
        <f t="shared" ca="1" si="684"/>
        <v>11507.460660319906</v>
      </c>
    </row>
    <row r="486" spans="4:85" s="11" customFormat="1" x14ac:dyDescent="0.25">
      <c r="D486" s="12"/>
      <c r="F486" s="12"/>
      <c r="H486" s="12"/>
      <c r="J486" s="12"/>
      <c r="K486" s="13"/>
      <c r="L486" s="12"/>
      <c r="M486" s="12"/>
      <c r="N486" s="12"/>
      <c r="O486" s="12"/>
      <c r="P486" s="12"/>
      <c r="Q486" s="12"/>
      <c r="R486" s="12"/>
      <c r="S486" s="12"/>
      <c r="T486" s="82"/>
      <c r="U486" s="289"/>
      <c r="V486" s="293"/>
      <c r="W486" s="292"/>
      <c r="X486" s="292"/>
      <c r="Y486" s="277"/>
      <c r="Z486" s="292"/>
      <c r="AA486" s="292"/>
      <c r="AB486" s="292"/>
      <c r="AC486" s="292"/>
      <c r="AD486" s="277"/>
      <c r="AE486" s="292"/>
      <c r="AF486" s="292"/>
      <c r="AG486" s="277"/>
      <c r="AH486" s="313"/>
      <c r="AJ486" s="314"/>
      <c r="AK486" s="1018">
        <f t="shared" si="679"/>
        <v>0</v>
      </c>
      <c r="AL486" s="946"/>
      <c r="AM486" s="946"/>
      <c r="AN486" s="955"/>
      <c r="AO486" s="955"/>
      <c r="AP486" s="955"/>
      <c r="AQ486" s="314"/>
      <c r="AR486" s="28"/>
      <c r="AS486" s="28"/>
      <c r="AT486" s="28"/>
      <c r="AU486" s="28"/>
      <c r="AV486" s="28"/>
      <c r="AW486" s="28"/>
      <c r="AX486" s="28"/>
      <c r="AY486" s="28"/>
      <c r="AZ486" s="28"/>
      <c r="BA486" s="28"/>
      <c r="BB486" s="28"/>
      <c r="BC486" s="45"/>
      <c r="BD486" s="277"/>
      <c r="BE486" s="277"/>
      <c r="BF486" s="49"/>
      <c r="BG486" s="28"/>
      <c r="BH486" s="28"/>
      <c r="BI486" s="49"/>
      <c r="BJ486" s="28"/>
      <c r="BK486" s="28"/>
      <c r="BL486" s="28"/>
      <c r="BM486" s="49"/>
      <c r="BN486" s="277"/>
      <c r="BO486" s="49"/>
      <c r="BP486" s="946"/>
      <c r="BQ486" s="946"/>
      <c r="BR486" s="946"/>
      <c r="BS486" s="946"/>
      <c r="BT486" s="946"/>
      <c r="BU486" s="946"/>
      <c r="BV486" s="946"/>
      <c r="BW486" s="946"/>
      <c r="BX486" s="946"/>
      <c r="BY486" s="946"/>
      <c r="BZ486" s="946"/>
      <c r="CA486" s="946"/>
      <c r="CB486" s="946"/>
      <c r="CC486" s="946"/>
      <c r="CD486" s="946"/>
      <c r="CE486" s="946"/>
      <c r="CF486" s="946"/>
      <c r="CG486" s="946"/>
    </row>
    <row r="487" spans="4:85" s="3" customFormat="1" x14ac:dyDescent="0.25">
      <c r="D487" s="6"/>
      <c r="F487" s="6"/>
      <c r="H487" s="6"/>
      <c r="J487" s="6"/>
      <c r="K487" s="8"/>
      <c r="L487" s="6"/>
      <c r="M487" s="6"/>
      <c r="N487" s="6"/>
      <c r="O487" s="6"/>
      <c r="P487" s="6"/>
      <c r="Q487" s="6" t="s">
        <v>16</v>
      </c>
      <c r="R487" s="4"/>
      <c r="S487" s="1"/>
      <c r="T487" s="79"/>
      <c r="U487" s="274"/>
      <c r="V487" s="200"/>
      <c r="W487" s="176">
        <f t="shared" ref="W487:W495" si="716">V467-W467+V447-W447</f>
        <v>0</v>
      </c>
      <c r="X487" s="176">
        <f>W487</f>
        <v>0</v>
      </c>
      <c r="Y487" s="34">
        <f>X487/Calculation_sheet!M$67</f>
        <v>0</v>
      </c>
      <c r="Z487" s="176">
        <f ca="1">IF(AN487&gt;0,Y487*Calculation_sheet!C$87,0)</f>
        <v>0</v>
      </c>
      <c r="AA487" s="176">
        <f t="shared" ref="AA487:AA495" ca="1" si="717">Y487-Z487</f>
        <v>0</v>
      </c>
      <c r="AB487" s="176">
        <f ca="1">IF(AP487&gt;0,AA487*Calculation_sheet!C$94,0)</f>
        <v>0</v>
      </c>
      <c r="AC487" s="176">
        <f t="shared" ref="AC487:AE495" ca="1" si="718">AA487-AB487</f>
        <v>0</v>
      </c>
      <c r="AD487" s="958">
        <f ca="1">AC487*Calculation_sheet!C$99</f>
        <v>0</v>
      </c>
      <c r="AE487" s="176">
        <f t="shared" ca="1" si="718"/>
        <v>0</v>
      </c>
      <c r="AF487" s="176">
        <f t="shared" ref="AF487:AF502" ca="1" si="719">Y487-AB487</f>
        <v>0</v>
      </c>
      <c r="AG487" s="958">
        <f ca="1">AF487*User_sheet!B$77/100</f>
        <v>0</v>
      </c>
      <c r="AH487" s="313"/>
      <c r="AI487" s="3">
        <v>304</v>
      </c>
      <c r="AJ487" s="314"/>
      <c r="AK487" s="1018">
        <f t="shared" ca="1" si="679"/>
        <v>121.13162995801292</v>
      </c>
      <c r="AL487" s="924">
        <f ca="1">AK487/'304'!I$24</f>
        <v>0.4790367585787394</v>
      </c>
      <c r="AM487" s="924">
        <f ca="1">0.8*(AK487*30+'304'!D$17*0.34*30*1)</f>
        <v>7075.3809589923103</v>
      </c>
      <c r="AN487" s="954">
        <f ca="1">IF(AM487&lt;User_sheet!B$50,Y487,0)</f>
        <v>0</v>
      </c>
      <c r="AO487" s="954">
        <f ca="1">20-(User_sheet!B$57/(AK487+'304'!D$17*1*0.34))</f>
        <v>0.66535204353387556</v>
      </c>
      <c r="AP487" s="954">
        <f ca="1">IF(AO487&lt;User_sheet!B$59,0,BC487*AA487)</f>
        <v>0</v>
      </c>
      <c r="AQ487" s="314"/>
      <c r="AR487" s="2">
        <v>0.32</v>
      </c>
      <c r="AS487" s="2">
        <v>0.43</v>
      </c>
      <c r="AT487" s="2">
        <v>0.43</v>
      </c>
      <c r="AU487" s="2">
        <v>2</v>
      </c>
      <c r="AV487" s="2">
        <v>3.3</v>
      </c>
      <c r="AW487" s="2">
        <v>14356</v>
      </c>
      <c r="AX487" s="2">
        <v>74834</v>
      </c>
      <c r="AY487" s="2">
        <v>69246</v>
      </c>
      <c r="AZ487" s="27">
        <v>0</v>
      </c>
      <c r="BA487" s="27">
        <v>0</v>
      </c>
      <c r="BB487" s="2">
        <v>0.6</v>
      </c>
      <c r="BC487" s="30">
        <v>1</v>
      </c>
      <c r="BD487" s="34">
        <v>0</v>
      </c>
      <c r="BE487" s="34">
        <v>0</v>
      </c>
      <c r="BF487" s="40">
        <v>0</v>
      </c>
      <c r="BG487" s="2">
        <v>1</v>
      </c>
      <c r="BH487" s="2">
        <v>0</v>
      </c>
      <c r="BI487" s="40">
        <v>0</v>
      </c>
      <c r="BJ487" s="2">
        <v>1</v>
      </c>
      <c r="BK487" s="2">
        <v>0</v>
      </c>
      <c r="BL487" s="2">
        <v>0</v>
      </c>
      <c r="BM487" s="40">
        <v>0</v>
      </c>
      <c r="BN487" s="958">
        <v>0.02</v>
      </c>
      <c r="BO487" s="959">
        <v>2.5</v>
      </c>
      <c r="BP487" s="1018">
        <f t="shared" ref="BP487:BP495" ca="1" si="720">INDIRECT("'"&amp;AI487&amp;"'!"&amp;"B2")</f>
        <v>206.38</v>
      </c>
      <c r="BQ487" s="1018">
        <f t="shared" ref="BQ487:BQ495" ca="1" si="721">INDIRECT("'"&amp;AI487&amp;"'!"&amp;"C12")+INDIRECT("'"&amp;AI487&amp;"'!"&amp;"C13")+INDIRECT("'"&amp;AI487&amp;"'!"&amp;"C14")+INDIRECT("'"&amp;AI487&amp;"'!"&amp;"C15")+INDIRECT("'"&amp;AI487&amp;"'!"&amp;"C17")</f>
        <v>308.92399999999992</v>
      </c>
      <c r="BR487" s="1018">
        <f t="shared" ref="BR487:BR495" ca="1" si="722">INDIRECT("'"&amp;AI487&amp;"'!"&amp;"G5")</f>
        <v>90.07</v>
      </c>
      <c r="BS487" s="1018">
        <f t="shared" ref="BS487:BS495" ca="1" si="723">INDIRECT("'"&amp;AI487&amp;"'!"&amp;"G4")</f>
        <v>65.974999999999994</v>
      </c>
      <c r="BT487" s="1018">
        <f t="shared" ref="BT487:BT495" ca="1" si="724">INDIRECT("'"&amp;AI487&amp;"'!"&amp;"G6")</f>
        <v>78.88</v>
      </c>
      <c r="BU487" s="1018">
        <f t="shared" ref="BU487:BU495" ca="1" si="725">INDIRECT("'"&amp;AI487&amp;"'!"&amp;"G2")</f>
        <v>18</v>
      </c>
      <c r="BV487" s="1018">
        <f t="shared" ref="BV487:BV495" ca="1" si="726">INDIRECT("'"&amp;AI487&amp;"'!"&amp;"G3")</f>
        <v>7.5250000000000004</v>
      </c>
      <c r="BW487" s="1018">
        <v>0</v>
      </c>
      <c r="BX487" s="1018">
        <f t="shared" ref="BX487:BX495" ca="1" si="727">IF(BR487=0,0,1/(1/(BR487*$BY$3)+1/(BR487*AR487)+1/(BR487*$BY$4)))</f>
        <v>27.307731177362307</v>
      </c>
      <c r="BY487" s="1018">
        <f t="shared" ref="BY487:BY495" ca="1" si="728">IF(BS487=0,0,1/(1/(BS487*$BY$3)+1/(BS487*AS487)+1/(BS487*$BY$4)))</f>
        <v>26.40146109939198</v>
      </c>
      <c r="BZ487" s="1018">
        <f t="shared" ca="1" si="680"/>
        <v>10.416681970467799</v>
      </c>
      <c r="CA487" s="1018">
        <f t="shared" ca="1" si="681"/>
        <v>35.999999985599999</v>
      </c>
      <c r="CB487" s="1018">
        <f t="shared" ref="CB487:CB495" ca="1" si="729">IF(BV487=0,0,1/(1/(BV487*$BY$3)+1/(BV487*AV487)+1/(BV487*$BY$4)))</f>
        <v>15.79675572519084</v>
      </c>
      <c r="CC487" s="1018">
        <f t="shared" si="682"/>
        <v>0</v>
      </c>
      <c r="CD487" s="1018">
        <f ca="1">SUM(BX487:CC487)+(BR487+BS487+BT487+BU487+BV487)*BN487</f>
        <v>121.13162995801292</v>
      </c>
      <c r="CE487" s="1018">
        <f t="shared" ref="CE487:CE495" ca="1" si="730">0.34*BO487*(1/25)^0.66*(BR487+BS487+BU487+BV487)+0.6*BQ487*0.34</f>
        <v>81.46311581385109</v>
      </c>
      <c r="CF487" s="1018">
        <f t="shared" ca="1" si="683"/>
        <v>6.0778423731559208</v>
      </c>
      <c r="CG487" s="1018">
        <f t="shared" ca="1" si="684"/>
        <v>10119.36443760968</v>
      </c>
    </row>
    <row r="488" spans="4:85" s="3" customFormat="1" x14ac:dyDescent="0.25">
      <c r="D488" s="6"/>
      <c r="F488" s="6"/>
      <c r="H488" s="6"/>
      <c r="J488" s="6"/>
      <c r="K488" s="8"/>
      <c r="L488" s="6"/>
      <c r="M488" s="6"/>
      <c r="N488" s="6"/>
      <c r="O488" s="6" t="s">
        <v>18</v>
      </c>
      <c r="P488" s="4"/>
      <c r="Q488" s="6" t="s">
        <v>7</v>
      </c>
      <c r="R488" s="4"/>
      <c r="S488" s="1"/>
      <c r="T488" s="79"/>
      <c r="U488" s="274"/>
      <c r="V488" s="200"/>
      <c r="W488" s="176">
        <f t="shared" si="716"/>
        <v>0</v>
      </c>
      <c r="X488" s="176">
        <f t="shared" ref="X488:X495" si="731">W488</f>
        <v>0</v>
      </c>
      <c r="Y488" s="34">
        <f>X488/Calculation_sheet!M$67</f>
        <v>0</v>
      </c>
      <c r="Z488" s="176">
        <f ca="1">IF(AN488&gt;0,Y488*Calculation_sheet!C$87,0)</f>
        <v>0</v>
      </c>
      <c r="AA488" s="176">
        <f t="shared" ca="1" si="717"/>
        <v>0</v>
      </c>
      <c r="AB488" s="176">
        <f ca="1">IF(AP488&gt;0,AA488*Calculation_sheet!C$94,0)</f>
        <v>0</v>
      </c>
      <c r="AC488" s="176">
        <f t="shared" ca="1" si="718"/>
        <v>0</v>
      </c>
      <c r="AD488" s="958">
        <f ca="1">AC488*Calculation_sheet!C$99</f>
        <v>0</v>
      </c>
      <c r="AE488" s="176">
        <f t="shared" ca="1" si="718"/>
        <v>0</v>
      </c>
      <c r="AF488" s="176">
        <f t="shared" ca="1" si="719"/>
        <v>0</v>
      </c>
      <c r="AG488" s="958">
        <f ca="1">AF488*User_sheet!B$77/100</f>
        <v>0</v>
      </c>
      <c r="AH488" s="313"/>
      <c r="AI488" s="3">
        <v>304</v>
      </c>
      <c r="AJ488" s="314"/>
      <c r="AK488" s="1018">
        <f t="shared" ca="1" si="679"/>
        <v>121.13162995801292</v>
      </c>
      <c r="AL488" s="924">
        <f ca="1">AK488/'304'!I$24</f>
        <v>0.4790367585787394</v>
      </c>
      <c r="AM488" s="924">
        <f ca="1">0.8*(AK488*30+'304'!D$17*0.34*30*1)</f>
        <v>7075.3809589923103</v>
      </c>
      <c r="AN488" s="954">
        <f ca="1">IF(AM488&lt;User_sheet!B$50,Y488,0)</f>
        <v>0</v>
      </c>
      <c r="AO488" s="954">
        <f ca="1">20-(User_sheet!B$57/(AK488+'304'!D$17*1*0.34))</f>
        <v>0.66535204353387556</v>
      </c>
      <c r="AP488" s="954">
        <f ca="1">IF(AO488&lt;User_sheet!B$59,0,BC488*AA488)</f>
        <v>0</v>
      </c>
      <c r="AQ488" s="314"/>
      <c r="AR488" s="2">
        <v>0.32</v>
      </c>
      <c r="AS488" s="2">
        <v>0.43</v>
      </c>
      <c r="AT488" s="2">
        <v>0.43</v>
      </c>
      <c r="AU488" s="2">
        <v>2</v>
      </c>
      <c r="AV488" s="2">
        <v>3.3</v>
      </c>
      <c r="AW488" s="2">
        <v>14356</v>
      </c>
      <c r="AX488" s="2">
        <v>74834</v>
      </c>
      <c r="AY488" s="2">
        <v>69246</v>
      </c>
      <c r="AZ488" s="27">
        <v>0</v>
      </c>
      <c r="BA488" s="27">
        <v>0</v>
      </c>
      <c r="BB488" s="2">
        <v>0.6</v>
      </c>
      <c r="BC488" s="30">
        <v>1</v>
      </c>
      <c r="BD488" s="34">
        <v>0</v>
      </c>
      <c r="BE488" s="34">
        <v>0</v>
      </c>
      <c r="BF488" s="40">
        <v>0</v>
      </c>
      <c r="BG488" s="2">
        <v>1</v>
      </c>
      <c r="BH488" s="2">
        <v>0</v>
      </c>
      <c r="BI488" s="40">
        <v>0</v>
      </c>
      <c r="BJ488" s="2">
        <v>0</v>
      </c>
      <c r="BK488" s="2">
        <v>0</v>
      </c>
      <c r="BL488" s="2">
        <v>1</v>
      </c>
      <c r="BM488" s="40">
        <v>0</v>
      </c>
      <c r="BN488" s="958">
        <v>0.02</v>
      </c>
      <c r="BO488" s="959">
        <v>2.5</v>
      </c>
      <c r="BP488" s="1018">
        <f t="shared" ca="1" si="720"/>
        <v>206.38</v>
      </c>
      <c r="BQ488" s="1018">
        <f t="shared" ca="1" si="721"/>
        <v>308.92399999999992</v>
      </c>
      <c r="BR488" s="1018">
        <f t="shared" ca="1" si="722"/>
        <v>90.07</v>
      </c>
      <c r="BS488" s="1018">
        <f t="shared" ca="1" si="723"/>
        <v>65.974999999999994</v>
      </c>
      <c r="BT488" s="1018">
        <f t="shared" ca="1" si="724"/>
        <v>78.88</v>
      </c>
      <c r="BU488" s="1018">
        <f t="shared" ca="1" si="725"/>
        <v>18</v>
      </c>
      <c r="BV488" s="1018">
        <f t="shared" ca="1" si="726"/>
        <v>7.5250000000000004</v>
      </c>
      <c r="BW488" s="1018">
        <v>0</v>
      </c>
      <c r="BX488" s="1018">
        <f t="shared" ca="1" si="727"/>
        <v>27.307731177362307</v>
      </c>
      <c r="BY488" s="1018">
        <f t="shared" ca="1" si="728"/>
        <v>26.40146109939198</v>
      </c>
      <c r="BZ488" s="1018">
        <f t="shared" ca="1" si="680"/>
        <v>10.416681970467799</v>
      </c>
      <c r="CA488" s="1018">
        <f t="shared" ca="1" si="681"/>
        <v>35.999999985599999</v>
      </c>
      <c r="CB488" s="1018">
        <f t="shared" ca="1" si="729"/>
        <v>15.79675572519084</v>
      </c>
      <c r="CC488" s="1018">
        <f t="shared" si="682"/>
        <v>0</v>
      </c>
      <c r="CD488" s="1018">
        <f t="shared" ref="CD488:CD495" ca="1" si="732">SUM(BX488:CC488)+(BR488+BS488+BT488+BU488+BV488)*BN488</f>
        <v>121.13162995801292</v>
      </c>
      <c r="CE488" s="1018">
        <f t="shared" ca="1" si="730"/>
        <v>81.46311581385109</v>
      </c>
      <c r="CF488" s="1018">
        <f t="shared" ca="1" si="683"/>
        <v>6.0778423731559208</v>
      </c>
      <c r="CG488" s="1018">
        <f t="shared" ca="1" si="684"/>
        <v>10119.36443760968</v>
      </c>
    </row>
    <row r="489" spans="4:85" s="3" customFormat="1" x14ac:dyDescent="0.25">
      <c r="D489" s="6"/>
      <c r="F489" s="6"/>
      <c r="H489" s="6"/>
      <c r="J489" s="6"/>
      <c r="K489" s="8"/>
      <c r="L489" s="6"/>
      <c r="M489" s="6"/>
      <c r="N489" s="6"/>
      <c r="O489" s="6"/>
      <c r="P489" s="6"/>
      <c r="Q489" s="6" t="s">
        <v>16</v>
      </c>
      <c r="R489" s="4"/>
      <c r="S489" s="1"/>
      <c r="T489" s="79"/>
      <c r="U489" s="274"/>
      <c r="V489" s="200"/>
      <c r="W489" s="176">
        <f t="shared" si="716"/>
        <v>0</v>
      </c>
      <c r="X489" s="176">
        <f t="shared" si="731"/>
        <v>0</v>
      </c>
      <c r="Y489" s="34">
        <f>X489/Calculation_sheet!M$67</f>
        <v>0</v>
      </c>
      <c r="Z489" s="176">
        <f ca="1">IF(AN489&gt;0,Y489*Calculation_sheet!C$87,0)</f>
        <v>0</v>
      </c>
      <c r="AA489" s="176">
        <f t="shared" ca="1" si="717"/>
        <v>0</v>
      </c>
      <c r="AB489" s="176">
        <f ca="1">IF(AP489&gt;0,AA489*Calculation_sheet!C$94,0)</f>
        <v>0</v>
      </c>
      <c r="AC489" s="176">
        <f t="shared" ca="1" si="718"/>
        <v>0</v>
      </c>
      <c r="AD489" s="958">
        <f ca="1">AC489*Calculation_sheet!C$99</f>
        <v>0</v>
      </c>
      <c r="AE489" s="176">
        <f t="shared" ca="1" si="718"/>
        <v>0</v>
      </c>
      <c r="AF489" s="176">
        <f t="shared" ca="1" si="719"/>
        <v>0</v>
      </c>
      <c r="AG489" s="958">
        <f ca="1">AF489*User_sheet!B$77/100</f>
        <v>0</v>
      </c>
      <c r="AH489" s="313"/>
      <c r="AI489" s="3">
        <v>304</v>
      </c>
      <c r="AJ489" s="314"/>
      <c r="AK489" s="1018">
        <f t="shared" ca="1" si="679"/>
        <v>121.13162995801292</v>
      </c>
      <c r="AL489" s="924">
        <f ca="1">AK489/'304'!I$24</f>
        <v>0.4790367585787394</v>
      </c>
      <c r="AM489" s="924">
        <f ca="1">0.8*(AK489*30+'304'!D$17*0.34*30*1)</f>
        <v>7075.3809589923103</v>
      </c>
      <c r="AN489" s="954">
        <f ca="1">IF(AM489&lt;User_sheet!B$50,Y489,0)</f>
        <v>0</v>
      </c>
      <c r="AO489" s="954">
        <f ca="1">20-(User_sheet!B$57/(AK489+'304'!D$17*1*0.34))</f>
        <v>0.66535204353387556</v>
      </c>
      <c r="AP489" s="954">
        <f ca="1">IF(AO489&lt;User_sheet!B$59,0,BC489*AA489)</f>
        <v>0</v>
      </c>
      <c r="AQ489" s="314"/>
      <c r="AR489" s="2">
        <v>0.32</v>
      </c>
      <c r="AS489" s="2">
        <v>0.43</v>
      </c>
      <c r="AT489" s="2">
        <v>0.43</v>
      </c>
      <c r="AU489" s="2">
        <v>2</v>
      </c>
      <c r="AV489" s="2">
        <v>3.3</v>
      </c>
      <c r="AW489" s="2">
        <v>14356</v>
      </c>
      <c r="AX489" s="2">
        <v>74834</v>
      </c>
      <c r="AY489" s="2">
        <v>69246</v>
      </c>
      <c r="AZ489" s="27">
        <v>0</v>
      </c>
      <c r="BA489" s="27">
        <v>0</v>
      </c>
      <c r="BB489" s="2">
        <v>0.6</v>
      </c>
      <c r="BC489" s="30">
        <v>1</v>
      </c>
      <c r="BD489" s="34">
        <v>0</v>
      </c>
      <c r="BE489" s="34">
        <v>0</v>
      </c>
      <c r="BF489" s="40">
        <v>0</v>
      </c>
      <c r="BG489" s="2">
        <v>0</v>
      </c>
      <c r="BH489" s="2">
        <v>1</v>
      </c>
      <c r="BI489" s="40">
        <v>0</v>
      </c>
      <c r="BJ489" s="2">
        <v>1</v>
      </c>
      <c r="BK489" s="2">
        <v>0</v>
      </c>
      <c r="BL489" s="2">
        <v>0</v>
      </c>
      <c r="BM489" s="40">
        <v>0</v>
      </c>
      <c r="BN489" s="958">
        <v>0.02</v>
      </c>
      <c r="BO489" s="959">
        <v>2.5</v>
      </c>
      <c r="BP489" s="1018">
        <f t="shared" ca="1" si="720"/>
        <v>206.38</v>
      </c>
      <c r="BQ489" s="1018">
        <f t="shared" ca="1" si="721"/>
        <v>308.92399999999992</v>
      </c>
      <c r="BR489" s="1018">
        <f t="shared" ca="1" si="722"/>
        <v>90.07</v>
      </c>
      <c r="BS489" s="1018">
        <f t="shared" ca="1" si="723"/>
        <v>65.974999999999994</v>
      </c>
      <c r="BT489" s="1018">
        <f t="shared" ca="1" si="724"/>
        <v>78.88</v>
      </c>
      <c r="BU489" s="1018">
        <f t="shared" ca="1" si="725"/>
        <v>18</v>
      </c>
      <c r="BV489" s="1018">
        <f t="shared" ca="1" si="726"/>
        <v>7.5250000000000004</v>
      </c>
      <c r="BW489" s="1018">
        <v>0</v>
      </c>
      <c r="BX489" s="1018">
        <f t="shared" ca="1" si="727"/>
        <v>27.307731177362307</v>
      </c>
      <c r="BY489" s="1018">
        <f t="shared" ca="1" si="728"/>
        <v>26.40146109939198</v>
      </c>
      <c r="BZ489" s="1018">
        <f t="shared" ca="1" si="680"/>
        <v>10.416681970467799</v>
      </c>
      <c r="CA489" s="1018">
        <f t="shared" ca="1" si="681"/>
        <v>35.999999985599999</v>
      </c>
      <c r="CB489" s="1018">
        <f t="shared" ca="1" si="729"/>
        <v>15.79675572519084</v>
      </c>
      <c r="CC489" s="1018">
        <f t="shared" si="682"/>
        <v>0</v>
      </c>
      <c r="CD489" s="1018">
        <f t="shared" ca="1" si="732"/>
        <v>121.13162995801292</v>
      </c>
      <c r="CE489" s="1018">
        <f t="shared" ca="1" si="730"/>
        <v>81.46311581385109</v>
      </c>
      <c r="CF489" s="1018">
        <f t="shared" ca="1" si="683"/>
        <v>6.0778423731559208</v>
      </c>
      <c r="CG489" s="1018">
        <f t="shared" ca="1" si="684"/>
        <v>10119.36443760968</v>
      </c>
    </row>
    <row r="490" spans="4:85" x14ac:dyDescent="0.25">
      <c r="D490" s="1"/>
      <c r="F490" s="1"/>
      <c r="G490" s="3"/>
      <c r="H490" s="6"/>
      <c r="I490" s="3"/>
      <c r="J490" s="3" t="s">
        <v>143</v>
      </c>
      <c r="K490" s="8"/>
      <c r="L490" s="6"/>
      <c r="M490" s="6" t="s">
        <v>16</v>
      </c>
      <c r="N490" s="4"/>
      <c r="O490" s="6" t="s">
        <v>19</v>
      </c>
      <c r="P490" s="4"/>
      <c r="Q490" s="6" t="s">
        <v>7</v>
      </c>
      <c r="R490" s="4"/>
      <c r="S490" s="1"/>
      <c r="T490" s="77"/>
      <c r="W490" s="176">
        <f t="shared" si="716"/>
        <v>0</v>
      </c>
      <c r="X490" s="176">
        <f t="shared" si="731"/>
        <v>0</v>
      </c>
      <c r="Y490" s="34">
        <f>X490/Calculation_sheet!M$67</f>
        <v>0</v>
      </c>
      <c r="Z490" s="176">
        <f ca="1">IF(AN490&gt;0,Y490*Calculation_sheet!C$87,0)</f>
        <v>0</v>
      </c>
      <c r="AA490" s="176">
        <f t="shared" ca="1" si="717"/>
        <v>0</v>
      </c>
      <c r="AB490" s="176">
        <f ca="1">IF(AP490&gt;0,AA490*Calculation_sheet!C$94,0)</f>
        <v>0</v>
      </c>
      <c r="AC490" s="176">
        <f t="shared" ca="1" si="718"/>
        <v>0</v>
      </c>
      <c r="AD490" s="958">
        <f ca="1">AC490*Calculation_sheet!C$99</f>
        <v>0</v>
      </c>
      <c r="AE490" s="176">
        <f t="shared" ca="1" si="718"/>
        <v>0</v>
      </c>
      <c r="AF490" s="176">
        <f t="shared" ca="1" si="719"/>
        <v>0</v>
      </c>
      <c r="AG490" s="958">
        <f ca="1">AF490*User_sheet!B$77/100</f>
        <v>0</v>
      </c>
      <c r="AH490" s="313"/>
      <c r="AI490" s="3">
        <v>304</v>
      </c>
      <c r="AK490" s="1018">
        <f t="shared" ca="1" si="679"/>
        <v>121.13162995801292</v>
      </c>
      <c r="AL490" s="924">
        <f ca="1">AK490/'304'!I$24</f>
        <v>0.4790367585787394</v>
      </c>
      <c r="AM490" s="924">
        <f ca="1">0.8*(AK490*30+'304'!D$17*0.34*30*1)</f>
        <v>7075.3809589923103</v>
      </c>
      <c r="AN490" s="954">
        <f ca="1">IF(AM490&lt;User_sheet!B$50,Y490,0)</f>
        <v>0</v>
      </c>
      <c r="AO490" s="954">
        <f ca="1">20-(User_sheet!B$57/(AK490+'304'!D$17*1*0.34))</f>
        <v>0.66535204353387556</v>
      </c>
      <c r="AP490" s="954">
        <f ca="1">IF(AO490&lt;User_sheet!B$59,0,BC490*AA490)</f>
        <v>0</v>
      </c>
      <c r="AR490" s="2">
        <v>0.32</v>
      </c>
      <c r="AS490" s="2">
        <v>0.43</v>
      </c>
      <c r="AT490" s="2">
        <v>0.43</v>
      </c>
      <c r="AU490" s="2">
        <v>2</v>
      </c>
      <c r="AV490" s="2">
        <v>3.3</v>
      </c>
      <c r="AW490" s="2">
        <v>14356</v>
      </c>
      <c r="AX490" s="2">
        <v>74834</v>
      </c>
      <c r="AY490" s="2">
        <v>69246</v>
      </c>
      <c r="AZ490" s="27">
        <v>0</v>
      </c>
      <c r="BA490" s="27">
        <v>0</v>
      </c>
      <c r="BB490" s="2">
        <v>0.6</v>
      </c>
      <c r="BC490" s="30">
        <v>1</v>
      </c>
      <c r="BD490" s="34">
        <v>0</v>
      </c>
      <c r="BE490" s="34">
        <v>0</v>
      </c>
      <c r="BF490" s="40">
        <v>0</v>
      </c>
      <c r="BG490" s="2">
        <v>0</v>
      </c>
      <c r="BH490" s="2">
        <v>1</v>
      </c>
      <c r="BI490" s="40">
        <v>0</v>
      </c>
      <c r="BJ490" s="2">
        <v>0</v>
      </c>
      <c r="BK490" s="2">
        <v>0</v>
      </c>
      <c r="BL490" s="2">
        <v>1</v>
      </c>
      <c r="BM490" s="40">
        <v>0</v>
      </c>
      <c r="BN490" s="958">
        <v>0.02</v>
      </c>
      <c r="BO490" s="959">
        <v>2.5</v>
      </c>
      <c r="BP490" s="1018">
        <f t="shared" ca="1" si="720"/>
        <v>206.38</v>
      </c>
      <c r="BQ490" s="1018">
        <f t="shared" ca="1" si="721"/>
        <v>308.92399999999992</v>
      </c>
      <c r="BR490" s="1018">
        <f t="shared" ca="1" si="722"/>
        <v>90.07</v>
      </c>
      <c r="BS490" s="1018">
        <f t="shared" ca="1" si="723"/>
        <v>65.974999999999994</v>
      </c>
      <c r="BT490" s="1018">
        <f t="shared" ca="1" si="724"/>
        <v>78.88</v>
      </c>
      <c r="BU490" s="1018">
        <f t="shared" ca="1" si="725"/>
        <v>18</v>
      </c>
      <c r="BV490" s="1018">
        <f t="shared" ca="1" si="726"/>
        <v>7.5250000000000004</v>
      </c>
      <c r="BW490" s="1018">
        <v>0</v>
      </c>
      <c r="BX490" s="1018">
        <f t="shared" ca="1" si="727"/>
        <v>27.307731177362307</v>
      </c>
      <c r="BY490" s="1018">
        <f t="shared" ca="1" si="728"/>
        <v>26.40146109939198</v>
      </c>
      <c r="BZ490" s="1018">
        <f t="shared" ca="1" si="680"/>
        <v>10.416681970467799</v>
      </c>
      <c r="CA490" s="1018">
        <f t="shared" ca="1" si="681"/>
        <v>35.999999985599999</v>
      </c>
      <c r="CB490" s="1018">
        <f t="shared" ca="1" si="729"/>
        <v>15.79675572519084</v>
      </c>
      <c r="CC490" s="1018">
        <f t="shared" si="682"/>
        <v>0</v>
      </c>
      <c r="CD490" s="1018">
        <f t="shared" ca="1" si="732"/>
        <v>121.13162995801292</v>
      </c>
      <c r="CE490" s="1018">
        <f t="shared" ca="1" si="730"/>
        <v>81.46311581385109</v>
      </c>
      <c r="CF490" s="1018">
        <f t="shared" ca="1" si="683"/>
        <v>6.0778423731559208</v>
      </c>
      <c r="CG490" s="1018">
        <f t="shared" ca="1" si="684"/>
        <v>10119.36443760968</v>
      </c>
    </row>
    <row r="491" spans="4:85" x14ac:dyDescent="0.25">
      <c r="D491" s="1"/>
      <c r="F491" s="1"/>
      <c r="G491" s="3"/>
      <c r="H491" s="6"/>
      <c r="I491" s="3"/>
      <c r="J491" s="6" t="s">
        <v>190</v>
      </c>
      <c r="K491" s="8"/>
      <c r="L491" s="6"/>
      <c r="M491" s="6"/>
      <c r="N491" s="1"/>
      <c r="O491" s="6"/>
      <c r="P491" s="6"/>
      <c r="Q491" s="6" t="s">
        <v>22</v>
      </c>
      <c r="R491" s="4"/>
      <c r="S491" s="1"/>
      <c r="T491" s="77"/>
      <c r="W491" s="176">
        <f t="shared" si="716"/>
        <v>0</v>
      </c>
      <c r="X491" s="176">
        <f t="shared" si="731"/>
        <v>0</v>
      </c>
      <c r="Y491" s="34">
        <f>X491/Calculation_sheet!M$67</f>
        <v>0</v>
      </c>
      <c r="Z491" s="176">
        <f ca="1">IF(AN491&gt;0,Y491*Calculation_sheet!C$87,0)</f>
        <v>0</v>
      </c>
      <c r="AA491" s="176">
        <f t="shared" ca="1" si="717"/>
        <v>0</v>
      </c>
      <c r="AB491" s="176">
        <f ca="1">IF(AP491&gt;0,AA491*Calculation_sheet!C$94,0)</f>
        <v>0</v>
      </c>
      <c r="AC491" s="176">
        <f t="shared" ca="1" si="718"/>
        <v>0</v>
      </c>
      <c r="AD491" s="958">
        <f ca="1">AC491*Calculation_sheet!C$99</f>
        <v>0</v>
      </c>
      <c r="AE491" s="176">
        <f t="shared" ca="1" si="718"/>
        <v>0</v>
      </c>
      <c r="AF491" s="176">
        <f t="shared" ca="1" si="719"/>
        <v>0</v>
      </c>
      <c r="AG491" s="958">
        <f ca="1">AF491*User_sheet!B$77/100</f>
        <v>0</v>
      </c>
      <c r="AH491" s="313"/>
      <c r="AI491" s="3">
        <v>304</v>
      </c>
      <c r="AK491" s="1018">
        <f t="shared" ca="1" si="679"/>
        <v>121.13162995801292</v>
      </c>
      <c r="AL491" s="924">
        <f ca="1">AK491/'304'!I$24</f>
        <v>0.4790367585787394</v>
      </c>
      <c r="AM491" s="924">
        <f ca="1">0.8*(AK491*30+'304'!D$17*0.34*30*1)</f>
        <v>7075.3809589923103</v>
      </c>
      <c r="AN491" s="954">
        <f ca="1">IF(AM491&lt;User_sheet!B$50,Y491,0)</f>
        <v>0</v>
      </c>
      <c r="AO491" s="954">
        <f ca="1">20-(User_sheet!B$57/(AK491+'304'!D$17*1*0.34))</f>
        <v>0.66535204353387556</v>
      </c>
      <c r="AP491" s="954">
        <f ca="1">IF(AO491&lt;User_sheet!B$59,0,BC491*AA491)</f>
        <v>0</v>
      </c>
      <c r="AR491" s="2">
        <v>0.32</v>
      </c>
      <c r="AS491" s="2">
        <v>0.43</v>
      </c>
      <c r="AT491" s="2">
        <v>0.43</v>
      </c>
      <c r="AU491" s="2">
        <v>2</v>
      </c>
      <c r="AV491" s="2">
        <v>3.3</v>
      </c>
      <c r="AW491" s="2">
        <v>14356</v>
      </c>
      <c r="AX491" s="2">
        <v>74834</v>
      </c>
      <c r="AY491" s="2">
        <v>69246</v>
      </c>
      <c r="AZ491" s="27">
        <v>0</v>
      </c>
      <c r="BA491" s="27">
        <v>0</v>
      </c>
      <c r="BB491" s="2">
        <v>0.6</v>
      </c>
      <c r="BC491" s="30">
        <v>0</v>
      </c>
      <c r="BD491" s="34">
        <v>1</v>
      </c>
      <c r="BE491" s="34">
        <v>0</v>
      </c>
      <c r="BF491" s="40">
        <v>0</v>
      </c>
      <c r="BG491" s="2">
        <v>1</v>
      </c>
      <c r="BH491" s="2">
        <v>0</v>
      </c>
      <c r="BI491" s="40">
        <v>0</v>
      </c>
      <c r="BJ491" s="2">
        <v>0</v>
      </c>
      <c r="BK491" s="2">
        <v>1</v>
      </c>
      <c r="BL491" s="2">
        <v>0</v>
      </c>
      <c r="BM491" s="40">
        <v>0</v>
      </c>
      <c r="BN491" s="958">
        <v>0.02</v>
      </c>
      <c r="BO491" s="959">
        <v>2.5</v>
      </c>
      <c r="BP491" s="1018">
        <f t="shared" ca="1" si="720"/>
        <v>206.38</v>
      </c>
      <c r="BQ491" s="1018">
        <f t="shared" ca="1" si="721"/>
        <v>308.92399999999992</v>
      </c>
      <c r="BR491" s="1018">
        <f t="shared" ca="1" si="722"/>
        <v>90.07</v>
      </c>
      <c r="BS491" s="1018">
        <f t="shared" ca="1" si="723"/>
        <v>65.974999999999994</v>
      </c>
      <c r="BT491" s="1018">
        <f t="shared" ca="1" si="724"/>
        <v>78.88</v>
      </c>
      <c r="BU491" s="1018">
        <f t="shared" ca="1" si="725"/>
        <v>18</v>
      </c>
      <c r="BV491" s="1018">
        <f t="shared" ca="1" si="726"/>
        <v>7.5250000000000004</v>
      </c>
      <c r="BW491" s="1018">
        <v>0</v>
      </c>
      <c r="BX491" s="1018">
        <f t="shared" ca="1" si="727"/>
        <v>27.307731177362307</v>
      </c>
      <c r="BY491" s="1018">
        <f t="shared" ca="1" si="728"/>
        <v>26.40146109939198</v>
      </c>
      <c r="BZ491" s="1018">
        <f t="shared" ca="1" si="680"/>
        <v>10.416681970467799</v>
      </c>
      <c r="CA491" s="1018">
        <f t="shared" ca="1" si="681"/>
        <v>35.999999985599999</v>
      </c>
      <c r="CB491" s="1018">
        <f t="shared" ca="1" si="729"/>
        <v>15.79675572519084</v>
      </c>
      <c r="CC491" s="1018">
        <f t="shared" si="682"/>
        <v>0</v>
      </c>
      <c r="CD491" s="1018">
        <f t="shared" ca="1" si="732"/>
        <v>121.13162995801292</v>
      </c>
      <c r="CE491" s="1018">
        <f t="shared" ca="1" si="730"/>
        <v>81.46311581385109</v>
      </c>
      <c r="CF491" s="1018">
        <f t="shared" ca="1" si="683"/>
        <v>6.0778423731559208</v>
      </c>
      <c r="CG491" s="1018">
        <f t="shared" ca="1" si="684"/>
        <v>10119.36443760968</v>
      </c>
    </row>
    <row r="492" spans="4:85" x14ac:dyDescent="0.25">
      <c r="D492" s="1"/>
      <c r="F492" s="1"/>
      <c r="G492" s="3"/>
      <c r="H492" s="6"/>
      <c r="I492" s="3"/>
      <c r="K492" s="8"/>
      <c r="L492" s="6"/>
      <c r="M492" s="1"/>
      <c r="N492" s="1"/>
      <c r="O492" s="1" t="s">
        <v>18</v>
      </c>
      <c r="P492" s="4"/>
      <c r="Q492" s="1" t="s">
        <v>7</v>
      </c>
      <c r="R492" s="4"/>
      <c r="S492" s="1"/>
      <c r="T492" s="77"/>
      <c r="W492" s="176">
        <f t="shared" si="716"/>
        <v>0</v>
      </c>
      <c r="X492" s="176">
        <f t="shared" si="731"/>
        <v>0</v>
      </c>
      <c r="Y492" s="34">
        <f>X492/Calculation_sheet!M$67</f>
        <v>0</v>
      </c>
      <c r="Z492" s="176">
        <f ca="1">IF(AN492&gt;0,Y492*Calculation_sheet!C$87,0)</f>
        <v>0</v>
      </c>
      <c r="AA492" s="176">
        <f t="shared" ca="1" si="717"/>
        <v>0</v>
      </c>
      <c r="AB492" s="176">
        <f ca="1">IF(AP492&gt;0,AA492*Calculation_sheet!C$94,0)</f>
        <v>0</v>
      </c>
      <c r="AC492" s="176">
        <f t="shared" ca="1" si="718"/>
        <v>0</v>
      </c>
      <c r="AD492" s="958">
        <f ca="1">AC492*Calculation_sheet!C$99</f>
        <v>0</v>
      </c>
      <c r="AE492" s="176">
        <f t="shared" ca="1" si="718"/>
        <v>0</v>
      </c>
      <c r="AF492" s="176">
        <f t="shared" ca="1" si="719"/>
        <v>0</v>
      </c>
      <c r="AG492" s="958">
        <f ca="1">AF492*User_sheet!B$77/100</f>
        <v>0</v>
      </c>
      <c r="AH492" s="313"/>
      <c r="AI492" s="3">
        <v>304</v>
      </c>
      <c r="AK492" s="1018">
        <f t="shared" ca="1" si="679"/>
        <v>121.13162995801292</v>
      </c>
      <c r="AL492" s="924">
        <f ca="1">AK492/'304'!I$24</f>
        <v>0.4790367585787394</v>
      </c>
      <c r="AM492" s="924">
        <f ca="1">0.8*(AK492*30+'304'!D$17*0.34*30*1)</f>
        <v>7075.3809589923103</v>
      </c>
      <c r="AN492" s="954">
        <f ca="1">IF(AM492&lt;User_sheet!B$50,Y492,0)</f>
        <v>0</v>
      </c>
      <c r="AO492" s="954">
        <f ca="1">20-(User_sheet!B$57/(AK492+'304'!D$17*1*0.34))</f>
        <v>0.66535204353387556</v>
      </c>
      <c r="AP492" s="954">
        <f ca="1">IF(AO492&lt;User_sheet!B$59,0,BC492*AA492)</f>
        <v>0</v>
      </c>
      <c r="AR492" s="2">
        <v>0.32</v>
      </c>
      <c r="AS492" s="2">
        <v>0.43</v>
      </c>
      <c r="AT492" s="2">
        <v>0.43</v>
      </c>
      <c r="AU492" s="2">
        <v>2</v>
      </c>
      <c r="AV492" s="2">
        <v>3.3</v>
      </c>
      <c r="AW492" s="2">
        <v>14356</v>
      </c>
      <c r="AX492" s="2">
        <v>74834</v>
      </c>
      <c r="AY492" s="2">
        <v>69246</v>
      </c>
      <c r="AZ492" s="27">
        <v>0</v>
      </c>
      <c r="BA492" s="27">
        <v>0</v>
      </c>
      <c r="BB492" s="2">
        <v>0.6</v>
      </c>
      <c r="BC492" s="30">
        <v>0</v>
      </c>
      <c r="BD492" s="34">
        <v>1</v>
      </c>
      <c r="BE492" s="34">
        <v>0</v>
      </c>
      <c r="BF492" s="40">
        <v>0</v>
      </c>
      <c r="BG492" s="2">
        <v>1</v>
      </c>
      <c r="BH492" s="2">
        <v>0</v>
      </c>
      <c r="BI492" s="40">
        <v>0</v>
      </c>
      <c r="BJ492" s="2">
        <v>0</v>
      </c>
      <c r="BK492" s="2">
        <v>0</v>
      </c>
      <c r="BL492" s="2">
        <v>1</v>
      </c>
      <c r="BM492" s="40">
        <v>0</v>
      </c>
      <c r="BN492" s="958">
        <v>0.02</v>
      </c>
      <c r="BO492" s="959">
        <v>2.5</v>
      </c>
      <c r="BP492" s="1018">
        <f t="shared" ca="1" si="720"/>
        <v>206.38</v>
      </c>
      <c r="BQ492" s="1018">
        <f t="shared" ca="1" si="721"/>
        <v>308.92399999999992</v>
      </c>
      <c r="BR492" s="1018">
        <f t="shared" ca="1" si="722"/>
        <v>90.07</v>
      </c>
      <c r="BS492" s="1018">
        <f t="shared" ca="1" si="723"/>
        <v>65.974999999999994</v>
      </c>
      <c r="BT492" s="1018">
        <f t="shared" ca="1" si="724"/>
        <v>78.88</v>
      </c>
      <c r="BU492" s="1018">
        <f t="shared" ca="1" si="725"/>
        <v>18</v>
      </c>
      <c r="BV492" s="1018">
        <f t="shared" ca="1" si="726"/>
        <v>7.5250000000000004</v>
      </c>
      <c r="BW492" s="1018">
        <v>0</v>
      </c>
      <c r="BX492" s="1018">
        <f t="shared" ca="1" si="727"/>
        <v>27.307731177362307</v>
      </c>
      <c r="BY492" s="1018">
        <f t="shared" ca="1" si="728"/>
        <v>26.40146109939198</v>
      </c>
      <c r="BZ492" s="1018">
        <f t="shared" ca="1" si="680"/>
        <v>10.416681970467799</v>
      </c>
      <c r="CA492" s="1018">
        <f t="shared" ca="1" si="681"/>
        <v>35.999999985599999</v>
      </c>
      <c r="CB492" s="1018">
        <f t="shared" ca="1" si="729"/>
        <v>15.79675572519084</v>
      </c>
      <c r="CC492" s="1018">
        <f t="shared" si="682"/>
        <v>0</v>
      </c>
      <c r="CD492" s="1018">
        <f t="shared" ca="1" si="732"/>
        <v>121.13162995801292</v>
      </c>
      <c r="CE492" s="1018">
        <f t="shared" ca="1" si="730"/>
        <v>81.46311581385109</v>
      </c>
      <c r="CF492" s="1018">
        <f t="shared" ca="1" si="683"/>
        <v>6.0778423731559208</v>
      </c>
      <c r="CG492" s="1018">
        <f t="shared" ca="1" si="684"/>
        <v>10119.36443760968</v>
      </c>
    </row>
    <row r="493" spans="4:85" x14ac:dyDescent="0.25">
      <c r="D493" s="1"/>
      <c r="F493" s="1"/>
      <c r="G493" s="3"/>
      <c r="H493" s="6"/>
      <c r="I493" s="3"/>
      <c r="K493" s="8"/>
      <c r="L493" s="6"/>
      <c r="M493" s="1"/>
      <c r="N493" s="1"/>
      <c r="O493" s="1"/>
      <c r="P493" s="1"/>
      <c r="Q493" s="1" t="s">
        <v>22</v>
      </c>
      <c r="R493" s="4"/>
      <c r="S493" s="1"/>
      <c r="T493" s="77"/>
      <c r="W493" s="176">
        <f t="shared" si="716"/>
        <v>0</v>
      </c>
      <c r="X493" s="176">
        <f t="shared" si="731"/>
        <v>0</v>
      </c>
      <c r="Y493" s="34">
        <f>X493/Calculation_sheet!M$67</f>
        <v>0</v>
      </c>
      <c r="Z493" s="176">
        <f ca="1">IF(AN493&gt;0,Y493*Calculation_sheet!C$87,0)</f>
        <v>0</v>
      </c>
      <c r="AA493" s="176">
        <f t="shared" ca="1" si="717"/>
        <v>0</v>
      </c>
      <c r="AB493" s="176">
        <f ca="1">IF(AP493&gt;0,AA493*Calculation_sheet!C$94,0)</f>
        <v>0</v>
      </c>
      <c r="AC493" s="176">
        <f t="shared" ca="1" si="718"/>
        <v>0</v>
      </c>
      <c r="AD493" s="958">
        <f ca="1">AC493*Calculation_sheet!C$99</f>
        <v>0</v>
      </c>
      <c r="AE493" s="176">
        <f t="shared" ca="1" si="718"/>
        <v>0</v>
      </c>
      <c r="AF493" s="176">
        <f t="shared" ca="1" si="719"/>
        <v>0</v>
      </c>
      <c r="AG493" s="958">
        <f ca="1">AF493*User_sheet!B$77/100</f>
        <v>0</v>
      </c>
      <c r="AH493" s="313"/>
      <c r="AI493" s="3">
        <v>304</v>
      </c>
      <c r="AK493" s="1018">
        <f t="shared" ca="1" si="679"/>
        <v>121.13162995801292</v>
      </c>
      <c r="AL493" s="924">
        <f ca="1">AK493/'304'!I$24</f>
        <v>0.4790367585787394</v>
      </c>
      <c r="AM493" s="924">
        <f ca="1">0.8*(AK493*30+'304'!D$17*0.34*30*1)</f>
        <v>7075.3809589923103</v>
      </c>
      <c r="AN493" s="954">
        <f ca="1">IF(AM493&lt;User_sheet!B$50,Y493,0)</f>
        <v>0</v>
      </c>
      <c r="AO493" s="954">
        <f ca="1">20-(User_sheet!B$57/(AK493+'304'!D$17*1*0.34))</f>
        <v>0.66535204353387556</v>
      </c>
      <c r="AP493" s="954">
        <f ca="1">IF(AO493&lt;User_sheet!B$59,0,BC493*AA493)</f>
        <v>0</v>
      </c>
      <c r="AR493" s="2">
        <v>0.32</v>
      </c>
      <c r="AS493" s="2">
        <v>0.43</v>
      </c>
      <c r="AT493" s="2">
        <v>0.43</v>
      </c>
      <c r="AU493" s="2">
        <v>2</v>
      </c>
      <c r="AV493" s="2">
        <v>3.3</v>
      </c>
      <c r="AW493" s="2">
        <v>14356</v>
      </c>
      <c r="AX493" s="2">
        <v>74834</v>
      </c>
      <c r="AY493" s="2">
        <v>69246</v>
      </c>
      <c r="AZ493" s="27">
        <v>0</v>
      </c>
      <c r="BA493" s="27">
        <v>0</v>
      </c>
      <c r="BB493" s="2">
        <v>0.6</v>
      </c>
      <c r="BC493" s="30">
        <v>0</v>
      </c>
      <c r="BD493" s="34">
        <v>1</v>
      </c>
      <c r="BE493" s="34">
        <v>0</v>
      </c>
      <c r="BF493" s="40">
        <v>0</v>
      </c>
      <c r="BG493" s="2">
        <v>0</v>
      </c>
      <c r="BH493" s="2">
        <v>1</v>
      </c>
      <c r="BI493" s="40">
        <v>0</v>
      </c>
      <c r="BJ493" s="2">
        <v>0</v>
      </c>
      <c r="BK493" s="2">
        <v>1</v>
      </c>
      <c r="BL493" s="2">
        <v>0</v>
      </c>
      <c r="BM493" s="40">
        <v>0</v>
      </c>
      <c r="BN493" s="958">
        <v>0.02</v>
      </c>
      <c r="BO493" s="959">
        <v>2.5</v>
      </c>
      <c r="BP493" s="1018">
        <f t="shared" ca="1" si="720"/>
        <v>206.38</v>
      </c>
      <c r="BQ493" s="1018">
        <f t="shared" ca="1" si="721"/>
        <v>308.92399999999992</v>
      </c>
      <c r="BR493" s="1018">
        <f t="shared" ca="1" si="722"/>
        <v>90.07</v>
      </c>
      <c r="BS493" s="1018">
        <f t="shared" ca="1" si="723"/>
        <v>65.974999999999994</v>
      </c>
      <c r="BT493" s="1018">
        <f t="shared" ca="1" si="724"/>
        <v>78.88</v>
      </c>
      <c r="BU493" s="1018">
        <f t="shared" ca="1" si="725"/>
        <v>18</v>
      </c>
      <c r="BV493" s="1018">
        <f t="shared" ca="1" si="726"/>
        <v>7.5250000000000004</v>
      </c>
      <c r="BW493" s="1018">
        <v>0</v>
      </c>
      <c r="BX493" s="1018">
        <f t="shared" ca="1" si="727"/>
        <v>27.307731177362307</v>
      </c>
      <c r="BY493" s="1018">
        <f t="shared" ca="1" si="728"/>
        <v>26.40146109939198</v>
      </c>
      <c r="BZ493" s="1018">
        <f t="shared" ca="1" si="680"/>
        <v>10.416681970467799</v>
      </c>
      <c r="CA493" s="1018">
        <f t="shared" ca="1" si="681"/>
        <v>35.999999985599999</v>
      </c>
      <c r="CB493" s="1018">
        <f t="shared" ca="1" si="729"/>
        <v>15.79675572519084</v>
      </c>
      <c r="CC493" s="1018">
        <f t="shared" si="682"/>
        <v>0</v>
      </c>
      <c r="CD493" s="1018">
        <f t="shared" ca="1" si="732"/>
        <v>121.13162995801292</v>
      </c>
      <c r="CE493" s="1018">
        <f t="shared" ca="1" si="730"/>
        <v>81.46311581385109</v>
      </c>
      <c r="CF493" s="1018">
        <f t="shared" ca="1" si="683"/>
        <v>6.0778423731559208</v>
      </c>
      <c r="CG493" s="1018">
        <f t="shared" ca="1" si="684"/>
        <v>10119.36443760968</v>
      </c>
    </row>
    <row r="494" spans="4:85" x14ac:dyDescent="0.25">
      <c r="D494" s="1"/>
      <c r="F494" s="1"/>
      <c r="G494" s="3"/>
      <c r="H494" s="6"/>
      <c r="I494" s="3"/>
      <c r="J494" s="6"/>
      <c r="K494" s="8"/>
      <c r="L494" s="6"/>
      <c r="M494" s="1" t="s">
        <v>22</v>
      </c>
      <c r="N494" s="4"/>
      <c r="O494" s="1" t="s">
        <v>20</v>
      </c>
      <c r="P494" s="4"/>
      <c r="Q494" s="1" t="s">
        <v>7</v>
      </c>
      <c r="R494" s="4"/>
      <c r="S494" s="1"/>
      <c r="T494" s="77"/>
      <c r="W494" s="176">
        <f t="shared" si="716"/>
        <v>0</v>
      </c>
      <c r="X494" s="176">
        <f t="shared" si="731"/>
        <v>0</v>
      </c>
      <c r="Y494" s="34">
        <f>X494/Calculation_sheet!M$67</f>
        <v>0</v>
      </c>
      <c r="Z494" s="176">
        <f ca="1">IF(AN494&gt;0,Y494*Calculation_sheet!C$87,0)</f>
        <v>0</v>
      </c>
      <c r="AA494" s="176">
        <f t="shared" ca="1" si="717"/>
        <v>0</v>
      </c>
      <c r="AB494" s="176">
        <f ca="1">IF(AP494&gt;0,AA494*Calculation_sheet!C$94,0)</f>
        <v>0</v>
      </c>
      <c r="AC494" s="176">
        <f t="shared" ca="1" si="718"/>
        <v>0</v>
      </c>
      <c r="AD494" s="958">
        <f ca="1">AC494*Calculation_sheet!C$99</f>
        <v>0</v>
      </c>
      <c r="AE494" s="176">
        <f t="shared" ca="1" si="718"/>
        <v>0</v>
      </c>
      <c r="AF494" s="176">
        <f t="shared" ca="1" si="719"/>
        <v>0</v>
      </c>
      <c r="AG494" s="958">
        <f ca="1">AF494*User_sheet!B$77/100</f>
        <v>0</v>
      </c>
      <c r="AH494" s="313"/>
      <c r="AI494" s="3">
        <v>304</v>
      </c>
      <c r="AK494" s="1018">
        <f t="shared" ca="1" si="679"/>
        <v>121.13162995801292</v>
      </c>
      <c r="AL494" s="924">
        <f ca="1">AK494/'304'!I$24</f>
        <v>0.4790367585787394</v>
      </c>
      <c r="AM494" s="924">
        <f ca="1">0.8*(AK494*30+'304'!D$17*0.34*30*1)</f>
        <v>7075.3809589923103</v>
      </c>
      <c r="AN494" s="954">
        <f ca="1">IF(AM494&lt;User_sheet!B$50,Y494,0)</f>
        <v>0</v>
      </c>
      <c r="AO494" s="954">
        <f ca="1">20-(User_sheet!B$57/(AK494+'304'!D$17*1*0.34))</f>
        <v>0.66535204353387556</v>
      </c>
      <c r="AP494" s="954">
        <f ca="1">IF(AO494&lt;User_sheet!B$59,0,BC494*AA494)</f>
        <v>0</v>
      </c>
      <c r="AR494" s="2">
        <v>0.32</v>
      </c>
      <c r="AS494" s="2">
        <v>0.43</v>
      </c>
      <c r="AT494" s="2">
        <v>0.43</v>
      </c>
      <c r="AU494" s="2">
        <v>2</v>
      </c>
      <c r="AV494" s="2">
        <v>3.3</v>
      </c>
      <c r="AW494" s="2">
        <v>14356</v>
      </c>
      <c r="AX494" s="2">
        <v>74834</v>
      </c>
      <c r="AY494" s="2">
        <v>69246</v>
      </c>
      <c r="AZ494" s="27">
        <v>0</v>
      </c>
      <c r="BA494" s="27">
        <v>0</v>
      </c>
      <c r="BB494" s="2">
        <v>0.6</v>
      </c>
      <c r="BC494" s="30">
        <v>0</v>
      </c>
      <c r="BD494" s="34">
        <v>1</v>
      </c>
      <c r="BE494" s="34">
        <v>0</v>
      </c>
      <c r="BF494" s="40">
        <v>0</v>
      </c>
      <c r="BG494" s="2">
        <v>0</v>
      </c>
      <c r="BH494" s="2">
        <v>1</v>
      </c>
      <c r="BI494" s="40">
        <v>0</v>
      </c>
      <c r="BJ494" s="2">
        <v>0</v>
      </c>
      <c r="BK494" s="2">
        <v>0</v>
      </c>
      <c r="BL494" s="2">
        <v>1</v>
      </c>
      <c r="BM494" s="40">
        <v>0</v>
      </c>
      <c r="BN494" s="958">
        <v>0.02</v>
      </c>
      <c r="BO494" s="959">
        <v>2.5</v>
      </c>
      <c r="BP494" s="1018">
        <f t="shared" ca="1" si="720"/>
        <v>206.38</v>
      </c>
      <c r="BQ494" s="1018">
        <f t="shared" ca="1" si="721"/>
        <v>308.92399999999992</v>
      </c>
      <c r="BR494" s="1018">
        <f t="shared" ca="1" si="722"/>
        <v>90.07</v>
      </c>
      <c r="BS494" s="1018">
        <f t="shared" ca="1" si="723"/>
        <v>65.974999999999994</v>
      </c>
      <c r="BT494" s="1018">
        <f t="shared" ca="1" si="724"/>
        <v>78.88</v>
      </c>
      <c r="BU494" s="1018">
        <f t="shared" ca="1" si="725"/>
        <v>18</v>
      </c>
      <c r="BV494" s="1018">
        <f t="shared" ca="1" si="726"/>
        <v>7.5250000000000004</v>
      </c>
      <c r="BW494" s="1018">
        <v>0</v>
      </c>
      <c r="BX494" s="1018">
        <f t="shared" ca="1" si="727"/>
        <v>27.307731177362307</v>
      </c>
      <c r="BY494" s="1018">
        <f t="shared" ca="1" si="728"/>
        <v>26.40146109939198</v>
      </c>
      <c r="BZ494" s="1018">
        <f t="shared" ca="1" si="680"/>
        <v>10.416681970467799</v>
      </c>
      <c r="CA494" s="1018">
        <f t="shared" ca="1" si="681"/>
        <v>35.999999985599999</v>
      </c>
      <c r="CB494" s="1018">
        <f t="shared" ca="1" si="729"/>
        <v>15.79675572519084</v>
      </c>
      <c r="CC494" s="1018">
        <f t="shared" si="682"/>
        <v>0</v>
      </c>
      <c r="CD494" s="1018">
        <f t="shared" ca="1" si="732"/>
        <v>121.13162995801292</v>
      </c>
      <c r="CE494" s="1018">
        <f t="shared" ca="1" si="730"/>
        <v>81.46311581385109</v>
      </c>
      <c r="CF494" s="1018">
        <f t="shared" ca="1" si="683"/>
        <v>6.0778423731559208</v>
      </c>
      <c r="CG494" s="1018">
        <f t="shared" ca="1" si="684"/>
        <v>10119.36443760968</v>
      </c>
    </row>
    <row r="495" spans="4:85" x14ac:dyDescent="0.25">
      <c r="D495" s="1"/>
      <c r="F495" s="1"/>
      <c r="G495" s="3"/>
      <c r="H495" s="6"/>
      <c r="I495" s="3"/>
      <c r="J495" s="6"/>
      <c r="K495" s="8"/>
      <c r="L495" s="5"/>
      <c r="M495" s="1" t="s">
        <v>7</v>
      </c>
      <c r="N495" s="4"/>
      <c r="O495" s="1" t="s">
        <v>23</v>
      </c>
      <c r="P495" s="4"/>
      <c r="Q495" s="1" t="s">
        <v>7</v>
      </c>
      <c r="R495" s="4"/>
      <c r="S495" s="1"/>
      <c r="T495" s="77"/>
      <c r="U495" s="85" t="s">
        <v>49</v>
      </c>
      <c r="W495" s="176">
        <f t="shared" si="716"/>
        <v>0</v>
      </c>
      <c r="X495" s="176">
        <f t="shared" si="731"/>
        <v>0</v>
      </c>
      <c r="Y495" s="34">
        <f>X495/Calculation_sheet!M$67</f>
        <v>0</v>
      </c>
      <c r="Z495" s="176">
        <f ca="1">IF(AN495&gt;0,Y495*Calculation_sheet!C$87,0)</f>
        <v>0</v>
      </c>
      <c r="AA495" s="176">
        <f t="shared" ca="1" si="717"/>
        <v>0</v>
      </c>
      <c r="AB495" s="176">
        <f ca="1">IF(AP495&gt;0,AA495*Calculation_sheet!C$94,0)</f>
        <v>0</v>
      </c>
      <c r="AC495" s="176">
        <f t="shared" ca="1" si="718"/>
        <v>0</v>
      </c>
      <c r="AD495" s="958">
        <f ca="1">AC495*Calculation_sheet!C$99</f>
        <v>0</v>
      </c>
      <c r="AE495" s="176">
        <f t="shared" ca="1" si="718"/>
        <v>0</v>
      </c>
      <c r="AF495" s="176">
        <f t="shared" ca="1" si="719"/>
        <v>0</v>
      </c>
      <c r="AG495" s="958">
        <f ca="1">AF495*User_sheet!B$77/100</f>
        <v>0</v>
      </c>
      <c r="AH495" s="313"/>
      <c r="AI495" s="3">
        <v>304</v>
      </c>
      <c r="AK495" s="1018">
        <f t="shared" ca="1" si="679"/>
        <v>121.13162995801292</v>
      </c>
      <c r="AL495" s="924">
        <f ca="1">AK495/'304'!I$24</f>
        <v>0.4790367585787394</v>
      </c>
      <c r="AM495" s="924">
        <f ca="1">0.8*(AK495*30+'304'!D$17*0.34*30*1)</f>
        <v>7075.3809589923103</v>
      </c>
      <c r="AN495" s="954">
        <f ca="1">IF(AM495&lt;User_sheet!B$50,Y495,0)</f>
        <v>0</v>
      </c>
      <c r="AO495" s="954">
        <f ca="1">20-(User_sheet!B$57/(AK495+'304'!D$17*1*0.34))</f>
        <v>0.66535204353387556</v>
      </c>
      <c r="AP495" s="954">
        <f ca="1">IF(AO495&lt;User_sheet!B$59,0,BC495*AA495)</f>
        <v>0</v>
      </c>
      <c r="AR495" s="2">
        <v>0.32</v>
      </c>
      <c r="AS495" s="2">
        <v>0.43</v>
      </c>
      <c r="AT495" s="2">
        <v>0.43</v>
      </c>
      <c r="AU495" s="2">
        <v>2</v>
      </c>
      <c r="AV495" s="2">
        <v>3.3</v>
      </c>
      <c r="AW495" s="2">
        <v>14356</v>
      </c>
      <c r="AX495" s="2">
        <v>74834</v>
      </c>
      <c r="AY495" s="2">
        <v>69246</v>
      </c>
      <c r="AZ495" s="27">
        <v>0</v>
      </c>
      <c r="BA495" s="27">
        <v>0</v>
      </c>
      <c r="BB495" s="2">
        <v>0.6</v>
      </c>
      <c r="BC495" s="30">
        <v>0</v>
      </c>
      <c r="BD495" s="34">
        <v>0</v>
      </c>
      <c r="BE495" s="34">
        <v>1</v>
      </c>
      <c r="BF495" s="40">
        <v>0</v>
      </c>
      <c r="BG495" s="2">
        <v>0</v>
      </c>
      <c r="BH495" s="2">
        <v>0</v>
      </c>
      <c r="BI495" s="40">
        <v>1</v>
      </c>
      <c r="BJ495" s="2">
        <v>0</v>
      </c>
      <c r="BK495" s="2">
        <v>0</v>
      </c>
      <c r="BL495" s="2">
        <v>1</v>
      </c>
      <c r="BM495" s="40">
        <v>0</v>
      </c>
      <c r="BN495" s="958">
        <v>0.02</v>
      </c>
      <c r="BO495" s="959">
        <v>2.5</v>
      </c>
      <c r="BP495" s="1018">
        <f t="shared" ca="1" si="720"/>
        <v>206.38</v>
      </c>
      <c r="BQ495" s="1018">
        <f t="shared" ca="1" si="721"/>
        <v>308.92399999999992</v>
      </c>
      <c r="BR495" s="1018">
        <f t="shared" ca="1" si="722"/>
        <v>90.07</v>
      </c>
      <c r="BS495" s="1018">
        <f t="shared" ca="1" si="723"/>
        <v>65.974999999999994</v>
      </c>
      <c r="BT495" s="1018">
        <f t="shared" ca="1" si="724"/>
        <v>78.88</v>
      </c>
      <c r="BU495" s="1018">
        <f t="shared" ca="1" si="725"/>
        <v>18</v>
      </c>
      <c r="BV495" s="1018">
        <f t="shared" ca="1" si="726"/>
        <v>7.5250000000000004</v>
      </c>
      <c r="BW495" s="1018">
        <v>0</v>
      </c>
      <c r="BX495" s="1018">
        <f t="shared" ca="1" si="727"/>
        <v>27.307731177362307</v>
      </c>
      <c r="BY495" s="1018">
        <f t="shared" ca="1" si="728"/>
        <v>26.40146109939198</v>
      </c>
      <c r="BZ495" s="1018">
        <f t="shared" ca="1" si="680"/>
        <v>10.416681970467799</v>
      </c>
      <c r="CA495" s="1018">
        <f t="shared" ca="1" si="681"/>
        <v>35.999999985599999</v>
      </c>
      <c r="CB495" s="1018">
        <f t="shared" ca="1" si="729"/>
        <v>15.79675572519084</v>
      </c>
      <c r="CC495" s="1018">
        <f t="shared" si="682"/>
        <v>0</v>
      </c>
      <c r="CD495" s="1018">
        <f t="shared" ca="1" si="732"/>
        <v>121.13162995801292</v>
      </c>
      <c r="CE495" s="1018">
        <f t="shared" ca="1" si="730"/>
        <v>81.46311581385109</v>
      </c>
      <c r="CF495" s="1018">
        <f t="shared" ca="1" si="683"/>
        <v>6.0778423731559208</v>
      </c>
      <c r="CG495" s="1018">
        <f t="shared" ca="1" si="684"/>
        <v>10119.36443760968</v>
      </c>
    </row>
    <row r="496" spans="4:85" s="9" customFormat="1" x14ac:dyDescent="0.25">
      <c r="D496" s="10"/>
      <c r="F496" s="10"/>
      <c r="H496" s="10"/>
      <c r="J496" s="10"/>
      <c r="M496" s="10"/>
      <c r="N496" s="10"/>
      <c r="O496" s="10"/>
      <c r="P496" s="10"/>
      <c r="Q496" s="10"/>
      <c r="R496" s="10"/>
      <c r="S496" s="10"/>
      <c r="T496" s="81"/>
      <c r="U496" s="84">
        <f>D425*B276</f>
        <v>1.3331919999999999E-2</v>
      </c>
      <c r="V496" s="283"/>
      <c r="W496" s="283"/>
      <c r="X496" s="283"/>
      <c r="Y496" s="279"/>
      <c r="Z496" s="283"/>
      <c r="AA496" s="283"/>
      <c r="AB496" s="283"/>
      <c r="AC496" s="283"/>
      <c r="AD496" s="283"/>
      <c r="AE496" s="283"/>
      <c r="AF496" s="283"/>
      <c r="AG496" s="279"/>
      <c r="AH496" s="313"/>
      <c r="AJ496" s="314"/>
      <c r="AK496" s="1018">
        <f t="shared" si="679"/>
        <v>0</v>
      </c>
      <c r="AN496" s="916"/>
      <c r="AO496" s="916"/>
      <c r="AP496" s="916"/>
      <c r="AQ496" s="314"/>
      <c r="AR496" s="24"/>
      <c r="AS496" s="24"/>
      <c r="AT496" s="24"/>
      <c r="AU496" s="24"/>
      <c r="AV496" s="24"/>
      <c r="AW496" s="24"/>
      <c r="AX496" s="24"/>
      <c r="AY496" s="24"/>
      <c r="AZ496" s="24"/>
      <c r="BA496" s="24"/>
      <c r="BB496" s="24"/>
      <c r="BC496" s="47"/>
      <c r="BD496" s="279"/>
      <c r="BE496" s="279"/>
      <c r="BF496" s="51"/>
      <c r="BG496" s="24"/>
      <c r="BH496" s="24"/>
      <c r="BI496" s="51"/>
      <c r="BJ496" s="24"/>
      <c r="BK496" s="24"/>
      <c r="BL496" s="24"/>
      <c r="BM496" s="51"/>
      <c r="BN496" s="279"/>
      <c r="BO496" s="51"/>
    </row>
    <row r="497" spans="3:85" x14ac:dyDescent="0.25">
      <c r="F497" s="1"/>
      <c r="H497" s="1"/>
      <c r="J497" s="1"/>
      <c r="M497" s="2" t="s">
        <v>16</v>
      </c>
      <c r="N497" s="26">
        <v>0.5</v>
      </c>
      <c r="O497" s="2" t="s">
        <v>18</v>
      </c>
      <c r="P497" s="26">
        <v>1</v>
      </c>
      <c r="Q497" s="2" t="s">
        <v>16</v>
      </c>
      <c r="R497" s="26">
        <v>1</v>
      </c>
      <c r="T497" s="961">
        <v>1.24047E-3</v>
      </c>
      <c r="V497" s="176">
        <f t="shared" si="550"/>
        <v>1.24047E-3</v>
      </c>
      <c r="W497" s="176">
        <f>V497</f>
        <v>1.24047E-3</v>
      </c>
      <c r="X497" s="176">
        <f>W497</f>
        <v>1.24047E-3</v>
      </c>
      <c r="Y497" s="34">
        <f>X497/Calculation_sheet!M$67</f>
        <v>1.2404953631813581E-3</v>
      </c>
      <c r="Z497" s="176">
        <f ca="1">IF(AN497&gt;0,Y497*Calculation_sheet!C$87,0)</f>
        <v>0</v>
      </c>
      <c r="AA497" s="176">
        <f ca="1">Y497-Z497</f>
        <v>1.2404953631813581E-3</v>
      </c>
      <c r="AB497" s="176">
        <f ca="1">IF(AP497&gt;0,AA497*Calculation_sheet!C$94,0)</f>
        <v>0</v>
      </c>
      <c r="AC497" s="176">
        <f ca="1">AA497-AB497</f>
        <v>1.2404953631813581E-3</v>
      </c>
      <c r="AD497" s="958">
        <f ca="1">AC497*Calculation_sheet!C$99</f>
        <v>7.442972179088149E-4</v>
      </c>
      <c r="AE497" s="176">
        <f ca="1">AC497-AD497</f>
        <v>4.9619814527254323E-4</v>
      </c>
      <c r="AF497" s="176">
        <f t="shared" ca="1" si="719"/>
        <v>1.2404953631813581E-3</v>
      </c>
      <c r="AG497" s="958">
        <f ca="1">AF497*User_sheet!B$77/100</f>
        <v>0</v>
      </c>
      <c r="AI497">
        <v>304</v>
      </c>
      <c r="AK497" s="1018">
        <f t="shared" ca="1" si="679"/>
        <v>141.96762995801294</v>
      </c>
      <c r="AL497" s="924">
        <f ca="1">AK497/'304'!I$24</f>
        <v>0.56143645802310693</v>
      </c>
      <c r="AM497" s="924">
        <f ca="1">0.8*(AK497*30+'304'!D$17*0.34*30*1)</f>
        <v>7575.4449589923115</v>
      </c>
      <c r="AN497" s="954">
        <f ca="1">IF(AM497&lt;User_sheet!B$50,Y497,0)</f>
        <v>1.2404953631813581E-3</v>
      </c>
      <c r="AO497" s="954">
        <f ca="1">20-(User_sheet!B$57/(AK497+'304'!D$17*1*0.34))</f>
        <v>1.9416548149275705</v>
      </c>
      <c r="AP497" s="954">
        <f ca="1">IF(AO497&lt;User_sheet!B$59,0,BC497*AA497)</f>
        <v>0</v>
      </c>
      <c r="AR497" s="2">
        <v>0.32</v>
      </c>
      <c r="AS497" s="2">
        <v>0.43</v>
      </c>
      <c r="AT497" s="2">
        <v>0.43</v>
      </c>
      <c r="AU497" s="2">
        <v>2</v>
      </c>
      <c r="AV497" s="2">
        <v>3.3</v>
      </c>
      <c r="AW497" s="2">
        <v>14356</v>
      </c>
      <c r="AX497" s="2">
        <v>74834</v>
      </c>
      <c r="AY497" s="2">
        <v>69246</v>
      </c>
      <c r="AZ497" s="27">
        <v>0</v>
      </c>
      <c r="BA497" s="27">
        <v>0</v>
      </c>
      <c r="BB497" s="2">
        <v>0.6</v>
      </c>
      <c r="BC497" s="30">
        <v>1</v>
      </c>
      <c r="BD497" s="34">
        <v>0</v>
      </c>
      <c r="BE497" s="34">
        <v>0</v>
      </c>
      <c r="BF497" s="40">
        <v>0</v>
      </c>
      <c r="BG497" s="2">
        <v>1</v>
      </c>
      <c r="BH497" s="2">
        <v>0</v>
      </c>
      <c r="BI497" s="40">
        <v>0</v>
      </c>
      <c r="BJ497" s="2">
        <v>1</v>
      </c>
      <c r="BK497" s="2">
        <v>0</v>
      </c>
      <c r="BL497" s="2">
        <v>0</v>
      </c>
      <c r="BM497" s="40">
        <v>0</v>
      </c>
      <c r="BN497" s="958">
        <v>0.1</v>
      </c>
      <c r="BO497" s="959">
        <v>6</v>
      </c>
      <c r="BP497" s="1018">
        <f ca="1">INDIRECT("'"&amp;AI497&amp;"'!"&amp;"B2")</f>
        <v>206.38</v>
      </c>
      <c r="BQ497" s="1018">
        <f ca="1">INDIRECT("'"&amp;AI497&amp;"'!"&amp;"C12")+INDIRECT("'"&amp;AI497&amp;"'!"&amp;"C13")+INDIRECT("'"&amp;AI497&amp;"'!"&amp;"C14")+INDIRECT("'"&amp;AI497&amp;"'!"&amp;"C15")+INDIRECT("'"&amp;AI497&amp;"'!"&amp;"C17")</f>
        <v>308.92399999999992</v>
      </c>
      <c r="BR497" s="1018">
        <f ca="1">INDIRECT("'"&amp;AI497&amp;"'!"&amp;"G5")</f>
        <v>90.07</v>
      </c>
      <c r="BS497" s="1018">
        <f ca="1">INDIRECT("'"&amp;AI497&amp;"'!"&amp;"G4")</f>
        <v>65.974999999999994</v>
      </c>
      <c r="BT497" s="1018">
        <f ca="1">INDIRECT("'"&amp;AI497&amp;"'!"&amp;"G6")</f>
        <v>78.88</v>
      </c>
      <c r="BU497" s="1018">
        <f ca="1">INDIRECT("'"&amp;AI497&amp;"'!"&amp;"G2")</f>
        <v>18</v>
      </c>
      <c r="BV497" s="1018">
        <f ca="1">INDIRECT("'"&amp;AI497&amp;"'!"&amp;"G3")</f>
        <v>7.5250000000000004</v>
      </c>
      <c r="BW497" s="1018">
        <v>0</v>
      </c>
      <c r="BX497" s="1018">
        <f ca="1">IF(BR497=0,0,1/(1/(BR497*$BY$3)+1/(BR497*AR497)+1/(BR497*$BY$4)))</f>
        <v>27.307731177362307</v>
      </c>
      <c r="BY497" s="1018">
        <f ca="1">IF(BS497=0,0,1/(1/(BS497*$BY$3)+1/(BS497*AS497)+1/(BS497*$BY$4)))</f>
        <v>26.40146109939198</v>
      </c>
      <c r="BZ497" s="1018">
        <f t="shared" ca="1" si="680"/>
        <v>10.416681970467799</v>
      </c>
      <c r="CA497" s="1018">
        <f t="shared" ca="1" si="681"/>
        <v>35.999999985599999</v>
      </c>
      <c r="CB497" s="1018">
        <f ca="1">IF(BV497=0,0,1/(1/(BV497*$BY$3)+1/(BV497*AV497)+1/(BV497*$BY$4)))</f>
        <v>15.79675572519084</v>
      </c>
      <c r="CC497" s="1018">
        <f t="shared" si="682"/>
        <v>0</v>
      </c>
      <c r="CD497" s="1018">
        <f ca="1">SUM(BX497:CC497)+(BR497+BS497+BT497+BU497+BV497)*BN497</f>
        <v>141.96762995801294</v>
      </c>
      <c r="CE497" s="1018">
        <f ca="1">0.34*BO497*(1/25)^0.66*(BR497+BS497+BU497+BV497)+0.6*BQ497*0.34*0.2</f>
        <v>56.866386753242658</v>
      </c>
      <c r="CF497" s="1018">
        <f t="shared" ca="1" si="683"/>
        <v>5.9650205013376683</v>
      </c>
      <c r="CG497" s="1018">
        <f t="shared" ca="1" si="684"/>
        <v>9931.5205339071617</v>
      </c>
    </row>
    <row r="498" spans="3:85" x14ac:dyDescent="0.25">
      <c r="C498" s="1" t="s">
        <v>132</v>
      </c>
      <c r="D498" s="5">
        <v>2.6499999999999999E-2</v>
      </c>
      <c r="E498" t="s">
        <v>4</v>
      </c>
      <c r="F498" s="5">
        <v>1</v>
      </c>
      <c r="G498" t="s">
        <v>5</v>
      </c>
      <c r="H498" s="5">
        <v>1</v>
      </c>
      <c r="I498" t="s">
        <v>6</v>
      </c>
      <c r="J498" s="5">
        <v>1</v>
      </c>
      <c r="K498" t="s">
        <v>12</v>
      </c>
      <c r="L498" s="5">
        <v>1</v>
      </c>
      <c r="M498" s="2" t="s">
        <v>22</v>
      </c>
      <c r="N498" s="26">
        <v>0.5</v>
      </c>
      <c r="O498" s="2" t="s">
        <v>18</v>
      </c>
      <c r="P498" s="26">
        <v>1</v>
      </c>
      <c r="Q498" s="2" t="s">
        <v>22</v>
      </c>
      <c r="R498" s="26">
        <v>1</v>
      </c>
      <c r="T498" s="961">
        <v>1.24047E-3</v>
      </c>
      <c r="U498" s="287" t="s">
        <v>49</v>
      </c>
      <c r="V498" s="176">
        <f t="shared" si="550"/>
        <v>1.24047E-3</v>
      </c>
      <c r="W498" s="176">
        <f>V498</f>
        <v>1.24047E-3</v>
      </c>
      <c r="X498" s="176">
        <f>W498</f>
        <v>1.24047E-3</v>
      </c>
      <c r="Y498" s="34">
        <f>X498/Calculation_sheet!M$67</f>
        <v>1.2404953631813581E-3</v>
      </c>
      <c r="Z498" s="176">
        <f ca="1">IF(AN498&gt;0,Y498*Calculation_sheet!C$87,0)</f>
        <v>0</v>
      </c>
      <c r="AA498" s="176">
        <f ca="1">Y498-Z498</f>
        <v>1.2404953631813581E-3</v>
      </c>
      <c r="AB498" s="176">
        <f ca="1">IF(AP498&gt;0,AA498*Calculation_sheet!C$94,0)</f>
        <v>0</v>
      </c>
      <c r="AC498" s="176">
        <f ca="1">AA498-AB498</f>
        <v>1.2404953631813581E-3</v>
      </c>
      <c r="AD498" s="958">
        <f ca="1">AC498*Calculation_sheet!C$99</f>
        <v>7.442972179088149E-4</v>
      </c>
      <c r="AE498" s="176">
        <f ca="1">AC498-AD498</f>
        <v>4.9619814527254323E-4</v>
      </c>
      <c r="AF498" s="176">
        <f t="shared" ca="1" si="719"/>
        <v>1.2404953631813581E-3</v>
      </c>
      <c r="AG498" s="958">
        <f ca="1">AF498*User_sheet!B$77/100</f>
        <v>0</v>
      </c>
      <c r="AI498">
        <v>304</v>
      </c>
      <c r="AK498" s="1018">
        <f t="shared" ca="1" si="679"/>
        <v>141.96762995801294</v>
      </c>
      <c r="AL498" s="924">
        <f ca="1">AK498/'304'!I$24</f>
        <v>0.56143645802310693</v>
      </c>
      <c r="AM498" s="924">
        <f ca="1">0.8*(AK498*30+'304'!D$17*0.34*30*1)</f>
        <v>7575.4449589923115</v>
      </c>
      <c r="AN498" s="954">
        <f ca="1">IF(AM498&lt;User_sheet!B$50,Y498,0)</f>
        <v>1.2404953631813581E-3</v>
      </c>
      <c r="AO498" s="954">
        <f ca="1">20-(User_sheet!B$57/(AK498+'304'!D$17*1*0.34))</f>
        <v>1.9416548149275705</v>
      </c>
      <c r="AP498" s="954">
        <f ca="1">IF(AO498&lt;User_sheet!B$59,0,BC498*AA498)</f>
        <v>0</v>
      </c>
      <c r="AR498" s="2">
        <v>0.32</v>
      </c>
      <c r="AS498" s="2">
        <v>0.43</v>
      </c>
      <c r="AT498" s="2">
        <v>0.43</v>
      </c>
      <c r="AU498" s="2">
        <v>2</v>
      </c>
      <c r="AV498" s="2">
        <v>3.3</v>
      </c>
      <c r="AW498" s="2">
        <v>14356</v>
      </c>
      <c r="AX498" s="2">
        <v>74834</v>
      </c>
      <c r="AY498" s="2">
        <v>69246</v>
      </c>
      <c r="AZ498" s="27">
        <v>0</v>
      </c>
      <c r="BA498" s="27">
        <v>0</v>
      </c>
      <c r="BB498" s="2">
        <v>0.6</v>
      </c>
      <c r="BC498" s="30">
        <v>0</v>
      </c>
      <c r="BD498" s="34">
        <v>1</v>
      </c>
      <c r="BE498" s="34">
        <v>0</v>
      </c>
      <c r="BF498" s="40">
        <v>0</v>
      </c>
      <c r="BG498" s="2">
        <v>1</v>
      </c>
      <c r="BH498" s="2">
        <v>0</v>
      </c>
      <c r="BI498" s="40">
        <v>0</v>
      </c>
      <c r="BJ498" s="2">
        <v>0</v>
      </c>
      <c r="BK498" s="2">
        <v>1</v>
      </c>
      <c r="BL498" s="2">
        <v>0</v>
      </c>
      <c r="BM498" s="40">
        <v>0</v>
      </c>
      <c r="BN498" s="958">
        <v>0.1</v>
      </c>
      <c r="BO498" s="959">
        <v>6</v>
      </c>
      <c r="BP498" s="1018">
        <f ca="1">INDIRECT("'"&amp;AI498&amp;"'!"&amp;"B2")</f>
        <v>206.38</v>
      </c>
      <c r="BQ498" s="1018">
        <f ca="1">INDIRECT("'"&amp;AI498&amp;"'!"&amp;"C12")+INDIRECT("'"&amp;AI498&amp;"'!"&amp;"C13")+INDIRECT("'"&amp;AI498&amp;"'!"&amp;"C14")+INDIRECT("'"&amp;AI498&amp;"'!"&amp;"C15")+INDIRECT("'"&amp;AI498&amp;"'!"&amp;"C17")</f>
        <v>308.92399999999992</v>
      </c>
      <c r="BR498" s="1018">
        <f ca="1">INDIRECT("'"&amp;AI498&amp;"'!"&amp;"G5")</f>
        <v>90.07</v>
      </c>
      <c r="BS498" s="1018">
        <f ca="1">INDIRECT("'"&amp;AI498&amp;"'!"&amp;"G4")</f>
        <v>65.974999999999994</v>
      </c>
      <c r="BT498" s="1018">
        <f ca="1">INDIRECT("'"&amp;AI498&amp;"'!"&amp;"G6")</f>
        <v>78.88</v>
      </c>
      <c r="BU498" s="1018">
        <f ca="1">INDIRECT("'"&amp;AI498&amp;"'!"&amp;"G2")</f>
        <v>18</v>
      </c>
      <c r="BV498" s="1018">
        <f ca="1">INDIRECT("'"&amp;AI498&amp;"'!"&amp;"G3")</f>
        <v>7.5250000000000004</v>
      </c>
      <c r="BW498" s="1018">
        <v>0</v>
      </c>
      <c r="BX498" s="1018">
        <f ca="1">IF(BR498=0,0,1/(1/(BR498*$BY$3)+1/(BR498*AR498)+1/(BR498*$BY$4)))</f>
        <v>27.307731177362307</v>
      </c>
      <c r="BY498" s="1018">
        <f ca="1">IF(BS498=0,0,1/(1/(BS498*$BY$3)+1/(BS498*AS498)+1/(BS498*$BY$4)))</f>
        <v>26.40146109939198</v>
      </c>
      <c r="BZ498" s="1018">
        <f t="shared" ca="1" si="680"/>
        <v>10.416681970467799</v>
      </c>
      <c r="CA498" s="1018">
        <f t="shared" ca="1" si="681"/>
        <v>35.999999985599999</v>
      </c>
      <c r="CB498" s="1018">
        <f ca="1">IF(BV498=0,0,1/(1/(BV498*$BY$3)+1/(BV498*AV498)+1/(BV498*$BY$4)))</f>
        <v>15.79675572519084</v>
      </c>
      <c r="CC498" s="1018">
        <f t="shared" si="682"/>
        <v>0</v>
      </c>
      <c r="CD498" s="1018">
        <f ca="1">SUM(BX498:CC498)+(BR498+BS498+BT498+BU498+BV498)*BN498</f>
        <v>141.96762995801294</v>
      </c>
      <c r="CE498" s="1018">
        <f ca="1">0.34*BO498*(1/25)^0.66*(BR498+BS498+BU498+BV498)+0.6*BQ498*0.34*0.2</f>
        <v>56.866386753242658</v>
      </c>
      <c r="CF498" s="1018">
        <f t="shared" ca="1" si="683"/>
        <v>5.9650205013376683</v>
      </c>
      <c r="CG498" s="1018">
        <f t="shared" ca="1" si="684"/>
        <v>9931.5205339071617</v>
      </c>
    </row>
    <row r="499" spans="3:85" s="9" customFormat="1" x14ac:dyDescent="0.25">
      <c r="T499" s="84"/>
      <c r="U499" s="283">
        <f>D498*B276</f>
        <v>6.6408999999999999E-3</v>
      </c>
      <c r="V499" s="283"/>
      <c r="W499" s="283"/>
      <c r="X499" s="283"/>
      <c r="Y499" s="279"/>
      <c r="Z499" s="279"/>
      <c r="AA499" s="283"/>
      <c r="AB499" s="283"/>
      <c r="AC499" s="283"/>
      <c r="AD499" s="283"/>
      <c r="AE499" s="283"/>
      <c r="AF499" s="283"/>
      <c r="AG499" s="279"/>
      <c r="AH499" s="314"/>
      <c r="AJ499" s="314"/>
      <c r="AK499" s="1018">
        <f t="shared" si="679"/>
        <v>0</v>
      </c>
      <c r="AN499" s="916"/>
      <c r="AO499" s="916"/>
      <c r="AP499" s="916"/>
      <c r="AQ499" s="314"/>
      <c r="AR499" s="24"/>
      <c r="AS499" s="24"/>
      <c r="AT499" s="24"/>
      <c r="AU499" s="24"/>
      <c r="AV499" s="24"/>
      <c r="AW499" s="24"/>
      <c r="AX499" s="24"/>
      <c r="AY499" s="24"/>
      <c r="AZ499" s="24"/>
      <c r="BA499" s="24"/>
      <c r="BB499" s="24"/>
      <c r="BC499" s="47"/>
      <c r="BD499" s="279"/>
      <c r="BE499" s="279"/>
      <c r="BF499" s="51"/>
      <c r="BG499" s="24"/>
      <c r="BH499" s="24"/>
      <c r="BI499" s="51"/>
      <c r="BJ499" s="24"/>
      <c r="BK499" s="24"/>
      <c r="BL499" s="24"/>
      <c r="BM499" s="51"/>
      <c r="BN499" s="279"/>
      <c r="BO499" s="51"/>
    </row>
    <row r="500" spans="3:85" x14ac:dyDescent="0.25">
      <c r="F500" s="1"/>
      <c r="H500" s="1"/>
      <c r="J500" s="1"/>
      <c r="M500" s="2" t="s">
        <v>16</v>
      </c>
      <c r="N500" s="26" t="s">
        <v>191</v>
      </c>
      <c r="O500" s="2" t="s">
        <v>18</v>
      </c>
      <c r="P500" s="26">
        <v>1</v>
      </c>
      <c r="Q500" s="2" t="s">
        <v>16</v>
      </c>
      <c r="R500" s="26">
        <v>1</v>
      </c>
      <c r="V500" s="176">
        <f>Calculation_sheet!D45</f>
        <v>0</v>
      </c>
      <c r="W500" s="176">
        <f t="shared" ref="W500:X502" si="733">V500</f>
        <v>0</v>
      </c>
      <c r="X500" s="176">
        <f t="shared" si="733"/>
        <v>0</v>
      </c>
      <c r="Y500" s="34">
        <f>X500/Calculation_sheet!M$67</f>
        <v>0</v>
      </c>
      <c r="Z500" s="176">
        <f ca="1">IF(AN500&gt;0,Y500*Calculation_sheet!C$87,0)</f>
        <v>0</v>
      </c>
      <c r="AA500" s="176">
        <f ca="1">Y500-Z500</f>
        <v>0</v>
      </c>
      <c r="AB500" s="176">
        <f ca="1">IF(AP500&gt;0,AA500*Calculation_sheet!C$94,0)</f>
        <v>0</v>
      </c>
      <c r="AC500" s="176">
        <f ca="1">AA500-AB500</f>
        <v>0</v>
      </c>
      <c r="AD500" s="958">
        <f ca="1">AC500*Calculation_sheet!C$99</f>
        <v>0</v>
      </c>
      <c r="AE500" s="176">
        <f ca="1">AC500-AD500</f>
        <v>0</v>
      </c>
      <c r="AF500" s="176">
        <f t="shared" ca="1" si="719"/>
        <v>0</v>
      </c>
      <c r="AG500" s="958">
        <f ca="1">AF500*User_sheet!B$77/100</f>
        <v>0</v>
      </c>
      <c r="AI500">
        <v>304</v>
      </c>
      <c r="AK500" s="1018">
        <f t="shared" ca="1" si="679"/>
        <v>121.13162995801292</v>
      </c>
      <c r="AL500" s="924">
        <f ca="1">AK500/'304'!I$24</f>
        <v>0.4790367585787394</v>
      </c>
      <c r="AM500" s="924">
        <f ca="1">0.8*(AK500*30+'304'!D$17*0.34*30*1)</f>
        <v>7075.3809589923103</v>
      </c>
      <c r="AN500" s="954">
        <f ca="1">IF(AM500&lt;User_sheet!B$50,Y500,0)</f>
        <v>0</v>
      </c>
      <c r="AO500" s="954">
        <f ca="1">20-(User_sheet!B$57/(AK500+'304'!D$17*1*0.34))</f>
        <v>0.66535204353387556</v>
      </c>
      <c r="AP500" s="954">
        <f ca="1">IF(AO500&lt;User_sheet!B$59,0,BC500*AA500)</f>
        <v>0</v>
      </c>
      <c r="AR500" s="2">
        <v>0.32</v>
      </c>
      <c r="AS500" s="2">
        <v>0.43</v>
      </c>
      <c r="AT500" s="2">
        <v>0.43</v>
      </c>
      <c r="AU500" s="2">
        <v>2</v>
      </c>
      <c r="AV500" s="2">
        <v>3.3</v>
      </c>
      <c r="AW500" s="2">
        <v>14356</v>
      </c>
      <c r="AX500" s="2">
        <v>74834</v>
      </c>
      <c r="AY500" s="2">
        <v>69246</v>
      </c>
      <c r="AZ500" s="27">
        <v>0</v>
      </c>
      <c r="BA500" s="27">
        <v>0</v>
      </c>
      <c r="BB500" s="2">
        <v>0.6</v>
      </c>
      <c r="BC500" s="30">
        <v>1</v>
      </c>
      <c r="BD500" s="34">
        <v>0</v>
      </c>
      <c r="BE500" s="34">
        <v>0</v>
      </c>
      <c r="BF500" s="40">
        <v>0</v>
      </c>
      <c r="BG500" s="2">
        <v>1</v>
      </c>
      <c r="BH500" s="2">
        <v>0</v>
      </c>
      <c r="BI500" s="40">
        <v>0</v>
      </c>
      <c r="BJ500" s="2">
        <v>1</v>
      </c>
      <c r="BK500" s="2">
        <v>0</v>
      </c>
      <c r="BL500" s="2">
        <v>0</v>
      </c>
      <c r="BM500" s="40">
        <v>0</v>
      </c>
      <c r="BN500" s="958">
        <v>0.02</v>
      </c>
      <c r="BO500" s="959">
        <v>2.5</v>
      </c>
      <c r="BP500" s="1018">
        <f ca="1">INDIRECT("'"&amp;AI500&amp;"'!"&amp;"B2")</f>
        <v>206.38</v>
      </c>
      <c r="BQ500" s="1018">
        <f ca="1">INDIRECT("'"&amp;AI500&amp;"'!"&amp;"C12")+INDIRECT("'"&amp;AI500&amp;"'!"&amp;"C13")+INDIRECT("'"&amp;AI500&amp;"'!"&amp;"C14")+INDIRECT("'"&amp;AI500&amp;"'!"&amp;"C15")+INDIRECT("'"&amp;AI500&amp;"'!"&amp;"C17")</f>
        <v>308.92399999999992</v>
      </c>
      <c r="BR500" s="1018">
        <f ca="1">INDIRECT("'"&amp;AI500&amp;"'!"&amp;"G5")</f>
        <v>90.07</v>
      </c>
      <c r="BS500" s="1018">
        <f ca="1">INDIRECT("'"&amp;AI500&amp;"'!"&amp;"G4")</f>
        <v>65.974999999999994</v>
      </c>
      <c r="BT500" s="1018">
        <f ca="1">INDIRECT("'"&amp;AI500&amp;"'!"&amp;"G6")</f>
        <v>78.88</v>
      </c>
      <c r="BU500" s="1018">
        <f ca="1">INDIRECT("'"&amp;AI500&amp;"'!"&amp;"G2")</f>
        <v>18</v>
      </c>
      <c r="BV500" s="1018">
        <f ca="1">INDIRECT("'"&amp;AI500&amp;"'!"&amp;"G3")</f>
        <v>7.5250000000000004</v>
      </c>
      <c r="BW500" s="1018">
        <v>0</v>
      </c>
      <c r="BX500" s="1018">
        <f t="shared" ref="BX500:BY502" ca="1" si="734">IF(BR500=0,0,1/(1/(BR500*$BY$3)+1/(BR500*AR500)+1/(BR500*$BY$4)))</f>
        <v>27.307731177362307</v>
      </c>
      <c r="BY500" s="1018">
        <f t="shared" ca="1" si="734"/>
        <v>26.40146109939198</v>
      </c>
      <c r="BZ500" s="1018">
        <f t="shared" ca="1" si="680"/>
        <v>10.416681970467799</v>
      </c>
      <c r="CA500" s="1018">
        <f t="shared" ca="1" si="681"/>
        <v>35.999999985599999</v>
      </c>
      <c r="CB500" s="1018">
        <f ca="1">IF(BV500=0,0,1/(1/(BV500*$BY$3)+1/(BV500*AV500)+1/(BV500*$BY$4)))</f>
        <v>15.79675572519084</v>
      </c>
      <c r="CC500" s="1018">
        <f t="shared" si="682"/>
        <v>0</v>
      </c>
      <c r="CD500" s="1018">
        <f ca="1">SUM(BX500:CC500)+(BR500+BS500+BT500+BU500+BV500)*BN500</f>
        <v>121.13162995801292</v>
      </c>
      <c r="CE500" s="1018">
        <f ca="1">0.34*BO500*(1/25)^0.66*(BR500+BS500+BU500+BV500)+0.6*BQ500*0.34*0.2</f>
        <v>31.04671901385111</v>
      </c>
      <c r="CF500" s="1018">
        <f t="shared" ca="1" si="683"/>
        <v>4.5653504691559208</v>
      </c>
      <c r="CG500" s="1018">
        <f t="shared" ca="1" si="684"/>
        <v>7601.1259171258434</v>
      </c>
    </row>
    <row r="501" spans="3:85" x14ac:dyDescent="0.25">
      <c r="F501" s="1"/>
      <c r="H501" s="1"/>
      <c r="J501" s="1"/>
      <c r="M501" s="2" t="s">
        <v>22</v>
      </c>
      <c r="N501" s="26" t="s">
        <v>191</v>
      </c>
      <c r="O501" s="2" t="s">
        <v>18</v>
      </c>
      <c r="P501" s="26">
        <v>1</v>
      </c>
      <c r="Q501" s="2" t="s">
        <v>22</v>
      </c>
      <c r="R501" s="26">
        <v>1</v>
      </c>
      <c r="V501" s="176">
        <f>Calculation_sheet!D46</f>
        <v>0</v>
      </c>
      <c r="W501" s="176">
        <f t="shared" si="733"/>
        <v>0</v>
      </c>
      <c r="X501" s="176">
        <f t="shared" si="733"/>
        <v>0</v>
      </c>
      <c r="Y501" s="34">
        <f>X501/Calculation_sheet!M$67</f>
        <v>0</v>
      </c>
      <c r="Z501" s="176">
        <f ca="1">IF(AN501&gt;0,Y501*Calculation_sheet!C$87,0)</f>
        <v>0</v>
      </c>
      <c r="AA501" s="176">
        <f ca="1">Y501-Z501</f>
        <v>0</v>
      </c>
      <c r="AB501" s="176">
        <f ca="1">IF(AP501&gt;0,AA501*Calculation_sheet!C$94,0)</f>
        <v>0</v>
      </c>
      <c r="AC501" s="176">
        <f ca="1">AA501-AB501</f>
        <v>0</v>
      </c>
      <c r="AD501" s="958">
        <f ca="1">AC501*Calculation_sheet!C$99</f>
        <v>0</v>
      </c>
      <c r="AE501" s="176">
        <f ca="1">AC501-AD501</f>
        <v>0</v>
      </c>
      <c r="AF501" s="176">
        <f t="shared" ca="1" si="719"/>
        <v>0</v>
      </c>
      <c r="AG501" s="958">
        <f ca="1">AF501*User_sheet!B$77/100</f>
        <v>0</v>
      </c>
      <c r="AI501">
        <v>304</v>
      </c>
      <c r="AK501" s="1018">
        <f t="shared" ca="1" si="679"/>
        <v>121.13162995801292</v>
      </c>
      <c r="AL501" s="924">
        <f ca="1">AK501/'304'!I$24</f>
        <v>0.4790367585787394</v>
      </c>
      <c r="AM501" s="924">
        <f ca="1">0.8*(AK501*30+'304'!D$17*0.34*30*1)</f>
        <v>7075.3809589923103</v>
      </c>
      <c r="AN501" s="954">
        <f ca="1">IF(AM501&lt;User_sheet!B$50,Y501,0)</f>
        <v>0</v>
      </c>
      <c r="AO501" s="954">
        <f ca="1">20-(User_sheet!B$57/(AK501+'304'!D$17*1*0.34))</f>
        <v>0.66535204353387556</v>
      </c>
      <c r="AP501" s="954">
        <f ca="1">IF(AO501&lt;User_sheet!B$59,0,BC501*AA501)</f>
        <v>0</v>
      </c>
      <c r="AR501" s="2">
        <v>0.32</v>
      </c>
      <c r="AS501" s="2">
        <v>0.43</v>
      </c>
      <c r="AT501" s="2">
        <v>0.43</v>
      </c>
      <c r="AU501" s="2">
        <v>2</v>
      </c>
      <c r="AV501" s="2">
        <v>3.3</v>
      </c>
      <c r="AW501" s="2">
        <v>14356</v>
      </c>
      <c r="AX501" s="2">
        <v>74834</v>
      </c>
      <c r="AY501" s="2">
        <v>69246</v>
      </c>
      <c r="AZ501" s="27">
        <v>0</v>
      </c>
      <c r="BA501" s="27">
        <v>0</v>
      </c>
      <c r="BB501" s="2">
        <v>0.6</v>
      </c>
      <c r="BC501" s="30">
        <v>0</v>
      </c>
      <c r="BD501" s="34">
        <v>1</v>
      </c>
      <c r="BE501" s="34">
        <v>0</v>
      </c>
      <c r="BF501" s="40">
        <v>0</v>
      </c>
      <c r="BG501" s="2">
        <v>1</v>
      </c>
      <c r="BH501" s="2">
        <v>0</v>
      </c>
      <c r="BI501" s="40">
        <v>0</v>
      </c>
      <c r="BJ501" s="2">
        <v>0</v>
      </c>
      <c r="BK501" s="2">
        <v>1</v>
      </c>
      <c r="BL501" s="2">
        <v>0</v>
      </c>
      <c r="BM501" s="40">
        <v>0</v>
      </c>
      <c r="BN501" s="958">
        <v>0.02</v>
      </c>
      <c r="BO501" s="959">
        <v>2.5</v>
      </c>
      <c r="BP501" s="1018">
        <f ca="1">INDIRECT("'"&amp;AI501&amp;"'!"&amp;"B2")</f>
        <v>206.38</v>
      </c>
      <c r="BQ501" s="1018">
        <f ca="1">INDIRECT("'"&amp;AI501&amp;"'!"&amp;"C12")+INDIRECT("'"&amp;AI501&amp;"'!"&amp;"C13")+INDIRECT("'"&amp;AI501&amp;"'!"&amp;"C14")+INDIRECT("'"&amp;AI501&amp;"'!"&amp;"C15")+INDIRECT("'"&amp;AI501&amp;"'!"&amp;"C17")</f>
        <v>308.92399999999992</v>
      </c>
      <c r="BR501" s="1018">
        <f ca="1">INDIRECT("'"&amp;AI501&amp;"'!"&amp;"G5")</f>
        <v>90.07</v>
      </c>
      <c r="BS501" s="1018">
        <f ca="1">INDIRECT("'"&amp;AI501&amp;"'!"&amp;"G4")</f>
        <v>65.974999999999994</v>
      </c>
      <c r="BT501" s="1018">
        <f ca="1">INDIRECT("'"&amp;AI501&amp;"'!"&amp;"G6")</f>
        <v>78.88</v>
      </c>
      <c r="BU501" s="1018">
        <f ca="1">INDIRECT("'"&amp;AI501&amp;"'!"&amp;"G2")</f>
        <v>18</v>
      </c>
      <c r="BV501" s="1018">
        <f ca="1">INDIRECT("'"&amp;AI501&amp;"'!"&amp;"G3")</f>
        <v>7.5250000000000004</v>
      </c>
      <c r="BW501" s="1018">
        <v>0</v>
      </c>
      <c r="BX501" s="1018">
        <f t="shared" ca="1" si="734"/>
        <v>27.307731177362307</v>
      </c>
      <c r="BY501" s="1018">
        <f t="shared" ca="1" si="734"/>
        <v>26.40146109939198</v>
      </c>
      <c r="BZ501" s="1018">
        <f t="shared" ca="1" si="680"/>
        <v>10.416681970467799</v>
      </c>
      <c r="CA501" s="1018">
        <f t="shared" ca="1" si="681"/>
        <v>35.999999985599999</v>
      </c>
      <c r="CB501" s="1018">
        <f ca="1">IF(BV501=0,0,1/(1/(BV501*$BY$3)+1/(BV501*AV501)+1/(BV501*$BY$4)))</f>
        <v>15.79675572519084</v>
      </c>
      <c r="CC501" s="1018">
        <f t="shared" si="682"/>
        <v>0</v>
      </c>
      <c r="CD501" s="1018">
        <f ca="1">SUM(BX501:CC501)+(BR501+BS501+BT501+BU501+BV501)*BN501</f>
        <v>121.13162995801292</v>
      </c>
      <c r="CE501" s="1018">
        <f t="shared" ref="CE501:CE502" ca="1" si="735">0.34*BO501*(1/25)^0.66*(BR501+BS501+BU501+BV501)+0.6*BQ501*0.34*0.2</f>
        <v>31.04671901385111</v>
      </c>
      <c r="CF501" s="1018">
        <f t="shared" ca="1" si="683"/>
        <v>4.5653504691559208</v>
      </c>
      <c r="CG501" s="1018">
        <f t="shared" ca="1" si="684"/>
        <v>7601.1259171258434</v>
      </c>
    </row>
    <row r="502" spans="3:85" x14ac:dyDescent="0.25">
      <c r="C502" s="1" t="s">
        <v>190</v>
      </c>
      <c r="D502" s="5" t="s">
        <v>191</v>
      </c>
      <c r="E502" t="s">
        <v>4</v>
      </c>
      <c r="F502" s="5">
        <v>1</v>
      </c>
      <c r="G502" t="s">
        <v>5</v>
      </c>
      <c r="H502" s="5">
        <v>1</v>
      </c>
      <c r="I502" t="s">
        <v>6</v>
      </c>
      <c r="J502" s="5">
        <v>1</v>
      </c>
      <c r="K502" t="s">
        <v>12</v>
      </c>
      <c r="L502" s="5">
        <v>1</v>
      </c>
      <c r="M502" s="1" t="s">
        <v>7</v>
      </c>
      <c r="N502" s="26" t="s">
        <v>191</v>
      </c>
      <c r="O502" s="1" t="s">
        <v>23</v>
      </c>
      <c r="P502" s="26">
        <v>1</v>
      </c>
      <c r="Q502" s="1" t="s">
        <v>7</v>
      </c>
      <c r="R502" s="26">
        <v>1</v>
      </c>
      <c r="V502" s="176">
        <f>Calculation_sheet!D47</f>
        <v>0</v>
      </c>
      <c r="W502" s="176">
        <f t="shared" si="733"/>
        <v>0</v>
      </c>
      <c r="X502" s="176">
        <f t="shared" si="733"/>
        <v>0</v>
      </c>
      <c r="Y502" s="34">
        <f>X502/Calculation_sheet!M$67</f>
        <v>0</v>
      </c>
      <c r="Z502" s="176">
        <f ca="1">IF(AN502&gt;0,Y502*Calculation_sheet!C$87,0)</f>
        <v>0</v>
      </c>
      <c r="AA502" s="176">
        <f ca="1">Y502-Z502</f>
        <v>0</v>
      </c>
      <c r="AB502" s="176">
        <f ca="1">IF(AP502&gt;0,AA502*Calculation_sheet!C$94,0)</f>
        <v>0</v>
      </c>
      <c r="AC502" s="176">
        <f ca="1">AA502-AB502</f>
        <v>0</v>
      </c>
      <c r="AD502" s="958">
        <f ca="1">AC502*Calculation_sheet!C$99</f>
        <v>0</v>
      </c>
      <c r="AE502" s="176">
        <f ca="1">AC502-AD502</f>
        <v>0</v>
      </c>
      <c r="AF502" s="176">
        <f t="shared" ca="1" si="719"/>
        <v>0</v>
      </c>
      <c r="AG502" s="958">
        <f ca="1">AF502*User_sheet!B$77/100</f>
        <v>0</v>
      </c>
      <c r="AI502">
        <v>304</v>
      </c>
      <c r="AK502" s="1018">
        <f t="shared" ca="1" si="679"/>
        <v>121.13162995801292</v>
      </c>
      <c r="AL502" s="924">
        <f ca="1">AK502/'304'!I$24</f>
        <v>0.4790367585787394</v>
      </c>
      <c r="AM502" s="924">
        <f ca="1">0.8*(AK502*30+'304'!D$17*0.34*30*1)</f>
        <v>7075.3809589923103</v>
      </c>
      <c r="AN502" s="954">
        <f ca="1">IF(AM502&lt;User_sheet!B$50,Y502,0)</f>
        <v>0</v>
      </c>
      <c r="AO502" s="954">
        <f ca="1">20-(User_sheet!B$57/(AK502+'304'!D$17*1*0.34))</f>
        <v>0.66535204353387556</v>
      </c>
      <c r="AP502" s="954">
        <f ca="1">IF(AO502&lt;User_sheet!B$59,0,BC502*AA502)</f>
        <v>0</v>
      </c>
      <c r="AR502" s="2">
        <v>0.32</v>
      </c>
      <c r="AS502" s="2">
        <v>0.43</v>
      </c>
      <c r="AT502" s="2">
        <v>0.43</v>
      </c>
      <c r="AU502" s="2">
        <v>2</v>
      </c>
      <c r="AV502" s="2">
        <v>3.3</v>
      </c>
      <c r="AW502" s="2">
        <v>14356</v>
      </c>
      <c r="AX502" s="2">
        <v>74834</v>
      </c>
      <c r="AY502" s="2">
        <v>69246</v>
      </c>
      <c r="AZ502" s="27">
        <v>0</v>
      </c>
      <c r="BA502" s="27">
        <v>0</v>
      </c>
      <c r="BB502" s="2">
        <v>0.6</v>
      </c>
      <c r="BC502" s="30">
        <v>0</v>
      </c>
      <c r="BD502" s="199">
        <v>0</v>
      </c>
      <c r="BE502" s="199">
        <v>1</v>
      </c>
      <c r="BF502" s="40">
        <v>0</v>
      </c>
      <c r="BG502" s="199">
        <v>0</v>
      </c>
      <c r="BH502" s="199">
        <v>0</v>
      </c>
      <c r="BI502" s="40">
        <v>1</v>
      </c>
      <c r="BJ502" s="199">
        <v>0</v>
      </c>
      <c r="BK502" s="199">
        <v>0</v>
      </c>
      <c r="BL502" s="199">
        <v>1</v>
      </c>
      <c r="BM502" s="40">
        <v>0</v>
      </c>
      <c r="BN502" s="958">
        <v>0.02</v>
      </c>
      <c r="BO502" s="959">
        <v>2.5</v>
      </c>
      <c r="BP502" s="1018">
        <f ca="1">INDIRECT("'"&amp;AI502&amp;"'!"&amp;"B2")</f>
        <v>206.38</v>
      </c>
      <c r="BQ502" s="1018">
        <f ca="1">INDIRECT("'"&amp;AI502&amp;"'!"&amp;"C12")+INDIRECT("'"&amp;AI502&amp;"'!"&amp;"C13")+INDIRECT("'"&amp;AI502&amp;"'!"&amp;"C14")+INDIRECT("'"&amp;AI502&amp;"'!"&amp;"C15")+INDIRECT("'"&amp;AI502&amp;"'!"&amp;"C17")</f>
        <v>308.92399999999992</v>
      </c>
      <c r="BR502" s="1018">
        <f ca="1">INDIRECT("'"&amp;AI502&amp;"'!"&amp;"G5")</f>
        <v>90.07</v>
      </c>
      <c r="BS502" s="1018">
        <f ca="1">INDIRECT("'"&amp;AI502&amp;"'!"&amp;"G4")</f>
        <v>65.974999999999994</v>
      </c>
      <c r="BT502" s="1018">
        <f ca="1">INDIRECT("'"&amp;AI502&amp;"'!"&amp;"G6")</f>
        <v>78.88</v>
      </c>
      <c r="BU502" s="1018">
        <f ca="1">INDIRECT("'"&amp;AI502&amp;"'!"&amp;"G2")</f>
        <v>18</v>
      </c>
      <c r="BV502" s="1018">
        <f ca="1">INDIRECT("'"&amp;AI502&amp;"'!"&amp;"G3")</f>
        <v>7.5250000000000004</v>
      </c>
      <c r="BW502" s="1018">
        <v>0</v>
      </c>
      <c r="BX502" s="1018">
        <f t="shared" ca="1" si="734"/>
        <v>27.307731177362307</v>
      </c>
      <c r="BY502" s="1018">
        <f t="shared" ca="1" si="734"/>
        <v>26.40146109939198</v>
      </c>
      <c r="BZ502" s="1018">
        <f t="shared" ca="1" si="680"/>
        <v>10.416681970467799</v>
      </c>
      <c r="CA502" s="1018">
        <f t="shared" ca="1" si="681"/>
        <v>35.999999985599999</v>
      </c>
      <c r="CB502" s="1018">
        <f ca="1">IF(BV502=0,0,1/(1/(BV502*$BY$3)+1/(BV502*AV502)+1/(BV502*$BY$4)))</f>
        <v>15.79675572519084</v>
      </c>
      <c r="CC502" s="1018">
        <f t="shared" si="682"/>
        <v>0</v>
      </c>
      <c r="CD502" s="1018">
        <f ca="1">SUM(BX502:CC502)+(BR502+BS502+BT502+BU502+BV502)*BN502</f>
        <v>121.13162995801292</v>
      </c>
      <c r="CE502" s="1018">
        <f t="shared" ca="1" si="735"/>
        <v>31.04671901385111</v>
      </c>
      <c r="CF502" s="1018">
        <f t="shared" ca="1" si="683"/>
        <v>4.5653504691559208</v>
      </c>
      <c r="CG502" s="1018">
        <f t="shared" ca="1" si="684"/>
        <v>7601.1259171258434</v>
      </c>
    </row>
    <row r="503" spans="3:85" s="9" customFormat="1" x14ac:dyDescent="0.25">
      <c r="T503" s="84"/>
      <c r="U503" s="84"/>
      <c r="V503" s="283"/>
      <c r="W503" s="283"/>
      <c r="X503" s="283"/>
      <c r="Y503" s="279"/>
      <c r="Z503" s="279"/>
      <c r="AA503" s="283"/>
      <c r="AB503" s="283"/>
      <c r="AC503" s="283"/>
      <c r="AD503" s="279"/>
      <c r="AE503" s="283"/>
      <c r="AF503" s="283"/>
      <c r="AG503" s="279"/>
      <c r="AH503" s="314"/>
      <c r="AJ503" s="314"/>
      <c r="AN503" s="916"/>
      <c r="AO503" s="916"/>
      <c r="AP503" s="916"/>
      <c r="AQ503" s="314"/>
      <c r="AR503" s="24"/>
      <c r="AS503" s="24"/>
      <c r="AT503" s="24"/>
      <c r="AU503" s="24"/>
      <c r="AV503" s="24"/>
      <c r="AW503" s="24"/>
      <c r="AX503" s="24"/>
      <c r="AY503" s="24"/>
      <c r="AZ503" s="24"/>
      <c r="BA503" s="24"/>
      <c r="BB503" s="24"/>
      <c r="BC503" s="47"/>
      <c r="BD503" s="24"/>
      <c r="BE503" s="24"/>
      <c r="BF503" s="51"/>
      <c r="BG503" s="24"/>
      <c r="BH503" s="24"/>
      <c r="BI503" s="51"/>
      <c r="BJ503" s="24"/>
      <c r="BK503" s="24"/>
      <c r="BL503" s="24"/>
      <c r="BM503" s="51"/>
      <c r="BN503" s="279"/>
      <c r="BO503" s="51"/>
    </row>
    <row r="504" spans="3:85" x14ac:dyDescent="0.25">
      <c r="T504" s="85">
        <f>SUM(T13:T503)</f>
        <v>0.25059922522635397</v>
      </c>
      <c r="Y504" s="34">
        <f>SUM(Y12:Y503)</f>
        <v>0.25060434908553442</v>
      </c>
      <c r="AB504" s="176"/>
      <c r="AN504" s="924">
        <f ca="1">SUM(AN12:AN503)</f>
        <v>0.10118838841496043</v>
      </c>
      <c r="AP504" s="924">
        <f ca="1">SUM(AP12:AP503)</f>
        <v>3.0937700039002116E-2</v>
      </c>
    </row>
    <row r="505" spans="3:85" x14ac:dyDescent="0.25">
      <c r="AB505" s="176"/>
    </row>
  </sheetData>
  <hyperlinks>
    <hyperlink ref="K4" r:id="rId1"/>
    <hyperlink ref="M4" r:id="rId2"/>
    <hyperlink ref="O4" r:id="rId3"/>
    <hyperlink ref="A3" r:id="rId4"/>
    <hyperlink ref="Q4" r:id="rId5"/>
    <hyperlink ref="A4" r:id="rId6"/>
    <hyperlink ref="G4" r:id="rId7"/>
    <hyperlink ref="E4" r:id="rId8"/>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45"/>
  <sheetViews>
    <sheetView topLeftCell="AK163" zoomScale="70" zoomScaleNormal="70" workbookViewId="0">
      <selection activeCell="AQ251" sqref="AQ251"/>
    </sheetView>
  </sheetViews>
  <sheetFormatPr defaultColWidth="11.42578125" defaultRowHeight="15" x14ac:dyDescent="0.25"/>
  <cols>
    <col min="5" max="5" width="20.7109375" customWidth="1"/>
    <col min="6" max="6" width="12.140625" customWidth="1"/>
    <col min="7" max="7" width="20.7109375" customWidth="1"/>
    <col min="15" max="15" width="12.28515625" customWidth="1"/>
    <col min="16" max="16" width="15.42578125" customWidth="1"/>
    <col min="17" max="17" width="13.5703125" customWidth="1"/>
    <col min="18" max="18" width="17.28515625" style="85" customWidth="1"/>
    <col min="19" max="19" width="13" style="882" bestFit="1" customWidth="1"/>
    <col min="20" max="20" width="18.140625" style="34" customWidth="1"/>
    <col min="21" max="22" width="16.5703125" style="176" customWidth="1"/>
    <col min="23" max="23" width="19.7109375" style="176" customWidth="1"/>
    <col min="24" max="24" width="19.7109375" style="958" customWidth="1"/>
    <col min="25" max="26" width="19.7109375" style="176" customWidth="1"/>
    <col min="27" max="27" width="19.7109375" style="958" customWidth="1"/>
    <col min="28" max="28" width="19.7109375" style="176" customWidth="1"/>
    <col min="29" max="29" width="19.7109375" style="958" customWidth="1"/>
    <col min="30" max="31" width="19.7109375" style="176" customWidth="1"/>
    <col min="32" max="32" width="11.42578125" style="311"/>
    <col min="33" max="33" width="18.85546875" style="3" customWidth="1"/>
    <col min="34" max="34" width="18.85546875" style="314" customWidth="1"/>
    <col min="35" max="40" width="18.85546875" style="926" customWidth="1"/>
    <col min="41" max="41" width="18.85546875" style="314" customWidth="1"/>
    <col min="52" max="52" width="11.42578125" style="39"/>
    <col min="53" max="53" width="11.42578125" style="32"/>
    <col min="55" max="55" width="11.42578125" style="39"/>
    <col min="56" max="56" width="11.42578125" style="32"/>
    <col min="58" max="58" width="11.42578125" style="39"/>
    <col min="59" max="59" width="11.42578125" style="32"/>
    <col min="60" max="60" width="11.42578125" style="39"/>
    <col min="61" max="61" width="11.42578125" style="32"/>
    <col min="63" max="63" width="13.7109375" style="39" customWidth="1"/>
    <col min="64" max="65" width="13.7109375" style="931" customWidth="1"/>
    <col min="66" max="66" width="11.42578125" style="32"/>
  </cols>
  <sheetData>
    <row r="1" spans="1:83" ht="27.75" customHeight="1" thickBot="1" x14ac:dyDescent="0.3">
      <c r="A1" s="241" t="s">
        <v>25</v>
      </c>
      <c r="B1" s="197"/>
      <c r="C1" s="197" t="s">
        <v>27</v>
      </c>
      <c r="D1" s="197"/>
      <c r="E1" s="241" t="s">
        <v>26</v>
      </c>
      <c r="F1" s="242"/>
      <c r="G1" s="241" t="s">
        <v>28</v>
      </c>
      <c r="H1" s="242"/>
      <c r="I1" s="241" t="s">
        <v>21</v>
      </c>
      <c r="J1" s="242"/>
      <c r="K1" s="241" t="s">
        <v>48</v>
      </c>
      <c r="L1" s="242"/>
      <c r="M1" s="241" t="s">
        <v>62</v>
      </c>
      <c r="N1" s="242"/>
      <c r="O1" s="241" t="s">
        <v>24</v>
      </c>
      <c r="P1" s="242"/>
      <c r="Q1" s="2"/>
      <c r="R1" s="236" t="s">
        <v>47</v>
      </c>
      <c r="S1" s="875" t="s">
        <v>49</v>
      </c>
      <c r="T1" s="275" t="s">
        <v>185</v>
      </c>
      <c r="U1" s="285" t="s">
        <v>204</v>
      </c>
      <c r="V1" s="285" t="s">
        <v>224</v>
      </c>
      <c r="W1" s="989" t="s">
        <v>270</v>
      </c>
      <c r="X1" s="307" t="s">
        <v>269</v>
      </c>
      <c r="Y1" s="990" t="s">
        <v>278</v>
      </c>
      <c r="Z1" s="997" t="s">
        <v>282</v>
      </c>
      <c r="AA1" s="1004" t="s">
        <v>291</v>
      </c>
      <c r="AB1" s="1006" t="s">
        <v>300</v>
      </c>
      <c r="AC1" s="1004" t="s">
        <v>293</v>
      </c>
      <c r="AD1" s="1006" t="s">
        <v>306</v>
      </c>
      <c r="AE1" s="307" t="s">
        <v>307</v>
      </c>
      <c r="AF1" s="308"/>
      <c r="AG1" s="27" t="s">
        <v>94</v>
      </c>
      <c r="AH1" s="985"/>
      <c r="AI1" s="87" t="s">
        <v>266</v>
      </c>
      <c r="AJ1" s="87" t="s">
        <v>267</v>
      </c>
      <c r="AK1" s="87" t="s">
        <v>271</v>
      </c>
      <c r="AL1" s="87" t="s">
        <v>274</v>
      </c>
      <c r="AM1" s="87" t="s">
        <v>283</v>
      </c>
      <c r="AN1" s="87" t="s">
        <v>287</v>
      </c>
      <c r="AO1" s="985"/>
      <c r="AP1" s="29" t="s">
        <v>82</v>
      </c>
      <c r="AQ1" s="29" t="s">
        <v>83</v>
      </c>
      <c r="AR1" s="29" t="s">
        <v>85</v>
      </c>
      <c r="AS1" s="29" t="s">
        <v>86</v>
      </c>
      <c r="AT1" s="29" t="s">
        <v>87</v>
      </c>
      <c r="AU1" s="29" t="s">
        <v>91</v>
      </c>
      <c r="AV1" s="29" t="s">
        <v>93</v>
      </c>
      <c r="AW1" s="29" t="s">
        <v>116</v>
      </c>
      <c r="AX1" s="29" t="s">
        <v>107</v>
      </c>
      <c r="AY1" s="29" t="s">
        <v>108</v>
      </c>
      <c r="AZ1" s="333" t="s">
        <v>63</v>
      </c>
      <c r="BA1" s="32" t="s">
        <v>70</v>
      </c>
      <c r="BB1" t="s">
        <v>71</v>
      </c>
      <c r="BC1" s="39" t="s">
        <v>72</v>
      </c>
      <c r="BD1" s="32" t="s">
        <v>58</v>
      </c>
      <c r="BE1" t="s">
        <v>75</v>
      </c>
      <c r="BF1" s="39" t="s">
        <v>23</v>
      </c>
      <c r="BG1" s="32" t="s">
        <v>60</v>
      </c>
      <c r="BH1" s="39" t="s">
        <v>61</v>
      </c>
      <c r="BI1" s="32" t="s">
        <v>76</v>
      </c>
      <c r="BJ1" t="s">
        <v>77</v>
      </c>
      <c r="BK1" s="39" t="s">
        <v>78</v>
      </c>
      <c r="BL1" s="958" t="s">
        <v>356</v>
      </c>
      <c r="BM1" s="959" t="s">
        <v>359</v>
      </c>
      <c r="BN1" s="1021" t="s">
        <v>310</v>
      </c>
      <c r="BO1" s="1021" t="s">
        <v>311</v>
      </c>
      <c r="BP1" s="1021" t="s">
        <v>312</v>
      </c>
      <c r="BQ1" s="1021" t="s">
        <v>313</v>
      </c>
      <c r="BR1" s="1021" t="s">
        <v>314</v>
      </c>
      <c r="BS1" s="1021" t="s">
        <v>315</v>
      </c>
      <c r="BT1" s="1021" t="s">
        <v>316</v>
      </c>
      <c r="BU1" s="1021" t="s">
        <v>339</v>
      </c>
      <c r="BV1" s="1021" t="s">
        <v>321</v>
      </c>
      <c r="BW1" s="1021" t="s">
        <v>322</v>
      </c>
      <c r="BX1" s="1021" t="s">
        <v>323</v>
      </c>
      <c r="BY1" s="1021" t="s">
        <v>324</v>
      </c>
      <c r="BZ1" s="1021" t="s">
        <v>325</v>
      </c>
      <c r="CA1" s="1021" t="s">
        <v>340</v>
      </c>
      <c r="CB1" s="1021" t="s">
        <v>326</v>
      </c>
      <c r="CC1" s="1021" t="s">
        <v>327</v>
      </c>
      <c r="CD1" s="1021" t="s">
        <v>336</v>
      </c>
      <c r="CE1" s="1021" t="s">
        <v>338</v>
      </c>
    </row>
    <row r="2" spans="1:83" ht="19.5" customHeight="1" x14ac:dyDescent="0.25">
      <c r="A2" s="53" t="s">
        <v>32</v>
      </c>
      <c r="B2" s="32"/>
      <c r="C2" s="32"/>
      <c r="D2" s="54"/>
      <c r="E2" s="53" t="s">
        <v>31</v>
      </c>
      <c r="F2" s="56"/>
      <c r="G2" s="53" t="s">
        <v>31</v>
      </c>
      <c r="H2" s="56"/>
      <c r="I2" s="63" t="s">
        <v>42</v>
      </c>
      <c r="J2" s="56"/>
      <c r="K2" s="63" t="s">
        <v>42</v>
      </c>
      <c r="L2" s="56"/>
      <c r="M2" s="63" t="s">
        <v>42</v>
      </c>
      <c r="N2" s="56"/>
      <c r="O2" s="63" t="s">
        <v>31</v>
      </c>
      <c r="P2" s="56"/>
      <c r="Q2" s="1"/>
      <c r="R2" s="77"/>
      <c r="S2" s="176" t="s">
        <v>56</v>
      </c>
      <c r="T2" s="276" t="s">
        <v>135</v>
      </c>
      <c r="U2" s="288"/>
      <c r="V2" s="288"/>
      <c r="W2" s="288"/>
      <c r="X2" s="276"/>
      <c r="Y2" s="288"/>
      <c r="Z2" s="288"/>
      <c r="AA2" s="276"/>
      <c r="AB2" s="288"/>
      <c r="AC2" s="276"/>
      <c r="AD2" s="288"/>
      <c r="AE2" s="288"/>
      <c r="AF2" s="309"/>
      <c r="AG2" s="27"/>
      <c r="AH2" s="985"/>
      <c r="AI2" s="87" t="s">
        <v>266</v>
      </c>
      <c r="AJ2" s="87" t="s">
        <v>268</v>
      </c>
      <c r="AK2" s="87" t="s">
        <v>273</v>
      </c>
      <c r="AL2" s="87"/>
      <c r="AM2" s="87" t="s">
        <v>285</v>
      </c>
      <c r="AN2" s="87"/>
      <c r="AO2" s="985"/>
      <c r="AP2" s="29" t="s">
        <v>64</v>
      </c>
      <c r="AQ2" s="29" t="s">
        <v>64</v>
      </c>
      <c r="AR2" s="29" t="s">
        <v>64</v>
      </c>
      <c r="AS2" s="29" t="s">
        <v>64</v>
      </c>
      <c r="AT2" s="29" t="s">
        <v>64</v>
      </c>
      <c r="AU2" s="29" t="s">
        <v>65</v>
      </c>
      <c r="AV2" s="29" t="s">
        <v>65</v>
      </c>
      <c r="AW2" s="29" t="s">
        <v>65</v>
      </c>
      <c r="AX2" s="29" t="s">
        <v>65</v>
      </c>
      <c r="AY2" s="29" t="s">
        <v>65</v>
      </c>
      <c r="AZ2" s="333" t="s">
        <v>66</v>
      </c>
      <c r="BA2" s="32" t="s">
        <v>74</v>
      </c>
      <c r="BB2" t="s">
        <v>74</v>
      </c>
      <c r="BC2" s="39" t="s">
        <v>74</v>
      </c>
      <c r="BD2" s="32" t="s">
        <v>74</v>
      </c>
      <c r="BE2" t="s">
        <v>74</v>
      </c>
      <c r="BF2" s="39" t="s">
        <v>74</v>
      </c>
      <c r="BG2" s="32" t="s">
        <v>74</v>
      </c>
      <c r="BH2" s="39" t="s">
        <v>74</v>
      </c>
      <c r="BI2" s="32" t="s">
        <v>74</v>
      </c>
      <c r="BJ2" t="s">
        <v>74</v>
      </c>
      <c r="BK2" s="39" t="s">
        <v>74</v>
      </c>
      <c r="BL2" s="958" t="s">
        <v>357</v>
      </c>
      <c r="BM2" s="959" t="s">
        <v>360</v>
      </c>
      <c r="BN2" s="1021" t="s">
        <v>317</v>
      </c>
      <c r="BO2" s="1021" t="s">
        <v>317</v>
      </c>
      <c r="BP2" s="1021" t="s">
        <v>317</v>
      </c>
      <c r="BQ2" s="1021" t="s">
        <v>317</v>
      </c>
      <c r="BR2" s="1021" t="s">
        <v>317</v>
      </c>
      <c r="BS2" s="1021" t="s">
        <v>317</v>
      </c>
      <c r="BT2" s="1021" t="s">
        <v>317</v>
      </c>
      <c r="BU2" s="1021"/>
      <c r="BV2" s="1020" t="s">
        <v>265</v>
      </c>
      <c r="BW2" s="1020" t="s">
        <v>265</v>
      </c>
      <c r="BX2" s="1020" t="s">
        <v>265</v>
      </c>
      <c r="BY2" s="1020" t="s">
        <v>265</v>
      </c>
      <c r="BZ2" s="1020" t="s">
        <v>265</v>
      </c>
      <c r="CA2" s="1020" t="s">
        <v>265</v>
      </c>
      <c r="CB2" s="1020" t="s">
        <v>265</v>
      </c>
      <c r="CC2" s="1020" t="s">
        <v>265</v>
      </c>
      <c r="CD2" s="1020" t="s">
        <v>337</v>
      </c>
      <c r="CE2" s="1018"/>
    </row>
    <row r="3" spans="1:83" ht="19.5" customHeight="1" x14ac:dyDescent="0.25">
      <c r="A3" s="57" t="s">
        <v>51</v>
      </c>
      <c r="B3" s="32"/>
      <c r="C3" s="32"/>
      <c r="D3" s="54"/>
      <c r="E3" s="53" t="s">
        <v>33</v>
      </c>
      <c r="F3" s="56"/>
      <c r="G3" s="53" t="s">
        <v>34</v>
      </c>
      <c r="H3" s="56"/>
      <c r="I3" s="64"/>
      <c r="J3" s="56" t="s">
        <v>41</v>
      </c>
      <c r="K3" s="64"/>
      <c r="L3" s="56" t="s">
        <v>41</v>
      </c>
      <c r="M3" s="64"/>
      <c r="N3" s="56" t="s">
        <v>41</v>
      </c>
      <c r="O3" s="63" t="s">
        <v>34</v>
      </c>
      <c r="P3" s="56"/>
      <c r="Q3" s="1"/>
      <c r="R3" s="77"/>
      <c r="T3" s="276" t="s">
        <v>134</v>
      </c>
      <c r="U3" s="288" t="s">
        <v>205</v>
      </c>
      <c r="V3" s="288" t="s">
        <v>205</v>
      </c>
      <c r="W3" s="288"/>
      <c r="X3" s="276"/>
      <c r="Y3" s="288"/>
      <c r="Z3" s="288"/>
      <c r="AA3" s="276"/>
      <c r="AB3" s="288"/>
      <c r="AC3" s="276"/>
      <c r="AD3" s="288"/>
      <c r="AE3" s="288"/>
      <c r="AF3" s="309"/>
      <c r="AG3" s="75" t="s">
        <v>97</v>
      </c>
      <c r="AH3" s="984"/>
      <c r="AI3" s="954"/>
      <c r="AJ3" s="954"/>
      <c r="AK3" s="954"/>
      <c r="AL3" s="954"/>
      <c r="AM3" s="954"/>
      <c r="AN3" s="954"/>
      <c r="AO3" s="984"/>
      <c r="AP3" s="29" t="s">
        <v>81</v>
      </c>
      <c r="AQ3" s="29" t="s">
        <v>84</v>
      </c>
      <c r="AR3" s="29" t="s">
        <v>90</v>
      </c>
      <c r="AS3" s="29" t="s">
        <v>89</v>
      </c>
      <c r="AT3" s="29" t="s">
        <v>88</v>
      </c>
      <c r="AU3" s="29" t="s">
        <v>92</v>
      </c>
      <c r="AV3" s="29" t="s">
        <v>95</v>
      </c>
      <c r="AW3" s="29" t="s">
        <v>98</v>
      </c>
      <c r="AX3" s="29" t="s">
        <v>109</v>
      </c>
      <c r="AY3" s="29" t="s">
        <v>110</v>
      </c>
      <c r="AZ3" s="333" t="s">
        <v>67</v>
      </c>
      <c r="BL3" s="958" t="s">
        <v>358</v>
      </c>
      <c r="BM3" s="959" t="s">
        <v>361</v>
      </c>
      <c r="BN3" s="1018"/>
      <c r="BO3" s="1018"/>
      <c r="BP3" s="1018"/>
      <c r="BQ3" s="1018"/>
      <c r="BR3" s="1018"/>
      <c r="BS3" s="1016"/>
      <c r="BT3" s="1015" t="s">
        <v>335</v>
      </c>
      <c r="BU3" s="1015"/>
      <c r="BV3" s="1014" t="s">
        <v>318</v>
      </c>
      <c r="BW3" s="1018">
        <v>7.5</v>
      </c>
      <c r="BX3" s="1018" t="s">
        <v>320</v>
      </c>
      <c r="BY3" s="1018"/>
      <c r="BZ3" s="1018"/>
      <c r="CA3" s="1018"/>
      <c r="CB3" s="1018"/>
      <c r="CC3" s="1018"/>
      <c r="CD3" s="1018"/>
      <c r="CE3" s="1018"/>
    </row>
    <row r="4" spans="1:83" x14ac:dyDescent="0.25">
      <c r="A4" s="57" t="s">
        <v>52</v>
      </c>
      <c r="B4" s="32"/>
      <c r="C4" s="32"/>
      <c r="D4" s="54"/>
      <c r="E4" s="57" t="s">
        <v>50</v>
      </c>
      <c r="F4" s="56" t="s">
        <v>41</v>
      </c>
      <c r="G4" s="57" t="s">
        <v>50</v>
      </c>
      <c r="H4" s="56" t="s">
        <v>41</v>
      </c>
      <c r="I4" s="64" t="s">
        <v>40</v>
      </c>
      <c r="J4" s="56" t="s">
        <v>41</v>
      </c>
      <c r="K4" s="64" t="s">
        <v>40</v>
      </c>
      <c r="L4" s="56" t="s">
        <v>41</v>
      </c>
      <c r="M4" s="64" t="s">
        <v>40</v>
      </c>
      <c r="N4" s="56" t="s">
        <v>41</v>
      </c>
      <c r="O4" s="64" t="s">
        <v>50</v>
      </c>
      <c r="P4" s="56" t="s">
        <v>41</v>
      </c>
      <c r="Q4" s="1" t="s">
        <v>41</v>
      </c>
      <c r="R4" s="77"/>
      <c r="AF4" s="309"/>
      <c r="AG4" s="27" t="s">
        <v>96</v>
      </c>
      <c r="AH4" s="985"/>
      <c r="AI4" s="954" t="s">
        <v>265</v>
      </c>
      <c r="AJ4" s="954" t="s">
        <v>68</v>
      </c>
      <c r="AK4" s="954" t="s">
        <v>272</v>
      </c>
      <c r="AL4" s="954" t="s">
        <v>286</v>
      </c>
      <c r="AM4" s="954" t="s">
        <v>284</v>
      </c>
      <c r="AN4" s="954" t="s">
        <v>286</v>
      </c>
      <c r="AO4" s="985"/>
      <c r="AP4" s="29" t="s">
        <v>68</v>
      </c>
      <c r="AQ4" s="29" t="s">
        <v>68</v>
      </c>
      <c r="AR4" s="29" t="s">
        <v>68</v>
      </c>
      <c r="AS4" s="29" t="s">
        <v>68</v>
      </c>
      <c r="AT4" s="29" t="s">
        <v>68</v>
      </c>
      <c r="AU4" s="29" t="s">
        <v>69</v>
      </c>
      <c r="AV4" s="29" t="s">
        <v>69</v>
      </c>
      <c r="AW4" s="29" t="s">
        <v>69</v>
      </c>
      <c r="AX4" s="29" t="s">
        <v>69</v>
      </c>
      <c r="AY4" s="29" t="s">
        <v>69</v>
      </c>
      <c r="AZ4" s="333"/>
      <c r="BA4" s="32" t="s">
        <v>80</v>
      </c>
      <c r="BB4" t="s">
        <v>80</v>
      </c>
      <c r="BC4" s="39" t="s">
        <v>80</v>
      </c>
      <c r="BD4" s="32" t="s">
        <v>80</v>
      </c>
      <c r="BE4" t="s">
        <v>80</v>
      </c>
      <c r="BF4" s="39" t="s">
        <v>80</v>
      </c>
      <c r="BG4" s="32" t="s">
        <v>80</v>
      </c>
      <c r="BH4" s="39" t="s">
        <v>80</v>
      </c>
      <c r="BI4" s="32" t="s">
        <v>80</v>
      </c>
      <c r="BJ4" t="s">
        <v>80</v>
      </c>
      <c r="BK4" s="39" t="s">
        <v>80</v>
      </c>
      <c r="BN4" s="1018"/>
      <c r="BO4" s="1018"/>
      <c r="BP4" s="1018"/>
      <c r="BQ4" s="1018"/>
      <c r="BR4" s="1018"/>
      <c r="BS4" s="1018"/>
      <c r="BT4" s="1021" t="s">
        <v>344</v>
      </c>
      <c r="BU4" s="1018"/>
      <c r="BV4" s="1014" t="s">
        <v>319</v>
      </c>
      <c r="BW4" s="1018">
        <v>25</v>
      </c>
      <c r="BX4" s="1018" t="s">
        <v>320</v>
      </c>
      <c r="BY4" s="1018"/>
      <c r="BZ4" s="1018"/>
      <c r="CA4" s="1018"/>
      <c r="CB4" s="1018"/>
      <c r="CC4" s="1018"/>
      <c r="CD4" s="1018"/>
      <c r="CE4" s="1018"/>
    </row>
    <row r="5" spans="1:83" x14ac:dyDescent="0.25">
      <c r="A5" s="53"/>
      <c r="B5" s="32"/>
      <c r="C5" s="32"/>
      <c r="D5" s="54"/>
      <c r="E5" s="53"/>
      <c r="F5" s="56"/>
      <c r="G5" s="53" t="s">
        <v>53</v>
      </c>
      <c r="H5" s="56"/>
      <c r="I5" s="65"/>
      <c r="J5" s="56"/>
      <c r="K5" s="65"/>
      <c r="L5" s="56"/>
      <c r="M5" s="65"/>
      <c r="N5" s="56"/>
      <c r="O5" s="63" t="s">
        <v>43</v>
      </c>
      <c r="P5" s="56"/>
      <c r="Q5" s="1"/>
      <c r="R5" s="77"/>
      <c r="AF5" s="309"/>
      <c r="AG5" s="27"/>
      <c r="AH5" s="985"/>
      <c r="AI5" s="924"/>
      <c r="AJ5" s="924"/>
      <c r="AK5" s="924"/>
      <c r="AL5" s="954"/>
      <c r="AM5" s="954"/>
      <c r="AN5" s="954"/>
      <c r="AO5" s="985"/>
      <c r="BN5" s="1018"/>
      <c r="BO5" s="1018"/>
      <c r="BP5" s="1018"/>
      <c r="BQ5" s="1018"/>
      <c r="BR5" s="1018"/>
      <c r="BS5" s="1014" t="s">
        <v>330</v>
      </c>
      <c r="BT5" s="1018">
        <v>-10</v>
      </c>
      <c r="BU5" s="1018"/>
      <c r="BV5" s="1014" t="s">
        <v>328</v>
      </c>
      <c r="BW5" s="1019">
        <v>10000000000</v>
      </c>
      <c r="BX5" s="1018" t="s">
        <v>320</v>
      </c>
      <c r="BY5" s="1018"/>
      <c r="BZ5" s="1018"/>
      <c r="CA5" s="1018"/>
      <c r="CB5" s="1018"/>
      <c r="CC5" s="1018"/>
      <c r="CD5" s="1018"/>
      <c r="CE5" s="1018"/>
    </row>
    <row r="6" spans="1:83" x14ac:dyDescent="0.25">
      <c r="A6" s="53"/>
      <c r="B6" s="32"/>
      <c r="C6" s="32"/>
      <c r="D6" s="54"/>
      <c r="E6" s="53"/>
      <c r="F6" s="56"/>
      <c r="G6" s="53" t="s">
        <v>35</v>
      </c>
      <c r="H6" s="56"/>
      <c r="I6" s="65"/>
      <c r="J6" s="56"/>
      <c r="K6" s="65"/>
      <c r="L6" s="56"/>
      <c r="M6" s="65"/>
      <c r="N6" s="56"/>
      <c r="O6" s="63" t="s">
        <v>44</v>
      </c>
      <c r="P6" s="56"/>
      <c r="Q6" s="1"/>
      <c r="R6" s="77"/>
      <c r="AF6" s="309"/>
      <c r="AG6" s="27"/>
      <c r="AH6" s="985"/>
      <c r="AI6" s="956"/>
      <c r="AJ6" s="956"/>
      <c r="AK6" s="956"/>
      <c r="AL6" s="954"/>
      <c r="AM6" s="954"/>
      <c r="AN6" s="954"/>
      <c r="AO6" s="985"/>
      <c r="BN6" s="1018"/>
      <c r="BO6" s="1018"/>
      <c r="BP6" s="1018"/>
      <c r="BQ6" s="1018"/>
      <c r="BR6" s="1018"/>
      <c r="BS6" s="1014" t="s">
        <v>342</v>
      </c>
      <c r="BT6" s="1018">
        <v>2087</v>
      </c>
      <c r="BU6" s="1018"/>
      <c r="BV6" s="1014" t="s">
        <v>329</v>
      </c>
      <c r="BW6" s="1019">
        <v>10000000000</v>
      </c>
      <c r="BX6" s="1018" t="s">
        <v>320</v>
      </c>
      <c r="BY6" s="1018"/>
      <c r="BZ6" s="1018"/>
      <c r="CA6" s="1018"/>
      <c r="CB6" s="1018"/>
      <c r="CC6" s="1018"/>
      <c r="CD6" s="1018"/>
      <c r="CE6" s="1018"/>
    </row>
    <row r="7" spans="1:83" x14ac:dyDescent="0.25">
      <c r="A7" s="53"/>
      <c r="B7" s="32"/>
      <c r="C7" s="32"/>
      <c r="D7" s="54"/>
      <c r="E7" s="53"/>
      <c r="F7" s="56"/>
      <c r="G7" s="53"/>
      <c r="H7" s="56"/>
      <c r="I7" s="65"/>
      <c r="J7" s="56"/>
      <c r="K7" s="65"/>
      <c r="L7" s="56"/>
      <c r="M7" s="65"/>
      <c r="N7" s="56"/>
      <c r="O7" s="65" t="s">
        <v>45</v>
      </c>
      <c r="P7" s="56"/>
      <c r="Q7" s="1"/>
      <c r="R7" s="77"/>
      <c r="AF7" s="309"/>
      <c r="AG7" s="27"/>
      <c r="AH7" s="985"/>
      <c r="AI7" s="956"/>
      <c r="AJ7" s="956"/>
      <c r="AK7" s="956"/>
      <c r="AL7" s="954"/>
      <c r="AM7" s="954"/>
      <c r="AN7" s="954"/>
      <c r="AO7" s="985"/>
      <c r="BN7" s="1018"/>
      <c r="BO7" s="1018"/>
      <c r="BP7" s="1018"/>
      <c r="BQ7" s="1018"/>
      <c r="BR7" s="1018"/>
      <c r="BS7" s="1014" t="s">
        <v>347</v>
      </c>
      <c r="BT7" s="1018">
        <v>6.4</v>
      </c>
      <c r="BU7" s="1018"/>
      <c r="BV7" s="1014" t="s">
        <v>331</v>
      </c>
      <c r="BW7" s="1018">
        <v>20</v>
      </c>
      <c r="BX7" s="1018" t="s">
        <v>284</v>
      </c>
      <c r="BY7" s="1018"/>
      <c r="BZ7" s="1018"/>
      <c r="CA7" s="1018"/>
      <c r="CB7" s="1018"/>
      <c r="CC7" s="1018"/>
      <c r="CD7" s="1018"/>
      <c r="CE7" s="1018"/>
    </row>
    <row r="8" spans="1:83" x14ac:dyDescent="0.25">
      <c r="A8" s="53"/>
      <c r="B8" s="32"/>
      <c r="C8" s="32"/>
      <c r="D8" s="54"/>
      <c r="E8" s="53"/>
      <c r="F8" s="56"/>
      <c r="G8" s="53"/>
      <c r="H8" s="56"/>
      <c r="I8" s="65"/>
      <c r="J8" s="56"/>
      <c r="K8" s="65"/>
      <c r="L8" s="56"/>
      <c r="M8" s="65"/>
      <c r="N8" s="56"/>
      <c r="O8" s="65"/>
      <c r="P8" s="56"/>
      <c r="Q8" s="1"/>
      <c r="R8" s="77"/>
      <c r="AF8" s="309"/>
      <c r="AG8" s="27"/>
      <c r="AH8" s="985"/>
      <c r="AI8" s="956"/>
      <c r="AJ8" s="956"/>
      <c r="AK8" s="956"/>
      <c r="AL8" s="954"/>
      <c r="AM8" s="954"/>
      <c r="AN8" s="954"/>
      <c r="AO8" s="985"/>
      <c r="BN8" s="1018"/>
      <c r="BO8" s="1018"/>
      <c r="BP8" s="1018"/>
      <c r="BQ8" s="1018"/>
      <c r="BR8" s="1018"/>
      <c r="BS8" s="1014" t="s">
        <v>343</v>
      </c>
      <c r="BT8" s="1018">
        <v>242</v>
      </c>
      <c r="BU8" s="1018"/>
      <c r="BV8" s="1014" t="s">
        <v>332</v>
      </c>
      <c r="BW8" s="1018">
        <v>2</v>
      </c>
      <c r="BX8" s="1018" t="s">
        <v>284</v>
      </c>
      <c r="BY8" s="1018"/>
      <c r="BZ8" s="1018"/>
      <c r="CA8" s="1018"/>
      <c r="CB8" s="1018"/>
      <c r="CC8" s="1018"/>
      <c r="CD8" s="1018"/>
      <c r="CE8" s="1018"/>
    </row>
    <row r="9" spans="1:83" x14ac:dyDescent="0.25">
      <c r="A9" s="53"/>
      <c r="B9" s="32"/>
      <c r="C9" s="32"/>
      <c r="D9" s="54"/>
      <c r="E9" s="53"/>
      <c r="F9" s="56"/>
      <c r="G9" s="53"/>
      <c r="H9" s="56"/>
      <c r="I9" s="65"/>
      <c r="J9" s="56"/>
      <c r="K9" s="65"/>
      <c r="L9" s="56"/>
      <c r="M9" s="65"/>
      <c r="N9" s="56"/>
      <c r="O9" s="63" t="s">
        <v>46</v>
      </c>
      <c r="P9" s="56"/>
      <c r="Q9" s="1"/>
      <c r="R9" s="77"/>
      <c r="AF9" s="309"/>
      <c r="AG9" s="27"/>
      <c r="AH9" s="985"/>
      <c r="AI9" s="956"/>
      <c r="AJ9" s="956"/>
      <c r="AK9" s="956"/>
      <c r="AL9" s="954"/>
      <c r="AM9" s="954"/>
      <c r="AN9" s="954"/>
      <c r="AO9" s="985"/>
      <c r="BN9" s="1018"/>
      <c r="BO9" s="1018"/>
      <c r="BP9" s="1018"/>
      <c r="BQ9" s="1018"/>
      <c r="BR9" s="1018"/>
      <c r="BS9" s="1018"/>
      <c r="BT9" s="1018"/>
      <c r="BU9" s="1018"/>
      <c r="BV9" s="1014" t="s">
        <v>333</v>
      </c>
      <c r="BW9" s="1018">
        <v>3</v>
      </c>
      <c r="BX9" s="1018" t="s">
        <v>334</v>
      </c>
      <c r="BY9" s="1018"/>
      <c r="BZ9" s="1018"/>
      <c r="CA9" s="1018"/>
      <c r="CB9" s="1018"/>
      <c r="CC9" s="1018"/>
      <c r="CD9" s="1018"/>
      <c r="CE9" s="1018"/>
    </row>
    <row r="10" spans="1:83" x14ac:dyDescent="0.25">
      <c r="A10" s="53"/>
      <c r="B10" s="32"/>
      <c r="C10" s="32"/>
      <c r="D10" s="54"/>
      <c r="E10" s="53"/>
      <c r="F10" s="56"/>
      <c r="G10" s="53"/>
      <c r="H10" s="56"/>
      <c r="I10" s="65"/>
      <c r="J10" s="56"/>
      <c r="K10" s="65"/>
      <c r="L10" s="56"/>
      <c r="M10" s="65"/>
      <c r="N10" s="56"/>
      <c r="O10" s="65"/>
      <c r="P10" s="56"/>
      <c r="Q10" s="1"/>
      <c r="R10" s="77"/>
      <c r="AF10" s="309"/>
      <c r="AG10" s="27"/>
      <c r="AH10" s="985"/>
      <c r="AI10" s="956"/>
      <c r="AJ10" s="956"/>
      <c r="AK10" s="956"/>
      <c r="AL10" s="954"/>
      <c r="AM10" s="954"/>
      <c r="AN10" s="954"/>
      <c r="AO10" s="985"/>
      <c r="BN10" s="1018"/>
      <c r="BO10" s="1018"/>
      <c r="BP10" s="1018"/>
      <c r="BQ10" s="1018"/>
      <c r="BR10" s="1018"/>
      <c r="BS10" s="1018"/>
      <c r="BT10" s="1018"/>
      <c r="BU10" s="1018"/>
      <c r="BV10" s="1014" t="s">
        <v>341</v>
      </c>
      <c r="BW10" s="1016">
        <f>BW7-BW8-BW9</f>
        <v>15</v>
      </c>
      <c r="BX10" s="1018" t="s">
        <v>334</v>
      </c>
      <c r="BY10" s="1018"/>
      <c r="BZ10" s="1018"/>
      <c r="CA10" s="1018"/>
      <c r="CB10" s="1018"/>
      <c r="CC10" s="1018"/>
      <c r="CD10" s="1018"/>
      <c r="CE10" s="1018"/>
    </row>
    <row r="11" spans="1:83" ht="15.75" thickBot="1" x14ac:dyDescent="0.3">
      <c r="A11" s="59"/>
      <c r="B11" s="60"/>
      <c r="C11" s="60"/>
      <c r="D11" s="61"/>
      <c r="E11" s="59"/>
      <c r="F11" s="62"/>
      <c r="G11" s="59"/>
      <c r="H11" s="62"/>
      <c r="I11" s="66"/>
      <c r="J11" s="62"/>
      <c r="K11" s="66"/>
      <c r="L11" s="62"/>
      <c r="M11" s="66"/>
      <c r="N11" s="62"/>
      <c r="O11" s="66"/>
      <c r="P11" s="62"/>
      <c r="Q11" s="1"/>
      <c r="R11" s="77"/>
      <c r="AF11" s="309"/>
      <c r="AG11" s="27"/>
      <c r="AH11" s="985"/>
      <c r="AI11" s="956"/>
      <c r="AJ11" s="956"/>
      <c r="AK11" s="956"/>
      <c r="AL11" s="954"/>
      <c r="AM11" s="954"/>
      <c r="AN11" s="954"/>
      <c r="AO11" s="985"/>
      <c r="BN11" s="1018"/>
      <c r="BO11" s="1018"/>
      <c r="BP11" s="1018"/>
      <c r="BQ11" s="1018"/>
      <c r="BR11" s="1018"/>
      <c r="BS11" s="1018"/>
      <c r="BT11" s="1018"/>
      <c r="BU11" s="1018"/>
      <c r="BV11" s="1014" t="s">
        <v>345</v>
      </c>
      <c r="BW11" s="926">
        <v>0.8</v>
      </c>
      <c r="BX11" s="1018" t="s">
        <v>346</v>
      </c>
      <c r="BY11" s="1018"/>
      <c r="BZ11" s="1018"/>
      <c r="CA11" s="1018"/>
      <c r="CB11" s="1018"/>
      <c r="CC11" s="1018"/>
      <c r="CD11" s="1018"/>
      <c r="CE11" s="1018"/>
    </row>
    <row r="12" spans="1:83" s="20" customFormat="1" x14ac:dyDescent="0.25">
      <c r="D12" s="21"/>
      <c r="F12" s="21"/>
      <c r="H12" s="21"/>
      <c r="I12" s="21"/>
      <c r="J12" s="21"/>
      <c r="K12" s="21"/>
      <c r="L12" s="21"/>
      <c r="M12" s="21"/>
      <c r="N12" s="21"/>
      <c r="O12" s="21"/>
      <c r="P12" s="21"/>
      <c r="Q12" s="21"/>
      <c r="R12" s="78"/>
      <c r="S12" s="272"/>
      <c r="T12" s="233"/>
      <c r="U12" s="291"/>
      <c r="V12" s="291"/>
      <c r="W12" s="291"/>
      <c r="X12" s="233"/>
      <c r="Y12" s="291"/>
      <c r="Z12" s="291"/>
      <c r="AA12" s="233"/>
      <c r="AB12" s="291"/>
      <c r="AC12" s="233"/>
      <c r="AD12" s="291"/>
      <c r="AE12" s="291"/>
      <c r="AF12" s="309"/>
      <c r="AG12" s="73"/>
      <c r="AH12" s="985"/>
      <c r="AI12" s="73"/>
      <c r="AJ12" s="73"/>
      <c r="AK12" s="73"/>
      <c r="AL12" s="43"/>
      <c r="AM12" s="43"/>
      <c r="AN12" s="43"/>
      <c r="AO12" s="985"/>
      <c r="AZ12" s="41"/>
      <c r="BA12" s="35"/>
      <c r="BC12" s="41"/>
      <c r="BD12" s="35"/>
      <c r="BF12" s="41"/>
      <c r="BG12" s="35"/>
      <c r="BH12" s="41"/>
      <c r="BI12" s="35"/>
      <c r="BK12" s="41"/>
      <c r="BL12" s="35"/>
      <c r="BM12" s="35"/>
    </row>
    <row r="13" spans="1:83" x14ac:dyDescent="0.25">
      <c r="A13" s="781"/>
      <c r="B13" s="781"/>
      <c r="C13" s="781"/>
      <c r="D13" s="782"/>
      <c r="E13" s="781"/>
      <c r="F13" s="782"/>
      <c r="G13" s="781"/>
      <c r="H13" s="782"/>
      <c r="I13" s="786"/>
      <c r="J13" s="786"/>
      <c r="K13" s="786"/>
      <c r="L13" s="786"/>
      <c r="M13" s="786" t="s">
        <v>60</v>
      </c>
      <c r="N13" s="786">
        <v>0.75</v>
      </c>
      <c r="O13" s="783" t="s">
        <v>16</v>
      </c>
      <c r="P13" s="786">
        <v>0.5625</v>
      </c>
      <c r="Q13" s="782"/>
      <c r="R13" s="791">
        <v>1.8710696813760005E-3</v>
      </c>
      <c r="S13" s="876"/>
      <c r="T13" s="34">
        <f>R13</f>
        <v>1.8710696813760005E-3</v>
      </c>
      <c r="U13" s="176">
        <f>T13</f>
        <v>1.8710696813760005E-3</v>
      </c>
      <c r="V13" s="176">
        <f>U13</f>
        <v>1.8710696813760005E-3</v>
      </c>
      <c r="W13" s="176">
        <f>V13/Calculation_sheet!M$67</f>
        <v>1.871107938068756E-3</v>
      </c>
      <c r="X13" s="958">
        <f ca="1">IF(AL13&gt;0,W13*Calculation_sheet!C$87,0)</f>
        <v>0</v>
      </c>
      <c r="Y13" s="176">
        <f t="shared" ref="Y13:Y25" ca="1" si="0">W13-X13</f>
        <v>1.871107938068756E-3</v>
      </c>
      <c r="Z13" s="176">
        <f>IF(AN13&gt;0,Y13*Calculation_sheet!C$94,0)</f>
        <v>0</v>
      </c>
      <c r="AA13" s="958">
        <f t="shared" ref="AA13:AC25" ca="1" si="1">Y13-Z13</f>
        <v>1.871107938068756E-3</v>
      </c>
      <c r="AB13" s="176">
        <f ca="1">AA13*Calculation_sheet!C$99</f>
        <v>1.1226647628412535E-3</v>
      </c>
      <c r="AC13" s="958">
        <f t="shared" ca="1" si="1"/>
        <v>7.4844317522750254E-4</v>
      </c>
      <c r="AD13" s="176">
        <f>W13-Z13</f>
        <v>1.871107938068756E-3</v>
      </c>
      <c r="AE13" s="176">
        <f>AD13*User_sheet!B$77/100</f>
        <v>0</v>
      </c>
      <c r="AF13" s="309"/>
      <c r="AG13" s="27">
        <v>401</v>
      </c>
      <c r="AH13" s="985"/>
      <c r="AI13" s="956">
        <f ca="1">CB13</f>
        <v>91.581809245463646</v>
      </c>
      <c r="AJ13" s="956">
        <f ca="1">AI13/'401'!I$24</f>
        <v>0.47854885849417189</v>
      </c>
      <c r="AK13" s="956">
        <f ca="1">0.8*(AI13*30+'401'!D$17*0.34*30*1)</f>
        <v>4811.7297418911285</v>
      </c>
      <c r="AL13" s="954">
        <f ca="1">IF(AK13&lt;User_sheet!B$50,W13,0)</f>
        <v>1.871107938068756E-3</v>
      </c>
      <c r="AM13" s="954">
        <f ca="1">20-(User_sheet!B$57/(AI13+'401'!D$17*1*0.34))</f>
        <v>-8.4305244346982455</v>
      </c>
      <c r="AN13" s="954"/>
      <c r="AO13" s="985"/>
      <c r="AP13" s="2">
        <v>0</v>
      </c>
      <c r="AQ13" s="2">
        <v>0.66</v>
      </c>
      <c r="AR13" s="2">
        <v>0</v>
      </c>
      <c r="AS13" s="2">
        <v>2.75</v>
      </c>
      <c r="AT13" s="2">
        <v>0</v>
      </c>
      <c r="AU13" s="2">
        <v>0</v>
      </c>
      <c r="AV13" s="2">
        <v>68297.998190252794</v>
      </c>
      <c r="AW13" s="2">
        <v>0</v>
      </c>
      <c r="AX13" s="2">
        <v>0</v>
      </c>
      <c r="AY13" s="2">
        <v>0</v>
      </c>
      <c r="AZ13" s="50">
        <v>0.6</v>
      </c>
      <c r="BA13" s="34">
        <v>1</v>
      </c>
      <c r="BB13" s="34">
        <v>0</v>
      </c>
      <c r="BC13" s="40">
        <v>0</v>
      </c>
      <c r="BD13" s="34">
        <v>1</v>
      </c>
      <c r="BE13" s="34">
        <v>0</v>
      </c>
      <c r="BF13" s="40">
        <v>0</v>
      </c>
      <c r="BG13" s="34">
        <v>1</v>
      </c>
      <c r="BH13" s="40">
        <v>0</v>
      </c>
      <c r="BI13" s="34">
        <v>1</v>
      </c>
      <c r="BJ13" s="34">
        <v>0</v>
      </c>
      <c r="BK13" s="40">
        <v>0</v>
      </c>
      <c r="BL13" s="958">
        <v>0.15</v>
      </c>
      <c r="BM13" s="958">
        <v>6</v>
      </c>
      <c r="BN13" s="1018">
        <f t="shared" ref="BN13:BN25" ca="1" si="2">INDIRECT("'"&amp;AG13&amp;"'!"&amp;"B2")</f>
        <v>97.065000000000012</v>
      </c>
      <c r="BO13" s="1018">
        <f t="shared" ref="BO13:BO25" ca="1" si="3">INDIRECT("'"&amp;AG13&amp;"'!"&amp;"C12")+INDIRECT("'"&amp;AG13&amp;"'!"&amp;"C13")+INDIRECT("'"&amp;AG13&amp;"'!"&amp;"C14")+INDIRECT("'"&amp;AG13&amp;"'!"&amp;"C15")+INDIRECT("'"&amp;AG13&amp;"'!"&amp;"C17")</f>
        <v>307.37190000000004</v>
      </c>
      <c r="BP13" s="1018">
        <f t="shared" ref="BP13:BP25" ca="1" si="4">INDIRECT("'"&amp;AG13&amp;"'!"&amp;"G5")</f>
        <v>0</v>
      </c>
      <c r="BQ13" s="1018">
        <f t="shared" ref="BQ13:BQ25" ca="1" si="5">INDIRECT("'"&amp;AG13&amp;"'!"&amp;"G4")</f>
        <v>84.313999999999993</v>
      </c>
      <c r="BR13" s="1018">
        <f t="shared" ref="BR13:BR25" ca="1" si="6">INDIRECT("'"&amp;AG13&amp;"'!"&amp;"G6")</f>
        <v>0</v>
      </c>
      <c r="BS13" s="1018">
        <f t="shared" ref="BS13:BS25" ca="1" si="7">INDIRECT("'"&amp;AG13&amp;"'!"&amp;"G2")</f>
        <v>10</v>
      </c>
      <c r="BT13" s="1018">
        <f t="shared" ref="BT13:BT25" ca="1" si="8">INDIRECT("'"&amp;AG13&amp;"'!"&amp;"G3")</f>
        <v>0</v>
      </c>
      <c r="BU13" s="1018">
        <v>0</v>
      </c>
      <c r="BV13" s="1018">
        <f t="shared" ref="BV13:BV25" ca="1" si="9">IF(OR(BP13=0,AP13=0),0,1/(1/(BP13*$BW$3)+1/(BP13*AP13)+1/(BP13*$BW$4)))</f>
        <v>0</v>
      </c>
      <c r="BW13" s="1018">
        <f t="shared" ref="BW13:BW25" ca="1" si="10">IF(OR(BQ13=0,AQ13=0),0,1/(1/(BQ13*$BW$3)+1/(BQ13*AQ13)+1/(BQ13*$BW$4)))</f>
        <v>49.934709260588654</v>
      </c>
      <c r="BX13" s="1018">
        <f t="shared" ref="BX13:BX25" ca="1" si="11">IF(OR(BR13=0,AR13=0),0,1/(1/(BR13*$BW$3)+1/(BR13*AR13)+1/(BR13*$BW$4)))</f>
        <v>0</v>
      </c>
      <c r="BY13" s="1018">
        <f t="shared" ref="BY13:BY25" ca="1" si="12">IF(OR(BS13=0,AS13=0),0,1/(1/(BS13*$BW$5)+1/(BS13*AS13)+1/(BS13*$BW$6)))</f>
        <v>27.499999984875</v>
      </c>
      <c r="BZ13" s="1018">
        <f t="shared" ref="BZ13:BZ25" ca="1" si="13">IF(OR(BT13=0,AT13=0),0,1/(1/(BT13*$BW$3)+1/(BT13*AT13)+1/(BT13*$BW$4)))</f>
        <v>0</v>
      </c>
      <c r="CA13" s="1018">
        <f t="shared" ref="CA13:CA25" si="14">IF(OR(BU13=0,AU13=0),0,1/(1/(BU13*$BW$3)+1/(BU13*AU13)+1/(BU13*$BW$4)))</f>
        <v>0</v>
      </c>
      <c r="CB13" s="1018">
        <f ca="1">SUM(BV13:CA13)+(BP13+BQ13+BR13+BS13+BT13)*BL13</f>
        <v>91.581809245463646</v>
      </c>
      <c r="CC13" s="1018">
        <f ca="1">0.34*BM13*(1/25)^0.66*(BQ13+BS13+BT13)</f>
        <v>22.991426933394987</v>
      </c>
      <c r="CD13" s="1018">
        <f ca="1">(CB13+CC13)*($BW$7-$BT$5)/1000</f>
        <v>3.4371970853657592</v>
      </c>
      <c r="CE13" s="1018">
        <f ca="1">$BT$8*(CB13+CC13)*($BW$10-$BT$7)*24/1000</f>
        <v>5722.7956592505743</v>
      </c>
    </row>
    <row r="14" spans="1:83" x14ac:dyDescent="0.25">
      <c r="A14" s="781"/>
      <c r="B14" s="781"/>
      <c r="C14" s="781"/>
      <c r="D14" s="782"/>
      <c r="E14" s="781"/>
      <c r="F14" s="782"/>
      <c r="G14" s="781"/>
      <c r="H14" s="782"/>
      <c r="I14" s="786"/>
      <c r="J14" s="786"/>
      <c r="K14" s="786"/>
      <c r="L14" s="786"/>
      <c r="M14" s="786"/>
      <c r="N14" s="786"/>
      <c r="O14" s="783" t="s">
        <v>7</v>
      </c>
      <c r="P14" s="786">
        <v>0.4375</v>
      </c>
      <c r="Q14" s="782"/>
      <c r="R14" s="791">
        <v>1.4552764188480005E-3</v>
      </c>
      <c r="S14" s="876"/>
      <c r="T14" s="34">
        <f t="shared" ref="T14:T25" si="15">R14</f>
        <v>1.4552764188480005E-3</v>
      </c>
      <c r="U14" s="176">
        <f t="shared" ref="U14:U25" si="16">T14</f>
        <v>1.4552764188480005E-3</v>
      </c>
      <c r="V14" s="176">
        <f t="shared" ref="V14:V25" si="17">U14</f>
        <v>1.4552764188480005E-3</v>
      </c>
      <c r="W14" s="176">
        <f>V14/Calculation_sheet!M$67</f>
        <v>1.4553061740534769E-3</v>
      </c>
      <c r="X14" s="958">
        <f ca="1">IF(AL14&gt;0,W14*Calculation_sheet!C$87,0)</f>
        <v>0</v>
      </c>
      <c r="Y14" s="176">
        <f t="shared" ca="1" si="0"/>
        <v>1.4553061740534769E-3</v>
      </c>
      <c r="Z14" s="176">
        <f>IF(AN14&gt;0,Y14*Calculation_sheet!C$94,0)</f>
        <v>0</v>
      </c>
      <c r="AA14" s="958">
        <f t="shared" ca="1" si="1"/>
        <v>1.4553061740534769E-3</v>
      </c>
      <c r="AB14" s="176">
        <f ca="1">AA14*Calculation_sheet!C$99</f>
        <v>8.7318370443208615E-4</v>
      </c>
      <c r="AC14" s="958">
        <f t="shared" ca="1" si="1"/>
        <v>5.8212246962139073E-4</v>
      </c>
      <c r="AD14" s="176">
        <f t="shared" ref="AD14:AD25" si="18">W14-Z14</f>
        <v>1.4553061740534769E-3</v>
      </c>
      <c r="AE14" s="176">
        <f>AD14*User_sheet!B$77/100</f>
        <v>0</v>
      </c>
      <c r="AF14" s="309"/>
      <c r="AG14" s="27">
        <v>401</v>
      </c>
      <c r="AH14" s="985"/>
      <c r="AI14" s="956">
        <f t="shared" ref="AI14:AI77" ca="1" si="19">CB14</f>
        <v>91.581809245463646</v>
      </c>
      <c r="AJ14" s="956">
        <f ca="1">AI14/'401'!I$24</f>
        <v>0.47854885849417189</v>
      </c>
      <c r="AK14" s="956">
        <f ca="1">0.8*(AI14*30+'401'!D$17*0.34*30*1)</f>
        <v>4811.7297418911285</v>
      </c>
      <c r="AL14" s="954">
        <f ca="1">IF(AK14&lt;User_sheet!B$50,W14,0)</f>
        <v>1.4553061740534769E-3</v>
      </c>
      <c r="AM14" s="954">
        <f ca="1">20-(User_sheet!B$57/(AI14+'401'!D$17*1*0.34))</f>
        <v>-8.4305244346982455</v>
      </c>
      <c r="AN14" s="954"/>
      <c r="AO14" s="985"/>
      <c r="AP14" s="2">
        <v>0</v>
      </c>
      <c r="AQ14" s="2">
        <v>0.66</v>
      </c>
      <c r="AR14" s="2">
        <v>0</v>
      </c>
      <c r="AS14" s="2">
        <v>2.75</v>
      </c>
      <c r="AT14" s="2">
        <v>0</v>
      </c>
      <c r="AU14" s="2">
        <v>0</v>
      </c>
      <c r="AV14" s="2">
        <v>68297.998190252794</v>
      </c>
      <c r="AW14" s="2">
        <v>0</v>
      </c>
      <c r="AX14" s="2">
        <v>0</v>
      </c>
      <c r="AY14" s="2">
        <v>0</v>
      </c>
      <c r="AZ14" s="50">
        <v>0.6</v>
      </c>
      <c r="BA14" s="34">
        <v>1</v>
      </c>
      <c r="BB14" s="34">
        <v>0</v>
      </c>
      <c r="BC14" s="40">
        <v>0</v>
      </c>
      <c r="BD14" s="34">
        <v>1</v>
      </c>
      <c r="BE14" s="34">
        <v>0</v>
      </c>
      <c r="BF14" s="40">
        <v>0</v>
      </c>
      <c r="BG14" s="34">
        <v>1</v>
      </c>
      <c r="BH14" s="40">
        <v>0</v>
      </c>
      <c r="BI14" s="34">
        <v>0</v>
      </c>
      <c r="BJ14" s="34">
        <v>0</v>
      </c>
      <c r="BK14" s="40">
        <v>1</v>
      </c>
      <c r="BL14" s="958">
        <v>0.15</v>
      </c>
      <c r="BM14" s="958">
        <v>6</v>
      </c>
      <c r="BN14" s="32">
        <f t="shared" ca="1" si="2"/>
        <v>97.065000000000012</v>
      </c>
      <c r="BO14">
        <f t="shared" ca="1" si="3"/>
        <v>307.37190000000004</v>
      </c>
      <c r="BP14" s="1018">
        <f t="shared" ca="1" si="4"/>
        <v>0</v>
      </c>
      <c r="BQ14" s="1018">
        <f t="shared" ca="1" si="5"/>
        <v>84.313999999999993</v>
      </c>
      <c r="BR14" s="1018">
        <f t="shared" ca="1" si="6"/>
        <v>0</v>
      </c>
      <c r="BS14" s="1018">
        <f t="shared" ca="1" si="7"/>
        <v>10</v>
      </c>
      <c r="BT14" s="1018">
        <f t="shared" ca="1" si="8"/>
        <v>0</v>
      </c>
      <c r="BU14">
        <v>0</v>
      </c>
      <c r="BV14">
        <f t="shared" ca="1" si="9"/>
        <v>0</v>
      </c>
      <c r="BW14">
        <f t="shared" ca="1" si="10"/>
        <v>49.934709260588654</v>
      </c>
      <c r="BX14">
        <f t="shared" ca="1" si="11"/>
        <v>0</v>
      </c>
      <c r="BY14">
        <f t="shared" ca="1" si="12"/>
        <v>27.499999984875</v>
      </c>
      <c r="BZ14">
        <f t="shared" ca="1" si="13"/>
        <v>0</v>
      </c>
      <c r="CA14">
        <f t="shared" si="14"/>
        <v>0</v>
      </c>
      <c r="CB14" s="1018">
        <f t="shared" ref="CB14:CB25" ca="1" si="20">SUM(BV14:CA14)+(BP14+BQ14+BR14+BS14+BT14)*BL14</f>
        <v>91.581809245463646</v>
      </c>
      <c r="CC14" s="1018">
        <f t="shared" ref="CC14:CC25" ca="1" si="21">0.34*BM14*(1/25)^0.66*(BQ14+BS14+BT14)</f>
        <v>22.991426933394987</v>
      </c>
      <c r="CD14">
        <f t="shared" ref="CD14:CD77" ca="1" si="22">(CB14+CC14)*($BW$7-$BT$5)/1000</f>
        <v>3.4371970853657592</v>
      </c>
      <c r="CE14">
        <f t="shared" ref="CE14:CE77" ca="1" si="23">$BT$8*(CB14+CC14)*($BW$10-$BT$7)*24/1000</f>
        <v>5722.7956592505743</v>
      </c>
    </row>
    <row r="15" spans="1:83" x14ac:dyDescent="0.25">
      <c r="A15" s="781"/>
      <c r="B15" s="781"/>
      <c r="C15" s="781"/>
      <c r="D15" s="782"/>
      <c r="E15" s="781"/>
      <c r="F15" s="782"/>
      <c r="G15" s="781"/>
      <c r="H15" s="782"/>
      <c r="I15" s="786"/>
      <c r="J15" s="786"/>
      <c r="K15" s="786" t="s">
        <v>58</v>
      </c>
      <c r="L15" s="786">
        <v>0.74399999999999999</v>
      </c>
      <c r="M15" s="786" t="s">
        <v>61</v>
      </c>
      <c r="N15" s="786">
        <v>0.25</v>
      </c>
      <c r="O15" s="783" t="s">
        <v>16</v>
      </c>
      <c r="P15" s="786">
        <v>0.5625</v>
      </c>
      <c r="Q15" s="782"/>
      <c r="R15" s="791">
        <v>6.2368989379200023E-4</v>
      </c>
      <c r="S15" s="876"/>
      <c r="T15" s="34">
        <f t="shared" si="15"/>
        <v>6.2368989379200023E-4</v>
      </c>
      <c r="U15" s="176">
        <f t="shared" si="16"/>
        <v>6.2368989379200023E-4</v>
      </c>
      <c r="V15" s="176">
        <f t="shared" si="17"/>
        <v>6.2368989379200023E-4</v>
      </c>
      <c r="W15" s="176">
        <f>V15/Calculation_sheet!M$67</f>
        <v>6.2370264602291871E-4</v>
      </c>
      <c r="X15" s="958">
        <f ca="1">IF(AL15&gt;0,W15*Calculation_sheet!C$87,0)</f>
        <v>0</v>
      </c>
      <c r="Y15" s="176">
        <f t="shared" ca="1" si="0"/>
        <v>6.2370264602291871E-4</v>
      </c>
      <c r="Z15" s="176">
        <f>IF(AN15&gt;0,Y15*Calculation_sheet!C$94,0)</f>
        <v>0</v>
      </c>
      <c r="AA15" s="958">
        <f t="shared" ca="1" si="1"/>
        <v>6.2370264602291871E-4</v>
      </c>
      <c r="AB15" s="176">
        <f ca="1">AA15*Calculation_sheet!C$99</f>
        <v>3.7422158761375122E-4</v>
      </c>
      <c r="AC15" s="958">
        <f t="shared" ca="1" si="1"/>
        <v>2.494810584091675E-4</v>
      </c>
      <c r="AD15" s="176">
        <f t="shared" si="18"/>
        <v>6.2370264602291871E-4</v>
      </c>
      <c r="AE15" s="176">
        <f>AD15*User_sheet!B$77/100</f>
        <v>0</v>
      </c>
      <c r="AF15" s="309"/>
      <c r="AG15" s="27">
        <v>401</v>
      </c>
      <c r="AH15" s="985"/>
      <c r="AI15" s="956">
        <f t="shared" ca="1" si="19"/>
        <v>91.581809245463646</v>
      </c>
      <c r="AJ15" s="956">
        <f ca="1">AI15/'401'!I$24</f>
        <v>0.47854885849417189</v>
      </c>
      <c r="AK15" s="956">
        <f ca="1">0.8*(AI15*30+'401'!D$17*0.34*30*1)</f>
        <v>4811.7297418911285</v>
      </c>
      <c r="AL15" s="954">
        <f ca="1">IF(AK15&lt;User_sheet!B$50,W15,0)</f>
        <v>6.2370264602291871E-4</v>
      </c>
      <c r="AM15" s="954">
        <f ca="1">20-(User_sheet!B$57/(AI15+'401'!D$17*1*0.34))</f>
        <v>-8.4305244346982455</v>
      </c>
      <c r="AN15" s="954"/>
      <c r="AO15" s="985"/>
      <c r="AP15" s="2">
        <v>0</v>
      </c>
      <c r="AQ15" s="2">
        <v>0.66</v>
      </c>
      <c r="AR15" s="2">
        <v>0</v>
      </c>
      <c r="AS15" s="2">
        <v>2.75</v>
      </c>
      <c r="AT15" s="2">
        <v>0</v>
      </c>
      <c r="AU15" s="2">
        <v>0</v>
      </c>
      <c r="AV15" s="2">
        <v>68297.998190252794</v>
      </c>
      <c r="AW15" s="2">
        <v>0</v>
      </c>
      <c r="AX15" s="2">
        <v>0</v>
      </c>
      <c r="AY15" s="2">
        <v>0</v>
      </c>
      <c r="AZ15" s="50">
        <v>0.6</v>
      </c>
      <c r="BA15" s="34">
        <v>1</v>
      </c>
      <c r="BB15" s="34">
        <v>0</v>
      </c>
      <c r="BC15" s="40">
        <v>0</v>
      </c>
      <c r="BD15" s="34">
        <v>1</v>
      </c>
      <c r="BE15" s="34">
        <v>0</v>
      </c>
      <c r="BF15" s="40">
        <v>0</v>
      </c>
      <c r="BG15" s="34">
        <v>0</v>
      </c>
      <c r="BH15" s="40">
        <v>1</v>
      </c>
      <c r="BI15" s="34">
        <v>1</v>
      </c>
      <c r="BJ15" s="34">
        <v>0</v>
      </c>
      <c r="BK15" s="40">
        <v>0</v>
      </c>
      <c r="BL15" s="958">
        <v>0.15</v>
      </c>
      <c r="BM15" s="958">
        <v>6</v>
      </c>
      <c r="BN15" s="32">
        <f t="shared" ca="1" si="2"/>
        <v>97.065000000000012</v>
      </c>
      <c r="BO15">
        <f t="shared" ca="1" si="3"/>
        <v>307.37190000000004</v>
      </c>
      <c r="BP15">
        <f t="shared" ca="1" si="4"/>
        <v>0</v>
      </c>
      <c r="BQ15">
        <f t="shared" ca="1" si="5"/>
        <v>84.313999999999993</v>
      </c>
      <c r="BR15">
        <f t="shared" ca="1" si="6"/>
        <v>0</v>
      </c>
      <c r="BS15">
        <f t="shared" ca="1" si="7"/>
        <v>10</v>
      </c>
      <c r="BT15">
        <f t="shared" ca="1" si="8"/>
        <v>0</v>
      </c>
      <c r="BU15">
        <v>0</v>
      </c>
      <c r="BV15">
        <f t="shared" ca="1" si="9"/>
        <v>0</v>
      </c>
      <c r="BW15">
        <f t="shared" ca="1" si="10"/>
        <v>49.934709260588654</v>
      </c>
      <c r="BX15">
        <f t="shared" ca="1" si="11"/>
        <v>0</v>
      </c>
      <c r="BY15">
        <f t="shared" ca="1" si="12"/>
        <v>27.499999984875</v>
      </c>
      <c r="BZ15">
        <f t="shared" ca="1" si="13"/>
        <v>0</v>
      </c>
      <c r="CA15">
        <f t="shared" si="14"/>
        <v>0</v>
      </c>
      <c r="CB15" s="1018">
        <f t="shared" ca="1" si="20"/>
        <v>91.581809245463646</v>
      </c>
      <c r="CC15" s="1018">
        <f t="shared" ca="1" si="21"/>
        <v>22.991426933394987</v>
      </c>
      <c r="CD15">
        <f t="shared" ca="1" si="22"/>
        <v>3.4371970853657592</v>
      </c>
      <c r="CE15">
        <f t="shared" ca="1" si="23"/>
        <v>5722.7956592505743</v>
      </c>
    </row>
    <row r="16" spans="1:83" x14ac:dyDescent="0.25">
      <c r="A16" s="781"/>
      <c r="B16" s="781"/>
      <c r="C16" s="781"/>
      <c r="D16" s="782"/>
      <c r="E16" s="781"/>
      <c r="F16" s="782"/>
      <c r="G16" s="781"/>
      <c r="H16" s="782"/>
      <c r="I16" s="786" t="s">
        <v>16</v>
      </c>
      <c r="J16" s="786">
        <v>0.64</v>
      </c>
      <c r="K16" s="786"/>
      <c r="L16" s="786"/>
      <c r="M16" s="786"/>
      <c r="N16" s="786"/>
      <c r="O16" s="783" t="s">
        <v>7</v>
      </c>
      <c r="P16" s="786">
        <v>0.4375</v>
      </c>
      <c r="Q16" s="782"/>
      <c r="R16" s="791">
        <v>4.8509213961600014E-4</v>
      </c>
      <c r="S16" s="876"/>
      <c r="T16" s="34">
        <f t="shared" si="15"/>
        <v>4.8509213961600014E-4</v>
      </c>
      <c r="U16" s="176">
        <f t="shared" si="16"/>
        <v>4.8509213961600014E-4</v>
      </c>
      <c r="V16" s="176">
        <f t="shared" si="17"/>
        <v>4.8509213961600014E-4</v>
      </c>
      <c r="W16" s="176">
        <f>V16/Calculation_sheet!M$67</f>
        <v>4.8510205801782563E-4</v>
      </c>
      <c r="X16" s="958">
        <f ca="1">IF(AL16&gt;0,W16*Calculation_sheet!C$87,0)</f>
        <v>0</v>
      </c>
      <c r="Y16" s="176">
        <f t="shared" ca="1" si="0"/>
        <v>4.8510205801782563E-4</v>
      </c>
      <c r="Z16" s="176">
        <f>IF(AN16&gt;0,Y16*Calculation_sheet!C$94,0)</f>
        <v>0</v>
      </c>
      <c r="AA16" s="958">
        <f t="shared" ca="1" si="1"/>
        <v>4.8510205801782563E-4</v>
      </c>
      <c r="AB16" s="176">
        <f ca="1">AA16*Calculation_sheet!C$99</f>
        <v>2.9106123481069537E-4</v>
      </c>
      <c r="AC16" s="958">
        <f t="shared" ca="1" si="1"/>
        <v>1.9404082320713026E-4</v>
      </c>
      <c r="AD16" s="176">
        <f t="shared" si="18"/>
        <v>4.8510205801782563E-4</v>
      </c>
      <c r="AE16" s="176">
        <f>AD16*User_sheet!B$77/100</f>
        <v>0</v>
      </c>
      <c r="AF16" s="309"/>
      <c r="AG16" s="27">
        <v>401</v>
      </c>
      <c r="AH16" s="985"/>
      <c r="AI16" s="956">
        <f t="shared" ca="1" si="19"/>
        <v>91.581809245463646</v>
      </c>
      <c r="AJ16" s="956">
        <f ca="1">AI16/'401'!I$24</f>
        <v>0.47854885849417189</v>
      </c>
      <c r="AK16" s="956">
        <f ca="1">0.8*(AI16*30+'401'!D$17*0.34*30*1)</f>
        <v>4811.7297418911285</v>
      </c>
      <c r="AL16" s="954">
        <f ca="1">IF(AK16&lt;User_sheet!B$50,W16,0)</f>
        <v>4.8510205801782563E-4</v>
      </c>
      <c r="AM16" s="954">
        <f ca="1">20-(User_sheet!B$57/(AI16+'401'!D$17*1*0.34))</f>
        <v>-8.4305244346982455</v>
      </c>
      <c r="AN16" s="954"/>
      <c r="AO16" s="985"/>
      <c r="AP16" s="2">
        <v>0</v>
      </c>
      <c r="AQ16" s="2">
        <v>0.66</v>
      </c>
      <c r="AR16" s="2">
        <v>0</v>
      </c>
      <c r="AS16" s="2">
        <v>2.75</v>
      </c>
      <c r="AT16" s="2">
        <v>0</v>
      </c>
      <c r="AU16" s="2">
        <v>0</v>
      </c>
      <c r="AV16" s="2">
        <v>68297.998190252794</v>
      </c>
      <c r="AW16" s="2">
        <v>0</v>
      </c>
      <c r="AX16" s="2">
        <v>0</v>
      </c>
      <c r="AY16" s="2">
        <v>0</v>
      </c>
      <c r="AZ16" s="50">
        <v>0.6</v>
      </c>
      <c r="BA16" s="34">
        <v>1</v>
      </c>
      <c r="BB16" s="34">
        <v>0</v>
      </c>
      <c r="BC16" s="40">
        <v>0</v>
      </c>
      <c r="BD16" s="34">
        <v>1</v>
      </c>
      <c r="BE16" s="34">
        <v>0</v>
      </c>
      <c r="BF16" s="40">
        <v>0</v>
      </c>
      <c r="BG16" s="34">
        <v>0</v>
      </c>
      <c r="BH16" s="40">
        <v>1</v>
      </c>
      <c r="BI16" s="34">
        <v>0</v>
      </c>
      <c r="BJ16" s="34">
        <v>0</v>
      </c>
      <c r="BK16" s="40">
        <v>1</v>
      </c>
      <c r="BL16" s="958">
        <v>0.15</v>
      </c>
      <c r="BM16" s="958">
        <v>6</v>
      </c>
      <c r="BN16" s="32">
        <f t="shared" ca="1" si="2"/>
        <v>97.065000000000012</v>
      </c>
      <c r="BO16">
        <f t="shared" ca="1" si="3"/>
        <v>307.37190000000004</v>
      </c>
      <c r="BP16">
        <f t="shared" ca="1" si="4"/>
        <v>0</v>
      </c>
      <c r="BQ16">
        <f t="shared" ca="1" si="5"/>
        <v>84.313999999999993</v>
      </c>
      <c r="BR16">
        <f t="shared" ca="1" si="6"/>
        <v>0</v>
      </c>
      <c r="BS16">
        <f t="shared" ca="1" si="7"/>
        <v>10</v>
      </c>
      <c r="BT16">
        <f t="shared" ca="1" si="8"/>
        <v>0</v>
      </c>
      <c r="BU16">
        <v>0</v>
      </c>
      <c r="BV16">
        <f t="shared" ca="1" si="9"/>
        <v>0</v>
      </c>
      <c r="BW16">
        <f t="shared" ca="1" si="10"/>
        <v>49.934709260588654</v>
      </c>
      <c r="BX16">
        <f t="shared" ca="1" si="11"/>
        <v>0</v>
      </c>
      <c r="BY16">
        <f t="shared" ca="1" si="12"/>
        <v>27.499999984875</v>
      </c>
      <c r="BZ16">
        <f t="shared" ca="1" si="13"/>
        <v>0</v>
      </c>
      <c r="CA16">
        <f t="shared" si="14"/>
        <v>0</v>
      </c>
      <c r="CB16" s="1018">
        <f t="shared" ca="1" si="20"/>
        <v>91.581809245463646</v>
      </c>
      <c r="CC16" s="1018">
        <f t="shared" ca="1" si="21"/>
        <v>22.991426933394987</v>
      </c>
      <c r="CD16">
        <f t="shared" ca="1" si="22"/>
        <v>3.4371970853657592</v>
      </c>
      <c r="CE16">
        <f t="shared" ca="1" si="23"/>
        <v>5722.7956592505743</v>
      </c>
    </row>
    <row r="17" spans="3:83" x14ac:dyDescent="0.25">
      <c r="C17" s="781"/>
      <c r="D17" s="782"/>
      <c r="E17" s="781"/>
      <c r="F17" s="782"/>
      <c r="G17" s="781"/>
      <c r="H17" s="782"/>
      <c r="I17" s="786"/>
      <c r="J17" s="786"/>
      <c r="K17" s="786" t="s">
        <v>59</v>
      </c>
      <c r="L17" s="786">
        <v>0.25600000000000001</v>
      </c>
      <c r="M17" s="786"/>
      <c r="N17" s="786"/>
      <c r="O17" s="789" t="s">
        <v>16</v>
      </c>
      <c r="P17" s="786">
        <v>0.5625</v>
      </c>
      <c r="Q17" s="782"/>
      <c r="R17" s="791">
        <v>8.5841189683200016E-4</v>
      </c>
      <c r="S17" s="876"/>
      <c r="T17" s="34">
        <f t="shared" si="15"/>
        <v>8.5841189683200016E-4</v>
      </c>
      <c r="U17" s="176">
        <f t="shared" si="16"/>
        <v>8.5841189683200016E-4</v>
      </c>
      <c r="V17" s="176">
        <f t="shared" si="17"/>
        <v>8.5841189683200016E-4</v>
      </c>
      <c r="W17" s="176">
        <f>V17/Calculation_sheet!M$67</f>
        <v>8.5842944828960841E-4</v>
      </c>
      <c r="X17" s="958">
        <f ca="1">IF(AL17&gt;0,W17*Calculation_sheet!C$87,0)</f>
        <v>0</v>
      </c>
      <c r="Y17" s="176">
        <f t="shared" ca="1" si="0"/>
        <v>8.5842944828960841E-4</v>
      </c>
      <c r="Z17" s="176">
        <f>IF(AN17&gt;0,Y17*Calculation_sheet!C$94,0)</f>
        <v>0</v>
      </c>
      <c r="AA17" s="958">
        <f t="shared" ca="1" si="1"/>
        <v>8.5842944828960841E-4</v>
      </c>
      <c r="AB17" s="176">
        <f ca="1">AA17*Calculation_sheet!C$99</f>
        <v>5.1505766897376503E-4</v>
      </c>
      <c r="AC17" s="958">
        <f t="shared" ca="1" si="1"/>
        <v>3.4337177931584339E-4</v>
      </c>
      <c r="AD17" s="176">
        <f t="shared" si="18"/>
        <v>8.5842944828960841E-4</v>
      </c>
      <c r="AE17" s="176">
        <f>AD17*User_sheet!B$77/100</f>
        <v>0</v>
      </c>
      <c r="AF17" s="309"/>
      <c r="AG17" s="27">
        <v>401</v>
      </c>
      <c r="AH17" s="985"/>
      <c r="AI17" s="956">
        <f t="shared" ca="1" si="19"/>
        <v>91.581809245463646</v>
      </c>
      <c r="AJ17" s="956">
        <f ca="1">AI17/'401'!I$24</f>
        <v>0.47854885849417189</v>
      </c>
      <c r="AK17" s="956">
        <f ca="1">0.8*(AI17*30+'401'!D$17*0.34*30*1)</f>
        <v>4811.7297418911285</v>
      </c>
      <c r="AL17" s="954">
        <f ca="1">IF(AK17&lt;User_sheet!B$50,W17,0)</f>
        <v>8.5842944828960841E-4</v>
      </c>
      <c r="AM17" s="954">
        <f ca="1">20-(User_sheet!B$57/(AI17+'401'!D$17*1*0.34))</f>
        <v>-8.4305244346982455</v>
      </c>
      <c r="AN17" s="954"/>
      <c r="AO17" s="985"/>
      <c r="AP17" s="2">
        <v>0</v>
      </c>
      <c r="AQ17" s="2">
        <v>0.66</v>
      </c>
      <c r="AR17" s="2">
        <v>0</v>
      </c>
      <c r="AS17" s="2">
        <v>2.75</v>
      </c>
      <c r="AT17" s="2">
        <v>0</v>
      </c>
      <c r="AU17" s="2">
        <v>0</v>
      </c>
      <c r="AV17" s="2">
        <v>68297.998190252794</v>
      </c>
      <c r="AW17" s="2">
        <v>0</v>
      </c>
      <c r="AX17" s="2">
        <v>0</v>
      </c>
      <c r="AY17" s="2">
        <v>0</v>
      </c>
      <c r="AZ17" s="50">
        <v>0.6</v>
      </c>
      <c r="BA17" s="34">
        <v>1</v>
      </c>
      <c r="BB17" s="34">
        <v>0</v>
      </c>
      <c r="BC17" s="40">
        <v>0</v>
      </c>
      <c r="BD17" s="34">
        <v>0</v>
      </c>
      <c r="BE17" s="34">
        <v>1</v>
      </c>
      <c r="BF17" s="40">
        <v>0</v>
      </c>
      <c r="BG17" s="34">
        <v>1</v>
      </c>
      <c r="BH17" s="40">
        <v>0</v>
      </c>
      <c r="BI17" s="34">
        <v>1</v>
      </c>
      <c r="BJ17" s="34">
        <v>0</v>
      </c>
      <c r="BK17" s="40">
        <v>0</v>
      </c>
      <c r="BL17" s="958">
        <v>0.15</v>
      </c>
      <c r="BM17" s="958">
        <v>6</v>
      </c>
      <c r="BN17" s="32">
        <f t="shared" ca="1" si="2"/>
        <v>97.065000000000012</v>
      </c>
      <c r="BO17">
        <f t="shared" ca="1" si="3"/>
        <v>307.37190000000004</v>
      </c>
      <c r="BP17">
        <f t="shared" ca="1" si="4"/>
        <v>0</v>
      </c>
      <c r="BQ17">
        <f t="shared" ca="1" si="5"/>
        <v>84.313999999999993</v>
      </c>
      <c r="BR17">
        <f t="shared" ca="1" si="6"/>
        <v>0</v>
      </c>
      <c r="BS17">
        <f t="shared" ca="1" si="7"/>
        <v>10</v>
      </c>
      <c r="BT17">
        <f t="shared" ca="1" si="8"/>
        <v>0</v>
      </c>
      <c r="BU17">
        <v>0</v>
      </c>
      <c r="BV17">
        <f t="shared" ca="1" si="9"/>
        <v>0</v>
      </c>
      <c r="BW17">
        <f t="shared" ca="1" si="10"/>
        <v>49.934709260588654</v>
      </c>
      <c r="BX17">
        <f t="shared" ca="1" si="11"/>
        <v>0</v>
      </c>
      <c r="BY17">
        <f t="shared" ca="1" si="12"/>
        <v>27.499999984875</v>
      </c>
      <c r="BZ17">
        <f t="shared" ca="1" si="13"/>
        <v>0</v>
      </c>
      <c r="CA17">
        <f t="shared" si="14"/>
        <v>0</v>
      </c>
      <c r="CB17" s="1018">
        <f t="shared" ca="1" si="20"/>
        <v>91.581809245463646</v>
      </c>
      <c r="CC17" s="1018">
        <f t="shared" ca="1" si="21"/>
        <v>22.991426933394987</v>
      </c>
      <c r="CD17">
        <f t="shared" ca="1" si="22"/>
        <v>3.4371970853657592</v>
      </c>
      <c r="CE17">
        <f t="shared" ca="1" si="23"/>
        <v>5722.7956592505743</v>
      </c>
    </row>
    <row r="18" spans="3:83" x14ac:dyDescent="0.25">
      <c r="C18" s="781"/>
      <c r="D18" s="782"/>
      <c r="E18" s="781"/>
      <c r="F18" s="782"/>
      <c r="G18" s="781"/>
      <c r="H18" s="782"/>
      <c r="I18" s="786"/>
      <c r="J18" s="786"/>
      <c r="K18" s="786"/>
      <c r="L18" s="786"/>
      <c r="M18" s="786"/>
      <c r="N18" s="786"/>
      <c r="O18" s="789" t="s">
        <v>7</v>
      </c>
      <c r="P18" s="786">
        <v>0.4375</v>
      </c>
      <c r="Q18" s="782"/>
      <c r="R18" s="791">
        <v>6.6765369753600025E-4</v>
      </c>
      <c r="S18" s="876"/>
      <c r="T18" s="34">
        <f t="shared" si="15"/>
        <v>6.6765369753600025E-4</v>
      </c>
      <c r="U18" s="176">
        <f t="shared" si="16"/>
        <v>6.6765369753600025E-4</v>
      </c>
      <c r="V18" s="176">
        <f t="shared" si="17"/>
        <v>6.6765369753600025E-4</v>
      </c>
      <c r="W18" s="176">
        <f>V18/Calculation_sheet!M$67</f>
        <v>6.6766734866969559E-4</v>
      </c>
      <c r="X18" s="958">
        <f ca="1">IF(AL18&gt;0,W18*Calculation_sheet!C$87,0)</f>
        <v>0</v>
      </c>
      <c r="Y18" s="176">
        <f t="shared" ca="1" si="0"/>
        <v>6.6766734866969559E-4</v>
      </c>
      <c r="Z18" s="176">
        <f>IF(AN18&gt;0,Y18*Calculation_sheet!C$94,0)</f>
        <v>0</v>
      </c>
      <c r="AA18" s="958">
        <f t="shared" ca="1" si="1"/>
        <v>6.6766734866969559E-4</v>
      </c>
      <c r="AB18" s="176">
        <f ca="1">AA18*Calculation_sheet!C$99</f>
        <v>4.0060040920181732E-4</v>
      </c>
      <c r="AC18" s="958">
        <f t="shared" ca="1" si="1"/>
        <v>2.6706693946787827E-4</v>
      </c>
      <c r="AD18" s="176">
        <f t="shared" si="18"/>
        <v>6.6766734866969559E-4</v>
      </c>
      <c r="AE18" s="176">
        <f>AD18*User_sheet!B$77/100</f>
        <v>0</v>
      </c>
      <c r="AF18" s="309"/>
      <c r="AG18" s="27">
        <v>401</v>
      </c>
      <c r="AH18" s="985"/>
      <c r="AI18" s="956">
        <f t="shared" ca="1" si="19"/>
        <v>91.581809245463646</v>
      </c>
      <c r="AJ18" s="956">
        <f ca="1">AI18/'401'!I$24</f>
        <v>0.47854885849417189</v>
      </c>
      <c r="AK18" s="956">
        <f ca="1">0.8*(AI18*30+'401'!D$17*0.34*30*1)</f>
        <v>4811.7297418911285</v>
      </c>
      <c r="AL18" s="954">
        <f ca="1">IF(AK18&lt;User_sheet!B$50,W18,0)</f>
        <v>6.6766734866969559E-4</v>
      </c>
      <c r="AM18" s="954">
        <f ca="1">20-(User_sheet!B$57/(AI18+'401'!D$17*1*0.34))</f>
        <v>-8.4305244346982455</v>
      </c>
      <c r="AN18" s="954"/>
      <c r="AO18" s="985"/>
      <c r="AP18" s="2">
        <v>0</v>
      </c>
      <c r="AQ18" s="2">
        <v>0.66</v>
      </c>
      <c r="AR18" s="2">
        <v>0</v>
      </c>
      <c r="AS18" s="2">
        <v>2.75</v>
      </c>
      <c r="AT18" s="2">
        <v>0</v>
      </c>
      <c r="AU18" s="2">
        <v>0</v>
      </c>
      <c r="AV18" s="2">
        <v>68297.998190252794</v>
      </c>
      <c r="AW18" s="2">
        <v>0</v>
      </c>
      <c r="AX18" s="2">
        <v>0</v>
      </c>
      <c r="AY18" s="2">
        <v>0</v>
      </c>
      <c r="AZ18" s="50">
        <v>0.6</v>
      </c>
      <c r="BA18" s="34">
        <v>1</v>
      </c>
      <c r="BB18" s="34">
        <v>0</v>
      </c>
      <c r="BC18" s="40">
        <v>0</v>
      </c>
      <c r="BD18" s="34">
        <v>0</v>
      </c>
      <c r="BE18" s="34">
        <v>1</v>
      </c>
      <c r="BF18" s="40">
        <v>0</v>
      </c>
      <c r="BG18" s="34">
        <v>1</v>
      </c>
      <c r="BH18" s="40">
        <v>0</v>
      </c>
      <c r="BI18" s="34">
        <v>0</v>
      </c>
      <c r="BJ18" s="34">
        <v>0</v>
      </c>
      <c r="BK18" s="40">
        <v>1</v>
      </c>
      <c r="BL18" s="958">
        <v>0.15</v>
      </c>
      <c r="BM18" s="958">
        <v>6</v>
      </c>
      <c r="BN18" s="32">
        <f t="shared" ca="1" si="2"/>
        <v>97.065000000000012</v>
      </c>
      <c r="BO18">
        <f t="shared" ca="1" si="3"/>
        <v>307.37190000000004</v>
      </c>
      <c r="BP18">
        <f t="shared" ca="1" si="4"/>
        <v>0</v>
      </c>
      <c r="BQ18">
        <f t="shared" ca="1" si="5"/>
        <v>84.313999999999993</v>
      </c>
      <c r="BR18">
        <f t="shared" ca="1" si="6"/>
        <v>0</v>
      </c>
      <c r="BS18">
        <f t="shared" ca="1" si="7"/>
        <v>10</v>
      </c>
      <c r="BT18">
        <f t="shared" ca="1" si="8"/>
        <v>0</v>
      </c>
      <c r="BU18">
        <v>0</v>
      </c>
      <c r="BV18">
        <f t="shared" ca="1" si="9"/>
        <v>0</v>
      </c>
      <c r="BW18">
        <f t="shared" ca="1" si="10"/>
        <v>49.934709260588654</v>
      </c>
      <c r="BX18">
        <f t="shared" ca="1" si="11"/>
        <v>0</v>
      </c>
      <c r="BY18">
        <f t="shared" ca="1" si="12"/>
        <v>27.499999984875</v>
      </c>
      <c r="BZ18">
        <f t="shared" ca="1" si="13"/>
        <v>0</v>
      </c>
      <c r="CA18">
        <f t="shared" si="14"/>
        <v>0</v>
      </c>
      <c r="CB18" s="1018">
        <f t="shared" ca="1" si="20"/>
        <v>91.581809245463646</v>
      </c>
      <c r="CC18" s="1018">
        <f t="shared" ca="1" si="21"/>
        <v>22.991426933394987</v>
      </c>
      <c r="CD18">
        <f t="shared" ca="1" si="22"/>
        <v>3.4371970853657592</v>
      </c>
      <c r="CE18">
        <f t="shared" ca="1" si="23"/>
        <v>5722.7956592505743</v>
      </c>
    </row>
    <row r="19" spans="3:83" x14ac:dyDescent="0.25">
      <c r="C19" s="781"/>
      <c r="D19" s="782"/>
      <c r="E19" s="781"/>
      <c r="F19" s="782"/>
      <c r="G19" s="781"/>
      <c r="H19" s="782"/>
      <c r="I19" s="786"/>
      <c r="J19" s="786"/>
      <c r="K19" s="786"/>
      <c r="L19" s="786"/>
      <c r="M19" s="786" t="s">
        <v>60</v>
      </c>
      <c r="N19" s="786">
        <v>0.34</v>
      </c>
      <c r="O19" s="783" t="s">
        <v>57</v>
      </c>
      <c r="P19" s="786">
        <v>0.96430000000000005</v>
      </c>
      <c r="Q19" s="782"/>
      <c r="R19" s="791">
        <v>8.1231782325183878E-4</v>
      </c>
      <c r="S19" s="876"/>
      <c r="T19" s="34">
        <f t="shared" si="15"/>
        <v>8.1231782325183878E-4</v>
      </c>
      <c r="U19" s="176">
        <f t="shared" si="16"/>
        <v>8.1231782325183878E-4</v>
      </c>
      <c r="V19" s="176">
        <f t="shared" si="17"/>
        <v>8.1231782325183878E-4</v>
      </c>
      <c r="W19" s="176">
        <f>V19/Calculation_sheet!M$67</f>
        <v>8.1233443225025995E-4</v>
      </c>
      <c r="X19" s="958">
        <f ca="1">IF(AL19&gt;0,W19*Calculation_sheet!C$87,0)</f>
        <v>0</v>
      </c>
      <c r="Y19" s="176">
        <f t="shared" ca="1" si="0"/>
        <v>8.1233443225025995E-4</v>
      </c>
      <c r="Z19" s="176">
        <f>IF(AN19&gt;0,Y19*Calculation_sheet!C$94,0)</f>
        <v>0</v>
      </c>
      <c r="AA19" s="958">
        <f t="shared" ca="1" si="1"/>
        <v>8.1233443225025995E-4</v>
      </c>
      <c r="AB19" s="176">
        <f ca="1">AA19*Calculation_sheet!C$99</f>
        <v>4.8740065935015594E-4</v>
      </c>
      <c r="AC19" s="958">
        <f t="shared" ca="1" si="1"/>
        <v>3.2493377290010401E-4</v>
      </c>
      <c r="AD19" s="176">
        <f t="shared" si="18"/>
        <v>8.1233443225025995E-4</v>
      </c>
      <c r="AE19" s="176">
        <f>AD19*User_sheet!B$77/100</f>
        <v>0</v>
      </c>
      <c r="AF19" s="309"/>
      <c r="AG19" s="27">
        <v>401</v>
      </c>
      <c r="AH19" s="985"/>
      <c r="AI19" s="956">
        <f t="shared" ca="1" si="19"/>
        <v>91.581809245463646</v>
      </c>
      <c r="AJ19" s="956">
        <f ca="1">AI19/'401'!I$24</f>
        <v>0.47854885849417189</v>
      </c>
      <c r="AK19" s="956">
        <f ca="1">0.8*(AI19*30+'401'!D$17*0.34*30*1)</f>
        <v>4811.7297418911285</v>
      </c>
      <c r="AL19" s="954">
        <f ca="1">IF(AK19&lt;User_sheet!B$50,W19,0)</f>
        <v>8.1233443225025995E-4</v>
      </c>
      <c r="AM19" s="954">
        <f ca="1">20-(User_sheet!B$57/(AI19+'401'!D$17*1*0.34))</f>
        <v>-8.4305244346982455</v>
      </c>
      <c r="AN19" s="954"/>
      <c r="AO19" s="985"/>
      <c r="AP19" s="2">
        <v>0</v>
      </c>
      <c r="AQ19" s="2">
        <v>0.66</v>
      </c>
      <c r="AR19" s="2">
        <v>0</v>
      </c>
      <c r="AS19" s="2">
        <v>2.75</v>
      </c>
      <c r="AT19" s="2">
        <v>0</v>
      </c>
      <c r="AU19" s="2">
        <v>0</v>
      </c>
      <c r="AV19" s="2">
        <v>68297.998190252794</v>
      </c>
      <c r="AW19" s="2">
        <v>0</v>
      </c>
      <c r="AX19" s="2">
        <v>0</v>
      </c>
      <c r="AY19" s="2">
        <v>0</v>
      </c>
      <c r="AZ19" s="50">
        <v>0.6</v>
      </c>
      <c r="BA19" s="34">
        <v>0</v>
      </c>
      <c r="BB19" s="34">
        <v>1</v>
      </c>
      <c r="BC19" s="40">
        <v>0</v>
      </c>
      <c r="BD19" s="34">
        <v>1</v>
      </c>
      <c r="BE19" s="34">
        <v>0</v>
      </c>
      <c r="BF19" s="40">
        <v>0</v>
      </c>
      <c r="BG19" s="34">
        <v>1</v>
      </c>
      <c r="BH19" s="40">
        <v>0</v>
      </c>
      <c r="BI19" s="34">
        <v>0</v>
      </c>
      <c r="BJ19" s="34">
        <v>1</v>
      </c>
      <c r="BK19" s="40">
        <v>0</v>
      </c>
      <c r="BL19" s="958">
        <v>0.15</v>
      </c>
      <c r="BM19" s="958">
        <v>6</v>
      </c>
      <c r="BN19" s="32">
        <f t="shared" ca="1" si="2"/>
        <v>97.065000000000012</v>
      </c>
      <c r="BO19">
        <f t="shared" ca="1" si="3"/>
        <v>307.37190000000004</v>
      </c>
      <c r="BP19">
        <f t="shared" ca="1" si="4"/>
        <v>0</v>
      </c>
      <c r="BQ19">
        <f t="shared" ca="1" si="5"/>
        <v>84.313999999999993</v>
      </c>
      <c r="BR19">
        <f t="shared" ca="1" si="6"/>
        <v>0</v>
      </c>
      <c r="BS19">
        <f t="shared" ca="1" si="7"/>
        <v>10</v>
      </c>
      <c r="BT19">
        <f t="shared" ca="1" si="8"/>
        <v>0</v>
      </c>
      <c r="BU19">
        <v>0</v>
      </c>
      <c r="BV19">
        <f t="shared" ca="1" si="9"/>
        <v>0</v>
      </c>
      <c r="BW19">
        <f t="shared" ca="1" si="10"/>
        <v>49.934709260588654</v>
      </c>
      <c r="BX19">
        <f t="shared" ca="1" si="11"/>
        <v>0</v>
      </c>
      <c r="BY19">
        <f t="shared" ca="1" si="12"/>
        <v>27.499999984875</v>
      </c>
      <c r="BZ19">
        <f t="shared" ca="1" si="13"/>
        <v>0</v>
      </c>
      <c r="CA19">
        <f t="shared" si="14"/>
        <v>0</v>
      </c>
      <c r="CB19" s="1018">
        <f t="shared" ca="1" si="20"/>
        <v>91.581809245463646</v>
      </c>
      <c r="CC19" s="1018">
        <f t="shared" ca="1" si="21"/>
        <v>22.991426933394987</v>
      </c>
      <c r="CD19">
        <f t="shared" ca="1" si="22"/>
        <v>3.4371970853657592</v>
      </c>
      <c r="CE19">
        <f t="shared" ca="1" si="23"/>
        <v>5722.7956592505743</v>
      </c>
    </row>
    <row r="20" spans="3:83" x14ac:dyDescent="0.25">
      <c r="C20" s="781"/>
      <c r="D20" s="782"/>
      <c r="E20" s="781"/>
      <c r="F20" s="782"/>
      <c r="G20" s="781"/>
      <c r="H20" s="782"/>
      <c r="I20" s="786"/>
      <c r="J20" s="786"/>
      <c r="K20" s="786"/>
      <c r="L20" s="786"/>
      <c r="M20" s="786"/>
      <c r="N20" s="786"/>
      <c r="O20" s="783" t="s">
        <v>7</v>
      </c>
      <c r="P20" s="786">
        <v>3.5699999999999954E-2</v>
      </c>
      <c r="Q20" s="782"/>
      <c r="R20" s="791">
        <v>3.0073365436161568E-5</v>
      </c>
      <c r="S20" s="876"/>
      <c r="T20" s="34">
        <f t="shared" si="15"/>
        <v>3.0073365436161568E-5</v>
      </c>
      <c r="U20" s="176">
        <f t="shared" si="16"/>
        <v>3.0073365436161568E-5</v>
      </c>
      <c r="V20" s="176">
        <f t="shared" si="17"/>
        <v>3.0073365436161568E-5</v>
      </c>
      <c r="W20" s="176">
        <f>V20/Calculation_sheet!M$67</f>
        <v>3.007398032908248E-5</v>
      </c>
      <c r="X20" s="958">
        <f ca="1">IF(AL20&gt;0,W20*Calculation_sheet!C$87,0)</f>
        <v>0</v>
      </c>
      <c r="Y20" s="176">
        <f t="shared" ca="1" si="0"/>
        <v>3.007398032908248E-5</v>
      </c>
      <c r="Z20" s="176">
        <f>IF(AN20&gt;0,Y20*Calculation_sheet!C$94,0)</f>
        <v>0</v>
      </c>
      <c r="AA20" s="958">
        <f t="shared" ca="1" si="1"/>
        <v>3.007398032908248E-5</v>
      </c>
      <c r="AB20" s="176">
        <f ca="1">AA20*Calculation_sheet!C$99</f>
        <v>1.8044388197449489E-5</v>
      </c>
      <c r="AC20" s="958">
        <f t="shared" ca="1" si="1"/>
        <v>1.2029592131632991E-5</v>
      </c>
      <c r="AD20" s="176">
        <f t="shared" si="18"/>
        <v>3.007398032908248E-5</v>
      </c>
      <c r="AE20" s="176">
        <f>AD20*User_sheet!B$77/100</f>
        <v>0</v>
      </c>
      <c r="AF20" s="310"/>
      <c r="AG20" s="27">
        <v>401</v>
      </c>
      <c r="AH20" s="985"/>
      <c r="AI20" s="956">
        <f t="shared" ca="1" si="19"/>
        <v>91.581809245463646</v>
      </c>
      <c r="AJ20" s="956">
        <f ca="1">AI20/'401'!I$24</f>
        <v>0.47854885849417189</v>
      </c>
      <c r="AK20" s="956">
        <f ca="1">0.8*(AI20*30+'401'!D$17*0.34*30*1)</f>
        <v>4811.7297418911285</v>
      </c>
      <c r="AL20" s="954">
        <f ca="1">IF(AK20&lt;User_sheet!B$50,W20,0)</f>
        <v>3.007398032908248E-5</v>
      </c>
      <c r="AM20" s="954">
        <f ca="1">20-(User_sheet!B$57/(AI20+'401'!D$17*1*0.34))</f>
        <v>-8.4305244346982455</v>
      </c>
      <c r="AN20" s="954"/>
      <c r="AO20" s="985"/>
      <c r="AP20" s="2">
        <v>0</v>
      </c>
      <c r="AQ20" s="2">
        <v>0.66</v>
      </c>
      <c r="AR20" s="2">
        <v>0</v>
      </c>
      <c r="AS20" s="2">
        <v>2.75</v>
      </c>
      <c r="AT20" s="2">
        <v>0</v>
      </c>
      <c r="AU20" s="2">
        <v>0</v>
      </c>
      <c r="AV20" s="2">
        <v>68297.998190252794</v>
      </c>
      <c r="AW20" s="2">
        <v>0</v>
      </c>
      <c r="AX20" s="2">
        <v>0</v>
      </c>
      <c r="AY20" s="2">
        <v>0</v>
      </c>
      <c r="AZ20" s="50">
        <v>0.6</v>
      </c>
      <c r="BA20" s="34">
        <v>0</v>
      </c>
      <c r="BB20" s="34">
        <v>1</v>
      </c>
      <c r="BC20" s="40">
        <v>0</v>
      </c>
      <c r="BD20" s="34">
        <v>1</v>
      </c>
      <c r="BE20" s="34">
        <v>0</v>
      </c>
      <c r="BF20" s="40">
        <v>0</v>
      </c>
      <c r="BG20" s="34">
        <v>1</v>
      </c>
      <c r="BH20" s="40">
        <v>0</v>
      </c>
      <c r="BI20" s="34">
        <v>0</v>
      </c>
      <c r="BJ20" s="34">
        <v>0</v>
      </c>
      <c r="BK20" s="40">
        <v>1</v>
      </c>
      <c r="BL20" s="958">
        <v>0.15</v>
      </c>
      <c r="BM20" s="958">
        <v>6</v>
      </c>
      <c r="BN20" s="32">
        <f t="shared" ca="1" si="2"/>
        <v>97.065000000000012</v>
      </c>
      <c r="BO20">
        <f t="shared" ca="1" si="3"/>
        <v>307.37190000000004</v>
      </c>
      <c r="BP20">
        <f t="shared" ca="1" si="4"/>
        <v>0</v>
      </c>
      <c r="BQ20">
        <f t="shared" ca="1" si="5"/>
        <v>84.313999999999993</v>
      </c>
      <c r="BR20">
        <f t="shared" ca="1" si="6"/>
        <v>0</v>
      </c>
      <c r="BS20">
        <f t="shared" ca="1" si="7"/>
        <v>10</v>
      </c>
      <c r="BT20">
        <f t="shared" ca="1" si="8"/>
        <v>0</v>
      </c>
      <c r="BU20">
        <v>0</v>
      </c>
      <c r="BV20">
        <f t="shared" ca="1" si="9"/>
        <v>0</v>
      </c>
      <c r="BW20">
        <f t="shared" ca="1" si="10"/>
        <v>49.934709260588654</v>
      </c>
      <c r="BX20">
        <f t="shared" ca="1" si="11"/>
        <v>0</v>
      </c>
      <c r="BY20">
        <f t="shared" ca="1" si="12"/>
        <v>27.499999984875</v>
      </c>
      <c r="BZ20">
        <f t="shared" ca="1" si="13"/>
        <v>0</v>
      </c>
      <c r="CA20">
        <f t="shared" si="14"/>
        <v>0</v>
      </c>
      <c r="CB20" s="1018">
        <f t="shared" ca="1" si="20"/>
        <v>91.581809245463646</v>
      </c>
      <c r="CC20" s="1018">
        <f t="shared" ca="1" si="21"/>
        <v>22.991426933394987</v>
      </c>
      <c r="CD20">
        <f t="shared" ca="1" si="22"/>
        <v>3.4371970853657592</v>
      </c>
      <c r="CE20">
        <f t="shared" ca="1" si="23"/>
        <v>5722.7956592505743</v>
      </c>
    </row>
    <row r="21" spans="3:83" x14ac:dyDescent="0.25">
      <c r="C21" s="781"/>
      <c r="D21" s="782"/>
      <c r="E21" s="781"/>
      <c r="F21" s="782"/>
      <c r="G21" s="781"/>
      <c r="H21" s="782"/>
      <c r="I21" s="786"/>
      <c r="J21" s="786"/>
      <c r="K21" s="786" t="s">
        <v>58</v>
      </c>
      <c r="L21" s="786">
        <v>0.95</v>
      </c>
      <c r="M21" s="786" t="s">
        <v>61</v>
      </c>
      <c r="N21" s="786">
        <v>0.65999999999999992</v>
      </c>
      <c r="O21" s="783" t="s">
        <v>57</v>
      </c>
      <c r="P21" s="786">
        <v>0.96430000000000005</v>
      </c>
      <c r="Q21" s="782"/>
      <c r="R21" s="791">
        <v>1.5768522451359219E-3</v>
      </c>
      <c r="S21" s="876"/>
      <c r="T21" s="34">
        <f t="shared" si="15"/>
        <v>1.5768522451359219E-3</v>
      </c>
      <c r="U21" s="176">
        <f t="shared" si="16"/>
        <v>1.5768522451359219E-3</v>
      </c>
      <c r="V21" s="176">
        <f t="shared" si="17"/>
        <v>1.5768522451359219E-3</v>
      </c>
      <c r="W21" s="176">
        <f>V21/Calculation_sheet!M$67</f>
        <v>1.5768844861328572E-3</v>
      </c>
      <c r="X21" s="958">
        <f ca="1">IF(AL21&gt;0,W21*Calculation_sheet!C$87,0)</f>
        <v>0</v>
      </c>
      <c r="Y21" s="176">
        <f t="shared" ca="1" si="0"/>
        <v>1.5768844861328572E-3</v>
      </c>
      <c r="Z21" s="176">
        <f>IF(AN21&gt;0,Y21*Calculation_sheet!C$94,0)</f>
        <v>0</v>
      </c>
      <c r="AA21" s="958">
        <f t="shared" ca="1" si="1"/>
        <v>1.5768844861328572E-3</v>
      </c>
      <c r="AB21" s="176">
        <f ca="1">AA21*Calculation_sheet!C$99</f>
        <v>9.4613069167971426E-4</v>
      </c>
      <c r="AC21" s="958">
        <f t="shared" ca="1" si="1"/>
        <v>6.3075379445314298E-4</v>
      </c>
      <c r="AD21" s="176">
        <f t="shared" si="18"/>
        <v>1.5768844861328572E-3</v>
      </c>
      <c r="AE21" s="176">
        <f>AD21*User_sheet!B$77/100</f>
        <v>0</v>
      </c>
      <c r="AF21" s="309"/>
      <c r="AG21" s="27">
        <v>401</v>
      </c>
      <c r="AH21" s="985"/>
      <c r="AI21" s="956">
        <f t="shared" ca="1" si="19"/>
        <v>91.581809245463646</v>
      </c>
      <c r="AJ21" s="956">
        <f ca="1">AI21/'401'!I$24</f>
        <v>0.47854885849417189</v>
      </c>
      <c r="AK21" s="956">
        <f ca="1">0.8*(AI21*30+'401'!D$17*0.34*30*1)</f>
        <v>4811.7297418911285</v>
      </c>
      <c r="AL21" s="954">
        <f ca="1">IF(AK21&lt;User_sheet!B$50,W21,0)</f>
        <v>1.5768844861328572E-3</v>
      </c>
      <c r="AM21" s="954">
        <f ca="1">20-(User_sheet!B$57/(AI21+'401'!D$17*1*0.34))</f>
        <v>-8.4305244346982455</v>
      </c>
      <c r="AN21" s="954"/>
      <c r="AO21" s="985"/>
      <c r="AP21" s="2">
        <v>0</v>
      </c>
      <c r="AQ21" s="2">
        <v>0.66</v>
      </c>
      <c r="AR21" s="2">
        <v>0</v>
      </c>
      <c r="AS21" s="2">
        <v>2.75</v>
      </c>
      <c r="AT21" s="2">
        <v>0</v>
      </c>
      <c r="AU21" s="2">
        <v>0</v>
      </c>
      <c r="AV21" s="2">
        <v>68297.998190252794</v>
      </c>
      <c r="AW21" s="2">
        <v>0</v>
      </c>
      <c r="AX21" s="2">
        <v>0</v>
      </c>
      <c r="AY21" s="2">
        <v>0</v>
      </c>
      <c r="AZ21" s="50">
        <v>0.6</v>
      </c>
      <c r="BA21" s="34">
        <v>0</v>
      </c>
      <c r="BB21" s="34">
        <v>1</v>
      </c>
      <c r="BC21" s="40">
        <v>0</v>
      </c>
      <c r="BD21" s="34">
        <v>1</v>
      </c>
      <c r="BE21" s="34">
        <v>0</v>
      </c>
      <c r="BF21" s="40">
        <v>0</v>
      </c>
      <c r="BG21" s="34">
        <v>0</v>
      </c>
      <c r="BH21" s="40">
        <v>1</v>
      </c>
      <c r="BI21" s="34">
        <v>0</v>
      </c>
      <c r="BJ21" s="34">
        <v>1</v>
      </c>
      <c r="BK21" s="40">
        <v>0</v>
      </c>
      <c r="BL21" s="958">
        <v>0.15</v>
      </c>
      <c r="BM21" s="958">
        <v>6</v>
      </c>
      <c r="BN21" s="32">
        <f t="shared" ca="1" si="2"/>
        <v>97.065000000000012</v>
      </c>
      <c r="BO21">
        <f t="shared" ca="1" si="3"/>
        <v>307.37190000000004</v>
      </c>
      <c r="BP21">
        <f t="shared" ca="1" si="4"/>
        <v>0</v>
      </c>
      <c r="BQ21">
        <f t="shared" ca="1" si="5"/>
        <v>84.313999999999993</v>
      </c>
      <c r="BR21">
        <f t="shared" ca="1" si="6"/>
        <v>0</v>
      </c>
      <c r="BS21">
        <f t="shared" ca="1" si="7"/>
        <v>10</v>
      </c>
      <c r="BT21">
        <f t="shared" ca="1" si="8"/>
        <v>0</v>
      </c>
      <c r="BU21">
        <v>0</v>
      </c>
      <c r="BV21">
        <f t="shared" ca="1" si="9"/>
        <v>0</v>
      </c>
      <c r="BW21">
        <f t="shared" ca="1" si="10"/>
        <v>49.934709260588654</v>
      </c>
      <c r="BX21">
        <f t="shared" ca="1" si="11"/>
        <v>0</v>
      </c>
      <c r="BY21">
        <f t="shared" ca="1" si="12"/>
        <v>27.499999984875</v>
      </c>
      <c r="BZ21">
        <f t="shared" ca="1" si="13"/>
        <v>0</v>
      </c>
      <c r="CA21">
        <f t="shared" si="14"/>
        <v>0</v>
      </c>
      <c r="CB21" s="1018">
        <f t="shared" ca="1" si="20"/>
        <v>91.581809245463646</v>
      </c>
      <c r="CC21" s="1018">
        <f t="shared" ca="1" si="21"/>
        <v>22.991426933394987</v>
      </c>
      <c r="CD21">
        <f t="shared" ca="1" si="22"/>
        <v>3.4371970853657592</v>
      </c>
      <c r="CE21">
        <f t="shared" ca="1" si="23"/>
        <v>5722.7956592505743</v>
      </c>
    </row>
    <row r="22" spans="3:83" x14ac:dyDescent="0.25">
      <c r="C22" s="781"/>
      <c r="D22" s="782"/>
      <c r="E22" s="781"/>
      <c r="F22" s="782"/>
      <c r="G22" s="781"/>
      <c r="H22" s="782"/>
      <c r="I22" s="786" t="s">
        <v>57</v>
      </c>
      <c r="J22" s="786">
        <v>0.28000000000000003</v>
      </c>
      <c r="K22" s="786"/>
      <c r="L22" s="786"/>
      <c r="M22" s="786"/>
      <c r="N22" s="786"/>
      <c r="O22" s="783" t="s">
        <v>7</v>
      </c>
      <c r="P22" s="786">
        <v>3.5700000000000003E-2</v>
      </c>
      <c r="Q22" s="782"/>
      <c r="R22" s="791">
        <v>5.837770937607842E-5</v>
      </c>
      <c r="S22" s="876"/>
      <c r="T22" s="34">
        <f t="shared" si="15"/>
        <v>5.837770937607842E-5</v>
      </c>
      <c r="U22" s="176">
        <f t="shared" si="16"/>
        <v>5.837770937607842E-5</v>
      </c>
      <c r="V22" s="176">
        <f t="shared" si="17"/>
        <v>5.837770937607842E-5</v>
      </c>
      <c r="W22" s="176">
        <f>V22/Calculation_sheet!M$67</f>
        <v>5.8378902991748428E-5</v>
      </c>
      <c r="X22" s="958">
        <f ca="1">IF(AL22&gt;0,W22*Calculation_sheet!C$87,0)</f>
        <v>0</v>
      </c>
      <c r="Y22" s="176">
        <f t="shared" ca="1" si="0"/>
        <v>5.8378902991748428E-5</v>
      </c>
      <c r="Z22" s="176">
        <f>IF(AN22&gt;0,Y22*Calculation_sheet!C$94,0)</f>
        <v>0</v>
      </c>
      <c r="AA22" s="958">
        <f t="shared" ca="1" si="1"/>
        <v>5.8378902991748428E-5</v>
      </c>
      <c r="AB22" s="176">
        <f ca="1">AA22*Calculation_sheet!C$99</f>
        <v>3.5027341795049053E-5</v>
      </c>
      <c r="AC22" s="958">
        <f t="shared" ca="1" si="1"/>
        <v>2.3351561196699375E-5</v>
      </c>
      <c r="AD22" s="176">
        <f t="shared" si="18"/>
        <v>5.8378902991748428E-5</v>
      </c>
      <c r="AE22" s="176">
        <f>AD22*User_sheet!B$77/100</f>
        <v>0</v>
      </c>
      <c r="AF22" s="310"/>
      <c r="AG22" s="27">
        <v>401</v>
      </c>
      <c r="AH22" s="985"/>
      <c r="AI22" s="956">
        <f t="shared" ca="1" si="19"/>
        <v>91.581809245463646</v>
      </c>
      <c r="AJ22" s="956">
        <f ca="1">AI22/'401'!I$24</f>
        <v>0.47854885849417189</v>
      </c>
      <c r="AK22" s="956">
        <f ca="1">0.8*(AI22*30+'401'!D$17*0.34*30*1)</f>
        <v>4811.7297418911285</v>
      </c>
      <c r="AL22" s="954">
        <f ca="1">IF(AK22&lt;User_sheet!B$50,W22,0)</f>
        <v>5.8378902991748428E-5</v>
      </c>
      <c r="AM22" s="954">
        <f ca="1">20-(User_sheet!B$57/(AI22+'401'!D$17*1*0.34))</f>
        <v>-8.4305244346982455</v>
      </c>
      <c r="AN22" s="954"/>
      <c r="AO22" s="985"/>
      <c r="AP22" s="2">
        <v>0</v>
      </c>
      <c r="AQ22" s="2">
        <v>0.66</v>
      </c>
      <c r="AR22" s="2">
        <v>0</v>
      </c>
      <c r="AS22" s="2">
        <v>2.75</v>
      </c>
      <c r="AT22" s="2">
        <v>0</v>
      </c>
      <c r="AU22" s="2">
        <v>0</v>
      </c>
      <c r="AV22" s="2">
        <v>68297.998190252794</v>
      </c>
      <c r="AW22" s="2">
        <v>0</v>
      </c>
      <c r="AX22" s="2">
        <v>0</v>
      </c>
      <c r="AY22" s="2">
        <v>0</v>
      </c>
      <c r="AZ22" s="50">
        <v>0.6</v>
      </c>
      <c r="BA22" s="34">
        <v>0</v>
      </c>
      <c r="BB22" s="34">
        <v>1</v>
      </c>
      <c r="BC22" s="40">
        <v>0</v>
      </c>
      <c r="BD22" s="34">
        <v>1</v>
      </c>
      <c r="BE22" s="34">
        <v>0</v>
      </c>
      <c r="BF22" s="40">
        <v>0</v>
      </c>
      <c r="BG22" s="34">
        <v>0</v>
      </c>
      <c r="BH22" s="40">
        <v>1</v>
      </c>
      <c r="BI22" s="34">
        <v>0</v>
      </c>
      <c r="BJ22" s="34">
        <v>0</v>
      </c>
      <c r="BK22" s="40">
        <v>1</v>
      </c>
      <c r="BL22" s="958">
        <v>0.15</v>
      </c>
      <c r="BM22" s="958">
        <v>6</v>
      </c>
      <c r="BN22" s="32">
        <f t="shared" ca="1" si="2"/>
        <v>97.065000000000012</v>
      </c>
      <c r="BO22">
        <f t="shared" ca="1" si="3"/>
        <v>307.37190000000004</v>
      </c>
      <c r="BP22">
        <f t="shared" ca="1" si="4"/>
        <v>0</v>
      </c>
      <c r="BQ22">
        <f t="shared" ca="1" si="5"/>
        <v>84.313999999999993</v>
      </c>
      <c r="BR22">
        <f t="shared" ca="1" si="6"/>
        <v>0</v>
      </c>
      <c r="BS22">
        <f t="shared" ca="1" si="7"/>
        <v>10</v>
      </c>
      <c r="BT22">
        <f t="shared" ca="1" si="8"/>
        <v>0</v>
      </c>
      <c r="BU22">
        <v>0</v>
      </c>
      <c r="BV22">
        <f t="shared" ca="1" si="9"/>
        <v>0</v>
      </c>
      <c r="BW22">
        <f t="shared" ca="1" si="10"/>
        <v>49.934709260588654</v>
      </c>
      <c r="BX22">
        <f t="shared" ca="1" si="11"/>
        <v>0</v>
      </c>
      <c r="BY22">
        <f t="shared" ca="1" si="12"/>
        <v>27.499999984875</v>
      </c>
      <c r="BZ22">
        <f t="shared" ca="1" si="13"/>
        <v>0</v>
      </c>
      <c r="CA22">
        <f t="shared" si="14"/>
        <v>0</v>
      </c>
      <c r="CB22" s="1018">
        <f t="shared" ca="1" si="20"/>
        <v>91.581809245463646</v>
      </c>
      <c r="CC22" s="1018">
        <f t="shared" ca="1" si="21"/>
        <v>22.991426933394987</v>
      </c>
      <c r="CD22">
        <f t="shared" ca="1" si="22"/>
        <v>3.4371970853657592</v>
      </c>
      <c r="CE22">
        <f t="shared" ca="1" si="23"/>
        <v>5722.7956592505743</v>
      </c>
    </row>
    <row r="23" spans="3:83" x14ac:dyDescent="0.25">
      <c r="C23" s="781"/>
      <c r="D23" s="782"/>
      <c r="E23" s="781"/>
      <c r="F23" s="782"/>
      <c r="G23" s="781"/>
      <c r="H23" s="782"/>
      <c r="I23" s="786"/>
      <c r="J23" s="786"/>
      <c r="K23" s="786" t="s">
        <v>59</v>
      </c>
      <c r="L23" s="786">
        <v>0.05</v>
      </c>
      <c r="M23" s="786"/>
      <c r="N23" s="786"/>
      <c r="O23" s="789" t="s">
        <v>57</v>
      </c>
      <c r="P23" s="786">
        <v>0.96430000000000005</v>
      </c>
      <c r="Q23" s="782"/>
      <c r="R23" s="791">
        <v>1.2574579307304004E-4</v>
      </c>
      <c r="S23" s="876"/>
      <c r="T23" s="34">
        <f t="shared" si="15"/>
        <v>1.2574579307304004E-4</v>
      </c>
      <c r="U23" s="176">
        <f t="shared" si="16"/>
        <v>1.2574579307304004E-4</v>
      </c>
      <c r="V23" s="176">
        <f t="shared" si="17"/>
        <v>1.2574579307304004E-4</v>
      </c>
      <c r="W23" s="176">
        <f>V23/Calculation_sheet!M$67</f>
        <v>1.2574836412542723E-4</v>
      </c>
      <c r="X23" s="958">
        <f ca="1">IF(AL23&gt;0,W23*Calculation_sheet!C$87,0)</f>
        <v>0</v>
      </c>
      <c r="Y23" s="176">
        <f t="shared" ca="1" si="0"/>
        <v>1.2574836412542723E-4</v>
      </c>
      <c r="Z23" s="176">
        <f>IF(AN23&gt;0,Y23*Calculation_sheet!C$94,0)</f>
        <v>0</v>
      </c>
      <c r="AA23" s="958">
        <f t="shared" ca="1" si="1"/>
        <v>1.2574836412542723E-4</v>
      </c>
      <c r="AB23" s="176">
        <f ca="1">AA23*Calculation_sheet!C$99</f>
        <v>7.5449018475256334E-5</v>
      </c>
      <c r="AC23" s="958">
        <f t="shared" ca="1" si="1"/>
        <v>5.0299345650170894E-5</v>
      </c>
      <c r="AD23" s="176">
        <f t="shared" si="18"/>
        <v>1.2574836412542723E-4</v>
      </c>
      <c r="AE23" s="176">
        <f>AD23*User_sheet!B$77/100</f>
        <v>0</v>
      </c>
      <c r="AF23" s="309"/>
      <c r="AG23" s="27">
        <v>401</v>
      </c>
      <c r="AH23" s="985"/>
      <c r="AI23" s="956">
        <f t="shared" ca="1" si="19"/>
        <v>91.581809245463646</v>
      </c>
      <c r="AJ23" s="956">
        <f ca="1">AI23/'401'!I$24</f>
        <v>0.47854885849417189</v>
      </c>
      <c r="AK23" s="956">
        <f ca="1">0.8*(AI23*30+'401'!D$17*0.34*30*1)</f>
        <v>4811.7297418911285</v>
      </c>
      <c r="AL23" s="954">
        <f ca="1">IF(AK23&lt;User_sheet!B$50,W23,0)</f>
        <v>1.2574836412542723E-4</v>
      </c>
      <c r="AM23" s="954">
        <f ca="1">20-(User_sheet!B$57/(AI23+'401'!D$17*1*0.34))</f>
        <v>-8.4305244346982455</v>
      </c>
      <c r="AN23" s="954"/>
      <c r="AO23" s="985"/>
      <c r="AP23" s="2">
        <v>0</v>
      </c>
      <c r="AQ23" s="2">
        <v>0.66</v>
      </c>
      <c r="AR23" s="2">
        <v>0</v>
      </c>
      <c r="AS23" s="2">
        <v>2.75</v>
      </c>
      <c r="AT23" s="2">
        <v>0</v>
      </c>
      <c r="AU23" s="2">
        <v>0</v>
      </c>
      <c r="AV23" s="2">
        <v>68297.998190252794</v>
      </c>
      <c r="AW23" s="2">
        <v>0</v>
      </c>
      <c r="AX23" s="2">
        <v>0</v>
      </c>
      <c r="AY23" s="2">
        <v>0</v>
      </c>
      <c r="AZ23" s="50">
        <v>0.6</v>
      </c>
      <c r="BA23" s="34">
        <v>0</v>
      </c>
      <c r="BB23" s="34">
        <v>1</v>
      </c>
      <c r="BC23" s="40">
        <v>0</v>
      </c>
      <c r="BD23" s="34">
        <v>0</v>
      </c>
      <c r="BE23" s="34">
        <v>1</v>
      </c>
      <c r="BF23" s="40">
        <v>0</v>
      </c>
      <c r="BG23" s="34">
        <v>1</v>
      </c>
      <c r="BH23" s="40">
        <v>0</v>
      </c>
      <c r="BI23" s="34">
        <v>0</v>
      </c>
      <c r="BJ23" s="34">
        <v>1</v>
      </c>
      <c r="BK23" s="40">
        <v>0</v>
      </c>
      <c r="BL23" s="958">
        <v>0.15</v>
      </c>
      <c r="BM23" s="958">
        <v>6</v>
      </c>
      <c r="BN23" s="32">
        <f t="shared" ca="1" si="2"/>
        <v>97.065000000000012</v>
      </c>
      <c r="BO23">
        <f t="shared" ca="1" si="3"/>
        <v>307.37190000000004</v>
      </c>
      <c r="BP23">
        <f t="shared" ca="1" si="4"/>
        <v>0</v>
      </c>
      <c r="BQ23">
        <f t="shared" ca="1" si="5"/>
        <v>84.313999999999993</v>
      </c>
      <c r="BR23">
        <f t="shared" ca="1" si="6"/>
        <v>0</v>
      </c>
      <c r="BS23">
        <f t="shared" ca="1" si="7"/>
        <v>10</v>
      </c>
      <c r="BT23">
        <f t="shared" ca="1" si="8"/>
        <v>0</v>
      </c>
      <c r="BU23">
        <v>0</v>
      </c>
      <c r="BV23">
        <f t="shared" ca="1" si="9"/>
        <v>0</v>
      </c>
      <c r="BW23">
        <f t="shared" ca="1" si="10"/>
        <v>49.934709260588654</v>
      </c>
      <c r="BX23">
        <f t="shared" ca="1" si="11"/>
        <v>0</v>
      </c>
      <c r="BY23">
        <f t="shared" ca="1" si="12"/>
        <v>27.499999984875</v>
      </c>
      <c r="BZ23">
        <f t="shared" ca="1" si="13"/>
        <v>0</v>
      </c>
      <c r="CA23">
        <f t="shared" si="14"/>
        <v>0</v>
      </c>
      <c r="CB23" s="1018">
        <f t="shared" ca="1" si="20"/>
        <v>91.581809245463646</v>
      </c>
      <c r="CC23" s="1018">
        <f t="shared" ca="1" si="21"/>
        <v>22.991426933394987</v>
      </c>
      <c r="CD23">
        <f t="shared" ca="1" si="22"/>
        <v>3.4371970853657592</v>
      </c>
      <c r="CE23">
        <f t="shared" ca="1" si="23"/>
        <v>5722.7956592505743</v>
      </c>
    </row>
    <row r="24" spans="3:83" x14ac:dyDescent="0.25">
      <c r="C24" s="781"/>
      <c r="D24" s="782"/>
      <c r="E24" s="781"/>
      <c r="F24" s="782"/>
      <c r="G24" s="781"/>
      <c r="H24" s="782"/>
      <c r="I24" s="786"/>
      <c r="J24" s="786"/>
      <c r="K24" s="786"/>
      <c r="L24" s="786"/>
      <c r="M24" s="786"/>
      <c r="N24" s="786"/>
      <c r="O24" s="789" t="s">
        <v>7</v>
      </c>
      <c r="P24" s="786">
        <v>3.5700000000000003E-2</v>
      </c>
      <c r="Q24" s="782"/>
      <c r="R24" s="791">
        <v>4.6553197269600025E-6</v>
      </c>
      <c r="S24" s="876"/>
      <c r="T24" s="34">
        <f t="shared" si="15"/>
        <v>4.6553197269600025E-6</v>
      </c>
      <c r="U24" s="176">
        <f t="shared" si="16"/>
        <v>4.6553197269600025E-6</v>
      </c>
      <c r="V24" s="176">
        <f t="shared" si="17"/>
        <v>4.6553197269600025E-6</v>
      </c>
      <c r="W24" s="176">
        <f>V24/Calculation_sheet!M$67</f>
        <v>4.6554149116226826E-6</v>
      </c>
      <c r="X24" s="958">
        <f ca="1">IF(AL24&gt;0,W24*Calculation_sheet!C$87,0)</f>
        <v>0</v>
      </c>
      <c r="Y24" s="176">
        <f t="shared" ca="1" si="0"/>
        <v>4.6554149116226826E-6</v>
      </c>
      <c r="Z24" s="176">
        <f>IF(AN24&gt;0,Y24*Calculation_sheet!C$94,0)</f>
        <v>0</v>
      </c>
      <c r="AA24" s="958">
        <f t="shared" ca="1" si="1"/>
        <v>4.6554149116226826E-6</v>
      </c>
      <c r="AB24" s="176">
        <f ca="1">AA24*Calculation_sheet!C$99</f>
        <v>2.7932489469736094E-6</v>
      </c>
      <c r="AC24" s="958">
        <f t="shared" ca="1" si="1"/>
        <v>1.8621659646490732E-6</v>
      </c>
      <c r="AD24" s="176">
        <f t="shared" si="18"/>
        <v>4.6554149116226826E-6</v>
      </c>
      <c r="AE24" s="176">
        <f>AD24*User_sheet!B$77/100</f>
        <v>0</v>
      </c>
      <c r="AF24" s="310"/>
      <c r="AG24" s="27">
        <v>401</v>
      </c>
      <c r="AH24" s="985"/>
      <c r="AI24" s="956">
        <f t="shared" ca="1" si="19"/>
        <v>91.581809245463646</v>
      </c>
      <c r="AJ24" s="956">
        <f ca="1">AI24/'401'!I$24</f>
        <v>0.47854885849417189</v>
      </c>
      <c r="AK24" s="956">
        <f ca="1">0.8*(AI24*30+'401'!D$17*0.34*30*1)</f>
        <v>4811.7297418911285</v>
      </c>
      <c r="AL24" s="954">
        <f ca="1">IF(AK24&lt;User_sheet!B$50,W24,0)</f>
        <v>4.6554149116226826E-6</v>
      </c>
      <c r="AM24" s="954">
        <f ca="1">20-(User_sheet!B$57/(AI24+'401'!D$17*1*0.34))</f>
        <v>-8.4305244346982455</v>
      </c>
      <c r="AN24" s="954"/>
      <c r="AO24" s="985"/>
      <c r="AP24" s="2">
        <v>0</v>
      </c>
      <c r="AQ24" s="2">
        <v>0.66</v>
      </c>
      <c r="AR24" s="2">
        <v>0</v>
      </c>
      <c r="AS24" s="2">
        <v>2.75</v>
      </c>
      <c r="AT24" s="2">
        <v>0</v>
      </c>
      <c r="AU24" s="2">
        <v>0</v>
      </c>
      <c r="AV24" s="2">
        <v>68297.998190252794</v>
      </c>
      <c r="AW24" s="2">
        <v>0</v>
      </c>
      <c r="AX24" s="2">
        <v>0</v>
      </c>
      <c r="AY24" s="2">
        <v>0</v>
      </c>
      <c r="AZ24" s="50">
        <v>0.6</v>
      </c>
      <c r="BA24" s="34">
        <v>0</v>
      </c>
      <c r="BB24" s="34">
        <v>1</v>
      </c>
      <c r="BC24" s="40">
        <v>0</v>
      </c>
      <c r="BD24" s="34">
        <v>0</v>
      </c>
      <c r="BE24" s="34">
        <v>1</v>
      </c>
      <c r="BF24" s="40">
        <v>0</v>
      </c>
      <c r="BG24" s="34">
        <v>1</v>
      </c>
      <c r="BH24" s="40">
        <v>0</v>
      </c>
      <c r="BI24" s="34">
        <v>0</v>
      </c>
      <c r="BJ24" s="34">
        <v>0</v>
      </c>
      <c r="BK24" s="40">
        <v>1</v>
      </c>
      <c r="BL24" s="958">
        <v>0.15</v>
      </c>
      <c r="BM24" s="958">
        <v>6</v>
      </c>
      <c r="BN24" s="32">
        <f t="shared" ca="1" si="2"/>
        <v>97.065000000000012</v>
      </c>
      <c r="BO24">
        <f t="shared" ca="1" si="3"/>
        <v>307.37190000000004</v>
      </c>
      <c r="BP24">
        <f t="shared" ca="1" si="4"/>
        <v>0</v>
      </c>
      <c r="BQ24">
        <f t="shared" ca="1" si="5"/>
        <v>84.313999999999993</v>
      </c>
      <c r="BR24">
        <f t="shared" ca="1" si="6"/>
        <v>0</v>
      </c>
      <c r="BS24">
        <f t="shared" ca="1" si="7"/>
        <v>10</v>
      </c>
      <c r="BT24">
        <f t="shared" ca="1" si="8"/>
        <v>0</v>
      </c>
      <c r="BU24">
        <v>0</v>
      </c>
      <c r="BV24">
        <f t="shared" ca="1" si="9"/>
        <v>0</v>
      </c>
      <c r="BW24">
        <f t="shared" ca="1" si="10"/>
        <v>49.934709260588654</v>
      </c>
      <c r="BX24">
        <f t="shared" ca="1" si="11"/>
        <v>0</v>
      </c>
      <c r="BY24">
        <f t="shared" ca="1" si="12"/>
        <v>27.499999984875</v>
      </c>
      <c r="BZ24">
        <f t="shared" ca="1" si="13"/>
        <v>0</v>
      </c>
      <c r="CA24">
        <f t="shared" si="14"/>
        <v>0</v>
      </c>
      <c r="CB24" s="1018">
        <f t="shared" ca="1" si="20"/>
        <v>91.581809245463646</v>
      </c>
      <c r="CC24" s="1018">
        <f t="shared" ca="1" si="21"/>
        <v>22.991426933394987</v>
      </c>
      <c r="CD24">
        <f t="shared" ca="1" si="22"/>
        <v>3.4371970853657592</v>
      </c>
      <c r="CE24">
        <f t="shared" ca="1" si="23"/>
        <v>5722.7956592505743</v>
      </c>
    </row>
    <row r="25" spans="3:83" x14ac:dyDescent="0.25">
      <c r="C25" s="781"/>
      <c r="D25" s="782"/>
      <c r="E25" s="781" t="s">
        <v>4</v>
      </c>
      <c r="F25" s="785">
        <v>0.14000000000000001</v>
      </c>
      <c r="G25" s="781" t="s">
        <v>5</v>
      </c>
      <c r="H25" s="785">
        <v>1</v>
      </c>
      <c r="I25" s="786" t="s">
        <v>7</v>
      </c>
      <c r="J25" s="786">
        <v>7.999999999999996E-2</v>
      </c>
      <c r="K25" s="786" t="s">
        <v>23</v>
      </c>
      <c r="L25" s="786">
        <v>1</v>
      </c>
      <c r="M25" s="786"/>
      <c r="N25" s="786">
        <v>1</v>
      </c>
      <c r="O25" s="789" t="s">
        <v>7</v>
      </c>
      <c r="P25" s="786">
        <v>1</v>
      </c>
      <c r="Q25" s="782"/>
      <c r="R25" s="791">
        <v>7.4514921599999975E-4</v>
      </c>
      <c r="S25" s="876"/>
      <c r="T25" s="34">
        <f t="shared" si="15"/>
        <v>7.4514921599999975E-4</v>
      </c>
      <c r="U25" s="176">
        <f t="shared" si="16"/>
        <v>7.4514921599999975E-4</v>
      </c>
      <c r="V25" s="176">
        <f t="shared" si="17"/>
        <v>7.4514921599999975E-4</v>
      </c>
      <c r="W25" s="176">
        <f>V25/Calculation_sheet!M$67</f>
        <v>7.4516445164028472E-4</v>
      </c>
      <c r="X25" s="958">
        <f ca="1">IF(AL25&gt;0,W25*Calculation_sheet!C$87,0)</f>
        <v>0</v>
      </c>
      <c r="Y25" s="176">
        <f t="shared" ca="1" si="0"/>
        <v>7.4516445164028472E-4</v>
      </c>
      <c r="Z25" s="176">
        <f>IF(AN25&gt;0,Y25*Calculation_sheet!C$94,0)</f>
        <v>0</v>
      </c>
      <c r="AA25" s="958">
        <f t="shared" ca="1" si="1"/>
        <v>7.4516445164028472E-4</v>
      </c>
      <c r="AB25" s="176">
        <f ca="1">AA25*Calculation_sheet!C$99</f>
        <v>4.4709867098417083E-4</v>
      </c>
      <c r="AC25" s="958">
        <f t="shared" ca="1" si="1"/>
        <v>2.9806578065611389E-4</v>
      </c>
      <c r="AD25" s="176">
        <f t="shared" si="18"/>
        <v>7.4516445164028472E-4</v>
      </c>
      <c r="AE25" s="176">
        <f>AD25*User_sheet!B$77/100</f>
        <v>0</v>
      </c>
      <c r="AF25" s="309"/>
      <c r="AG25" s="27">
        <v>401</v>
      </c>
      <c r="AH25" s="985"/>
      <c r="AI25" s="956">
        <f t="shared" ca="1" si="19"/>
        <v>91.581809245463646</v>
      </c>
      <c r="AJ25" s="956">
        <f ca="1">AI25/'401'!I$24</f>
        <v>0.47854885849417189</v>
      </c>
      <c r="AK25" s="956">
        <f ca="1">0.8*(AI25*30+'401'!D$17*0.34*30*1)</f>
        <v>4811.7297418911285</v>
      </c>
      <c r="AL25" s="954">
        <f ca="1">IF(AK25&lt;User_sheet!B$50,W25,0)</f>
        <v>7.4516445164028472E-4</v>
      </c>
      <c r="AM25" s="954">
        <f ca="1">20-(User_sheet!B$57/(AI25+'401'!D$17*1*0.34))</f>
        <v>-8.4305244346982455</v>
      </c>
      <c r="AN25" s="954"/>
      <c r="AO25" s="985"/>
      <c r="AP25" s="2">
        <v>0</v>
      </c>
      <c r="AQ25" s="2">
        <v>0.66</v>
      </c>
      <c r="AR25" s="2">
        <v>0</v>
      </c>
      <c r="AS25" s="2">
        <v>2.75</v>
      </c>
      <c r="AT25" s="2">
        <v>0</v>
      </c>
      <c r="AU25" s="2">
        <v>0</v>
      </c>
      <c r="AV25" s="2">
        <v>68297.998190252794</v>
      </c>
      <c r="AW25" s="2">
        <v>0</v>
      </c>
      <c r="AX25" s="2">
        <v>0</v>
      </c>
      <c r="AY25" s="2">
        <v>0</v>
      </c>
      <c r="AZ25" s="50">
        <v>0.6</v>
      </c>
      <c r="BA25" s="34">
        <v>0</v>
      </c>
      <c r="BB25" s="34">
        <v>0</v>
      </c>
      <c r="BC25" s="40">
        <v>1</v>
      </c>
      <c r="BD25" s="34">
        <v>0</v>
      </c>
      <c r="BE25" s="34">
        <v>0</v>
      </c>
      <c r="BF25" s="40">
        <v>1</v>
      </c>
      <c r="BG25" s="34">
        <v>1</v>
      </c>
      <c r="BH25" s="40">
        <v>0</v>
      </c>
      <c r="BI25" s="34">
        <v>0</v>
      </c>
      <c r="BJ25" s="34">
        <v>0</v>
      </c>
      <c r="BK25" s="40">
        <v>1</v>
      </c>
      <c r="BL25" s="958">
        <v>0.15</v>
      </c>
      <c r="BM25" s="958">
        <v>6</v>
      </c>
      <c r="BN25" s="32">
        <f t="shared" ca="1" si="2"/>
        <v>97.065000000000012</v>
      </c>
      <c r="BO25">
        <f t="shared" ca="1" si="3"/>
        <v>307.37190000000004</v>
      </c>
      <c r="BP25">
        <f t="shared" ca="1" si="4"/>
        <v>0</v>
      </c>
      <c r="BQ25">
        <f t="shared" ca="1" si="5"/>
        <v>84.313999999999993</v>
      </c>
      <c r="BR25">
        <f t="shared" ca="1" si="6"/>
        <v>0</v>
      </c>
      <c r="BS25">
        <f t="shared" ca="1" si="7"/>
        <v>10</v>
      </c>
      <c r="BT25">
        <f t="shared" ca="1" si="8"/>
        <v>0</v>
      </c>
      <c r="BU25">
        <v>0</v>
      </c>
      <c r="BV25">
        <f t="shared" ca="1" si="9"/>
        <v>0</v>
      </c>
      <c r="BW25">
        <f t="shared" ca="1" si="10"/>
        <v>49.934709260588654</v>
      </c>
      <c r="BX25">
        <f t="shared" ca="1" si="11"/>
        <v>0</v>
      </c>
      <c r="BY25">
        <f t="shared" ca="1" si="12"/>
        <v>27.499999984875</v>
      </c>
      <c r="BZ25">
        <f t="shared" ca="1" si="13"/>
        <v>0</v>
      </c>
      <c r="CA25">
        <f t="shared" si="14"/>
        <v>0</v>
      </c>
      <c r="CB25" s="1018">
        <f t="shared" ca="1" si="20"/>
        <v>91.581809245463646</v>
      </c>
      <c r="CC25" s="1018">
        <f t="shared" ca="1" si="21"/>
        <v>22.991426933394987</v>
      </c>
      <c r="CD25">
        <f t="shared" ca="1" si="22"/>
        <v>3.4371970853657592</v>
      </c>
      <c r="CE25">
        <f t="shared" ca="1" si="23"/>
        <v>5722.7956592505743</v>
      </c>
    </row>
    <row r="26" spans="3:83" s="14" customFormat="1" x14ac:dyDescent="0.25">
      <c r="C26" s="787"/>
      <c r="D26" s="788"/>
      <c r="E26" s="787"/>
      <c r="F26" s="788"/>
      <c r="G26" s="787"/>
      <c r="H26" s="788"/>
      <c r="I26" s="788"/>
      <c r="J26" s="788"/>
      <c r="K26" s="788"/>
      <c r="L26" s="788"/>
      <c r="M26" s="788"/>
      <c r="N26" s="788"/>
      <c r="O26" s="790"/>
      <c r="P26" s="788"/>
      <c r="Q26" s="788"/>
      <c r="R26" s="792"/>
      <c r="S26" s="877"/>
      <c r="T26" s="277"/>
      <c r="U26" s="292"/>
      <c r="V26" s="292"/>
      <c r="W26" s="292"/>
      <c r="X26" s="277"/>
      <c r="Y26" s="292"/>
      <c r="Z26" s="292"/>
      <c r="AA26" s="277"/>
      <c r="AB26" s="292"/>
      <c r="AC26" s="277"/>
      <c r="AD26" s="292"/>
      <c r="AE26" s="292"/>
      <c r="AF26" s="309"/>
      <c r="AG26" s="28"/>
      <c r="AH26" s="985"/>
      <c r="AI26" s="956">
        <f t="shared" si="19"/>
        <v>0</v>
      </c>
      <c r="AJ26" s="955"/>
      <c r="AK26" s="955"/>
      <c r="AL26" s="955"/>
      <c r="AM26" s="955"/>
      <c r="AN26" s="955"/>
      <c r="AO26" s="985"/>
      <c r="AP26" s="28"/>
      <c r="AQ26" s="28"/>
      <c r="AR26" s="28"/>
      <c r="AS26" s="28"/>
      <c r="AT26" s="28"/>
      <c r="AU26" s="28"/>
      <c r="AV26" s="28"/>
      <c r="AW26" s="28"/>
      <c r="AX26" s="28"/>
      <c r="AY26" s="28"/>
      <c r="AZ26" s="49"/>
      <c r="BA26" s="277"/>
      <c r="BB26" s="28"/>
      <c r="BC26" s="49"/>
      <c r="BD26" s="277"/>
      <c r="BE26" s="28"/>
      <c r="BF26" s="49"/>
      <c r="BG26" s="277"/>
      <c r="BH26" s="49"/>
      <c r="BI26" s="277"/>
      <c r="BJ26" s="28"/>
      <c r="BK26" s="49"/>
      <c r="BL26" s="277"/>
      <c r="BM26" s="277"/>
      <c r="BN26" s="36"/>
    </row>
    <row r="27" spans="3:83" x14ac:dyDescent="0.25">
      <c r="C27" s="781" t="s">
        <v>1</v>
      </c>
      <c r="D27" s="784">
        <v>0.25530000000000003</v>
      </c>
      <c r="E27" s="781"/>
      <c r="F27" s="782"/>
      <c r="G27" s="781"/>
      <c r="H27" s="782"/>
      <c r="I27" s="786"/>
      <c r="J27" s="786"/>
      <c r="K27" s="786"/>
      <c r="L27" s="786"/>
      <c r="M27" s="786" t="s">
        <v>60</v>
      </c>
      <c r="N27" s="786">
        <v>0.75</v>
      </c>
      <c r="O27" s="783" t="s">
        <v>16</v>
      </c>
      <c r="P27" s="786">
        <v>0.5625</v>
      </c>
      <c r="Q27" s="782"/>
      <c r="R27" s="791">
        <v>7.3858604602636243E-3</v>
      </c>
      <c r="T27" s="34">
        <f>R27</f>
        <v>7.3858604602636243E-3</v>
      </c>
      <c r="U27" s="200">
        <f>T27-T27*Calculation_sheet!J$66/4</f>
        <v>7.3858604602636243E-3</v>
      </c>
      <c r="V27" s="176">
        <f>U27-U27*(Calculation_sheet!O$76+Calculation_sheet!J76)/4</f>
        <v>7.3858604602636243E-3</v>
      </c>
      <c r="W27" s="176">
        <f>V27/Calculation_sheet!M$67</f>
        <v>7.386011474732607E-3</v>
      </c>
      <c r="X27" s="958">
        <f ca="1">IF(AL27&gt;0,W27*Calculation_sheet!C$87,0)</f>
        <v>0</v>
      </c>
      <c r="Y27" s="176">
        <f ca="1">W27-X27</f>
        <v>7.386011474732607E-3</v>
      </c>
      <c r="Z27" s="176">
        <f>IF(AN27&gt;0,Y27*Calculation_sheet!C$94,0)</f>
        <v>0</v>
      </c>
      <c r="AA27" s="958">
        <f t="shared" ref="AA27:AC39" ca="1" si="24">Y27-Z27</f>
        <v>7.386011474732607E-3</v>
      </c>
      <c r="AB27" s="176">
        <f ca="1">AA27*Calculation_sheet!C$99</f>
        <v>4.4316068848395639E-3</v>
      </c>
      <c r="AC27" s="958">
        <f t="shared" ca="1" si="24"/>
        <v>2.9544045898930432E-3</v>
      </c>
      <c r="AD27" s="176">
        <f>W27-Z27</f>
        <v>7.386011474732607E-3</v>
      </c>
      <c r="AE27" s="176">
        <f>AD27*User_sheet!B$77/100</f>
        <v>0</v>
      </c>
      <c r="AF27" s="309"/>
      <c r="AG27" s="27">
        <v>401</v>
      </c>
      <c r="AH27" s="985"/>
      <c r="AI27" s="956">
        <f t="shared" ca="1" si="19"/>
        <v>217.56608446903419</v>
      </c>
      <c r="AJ27" s="956">
        <f ca="1">AI27/'401'!I$24</f>
        <v>1.1368633381182094</v>
      </c>
      <c r="AK27" s="956">
        <f ca="1">0.8*(AI27*30+'401'!D$17*0.34*30*1)</f>
        <v>7835.3523472568213</v>
      </c>
      <c r="AL27" s="954">
        <f ca="1">IF(AK27&lt;User_sheet!B$50,W27,0)</f>
        <v>7.386011474732607E-3</v>
      </c>
      <c r="AM27" s="954">
        <f ca="1">20-(User_sheet!B$57/(AI27+'401'!D$17*1*0.34))</f>
        <v>2.5406702931624956</v>
      </c>
      <c r="AN27" s="954"/>
      <c r="AO27" s="985"/>
      <c r="AP27" s="2">
        <v>0</v>
      </c>
      <c r="AQ27" s="2">
        <v>3.7</v>
      </c>
      <c r="AR27" s="2">
        <v>0</v>
      </c>
      <c r="AS27" s="2">
        <v>2.75</v>
      </c>
      <c r="AT27" s="2">
        <v>0</v>
      </c>
      <c r="AU27" s="2">
        <v>0</v>
      </c>
      <c r="AV27" s="2">
        <v>76466.30421774846</v>
      </c>
      <c r="AW27" s="2">
        <v>0</v>
      </c>
      <c r="AX27" s="2">
        <v>0</v>
      </c>
      <c r="AY27" s="2">
        <v>0</v>
      </c>
      <c r="AZ27" s="50">
        <v>0.6</v>
      </c>
      <c r="BA27" s="34">
        <v>1</v>
      </c>
      <c r="BB27" s="34">
        <v>0</v>
      </c>
      <c r="BC27" s="40">
        <v>0</v>
      </c>
      <c r="BD27" s="34">
        <v>1</v>
      </c>
      <c r="BE27" s="34">
        <v>0</v>
      </c>
      <c r="BF27" s="40">
        <v>0</v>
      </c>
      <c r="BG27" s="34">
        <v>1</v>
      </c>
      <c r="BH27" s="40">
        <v>0</v>
      </c>
      <c r="BI27" s="34">
        <v>1</v>
      </c>
      <c r="BJ27" s="34">
        <v>0</v>
      </c>
      <c r="BK27" s="40">
        <v>0</v>
      </c>
      <c r="BL27" s="958">
        <v>0</v>
      </c>
      <c r="BM27" s="958">
        <v>14.9</v>
      </c>
      <c r="BN27" s="32">
        <f t="shared" ref="BN27:BN39" ca="1" si="25">INDIRECT("'"&amp;AG27&amp;"'!"&amp;"B2")</f>
        <v>97.065000000000012</v>
      </c>
      <c r="BO27">
        <f t="shared" ref="BO27:BO39" ca="1" si="26">INDIRECT("'"&amp;AG27&amp;"'!"&amp;"C12")+INDIRECT("'"&amp;AG27&amp;"'!"&amp;"C13")+INDIRECT("'"&amp;AG27&amp;"'!"&amp;"C14")+INDIRECT("'"&amp;AG27&amp;"'!"&amp;"C15")+INDIRECT("'"&amp;AG27&amp;"'!"&amp;"C17")</f>
        <v>307.37190000000004</v>
      </c>
      <c r="BP27">
        <f t="shared" ref="BP27:BP39" ca="1" si="27">INDIRECT("'"&amp;AG27&amp;"'!"&amp;"G5")</f>
        <v>0</v>
      </c>
      <c r="BQ27">
        <f t="shared" ref="BQ27:BQ39" ca="1" si="28">INDIRECT("'"&amp;AG27&amp;"'!"&amp;"G4")</f>
        <v>84.313999999999993</v>
      </c>
      <c r="BR27">
        <f t="shared" ref="BR27:BR39" ca="1" si="29">INDIRECT("'"&amp;AG27&amp;"'!"&amp;"G6")</f>
        <v>0</v>
      </c>
      <c r="BS27">
        <f t="shared" ref="BS27:BS39" ca="1" si="30">INDIRECT("'"&amp;AG27&amp;"'!"&amp;"G2")</f>
        <v>10</v>
      </c>
      <c r="BT27">
        <f t="shared" ref="BT27:BT39" ca="1" si="31">INDIRECT("'"&amp;AG27&amp;"'!"&amp;"G3")</f>
        <v>0</v>
      </c>
      <c r="BU27">
        <v>0</v>
      </c>
      <c r="BV27">
        <f t="shared" ref="BV27:BV39" ca="1" si="32">IF(OR(BP27=0,AP27=0),0,1/(1/(BP27*$BW$3)+1/(BP27*AP27)+1/(BP27*$BW$4)))</f>
        <v>0</v>
      </c>
      <c r="BW27">
        <f t="shared" ref="BW27:BW39" ca="1" si="33">IF(OR(BQ27=0,AQ27=0),0,1/(1/(BQ27*$BW$3)+1/(BQ27*AQ27)+1/(BQ27*$BW$4)))</f>
        <v>190.06608448415921</v>
      </c>
      <c r="BX27">
        <f t="shared" ref="BX27:BX39" ca="1" si="34">IF(OR(BR27=0,AR27=0),0,1/(1/(BR27*$BW$3)+1/(BR27*AR27)+1/(BR27*$BW$4)))</f>
        <v>0</v>
      </c>
      <c r="BY27">
        <f t="shared" ref="BY27:BY39" ca="1" si="35">IF(OR(BS27=0,AS27=0),0,1/(1/(BS27*$BW$5)+1/(BS27*AS27)+1/(BS27*$BW$6)))</f>
        <v>27.499999984875</v>
      </c>
      <c r="BZ27">
        <f t="shared" ref="BZ27:BZ39" ca="1" si="36">IF(OR(BT27=0,AT27=0),0,1/(1/(BT27*$BW$3)+1/(BT27*AT27)+1/(BT27*$BW$4)))</f>
        <v>0</v>
      </c>
      <c r="CA27">
        <f t="shared" ref="CA27:CA39" si="37">IF(OR(BU27=0,AU27=0),0,1/(1/(BU27*$BW$3)+1/(BU27*AU27)+1/(BU27*$BW$4)))</f>
        <v>0</v>
      </c>
      <c r="CB27" s="1018">
        <f ca="1">SUM(BV27:CA27)+(BP27+BQ27+BR27+BS27+BT27)*BL27</f>
        <v>217.56608446903419</v>
      </c>
      <c r="CC27" s="1018">
        <f ca="1">0.34*BM27*(1/25)^0.66*(BQ27+BS27+BT27)</f>
        <v>57.095376884597556</v>
      </c>
      <c r="CD27">
        <f t="shared" ca="1" si="22"/>
        <v>8.2398438406089518</v>
      </c>
      <c r="CE27">
        <f t="shared" ca="1" si="23"/>
        <v>13719.010400860283</v>
      </c>
    </row>
    <row r="28" spans="3:83" x14ac:dyDescent="0.25">
      <c r="C28" s="781"/>
      <c r="D28" s="782"/>
      <c r="E28" s="781"/>
      <c r="F28" s="782"/>
      <c r="G28" s="781"/>
      <c r="H28" s="782"/>
      <c r="I28" s="786"/>
      <c r="J28" s="786"/>
      <c r="K28" s="786"/>
      <c r="L28" s="786"/>
      <c r="M28" s="786"/>
      <c r="N28" s="786"/>
      <c r="O28" s="783" t="s">
        <v>7</v>
      </c>
      <c r="P28" s="786">
        <v>0.4375</v>
      </c>
      <c r="Q28" s="782"/>
      <c r="R28" s="791">
        <v>5.7445581357605975E-3</v>
      </c>
      <c r="T28" s="34">
        <f t="shared" ref="T28:T39" si="38">R28</f>
        <v>5.7445581357605975E-3</v>
      </c>
      <c r="U28" s="200">
        <f>T28-T28*Calculation_sheet!J$66/4</f>
        <v>5.7445581357605975E-3</v>
      </c>
      <c r="V28" s="176">
        <f>U28-U28*(Calculation_sheet!O$76+Calculation_sheet!J77)/4</f>
        <v>5.7445581357605975E-3</v>
      </c>
      <c r="W28" s="176">
        <f>V28/Calculation_sheet!M$67</f>
        <v>5.7446755914586957E-3</v>
      </c>
      <c r="X28" s="958">
        <f ca="1">IF(AL28&gt;0,W28*Calculation_sheet!C$87,0)</f>
        <v>0</v>
      </c>
      <c r="Y28" s="176">
        <f t="shared" ref="Y28:Y39" ca="1" si="39">W28-X28</f>
        <v>5.7446755914586957E-3</v>
      </c>
      <c r="Z28" s="176">
        <f>IF(AN28&gt;0,Y28*Calculation_sheet!C$94,0)</f>
        <v>0</v>
      </c>
      <c r="AA28" s="958">
        <f t="shared" ca="1" si="24"/>
        <v>5.7446755914586957E-3</v>
      </c>
      <c r="AB28" s="176">
        <f ca="1">AA28*Calculation_sheet!C$99</f>
        <v>3.4468053548752172E-3</v>
      </c>
      <c r="AC28" s="958">
        <f t="shared" ca="1" si="24"/>
        <v>2.2978702365834785E-3</v>
      </c>
      <c r="AD28" s="176">
        <f t="shared" ref="AD28:AD39" si="40">W28-Z28</f>
        <v>5.7446755914586957E-3</v>
      </c>
      <c r="AE28" s="176">
        <f>AD28*User_sheet!B$77/100</f>
        <v>0</v>
      </c>
      <c r="AF28" s="309"/>
      <c r="AG28" s="27">
        <v>401</v>
      </c>
      <c r="AH28" s="985"/>
      <c r="AI28" s="956">
        <f t="shared" ca="1" si="19"/>
        <v>217.56608446903419</v>
      </c>
      <c r="AJ28" s="956">
        <f ca="1">AI28/'401'!I$24</f>
        <v>1.1368633381182094</v>
      </c>
      <c r="AK28" s="956">
        <f ca="1">0.8*(AI28*30+'401'!D$17*0.34*30*1)</f>
        <v>7835.3523472568213</v>
      </c>
      <c r="AL28" s="954">
        <f ca="1">IF(AK28&lt;User_sheet!B$50,W28,0)</f>
        <v>5.7446755914586957E-3</v>
      </c>
      <c r="AM28" s="954">
        <f ca="1">20-(User_sheet!B$57/(AI28+'401'!D$17*1*0.34))</f>
        <v>2.5406702931624956</v>
      </c>
      <c r="AN28" s="954"/>
      <c r="AO28" s="985"/>
      <c r="AP28" s="2">
        <v>0</v>
      </c>
      <c r="AQ28" s="2">
        <v>3.7</v>
      </c>
      <c r="AR28" s="2">
        <v>0</v>
      </c>
      <c r="AS28" s="2">
        <v>2.75</v>
      </c>
      <c r="AT28" s="2">
        <v>0</v>
      </c>
      <c r="AU28" s="2">
        <v>0</v>
      </c>
      <c r="AV28" s="2">
        <v>76466.30421774846</v>
      </c>
      <c r="AW28" s="2">
        <v>0</v>
      </c>
      <c r="AX28" s="2">
        <v>0</v>
      </c>
      <c r="AY28" s="2">
        <v>0</v>
      </c>
      <c r="AZ28" s="50">
        <v>0.6</v>
      </c>
      <c r="BA28" s="34">
        <v>1</v>
      </c>
      <c r="BB28" s="34">
        <v>0</v>
      </c>
      <c r="BC28" s="40">
        <v>0</v>
      </c>
      <c r="BD28" s="34">
        <v>1</v>
      </c>
      <c r="BE28" s="34">
        <v>0</v>
      </c>
      <c r="BF28" s="40">
        <v>0</v>
      </c>
      <c r="BG28" s="34">
        <v>1</v>
      </c>
      <c r="BH28" s="40">
        <v>0</v>
      </c>
      <c r="BI28" s="34">
        <v>0</v>
      </c>
      <c r="BJ28" s="34">
        <v>0</v>
      </c>
      <c r="BK28" s="40">
        <v>1</v>
      </c>
      <c r="BL28" s="958">
        <v>0</v>
      </c>
      <c r="BM28" s="958">
        <v>14.9</v>
      </c>
      <c r="BN28" s="32">
        <f t="shared" ca="1" si="25"/>
        <v>97.065000000000012</v>
      </c>
      <c r="BO28">
        <f t="shared" ca="1" si="26"/>
        <v>307.37190000000004</v>
      </c>
      <c r="BP28">
        <f t="shared" ca="1" si="27"/>
        <v>0</v>
      </c>
      <c r="BQ28">
        <f t="shared" ca="1" si="28"/>
        <v>84.313999999999993</v>
      </c>
      <c r="BR28">
        <f t="shared" ca="1" si="29"/>
        <v>0</v>
      </c>
      <c r="BS28">
        <f t="shared" ca="1" si="30"/>
        <v>10</v>
      </c>
      <c r="BT28">
        <f t="shared" ca="1" si="31"/>
        <v>0</v>
      </c>
      <c r="BU28">
        <v>0</v>
      </c>
      <c r="BV28">
        <f t="shared" ca="1" si="32"/>
        <v>0</v>
      </c>
      <c r="BW28">
        <f t="shared" ca="1" si="33"/>
        <v>190.06608448415921</v>
      </c>
      <c r="BX28">
        <f t="shared" ca="1" si="34"/>
        <v>0</v>
      </c>
      <c r="BY28">
        <f t="shared" ca="1" si="35"/>
        <v>27.499999984875</v>
      </c>
      <c r="BZ28">
        <f t="shared" ca="1" si="36"/>
        <v>0</v>
      </c>
      <c r="CA28">
        <f t="shared" si="37"/>
        <v>0</v>
      </c>
      <c r="CB28" s="1018">
        <f t="shared" ref="CB28:CB39" ca="1" si="41">SUM(BV28:CA28)+(BP28+BQ28+BR28+BS28+BT28)*BL28</f>
        <v>217.56608446903419</v>
      </c>
      <c r="CC28" s="1018">
        <f t="shared" ref="CC28:CC39" ca="1" si="42">0.34*BM28*(1/25)^0.66*(BQ28+BS28+BT28)</f>
        <v>57.095376884597556</v>
      </c>
      <c r="CD28">
        <f t="shared" ca="1" si="22"/>
        <v>8.2398438406089518</v>
      </c>
      <c r="CE28">
        <f t="shared" ca="1" si="23"/>
        <v>13719.010400860283</v>
      </c>
    </row>
    <row r="29" spans="3:83" x14ac:dyDescent="0.25">
      <c r="C29" s="781"/>
      <c r="D29" s="782"/>
      <c r="E29" s="781"/>
      <c r="F29" s="782"/>
      <c r="G29" s="781"/>
      <c r="H29" s="782"/>
      <c r="I29" s="786"/>
      <c r="J29" s="786"/>
      <c r="K29" s="786" t="s">
        <v>58</v>
      </c>
      <c r="L29" s="786">
        <v>0.74399999999999999</v>
      </c>
      <c r="M29" s="786" t="s">
        <v>61</v>
      </c>
      <c r="N29" s="786">
        <v>0.25</v>
      </c>
      <c r="O29" s="783" t="s">
        <v>16</v>
      </c>
      <c r="P29" s="786">
        <v>0.5625</v>
      </c>
      <c r="Q29" s="782"/>
      <c r="R29" s="791">
        <v>2.4619534867545414E-3</v>
      </c>
      <c r="T29" s="34">
        <f t="shared" si="38"/>
        <v>2.4619534867545414E-3</v>
      </c>
      <c r="U29" s="200">
        <f>T29-T29*Calculation_sheet!J$66/4</f>
        <v>2.4619534867545414E-3</v>
      </c>
      <c r="V29" s="176">
        <f>U29-U29*(Calculation_sheet!O$76+Calculation_sheet!J78)/4</f>
        <v>2.4619534867545414E-3</v>
      </c>
      <c r="W29" s="176">
        <f>V29/Calculation_sheet!M$67</f>
        <v>2.4620038249108691E-3</v>
      </c>
      <c r="X29" s="958">
        <f ca="1">IF(AL29&gt;0,W29*Calculation_sheet!C$87,0)</f>
        <v>0</v>
      </c>
      <c r="Y29" s="176">
        <f t="shared" ca="1" si="39"/>
        <v>2.4620038249108691E-3</v>
      </c>
      <c r="Z29" s="176">
        <f>IF(AN29&gt;0,Y29*Calculation_sheet!C$94,0)</f>
        <v>0</v>
      </c>
      <c r="AA29" s="958">
        <f t="shared" ca="1" si="24"/>
        <v>2.4620038249108691E-3</v>
      </c>
      <c r="AB29" s="176">
        <f ca="1">AA29*Calculation_sheet!C$99</f>
        <v>1.4772022949465214E-3</v>
      </c>
      <c r="AC29" s="958">
        <f t="shared" ca="1" si="24"/>
        <v>9.8480152996434779E-4</v>
      </c>
      <c r="AD29" s="176">
        <f t="shared" si="40"/>
        <v>2.4620038249108691E-3</v>
      </c>
      <c r="AE29" s="176">
        <f>AD29*User_sheet!B$77/100</f>
        <v>0</v>
      </c>
      <c r="AF29" s="309"/>
      <c r="AG29" s="27">
        <v>401</v>
      </c>
      <c r="AH29" s="985"/>
      <c r="AI29" s="956">
        <f t="shared" ca="1" si="19"/>
        <v>217.56608446903419</v>
      </c>
      <c r="AJ29" s="956">
        <f ca="1">AI29/'401'!I$24</f>
        <v>1.1368633381182094</v>
      </c>
      <c r="AK29" s="956">
        <f ca="1">0.8*(AI29*30+'401'!D$17*0.34*30*1)</f>
        <v>7835.3523472568213</v>
      </c>
      <c r="AL29" s="954">
        <f ca="1">IF(AK29&lt;User_sheet!B$50,W29,0)</f>
        <v>2.4620038249108691E-3</v>
      </c>
      <c r="AM29" s="954">
        <f ca="1">20-(User_sheet!B$57/(AI29+'401'!D$17*1*0.34))</f>
        <v>2.5406702931624956</v>
      </c>
      <c r="AN29" s="954"/>
      <c r="AO29" s="985"/>
      <c r="AP29" s="2">
        <v>0</v>
      </c>
      <c r="AQ29" s="2">
        <v>3.7</v>
      </c>
      <c r="AR29" s="2">
        <v>0</v>
      </c>
      <c r="AS29" s="2">
        <v>2.75</v>
      </c>
      <c r="AT29" s="2">
        <v>0</v>
      </c>
      <c r="AU29" s="2">
        <v>0</v>
      </c>
      <c r="AV29" s="2">
        <v>76466.30421774846</v>
      </c>
      <c r="AW29" s="2">
        <v>0</v>
      </c>
      <c r="AX29" s="2">
        <v>0</v>
      </c>
      <c r="AY29" s="2">
        <v>0</v>
      </c>
      <c r="AZ29" s="50">
        <v>0.6</v>
      </c>
      <c r="BA29" s="34">
        <v>1</v>
      </c>
      <c r="BB29" s="34">
        <v>0</v>
      </c>
      <c r="BC29" s="40">
        <v>0</v>
      </c>
      <c r="BD29" s="34">
        <v>1</v>
      </c>
      <c r="BE29" s="34">
        <v>0</v>
      </c>
      <c r="BF29" s="40">
        <v>0</v>
      </c>
      <c r="BG29" s="34">
        <v>0</v>
      </c>
      <c r="BH29" s="40">
        <v>1</v>
      </c>
      <c r="BI29" s="34">
        <v>1</v>
      </c>
      <c r="BJ29" s="34">
        <v>0</v>
      </c>
      <c r="BK29" s="40">
        <v>0</v>
      </c>
      <c r="BL29" s="958">
        <v>0</v>
      </c>
      <c r="BM29" s="958">
        <v>14.9</v>
      </c>
      <c r="BN29" s="32">
        <f t="shared" ca="1" si="25"/>
        <v>97.065000000000012</v>
      </c>
      <c r="BO29">
        <f t="shared" ca="1" si="26"/>
        <v>307.37190000000004</v>
      </c>
      <c r="BP29">
        <f t="shared" ca="1" si="27"/>
        <v>0</v>
      </c>
      <c r="BQ29">
        <f t="shared" ca="1" si="28"/>
        <v>84.313999999999993</v>
      </c>
      <c r="BR29">
        <f t="shared" ca="1" si="29"/>
        <v>0</v>
      </c>
      <c r="BS29">
        <f t="shared" ca="1" si="30"/>
        <v>10</v>
      </c>
      <c r="BT29">
        <f t="shared" ca="1" si="31"/>
        <v>0</v>
      </c>
      <c r="BU29">
        <v>0</v>
      </c>
      <c r="BV29">
        <f t="shared" ca="1" si="32"/>
        <v>0</v>
      </c>
      <c r="BW29">
        <f t="shared" ca="1" si="33"/>
        <v>190.06608448415921</v>
      </c>
      <c r="BX29">
        <f t="shared" ca="1" si="34"/>
        <v>0</v>
      </c>
      <c r="BY29">
        <f t="shared" ca="1" si="35"/>
        <v>27.499999984875</v>
      </c>
      <c r="BZ29">
        <f t="shared" ca="1" si="36"/>
        <v>0</v>
      </c>
      <c r="CA29">
        <f t="shared" si="37"/>
        <v>0</v>
      </c>
      <c r="CB29" s="1018">
        <f t="shared" ca="1" si="41"/>
        <v>217.56608446903419</v>
      </c>
      <c r="CC29" s="1018">
        <f t="shared" ca="1" si="42"/>
        <v>57.095376884597556</v>
      </c>
      <c r="CD29">
        <f t="shared" ca="1" si="22"/>
        <v>8.2398438406089518</v>
      </c>
      <c r="CE29">
        <f t="shared" ca="1" si="23"/>
        <v>13719.010400860283</v>
      </c>
    </row>
    <row r="30" spans="3:83" x14ac:dyDescent="0.25">
      <c r="C30" s="781"/>
      <c r="D30" s="782"/>
      <c r="E30" s="781"/>
      <c r="F30" s="782"/>
      <c r="G30" s="781"/>
      <c r="H30" s="782"/>
      <c r="I30" s="786" t="s">
        <v>16</v>
      </c>
      <c r="J30" s="786">
        <v>0.64</v>
      </c>
      <c r="K30" s="786"/>
      <c r="L30" s="786"/>
      <c r="M30" s="786"/>
      <c r="N30" s="786"/>
      <c r="O30" s="783" t="s">
        <v>7</v>
      </c>
      <c r="P30" s="786">
        <v>0.4375</v>
      </c>
      <c r="Q30" s="782"/>
      <c r="R30" s="791">
        <v>1.9148527119201987E-3</v>
      </c>
      <c r="T30" s="34">
        <f t="shared" si="38"/>
        <v>1.9148527119201987E-3</v>
      </c>
      <c r="U30" s="200">
        <f>T30-T30*Calculation_sheet!J$66/4</f>
        <v>1.9148527119201987E-3</v>
      </c>
      <c r="V30" s="176">
        <f>U30-U30*(Calculation_sheet!O$76+Calculation_sheet!J79)/4</f>
        <v>1.9148527119201987E-3</v>
      </c>
      <c r="W30" s="176">
        <f>V30/Calculation_sheet!M$67</f>
        <v>1.9148918638195647E-3</v>
      </c>
      <c r="X30" s="958">
        <f ca="1">IF(AL30&gt;0,W30*Calculation_sheet!C$87,0)</f>
        <v>0</v>
      </c>
      <c r="Y30" s="176">
        <f t="shared" ca="1" si="39"/>
        <v>1.9148918638195647E-3</v>
      </c>
      <c r="Z30" s="176">
        <f>IF(AN30&gt;0,Y30*Calculation_sheet!C$94,0)</f>
        <v>0</v>
      </c>
      <c r="AA30" s="958">
        <f t="shared" ca="1" si="24"/>
        <v>1.9148918638195647E-3</v>
      </c>
      <c r="AB30" s="176">
        <f ca="1">AA30*Calculation_sheet!C$99</f>
        <v>1.1489351182917388E-3</v>
      </c>
      <c r="AC30" s="958">
        <f t="shared" ca="1" si="24"/>
        <v>7.6595674552782582E-4</v>
      </c>
      <c r="AD30" s="176">
        <f t="shared" si="40"/>
        <v>1.9148918638195647E-3</v>
      </c>
      <c r="AE30" s="176">
        <f>AD30*User_sheet!B$77/100</f>
        <v>0</v>
      </c>
      <c r="AF30" s="309"/>
      <c r="AG30" s="27">
        <v>401</v>
      </c>
      <c r="AH30" s="985"/>
      <c r="AI30" s="956">
        <f t="shared" ca="1" si="19"/>
        <v>217.56608446903419</v>
      </c>
      <c r="AJ30" s="956">
        <f ca="1">AI30/'401'!I$24</f>
        <v>1.1368633381182094</v>
      </c>
      <c r="AK30" s="956">
        <f ca="1">0.8*(AI30*30+'401'!D$17*0.34*30*1)</f>
        <v>7835.3523472568213</v>
      </c>
      <c r="AL30" s="954">
        <f ca="1">IF(AK30&lt;User_sheet!B$50,W30,0)</f>
        <v>1.9148918638195647E-3</v>
      </c>
      <c r="AM30" s="954">
        <f ca="1">20-(User_sheet!B$57/(AI30+'401'!D$17*1*0.34))</f>
        <v>2.5406702931624956</v>
      </c>
      <c r="AN30" s="954"/>
      <c r="AO30" s="985"/>
      <c r="AP30" s="2">
        <v>0</v>
      </c>
      <c r="AQ30" s="2">
        <v>3.7</v>
      </c>
      <c r="AR30" s="2">
        <v>0</v>
      </c>
      <c r="AS30" s="2">
        <v>2.75</v>
      </c>
      <c r="AT30" s="2">
        <v>0</v>
      </c>
      <c r="AU30" s="2">
        <v>0</v>
      </c>
      <c r="AV30" s="2">
        <v>76466.30421774846</v>
      </c>
      <c r="AW30" s="2">
        <v>0</v>
      </c>
      <c r="AX30" s="2">
        <v>0</v>
      </c>
      <c r="AY30" s="2">
        <v>0</v>
      </c>
      <c r="AZ30" s="50">
        <v>0.6</v>
      </c>
      <c r="BA30" s="34">
        <v>1</v>
      </c>
      <c r="BB30" s="34">
        <v>0</v>
      </c>
      <c r="BC30" s="40">
        <v>0</v>
      </c>
      <c r="BD30" s="34">
        <v>1</v>
      </c>
      <c r="BE30" s="34">
        <v>0</v>
      </c>
      <c r="BF30" s="40">
        <v>0</v>
      </c>
      <c r="BG30" s="34">
        <v>0</v>
      </c>
      <c r="BH30" s="40">
        <v>1</v>
      </c>
      <c r="BI30" s="34">
        <v>0</v>
      </c>
      <c r="BJ30" s="34">
        <v>0</v>
      </c>
      <c r="BK30" s="40">
        <v>1</v>
      </c>
      <c r="BL30" s="958">
        <v>0</v>
      </c>
      <c r="BM30" s="958">
        <v>14.9</v>
      </c>
      <c r="BN30" s="32">
        <f t="shared" ca="1" si="25"/>
        <v>97.065000000000012</v>
      </c>
      <c r="BO30">
        <f t="shared" ca="1" si="26"/>
        <v>307.37190000000004</v>
      </c>
      <c r="BP30">
        <f t="shared" ca="1" si="27"/>
        <v>0</v>
      </c>
      <c r="BQ30">
        <f t="shared" ca="1" si="28"/>
        <v>84.313999999999993</v>
      </c>
      <c r="BR30">
        <f t="shared" ca="1" si="29"/>
        <v>0</v>
      </c>
      <c r="BS30">
        <f t="shared" ca="1" si="30"/>
        <v>10</v>
      </c>
      <c r="BT30">
        <f t="shared" ca="1" si="31"/>
        <v>0</v>
      </c>
      <c r="BU30">
        <v>0</v>
      </c>
      <c r="BV30">
        <f t="shared" ca="1" si="32"/>
        <v>0</v>
      </c>
      <c r="BW30">
        <f t="shared" ca="1" si="33"/>
        <v>190.06608448415921</v>
      </c>
      <c r="BX30">
        <f t="shared" ca="1" si="34"/>
        <v>0</v>
      </c>
      <c r="BY30">
        <f t="shared" ca="1" si="35"/>
        <v>27.499999984875</v>
      </c>
      <c r="BZ30">
        <f t="shared" ca="1" si="36"/>
        <v>0</v>
      </c>
      <c r="CA30">
        <f t="shared" si="37"/>
        <v>0</v>
      </c>
      <c r="CB30" s="1018">
        <f t="shared" ca="1" si="41"/>
        <v>217.56608446903419</v>
      </c>
      <c r="CC30" s="1018">
        <f t="shared" ca="1" si="42"/>
        <v>57.095376884597556</v>
      </c>
      <c r="CD30">
        <f t="shared" ca="1" si="22"/>
        <v>8.2398438406089518</v>
      </c>
      <c r="CE30">
        <f t="shared" ca="1" si="23"/>
        <v>13719.010400860283</v>
      </c>
    </row>
    <row r="31" spans="3:83" x14ac:dyDescent="0.25">
      <c r="C31" s="781"/>
      <c r="D31" s="782"/>
      <c r="E31" s="781"/>
      <c r="F31" s="782"/>
      <c r="G31" s="781"/>
      <c r="H31" s="782"/>
      <c r="I31" s="786"/>
      <c r="J31" s="786"/>
      <c r="K31" s="786" t="s">
        <v>59</v>
      </c>
      <c r="L31" s="786">
        <v>0.25600000000000001</v>
      </c>
      <c r="M31" s="786"/>
      <c r="N31" s="786"/>
      <c r="O31" s="789" t="s">
        <v>16</v>
      </c>
      <c r="P31" s="786">
        <v>0.5625</v>
      </c>
      <c r="Q31" s="782"/>
      <c r="R31" s="791">
        <v>3.3884951215546375E-3</v>
      </c>
      <c r="T31" s="34">
        <f t="shared" si="38"/>
        <v>3.3884951215546375E-3</v>
      </c>
      <c r="U31" s="200">
        <f>T31-T31*Calculation_sheet!J$66/4</f>
        <v>3.3884951215546375E-3</v>
      </c>
      <c r="V31" s="176">
        <f>U31-U31*(Calculation_sheet!O$76+Calculation_sheet!J80)/4</f>
        <v>3.3884951215546375E-3</v>
      </c>
      <c r="W31" s="176">
        <f>V31/Calculation_sheet!M$67</f>
        <v>3.3885644041784001E-3</v>
      </c>
      <c r="X31" s="958">
        <f ca="1">IF(AL31&gt;0,W31*Calculation_sheet!C$87,0)</f>
        <v>0</v>
      </c>
      <c r="Y31" s="176">
        <f t="shared" ca="1" si="39"/>
        <v>3.3885644041784001E-3</v>
      </c>
      <c r="Z31" s="176">
        <f>IF(AN31&gt;0,Y31*Calculation_sheet!C$94,0)</f>
        <v>0</v>
      </c>
      <c r="AA31" s="958">
        <f t="shared" ca="1" si="24"/>
        <v>3.3885644041784001E-3</v>
      </c>
      <c r="AB31" s="176">
        <f ca="1">AA31*Calculation_sheet!C$99</f>
        <v>2.0331386425070401E-3</v>
      </c>
      <c r="AC31" s="958">
        <f t="shared" ca="1" si="24"/>
        <v>1.35542576167136E-3</v>
      </c>
      <c r="AD31" s="176">
        <f t="shared" si="40"/>
        <v>3.3885644041784001E-3</v>
      </c>
      <c r="AE31" s="176">
        <f>AD31*User_sheet!B$77/100</f>
        <v>0</v>
      </c>
      <c r="AF31" s="309"/>
      <c r="AG31" s="27">
        <v>401</v>
      </c>
      <c r="AH31" s="985"/>
      <c r="AI31" s="956">
        <f t="shared" ca="1" si="19"/>
        <v>217.56608446903419</v>
      </c>
      <c r="AJ31" s="956">
        <f ca="1">AI31/'401'!I$24</f>
        <v>1.1368633381182094</v>
      </c>
      <c r="AK31" s="956">
        <f ca="1">0.8*(AI31*30+'401'!D$17*0.34*30*1)</f>
        <v>7835.3523472568213</v>
      </c>
      <c r="AL31" s="954">
        <f ca="1">IF(AK31&lt;User_sheet!B$50,W31,0)</f>
        <v>3.3885644041784001E-3</v>
      </c>
      <c r="AM31" s="954">
        <f ca="1">20-(User_sheet!B$57/(AI31+'401'!D$17*1*0.34))</f>
        <v>2.5406702931624956</v>
      </c>
      <c r="AN31" s="954"/>
      <c r="AO31" s="985"/>
      <c r="AP31" s="2">
        <v>0</v>
      </c>
      <c r="AQ31" s="2">
        <v>3.7</v>
      </c>
      <c r="AR31" s="2">
        <v>0</v>
      </c>
      <c r="AS31" s="2">
        <v>2.75</v>
      </c>
      <c r="AT31" s="2">
        <v>0</v>
      </c>
      <c r="AU31" s="2">
        <v>0</v>
      </c>
      <c r="AV31" s="2">
        <v>76466.30421774846</v>
      </c>
      <c r="AW31" s="2">
        <v>0</v>
      </c>
      <c r="AX31" s="2">
        <v>0</v>
      </c>
      <c r="AY31" s="2">
        <v>0</v>
      </c>
      <c r="AZ31" s="50">
        <v>0.6</v>
      </c>
      <c r="BA31" s="34">
        <v>1</v>
      </c>
      <c r="BB31" s="34">
        <v>0</v>
      </c>
      <c r="BC31" s="40">
        <v>0</v>
      </c>
      <c r="BD31" s="34">
        <v>0</v>
      </c>
      <c r="BE31" s="34">
        <v>1</v>
      </c>
      <c r="BF31" s="40">
        <v>0</v>
      </c>
      <c r="BG31" s="34">
        <v>1</v>
      </c>
      <c r="BH31" s="40">
        <v>0</v>
      </c>
      <c r="BI31" s="34">
        <v>1</v>
      </c>
      <c r="BJ31" s="34">
        <v>0</v>
      </c>
      <c r="BK31" s="40">
        <v>0</v>
      </c>
      <c r="BL31" s="958">
        <v>0</v>
      </c>
      <c r="BM31" s="958">
        <v>14.9</v>
      </c>
      <c r="BN31" s="32">
        <f t="shared" ca="1" si="25"/>
        <v>97.065000000000012</v>
      </c>
      <c r="BO31">
        <f t="shared" ca="1" si="26"/>
        <v>307.37190000000004</v>
      </c>
      <c r="BP31">
        <f t="shared" ca="1" si="27"/>
        <v>0</v>
      </c>
      <c r="BQ31">
        <f t="shared" ca="1" si="28"/>
        <v>84.313999999999993</v>
      </c>
      <c r="BR31">
        <f t="shared" ca="1" si="29"/>
        <v>0</v>
      </c>
      <c r="BS31">
        <f t="shared" ca="1" si="30"/>
        <v>10</v>
      </c>
      <c r="BT31">
        <f t="shared" ca="1" si="31"/>
        <v>0</v>
      </c>
      <c r="BU31">
        <v>0</v>
      </c>
      <c r="BV31">
        <f t="shared" ca="1" si="32"/>
        <v>0</v>
      </c>
      <c r="BW31">
        <f t="shared" ca="1" si="33"/>
        <v>190.06608448415921</v>
      </c>
      <c r="BX31">
        <f t="shared" ca="1" si="34"/>
        <v>0</v>
      </c>
      <c r="BY31">
        <f t="shared" ca="1" si="35"/>
        <v>27.499999984875</v>
      </c>
      <c r="BZ31">
        <f t="shared" ca="1" si="36"/>
        <v>0</v>
      </c>
      <c r="CA31">
        <f t="shared" si="37"/>
        <v>0</v>
      </c>
      <c r="CB31" s="1018">
        <f t="shared" ca="1" si="41"/>
        <v>217.56608446903419</v>
      </c>
      <c r="CC31" s="1018">
        <f t="shared" ca="1" si="42"/>
        <v>57.095376884597556</v>
      </c>
      <c r="CD31">
        <f t="shared" ca="1" si="22"/>
        <v>8.2398438406089518</v>
      </c>
      <c r="CE31">
        <f t="shared" ca="1" si="23"/>
        <v>13719.010400860283</v>
      </c>
    </row>
    <row r="32" spans="3:83" x14ac:dyDescent="0.25">
      <c r="C32" s="781"/>
      <c r="D32" s="782"/>
      <c r="E32" s="781"/>
      <c r="F32" s="782"/>
      <c r="G32" s="781"/>
      <c r="H32" s="782"/>
      <c r="I32" s="786"/>
      <c r="J32" s="786"/>
      <c r="K32" s="786"/>
      <c r="L32" s="786"/>
      <c r="M32" s="786"/>
      <c r="N32" s="786"/>
      <c r="O32" s="789" t="s">
        <v>7</v>
      </c>
      <c r="P32" s="786">
        <v>0.4375</v>
      </c>
      <c r="Q32" s="782"/>
      <c r="R32" s="791">
        <v>2.6354962056536072E-3</v>
      </c>
      <c r="T32" s="34">
        <f t="shared" si="38"/>
        <v>2.6354962056536072E-3</v>
      </c>
      <c r="U32" s="200">
        <f>T32-T32*Calculation_sheet!J$66/4</f>
        <v>2.6354962056536072E-3</v>
      </c>
      <c r="V32" s="176">
        <f>U32-U32*(Calculation_sheet!O$76+Calculation_sheet!J81)/4</f>
        <v>2.6354962056536072E-3</v>
      </c>
      <c r="W32" s="176">
        <f>V32/Calculation_sheet!M$67</f>
        <v>2.6355500921387562E-3</v>
      </c>
      <c r="X32" s="958">
        <f ca="1">IF(AL32&gt;0,W32*Calculation_sheet!C$87,0)</f>
        <v>0</v>
      </c>
      <c r="Y32" s="176">
        <f t="shared" ca="1" si="39"/>
        <v>2.6355500921387562E-3</v>
      </c>
      <c r="Z32" s="176">
        <f>IF(AN32&gt;0,Y32*Calculation_sheet!C$94,0)</f>
        <v>0</v>
      </c>
      <c r="AA32" s="958">
        <f t="shared" ca="1" si="24"/>
        <v>2.6355500921387562E-3</v>
      </c>
      <c r="AB32" s="176">
        <f ca="1">AA32*Calculation_sheet!C$99</f>
        <v>1.5813300552832536E-3</v>
      </c>
      <c r="AC32" s="958">
        <f t="shared" ca="1" si="24"/>
        <v>1.0542200368555026E-3</v>
      </c>
      <c r="AD32" s="176">
        <f t="shared" si="40"/>
        <v>2.6355500921387562E-3</v>
      </c>
      <c r="AE32" s="176">
        <f>AD32*User_sheet!B$77/100</f>
        <v>0</v>
      </c>
      <c r="AF32" s="309"/>
      <c r="AG32" s="27">
        <v>401</v>
      </c>
      <c r="AH32" s="985"/>
      <c r="AI32" s="956">
        <f t="shared" ca="1" si="19"/>
        <v>217.56608446903419</v>
      </c>
      <c r="AJ32" s="956">
        <f ca="1">AI32/'401'!I$24</f>
        <v>1.1368633381182094</v>
      </c>
      <c r="AK32" s="956">
        <f ca="1">0.8*(AI32*30+'401'!D$17*0.34*30*1)</f>
        <v>7835.3523472568213</v>
      </c>
      <c r="AL32" s="954">
        <f ca="1">IF(AK32&lt;User_sheet!B$50,W32,0)</f>
        <v>2.6355500921387562E-3</v>
      </c>
      <c r="AM32" s="954">
        <f ca="1">20-(User_sheet!B$57/(AI32+'401'!D$17*1*0.34))</f>
        <v>2.5406702931624956</v>
      </c>
      <c r="AN32" s="954"/>
      <c r="AO32" s="985"/>
      <c r="AP32" s="2">
        <v>0</v>
      </c>
      <c r="AQ32" s="2">
        <v>3.7</v>
      </c>
      <c r="AR32" s="2">
        <v>0</v>
      </c>
      <c r="AS32" s="2">
        <v>2.75</v>
      </c>
      <c r="AT32" s="2">
        <v>0</v>
      </c>
      <c r="AU32" s="2">
        <v>0</v>
      </c>
      <c r="AV32" s="2">
        <v>76466.30421774846</v>
      </c>
      <c r="AW32" s="2">
        <v>0</v>
      </c>
      <c r="AX32" s="2">
        <v>0</v>
      </c>
      <c r="AY32" s="2">
        <v>0</v>
      </c>
      <c r="AZ32" s="50">
        <v>0.6</v>
      </c>
      <c r="BA32" s="34">
        <v>1</v>
      </c>
      <c r="BB32" s="34">
        <v>0</v>
      </c>
      <c r="BC32" s="40">
        <v>0</v>
      </c>
      <c r="BD32" s="34">
        <v>0</v>
      </c>
      <c r="BE32" s="34">
        <v>1</v>
      </c>
      <c r="BF32" s="40">
        <v>0</v>
      </c>
      <c r="BG32" s="34">
        <v>1</v>
      </c>
      <c r="BH32" s="40">
        <v>0</v>
      </c>
      <c r="BI32" s="34">
        <v>0</v>
      </c>
      <c r="BJ32" s="34">
        <v>0</v>
      </c>
      <c r="BK32" s="40">
        <v>1</v>
      </c>
      <c r="BL32" s="958">
        <v>0</v>
      </c>
      <c r="BM32" s="958">
        <v>14.9</v>
      </c>
      <c r="BN32" s="32">
        <f t="shared" ca="1" si="25"/>
        <v>97.065000000000012</v>
      </c>
      <c r="BO32">
        <f t="shared" ca="1" si="26"/>
        <v>307.37190000000004</v>
      </c>
      <c r="BP32">
        <f t="shared" ca="1" si="27"/>
        <v>0</v>
      </c>
      <c r="BQ32">
        <f t="shared" ca="1" si="28"/>
        <v>84.313999999999993</v>
      </c>
      <c r="BR32">
        <f t="shared" ca="1" si="29"/>
        <v>0</v>
      </c>
      <c r="BS32">
        <f t="shared" ca="1" si="30"/>
        <v>10</v>
      </c>
      <c r="BT32">
        <f t="shared" ca="1" si="31"/>
        <v>0</v>
      </c>
      <c r="BU32">
        <v>0</v>
      </c>
      <c r="BV32">
        <f t="shared" ca="1" si="32"/>
        <v>0</v>
      </c>
      <c r="BW32">
        <f t="shared" ca="1" si="33"/>
        <v>190.06608448415921</v>
      </c>
      <c r="BX32">
        <f t="shared" ca="1" si="34"/>
        <v>0</v>
      </c>
      <c r="BY32">
        <f t="shared" ca="1" si="35"/>
        <v>27.499999984875</v>
      </c>
      <c r="BZ32">
        <f t="shared" ca="1" si="36"/>
        <v>0</v>
      </c>
      <c r="CA32">
        <f t="shared" si="37"/>
        <v>0</v>
      </c>
      <c r="CB32" s="1018">
        <f t="shared" ca="1" si="41"/>
        <v>217.56608446903419</v>
      </c>
      <c r="CC32" s="1018">
        <f t="shared" ca="1" si="42"/>
        <v>57.095376884597556</v>
      </c>
      <c r="CD32">
        <f t="shared" ca="1" si="22"/>
        <v>8.2398438406089518</v>
      </c>
      <c r="CE32">
        <f t="shared" ca="1" si="23"/>
        <v>13719.010400860283</v>
      </c>
    </row>
    <row r="33" spans="4:83" x14ac:dyDescent="0.25">
      <c r="D33" s="782"/>
      <c r="E33" s="781"/>
      <c r="F33" s="782"/>
      <c r="G33" s="781"/>
      <c r="H33" s="782"/>
      <c r="I33" s="786"/>
      <c r="J33" s="786"/>
      <c r="K33" s="786"/>
      <c r="L33" s="786"/>
      <c r="M33" s="786" t="s">
        <v>60</v>
      </c>
      <c r="N33" s="786">
        <v>0.34</v>
      </c>
      <c r="O33" s="783" t="s">
        <v>57</v>
      </c>
      <c r="P33" s="786">
        <v>0.96430000000000005</v>
      </c>
      <c r="Q33" s="782"/>
      <c r="R33" s="791">
        <v>3.2065433755043083E-3</v>
      </c>
      <c r="T33" s="34">
        <f t="shared" si="38"/>
        <v>3.2065433755043083E-3</v>
      </c>
      <c r="U33" s="200">
        <f>T33-T33*Calculation_sheet!J$66/4</f>
        <v>3.2065433755043083E-3</v>
      </c>
      <c r="V33" s="176">
        <f>U33-U33*(Calculation_sheet!O$76+Calculation_sheet!J82)/4</f>
        <v>3.2065433755043083E-3</v>
      </c>
      <c r="W33" s="176">
        <f>V33/Calculation_sheet!M$67</f>
        <v>3.2066089378646762E-3</v>
      </c>
      <c r="X33" s="958">
        <f ca="1">IF(AL33&gt;0,W33*Calculation_sheet!C$87,0)</f>
        <v>0</v>
      </c>
      <c r="Y33" s="176">
        <f t="shared" ca="1" si="39"/>
        <v>3.2066089378646762E-3</v>
      </c>
      <c r="Z33" s="176">
        <f>IF(AN33&gt;0,Y33*Calculation_sheet!C$94,0)</f>
        <v>0</v>
      </c>
      <c r="AA33" s="958">
        <f t="shared" ca="1" si="24"/>
        <v>3.2066089378646762E-3</v>
      </c>
      <c r="AB33" s="176">
        <f ca="1">AA33*Calculation_sheet!C$99</f>
        <v>1.9239653627188056E-3</v>
      </c>
      <c r="AC33" s="958">
        <f t="shared" ca="1" si="24"/>
        <v>1.2826435751458706E-3</v>
      </c>
      <c r="AD33" s="176">
        <f t="shared" si="40"/>
        <v>3.2066089378646762E-3</v>
      </c>
      <c r="AE33" s="176">
        <f>AD33*User_sheet!B$77/100</f>
        <v>0</v>
      </c>
      <c r="AF33" s="309"/>
      <c r="AG33" s="27">
        <v>401</v>
      </c>
      <c r="AH33" s="985"/>
      <c r="AI33" s="956">
        <f t="shared" ca="1" si="19"/>
        <v>217.56608446903419</v>
      </c>
      <c r="AJ33" s="956">
        <f ca="1">AI33/'401'!I$24</f>
        <v>1.1368633381182094</v>
      </c>
      <c r="AK33" s="956">
        <f ca="1">0.8*(AI33*30+'401'!D$17*0.34*30*1)</f>
        <v>7835.3523472568213</v>
      </c>
      <c r="AL33" s="954">
        <f ca="1">IF(AK33&lt;User_sheet!B$50,W33,0)</f>
        <v>3.2066089378646762E-3</v>
      </c>
      <c r="AM33" s="954">
        <f ca="1">20-(User_sheet!B$57/(AI33+'401'!D$17*1*0.34))</f>
        <v>2.5406702931624956</v>
      </c>
      <c r="AN33" s="954"/>
      <c r="AO33" s="985"/>
      <c r="AP33" s="2">
        <v>0</v>
      </c>
      <c r="AQ33" s="2">
        <v>3.7</v>
      </c>
      <c r="AR33" s="2">
        <v>0</v>
      </c>
      <c r="AS33" s="2">
        <v>2.75</v>
      </c>
      <c r="AT33" s="2">
        <v>0</v>
      </c>
      <c r="AU33" s="2">
        <v>0</v>
      </c>
      <c r="AV33" s="2">
        <v>76466.30421774846</v>
      </c>
      <c r="AW33" s="2">
        <v>0</v>
      </c>
      <c r="AX33" s="2">
        <v>0</v>
      </c>
      <c r="AY33" s="2">
        <v>0</v>
      </c>
      <c r="AZ33" s="50">
        <v>0.6</v>
      </c>
      <c r="BA33" s="34">
        <v>0</v>
      </c>
      <c r="BB33" s="34">
        <v>1</v>
      </c>
      <c r="BC33" s="40">
        <v>0</v>
      </c>
      <c r="BD33" s="34">
        <v>1</v>
      </c>
      <c r="BE33" s="34">
        <v>0</v>
      </c>
      <c r="BF33" s="40">
        <v>0</v>
      </c>
      <c r="BG33" s="34">
        <v>1</v>
      </c>
      <c r="BH33" s="40">
        <v>0</v>
      </c>
      <c r="BI33" s="34">
        <v>0</v>
      </c>
      <c r="BJ33" s="34">
        <v>1</v>
      </c>
      <c r="BK33" s="40">
        <v>0</v>
      </c>
      <c r="BL33" s="958">
        <v>0</v>
      </c>
      <c r="BM33" s="958">
        <v>14.9</v>
      </c>
      <c r="BN33" s="32">
        <f t="shared" ca="1" si="25"/>
        <v>97.065000000000012</v>
      </c>
      <c r="BO33">
        <f t="shared" ca="1" si="26"/>
        <v>307.37190000000004</v>
      </c>
      <c r="BP33">
        <f t="shared" ca="1" si="27"/>
        <v>0</v>
      </c>
      <c r="BQ33">
        <f t="shared" ca="1" si="28"/>
        <v>84.313999999999993</v>
      </c>
      <c r="BR33">
        <f t="shared" ca="1" si="29"/>
        <v>0</v>
      </c>
      <c r="BS33">
        <f t="shared" ca="1" si="30"/>
        <v>10</v>
      </c>
      <c r="BT33">
        <f t="shared" ca="1" si="31"/>
        <v>0</v>
      </c>
      <c r="BU33">
        <v>0</v>
      </c>
      <c r="BV33">
        <f t="shared" ca="1" si="32"/>
        <v>0</v>
      </c>
      <c r="BW33">
        <f t="shared" ca="1" si="33"/>
        <v>190.06608448415921</v>
      </c>
      <c r="BX33">
        <f t="shared" ca="1" si="34"/>
        <v>0</v>
      </c>
      <c r="BY33">
        <f t="shared" ca="1" si="35"/>
        <v>27.499999984875</v>
      </c>
      <c r="BZ33">
        <f t="shared" ca="1" si="36"/>
        <v>0</v>
      </c>
      <c r="CA33">
        <f t="shared" si="37"/>
        <v>0</v>
      </c>
      <c r="CB33" s="1018">
        <f t="shared" ca="1" si="41"/>
        <v>217.56608446903419</v>
      </c>
      <c r="CC33" s="1018">
        <f t="shared" ca="1" si="42"/>
        <v>57.095376884597556</v>
      </c>
      <c r="CD33">
        <f t="shared" ca="1" si="22"/>
        <v>8.2398438406089518</v>
      </c>
      <c r="CE33">
        <f t="shared" ca="1" si="23"/>
        <v>13719.010400860283</v>
      </c>
    </row>
    <row r="34" spans="4:83" x14ac:dyDescent="0.25">
      <c r="D34" s="782"/>
      <c r="E34" s="781"/>
      <c r="F34" s="782"/>
      <c r="G34" s="781"/>
      <c r="H34" s="782"/>
      <c r="I34" s="786"/>
      <c r="J34" s="786"/>
      <c r="K34" s="786"/>
      <c r="L34" s="786"/>
      <c r="M34" s="786"/>
      <c r="N34" s="786"/>
      <c r="O34" s="783" t="s">
        <v>7</v>
      </c>
      <c r="P34" s="786">
        <v>3.5700000000000003E-2</v>
      </c>
      <c r="Q34" s="782"/>
      <c r="R34" s="791">
        <v>1.1871160272270434E-4</v>
      </c>
      <c r="T34" s="34">
        <f t="shared" si="38"/>
        <v>1.1871160272270434E-4</v>
      </c>
      <c r="U34" s="200">
        <f>T34-T34*Calculation_sheet!J$66/4</f>
        <v>1.1871160272270434E-4</v>
      </c>
      <c r="V34" s="176">
        <f>U34-U34*(Calculation_sheet!O$76+Calculation_sheet!J83)/4</f>
        <v>1.1871160272270434E-4</v>
      </c>
      <c r="W34" s="176">
        <f>V34/Calculation_sheet!M$67</f>
        <v>1.1871402995102036E-4</v>
      </c>
      <c r="X34" s="958">
        <f ca="1">IF(AL34&gt;0,W34*Calculation_sheet!C$87,0)</f>
        <v>0</v>
      </c>
      <c r="Y34" s="176">
        <f t="shared" ca="1" si="39"/>
        <v>1.1871402995102036E-4</v>
      </c>
      <c r="Z34" s="176">
        <f>IF(AN34&gt;0,Y34*Calculation_sheet!C$94,0)</f>
        <v>0</v>
      </c>
      <c r="AA34" s="958">
        <f t="shared" ca="1" si="24"/>
        <v>1.1871402995102036E-4</v>
      </c>
      <c r="AB34" s="176">
        <f ca="1">AA34*Calculation_sheet!C$99</f>
        <v>7.1228417970612212E-5</v>
      </c>
      <c r="AC34" s="958">
        <f t="shared" ca="1" si="24"/>
        <v>4.7485611980408146E-5</v>
      </c>
      <c r="AD34" s="176">
        <f t="shared" si="40"/>
        <v>1.1871402995102036E-4</v>
      </c>
      <c r="AE34" s="176">
        <f>AD34*User_sheet!B$77/100</f>
        <v>0</v>
      </c>
      <c r="AF34" s="309"/>
      <c r="AG34" s="27">
        <v>401</v>
      </c>
      <c r="AH34" s="985"/>
      <c r="AI34" s="956">
        <f t="shared" ca="1" si="19"/>
        <v>217.56608446903419</v>
      </c>
      <c r="AJ34" s="956">
        <f ca="1">AI34/'401'!I$24</f>
        <v>1.1368633381182094</v>
      </c>
      <c r="AK34" s="956">
        <f ca="1">0.8*(AI34*30+'401'!D$17*0.34*30*1)</f>
        <v>7835.3523472568213</v>
      </c>
      <c r="AL34" s="954">
        <f ca="1">IF(AK34&lt;User_sheet!B$50,W34,0)</f>
        <v>1.1871402995102036E-4</v>
      </c>
      <c r="AM34" s="954">
        <f ca="1">20-(User_sheet!B$57/(AI34+'401'!D$17*1*0.34))</f>
        <v>2.5406702931624956</v>
      </c>
      <c r="AN34" s="954"/>
      <c r="AO34" s="985"/>
      <c r="AP34" s="2">
        <v>0</v>
      </c>
      <c r="AQ34" s="2">
        <v>3.7</v>
      </c>
      <c r="AR34" s="2">
        <v>0</v>
      </c>
      <c r="AS34" s="2">
        <v>2.75</v>
      </c>
      <c r="AT34" s="2">
        <v>0</v>
      </c>
      <c r="AU34" s="2">
        <v>0</v>
      </c>
      <c r="AV34" s="2">
        <v>76466.30421774846</v>
      </c>
      <c r="AW34" s="2">
        <v>0</v>
      </c>
      <c r="AX34" s="2">
        <v>0</v>
      </c>
      <c r="AY34" s="2">
        <v>0</v>
      </c>
      <c r="AZ34" s="50">
        <v>0.6</v>
      </c>
      <c r="BA34" s="34">
        <v>0</v>
      </c>
      <c r="BB34" s="34">
        <v>1</v>
      </c>
      <c r="BC34" s="40">
        <v>0</v>
      </c>
      <c r="BD34" s="34">
        <v>1</v>
      </c>
      <c r="BE34" s="34">
        <v>0</v>
      </c>
      <c r="BF34" s="40">
        <v>0</v>
      </c>
      <c r="BG34" s="34">
        <v>1</v>
      </c>
      <c r="BH34" s="40">
        <v>0</v>
      </c>
      <c r="BI34" s="34">
        <v>0</v>
      </c>
      <c r="BJ34" s="34">
        <v>0</v>
      </c>
      <c r="BK34" s="40">
        <v>1</v>
      </c>
      <c r="BL34" s="958">
        <v>0</v>
      </c>
      <c r="BM34" s="958">
        <v>14.9</v>
      </c>
      <c r="BN34" s="32">
        <f t="shared" ca="1" si="25"/>
        <v>97.065000000000012</v>
      </c>
      <c r="BO34">
        <f t="shared" ca="1" si="26"/>
        <v>307.37190000000004</v>
      </c>
      <c r="BP34">
        <f t="shared" ca="1" si="27"/>
        <v>0</v>
      </c>
      <c r="BQ34">
        <f t="shared" ca="1" si="28"/>
        <v>84.313999999999993</v>
      </c>
      <c r="BR34">
        <f t="shared" ca="1" si="29"/>
        <v>0</v>
      </c>
      <c r="BS34">
        <f t="shared" ca="1" si="30"/>
        <v>10</v>
      </c>
      <c r="BT34">
        <f t="shared" ca="1" si="31"/>
        <v>0</v>
      </c>
      <c r="BU34">
        <v>0</v>
      </c>
      <c r="BV34">
        <f t="shared" ca="1" si="32"/>
        <v>0</v>
      </c>
      <c r="BW34">
        <f t="shared" ca="1" si="33"/>
        <v>190.06608448415921</v>
      </c>
      <c r="BX34">
        <f t="shared" ca="1" si="34"/>
        <v>0</v>
      </c>
      <c r="BY34">
        <f t="shared" ca="1" si="35"/>
        <v>27.499999984875</v>
      </c>
      <c r="BZ34">
        <f t="shared" ca="1" si="36"/>
        <v>0</v>
      </c>
      <c r="CA34">
        <f t="shared" si="37"/>
        <v>0</v>
      </c>
      <c r="CB34" s="1018">
        <f t="shared" ca="1" si="41"/>
        <v>217.56608446903419</v>
      </c>
      <c r="CC34" s="1018">
        <f t="shared" ca="1" si="42"/>
        <v>57.095376884597556</v>
      </c>
      <c r="CD34">
        <f t="shared" ca="1" si="22"/>
        <v>8.2398438406089518</v>
      </c>
      <c r="CE34">
        <f t="shared" ca="1" si="23"/>
        <v>13719.010400860283</v>
      </c>
    </row>
    <row r="35" spans="4:83" x14ac:dyDescent="0.25">
      <c r="D35" s="782"/>
      <c r="E35" s="781"/>
      <c r="F35" s="782"/>
      <c r="G35" s="781"/>
      <c r="H35" s="782"/>
      <c r="I35" s="786"/>
      <c r="J35" s="786"/>
      <c r="K35" s="786" t="s">
        <v>58</v>
      </c>
      <c r="L35" s="786">
        <v>0.95</v>
      </c>
      <c r="M35" s="786" t="s">
        <v>61</v>
      </c>
      <c r="N35" s="786">
        <v>0.65999999999999992</v>
      </c>
      <c r="O35" s="783" t="s">
        <v>57</v>
      </c>
      <c r="P35" s="786">
        <v>0.96430000000000005</v>
      </c>
      <c r="Q35" s="782"/>
      <c r="R35" s="791">
        <v>6.2244665524495372E-3</v>
      </c>
      <c r="T35" s="34">
        <f t="shared" si="38"/>
        <v>6.2244665524495372E-3</v>
      </c>
      <c r="U35" s="200">
        <f>T35-T35*Calculation_sheet!J$66/4</f>
        <v>6.2244665524495372E-3</v>
      </c>
      <c r="V35" s="176">
        <f>U35-U35*(Calculation_sheet!O$76+Calculation_sheet!J84)/4</f>
        <v>6.2244665524495372E-3</v>
      </c>
      <c r="W35" s="176">
        <f>V35/Calculation_sheet!M$67</f>
        <v>6.2245938205608394E-3</v>
      </c>
      <c r="X35" s="958">
        <f ca="1">IF(AL35&gt;0,W35*Calculation_sheet!C$87,0)</f>
        <v>0</v>
      </c>
      <c r="Y35" s="176">
        <f t="shared" ca="1" si="39"/>
        <v>6.2245938205608394E-3</v>
      </c>
      <c r="Z35" s="176">
        <f>IF(AN35&gt;0,Y35*Calculation_sheet!C$94,0)</f>
        <v>0</v>
      </c>
      <c r="AA35" s="958">
        <f t="shared" ca="1" si="24"/>
        <v>6.2245938205608394E-3</v>
      </c>
      <c r="AB35" s="176">
        <f ca="1">AA35*Calculation_sheet!C$99</f>
        <v>3.7347562923365036E-3</v>
      </c>
      <c r="AC35" s="958">
        <f t="shared" ca="1" si="24"/>
        <v>2.4898375282243358E-3</v>
      </c>
      <c r="AD35" s="176">
        <f t="shared" si="40"/>
        <v>6.2245938205608394E-3</v>
      </c>
      <c r="AE35" s="176">
        <f>AD35*User_sheet!B$77/100</f>
        <v>0</v>
      </c>
      <c r="AF35" s="309"/>
      <c r="AG35" s="27">
        <v>401</v>
      </c>
      <c r="AH35" s="985"/>
      <c r="AI35" s="956">
        <f t="shared" ca="1" si="19"/>
        <v>217.56608446903419</v>
      </c>
      <c r="AJ35" s="956">
        <f ca="1">AI35/'401'!I$24</f>
        <v>1.1368633381182094</v>
      </c>
      <c r="AK35" s="956">
        <f ca="1">0.8*(AI35*30+'401'!D$17*0.34*30*1)</f>
        <v>7835.3523472568213</v>
      </c>
      <c r="AL35" s="954">
        <f ca="1">IF(AK35&lt;User_sheet!B$50,W35,0)</f>
        <v>6.2245938205608394E-3</v>
      </c>
      <c r="AM35" s="954">
        <f ca="1">20-(User_sheet!B$57/(AI35+'401'!D$17*1*0.34))</f>
        <v>2.5406702931624956</v>
      </c>
      <c r="AN35" s="954"/>
      <c r="AO35" s="985"/>
      <c r="AP35" s="2">
        <v>0</v>
      </c>
      <c r="AQ35" s="2">
        <v>3.7</v>
      </c>
      <c r="AR35" s="2">
        <v>0</v>
      </c>
      <c r="AS35" s="2">
        <v>2.75</v>
      </c>
      <c r="AT35" s="2">
        <v>0</v>
      </c>
      <c r="AU35" s="2">
        <v>0</v>
      </c>
      <c r="AV35" s="2">
        <v>76466.30421774846</v>
      </c>
      <c r="AW35" s="2">
        <v>0</v>
      </c>
      <c r="AX35" s="2">
        <v>0</v>
      </c>
      <c r="AY35" s="2">
        <v>0</v>
      </c>
      <c r="AZ35" s="50">
        <v>0.6</v>
      </c>
      <c r="BA35" s="34">
        <v>0</v>
      </c>
      <c r="BB35" s="34">
        <v>1</v>
      </c>
      <c r="BC35" s="40">
        <v>0</v>
      </c>
      <c r="BD35" s="34">
        <v>1</v>
      </c>
      <c r="BE35" s="34">
        <v>0</v>
      </c>
      <c r="BF35" s="40">
        <v>0</v>
      </c>
      <c r="BG35" s="34">
        <v>0</v>
      </c>
      <c r="BH35" s="40">
        <v>1</v>
      </c>
      <c r="BI35" s="34">
        <v>0</v>
      </c>
      <c r="BJ35" s="34">
        <v>1</v>
      </c>
      <c r="BK35" s="40">
        <v>0</v>
      </c>
      <c r="BL35" s="958">
        <v>0</v>
      </c>
      <c r="BM35" s="958">
        <v>14.9</v>
      </c>
      <c r="BN35" s="32">
        <f t="shared" ca="1" si="25"/>
        <v>97.065000000000012</v>
      </c>
      <c r="BO35">
        <f t="shared" ca="1" si="26"/>
        <v>307.37190000000004</v>
      </c>
      <c r="BP35">
        <f t="shared" ca="1" si="27"/>
        <v>0</v>
      </c>
      <c r="BQ35">
        <f t="shared" ca="1" si="28"/>
        <v>84.313999999999993</v>
      </c>
      <c r="BR35">
        <f t="shared" ca="1" si="29"/>
        <v>0</v>
      </c>
      <c r="BS35">
        <f t="shared" ca="1" si="30"/>
        <v>10</v>
      </c>
      <c r="BT35">
        <f t="shared" ca="1" si="31"/>
        <v>0</v>
      </c>
      <c r="BU35">
        <v>0</v>
      </c>
      <c r="BV35">
        <f t="shared" ca="1" si="32"/>
        <v>0</v>
      </c>
      <c r="BW35">
        <f t="shared" ca="1" si="33"/>
        <v>190.06608448415921</v>
      </c>
      <c r="BX35">
        <f t="shared" ca="1" si="34"/>
        <v>0</v>
      </c>
      <c r="BY35">
        <f t="shared" ca="1" si="35"/>
        <v>27.499999984875</v>
      </c>
      <c r="BZ35">
        <f t="shared" ca="1" si="36"/>
        <v>0</v>
      </c>
      <c r="CA35">
        <f t="shared" si="37"/>
        <v>0</v>
      </c>
      <c r="CB35" s="1018">
        <f t="shared" ca="1" si="41"/>
        <v>217.56608446903419</v>
      </c>
      <c r="CC35" s="1018">
        <f t="shared" ca="1" si="42"/>
        <v>57.095376884597556</v>
      </c>
      <c r="CD35">
        <f t="shared" ca="1" si="22"/>
        <v>8.2398438406089518</v>
      </c>
      <c r="CE35">
        <f t="shared" ca="1" si="23"/>
        <v>13719.010400860283</v>
      </c>
    </row>
    <row r="36" spans="4:83" x14ac:dyDescent="0.25">
      <c r="D36" s="782"/>
      <c r="E36" s="781"/>
      <c r="F36" s="782"/>
      <c r="G36" s="781"/>
      <c r="H36" s="782"/>
      <c r="I36" s="786" t="s">
        <v>57</v>
      </c>
      <c r="J36" s="786">
        <v>0.28000000000000003</v>
      </c>
      <c r="K36" s="786"/>
      <c r="L36" s="786"/>
      <c r="M36" s="786"/>
      <c r="N36" s="786"/>
      <c r="O36" s="783" t="s">
        <v>7</v>
      </c>
      <c r="P36" s="786">
        <v>3.5700000000000003E-2</v>
      </c>
      <c r="Q36" s="782"/>
      <c r="R36" s="791">
        <v>2.3044016999113193E-4</v>
      </c>
      <c r="T36" s="34">
        <f t="shared" si="38"/>
        <v>2.3044016999113193E-4</v>
      </c>
      <c r="U36" s="200">
        <f>T36-T36*Calculation_sheet!J$66/4</f>
        <v>2.3044016999113193E-4</v>
      </c>
      <c r="V36" s="176">
        <f>U36-U36*(Calculation_sheet!O$76+Calculation_sheet!J85)/4</f>
        <v>2.3044016999113193E-4</v>
      </c>
      <c r="W36" s="176">
        <f>V36/Calculation_sheet!M$67</f>
        <v>2.3044488166962772E-4</v>
      </c>
      <c r="X36" s="958">
        <f ca="1">IF(AL36&gt;0,W36*Calculation_sheet!C$87,0)</f>
        <v>0</v>
      </c>
      <c r="Y36" s="176">
        <f t="shared" ca="1" si="39"/>
        <v>2.3044488166962772E-4</v>
      </c>
      <c r="Z36" s="176">
        <f>IF(AN36&gt;0,Y36*Calculation_sheet!C$94,0)</f>
        <v>0</v>
      </c>
      <c r="AA36" s="958">
        <f t="shared" ca="1" si="24"/>
        <v>2.3044488166962772E-4</v>
      </c>
      <c r="AB36" s="176">
        <f ca="1">AA36*Calculation_sheet!C$99</f>
        <v>1.3826692900177664E-4</v>
      </c>
      <c r="AC36" s="958">
        <f t="shared" ca="1" si="24"/>
        <v>9.2177952667851082E-5</v>
      </c>
      <c r="AD36" s="176">
        <f t="shared" si="40"/>
        <v>2.3044488166962772E-4</v>
      </c>
      <c r="AE36" s="176">
        <f>AD36*User_sheet!B$77/100</f>
        <v>0</v>
      </c>
      <c r="AF36" s="309"/>
      <c r="AG36" s="27">
        <v>401</v>
      </c>
      <c r="AH36" s="985"/>
      <c r="AI36" s="956">
        <f t="shared" ca="1" si="19"/>
        <v>217.56608446903419</v>
      </c>
      <c r="AJ36" s="956">
        <f ca="1">AI36/'401'!I$24</f>
        <v>1.1368633381182094</v>
      </c>
      <c r="AK36" s="956">
        <f ca="1">0.8*(AI36*30+'401'!D$17*0.34*30*1)</f>
        <v>7835.3523472568213</v>
      </c>
      <c r="AL36" s="954">
        <f ca="1">IF(AK36&lt;User_sheet!B$50,W36,0)</f>
        <v>2.3044488166962772E-4</v>
      </c>
      <c r="AM36" s="954">
        <f ca="1">20-(User_sheet!B$57/(AI36+'401'!D$17*1*0.34))</f>
        <v>2.5406702931624956</v>
      </c>
      <c r="AN36" s="954"/>
      <c r="AO36" s="985"/>
      <c r="AP36" s="2">
        <v>0</v>
      </c>
      <c r="AQ36" s="2">
        <v>3.7</v>
      </c>
      <c r="AR36" s="2">
        <v>0</v>
      </c>
      <c r="AS36" s="2">
        <v>2.75</v>
      </c>
      <c r="AT36" s="2">
        <v>0</v>
      </c>
      <c r="AU36" s="2">
        <v>0</v>
      </c>
      <c r="AV36" s="2">
        <v>76466.30421774846</v>
      </c>
      <c r="AW36" s="2"/>
      <c r="AX36" s="2"/>
      <c r="AY36" s="2"/>
      <c r="AZ36" s="50">
        <v>0.6</v>
      </c>
      <c r="BA36" s="34">
        <v>0</v>
      </c>
      <c r="BB36" s="34">
        <v>1</v>
      </c>
      <c r="BC36" s="40">
        <v>0</v>
      </c>
      <c r="BD36" s="34">
        <v>1</v>
      </c>
      <c r="BE36" s="34">
        <v>0</v>
      </c>
      <c r="BF36" s="40">
        <v>0</v>
      </c>
      <c r="BG36" s="34">
        <v>0</v>
      </c>
      <c r="BH36" s="40">
        <v>1</v>
      </c>
      <c r="BI36" s="34">
        <v>0</v>
      </c>
      <c r="BJ36" s="34">
        <v>0</v>
      </c>
      <c r="BK36" s="40">
        <v>1</v>
      </c>
      <c r="BL36" s="958">
        <v>0</v>
      </c>
      <c r="BM36" s="958">
        <v>14.9</v>
      </c>
      <c r="BN36" s="32">
        <f t="shared" ca="1" si="25"/>
        <v>97.065000000000012</v>
      </c>
      <c r="BO36">
        <f t="shared" ca="1" si="26"/>
        <v>307.37190000000004</v>
      </c>
      <c r="BP36">
        <f t="shared" ca="1" si="27"/>
        <v>0</v>
      </c>
      <c r="BQ36">
        <f t="shared" ca="1" si="28"/>
        <v>84.313999999999993</v>
      </c>
      <c r="BR36">
        <f t="shared" ca="1" si="29"/>
        <v>0</v>
      </c>
      <c r="BS36">
        <f t="shared" ca="1" si="30"/>
        <v>10</v>
      </c>
      <c r="BT36">
        <f t="shared" ca="1" si="31"/>
        <v>0</v>
      </c>
      <c r="BU36">
        <v>0</v>
      </c>
      <c r="BV36">
        <f t="shared" ca="1" si="32"/>
        <v>0</v>
      </c>
      <c r="BW36">
        <f t="shared" ca="1" si="33"/>
        <v>190.06608448415921</v>
      </c>
      <c r="BX36">
        <f t="shared" ca="1" si="34"/>
        <v>0</v>
      </c>
      <c r="BY36">
        <f t="shared" ca="1" si="35"/>
        <v>27.499999984875</v>
      </c>
      <c r="BZ36">
        <f t="shared" ca="1" si="36"/>
        <v>0</v>
      </c>
      <c r="CA36">
        <f t="shared" si="37"/>
        <v>0</v>
      </c>
      <c r="CB36" s="1018">
        <f t="shared" ca="1" si="41"/>
        <v>217.56608446903419</v>
      </c>
      <c r="CC36" s="1018">
        <f t="shared" ca="1" si="42"/>
        <v>57.095376884597556</v>
      </c>
      <c r="CD36">
        <f t="shared" ca="1" si="22"/>
        <v>8.2398438406089518</v>
      </c>
      <c r="CE36">
        <f t="shared" ca="1" si="23"/>
        <v>13719.010400860283</v>
      </c>
    </row>
    <row r="37" spans="4:83" x14ac:dyDescent="0.25">
      <c r="D37" s="782"/>
      <c r="E37" s="781"/>
      <c r="F37" s="782"/>
      <c r="G37" s="781"/>
      <c r="H37" s="782"/>
      <c r="I37" s="786"/>
      <c r="J37" s="786"/>
      <c r="K37" s="786" t="s">
        <v>59</v>
      </c>
      <c r="L37" s="786">
        <v>0.05</v>
      </c>
      <c r="M37" s="786"/>
      <c r="N37" s="786"/>
      <c r="O37" s="789" t="s">
        <v>57</v>
      </c>
      <c r="P37" s="786">
        <v>0.96430000000000005</v>
      </c>
      <c r="Q37" s="782"/>
      <c r="R37" s="791">
        <v>4.9636894357651831E-4</v>
      </c>
      <c r="T37" s="34">
        <f t="shared" si="38"/>
        <v>4.9636894357651831E-4</v>
      </c>
      <c r="U37" s="200">
        <f>T37-T37*Calculation_sheet!J$66/4</f>
        <v>4.9636894357651831E-4</v>
      </c>
      <c r="V37" s="176">
        <f>U37-U37*(Calculation_sheet!O$76+Calculation_sheet!J86)/4</f>
        <v>4.9636894357651831E-4</v>
      </c>
      <c r="W37" s="176">
        <f>V37/Calculation_sheet!M$67</f>
        <v>4.9637909254871145E-4</v>
      </c>
      <c r="X37" s="958">
        <f ca="1">IF(AL37&gt;0,W37*Calculation_sheet!C$87,0)</f>
        <v>0</v>
      </c>
      <c r="Y37" s="176">
        <f t="shared" ca="1" si="39"/>
        <v>4.9637909254871145E-4</v>
      </c>
      <c r="Z37" s="176">
        <f>IF(AN37&gt;0,Y37*Calculation_sheet!C$94,0)</f>
        <v>0</v>
      </c>
      <c r="AA37" s="958">
        <f t="shared" ca="1" si="24"/>
        <v>4.9637909254871145E-4</v>
      </c>
      <c r="AB37" s="176">
        <f ca="1">AA37*Calculation_sheet!C$99</f>
        <v>2.9782745552922688E-4</v>
      </c>
      <c r="AC37" s="958">
        <f t="shared" ca="1" si="24"/>
        <v>1.9855163701948457E-4</v>
      </c>
      <c r="AD37" s="176">
        <f t="shared" si="40"/>
        <v>4.9637909254871145E-4</v>
      </c>
      <c r="AE37" s="176">
        <f>AD37*User_sheet!B$77/100</f>
        <v>0</v>
      </c>
      <c r="AF37" s="309"/>
      <c r="AG37" s="27">
        <v>401</v>
      </c>
      <c r="AH37" s="985"/>
      <c r="AI37" s="956">
        <f t="shared" ca="1" si="19"/>
        <v>217.56608446903419</v>
      </c>
      <c r="AJ37" s="956">
        <f ca="1">AI37/'401'!I$24</f>
        <v>1.1368633381182094</v>
      </c>
      <c r="AK37" s="956">
        <f ca="1">0.8*(AI37*30+'401'!D$17*0.34*30*1)</f>
        <v>7835.3523472568213</v>
      </c>
      <c r="AL37" s="954">
        <f ca="1">IF(AK37&lt;User_sheet!B$50,W37,0)</f>
        <v>4.9637909254871145E-4</v>
      </c>
      <c r="AM37" s="954">
        <f ca="1">20-(User_sheet!B$57/(AI37+'401'!D$17*1*0.34))</f>
        <v>2.5406702931624956</v>
      </c>
      <c r="AN37" s="954"/>
      <c r="AO37" s="985"/>
      <c r="AP37" s="2">
        <v>0</v>
      </c>
      <c r="AQ37" s="2">
        <v>3.7</v>
      </c>
      <c r="AR37" s="2">
        <v>0</v>
      </c>
      <c r="AS37" s="2">
        <v>2.75</v>
      </c>
      <c r="AT37" s="2">
        <v>0</v>
      </c>
      <c r="AU37" s="2">
        <v>0</v>
      </c>
      <c r="AV37" s="2">
        <v>76466.30421774846</v>
      </c>
      <c r="AW37" s="2">
        <v>0</v>
      </c>
      <c r="AX37" s="2">
        <v>0</v>
      </c>
      <c r="AY37" s="2">
        <v>0</v>
      </c>
      <c r="AZ37" s="50">
        <v>0.6</v>
      </c>
      <c r="BA37" s="34">
        <v>0</v>
      </c>
      <c r="BB37" s="34">
        <v>1</v>
      </c>
      <c r="BC37" s="40">
        <v>0</v>
      </c>
      <c r="BD37" s="34">
        <v>0</v>
      </c>
      <c r="BE37" s="34">
        <v>1</v>
      </c>
      <c r="BF37" s="40">
        <v>0</v>
      </c>
      <c r="BG37" s="34">
        <v>1</v>
      </c>
      <c r="BH37" s="40">
        <v>0</v>
      </c>
      <c r="BI37" s="34">
        <v>0</v>
      </c>
      <c r="BJ37" s="34">
        <v>1</v>
      </c>
      <c r="BK37" s="40">
        <v>0</v>
      </c>
      <c r="BL37" s="958">
        <v>0</v>
      </c>
      <c r="BM37" s="958">
        <v>14.9</v>
      </c>
      <c r="BN37" s="32">
        <f t="shared" ca="1" si="25"/>
        <v>97.065000000000012</v>
      </c>
      <c r="BO37">
        <f t="shared" ca="1" si="26"/>
        <v>307.37190000000004</v>
      </c>
      <c r="BP37">
        <f t="shared" ca="1" si="27"/>
        <v>0</v>
      </c>
      <c r="BQ37">
        <f t="shared" ca="1" si="28"/>
        <v>84.313999999999993</v>
      </c>
      <c r="BR37">
        <f t="shared" ca="1" si="29"/>
        <v>0</v>
      </c>
      <c r="BS37">
        <f t="shared" ca="1" si="30"/>
        <v>10</v>
      </c>
      <c r="BT37">
        <f t="shared" ca="1" si="31"/>
        <v>0</v>
      </c>
      <c r="BU37">
        <v>0</v>
      </c>
      <c r="BV37">
        <f t="shared" ca="1" si="32"/>
        <v>0</v>
      </c>
      <c r="BW37">
        <f t="shared" ca="1" si="33"/>
        <v>190.06608448415921</v>
      </c>
      <c r="BX37">
        <f t="shared" ca="1" si="34"/>
        <v>0</v>
      </c>
      <c r="BY37">
        <f t="shared" ca="1" si="35"/>
        <v>27.499999984875</v>
      </c>
      <c r="BZ37">
        <f t="shared" ca="1" si="36"/>
        <v>0</v>
      </c>
      <c r="CA37">
        <f t="shared" si="37"/>
        <v>0</v>
      </c>
      <c r="CB37" s="1018">
        <f t="shared" ca="1" si="41"/>
        <v>217.56608446903419</v>
      </c>
      <c r="CC37" s="1018">
        <f t="shared" ca="1" si="42"/>
        <v>57.095376884597556</v>
      </c>
      <c r="CD37">
        <f t="shared" ca="1" si="22"/>
        <v>8.2398438406089518</v>
      </c>
      <c r="CE37">
        <f t="shared" ca="1" si="23"/>
        <v>13719.010400860283</v>
      </c>
    </row>
    <row r="38" spans="4:83" x14ac:dyDescent="0.25">
      <c r="D38" s="781"/>
      <c r="E38" s="781"/>
      <c r="F38" s="782"/>
      <c r="G38" s="781"/>
      <c r="H38" s="782"/>
      <c r="I38" s="786"/>
      <c r="J38" s="786"/>
      <c r="K38" s="786"/>
      <c r="L38" s="786"/>
      <c r="M38" s="786"/>
      <c r="N38" s="786"/>
      <c r="O38" s="789" t="s">
        <v>7</v>
      </c>
      <c r="P38" s="786">
        <v>3.5700000000000003E-2</v>
      </c>
      <c r="Q38" s="782"/>
      <c r="R38" s="791">
        <v>1.8376409090201915E-5</v>
      </c>
      <c r="T38" s="34">
        <f t="shared" si="38"/>
        <v>1.8376409090201915E-5</v>
      </c>
      <c r="U38" s="200">
        <f>T38-T38*Calculation_sheet!J$66/4</f>
        <v>1.8376409090201915E-5</v>
      </c>
      <c r="V38" s="176">
        <f>U38-U38*(Calculation_sheet!O$76+Calculation_sheet!J87)/4</f>
        <v>1.8376409090201915E-5</v>
      </c>
      <c r="W38" s="176">
        <f>V38/Calculation_sheet!M$67</f>
        <v>1.8376784822139377E-5</v>
      </c>
      <c r="X38" s="958">
        <f ca="1">IF(AL38&gt;0,W38*Calculation_sheet!C$87,0)</f>
        <v>0</v>
      </c>
      <c r="Y38" s="176">
        <f t="shared" ca="1" si="39"/>
        <v>1.8376784822139377E-5</v>
      </c>
      <c r="Z38" s="176">
        <f>IF(AN38&gt;0,Y38*Calculation_sheet!C$94,0)</f>
        <v>0</v>
      </c>
      <c r="AA38" s="958">
        <f t="shared" ca="1" si="24"/>
        <v>1.8376784822139377E-5</v>
      </c>
      <c r="AB38" s="176">
        <f ca="1">AA38*Calculation_sheet!C$99</f>
        <v>1.1026070893283625E-5</v>
      </c>
      <c r="AC38" s="958">
        <f t="shared" ca="1" si="24"/>
        <v>7.3507139288557518E-6</v>
      </c>
      <c r="AD38" s="176">
        <f t="shared" si="40"/>
        <v>1.8376784822139377E-5</v>
      </c>
      <c r="AE38" s="176">
        <f>AD38*User_sheet!B$77/100</f>
        <v>0</v>
      </c>
      <c r="AF38" s="309"/>
      <c r="AG38" s="27">
        <v>401</v>
      </c>
      <c r="AH38" s="985"/>
      <c r="AI38" s="956">
        <f t="shared" ca="1" si="19"/>
        <v>217.56608446903419</v>
      </c>
      <c r="AJ38" s="956">
        <f ca="1">AI38/'401'!I$24</f>
        <v>1.1368633381182094</v>
      </c>
      <c r="AK38" s="956">
        <f ca="1">0.8*(AI38*30+'401'!D$17*0.34*30*1)</f>
        <v>7835.3523472568213</v>
      </c>
      <c r="AL38" s="954">
        <f ca="1">IF(AK38&lt;User_sheet!B$50,W38,0)</f>
        <v>1.8376784822139377E-5</v>
      </c>
      <c r="AM38" s="954">
        <f ca="1">20-(User_sheet!B$57/(AI38+'401'!D$17*1*0.34))</f>
        <v>2.5406702931624956</v>
      </c>
      <c r="AN38" s="954"/>
      <c r="AO38" s="985"/>
      <c r="AP38" s="2">
        <v>0</v>
      </c>
      <c r="AQ38" s="2">
        <v>3.7</v>
      </c>
      <c r="AR38" s="2">
        <v>0</v>
      </c>
      <c r="AS38" s="2">
        <v>2.75</v>
      </c>
      <c r="AT38" s="2">
        <v>0</v>
      </c>
      <c r="AU38" s="2">
        <v>0</v>
      </c>
      <c r="AV38" s="2">
        <v>76466.30421774846</v>
      </c>
      <c r="AW38" s="2">
        <v>0</v>
      </c>
      <c r="AX38" s="2">
        <v>0</v>
      </c>
      <c r="AY38" s="2">
        <v>0</v>
      </c>
      <c r="AZ38" s="50">
        <v>0.6</v>
      </c>
      <c r="BA38" s="34">
        <v>0</v>
      </c>
      <c r="BB38" s="34">
        <v>1</v>
      </c>
      <c r="BC38" s="40">
        <v>0</v>
      </c>
      <c r="BD38" s="34">
        <v>0</v>
      </c>
      <c r="BE38" s="34">
        <v>1</v>
      </c>
      <c r="BF38" s="40">
        <v>0</v>
      </c>
      <c r="BG38" s="34">
        <v>1</v>
      </c>
      <c r="BH38" s="40">
        <v>0</v>
      </c>
      <c r="BI38" s="34">
        <v>0</v>
      </c>
      <c r="BJ38" s="34">
        <v>0</v>
      </c>
      <c r="BK38" s="40">
        <v>1</v>
      </c>
      <c r="BL38" s="958">
        <v>0</v>
      </c>
      <c r="BM38" s="958">
        <v>14.9</v>
      </c>
      <c r="BN38" s="32">
        <f t="shared" ca="1" si="25"/>
        <v>97.065000000000012</v>
      </c>
      <c r="BO38">
        <f t="shared" ca="1" si="26"/>
        <v>307.37190000000004</v>
      </c>
      <c r="BP38">
        <f t="shared" ca="1" si="27"/>
        <v>0</v>
      </c>
      <c r="BQ38">
        <f t="shared" ca="1" si="28"/>
        <v>84.313999999999993</v>
      </c>
      <c r="BR38">
        <f t="shared" ca="1" si="29"/>
        <v>0</v>
      </c>
      <c r="BS38">
        <f t="shared" ca="1" si="30"/>
        <v>10</v>
      </c>
      <c r="BT38">
        <f t="shared" ca="1" si="31"/>
        <v>0</v>
      </c>
      <c r="BU38">
        <v>0</v>
      </c>
      <c r="BV38">
        <f t="shared" ca="1" si="32"/>
        <v>0</v>
      </c>
      <c r="BW38">
        <f t="shared" ca="1" si="33"/>
        <v>190.06608448415921</v>
      </c>
      <c r="BX38">
        <f t="shared" ca="1" si="34"/>
        <v>0</v>
      </c>
      <c r="BY38">
        <f t="shared" ca="1" si="35"/>
        <v>27.499999984875</v>
      </c>
      <c r="BZ38">
        <f t="shared" ca="1" si="36"/>
        <v>0</v>
      </c>
      <c r="CA38">
        <f t="shared" si="37"/>
        <v>0</v>
      </c>
      <c r="CB38" s="1018">
        <f t="shared" ca="1" si="41"/>
        <v>217.56608446903419</v>
      </c>
      <c r="CC38" s="1018">
        <f t="shared" ca="1" si="42"/>
        <v>57.095376884597556</v>
      </c>
      <c r="CD38">
        <f t="shared" ca="1" si="22"/>
        <v>8.2398438406089518</v>
      </c>
      <c r="CE38">
        <f t="shared" ca="1" si="23"/>
        <v>13719.010400860283</v>
      </c>
    </row>
    <row r="39" spans="4:83" x14ac:dyDescent="0.25">
      <c r="D39" s="782"/>
      <c r="E39" s="781" t="s">
        <v>8</v>
      </c>
      <c r="F39" s="785">
        <v>0.86</v>
      </c>
      <c r="G39" s="781" t="s">
        <v>9</v>
      </c>
      <c r="H39" s="785">
        <v>0.64260000000000006</v>
      </c>
      <c r="I39" s="786" t="s">
        <v>7</v>
      </c>
      <c r="J39" s="786">
        <v>7.999999999999996E-2</v>
      </c>
      <c r="K39" s="786" t="s">
        <v>23</v>
      </c>
      <c r="L39" s="786">
        <v>1</v>
      </c>
      <c r="M39" s="786"/>
      <c r="N39" s="786">
        <v>1</v>
      </c>
      <c r="O39" s="789" t="s">
        <v>7</v>
      </c>
      <c r="P39" s="786">
        <v>1</v>
      </c>
      <c r="Q39" s="782"/>
      <c r="R39" s="791">
        <v>2.9414020152383987E-3</v>
      </c>
      <c r="T39" s="34">
        <f t="shared" si="38"/>
        <v>2.9414020152383987E-3</v>
      </c>
      <c r="U39" s="200">
        <f>T39-T39*Calculation_sheet!J$66/4</f>
        <v>2.9414020152383987E-3</v>
      </c>
      <c r="V39" s="176">
        <f>U39-U39*(Calculation_sheet!O$76+Calculation_sheet!J88)/4</f>
        <v>2.9414020152383987E-3</v>
      </c>
      <c r="W39" s="176">
        <f>V39/Calculation_sheet!M$67</f>
        <v>2.9414621564048597E-3</v>
      </c>
      <c r="X39" s="958">
        <f ca="1">IF(AL39&gt;0,W39*Calculation_sheet!C$87,0)</f>
        <v>0</v>
      </c>
      <c r="Y39" s="176">
        <f t="shared" ca="1" si="39"/>
        <v>2.9414621564048597E-3</v>
      </c>
      <c r="Z39" s="176">
        <f>IF(AN39&gt;0,Y39*Calculation_sheet!C$94,0)</f>
        <v>0</v>
      </c>
      <c r="AA39" s="958">
        <f t="shared" ca="1" si="24"/>
        <v>2.9414621564048597E-3</v>
      </c>
      <c r="AB39" s="176">
        <f ca="1">AA39*Calculation_sheet!C$99</f>
        <v>1.7648772938429157E-3</v>
      </c>
      <c r="AC39" s="958">
        <f t="shared" ca="1" si="24"/>
        <v>1.176584862561944E-3</v>
      </c>
      <c r="AD39" s="176">
        <f t="shared" si="40"/>
        <v>2.9414621564048597E-3</v>
      </c>
      <c r="AE39" s="176">
        <f>AD39*User_sheet!B$77/100</f>
        <v>0</v>
      </c>
      <c r="AF39" s="309"/>
      <c r="AG39" s="27">
        <v>401</v>
      </c>
      <c r="AH39" s="985"/>
      <c r="AI39" s="956">
        <f t="shared" ca="1" si="19"/>
        <v>217.56608446903419</v>
      </c>
      <c r="AJ39" s="956">
        <f ca="1">AI39/'401'!I$24</f>
        <v>1.1368633381182094</v>
      </c>
      <c r="AK39" s="956">
        <f ca="1">0.8*(AI39*30+'401'!D$17*0.34*30*1)</f>
        <v>7835.3523472568213</v>
      </c>
      <c r="AL39" s="954">
        <f ca="1">IF(AK39&lt;User_sheet!B$50,W39,0)</f>
        <v>2.9414621564048597E-3</v>
      </c>
      <c r="AM39" s="954">
        <f ca="1">20-(User_sheet!B$57/(AI39+'401'!D$17*1*0.34))</f>
        <v>2.5406702931624956</v>
      </c>
      <c r="AN39" s="954"/>
      <c r="AO39" s="985"/>
      <c r="AP39" s="2">
        <v>0</v>
      </c>
      <c r="AQ39" s="2">
        <v>3.7</v>
      </c>
      <c r="AR39" s="2">
        <v>0</v>
      </c>
      <c r="AS39" s="2">
        <v>2.75</v>
      </c>
      <c r="AT39" s="2">
        <v>0</v>
      </c>
      <c r="AU39" s="2">
        <v>0</v>
      </c>
      <c r="AV39" s="2">
        <v>76466.30421774846</v>
      </c>
      <c r="AW39" s="2">
        <v>0</v>
      </c>
      <c r="AX39" s="2">
        <v>0</v>
      </c>
      <c r="AY39" s="2">
        <v>0</v>
      </c>
      <c r="AZ39" s="50">
        <v>0.6</v>
      </c>
      <c r="BA39" s="34">
        <v>0</v>
      </c>
      <c r="BB39" s="34">
        <v>0</v>
      </c>
      <c r="BC39" s="40">
        <v>1</v>
      </c>
      <c r="BD39" s="34">
        <v>0</v>
      </c>
      <c r="BE39" s="34">
        <v>0</v>
      </c>
      <c r="BF39" s="40">
        <v>1</v>
      </c>
      <c r="BG39" s="34">
        <v>1</v>
      </c>
      <c r="BH39" s="40">
        <v>0</v>
      </c>
      <c r="BI39" s="34">
        <v>0</v>
      </c>
      <c r="BJ39" s="34">
        <v>0</v>
      </c>
      <c r="BK39" s="40">
        <v>1</v>
      </c>
      <c r="BL39" s="958">
        <v>0</v>
      </c>
      <c r="BM39" s="958">
        <v>14.9</v>
      </c>
      <c r="BN39" s="32">
        <f t="shared" ca="1" si="25"/>
        <v>97.065000000000012</v>
      </c>
      <c r="BO39">
        <f t="shared" ca="1" si="26"/>
        <v>307.37190000000004</v>
      </c>
      <c r="BP39">
        <f t="shared" ca="1" si="27"/>
        <v>0</v>
      </c>
      <c r="BQ39">
        <f t="shared" ca="1" si="28"/>
        <v>84.313999999999993</v>
      </c>
      <c r="BR39">
        <f t="shared" ca="1" si="29"/>
        <v>0</v>
      </c>
      <c r="BS39">
        <f t="shared" ca="1" si="30"/>
        <v>10</v>
      </c>
      <c r="BT39">
        <f t="shared" ca="1" si="31"/>
        <v>0</v>
      </c>
      <c r="BU39">
        <v>0</v>
      </c>
      <c r="BV39">
        <f t="shared" ca="1" si="32"/>
        <v>0</v>
      </c>
      <c r="BW39">
        <f t="shared" ca="1" si="33"/>
        <v>190.06608448415921</v>
      </c>
      <c r="BX39">
        <f t="shared" ca="1" si="34"/>
        <v>0</v>
      </c>
      <c r="BY39">
        <f t="shared" ca="1" si="35"/>
        <v>27.499999984875</v>
      </c>
      <c r="BZ39">
        <f t="shared" ca="1" si="36"/>
        <v>0</v>
      </c>
      <c r="CA39">
        <f t="shared" si="37"/>
        <v>0</v>
      </c>
      <c r="CB39" s="1018">
        <f t="shared" ca="1" si="41"/>
        <v>217.56608446903419</v>
      </c>
      <c r="CC39" s="1018">
        <f t="shared" ca="1" si="42"/>
        <v>57.095376884597556</v>
      </c>
      <c r="CD39">
        <f t="shared" ca="1" si="22"/>
        <v>8.2398438406089518</v>
      </c>
      <c r="CE39">
        <f t="shared" ca="1" si="23"/>
        <v>13719.010400860283</v>
      </c>
    </row>
    <row r="40" spans="4:83" s="798" customFormat="1" x14ac:dyDescent="0.25">
      <c r="D40" s="799"/>
      <c r="F40" s="799"/>
      <c r="H40" s="799"/>
      <c r="I40" s="799"/>
      <c r="J40" s="799"/>
      <c r="K40" s="799"/>
      <c r="L40" s="799"/>
      <c r="M40" s="799"/>
      <c r="N40" s="799"/>
      <c r="O40" s="801"/>
      <c r="P40" s="799"/>
      <c r="Q40" s="799"/>
      <c r="R40" s="804"/>
      <c r="S40" s="273"/>
      <c r="T40" s="277"/>
      <c r="U40" s="292"/>
      <c r="V40" s="292"/>
      <c r="W40" s="292"/>
      <c r="X40" s="277"/>
      <c r="Y40" s="292"/>
      <c r="Z40" s="292"/>
      <c r="AA40" s="277"/>
      <c r="AB40" s="292"/>
      <c r="AC40" s="277"/>
      <c r="AD40" s="292"/>
      <c r="AE40" s="292"/>
      <c r="AF40" s="309"/>
      <c r="AG40" s="801"/>
      <c r="AH40" s="985"/>
      <c r="AI40" s="956">
        <f t="shared" si="19"/>
        <v>0</v>
      </c>
      <c r="AJ40" s="955"/>
      <c r="AK40" s="955"/>
      <c r="AL40" s="955"/>
      <c r="AM40" s="955"/>
      <c r="AN40" s="955"/>
      <c r="AO40" s="985"/>
      <c r="AP40" s="801"/>
      <c r="AQ40" s="801"/>
      <c r="AR40" s="801"/>
      <c r="AS40" s="801"/>
      <c r="AT40" s="801"/>
      <c r="AU40" s="801"/>
      <c r="AV40" s="801"/>
      <c r="AW40" s="801"/>
      <c r="AX40" s="801"/>
      <c r="AY40" s="801"/>
      <c r="AZ40" s="49"/>
      <c r="BA40" s="277"/>
      <c r="BB40" s="277"/>
      <c r="BC40" s="49"/>
      <c r="BD40" s="277"/>
      <c r="BE40" s="277"/>
      <c r="BF40" s="49"/>
      <c r="BG40" s="277"/>
      <c r="BH40" s="49"/>
      <c r="BI40" s="277"/>
      <c r="BJ40" s="277"/>
      <c r="BK40" s="49"/>
      <c r="BL40" s="277"/>
      <c r="BM40" s="277"/>
      <c r="BN40" s="802"/>
    </row>
    <row r="41" spans="4:83" s="3" customFormat="1" x14ac:dyDescent="0.25">
      <c r="D41" s="6"/>
      <c r="F41" s="6"/>
      <c r="G41" s="6"/>
      <c r="H41" s="8"/>
      <c r="I41" s="6"/>
      <c r="J41" s="6"/>
      <c r="K41" s="6"/>
      <c r="L41" s="6"/>
      <c r="M41" s="6" t="s">
        <v>60</v>
      </c>
      <c r="N41" s="4"/>
      <c r="O41" s="2" t="s">
        <v>16</v>
      </c>
      <c r="P41" s="4"/>
      <c r="Q41" s="1"/>
      <c r="R41" s="79"/>
      <c r="S41" s="876"/>
      <c r="T41" s="199"/>
      <c r="U41" s="200"/>
      <c r="V41" s="176">
        <f>U27-V27</f>
        <v>0</v>
      </c>
      <c r="W41" s="176">
        <f>V41/Calculation_sheet!M$67</f>
        <v>0</v>
      </c>
      <c r="X41" s="958">
        <f ca="1">IF(AL41&gt;0,W41*Calculation_sheet!C$87,0)</f>
        <v>0</v>
      </c>
      <c r="Y41" s="176">
        <f ca="1">W41-X41</f>
        <v>0</v>
      </c>
      <c r="Z41" s="176">
        <f>IF(AN41&gt;0,Y41*Calculation_sheet!C$94,0)</f>
        <v>0</v>
      </c>
      <c r="AA41" s="958">
        <f t="shared" ref="AA41:AC53" ca="1" si="43">Y41-Z41</f>
        <v>0</v>
      </c>
      <c r="AB41" s="176">
        <f ca="1">AA41*Calculation_sheet!C$99</f>
        <v>0</v>
      </c>
      <c r="AC41" s="958">
        <f t="shared" ca="1" si="43"/>
        <v>0</v>
      </c>
      <c r="AD41" s="176">
        <f>W41-Z41</f>
        <v>0</v>
      </c>
      <c r="AE41" s="176">
        <f>AD41*User_sheet!B$77/100</f>
        <v>0</v>
      </c>
      <c r="AF41" s="309"/>
      <c r="AG41" s="27">
        <v>401</v>
      </c>
      <c r="AH41" s="985"/>
      <c r="AI41" s="956">
        <f t="shared" ca="1" si="19"/>
        <v>210.0660844761592</v>
      </c>
      <c r="AJ41" s="956">
        <f ca="1">AI41/'401'!I$24</f>
        <v>1.0976730615243409</v>
      </c>
      <c r="AK41" s="956">
        <f ca="1">0.8*(AI41*30+'401'!D$17*0.34*30*1)</f>
        <v>7655.3523474278227</v>
      </c>
      <c r="AL41" s="954">
        <f ca="1">IF(AK41&lt;User_sheet!B$50,W41,0)</f>
        <v>0</v>
      </c>
      <c r="AM41" s="954">
        <f ca="1">20-(User_sheet!B$57/(AI41+'401'!D$17*1*0.34))</f>
        <v>2.1301497577751007</v>
      </c>
      <c r="AN41" s="954"/>
      <c r="AO41" s="985"/>
      <c r="AP41" s="2">
        <v>0</v>
      </c>
      <c r="AQ41" s="2">
        <v>3.7</v>
      </c>
      <c r="AR41" s="2">
        <v>0</v>
      </c>
      <c r="AS41" s="27">
        <v>2</v>
      </c>
      <c r="AT41" s="2">
        <v>0</v>
      </c>
      <c r="AU41" s="2">
        <v>0</v>
      </c>
      <c r="AV41" s="2">
        <v>76466.30421774846</v>
      </c>
      <c r="AW41" s="2">
        <v>0</v>
      </c>
      <c r="AX41" s="2">
        <v>0</v>
      </c>
      <c r="AY41" s="2">
        <v>0</v>
      </c>
      <c r="AZ41" s="50">
        <v>0.6</v>
      </c>
      <c r="BA41" s="34">
        <v>1</v>
      </c>
      <c r="BB41" s="34">
        <v>0</v>
      </c>
      <c r="BC41" s="40">
        <v>0</v>
      </c>
      <c r="BD41" s="34">
        <v>1</v>
      </c>
      <c r="BE41" s="34">
        <v>0</v>
      </c>
      <c r="BF41" s="40">
        <v>0</v>
      </c>
      <c r="BG41" s="34">
        <v>1</v>
      </c>
      <c r="BH41" s="40">
        <v>0</v>
      </c>
      <c r="BI41" s="34">
        <v>1</v>
      </c>
      <c r="BJ41" s="34">
        <v>0</v>
      </c>
      <c r="BK41" s="40">
        <v>0</v>
      </c>
      <c r="BL41" s="958">
        <v>0</v>
      </c>
      <c r="BM41" s="958">
        <v>14.9</v>
      </c>
      <c r="BN41" s="37">
        <f t="shared" ref="BN41:BN53" ca="1" si="44">INDIRECT("'"&amp;AG41&amp;"'!"&amp;"B2")</f>
        <v>97.065000000000012</v>
      </c>
      <c r="BO41" s="3">
        <f t="shared" ref="BO41:BO53" ca="1" si="45">INDIRECT("'"&amp;AG41&amp;"'!"&amp;"C12")+INDIRECT("'"&amp;AG41&amp;"'!"&amp;"C13")+INDIRECT("'"&amp;AG41&amp;"'!"&amp;"C14")+INDIRECT("'"&amp;AG41&amp;"'!"&amp;"C15")+INDIRECT("'"&amp;AG41&amp;"'!"&amp;"C17")</f>
        <v>307.37190000000004</v>
      </c>
      <c r="BP41" s="3">
        <f t="shared" ref="BP41:BP53" ca="1" si="46">INDIRECT("'"&amp;AG41&amp;"'!"&amp;"G5")</f>
        <v>0</v>
      </c>
      <c r="BQ41" s="3">
        <f t="shared" ref="BQ41:BQ53" ca="1" si="47">INDIRECT("'"&amp;AG41&amp;"'!"&amp;"G4")</f>
        <v>84.313999999999993</v>
      </c>
      <c r="BR41" s="3">
        <f t="shared" ref="BR41:BR53" ca="1" si="48">INDIRECT("'"&amp;AG41&amp;"'!"&amp;"G6")</f>
        <v>0</v>
      </c>
      <c r="BS41" s="3">
        <f t="shared" ref="BS41:BS53" ca="1" si="49">INDIRECT("'"&amp;AG41&amp;"'!"&amp;"G2")</f>
        <v>10</v>
      </c>
      <c r="BT41" s="3">
        <f t="shared" ref="BT41:BT53" ca="1" si="50">INDIRECT("'"&amp;AG41&amp;"'!"&amp;"G3")</f>
        <v>0</v>
      </c>
      <c r="BU41" s="3">
        <v>0</v>
      </c>
      <c r="BV41" s="3">
        <f t="shared" ref="BV41:BV53" ca="1" si="51">IF(OR(BP41=0,AP41=0),0,1/(1/(BP41*$BW$3)+1/(BP41*AP41)+1/(BP41*$BW$4)))</f>
        <v>0</v>
      </c>
      <c r="BW41" s="3">
        <f t="shared" ref="BW41:BW53" ca="1" si="52">IF(OR(BQ41=0,AQ41=0),0,1/(1/(BQ41*$BW$3)+1/(BQ41*AQ41)+1/(BQ41*$BW$4)))</f>
        <v>190.06608448415921</v>
      </c>
      <c r="BX41" s="3">
        <f t="shared" ref="BX41:BX53" ca="1" si="53">IF(OR(BR41=0,AR41=0),0,1/(1/(BR41*$BW$3)+1/(BR41*AR41)+1/(BR41*$BW$4)))</f>
        <v>0</v>
      </c>
      <c r="BY41" s="3">
        <f t="shared" ref="BY41:BY53" ca="1" si="54">IF(OR(BS41=0,AS41=0),0,1/(1/(BS41*$BW$5)+1/(BS41*AS41)+1/(BS41*$BW$6)))</f>
        <v>19.999999991999999</v>
      </c>
      <c r="BZ41" s="3">
        <f t="shared" ref="BZ41:BZ53" ca="1" si="55">IF(OR(BT41=0,AT41=0),0,1/(1/(BT41*$BW$3)+1/(BT41*AT41)+1/(BT41*$BW$4)))</f>
        <v>0</v>
      </c>
      <c r="CA41" s="3">
        <f t="shared" ref="CA41:CA53" si="56">IF(OR(BU41=0,AU41=0),0,1/(1/(BU41*$BW$3)+1/(BU41*AU41)+1/(BU41*$BW$4)))</f>
        <v>0</v>
      </c>
      <c r="CB41" s="1018">
        <f ca="1">SUM(BV41:CA41)+(BP41+BQ41+BR41+BS41+BT41)*BL41</f>
        <v>210.0660844761592</v>
      </c>
      <c r="CC41" s="1018">
        <f ca="1">0.34*BM41*(1/25)^0.66*(BQ41+BS41+BT41)</f>
        <v>57.095376884597556</v>
      </c>
      <c r="CD41" s="3">
        <f t="shared" ca="1" si="22"/>
        <v>8.0148438408227047</v>
      </c>
      <c r="CE41" s="3">
        <f t="shared" ca="1" si="23"/>
        <v>13344.394401216168</v>
      </c>
    </row>
    <row r="42" spans="4:83" s="3" customFormat="1" x14ac:dyDescent="0.25">
      <c r="D42" s="6"/>
      <c r="F42" s="6"/>
      <c r="G42" s="6"/>
      <c r="H42" s="8"/>
      <c r="I42" s="6"/>
      <c r="J42" s="6"/>
      <c r="K42" s="6"/>
      <c r="L42" s="6"/>
      <c r="M42" s="6"/>
      <c r="N42" s="6"/>
      <c r="O42" s="2" t="s">
        <v>7</v>
      </c>
      <c r="P42" s="4"/>
      <c r="Q42" s="1"/>
      <c r="R42" s="79"/>
      <c r="S42" s="876"/>
      <c r="T42" s="199"/>
      <c r="U42" s="200"/>
      <c r="V42" s="176">
        <f t="shared" ref="V42:V53" si="57">U28-V28</f>
        <v>0</v>
      </c>
      <c r="W42" s="176">
        <f>V42/Calculation_sheet!M$67</f>
        <v>0</v>
      </c>
      <c r="X42" s="958">
        <f ca="1">IF(AL42&gt;0,W42*Calculation_sheet!C$87,0)</f>
        <v>0</v>
      </c>
      <c r="Y42" s="176">
        <f t="shared" ref="Y42:Y53" ca="1" si="58">W42-X42</f>
        <v>0</v>
      </c>
      <c r="Z42" s="176">
        <f>IF(AN42&gt;0,Y42*Calculation_sheet!C$94,0)</f>
        <v>0</v>
      </c>
      <c r="AA42" s="958">
        <f t="shared" ca="1" si="43"/>
        <v>0</v>
      </c>
      <c r="AB42" s="176">
        <f ca="1">AA42*Calculation_sheet!C$99</f>
        <v>0</v>
      </c>
      <c r="AC42" s="958">
        <f t="shared" ca="1" si="43"/>
        <v>0</v>
      </c>
      <c r="AD42" s="176">
        <f t="shared" ref="AD42:AD53" si="59">W42-Z42</f>
        <v>0</v>
      </c>
      <c r="AE42" s="176">
        <f>AD42*User_sheet!B$77/100</f>
        <v>0</v>
      </c>
      <c r="AF42" s="309"/>
      <c r="AG42" s="27">
        <v>401</v>
      </c>
      <c r="AH42" s="985"/>
      <c r="AI42" s="956">
        <f t="shared" ca="1" si="19"/>
        <v>210.0660844761592</v>
      </c>
      <c r="AJ42" s="956">
        <f ca="1">AI42/'401'!I$24</f>
        <v>1.0976730615243409</v>
      </c>
      <c r="AK42" s="956">
        <f ca="1">0.8*(AI42*30+'401'!D$17*0.34*30*1)</f>
        <v>7655.3523474278227</v>
      </c>
      <c r="AL42" s="954">
        <f ca="1">IF(AK42&lt;User_sheet!B$50,W42,0)</f>
        <v>0</v>
      </c>
      <c r="AM42" s="954">
        <f ca="1">20-(User_sheet!B$57/(AI42+'401'!D$17*1*0.34))</f>
        <v>2.1301497577751007</v>
      </c>
      <c r="AN42" s="954"/>
      <c r="AO42" s="985"/>
      <c r="AP42" s="2">
        <v>0</v>
      </c>
      <c r="AQ42" s="2">
        <v>3.7</v>
      </c>
      <c r="AR42" s="2">
        <v>0</v>
      </c>
      <c r="AS42" s="27">
        <v>2</v>
      </c>
      <c r="AT42" s="2">
        <v>0</v>
      </c>
      <c r="AU42" s="2">
        <v>0</v>
      </c>
      <c r="AV42" s="2">
        <v>76466.30421774846</v>
      </c>
      <c r="AW42" s="2">
        <v>0</v>
      </c>
      <c r="AX42" s="2">
        <v>0</v>
      </c>
      <c r="AY42" s="2">
        <v>0</v>
      </c>
      <c r="AZ42" s="50">
        <v>0.6</v>
      </c>
      <c r="BA42" s="34">
        <v>1</v>
      </c>
      <c r="BB42" s="34">
        <v>0</v>
      </c>
      <c r="BC42" s="40">
        <v>0</v>
      </c>
      <c r="BD42" s="34">
        <v>1</v>
      </c>
      <c r="BE42" s="34">
        <v>0</v>
      </c>
      <c r="BF42" s="40">
        <v>0</v>
      </c>
      <c r="BG42" s="34">
        <v>1</v>
      </c>
      <c r="BH42" s="40">
        <v>0</v>
      </c>
      <c r="BI42" s="34">
        <v>0</v>
      </c>
      <c r="BJ42" s="34">
        <v>0</v>
      </c>
      <c r="BK42" s="40">
        <v>1</v>
      </c>
      <c r="BL42" s="958">
        <v>0</v>
      </c>
      <c r="BM42" s="958">
        <v>14.9</v>
      </c>
      <c r="BN42" s="37">
        <f t="shared" ca="1" si="44"/>
        <v>97.065000000000012</v>
      </c>
      <c r="BO42" s="3">
        <f t="shared" ca="1" si="45"/>
        <v>307.37190000000004</v>
      </c>
      <c r="BP42" s="3">
        <f t="shared" ca="1" si="46"/>
        <v>0</v>
      </c>
      <c r="BQ42" s="3">
        <f t="shared" ca="1" si="47"/>
        <v>84.313999999999993</v>
      </c>
      <c r="BR42" s="3">
        <f t="shared" ca="1" si="48"/>
        <v>0</v>
      </c>
      <c r="BS42" s="3">
        <f t="shared" ca="1" si="49"/>
        <v>10</v>
      </c>
      <c r="BT42" s="3">
        <f t="shared" ca="1" si="50"/>
        <v>0</v>
      </c>
      <c r="BU42" s="3">
        <v>0</v>
      </c>
      <c r="BV42" s="3">
        <f t="shared" ca="1" si="51"/>
        <v>0</v>
      </c>
      <c r="BW42" s="3">
        <f t="shared" ca="1" si="52"/>
        <v>190.06608448415921</v>
      </c>
      <c r="BX42" s="3">
        <f t="shared" ca="1" si="53"/>
        <v>0</v>
      </c>
      <c r="BY42" s="3">
        <f t="shared" ca="1" si="54"/>
        <v>19.999999991999999</v>
      </c>
      <c r="BZ42" s="3">
        <f t="shared" ca="1" si="55"/>
        <v>0</v>
      </c>
      <c r="CA42" s="3">
        <f t="shared" si="56"/>
        <v>0</v>
      </c>
      <c r="CB42" s="1018">
        <f t="shared" ref="CB42:CB53" ca="1" si="60">SUM(BV42:CA42)+(BP42+BQ42+BR42+BS42+BT42)*BL42</f>
        <v>210.0660844761592</v>
      </c>
      <c r="CC42" s="1018">
        <f t="shared" ref="CC42:CC53" ca="1" si="61">0.34*BM42*(1/25)^0.66*(BQ42+BS42+BT42)</f>
        <v>57.095376884597556</v>
      </c>
      <c r="CD42" s="3">
        <f t="shared" ca="1" si="22"/>
        <v>8.0148438408227047</v>
      </c>
      <c r="CE42" s="3">
        <f t="shared" ca="1" si="23"/>
        <v>13344.394401216168</v>
      </c>
    </row>
    <row r="43" spans="4:83" s="3" customFormat="1" x14ac:dyDescent="0.25">
      <c r="D43" s="6"/>
      <c r="F43" s="6"/>
      <c r="G43" s="6"/>
      <c r="H43" s="8"/>
      <c r="I43" s="6"/>
      <c r="J43" s="6"/>
      <c r="K43" s="6" t="s">
        <v>58</v>
      </c>
      <c r="L43" s="4"/>
      <c r="M43" s="6" t="s">
        <v>61</v>
      </c>
      <c r="N43" s="4"/>
      <c r="O43" s="2" t="s">
        <v>16</v>
      </c>
      <c r="P43" s="4"/>
      <c r="Q43" s="1"/>
      <c r="R43" s="79"/>
      <c r="S43" s="876"/>
      <c r="T43" s="199"/>
      <c r="U43" s="200"/>
      <c r="V43" s="176">
        <f t="shared" si="57"/>
        <v>0</v>
      </c>
      <c r="W43" s="176">
        <f>V43/Calculation_sheet!M$67</f>
        <v>0</v>
      </c>
      <c r="X43" s="958">
        <f ca="1">IF(AL43&gt;0,W43*Calculation_sheet!C$87,0)</f>
        <v>0</v>
      </c>
      <c r="Y43" s="176">
        <f t="shared" ca="1" si="58"/>
        <v>0</v>
      </c>
      <c r="Z43" s="176">
        <f>IF(AN43&gt;0,Y43*Calculation_sheet!C$94,0)</f>
        <v>0</v>
      </c>
      <c r="AA43" s="958">
        <f t="shared" ca="1" si="43"/>
        <v>0</v>
      </c>
      <c r="AB43" s="176">
        <f ca="1">AA43*Calculation_sheet!C$99</f>
        <v>0</v>
      </c>
      <c r="AC43" s="958">
        <f t="shared" ca="1" si="43"/>
        <v>0</v>
      </c>
      <c r="AD43" s="176">
        <f t="shared" si="59"/>
        <v>0</v>
      </c>
      <c r="AE43" s="176">
        <f>AD43*User_sheet!B$77/100</f>
        <v>0</v>
      </c>
      <c r="AF43" s="309"/>
      <c r="AG43" s="27">
        <v>401</v>
      </c>
      <c r="AH43" s="985"/>
      <c r="AI43" s="956">
        <f t="shared" ca="1" si="19"/>
        <v>210.0660844761592</v>
      </c>
      <c r="AJ43" s="956">
        <f ca="1">AI43/'401'!I$24</f>
        <v>1.0976730615243409</v>
      </c>
      <c r="AK43" s="956">
        <f ca="1">0.8*(AI43*30+'401'!D$17*0.34*30*1)</f>
        <v>7655.3523474278227</v>
      </c>
      <c r="AL43" s="954">
        <f ca="1">IF(AK43&lt;User_sheet!B$50,W43,0)</f>
        <v>0</v>
      </c>
      <c r="AM43" s="954">
        <f ca="1">20-(User_sheet!B$57/(AI43+'401'!D$17*1*0.34))</f>
        <v>2.1301497577751007</v>
      </c>
      <c r="AN43" s="954"/>
      <c r="AO43" s="985"/>
      <c r="AP43" s="2">
        <v>0</v>
      </c>
      <c r="AQ43" s="2">
        <v>3.7</v>
      </c>
      <c r="AR43" s="2">
        <v>0</v>
      </c>
      <c r="AS43" s="27">
        <v>2</v>
      </c>
      <c r="AT43" s="2">
        <v>0</v>
      </c>
      <c r="AU43" s="2">
        <v>0</v>
      </c>
      <c r="AV43" s="2">
        <v>76466.30421774846</v>
      </c>
      <c r="AW43" s="2">
        <v>0</v>
      </c>
      <c r="AX43" s="2">
        <v>0</v>
      </c>
      <c r="AY43" s="2">
        <v>0</v>
      </c>
      <c r="AZ43" s="50">
        <v>0.6</v>
      </c>
      <c r="BA43" s="34">
        <v>1</v>
      </c>
      <c r="BB43" s="34">
        <v>0</v>
      </c>
      <c r="BC43" s="40">
        <v>0</v>
      </c>
      <c r="BD43" s="34">
        <v>1</v>
      </c>
      <c r="BE43" s="34">
        <v>0</v>
      </c>
      <c r="BF43" s="40">
        <v>0</v>
      </c>
      <c r="BG43" s="34">
        <v>0</v>
      </c>
      <c r="BH43" s="40">
        <v>1</v>
      </c>
      <c r="BI43" s="34">
        <v>1</v>
      </c>
      <c r="BJ43" s="34">
        <v>0</v>
      </c>
      <c r="BK43" s="40">
        <v>0</v>
      </c>
      <c r="BL43" s="958">
        <v>0</v>
      </c>
      <c r="BM43" s="958">
        <v>14.9</v>
      </c>
      <c r="BN43" s="37">
        <f t="shared" ca="1" si="44"/>
        <v>97.065000000000012</v>
      </c>
      <c r="BO43" s="3">
        <f t="shared" ca="1" si="45"/>
        <v>307.37190000000004</v>
      </c>
      <c r="BP43" s="3">
        <f t="shared" ca="1" si="46"/>
        <v>0</v>
      </c>
      <c r="BQ43" s="3">
        <f t="shared" ca="1" si="47"/>
        <v>84.313999999999993</v>
      </c>
      <c r="BR43" s="3">
        <f t="shared" ca="1" si="48"/>
        <v>0</v>
      </c>
      <c r="BS43" s="3">
        <f t="shared" ca="1" si="49"/>
        <v>10</v>
      </c>
      <c r="BT43" s="3">
        <f t="shared" ca="1" si="50"/>
        <v>0</v>
      </c>
      <c r="BU43" s="3">
        <v>0</v>
      </c>
      <c r="BV43" s="3">
        <f t="shared" ca="1" si="51"/>
        <v>0</v>
      </c>
      <c r="BW43" s="3">
        <f t="shared" ca="1" si="52"/>
        <v>190.06608448415921</v>
      </c>
      <c r="BX43" s="3">
        <f t="shared" ca="1" si="53"/>
        <v>0</v>
      </c>
      <c r="BY43" s="3">
        <f t="shared" ca="1" si="54"/>
        <v>19.999999991999999</v>
      </c>
      <c r="BZ43" s="3">
        <f t="shared" ca="1" si="55"/>
        <v>0</v>
      </c>
      <c r="CA43" s="3">
        <f t="shared" si="56"/>
        <v>0</v>
      </c>
      <c r="CB43" s="1018">
        <f t="shared" ca="1" si="60"/>
        <v>210.0660844761592</v>
      </c>
      <c r="CC43" s="1018">
        <f t="shared" ca="1" si="61"/>
        <v>57.095376884597556</v>
      </c>
      <c r="CD43" s="3">
        <f t="shared" ca="1" si="22"/>
        <v>8.0148438408227047</v>
      </c>
      <c r="CE43" s="3">
        <f t="shared" ca="1" si="23"/>
        <v>13344.394401216168</v>
      </c>
    </row>
    <row r="44" spans="4:83" x14ac:dyDescent="0.25">
      <c r="D44" s="1"/>
      <c r="F44" s="1"/>
      <c r="H44" s="8"/>
      <c r="I44" s="6" t="s">
        <v>16</v>
      </c>
      <c r="J44" s="4"/>
      <c r="K44" s="6"/>
      <c r="L44" s="6"/>
      <c r="M44" s="6"/>
      <c r="N44" s="6"/>
      <c r="O44" s="2" t="s">
        <v>7</v>
      </c>
      <c r="P44" s="4"/>
      <c r="Q44" s="1"/>
      <c r="R44" s="79"/>
      <c r="S44" s="876"/>
      <c r="U44" s="200"/>
      <c r="V44" s="176">
        <f t="shared" si="57"/>
        <v>0</v>
      </c>
      <c r="W44" s="176">
        <f>V44/Calculation_sheet!M$67</f>
        <v>0</v>
      </c>
      <c r="X44" s="958">
        <f ca="1">IF(AL44&gt;0,W44*Calculation_sheet!C$87,0)</f>
        <v>0</v>
      </c>
      <c r="Y44" s="176">
        <f t="shared" ca="1" si="58"/>
        <v>0</v>
      </c>
      <c r="Z44" s="176">
        <f>IF(AN44&gt;0,Y44*Calculation_sheet!C$94,0)</f>
        <v>0</v>
      </c>
      <c r="AA44" s="958">
        <f t="shared" ca="1" si="43"/>
        <v>0</v>
      </c>
      <c r="AB44" s="176">
        <f ca="1">AA44*Calculation_sheet!C$99</f>
        <v>0</v>
      </c>
      <c r="AC44" s="958">
        <f t="shared" ca="1" si="43"/>
        <v>0</v>
      </c>
      <c r="AD44" s="176">
        <f t="shared" si="59"/>
        <v>0</v>
      </c>
      <c r="AE44" s="176">
        <f>AD44*User_sheet!B$77/100</f>
        <v>0</v>
      </c>
      <c r="AF44" s="309"/>
      <c r="AG44" s="27">
        <v>401</v>
      </c>
      <c r="AH44" s="985"/>
      <c r="AI44" s="956">
        <f t="shared" ca="1" si="19"/>
        <v>210.0660844761592</v>
      </c>
      <c r="AJ44" s="956">
        <f ca="1">AI44/'401'!I$24</f>
        <v>1.0976730615243409</v>
      </c>
      <c r="AK44" s="956">
        <f ca="1">0.8*(AI44*30+'401'!D$17*0.34*30*1)</f>
        <v>7655.3523474278227</v>
      </c>
      <c r="AL44" s="954">
        <f ca="1">IF(AK44&lt;User_sheet!B$50,W44,0)</f>
        <v>0</v>
      </c>
      <c r="AM44" s="954">
        <f ca="1">20-(User_sheet!B$57/(AI44+'401'!D$17*1*0.34))</f>
        <v>2.1301497577751007</v>
      </c>
      <c r="AN44" s="954"/>
      <c r="AO44" s="985"/>
      <c r="AP44" s="2">
        <v>0</v>
      </c>
      <c r="AQ44" s="2">
        <v>3.7</v>
      </c>
      <c r="AR44" s="2">
        <v>0</v>
      </c>
      <c r="AS44" s="27">
        <v>2</v>
      </c>
      <c r="AT44" s="2">
        <v>0</v>
      </c>
      <c r="AU44" s="2">
        <v>0</v>
      </c>
      <c r="AV44" s="2">
        <v>76466.30421774846</v>
      </c>
      <c r="AW44" s="2">
        <v>0</v>
      </c>
      <c r="AX44" s="2">
        <v>0</v>
      </c>
      <c r="AY44" s="2">
        <v>0</v>
      </c>
      <c r="AZ44" s="50">
        <v>0.6</v>
      </c>
      <c r="BA44" s="34">
        <v>1</v>
      </c>
      <c r="BB44" s="34">
        <v>0</v>
      </c>
      <c r="BC44" s="40">
        <v>0</v>
      </c>
      <c r="BD44" s="34">
        <v>1</v>
      </c>
      <c r="BE44" s="34">
        <v>0</v>
      </c>
      <c r="BF44" s="40">
        <v>0</v>
      </c>
      <c r="BG44" s="34">
        <v>0</v>
      </c>
      <c r="BH44" s="40">
        <v>1</v>
      </c>
      <c r="BI44" s="34">
        <v>0</v>
      </c>
      <c r="BJ44" s="34">
        <v>0</v>
      </c>
      <c r="BK44" s="40">
        <v>1</v>
      </c>
      <c r="BL44" s="958">
        <v>0</v>
      </c>
      <c r="BM44" s="958">
        <v>14.9</v>
      </c>
      <c r="BN44" s="32">
        <f t="shared" ca="1" si="44"/>
        <v>97.065000000000012</v>
      </c>
      <c r="BO44">
        <f t="shared" ca="1" si="45"/>
        <v>307.37190000000004</v>
      </c>
      <c r="BP44">
        <f t="shared" ca="1" si="46"/>
        <v>0</v>
      </c>
      <c r="BQ44">
        <f t="shared" ca="1" si="47"/>
        <v>84.313999999999993</v>
      </c>
      <c r="BR44">
        <f t="shared" ca="1" si="48"/>
        <v>0</v>
      </c>
      <c r="BS44">
        <f t="shared" ca="1" si="49"/>
        <v>10</v>
      </c>
      <c r="BT44">
        <f t="shared" ca="1" si="50"/>
        <v>0</v>
      </c>
      <c r="BU44">
        <v>0</v>
      </c>
      <c r="BV44">
        <f t="shared" ca="1" si="51"/>
        <v>0</v>
      </c>
      <c r="BW44">
        <f t="shared" ca="1" si="52"/>
        <v>190.06608448415921</v>
      </c>
      <c r="BX44">
        <f t="shared" ca="1" si="53"/>
        <v>0</v>
      </c>
      <c r="BY44">
        <f t="shared" ca="1" si="54"/>
        <v>19.999999991999999</v>
      </c>
      <c r="BZ44">
        <f t="shared" ca="1" si="55"/>
        <v>0</v>
      </c>
      <c r="CA44">
        <f t="shared" si="56"/>
        <v>0</v>
      </c>
      <c r="CB44" s="1018">
        <f t="shared" ca="1" si="60"/>
        <v>210.0660844761592</v>
      </c>
      <c r="CC44" s="1018">
        <f t="shared" ca="1" si="61"/>
        <v>57.095376884597556</v>
      </c>
      <c r="CD44">
        <f t="shared" ca="1" si="22"/>
        <v>8.0148438408227047</v>
      </c>
      <c r="CE44">
        <f t="shared" ca="1" si="23"/>
        <v>13344.394401216168</v>
      </c>
    </row>
    <row r="45" spans="4:83" x14ac:dyDescent="0.25">
      <c r="D45" s="1"/>
      <c r="F45" s="1"/>
      <c r="H45" s="8"/>
      <c r="I45" s="6"/>
      <c r="J45" s="6"/>
      <c r="K45" s="6" t="s">
        <v>59</v>
      </c>
      <c r="L45" s="4"/>
      <c r="M45" s="6"/>
      <c r="N45" s="6"/>
      <c r="O45" s="27" t="s">
        <v>16</v>
      </c>
      <c r="P45" s="4"/>
      <c r="Q45" s="1"/>
      <c r="R45" s="79"/>
      <c r="S45" s="876"/>
      <c r="U45" s="200"/>
      <c r="V45" s="176">
        <f t="shared" si="57"/>
        <v>0</v>
      </c>
      <c r="W45" s="176">
        <f>V45/Calculation_sheet!M$67</f>
        <v>0</v>
      </c>
      <c r="X45" s="958">
        <f ca="1">IF(AL45&gt;0,W45*Calculation_sheet!C$87,0)</f>
        <v>0</v>
      </c>
      <c r="Y45" s="176">
        <f t="shared" ca="1" si="58"/>
        <v>0</v>
      </c>
      <c r="Z45" s="176">
        <f>IF(AN45&gt;0,Y45*Calculation_sheet!C$94,0)</f>
        <v>0</v>
      </c>
      <c r="AA45" s="958">
        <f t="shared" ca="1" si="43"/>
        <v>0</v>
      </c>
      <c r="AB45" s="176">
        <f ca="1">AA45*Calculation_sheet!C$99</f>
        <v>0</v>
      </c>
      <c r="AC45" s="958">
        <f t="shared" ca="1" si="43"/>
        <v>0</v>
      </c>
      <c r="AD45" s="176">
        <f t="shared" si="59"/>
        <v>0</v>
      </c>
      <c r="AE45" s="176">
        <f>AD45*User_sheet!B$77/100</f>
        <v>0</v>
      </c>
      <c r="AF45" s="309"/>
      <c r="AG45" s="27">
        <v>401</v>
      </c>
      <c r="AH45" s="985"/>
      <c r="AI45" s="956">
        <f t="shared" ca="1" si="19"/>
        <v>210.0660844761592</v>
      </c>
      <c r="AJ45" s="956">
        <f ca="1">AI45/'401'!I$24</f>
        <v>1.0976730615243409</v>
      </c>
      <c r="AK45" s="956">
        <f ca="1">0.8*(AI45*30+'401'!D$17*0.34*30*1)</f>
        <v>7655.3523474278227</v>
      </c>
      <c r="AL45" s="954">
        <f ca="1">IF(AK45&lt;User_sheet!B$50,W45,0)</f>
        <v>0</v>
      </c>
      <c r="AM45" s="954">
        <f ca="1">20-(User_sheet!B$57/(AI45+'401'!D$17*1*0.34))</f>
        <v>2.1301497577751007</v>
      </c>
      <c r="AN45" s="954"/>
      <c r="AO45" s="985"/>
      <c r="AP45" s="2">
        <v>0</v>
      </c>
      <c r="AQ45" s="2">
        <v>3.7</v>
      </c>
      <c r="AR45" s="2">
        <v>0</v>
      </c>
      <c r="AS45" s="27">
        <v>2</v>
      </c>
      <c r="AT45" s="2">
        <v>0</v>
      </c>
      <c r="AU45" s="2">
        <v>0</v>
      </c>
      <c r="AV45" s="2">
        <v>76466.30421774846</v>
      </c>
      <c r="AW45" s="2">
        <v>0</v>
      </c>
      <c r="AX45" s="2">
        <v>0</v>
      </c>
      <c r="AY45" s="2">
        <v>0</v>
      </c>
      <c r="AZ45" s="50">
        <v>0.6</v>
      </c>
      <c r="BA45" s="34">
        <v>1</v>
      </c>
      <c r="BB45" s="34">
        <v>0</v>
      </c>
      <c r="BC45" s="40">
        <v>0</v>
      </c>
      <c r="BD45" s="34">
        <v>0</v>
      </c>
      <c r="BE45" s="34">
        <v>1</v>
      </c>
      <c r="BF45" s="40">
        <v>0</v>
      </c>
      <c r="BG45" s="34">
        <v>1</v>
      </c>
      <c r="BH45" s="40">
        <v>0</v>
      </c>
      <c r="BI45" s="34">
        <v>1</v>
      </c>
      <c r="BJ45" s="34">
        <v>0</v>
      </c>
      <c r="BK45" s="40">
        <v>0</v>
      </c>
      <c r="BL45" s="958">
        <v>0</v>
      </c>
      <c r="BM45" s="958">
        <v>14.9</v>
      </c>
      <c r="BN45" s="32">
        <f t="shared" ca="1" si="44"/>
        <v>97.065000000000012</v>
      </c>
      <c r="BO45">
        <f t="shared" ca="1" si="45"/>
        <v>307.37190000000004</v>
      </c>
      <c r="BP45">
        <f t="shared" ca="1" si="46"/>
        <v>0</v>
      </c>
      <c r="BQ45">
        <f t="shared" ca="1" si="47"/>
        <v>84.313999999999993</v>
      </c>
      <c r="BR45">
        <f t="shared" ca="1" si="48"/>
        <v>0</v>
      </c>
      <c r="BS45">
        <f t="shared" ca="1" si="49"/>
        <v>10</v>
      </c>
      <c r="BT45">
        <f t="shared" ca="1" si="50"/>
        <v>0</v>
      </c>
      <c r="BU45">
        <v>0</v>
      </c>
      <c r="BV45">
        <f t="shared" ca="1" si="51"/>
        <v>0</v>
      </c>
      <c r="BW45">
        <f t="shared" ca="1" si="52"/>
        <v>190.06608448415921</v>
      </c>
      <c r="BX45">
        <f t="shared" ca="1" si="53"/>
        <v>0</v>
      </c>
      <c r="BY45">
        <f t="shared" ca="1" si="54"/>
        <v>19.999999991999999</v>
      </c>
      <c r="BZ45">
        <f t="shared" ca="1" si="55"/>
        <v>0</v>
      </c>
      <c r="CA45">
        <f t="shared" si="56"/>
        <v>0</v>
      </c>
      <c r="CB45" s="1018">
        <f t="shared" ca="1" si="60"/>
        <v>210.0660844761592</v>
      </c>
      <c r="CC45" s="1018">
        <f t="shared" ca="1" si="61"/>
        <v>57.095376884597556</v>
      </c>
      <c r="CD45">
        <f t="shared" ca="1" si="22"/>
        <v>8.0148438408227047</v>
      </c>
      <c r="CE45">
        <f t="shared" ca="1" si="23"/>
        <v>13344.394401216168</v>
      </c>
    </row>
    <row r="46" spans="4:83" x14ac:dyDescent="0.25">
      <c r="D46" s="1"/>
      <c r="F46" s="3" t="s">
        <v>144</v>
      </c>
      <c r="H46" s="8"/>
      <c r="I46" s="6"/>
      <c r="J46" s="6"/>
      <c r="K46" s="6"/>
      <c r="L46" s="6"/>
      <c r="M46" s="6"/>
      <c r="N46" s="6"/>
      <c r="O46" s="27" t="s">
        <v>7</v>
      </c>
      <c r="P46" s="4"/>
      <c r="Q46" s="1"/>
      <c r="R46" s="79"/>
      <c r="S46" s="876"/>
      <c r="U46" s="200"/>
      <c r="V46" s="176">
        <f t="shared" si="57"/>
        <v>0</v>
      </c>
      <c r="W46" s="176">
        <f>V46/Calculation_sheet!M$67</f>
        <v>0</v>
      </c>
      <c r="X46" s="958">
        <f ca="1">IF(AL46&gt;0,W46*Calculation_sheet!C$87,0)</f>
        <v>0</v>
      </c>
      <c r="Y46" s="176">
        <f t="shared" ca="1" si="58"/>
        <v>0</v>
      </c>
      <c r="Z46" s="176">
        <f>IF(AN46&gt;0,Y46*Calculation_sheet!C$94,0)</f>
        <v>0</v>
      </c>
      <c r="AA46" s="958">
        <f t="shared" ca="1" si="43"/>
        <v>0</v>
      </c>
      <c r="AB46" s="176">
        <f ca="1">AA46*Calculation_sheet!C$99</f>
        <v>0</v>
      </c>
      <c r="AC46" s="958">
        <f t="shared" ca="1" si="43"/>
        <v>0</v>
      </c>
      <c r="AD46" s="176">
        <f t="shared" si="59"/>
        <v>0</v>
      </c>
      <c r="AE46" s="176">
        <f>AD46*User_sheet!B$77/100</f>
        <v>0</v>
      </c>
      <c r="AF46" s="309"/>
      <c r="AG46" s="27">
        <v>401</v>
      </c>
      <c r="AH46" s="985"/>
      <c r="AI46" s="956">
        <f t="shared" ca="1" si="19"/>
        <v>210.0660844761592</v>
      </c>
      <c r="AJ46" s="956">
        <f ca="1">AI46/'401'!I$24</f>
        <v>1.0976730615243409</v>
      </c>
      <c r="AK46" s="956">
        <f ca="1">0.8*(AI46*30+'401'!D$17*0.34*30*1)</f>
        <v>7655.3523474278227</v>
      </c>
      <c r="AL46" s="954">
        <f ca="1">IF(AK46&lt;User_sheet!B$50,W46,0)</f>
        <v>0</v>
      </c>
      <c r="AM46" s="954">
        <f ca="1">20-(User_sheet!B$57/(AI46+'401'!D$17*1*0.34))</f>
        <v>2.1301497577751007</v>
      </c>
      <c r="AN46" s="954"/>
      <c r="AO46" s="985"/>
      <c r="AP46" s="2">
        <v>0</v>
      </c>
      <c r="AQ46" s="2">
        <v>3.7</v>
      </c>
      <c r="AR46" s="2">
        <v>0</v>
      </c>
      <c r="AS46" s="27">
        <v>2</v>
      </c>
      <c r="AT46" s="2">
        <v>0</v>
      </c>
      <c r="AU46" s="2">
        <v>0</v>
      </c>
      <c r="AV46" s="2">
        <v>76466.30421774846</v>
      </c>
      <c r="AW46" s="2">
        <v>0</v>
      </c>
      <c r="AX46" s="2">
        <v>0</v>
      </c>
      <c r="AY46" s="2">
        <v>0</v>
      </c>
      <c r="AZ46" s="50">
        <v>0.6</v>
      </c>
      <c r="BA46" s="34">
        <v>1</v>
      </c>
      <c r="BB46" s="34">
        <v>0</v>
      </c>
      <c r="BC46" s="40">
        <v>0</v>
      </c>
      <c r="BD46" s="34">
        <v>0</v>
      </c>
      <c r="BE46" s="34">
        <v>1</v>
      </c>
      <c r="BF46" s="40">
        <v>0</v>
      </c>
      <c r="BG46" s="34">
        <v>1</v>
      </c>
      <c r="BH46" s="40">
        <v>0</v>
      </c>
      <c r="BI46" s="34">
        <v>0</v>
      </c>
      <c r="BJ46" s="34">
        <v>0</v>
      </c>
      <c r="BK46" s="40">
        <v>1</v>
      </c>
      <c r="BL46" s="958">
        <v>0</v>
      </c>
      <c r="BM46" s="958">
        <v>14.9</v>
      </c>
      <c r="BN46" s="32">
        <f t="shared" ca="1" si="44"/>
        <v>97.065000000000012</v>
      </c>
      <c r="BO46">
        <f t="shared" ca="1" si="45"/>
        <v>307.37190000000004</v>
      </c>
      <c r="BP46">
        <f t="shared" ca="1" si="46"/>
        <v>0</v>
      </c>
      <c r="BQ46">
        <f t="shared" ca="1" si="47"/>
        <v>84.313999999999993</v>
      </c>
      <c r="BR46">
        <f t="shared" ca="1" si="48"/>
        <v>0</v>
      </c>
      <c r="BS46">
        <f t="shared" ca="1" si="49"/>
        <v>10</v>
      </c>
      <c r="BT46">
        <f t="shared" ca="1" si="50"/>
        <v>0</v>
      </c>
      <c r="BU46">
        <v>0</v>
      </c>
      <c r="BV46">
        <f t="shared" ca="1" si="51"/>
        <v>0</v>
      </c>
      <c r="BW46">
        <f t="shared" ca="1" si="52"/>
        <v>190.06608448415921</v>
      </c>
      <c r="BX46">
        <f t="shared" ca="1" si="53"/>
        <v>0</v>
      </c>
      <c r="BY46">
        <f t="shared" ca="1" si="54"/>
        <v>19.999999991999999</v>
      </c>
      <c r="BZ46">
        <f t="shared" ca="1" si="55"/>
        <v>0</v>
      </c>
      <c r="CA46">
        <f t="shared" si="56"/>
        <v>0</v>
      </c>
      <c r="CB46" s="1018">
        <f t="shared" ca="1" si="60"/>
        <v>210.0660844761592</v>
      </c>
      <c r="CC46" s="1018">
        <f t="shared" ca="1" si="61"/>
        <v>57.095376884597556</v>
      </c>
      <c r="CD46">
        <f t="shared" ca="1" si="22"/>
        <v>8.0148438408227047</v>
      </c>
      <c r="CE46">
        <f t="shared" ca="1" si="23"/>
        <v>13344.394401216168</v>
      </c>
    </row>
    <row r="47" spans="4:83" x14ac:dyDescent="0.25">
      <c r="D47" s="1"/>
      <c r="F47" s="6" t="s">
        <v>190</v>
      </c>
      <c r="H47" s="8"/>
      <c r="I47" s="6"/>
      <c r="J47" s="6"/>
      <c r="K47" s="6"/>
      <c r="L47" s="6"/>
      <c r="M47" s="6" t="s">
        <v>60</v>
      </c>
      <c r="N47" s="4"/>
      <c r="O47" s="2" t="s">
        <v>57</v>
      </c>
      <c r="P47" s="4"/>
      <c r="Q47" s="1"/>
      <c r="R47" s="79"/>
      <c r="S47" s="876"/>
      <c r="U47" s="200"/>
      <c r="V47" s="176">
        <f t="shared" si="57"/>
        <v>0</v>
      </c>
      <c r="W47" s="176">
        <f>V47/Calculation_sheet!M$67</f>
        <v>0</v>
      </c>
      <c r="X47" s="958">
        <f ca="1">IF(AL47&gt;0,W47*Calculation_sheet!C$87,0)</f>
        <v>0</v>
      </c>
      <c r="Y47" s="176">
        <f t="shared" ca="1" si="58"/>
        <v>0</v>
      </c>
      <c r="Z47" s="176">
        <f>IF(AN47&gt;0,Y47*Calculation_sheet!C$94,0)</f>
        <v>0</v>
      </c>
      <c r="AA47" s="958">
        <f t="shared" ca="1" si="43"/>
        <v>0</v>
      </c>
      <c r="AB47" s="176">
        <f ca="1">AA47*Calculation_sheet!C$99</f>
        <v>0</v>
      </c>
      <c r="AC47" s="958">
        <f t="shared" ca="1" si="43"/>
        <v>0</v>
      </c>
      <c r="AD47" s="176">
        <f t="shared" si="59"/>
        <v>0</v>
      </c>
      <c r="AE47" s="176">
        <f>AD47*User_sheet!B$77/100</f>
        <v>0</v>
      </c>
      <c r="AF47" s="309"/>
      <c r="AG47" s="27">
        <v>401</v>
      </c>
      <c r="AH47" s="985"/>
      <c r="AI47" s="956">
        <f t="shared" ca="1" si="19"/>
        <v>210.0660844761592</v>
      </c>
      <c r="AJ47" s="956">
        <f ca="1">AI47/'401'!I$24</f>
        <v>1.0976730615243409</v>
      </c>
      <c r="AK47" s="956">
        <f ca="1">0.8*(AI47*30+'401'!D$17*0.34*30*1)</f>
        <v>7655.3523474278227</v>
      </c>
      <c r="AL47" s="954">
        <f ca="1">IF(AK47&lt;User_sheet!B$50,W47,0)</f>
        <v>0</v>
      </c>
      <c r="AM47" s="954">
        <f ca="1">20-(User_sheet!B$57/(AI47+'401'!D$17*1*0.34))</f>
        <v>2.1301497577751007</v>
      </c>
      <c r="AN47" s="954"/>
      <c r="AO47" s="985"/>
      <c r="AP47" s="2">
        <v>0</v>
      </c>
      <c r="AQ47" s="2">
        <v>3.7</v>
      </c>
      <c r="AR47" s="2">
        <v>0</v>
      </c>
      <c r="AS47" s="27">
        <v>2</v>
      </c>
      <c r="AT47" s="2">
        <v>0</v>
      </c>
      <c r="AU47" s="2">
        <v>0</v>
      </c>
      <c r="AV47" s="2">
        <v>76466.30421774846</v>
      </c>
      <c r="AW47" s="2">
        <v>0</v>
      </c>
      <c r="AX47" s="2">
        <v>0</v>
      </c>
      <c r="AY47" s="2">
        <v>0</v>
      </c>
      <c r="AZ47" s="50">
        <v>0.6</v>
      </c>
      <c r="BA47" s="34">
        <v>0</v>
      </c>
      <c r="BB47" s="34">
        <v>1</v>
      </c>
      <c r="BC47" s="40">
        <v>0</v>
      </c>
      <c r="BD47" s="34">
        <v>1</v>
      </c>
      <c r="BE47" s="34">
        <v>0</v>
      </c>
      <c r="BF47" s="40">
        <v>0</v>
      </c>
      <c r="BG47" s="34">
        <v>1</v>
      </c>
      <c r="BH47" s="40">
        <v>0</v>
      </c>
      <c r="BI47" s="34">
        <v>0</v>
      </c>
      <c r="BJ47" s="34">
        <v>1</v>
      </c>
      <c r="BK47" s="40">
        <v>0</v>
      </c>
      <c r="BL47" s="958">
        <v>0</v>
      </c>
      <c r="BM47" s="958">
        <v>14.9</v>
      </c>
      <c r="BN47" s="32">
        <f t="shared" ca="1" si="44"/>
        <v>97.065000000000012</v>
      </c>
      <c r="BO47">
        <f t="shared" ca="1" si="45"/>
        <v>307.37190000000004</v>
      </c>
      <c r="BP47">
        <f t="shared" ca="1" si="46"/>
        <v>0</v>
      </c>
      <c r="BQ47">
        <f t="shared" ca="1" si="47"/>
        <v>84.313999999999993</v>
      </c>
      <c r="BR47">
        <f t="shared" ca="1" si="48"/>
        <v>0</v>
      </c>
      <c r="BS47">
        <f t="shared" ca="1" si="49"/>
        <v>10</v>
      </c>
      <c r="BT47">
        <f t="shared" ca="1" si="50"/>
        <v>0</v>
      </c>
      <c r="BU47">
        <v>0</v>
      </c>
      <c r="BV47">
        <f t="shared" ca="1" si="51"/>
        <v>0</v>
      </c>
      <c r="BW47">
        <f t="shared" ca="1" si="52"/>
        <v>190.06608448415921</v>
      </c>
      <c r="BX47">
        <f t="shared" ca="1" si="53"/>
        <v>0</v>
      </c>
      <c r="BY47">
        <f t="shared" ca="1" si="54"/>
        <v>19.999999991999999</v>
      </c>
      <c r="BZ47">
        <f t="shared" ca="1" si="55"/>
        <v>0</v>
      </c>
      <c r="CA47">
        <f t="shared" si="56"/>
        <v>0</v>
      </c>
      <c r="CB47" s="1018">
        <f t="shared" ca="1" si="60"/>
        <v>210.0660844761592</v>
      </c>
      <c r="CC47" s="1018">
        <f t="shared" ca="1" si="61"/>
        <v>57.095376884597556</v>
      </c>
      <c r="CD47">
        <f t="shared" ca="1" si="22"/>
        <v>8.0148438408227047</v>
      </c>
      <c r="CE47">
        <f t="shared" ca="1" si="23"/>
        <v>13344.394401216168</v>
      </c>
    </row>
    <row r="48" spans="4:83" x14ac:dyDescent="0.25">
      <c r="D48" s="1"/>
      <c r="F48" s="1"/>
      <c r="G48" s="6"/>
      <c r="H48" s="8"/>
      <c r="I48" s="6"/>
      <c r="J48" s="6"/>
      <c r="K48" s="6"/>
      <c r="L48" s="6"/>
      <c r="M48" s="6"/>
      <c r="N48" s="6"/>
      <c r="O48" s="2" t="s">
        <v>7</v>
      </c>
      <c r="P48" s="4"/>
      <c r="Q48" s="1"/>
      <c r="R48" s="79"/>
      <c r="S48" s="876"/>
      <c r="U48" s="200"/>
      <c r="V48" s="176">
        <f t="shared" si="57"/>
        <v>0</v>
      </c>
      <c r="W48" s="176">
        <f>V48/Calculation_sheet!M$67</f>
        <v>0</v>
      </c>
      <c r="X48" s="958">
        <f ca="1">IF(AL48&gt;0,W48*Calculation_sheet!C$87,0)</f>
        <v>0</v>
      </c>
      <c r="Y48" s="176">
        <f t="shared" ca="1" si="58"/>
        <v>0</v>
      </c>
      <c r="Z48" s="176">
        <f>IF(AN48&gt;0,Y48*Calculation_sheet!C$94,0)</f>
        <v>0</v>
      </c>
      <c r="AA48" s="958">
        <f t="shared" ca="1" si="43"/>
        <v>0</v>
      </c>
      <c r="AB48" s="176">
        <f ca="1">AA48*Calculation_sheet!C$99</f>
        <v>0</v>
      </c>
      <c r="AC48" s="958">
        <f t="shared" ca="1" si="43"/>
        <v>0</v>
      </c>
      <c r="AD48" s="176">
        <f t="shared" si="59"/>
        <v>0</v>
      </c>
      <c r="AE48" s="176">
        <f>AD48*User_sheet!B$77/100</f>
        <v>0</v>
      </c>
      <c r="AF48" s="309"/>
      <c r="AG48" s="27">
        <v>401</v>
      </c>
      <c r="AH48" s="985"/>
      <c r="AI48" s="956">
        <f t="shared" ca="1" si="19"/>
        <v>210.0660844761592</v>
      </c>
      <c r="AJ48" s="956">
        <f ca="1">AI48/'401'!I$24</f>
        <v>1.0976730615243409</v>
      </c>
      <c r="AK48" s="956">
        <f ca="1">0.8*(AI48*30+'401'!D$17*0.34*30*1)</f>
        <v>7655.3523474278227</v>
      </c>
      <c r="AL48" s="954">
        <f ca="1">IF(AK48&lt;User_sheet!B$50,W48,0)</f>
        <v>0</v>
      </c>
      <c r="AM48" s="954">
        <f ca="1">20-(User_sheet!B$57/(AI48+'401'!D$17*1*0.34))</f>
        <v>2.1301497577751007</v>
      </c>
      <c r="AN48" s="954"/>
      <c r="AO48" s="985"/>
      <c r="AP48" s="2">
        <v>0</v>
      </c>
      <c r="AQ48" s="2">
        <v>3.7</v>
      </c>
      <c r="AR48" s="2">
        <v>0</v>
      </c>
      <c r="AS48" s="27">
        <v>2</v>
      </c>
      <c r="AT48" s="2">
        <v>0</v>
      </c>
      <c r="AU48" s="2">
        <v>0</v>
      </c>
      <c r="AV48" s="2">
        <v>76466.30421774846</v>
      </c>
      <c r="AW48" s="2">
        <v>0</v>
      </c>
      <c r="AX48" s="2">
        <v>0</v>
      </c>
      <c r="AY48" s="2">
        <v>0</v>
      </c>
      <c r="AZ48" s="50">
        <v>0.6</v>
      </c>
      <c r="BA48" s="34">
        <v>0</v>
      </c>
      <c r="BB48" s="34">
        <v>1</v>
      </c>
      <c r="BC48" s="40">
        <v>0</v>
      </c>
      <c r="BD48" s="34">
        <v>1</v>
      </c>
      <c r="BE48" s="34">
        <v>0</v>
      </c>
      <c r="BF48" s="40">
        <v>0</v>
      </c>
      <c r="BG48" s="34">
        <v>1</v>
      </c>
      <c r="BH48" s="40">
        <v>0</v>
      </c>
      <c r="BI48" s="34">
        <v>0</v>
      </c>
      <c r="BJ48" s="34">
        <v>0</v>
      </c>
      <c r="BK48" s="40">
        <v>1</v>
      </c>
      <c r="BL48" s="958">
        <v>0</v>
      </c>
      <c r="BM48" s="958">
        <v>14.9</v>
      </c>
      <c r="BN48" s="32">
        <f t="shared" ca="1" si="44"/>
        <v>97.065000000000012</v>
      </c>
      <c r="BO48">
        <f t="shared" ca="1" si="45"/>
        <v>307.37190000000004</v>
      </c>
      <c r="BP48">
        <f t="shared" ca="1" si="46"/>
        <v>0</v>
      </c>
      <c r="BQ48">
        <f t="shared" ca="1" si="47"/>
        <v>84.313999999999993</v>
      </c>
      <c r="BR48">
        <f t="shared" ca="1" si="48"/>
        <v>0</v>
      </c>
      <c r="BS48">
        <f t="shared" ca="1" si="49"/>
        <v>10</v>
      </c>
      <c r="BT48">
        <f t="shared" ca="1" si="50"/>
        <v>0</v>
      </c>
      <c r="BU48">
        <v>0</v>
      </c>
      <c r="BV48">
        <f t="shared" ca="1" si="51"/>
        <v>0</v>
      </c>
      <c r="BW48">
        <f t="shared" ca="1" si="52"/>
        <v>190.06608448415921</v>
      </c>
      <c r="BX48">
        <f t="shared" ca="1" si="53"/>
        <v>0</v>
      </c>
      <c r="BY48">
        <f t="shared" ca="1" si="54"/>
        <v>19.999999991999999</v>
      </c>
      <c r="BZ48">
        <f t="shared" ca="1" si="55"/>
        <v>0</v>
      </c>
      <c r="CA48">
        <f t="shared" si="56"/>
        <v>0</v>
      </c>
      <c r="CB48" s="1018">
        <f t="shared" ca="1" si="60"/>
        <v>210.0660844761592</v>
      </c>
      <c r="CC48" s="1018">
        <f t="shared" ca="1" si="61"/>
        <v>57.095376884597556</v>
      </c>
      <c r="CD48">
        <f t="shared" ca="1" si="22"/>
        <v>8.0148438408227047</v>
      </c>
      <c r="CE48">
        <f t="shared" ca="1" si="23"/>
        <v>13344.394401216168</v>
      </c>
    </row>
    <row r="49" spans="4:83" x14ac:dyDescent="0.25">
      <c r="D49" s="1"/>
      <c r="F49" s="1"/>
      <c r="G49" s="6"/>
      <c r="H49" s="8"/>
      <c r="I49" s="6"/>
      <c r="J49" s="6"/>
      <c r="K49" s="6" t="s">
        <v>58</v>
      </c>
      <c r="L49" s="4"/>
      <c r="M49" s="6" t="s">
        <v>61</v>
      </c>
      <c r="N49" s="4"/>
      <c r="O49" s="2" t="s">
        <v>57</v>
      </c>
      <c r="P49" s="4"/>
      <c r="Q49" s="1"/>
      <c r="R49" s="79"/>
      <c r="S49" s="876"/>
      <c r="U49" s="200"/>
      <c r="V49" s="176">
        <f t="shared" si="57"/>
        <v>0</v>
      </c>
      <c r="W49" s="176">
        <f>V49/Calculation_sheet!M$67</f>
        <v>0</v>
      </c>
      <c r="X49" s="958">
        <f ca="1">IF(AL49&gt;0,W49*Calculation_sheet!C$87,0)</f>
        <v>0</v>
      </c>
      <c r="Y49" s="176">
        <f t="shared" ca="1" si="58"/>
        <v>0</v>
      </c>
      <c r="Z49" s="176">
        <f>IF(AN49&gt;0,Y49*Calculation_sheet!C$94,0)</f>
        <v>0</v>
      </c>
      <c r="AA49" s="958">
        <f t="shared" ca="1" si="43"/>
        <v>0</v>
      </c>
      <c r="AB49" s="176">
        <f ca="1">AA49*Calculation_sheet!C$99</f>
        <v>0</v>
      </c>
      <c r="AC49" s="958">
        <f t="shared" ca="1" si="43"/>
        <v>0</v>
      </c>
      <c r="AD49" s="176">
        <f t="shared" si="59"/>
        <v>0</v>
      </c>
      <c r="AE49" s="176">
        <f>AD49*User_sheet!B$77/100</f>
        <v>0</v>
      </c>
      <c r="AF49" s="309"/>
      <c r="AG49" s="27">
        <v>401</v>
      </c>
      <c r="AH49" s="985"/>
      <c r="AI49" s="956">
        <f t="shared" ca="1" si="19"/>
        <v>210.0660844761592</v>
      </c>
      <c r="AJ49" s="956">
        <f ca="1">AI49/'401'!I$24</f>
        <v>1.0976730615243409</v>
      </c>
      <c r="AK49" s="956">
        <f ca="1">0.8*(AI49*30+'401'!D$17*0.34*30*1)</f>
        <v>7655.3523474278227</v>
      </c>
      <c r="AL49" s="954">
        <f ca="1">IF(AK49&lt;User_sheet!B$50,W49,0)</f>
        <v>0</v>
      </c>
      <c r="AM49" s="954">
        <f ca="1">20-(User_sheet!B$57/(AI49+'401'!D$17*1*0.34))</f>
        <v>2.1301497577751007</v>
      </c>
      <c r="AN49" s="954"/>
      <c r="AO49" s="985"/>
      <c r="AP49" s="2">
        <v>0</v>
      </c>
      <c r="AQ49" s="2">
        <v>3.7</v>
      </c>
      <c r="AR49" s="2">
        <v>0</v>
      </c>
      <c r="AS49" s="27">
        <v>2</v>
      </c>
      <c r="AT49" s="2">
        <v>0</v>
      </c>
      <c r="AU49" s="2">
        <v>0</v>
      </c>
      <c r="AV49" s="2">
        <v>76466.30421774846</v>
      </c>
      <c r="AW49" s="2">
        <v>0</v>
      </c>
      <c r="AX49" s="2">
        <v>0</v>
      </c>
      <c r="AY49" s="2">
        <v>0</v>
      </c>
      <c r="AZ49" s="50">
        <v>0.6</v>
      </c>
      <c r="BA49" s="34">
        <v>0</v>
      </c>
      <c r="BB49" s="34">
        <v>1</v>
      </c>
      <c r="BC49" s="40">
        <v>0</v>
      </c>
      <c r="BD49" s="34">
        <v>1</v>
      </c>
      <c r="BE49" s="34">
        <v>0</v>
      </c>
      <c r="BF49" s="40">
        <v>0</v>
      </c>
      <c r="BG49" s="34">
        <v>0</v>
      </c>
      <c r="BH49" s="40">
        <v>1</v>
      </c>
      <c r="BI49" s="34">
        <v>0</v>
      </c>
      <c r="BJ49" s="34">
        <v>1</v>
      </c>
      <c r="BK49" s="40">
        <v>0</v>
      </c>
      <c r="BL49" s="958">
        <v>0</v>
      </c>
      <c r="BM49" s="958">
        <v>14.9</v>
      </c>
      <c r="BN49" s="32">
        <f t="shared" ca="1" si="44"/>
        <v>97.065000000000012</v>
      </c>
      <c r="BO49">
        <f t="shared" ca="1" si="45"/>
        <v>307.37190000000004</v>
      </c>
      <c r="BP49">
        <f t="shared" ca="1" si="46"/>
        <v>0</v>
      </c>
      <c r="BQ49">
        <f t="shared" ca="1" si="47"/>
        <v>84.313999999999993</v>
      </c>
      <c r="BR49">
        <f t="shared" ca="1" si="48"/>
        <v>0</v>
      </c>
      <c r="BS49">
        <f t="shared" ca="1" si="49"/>
        <v>10</v>
      </c>
      <c r="BT49">
        <f t="shared" ca="1" si="50"/>
        <v>0</v>
      </c>
      <c r="BU49">
        <v>0</v>
      </c>
      <c r="BV49">
        <f t="shared" ca="1" si="51"/>
        <v>0</v>
      </c>
      <c r="BW49">
        <f t="shared" ca="1" si="52"/>
        <v>190.06608448415921</v>
      </c>
      <c r="BX49">
        <f t="shared" ca="1" si="53"/>
        <v>0</v>
      </c>
      <c r="BY49">
        <f t="shared" ca="1" si="54"/>
        <v>19.999999991999999</v>
      </c>
      <c r="BZ49">
        <f t="shared" ca="1" si="55"/>
        <v>0</v>
      </c>
      <c r="CA49">
        <f t="shared" si="56"/>
        <v>0</v>
      </c>
      <c r="CB49" s="1018">
        <f t="shared" ca="1" si="60"/>
        <v>210.0660844761592</v>
      </c>
      <c r="CC49" s="1018">
        <f t="shared" ca="1" si="61"/>
        <v>57.095376884597556</v>
      </c>
      <c r="CD49">
        <f t="shared" ca="1" si="22"/>
        <v>8.0148438408227047</v>
      </c>
      <c r="CE49">
        <f t="shared" ca="1" si="23"/>
        <v>13344.394401216168</v>
      </c>
    </row>
    <row r="50" spans="4:83" x14ac:dyDescent="0.25">
      <c r="D50" s="1"/>
      <c r="F50" s="1"/>
      <c r="H50" s="1"/>
      <c r="I50" s="6" t="s">
        <v>57</v>
      </c>
      <c r="J50" s="4"/>
      <c r="K50" s="6"/>
      <c r="L50" s="6"/>
      <c r="M50" s="6"/>
      <c r="N50" s="6"/>
      <c r="O50" s="2" t="s">
        <v>7</v>
      </c>
      <c r="P50" s="4"/>
      <c r="Q50" s="1"/>
      <c r="R50" s="79"/>
      <c r="S50" s="876"/>
      <c r="U50" s="200"/>
      <c r="V50" s="176">
        <f t="shared" si="57"/>
        <v>0</v>
      </c>
      <c r="W50" s="176">
        <f>V50/Calculation_sheet!M$67</f>
        <v>0</v>
      </c>
      <c r="X50" s="958">
        <f ca="1">IF(AL50&gt;0,W50*Calculation_sheet!C$87,0)</f>
        <v>0</v>
      </c>
      <c r="Y50" s="176">
        <f t="shared" ca="1" si="58"/>
        <v>0</v>
      </c>
      <c r="Z50" s="176">
        <f>IF(AN50&gt;0,Y50*Calculation_sheet!C$94,0)</f>
        <v>0</v>
      </c>
      <c r="AA50" s="958">
        <f t="shared" ca="1" si="43"/>
        <v>0</v>
      </c>
      <c r="AB50" s="176">
        <f ca="1">AA50*Calculation_sheet!C$99</f>
        <v>0</v>
      </c>
      <c r="AC50" s="958">
        <f t="shared" ca="1" si="43"/>
        <v>0</v>
      </c>
      <c r="AD50" s="176">
        <f t="shared" si="59"/>
        <v>0</v>
      </c>
      <c r="AE50" s="176">
        <f>AD50*User_sheet!B$77/100</f>
        <v>0</v>
      </c>
      <c r="AF50" s="309"/>
      <c r="AG50" s="27">
        <v>401</v>
      </c>
      <c r="AH50" s="985"/>
      <c r="AI50" s="956">
        <f t="shared" ca="1" si="19"/>
        <v>210.0660844761592</v>
      </c>
      <c r="AJ50" s="956">
        <f ca="1">AI50/'401'!I$24</f>
        <v>1.0976730615243409</v>
      </c>
      <c r="AK50" s="956">
        <f ca="1">0.8*(AI50*30+'401'!D$17*0.34*30*1)</f>
        <v>7655.3523474278227</v>
      </c>
      <c r="AL50" s="954">
        <f ca="1">IF(AK50&lt;User_sheet!B$50,W50,0)</f>
        <v>0</v>
      </c>
      <c r="AM50" s="954">
        <f ca="1">20-(User_sheet!B$57/(AI50+'401'!D$17*1*0.34))</f>
        <v>2.1301497577751007</v>
      </c>
      <c r="AN50" s="954"/>
      <c r="AO50" s="985"/>
      <c r="AP50" s="2">
        <v>0</v>
      </c>
      <c r="AQ50" s="2">
        <v>3.7</v>
      </c>
      <c r="AR50" s="2">
        <v>0</v>
      </c>
      <c r="AS50" s="27">
        <v>2</v>
      </c>
      <c r="AT50" s="2">
        <v>0</v>
      </c>
      <c r="AU50" s="2">
        <v>0</v>
      </c>
      <c r="AV50" s="2">
        <v>76466.30421774846</v>
      </c>
      <c r="AW50" s="2">
        <v>0</v>
      </c>
      <c r="AX50" s="2">
        <v>0</v>
      </c>
      <c r="AY50" s="2">
        <v>0</v>
      </c>
      <c r="AZ50" s="50">
        <v>0.6</v>
      </c>
      <c r="BA50" s="34">
        <v>0</v>
      </c>
      <c r="BB50" s="34">
        <v>1</v>
      </c>
      <c r="BC50" s="40">
        <v>0</v>
      </c>
      <c r="BD50" s="34">
        <v>1</v>
      </c>
      <c r="BE50" s="34">
        <v>0</v>
      </c>
      <c r="BF50" s="40">
        <v>0</v>
      </c>
      <c r="BG50" s="34">
        <v>0</v>
      </c>
      <c r="BH50" s="40">
        <v>1</v>
      </c>
      <c r="BI50" s="34">
        <v>0</v>
      </c>
      <c r="BJ50" s="34">
        <v>0</v>
      </c>
      <c r="BK50" s="40">
        <v>1</v>
      </c>
      <c r="BL50" s="958">
        <v>0</v>
      </c>
      <c r="BM50" s="958">
        <v>14.9</v>
      </c>
      <c r="BN50" s="32">
        <f t="shared" ca="1" si="44"/>
        <v>97.065000000000012</v>
      </c>
      <c r="BO50">
        <f t="shared" ca="1" si="45"/>
        <v>307.37190000000004</v>
      </c>
      <c r="BP50">
        <f t="shared" ca="1" si="46"/>
        <v>0</v>
      </c>
      <c r="BQ50">
        <f t="shared" ca="1" si="47"/>
        <v>84.313999999999993</v>
      </c>
      <c r="BR50">
        <f t="shared" ca="1" si="48"/>
        <v>0</v>
      </c>
      <c r="BS50">
        <f t="shared" ca="1" si="49"/>
        <v>10</v>
      </c>
      <c r="BT50">
        <f t="shared" ca="1" si="50"/>
        <v>0</v>
      </c>
      <c r="BU50">
        <v>0</v>
      </c>
      <c r="BV50">
        <f t="shared" ca="1" si="51"/>
        <v>0</v>
      </c>
      <c r="BW50">
        <f t="shared" ca="1" si="52"/>
        <v>190.06608448415921</v>
      </c>
      <c r="BX50">
        <f t="shared" ca="1" si="53"/>
        <v>0</v>
      </c>
      <c r="BY50">
        <f t="shared" ca="1" si="54"/>
        <v>19.999999991999999</v>
      </c>
      <c r="BZ50">
        <f t="shared" ca="1" si="55"/>
        <v>0</v>
      </c>
      <c r="CA50">
        <f t="shared" si="56"/>
        <v>0</v>
      </c>
      <c r="CB50" s="1018">
        <f t="shared" ca="1" si="60"/>
        <v>210.0660844761592</v>
      </c>
      <c r="CC50" s="1018">
        <f t="shared" ca="1" si="61"/>
        <v>57.095376884597556</v>
      </c>
      <c r="CD50">
        <f t="shared" ca="1" si="22"/>
        <v>8.0148438408227047</v>
      </c>
      <c r="CE50">
        <f t="shared" ca="1" si="23"/>
        <v>13344.394401216168</v>
      </c>
    </row>
    <row r="51" spans="4:83" x14ac:dyDescent="0.25">
      <c r="D51" s="1"/>
      <c r="F51" s="1"/>
      <c r="H51" s="1"/>
      <c r="I51" s="6"/>
      <c r="J51" s="6"/>
      <c r="K51" s="6" t="s">
        <v>59</v>
      </c>
      <c r="L51" s="4"/>
      <c r="M51" s="6"/>
      <c r="N51" s="6"/>
      <c r="O51" s="27" t="s">
        <v>57</v>
      </c>
      <c r="P51" s="4"/>
      <c r="Q51" s="1"/>
      <c r="R51" s="79"/>
      <c r="S51" s="876"/>
      <c r="U51" s="200"/>
      <c r="V51" s="176">
        <f t="shared" si="57"/>
        <v>0</v>
      </c>
      <c r="W51" s="176">
        <f>V51/Calculation_sheet!M$67</f>
        <v>0</v>
      </c>
      <c r="X51" s="958">
        <f ca="1">IF(AL51&gt;0,W51*Calculation_sheet!C$87,0)</f>
        <v>0</v>
      </c>
      <c r="Y51" s="176">
        <f t="shared" ca="1" si="58"/>
        <v>0</v>
      </c>
      <c r="Z51" s="176">
        <f>IF(AN51&gt;0,Y51*Calculation_sheet!C$94,0)</f>
        <v>0</v>
      </c>
      <c r="AA51" s="958">
        <f t="shared" ca="1" si="43"/>
        <v>0</v>
      </c>
      <c r="AB51" s="176">
        <f ca="1">AA51*Calculation_sheet!C$99</f>
        <v>0</v>
      </c>
      <c r="AC51" s="958">
        <f t="shared" ca="1" si="43"/>
        <v>0</v>
      </c>
      <c r="AD51" s="176">
        <f t="shared" si="59"/>
        <v>0</v>
      </c>
      <c r="AE51" s="176">
        <f>AD51*User_sheet!B$77/100</f>
        <v>0</v>
      </c>
      <c r="AF51" s="309"/>
      <c r="AG51" s="27">
        <v>401</v>
      </c>
      <c r="AH51" s="985"/>
      <c r="AI51" s="956">
        <f t="shared" ca="1" si="19"/>
        <v>210.0660844761592</v>
      </c>
      <c r="AJ51" s="956">
        <f ca="1">AI51/'401'!I$24</f>
        <v>1.0976730615243409</v>
      </c>
      <c r="AK51" s="956">
        <f ca="1">0.8*(AI51*30+'401'!D$17*0.34*30*1)</f>
        <v>7655.3523474278227</v>
      </c>
      <c r="AL51" s="954">
        <f ca="1">IF(AK51&lt;User_sheet!B$50,W51,0)</f>
        <v>0</v>
      </c>
      <c r="AM51" s="954">
        <f ca="1">20-(User_sheet!B$57/(AI51+'401'!D$17*1*0.34))</f>
        <v>2.1301497577751007</v>
      </c>
      <c r="AN51" s="954"/>
      <c r="AO51" s="985"/>
      <c r="AP51" s="2">
        <v>0</v>
      </c>
      <c r="AQ51" s="2">
        <v>3.7</v>
      </c>
      <c r="AR51" s="2">
        <v>0</v>
      </c>
      <c r="AS51" s="27">
        <v>2</v>
      </c>
      <c r="AT51" s="2">
        <v>0</v>
      </c>
      <c r="AU51" s="2">
        <v>0</v>
      </c>
      <c r="AV51" s="2">
        <v>76466.30421774846</v>
      </c>
      <c r="AW51" s="2">
        <v>0</v>
      </c>
      <c r="AX51" s="2">
        <v>0</v>
      </c>
      <c r="AY51" s="2">
        <v>0</v>
      </c>
      <c r="AZ51" s="50">
        <v>0.6</v>
      </c>
      <c r="BA51" s="34">
        <v>0</v>
      </c>
      <c r="BB51" s="34">
        <v>1</v>
      </c>
      <c r="BC51" s="40">
        <v>0</v>
      </c>
      <c r="BD51" s="34">
        <v>0</v>
      </c>
      <c r="BE51" s="34">
        <v>1</v>
      </c>
      <c r="BF51" s="40">
        <v>0</v>
      </c>
      <c r="BG51" s="34">
        <v>1</v>
      </c>
      <c r="BH51" s="40">
        <v>0</v>
      </c>
      <c r="BI51" s="34">
        <v>0</v>
      </c>
      <c r="BJ51" s="34">
        <v>1</v>
      </c>
      <c r="BK51" s="40">
        <v>0</v>
      </c>
      <c r="BL51" s="958">
        <v>0</v>
      </c>
      <c r="BM51" s="958">
        <v>14.9</v>
      </c>
      <c r="BN51" s="32">
        <f t="shared" ca="1" si="44"/>
        <v>97.065000000000012</v>
      </c>
      <c r="BO51">
        <f t="shared" ca="1" si="45"/>
        <v>307.37190000000004</v>
      </c>
      <c r="BP51">
        <f t="shared" ca="1" si="46"/>
        <v>0</v>
      </c>
      <c r="BQ51">
        <f t="shared" ca="1" si="47"/>
        <v>84.313999999999993</v>
      </c>
      <c r="BR51">
        <f t="shared" ca="1" si="48"/>
        <v>0</v>
      </c>
      <c r="BS51">
        <f t="shared" ca="1" si="49"/>
        <v>10</v>
      </c>
      <c r="BT51">
        <f t="shared" ca="1" si="50"/>
        <v>0</v>
      </c>
      <c r="BU51">
        <v>0</v>
      </c>
      <c r="BV51">
        <f t="shared" ca="1" si="51"/>
        <v>0</v>
      </c>
      <c r="BW51">
        <f t="shared" ca="1" si="52"/>
        <v>190.06608448415921</v>
      </c>
      <c r="BX51">
        <f t="shared" ca="1" si="53"/>
        <v>0</v>
      </c>
      <c r="BY51">
        <f t="shared" ca="1" si="54"/>
        <v>19.999999991999999</v>
      </c>
      <c r="BZ51">
        <f t="shared" ca="1" si="55"/>
        <v>0</v>
      </c>
      <c r="CA51">
        <f t="shared" si="56"/>
        <v>0</v>
      </c>
      <c r="CB51" s="1018">
        <f t="shared" ca="1" si="60"/>
        <v>210.0660844761592</v>
      </c>
      <c r="CC51" s="1018">
        <f t="shared" ca="1" si="61"/>
        <v>57.095376884597556</v>
      </c>
      <c r="CD51">
        <f t="shared" ca="1" si="22"/>
        <v>8.0148438408227047</v>
      </c>
      <c r="CE51">
        <f t="shared" ca="1" si="23"/>
        <v>13344.394401216168</v>
      </c>
    </row>
    <row r="52" spans="4:83" x14ac:dyDescent="0.25">
      <c r="D52" s="1"/>
      <c r="F52" s="1"/>
      <c r="H52" s="1"/>
      <c r="I52" s="6"/>
      <c r="J52" s="6"/>
      <c r="K52" s="6"/>
      <c r="L52" s="6"/>
      <c r="M52" s="6"/>
      <c r="N52" s="6"/>
      <c r="O52" s="27" t="s">
        <v>7</v>
      </c>
      <c r="P52" s="4"/>
      <c r="Q52" s="1"/>
      <c r="R52" s="79"/>
      <c r="S52" s="876"/>
      <c r="U52" s="200"/>
      <c r="V52" s="176">
        <f t="shared" si="57"/>
        <v>0</v>
      </c>
      <c r="W52" s="176">
        <f>V52/Calculation_sheet!M$67</f>
        <v>0</v>
      </c>
      <c r="X52" s="958">
        <f ca="1">IF(AL52&gt;0,W52*Calculation_sheet!C$87,0)</f>
        <v>0</v>
      </c>
      <c r="Y52" s="176">
        <f t="shared" ca="1" si="58"/>
        <v>0</v>
      </c>
      <c r="Z52" s="176">
        <f>IF(AN52&gt;0,Y52*Calculation_sheet!C$94,0)</f>
        <v>0</v>
      </c>
      <c r="AA52" s="958">
        <f t="shared" ca="1" si="43"/>
        <v>0</v>
      </c>
      <c r="AB52" s="176">
        <f ca="1">AA52*Calculation_sheet!C$99</f>
        <v>0</v>
      </c>
      <c r="AC52" s="958">
        <f t="shared" ca="1" si="43"/>
        <v>0</v>
      </c>
      <c r="AD52" s="176">
        <f t="shared" si="59"/>
        <v>0</v>
      </c>
      <c r="AE52" s="176">
        <f>AD52*User_sheet!B$77/100</f>
        <v>0</v>
      </c>
      <c r="AF52" s="309"/>
      <c r="AG52" s="27">
        <v>401</v>
      </c>
      <c r="AH52" s="985"/>
      <c r="AI52" s="956">
        <f t="shared" ca="1" si="19"/>
        <v>210.0660844761592</v>
      </c>
      <c r="AJ52" s="956">
        <f ca="1">AI52/'401'!I$24</f>
        <v>1.0976730615243409</v>
      </c>
      <c r="AK52" s="956">
        <f ca="1">0.8*(AI52*30+'401'!D$17*0.34*30*1)</f>
        <v>7655.3523474278227</v>
      </c>
      <c r="AL52" s="954">
        <f ca="1">IF(AK52&lt;User_sheet!B$50,W52,0)</f>
        <v>0</v>
      </c>
      <c r="AM52" s="954">
        <f ca="1">20-(User_sheet!B$57/(AI52+'401'!D$17*1*0.34))</f>
        <v>2.1301497577751007</v>
      </c>
      <c r="AN52" s="954"/>
      <c r="AO52" s="985"/>
      <c r="AP52" s="2">
        <v>0</v>
      </c>
      <c r="AQ52" s="2">
        <v>3.7</v>
      </c>
      <c r="AR52" s="2">
        <v>0</v>
      </c>
      <c r="AS52" s="27">
        <v>2</v>
      </c>
      <c r="AT52" s="2">
        <v>0</v>
      </c>
      <c r="AU52" s="2">
        <v>0</v>
      </c>
      <c r="AV52" s="2">
        <v>76466.30421774846</v>
      </c>
      <c r="AW52" s="2">
        <v>0</v>
      </c>
      <c r="AX52" s="2">
        <v>0</v>
      </c>
      <c r="AY52" s="2">
        <v>0</v>
      </c>
      <c r="AZ52" s="50">
        <v>0.6</v>
      </c>
      <c r="BA52" s="34">
        <v>0</v>
      </c>
      <c r="BB52" s="34">
        <v>1</v>
      </c>
      <c r="BC52" s="40">
        <v>0</v>
      </c>
      <c r="BD52" s="34">
        <v>0</v>
      </c>
      <c r="BE52" s="34">
        <v>1</v>
      </c>
      <c r="BF52" s="40">
        <v>0</v>
      </c>
      <c r="BG52" s="34">
        <v>1</v>
      </c>
      <c r="BH52" s="40">
        <v>0</v>
      </c>
      <c r="BI52" s="34">
        <v>0</v>
      </c>
      <c r="BJ52" s="34">
        <v>0</v>
      </c>
      <c r="BK52" s="40">
        <v>1</v>
      </c>
      <c r="BL52" s="958">
        <v>0</v>
      </c>
      <c r="BM52" s="958">
        <v>14.9</v>
      </c>
      <c r="BN52" s="32">
        <f t="shared" ca="1" si="44"/>
        <v>97.065000000000012</v>
      </c>
      <c r="BO52">
        <f t="shared" ca="1" si="45"/>
        <v>307.37190000000004</v>
      </c>
      <c r="BP52">
        <f t="shared" ca="1" si="46"/>
        <v>0</v>
      </c>
      <c r="BQ52">
        <f t="shared" ca="1" si="47"/>
        <v>84.313999999999993</v>
      </c>
      <c r="BR52">
        <f t="shared" ca="1" si="48"/>
        <v>0</v>
      </c>
      <c r="BS52">
        <f t="shared" ca="1" si="49"/>
        <v>10</v>
      </c>
      <c r="BT52">
        <f t="shared" ca="1" si="50"/>
        <v>0</v>
      </c>
      <c r="BU52">
        <v>0</v>
      </c>
      <c r="BV52">
        <f t="shared" ca="1" si="51"/>
        <v>0</v>
      </c>
      <c r="BW52">
        <f t="shared" ca="1" si="52"/>
        <v>190.06608448415921</v>
      </c>
      <c r="BX52">
        <f t="shared" ca="1" si="53"/>
        <v>0</v>
      </c>
      <c r="BY52">
        <f t="shared" ca="1" si="54"/>
        <v>19.999999991999999</v>
      </c>
      <c r="BZ52">
        <f t="shared" ca="1" si="55"/>
        <v>0</v>
      </c>
      <c r="CA52">
        <f t="shared" si="56"/>
        <v>0</v>
      </c>
      <c r="CB52" s="1018">
        <f t="shared" ca="1" si="60"/>
        <v>210.0660844761592</v>
      </c>
      <c r="CC52" s="1018">
        <f t="shared" ca="1" si="61"/>
        <v>57.095376884597556</v>
      </c>
      <c r="CD52">
        <f t="shared" ca="1" si="22"/>
        <v>8.0148438408227047</v>
      </c>
      <c r="CE52">
        <f t="shared" ca="1" si="23"/>
        <v>13344.394401216168</v>
      </c>
    </row>
    <row r="53" spans="4:83" x14ac:dyDescent="0.25">
      <c r="D53" s="1"/>
      <c r="F53" s="1"/>
      <c r="H53" s="6"/>
      <c r="I53" s="6" t="s">
        <v>7</v>
      </c>
      <c r="J53" s="4"/>
      <c r="K53" s="6" t="s">
        <v>23</v>
      </c>
      <c r="L53" s="4"/>
      <c r="M53" s="6"/>
      <c r="N53" s="4"/>
      <c r="O53" s="27" t="s">
        <v>7</v>
      </c>
      <c r="P53" s="4"/>
      <c r="Q53" s="1"/>
      <c r="R53" s="79"/>
      <c r="S53" s="876"/>
      <c r="U53" s="200"/>
      <c r="V53" s="176">
        <f t="shared" si="57"/>
        <v>0</v>
      </c>
      <c r="W53" s="176">
        <f>V53/Calculation_sheet!M$67</f>
        <v>0</v>
      </c>
      <c r="X53" s="958">
        <f ca="1">IF(AL53&gt;0,W53*Calculation_sheet!C$87,0)</f>
        <v>0</v>
      </c>
      <c r="Y53" s="176">
        <f t="shared" ca="1" si="58"/>
        <v>0</v>
      </c>
      <c r="Z53" s="176">
        <f>IF(AN53&gt;0,Y53*Calculation_sheet!C$94,0)</f>
        <v>0</v>
      </c>
      <c r="AA53" s="958">
        <f t="shared" ca="1" si="43"/>
        <v>0</v>
      </c>
      <c r="AB53" s="176">
        <f ca="1">AA53*Calculation_sheet!C$99</f>
        <v>0</v>
      </c>
      <c r="AC53" s="958">
        <f t="shared" ca="1" si="43"/>
        <v>0</v>
      </c>
      <c r="AD53" s="176">
        <f t="shared" si="59"/>
        <v>0</v>
      </c>
      <c r="AE53" s="176">
        <f>AD53*User_sheet!B$77/100</f>
        <v>0</v>
      </c>
      <c r="AF53" s="309"/>
      <c r="AG53" s="27">
        <v>401</v>
      </c>
      <c r="AH53" s="985"/>
      <c r="AI53" s="956">
        <f t="shared" ca="1" si="19"/>
        <v>210.0660844761592</v>
      </c>
      <c r="AJ53" s="956">
        <f ca="1">AI53/'401'!I$24</f>
        <v>1.0976730615243409</v>
      </c>
      <c r="AK53" s="956">
        <f ca="1">0.8*(AI53*30+'401'!D$17*0.34*30*1)</f>
        <v>7655.3523474278227</v>
      </c>
      <c r="AL53" s="954">
        <f ca="1">IF(AK53&lt;User_sheet!B$50,W53,0)</f>
        <v>0</v>
      </c>
      <c r="AM53" s="954">
        <f ca="1">20-(User_sheet!B$57/(AI53+'401'!D$17*1*0.34))</f>
        <v>2.1301497577751007</v>
      </c>
      <c r="AN53" s="954"/>
      <c r="AO53" s="985"/>
      <c r="AP53" s="2">
        <v>0</v>
      </c>
      <c r="AQ53" s="2">
        <v>3.7</v>
      </c>
      <c r="AR53" s="2">
        <v>0</v>
      </c>
      <c r="AS53" s="27">
        <v>2</v>
      </c>
      <c r="AT53" s="2">
        <v>0</v>
      </c>
      <c r="AU53" s="2">
        <v>0</v>
      </c>
      <c r="AV53" s="2">
        <v>76466.30421774846</v>
      </c>
      <c r="AW53" s="2">
        <v>0</v>
      </c>
      <c r="AX53" s="2">
        <v>0</v>
      </c>
      <c r="AY53" s="2">
        <v>0</v>
      </c>
      <c r="AZ53" s="50">
        <v>0.6</v>
      </c>
      <c r="BA53" s="34">
        <v>0</v>
      </c>
      <c r="BB53" s="34">
        <v>0</v>
      </c>
      <c r="BC53" s="40">
        <v>1</v>
      </c>
      <c r="BD53" s="34">
        <v>0</v>
      </c>
      <c r="BE53" s="34">
        <v>0</v>
      </c>
      <c r="BF53" s="40">
        <v>1</v>
      </c>
      <c r="BG53" s="34">
        <v>1</v>
      </c>
      <c r="BH53" s="40">
        <v>0</v>
      </c>
      <c r="BI53" s="34">
        <v>0</v>
      </c>
      <c r="BJ53" s="34">
        <v>0</v>
      </c>
      <c r="BK53" s="40">
        <v>1</v>
      </c>
      <c r="BL53" s="958">
        <v>0</v>
      </c>
      <c r="BM53" s="958">
        <v>14.9</v>
      </c>
      <c r="BN53" s="32">
        <f t="shared" ca="1" si="44"/>
        <v>97.065000000000012</v>
      </c>
      <c r="BO53">
        <f t="shared" ca="1" si="45"/>
        <v>307.37190000000004</v>
      </c>
      <c r="BP53">
        <f t="shared" ca="1" si="46"/>
        <v>0</v>
      </c>
      <c r="BQ53">
        <f t="shared" ca="1" si="47"/>
        <v>84.313999999999993</v>
      </c>
      <c r="BR53">
        <f t="shared" ca="1" si="48"/>
        <v>0</v>
      </c>
      <c r="BS53">
        <f t="shared" ca="1" si="49"/>
        <v>10</v>
      </c>
      <c r="BT53">
        <f t="shared" ca="1" si="50"/>
        <v>0</v>
      </c>
      <c r="BU53">
        <v>0</v>
      </c>
      <c r="BV53">
        <f t="shared" ca="1" si="51"/>
        <v>0</v>
      </c>
      <c r="BW53">
        <f t="shared" ca="1" si="52"/>
        <v>190.06608448415921</v>
      </c>
      <c r="BX53">
        <f t="shared" ca="1" si="53"/>
        <v>0</v>
      </c>
      <c r="BY53">
        <f t="shared" ca="1" si="54"/>
        <v>19.999999991999999</v>
      </c>
      <c r="BZ53">
        <f t="shared" ca="1" si="55"/>
        <v>0</v>
      </c>
      <c r="CA53">
        <f t="shared" si="56"/>
        <v>0</v>
      </c>
      <c r="CB53" s="1018">
        <f t="shared" ca="1" si="60"/>
        <v>210.0660844761592</v>
      </c>
      <c r="CC53" s="1018">
        <f t="shared" ca="1" si="61"/>
        <v>57.095376884597556</v>
      </c>
      <c r="CD53">
        <f t="shared" ca="1" si="22"/>
        <v>8.0148438408227047</v>
      </c>
      <c r="CE53">
        <f t="shared" ca="1" si="23"/>
        <v>13344.394401216168</v>
      </c>
    </row>
    <row r="54" spans="4:83" s="14" customFormat="1" x14ac:dyDescent="0.25">
      <c r="D54" s="15"/>
      <c r="F54" s="15"/>
      <c r="H54" s="15"/>
      <c r="I54" s="15"/>
      <c r="J54" s="15"/>
      <c r="K54" s="15"/>
      <c r="L54" s="15"/>
      <c r="M54" s="15"/>
      <c r="N54" s="15"/>
      <c r="O54" s="28"/>
      <c r="P54" s="15"/>
      <c r="Q54" s="15"/>
      <c r="R54" s="80"/>
      <c r="S54" s="273"/>
      <c r="T54" s="277"/>
      <c r="U54" s="292"/>
      <c r="V54" s="292"/>
      <c r="W54" s="292"/>
      <c r="X54" s="277"/>
      <c r="Y54" s="292"/>
      <c r="Z54" s="292"/>
      <c r="AA54" s="277"/>
      <c r="AB54" s="292"/>
      <c r="AC54" s="277"/>
      <c r="AD54" s="292"/>
      <c r="AE54" s="292"/>
      <c r="AF54" s="309"/>
      <c r="AG54" s="28"/>
      <c r="AH54" s="985"/>
      <c r="AI54" s="956">
        <f t="shared" si="19"/>
        <v>0</v>
      </c>
      <c r="AJ54" s="955"/>
      <c r="AK54" s="955"/>
      <c r="AL54" s="955"/>
      <c r="AM54" s="955"/>
      <c r="AN54" s="955"/>
      <c r="AO54" s="985"/>
      <c r="AP54" s="28"/>
      <c r="AQ54" s="28"/>
      <c r="AR54" s="28"/>
      <c r="AS54" s="28"/>
      <c r="AT54" s="28"/>
      <c r="AU54" s="28"/>
      <c r="AV54" s="28"/>
      <c r="AW54" s="28"/>
      <c r="AX54" s="28"/>
      <c r="AY54" s="28"/>
      <c r="AZ54" s="49"/>
      <c r="BA54" s="277"/>
      <c r="BB54" s="28"/>
      <c r="BC54" s="49"/>
      <c r="BD54" s="277"/>
      <c r="BE54" s="28"/>
      <c r="BF54" s="49"/>
      <c r="BG54" s="277"/>
      <c r="BH54" s="49"/>
      <c r="BI54" s="277"/>
      <c r="BJ54" s="28"/>
      <c r="BK54" s="49"/>
      <c r="BL54" s="277"/>
      <c r="BM54" s="277"/>
      <c r="BN54" s="36"/>
    </row>
    <row r="55" spans="4:83" x14ac:dyDescent="0.25">
      <c r="D55" s="794"/>
      <c r="E55" s="793"/>
      <c r="F55" s="794"/>
      <c r="G55" s="793"/>
      <c r="H55" s="797"/>
      <c r="I55" s="797"/>
      <c r="J55" s="797"/>
      <c r="K55" s="797"/>
      <c r="L55" s="797"/>
      <c r="M55" s="797" t="s">
        <v>60</v>
      </c>
      <c r="N55" s="797">
        <v>0.75</v>
      </c>
      <c r="O55" s="795" t="s">
        <v>16</v>
      </c>
      <c r="P55" s="797">
        <v>0.5625</v>
      </c>
      <c r="Q55" s="794"/>
      <c r="R55" s="803">
        <v>4.1078532967603783E-3</v>
      </c>
      <c r="S55" s="876"/>
      <c r="T55" s="34">
        <f>R55-R55*Calculation_sheet!F$58</f>
        <v>4.1078532967603783E-3</v>
      </c>
      <c r="U55" s="176">
        <f>T55-T55*Calculation_sheet!E$66</f>
        <v>4.1078532967603783E-3</v>
      </c>
      <c r="V55" s="176">
        <f>U55-U55*Calculation_sheet!E76</f>
        <v>4.1078532967603783E-3</v>
      </c>
      <c r="W55" s="176">
        <f>V55/Calculation_sheet!M$67</f>
        <v>4.1079372876897504E-3</v>
      </c>
      <c r="X55" s="958">
        <f ca="1">IF(AL55&gt;0,W55*Calculation_sheet!C$87,0)</f>
        <v>0</v>
      </c>
      <c r="Y55" s="176">
        <f ca="1">W55-X55</f>
        <v>4.1079372876897504E-3</v>
      </c>
      <c r="Z55" s="176">
        <f>IF(AN55&gt;0,Y55*Calculation_sheet!C$94,0)</f>
        <v>0</v>
      </c>
      <c r="AA55" s="958">
        <f t="shared" ref="AA55:AC67" ca="1" si="62">Y55-Z55</f>
        <v>4.1079372876897504E-3</v>
      </c>
      <c r="AB55" s="176">
        <f ca="1">AA55*Calculation_sheet!C$99</f>
        <v>2.46476237261385E-3</v>
      </c>
      <c r="AC55" s="958">
        <f t="shared" ca="1" si="62"/>
        <v>1.6431749150759003E-3</v>
      </c>
      <c r="AD55" s="176">
        <f>W55-Z55</f>
        <v>4.1079372876897504E-3</v>
      </c>
      <c r="AE55" s="176">
        <f>AD55*User_sheet!B$77/100</f>
        <v>0</v>
      </c>
      <c r="AF55" s="309"/>
      <c r="AG55" s="27">
        <v>401</v>
      </c>
      <c r="AH55" s="985"/>
      <c r="AI55" s="956">
        <f t="shared" ca="1" si="19"/>
        <v>240.06608443415919</v>
      </c>
      <c r="AJ55" s="956">
        <f ca="1">AI55/'401'!I$24</f>
        <v>1.2544341678292725</v>
      </c>
      <c r="AK55" s="956">
        <f ca="1">0.8*(AI55*30+'401'!D$17*0.34*30*1)</f>
        <v>8375.3523464198206</v>
      </c>
      <c r="AL55" s="954">
        <f ca="1">IF(AK55&lt;User_sheet!B$50,W55,0)</f>
        <v>4.1079372876897504E-3</v>
      </c>
      <c r="AM55" s="954">
        <f ca="1">20-(User_sheet!B$57/(AI55+'401'!D$17*1*0.34))</f>
        <v>3.6663588179096287</v>
      </c>
      <c r="AN55" s="954"/>
      <c r="AO55" s="985"/>
      <c r="AP55" s="2">
        <v>0</v>
      </c>
      <c r="AQ55" s="2">
        <v>3.7</v>
      </c>
      <c r="AR55" s="2">
        <v>0</v>
      </c>
      <c r="AS55" s="2">
        <v>5</v>
      </c>
      <c r="AT55" s="2">
        <v>0</v>
      </c>
      <c r="AU55" s="2">
        <v>0</v>
      </c>
      <c r="AV55" s="2">
        <v>76466.30421774846</v>
      </c>
      <c r="AW55" s="2">
        <v>0</v>
      </c>
      <c r="AX55" s="2">
        <v>0</v>
      </c>
      <c r="AY55" s="2">
        <v>0</v>
      </c>
      <c r="AZ55" s="40">
        <v>0.87</v>
      </c>
      <c r="BA55" s="34">
        <v>1</v>
      </c>
      <c r="BB55" s="34">
        <v>0</v>
      </c>
      <c r="BC55" s="40">
        <v>0</v>
      </c>
      <c r="BD55" s="34">
        <v>1</v>
      </c>
      <c r="BE55" s="34">
        <v>0</v>
      </c>
      <c r="BF55" s="40">
        <v>0</v>
      </c>
      <c r="BG55" s="34">
        <v>1</v>
      </c>
      <c r="BH55" s="40">
        <v>0</v>
      </c>
      <c r="BI55" s="34">
        <v>1</v>
      </c>
      <c r="BJ55" s="34">
        <v>0</v>
      </c>
      <c r="BK55" s="40">
        <v>0</v>
      </c>
      <c r="BL55" s="958">
        <v>0</v>
      </c>
      <c r="BM55" s="958">
        <v>14.9</v>
      </c>
      <c r="BN55" s="32">
        <f t="shared" ref="BN55:BN67" ca="1" si="63">INDIRECT("'"&amp;AG55&amp;"'!"&amp;"B2")</f>
        <v>97.065000000000012</v>
      </c>
      <c r="BO55">
        <f t="shared" ref="BO55:BO67" ca="1" si="64">INDIRECT("'"&amp;AG55&amp;"'!"&amp;"C12")+INDIRECT("'"&amp;AG55&amp;"'!"&amp;"C13")+INDIRECT("'"&amp;AG55&amp;"'!"&amp;"C14")+INDIRECT("'"&amp;AG55&amp;"'!"&amp;"C15")+INDIRECT("'"&amp;AG55&amp;"'!"&amp;"C17")</f>
        <v>307.37190000000004</v>
      </c>
      <c r="BP55">
        <f t="shared" ref="BP55:BP67" ca="1" si="65">INDIRECT("'"&amp;AG55&amp;"'!"&amp;"G5")</f>
        <v>0</v>
      </c>
      <c r="BQ55">
        <f t="shared" ref="BQ55:BQ67" ca="1" si="66">INDIRECT("'"&amp;AG55&amp;"'!"&amp;"G4")</f>
        <v>84.313999999999993</v>
      </c>
      <c r="BR55">
        <f t="shared" ref="BR55:BR67" ca="1" si="67">INDIRECT("'"&amp;AG55&amp;"'!"&amp;"G6")</f>
        <v>0</v>
      </c>
      <c r="BS55">
        <f t="shared" ref="BS55:BS67" ca="1" si="68">INDIRECT("'"&amp;AG55&amp;"'!"&amp;"G2")</f>
        <v>10</v>
      </c>
      <c r="BT55">
        <f t="shared" ref="BT55:BT67" ca="1" si="69">INDIRECT("'"&amp;AG55&amp;"'!"&amp;"G3")</f>
        <v>0</v>
      </c>
      <c r="BU55">
        <v>0</v>
      </c>
      <c r="BV55">
        <f t="shared" ref="BV55:BV67" ca="1" si="70">IF(OR(BP55=0,AP55=0),0,1/(1/(BP55*$BW$3)+1/(BP55*AP55)+1/(BP55*$BW$4)))</f>
        <v>0</v>
      </c>
      <c r="BW55">
        <f t="shared" ref="BW55:BW67" ca="1" si="71">IF(OR(BQ55=0,AQ55=0),0,1/(1/(BQ55*$BW$3)+1/(BQ55*AQ55)+1/(BQ55*$BW$4)))</f>
        <v>190.06608448415921</v>
      </c>
      <c r="BX55">
        <f t="shared" ref="BX55:BX67" ca="1" si="72">IF(OR(BR55=0,AR55=0),0,1/(1/(BR55*$BW$3)+1/(BR55*AR55)+1/(BR55*$BW$4)))</f>
        <v>0</v>
      </c>
      <c r="BY55">
        <f t="shared" ref="BY55:BY67" ca="1" si="73">IF(OR(BS55=0,AS55=0),0,1/(1/(BS55*$BW$5)+1/(BS55*AS55)+1/(BS55*$BW$6)))</f>
        <v>49.999999949999996</v>
      </c>
      <c r="BZ55">
        <f t="shared" ref="BZ55:BZ67" ca="1" si="74">IF(OR(BT55=0,AT55=0),0,1/(1/(BT55*$BW$3)+1/(BT55*AT55)+1/(BT55*$BW$4)))</f>
        <v>0</v>
      </c>
      <c r="CA55">
        <f t="shared" ref="CA55:CA67" si="75">IF(OR(BU55=0,AU55=0),0,1/(1/(BU55*$BW$3)+1/(BU55*AU55)+1/(BU55*$BW$4)))</f>
        <v>0</v>
      </c>
      <c r="CB55" s="1018">
        <f ca="1">SUM(BV55:CA55)+(BP55+BQ55+BR55+BS55+BT55)*BL55</f>
        <v>240.06608443415919</v>
      </c>
      <c r="CC55" s="1018">
        <f ca="1">0.34*BM55*(1/25)^0.66*(BQ55+BS55+BT55)</f>
        <v>57.095376884597556</v>
      </c>
      <c r="CD55">
        <f t="shared" ca="1" si="22"/>
        <v>8.9148438395627032</v>
      </c>
      <c r="CE55">
        <f t="shared" ca="1" si="23"/>
        <v>14842.858399118319</v>
      </c>
    </row>
    <row r="56" spans="4:83" x14ac:dyDescent="0.25">
      <c r="D56" s="794"/>
      <c r="E56" s="793"/>
      <c r="F56" s="794"/>
      <c r="G56" s="793"/>
      <c r="H56" s="797"/>
      <c r="I56" s="797"/>
      <c r="J56" s="797"/>
      <c r="K56" s="797"/>
      <c r="L56" s="797"/>
      <c r="M56" s="797"/>
      <c r="N56" s="797"/>
      <c r="O56" s="795" t="s">
        <v>7</v>
      </c>
      <c r="P56" s="797">
        <v>0.4375</v>
      </c>
      <c r="Q56" s="794"/>
      <c r="R56" s="803">
        <v>3.1949970085914051E-3</v>
      </c>
      <c r="S56" s="876"/>
      <c r="T56" s="34">
        <f>R56-R56*Calculation_sheet!F$58</f>
        <v>3.1949970085914051E-3</v>
      </c>
      <c r="U56" s="176">
        <f>T56-T56*Calculation_sheet!E$66</f>
        <v>3.1949970085914051E-3</v>
      </c>
      <c r="V56" s="176">
        <f>U56-U56*Calculation_sheet!E77</f>
        <v>3.1949970085914051E-3</v>
      </c>
      <c r="W56" s="176">
        <f>V56/Calculation_sheet!M$67</f>
        <v>3.1950623348698057E-3</v>
      </c>
      <c r="X56" s="958">
        <f ca="1">IF(AL56&gt;0,W56*Calculation_sheet!C$87,0)</f>
        <v>0</v>
      </c>
      <c r="Y56" s="176">
        <f t="shared" ref="Y56:Y67" ca="1" si="76">W56-X56</f>
        <v>3.1950623348698057E-3</v>
      </c>
      <c r="Z56" s="176">
        <f>IF(AN56&gt;0,Y56*Calculation_sheet!C$94,0)</f>
        <v>0</v>
      </c>
      <c r="AA56" s="958">
        <f t="shared" ca="1" si="62"/>
        <v>3.1950623348698057E-3</v>
      </c>
      <c r="AB56" s="176">
        <f ca="1">AA56*Calculation_sheet!C$99</f>
        <v>1.9170374009218833E-3</v>
      </c>
      <c r="AC56" s="958">
        <f t="shared" ca="1" si="62"/>
        <v>1.2780249339479225E-3</v>
      </c>
      <c r="AD56" s="176">
        <f t="shared" ref="AD56:AD67" si="77">W56-Z56</f>
        <v>3.1950623348698057E-3</v>
      </c>
      <c r="AE56" s="176">
        <f>AD56*User_sheet!B$77/100</f>
        <v>0</v>
      </c>
      <c r="AF56" s="309"/>
      <c r="AG56" s="27">
        <v>401</v>
      </c>
      <c r="AH56" s="985"/>
      <c r="AI56" s="956">
        <f t="shared" ca="1" si="19"/>
        <v>240.06608443415919</v>
      </c>
      <c r="AJ56" s="956">
        <f ca="1">AI56/'401'!I$24</f>
        <v>1.2544341678292725</v>
      </c>
      <c r="AK56" s="956">
        <f ca="1">0.8*(AI56*30+'401'!D$17*0.34*30*1)</f>
        <v>8375.3523464198206</v>
      </c>
      <c r="AL56" s="954">
        <f ca="1">IF(AK56&lt;User_sheet!B$50,W56,0)</f>
        <v>3.1950623348698057E-3</v>
      </c>
      <c r="AM56" s="954">
        <f ca="1">20-(User_sheet!B$57/(AI56+'401'!D$17*1*0.34))</f>
        <v>3.6663588179096287</v>
      </c>
      <c r="AN56" s="954"/>
      <c r="AO56" s="985"/>
      <c r="AP56" s="2">
        <v>0</v>
      </c>
      <c r="AQ56" s="2">
        <v>3.7</v>
      </c>
      <c r="AR56" s="2">
        <v>0</v>
      </c>
      <c r="AS56" s="2">
        <v>5</v>
      </c>
      <c r="AT56" s="2">
        <v>0</v>
      </c>
      <c r="AU56" s="2">
        <v>0</v>
      </c>
      <c r="AV56" s="2">
        <v>76466.30421774846</v>
      </c>
      <c r="AW56" s="2">
        <v>0</v>
      </c>
      <c r="AX56" s="2">
        <v>0</v>
      </c>
      <c r="AY56" s="2">
        <v>0</v>
      </c>
      <c r="AZ56" s="40">
        <v>0.87</v>
      </c>
      <c r="BA56" s="34">
        <v>1</v>
      </c>
      <c r="BB56" s="34">
        <v>0</v>
      </c>
      <c r="BC56" s="40">
        <v>0</v>
      </c>
      <c r="BD56" s="34">
        <v>1</v>
      </c>
      <c r="BE56" s="34">
        <v>0</v>
      </c>
      <c r="BF56" s="40">
        <v>0</v>
      </c>
      <c r="BG56" s="34">
        <v>1</v>
      </c>
      <c r="BH56" s="40">
        <v>0</v>
      </c>
      <c r="BI56" s="34">
        <v>0</v>
      </c>
      <c r="BJ56" s="34">
        <v>0</v>
      </c>
      <c r="BK56" s="40">
        <v>1</v>
      </c>
      <c r="BL56" s="958">
        <v>0</v>
      </c>
      <c r="BM56" s="958">
        <v>14.9</v>
      </c>
      <c r="BN56" s="32">
        <f t="shared" ca="1" si="63"/>
        <v>97.065000000000012</v>
      </c>
      <c r="BO56">
        <f t="shared" ca="1" si="64"/>
        <v>307.37190000000004</v>
      </c>
      <c r="BP56">
        <f t="shared" ca="1" si="65"/>
        <v>0</v>
      </c>
      <c r="BQ56">
        <f t="shared" ca="1" si="66"/>
        <v>84.313999999999993</v>
      </c>
      <c r="BR56">
        <f t="shared" ca="1" si="67"/>
        <v>0</v>
      </c>
      <c r="BS56">
        <f t="shared" ca="1" si="68"/>
        <v>10</v>
      </c>
      <c r="BT56">
        <f t="shared" ca="1" si="69"/>
        <v>0</v>
      </c>
      <c r="BU56">
        <v>0</v>
      </c>
      <c r="BV56">
        <f t="shared" ca="1" si="70"/>
        <v>0</v>
      </c>
      <c r="BW56">
        <f t="shared" ca="1" si="71"/>
        <v>190.06608448415921</v>
      </c>
      <c r="BX56">
        <f t="shared" ca="1" si="72"/>
        <v>0</v>
      </c>
      <c r="BY56">
        <f t="shared" ca="1" si="73"/>
        <v>49.999999949999996</v>
      </c>
      <c r="BZ56">
        <f t="shared" ca="1" si="74"/>
        <v>0</v>
      </c>
      <c r="CA56">
        <f t="shared" si="75"/>
        <v>0</v>
      </c>
      <c r="CB56" s="1018">
        <f t="shared" ref="CB56:CB67" ca="1" si="78">SUM(BV56:CA56)+(BP56+BQ56+BR56+BS56+BT56)*BL56</f>
        <v>240.06608443415919</v>
      </c>
      <c r="CC56" s="1018">
        <f t="shared" ref="CC56:CC67" ca="1" si="79">0.34*BM56*(1/25)^0.66*(BQ56+BS56+BT56)</f>
        <v>57.095376884597556</v>
      </c>
      <c r="CD56">
        <f t="shared" ca="1" si="22"/>
        <v>8.9148438395627032</v>
      </c>
      <c r="CE56">
        <f t="shared" ca="1" si="23"/>
        <v>14842.858399118319</v>
      </c>
    </row>
    <row r="57" spans="4:83" x14ac:dyDescent="0.25">
      <c r="D57" s="794"/>
      <c r="E57" s="793"/>
      <c r="F57" s="794"/>
      <c r="G57" s="793"/>
      <c r="H57" s="797"/>
      <c r="I57" s="797"/>
      <c r="J57" s="797"/>
      <c r="K57" s="797" t="s">
        <v>58</v>
      </c>
      <c r="L57" s="797">
        <v>0.74399999999999999</v>
      </c>
      <c r="M57" s="797" t="s">
        <v>61</v>
      </c>
      <c r="N57" s="797">
        <v>0.25</v>
      </c>
      <c r="O57" s="795" t="s">
        <v>16</v>
      </c>
      <c r="P57" s="797">
        <v>0.5625</v>
      </c>
      <c r="Q57" s="794"/>
      <c r="R57" s="803">
        <v>1.3692844322534595E-3</v>
      </c>
      <c r="S57" s="876"/>
      <c r="T57" s="34">
        <f>R57-R57*Calculation_sheet!F$58</f>
        <v>1.3692844322534595E-3</v>
      </c>
      <c r="U57" s="176">
        <f>T57-T57*Calculation_sheet!E$66</f>
        <v>1.3692844322534595E-3</v>
      </c>
      <c r="V57" s="176">
        <f>U57-U57*Calculation_sheet!E78</f>
        <v>1.3692844322534595E-3</v>
      </c>
      <c r="W57" s="176">
        <f>V57/Calculation_sheet!M$67</f>
        <v>1.3693124292299169E-3</v>
      </c>
      <c r="X57" s="958">
        <f ca="1">IF(AL57&gt;0,W57*Calculation_sheet!C$87,0)</f>
        <v>0</v>
      </c>
      <c r="Y57" s="176">
        <f t="shared" ca="1" si="76"/>
        <v>1.3693124292299169E-3</v>
      </c>
      <c r="Z57" s="176">
        <f>IF(AN57&gt;0,Y57*Calculation_sheet!C$94,0)</f>
        <v>0</v>
      </c>
      <c r="AA57" s="958">
        <f t="shared" ca="1" si="62"/>
        <v>1.3693124292299169E-3</v>
      </c>
      <c r="AB57" s="176">
        <f ca="1">AA57*Calculation_sheet!C$99</f>
        <v>8.2158745753795016E-4</v>
      </c>
      <c r="AC57" s="958">
        <f t="shared" ca="1" si="62"/>
        <v>5.4772497169196677E-4</v>
      </c>
      <c r="AD57" s="176">
        <f t="shared" si="77"/>
        <v>1.3693124292299169E-3</v>
      </c>
      <c r="AE57" s="176">
        <f>AD57*User_sheet!B$77/100</f>
        <v>0</v>
      </c>
      <c r="AF57" s="309"/>
      <c r="AG57" s="27">
        <v>401</v>
      </c>
      <c r="AH57" s="985"/>
      <c r="AI57" s="956">
        <f t="shared" ca="1" si="19"/>
        <v>240.06608443415919</v>
      </c>
      <c r="AJ57" s="956">
        <f ca="1">AI57/'401'!I$24</f>
        <v>1.2544341678292725</v>
      </c>
      <c r="AK57" s="956">
        <f ca="1">0.8*(AI57*30+'401'!D$17*0.34*30*1)</f>
        <v>8375.3523464198206</v>
      </c>
      <c r="AL57" s="954">
        <f ca="1">IF(AK57&lt;User_sheet!B$50,W57,0)</f>
        <v>1.3693124292299169E-3</v>
      </c>
      <c r="AM57" s="954">
        <f ca="1">20-(User_sheet!B$57/(AI57+'401'!D$17*1*0.34))</f>
        <v>3.6663588179096287</v>
      </c>
      <c r="AN57" s="954"/>
      <c r="AO57" s="985"/>
      <c r="AP57" s="2">
        <v>0</v>
      </c>
      <c r="AQ57" s="2">
        <v>3.7</v>
      </c>
      <c r="AR57" s="2">
        <v>0</v>
      </c>
      <c r="AS57" s="2">
        <v>5</v>
      </c>
      <c r="AT57" s="2">
        <v>0</v>
      </c>
      <c r="AU57" s="2">
        <v>0</v>
      </c>
      <c r="AV57" s="2">
        <v>76466.30421774846</v>
      </c>
      <c r="AW57" s="2">
        <v>0</v>
      </c>
      <c r="AX57" s="2">
        <v>0</v>
      </c>
      <c r="AY57" s="2">
        <v>0</v>
      </c>
      <c r="AZ57" s="40">
        <v>0.87</v>
      </c>
      <c r="BA57" s="34">
        <v>1</v>
      </c>
      <c r="BB57" s="34">
        <v>0</v>
      </c>
      <c r="BC57" s="40">
        <v>0</v>
      </c>
      <c r="BD57" s="34">
        <v>1</v>
      </c>
      <c r="BE57" s="34">
        <v>0</v>
      </c>
      <c r="BF57" s="40">
        <v>0</v>
      </c>
      <c r="BG57" s="34">
        <v>0</v>
      </c>
      <c r="BH57" s="40">
        <v>1</v>
      </c>
      <c r="BI57" s="34">
        <v>1</v>
      </c>
      <c r="BJ57" s="34">
        <v>0</v>
      </c>
      <c r="BK57" s="40">
        <v>0</v>
      </c>
      <c r="BL57" s="958">
        <v>0</v>
      </c>
      <c r="BM57" s="958">
        <v>14.9</v>
      </c>
      <c r="BN57" s="32">
        <f t="shared" ca="1" si="63"/>
        <v>97.065000000000012</v>
      </c>
      <c r="BO57">
        <f t="shared" ca="1" si="64"/>
        <v>307.37190000000004</v>
      </c>
      <c r="BP57">
        <f t="shared" ca="1" si="65"/>
        <v>0</v>
      </c>
      <c r="BQ57">
        <f t="shared" ca="1" si="66"/>
        <v>84.313999999999993</v>
      </c>
      <c r="BR57">
        <f t="shared" ca="1" si="67"/>
        <v>0</v>
      </c>
      <c r="BS57">
        <f t="shared" ca="1" si="68"/>
        <v>10</v>
      </c>
      <c r="BT57">
        <f t="shared" ca="1" si="69"/>
        <v>0</v>
      </c>
      <c r="BU57">
        <v>0</v>
      </c>
      <c r="BV57">
        <f t="shared" ca="1" si="70"/>
        <v>0</v>
      </c>
      <c r="BW57">
        <f t="shared" ca="1" si="71"/>
        <v>190.06608448415921</v>
      </c>
      <c r="BX57">
        <f t="shared" ca="1" si="72"/>
        <v>0</v>
      </c>
      <c r="BY57">
        <f t="shared" ca="1" si="73"/>
        <v>49.999999949999996</v>
      </c>
      <c r="BZ57">
        <f t="shared" ca="1" si="74"/>
        <v>0</v>
      </c>
      <c r="CA57">
        <f t="shared" si="75"/>
        <v>0</v>
      </c>
      <c r="CB57" s="1018">
        <f t="shared" ca="1" si="78"/>
        <v>240.06608443415919</v>
      </c>
      <c r="CC57" s="1018">
        <f t="shared" ca="1" si="79"/>
        <v>57.095376884597556</v>
      </c>
      <c r="CD57">
        <f t="shared" ca="1" si="22"/>
        <v>8.9148438395627032</v>
      </c>
      <c r="CE57">
        <f t="shared" ca="1" si="23"/>
        <v>14842.858399118319</v>
      </c>
    </row>
    <row r="58" spans="4:83" x14ac:dyDescent="0.25">
      <c r="D58" s="794"/>
      <c r="E58" s="793"/>
      <c r="F58" s="794"/>
      <c r="G58" s="793"/>
      <c r="H58" s="797"/>
      <c r="I58" s="797" t="s">
        <v>16</v>
      </c>
      <c r="J58" s="797">
        <v>0.64</v>
      </c>
      <c r="K58" s="797"/>
      <c r="L58" s="797"/>
      <c r="M58" s="797"/>
      <c r="N58" s="797"/>
      <c r="O58" s="795" t="s">
        <v>7</v>
      </c>
      <c r="P58" s="797">
        <v>0.4375</v>
      </c>
      <c r="Q58" s="794"/>
      <c r="R58" s="803">
        <v>1.0649990028638017E-3</v>
      </c>
      <c r="S58" s="876"/>
      <c r="T58" s="34">
        <f>R58-R58*Calculation_sheet!F$58</f>
        <v>1.0649990028638017E-3</v>
      </c>
      <c r="U58" s="176">
        <f>T58-T58*Calculation_sheet!E$66</f>
        <v>1.0649990028638017E-3</v>
      </c>
      <c r="V58" s="176">
        <f>U58-U58*Calculation_sheet!E79</f>
        <v>1.0649990028638017E-3</v>
      </c>
      <c r="W58" s="176">
        <f>V58/Calculation_sheet!M$67</f>
        <v>1.0650207782899352E-3</v>
      </c>
      <c r="X58" s="958">
        <f ca="1">IF(AL58&gt;0,W58*Calculation_sheet!C$87,0)</f>
        <v>0</v>
      </c>
      <c r="Y58" s="176">
        <f t="shared" ca="1" si="76"/>
        <v>1.0650207782899352E-3</v>
      </c>
      <c r="Z58" s="176">
        <f>IF(AN58&gt;0,Y58*Calculation_sheet!C$94,0)</f>
        <v>0</v>
      </c>
      <c r="AA58" s="958">
        <f t="shared" ca="1" si="62"/>
        <v>1.0650207782899352E-3</v>
      </c>
      <c r="AB58" s="176">
        <f ca="1">AA58*Calculation_sheet!C$99</f>
        <v>6.3901246697396113E-4</v>
      </c>
      <c r="AC58" s="958">
        <f t="shared" ca="1" si="62"/>
        <v>4.2600831131597405E-4</v>
      </c>
      <c r="AD58" s="176">
        <f t="shared" si="77"/>
        <v>1.0650207782899352E-3</v>
      </c>
      <c r="AE58" s="176">
        <f>AD58*User_sheet!B$77/100</f>
        <v>0</v>
      </c>
      <c r="AF58" s="309"/>
      <c r="AG58" s="27">
        <v>401</v>
      </c>
      <c r="AH58" s="985"/>
      <c r="AI58" s="956">
        <f t="shared" ca="1" si="19"/>
        <v>240.06608443415919</v>
      </c>
      <c r="AJ58" s="956">
        <f ca="1">AI58/'401'!I$24</f>
        <v>1.2544341678292725</v>
      </c>
      <c r="AK58" s="956">
        <f ca="1">0.8*(AI58*30+'401'!D$17*0.34*30*1)</f>
        <v>8375.3523464198206</v>
      </c>
      <c r="AL58" s="954">
        <f ca="1">IF(AK58&lt;User_sheet!B$50,W58,0)</f>
        <v>1.0650207782899352E-3</v>
      </c>
      <c r="AM58" s="954">
        <f ca="1">20-(User_sheet!B$57/(AI58+'401'!D$17*1*0.34))</f>
        <v>3.6663588179096287</v>
      </c>
      <c r="AN58" s="954"/>
      <c r="AO58" s="985"/>
      <c r="AP58" s="2">
        <v>0</v>
      </c>
      <c r="AQ58" s="2">
        <v>3.7</v>
      </c>
      <c r="AR58" s="2">
        <v>0</v>
      </c>
      <c r="AS58" s="2">
        <v>5</v>
      </c>
      <c r="AT58" s="2">
        <v>0</v>
      </c>
      <c r="AU58" s="2">
        <v>0</v>
      </c>
      <c r="AV58" s="2">
        <v>76466.30421774846</v>
      </c>
      <c r="AW58" s="2">
        <v>0</v>
      </c>
      <c r="AX58" s="2">
        <v>0</v>
      </c>
      <c r="AY58" s="2">
        <v>0</v>
      </c>
      <c r="AZ58" s="40">
        <v>0.87</v>
      </c>
      <c r="BA58" s="34">
        <v>1</v>
      </c>
      <c r="BB58" s="34">
        <v>0</v>
      </c>
      <c r="BC58" s="40">
        <v>0</v>
      </c>
      <c r="BD58" s="34">
        <v>1</v>
      </c>
      <c r="BE58" s="34">
        <v>0</v>
      </c>
      <c r="BF58" s="40">
        <v>0</v>
      </c>
      <c r="BG58" s="34">
        <v>0</v>
      </c>
      <c r="BH58" s="40">
        <v>1</v>
      </c>
      <c r="BI58" s="34">
        <v>0</v>
      </c>
      <c r="BJ58" s="34">
        <v>0</v>
      </c>
      <c r="BK58" s="40">
        <v>1</v>
      </c>
      <c r="BL58" s="958">
        <v>0</v>
      </c>
      <c r="BM58" s="958">
        <v>14.9</v>
      </c>
      <c r="BN58" s="32">
        <f t="shared" ca="1" si="63"/>
        <v>97.065000000000012</v>
      </c>
      <c r="BO58">
        <f t="shared" ca="1" si="64"/>
        <v>307.37190000000004</v>
      </c>
      <c r="BP58">
        <f t="shared" ca="1" si="65"/>
        <v>0</v>
      </c>
      <c r="BQ58">
        <f t="shared" ca="1" si="66"/>
        <v>84.313999999999993</v>
      </c>
      <c r="BR58">
        <f t="shared" ca="1" si="67"/>
        <v>0</v>
      </c>
      <c r="BS58">
        <f t="shared" ca="1" si="68"/>
        <v>10</v>
      </c>
      <c r="BT58">
        <f t="shared" ca="1" si="69"/>
        <v>0</v>
      </c>
      <c r="BU58">
        <v>0</v>
      </c>
      <c r="BV58">
        <f t="shared" ca="1" si="70"/>
        <v>0</v>
      </c>
      <c r="BW58">
        <f t="shared" ca="1" si="71"/>
        <v>190.06608448415921</v>
      </c>
      <c r="BX58">
        <f t="shared" ca="1" si="72"/>
        <v>0</v>
      </c>
      <c r="BY58">
        <f t="shared" ca="1" si="73"/>
        <v>49.999999949999996</v>
      </c>
      <c r="BZ58">
        <f t="shared" ca="1" si="74"/>
        <v>0</v>
      </c>
      <c r="CA58">
        <f t="shared" si="75"/>
        <v>0</v>
      </c>
      <c r="CB58" s="1018">
        <f t="shared" ca="1" si="78"/>
        <v>240.06608443415919</v>
      </c>
      <c r="CC58" s="1018">
        <f t="shared" ca="1" si="79"/>
        <v>57.095376884597556</v>
      </c>
      <c r="CD58">
        <f t="shared" ca="1" si="22"/>
        <v>8.9148438395627032</v>
      </c>
      <c r="CE58">
        <f t="shared" ca="1" si="23"/>
        <v>14842.858399118319</v>
      </c>
    </row>
    <row r="59" spans="4:83" x14ac:dyDescent="0.25">
      <c r="D59" s="794"/>
      <c r="E59" s="793"/>
      <c r="F59" s="794"/>
      <c r="G59" s="793"/>
      <c r="H59" s="797"/>
      <c r="I59" s="797"/>
      <c r="J59" s="797"/>
      <c r="K59" s="797" t="s">
        <v>59</v>
      </c>
      <c r="L59" s="797">
        <v>0.25600000000000001</v>
      </c>
      <c r="M59" s="797"/>
      <c r="N59" s="797"/>
      <c r="O59" s="800" t="s">
        <v>16</v>
      </c>
      <c r="P59" s="797">
        <v>0.5625</v>
      </c>
      <c r="Q59" s="794"/>
      <c r="R59" s="803">
        <v>1.8846065304133637E-3</v>
      </c>
      <c r="S59" s="876"/>
      <c r="T59" s="34">
        <f>R59-R59*Calculation_sheet!F$58</f>
        <v>1.8846065304133637E-3</v>
      </c>
      <c r="U59" s="176">
        <f>T59-T59*Calculation_sheet!E$66</f>
        <v>1.8846065304133637E-3</v>
      </c>
      <c r="V59" s="176">
        <f>U59-U59*Calculation_sheet!E80</f>
        <v>1.8846065304133637E-3</v>
      </c>
      <c r="W59" s="176">
        <f>V59/Calculation_sheet!M$67</f>
        <v>1.8846450638863373E-3</v>
      </c>
      <c r="X59" s="958">
        <f ca="1">IF(AL59&gt;0,W59*Calculation_sheet!C$87,0)</f>
        <v>0</v>
      </c>
      <c r="Y59" s="176">
        <f t="shared" ca="1" si="76"/>
        <v>1.8846450638863373E-3</v>
      </c>
      <c r="Z59" s="176">
        <f>IF(AN59&gt;0,Y59*Calculation_sheet!C$94,0)</f>
        <v>0</v>
      </c>
      <c r="AA59" s="958">
        <f t="shared" ca="1" si="62"/>
        <v>1.8846450638863373E-3</v>
      </c>
      <c r="AB59" s="176">
        <f ca="1">AA59*Calculation_sheet!C$99</f>
        <v>1.1307870383318024E-3</v>
      </c>
      <c r="AC59" s="958">
        <f t="shared" ca="1" si="62"/>
        <v>7.5385802555453488E-4</v>
      </c>
      <c r="AD59" s="176">
        <f t="shared" si="77"/>
        <v>1.8846450638863373E-3</v>
      </c>
      <c r="AE59" s="176">
        <f>AD59*User_sheet!B$77/100</f>
        <v>0</v>
      </c>
      <c r="AF59" s="309"/>
      <c r="AG59" s="27">
        <v>401</v>
      </c>
      <c r="AH59" s="985"/>
      <c r="AI59" s="956">
        <f t="shared" ca="1" si="19"/>
        <v>240.06608443415919</v>
      </c>
      <c r="AJ59" s="956">
        <f ca="1">AI59/'401'!I$24</f>
        <v>1.2544341678292725</v>
      </c>
      <c r="AK59" s="956">
        <f ca="1">0.8*(AI59*30+'401'!D$17*0.34*30*1)</f>
        <v>8375.3523464198206</v>
      </c>
      <c r="AL59" s="954">
        <f ca="1">IF(AK59&lt;User_sheet!B$50,W59,0)</f>
        <v>1.8846450638863373E-3</v>
      </c>
      <c r="AM59" s="954">
        <f ca="1">20-(User_sheet!B$57/(AI59+'401'!D$17*1*0.34))</f>
        <v>3.6663588179096287</v>
      </c>
      <c r="AN59" s="954"/>
      <c r="AO59" s="985"/>
      <c r="AP59" s="2">
        <v>0</v>
      </c>
      <c r="AQ59" s="2">
        <v>3.7</v>
      </c>
      <c r="AR59" s="2">
        <v>0</v>
      </c>
      <c r="AS59" s="2">
        <v>5</v>
      </c>
      <c r="AT59" s="2">
        <v>0</v>
      </c>
      <c r="AU59" s="2">
        <v>0</v>
      </c>
      <c r="AV59" s="2">
        <v>76466.30421774846</v>
      </c>
      <c r="AW59" s="2">
        <v>0</v>
      </c>
      <c r="AX59" s="2">
        <v>0</v>
      </c>
      <c r="AY59" s="2">
        <v>0</v>
      </c>
      <c r="AZ59" s="40">
        <v>0.87</v>
      </c>
      <c r="BA59" s="34">
        <v>1</v>
      </c>
      <c r="BB59" s="34">
        <v>0</v>
      </c>
      <c r="BC59" s="40">
        <v>0</v>
      </c>
      <c r="BD59" s="34">
        <v>0</v>
      </c>
      <c r="BE59" s="34">
        <v>1</v>
      </c>
      <c r="BF59" s="40">
        <v>0</v>
      </c>
      <c r="BG59" s="34">
        <v>1</v>
      </c>
      <c r="BH59" s="40">
        <v>0</v>
      </c>
      <c r="BI59" s="34">
        <v>1</v>
      </c>
      <c r="BJ59" s="34">
        <v>0</v>
      </c>
      <c r="BK59" s="40">
        <v>0</v>
      </c>
      <c r="BL59" s="958">
        <v>0</v>
      </c>
      <c r="BM59" s="958">
        <v>14.9</v>
      </c>
      <c r="BN59" s="32">
        <f t="shared" ca="1" si="63"/>
        <v>97.065000000000012</v>
      </c>
      <c r="BO59">
        <f t="shared" ca="1" si="64"/>
        <v>307.37190000000004</v>
      </c>
      <c r="BP59">
        <f t="shared" ca="1" si="65"/>
        <v>0</v>
      </c>
      <c r="BQ59">
        <f t="shared" ca="1" si="66"/>
        <v>84.313999999999993</v>
      </c>
      <c r="BR59">
        <f t="shared" ca="1" si="67"/>
        <v>0</v>
      </c>
      <c r="BS59">
        <f t="shared" ca="1" si="68"/>
        <v>10</v>
      </c>
      <c r="BT59">
        <f t="shared" ca="1" si="69"/>
        <v>0</v>
      </c>
      <c r="BU59">
        <v>0</v>
      </c>
      <c r="BV59">
        <f t="shared" ca="1" si="70"/>
        <v>0</v>
      </c>
      <c r="BW59">
        <f t="shared" ca="1" si="71"/>
        <v>190.06608448415921</v>
      </c>
      <c r="BX59">
        <f t="shared" ca="1" si="72"/>
        <v>0</v>
      </c>
      <c r="BY59">
        <f t="shared" ca="1" si="73"/>
        <v>49.999999949999996</v>
      </c>
      <c r="BZ59">
        <f t="shared" ca="1" si="74"/>
        <v>0</v>
      </c>
      <c r="CA59">
        <f t="shared" si="75"/>
        <v>0</v>
      </c>
      <c r="CB59" s="1018">
        <f t="shared" ca="1" si="78"/>
        <v>240.06608443415919</v>
      </c>
      <c r="CC59" s="1018">
        <f t="shared" ca="1" si="79"/>
        <v>57.095376884597556</v>
      </c>
      <c r="CD59">
        <f t="shared" ca="1" si="22"/>
        <v>8.9148438395627032</v>
      </c>
      <c r="CE59">
        <f t="shared" ca="1" si="23"/>
        <v>14842.858399118319</v>
      </c>
    </row>
    <row r="60" spans="4:83" x14ac:dyDescent="0.25">
      <c r="D60" s="794"/>
      <c r="E60" s="793"/>
      <c r="F60" s="794"/>
      <c r="G60" s="793"/>
      <c r="H60" s="797"/>
      <c r="I60" s="797"/>
      <c r="J60" s="797"/>
      <c r="K60" s="797"/>
      <c r="L60" s="797"/>
      <c r="M60" s="797"/>
      <c r="N60" s="797"/>
      <c r="O60" s="800" t="s">
        <v>7</v>
      </c>
      <c r="P60" s="797">
        <v>0.4375</v>
      </c>
      <c r="Q60" s="794"/>
      <c r="R60" s="803">
        <v>1.465805079210394E-3</v>
      </c>
      <c r="S60" s="876"/>
      <c r="T60" s="34">
        <f>R60-R60*Calculation_sheet!F$58</f>
        <v>1.465805079210394E-3</v>
      </c>
      <c r="U60" s="176">
        <f>T60-T60*Calculation_sheet!E$66</f>
        <v>1.465805079210394E-3</v>
      </c>
      <c r="V60" s="176">
        <f>U60-U60*Calculation_sheet!E81</f>
        <v>1.465805079210394E-3</v>
      </c>
      <c r="W60" s="176">
        <f>V60/Calculation_sheet!M$67</f>
        <v>1.4658350496893735E-3</v>
      </c>
      <c r="X60" s="958">
        <f ca="1">IF(AL60&gt;0,W60*Calculation_sheet!C$87,0)</f>
        <v>0</v>
      </c>
      <c r="Y60" s="176">
        <f t="shared" ca="1" si="76"/>
        <v>1.4658350496893735E-3</v>
      </c>
      <c r="Z60" s="176">
        <f>IF(AN60&gt;0,Y60*Calculation_sheet!C$94,0)</f>
        <v>0</v>
      </c>
      <c r="AA60" s="958">
        <f t="shared" ca="1" si="62"/>
        <v>1.4658350496893735E-3</v>
      </c>
      <c r="AB60" s="176">
        <f ca="1">AA60*Calculation_sheet!C$99</f>
        <v>8.7950102981362399E-4</v>
      </c>
      <c r="AC60" s="958">
        <f t="shared" ca="1" si="62"/>
        <v>5.8633401987574947E-4</v>
      </c>
      <c r="AD60" s="176">
        <f t="shared" si="77"/>
        <v>1.4658350496893735E-3</v>
      </c>
      <c r="AE60" s="176">
        <f>AD60*User_sheet!B$77/100</f>
        <v>0</v>
      </c>
      <c r="AF60" s="309"/>
      <c r="AG60" s="27">
        <v>401</v>
      </c>
      <c r="AH60" s="985"/>
      <c r="AI60" s="956">
        <f t="shared" ca="1" si="19"/>
        <v>240.06608443415919</v>
      </c>
      <c r="AJ60" s="956">
        <f ca="1">AI60/'401'!I$24</f>
        <v>1.2544341678292725</v>
      </c>
      <c r="AK60" s="956">
        <f ca="1">0.8*(AI60*30+'401'!D$17*0.34*30*1)</f>
        <v>8375.3523464198206</v>
      </c>
      <c r="AL60" s="954">
        <f ca="1">IF(AK60&lt;User_sheet!B$50,W60,0)</f>
        <v>1.4658350496893735E-3</v>
      </c>
      <c r="AM60" s="954">
        <f ca="1">20-(User_sheet!B$57/(AI60+'401'!D$17*1*0.34))</f>
        <v>3.6663588179096287</v>
      </c>
      <c r="AN60" s="954"/>
      <c r="AO60" s="985"/>
      <c r="AP60" s="2">
        <v>0</v>
      </c>
      <c r="AQ60" s="2">
        <v>3.7</v>
      </c>
      <c r="AR60" s="2">
        <v>0</v>
      </c>
      <c r="AS60" s="2">
        <v>5</v>
      </c>
      <c r="AT60" s="2">
        <v>0</v>
      </c>
      <c r="AU60" s="2">
        <v>0</v>
      </c>
      <c r="AV60" s="2">
        <v>76466.30421774846</v>
      </c>
      <c r="AW60" s="2">
        <v>0</v>
      </c>
      <c r="AX60" s="2">
        <v>0</v>
      </c>
      <c r="AY60" s="2">
        <v>0</v>
      </c>
      <c r="AZ60" s="40">
        <v>0.87</v>
      </c>
      <c r="BA60" s="34">
        <v>1</v>
      </c>
      <c r="BB60" s="34">
        <v>0</v>
      </c>
      <c r="BC60" s="40">
        <v>0</v>
      </c>
      <c r="BD60" s="34">
        <v>0</v>
      </c>
      <c r="BE60" s="34">
        <v>1</v>
      </c>
      <c r="BF60" s="40">
        <v>0</v>
      </c>
      <c r="BG60" s="34">
        <v>1</v>
      </c>
      <c r="BH60" s="40">
        <v>0</v>
      </c>
      <c r="BI60" s="34">
        <v>0</v>
      </c>
      <c r="BJ60" s="34">
        <v>0</v>
      </c>
      <c r="BK60" s="40">
        <v>1</v>
      </c>
      <c r="BL60" s="958">
        <v>0</v>
      </c>
      <c r="BM60" s="958">
        <v>14.9</v>
      </c>
      <c r="BN60" s="32">
        <f t="shared" ca="1" si="63"/>
        <v>97.065000000000012</v>
      </c>
      <c r="BO60">
        <f t="shared" ca="1" si="64"/>
        <v>307.37190000000004</v>
      </c>
      <c r="BP60">
        <f t="shared" ca="1" si="65"/>
        <v>0</v>
      </c>
      <c r="BQ60">
        <f t="shared" ca="1" si="66"/>
        <v>84.313999999999993</v>
      </c>
      <c r="BR60">
        <f t="shared" ca="1" si="67"/>
        <v>0</v>
      </c>
      <c r="BS60">
        <f t="shared" ca="1" si="68"/>
        <v>10</v>
      </c>
      <c r="BT60">
        <f t="shared" ca="1" si="69"/>
        <v>0</v>
      </c>
      <c r="BU60">
        <v>0</v>
      </c>
      <c r="BV60">
        <f t="shared" ca="1" si="70"/>
        <v>0</v>
      </c>
      <c r="BW60">
        <f t="shared" ca="1" si="71"/>
        <v>190.06608448415921</v>
      </c>
      <c r="BX60">
        <f t="shared" ca="1" si="72"/>
        <v>0</v>
      </c>
      <c r="BY60">
        <f t="shared" ca="1" si="73"/>
        <v>49.999999949999996</v>
      </c>
      <c r="BZ60">
        <f t="shared" ca="1" si="74"/>
        <v>0</v>
      </c>
      <c r="CA60">
        <f t="shared" si="75"/>
        <v>0</v>
      </c>
      <c r="CB60" s="1018">
        <f t="shared" ca="1" si="78"/>
        <v>240.06608443415919</v>
      </c>
      <c r="CC60" s="1018">
        <f t="shared" ca="1" si="79"/>
        <v>57.095376884597556</v>
      </c>
      <c r="CD60">
        <f t="shared" ca="1" si="22"/>
        <v>8.9148438395627032</v>
      </c>
      <c r="CE60">
        <f t="shared" ca="1" si="23"/>
        <v>14842.858399118319</v>
      </c>
    </row>
    <row r="61" spans="4:83" x14ac:dyDescent="0.25">
      <c r="D61" s="794"/>
      <c r="E61" s="793"/>
      <c r="F61" s="794"/>
      <c r="G61" s="793"/>
      <c r="H61" s="797"/>
      <c r="I61" s="797"/>
      <c r="J61" s="797"/>
      <c r="K61" s="797"/>
      <c r="L61" s="797"/>
      <c r="M61" s="797" t="s">
        <v>60</v>
      </c>
      <c r="N61" s="797">
        <v>0.34</v>
      </c>
      <c r="O61" s="795" t="s">
        <v>57</v>
      </c>
      <c r="P61" s="797">
        <v>0.96430000000000005</v>
      </c>
      <c r="Q61" s="794"/>
      <c r="R61" s="803">
        <v>1.7834089673284155E-3</v>
      </c>
      <c r="S61" s="876"/>
      <c r="T61" s="34">
        <f>R61-R61*Calculation_sheet!F$58</f>
        <v>1.7834089673284155E-3</v>
      </c>
      <c r="U61" s="176">
        <f>T61-T61*Calculation_sheet!E$66</f>
        <v>1.7834089673284155E-3</v>
      </c>
      <c r="V61" s="176">
        <f>U61-U61*Calculation_sheet!E82</f>
        <v>1.7834089673284155E-3</v>
      </c>
      <c r="W61" s="176">
        <f>V61/Calculation_sheet!M$67</f>
        <v>1.783445431672635E-3</v>
      </c>
      <c r="X61" s="958">
        <f ca="1">IF(AL61&gt;0,W61*Calculation_sheet!C$87,0)</f>
        <v>0</v>
      </c>
      <c r="Y61" s="176">
        <f t="shared" ca="1" si="76"/>
        <v>1.783445431672635E-3</v>
      </c>
      <c r="Z61" s="176">
        <f>IF(AN61&gt;0,Y61*Calculation_sheet!C$94,0)</f>
        <v>0</v>
      </c>
      <c r="AA61" s="958">
        <f t="shared" ca="1" si="62"/>
        <v>1.783445431672635E-3</v>
      </c>
      <c r="AB61" s="176">
        <f ca="1">AA61*Calculation_sheet!C$99</f>
        <v>1.070067259003581E-3</v>
      </c>
      <c r="AC61" s="958">
        <f t="shared" ca="1" si="62"/>
        <v>7.1337817266905394E-4</v>
      </c>
      <c r="AD61" s="176">
        <f t="shared" si="77"/>
        <v>1.783445431672635E-3</v>
      </c>
      <c r="AE61" s="176">
        <f>AD61*User_sheet!B$77/100</f>
        <v>0</v>
      </c>
      <c r="AF61" s="309"/>
      <c r="AG61" s="27">
        <v>401</v>
      </c>
      <c r="AH61" s="985"/>
      <c r="AI61" s="956">
        <f t="shared" ca="1" si="19"/>
        <v>240.06608443415919</v>
      </c>
      <c r="AJ61" s="956">
        <f ca="1">AI61/'401'!I$24</f>
        <v>1.2544341678292725</v>
      </c>
      <c r="AK61" s="956">
        <f ca="1">0.8*(AI61*30+'401'!D$17*0.34*30*1)</f>
        <v>8375.3523464198206</v>
      </c>
      <c r="AL61" s="954">
        <f ca="1">IF(AK61&lt;User_sheet!B$50,W61,0)</f>
        <v>1.783445431672635E-3</v>
      </c>
      <c r="AM61" s="954">
        <f ca="1">20-(User_sheet!B$57/(AI61+'401'!D$17*1*0.34))</f>
        <v>3.6663588179096287</v>
      </c>
      <c r="AN61" s="954"/>
      <c r="AO61" s="985"/>
      <c r="AP61" s="2">
        <v>0</v>
      </c>
      <c r="AQ61" s="2">
        <v>3.7</v>
      </c>
      <c r="AR61" s="2">
        <v>0</v>
      </c>
      <c r="AS61" s="2">
        <v>5</v>
      </c>
      <c r="AT61" s="2">
        <v>0</v>
      </c>
      <c r="AU61" s="2">
        <v>0</v>
      </c>
      <c r="AV61" s="2">
        <v>76466.30421774846</v>
      </c>
      <c r="AW61" s="2">
        <v>0</v>
      </c>
      <c r="AX61" s="2">
        <v>0</v>
      </c>
      <c r="AY61" s="2">
        <v>0</v>
      </c>
      <c r="AZ61" s="40">
        <v>0.87</v>
      </c>
      <c r="BA61" s="34">
        <v>0</v>
      </c>
      <c r="BB61" s="34">
        <v>1</v>
      </c>
      <c r="BC61" s="40">
        <v>0</v>
      </c>
      <c r="BD61" s="34">
        <v>1</v>
      </c>
      <c r="BE61" s="34">
        <v>0</v>
      </c>
      <c r="BF61" s="40">
        <v>0</v>
      </c>
      <c r="BG61" s="34">
        <v>1</v>
      </c>
      <c r="BH61" s="40">
        <v>0</v>
      </c>
      <c r="BI61" s="34">
        <v>0</v>
      </c>
      <c r="BJ61" s="34">
        <v>1</v>
      </c>
      <c r="BK61" s="40">
        <v>0</v>
      </c>
      <c r="BL61" s="958">
        <v>0</v>
      </c>
      <c r="BM61" s="958">
        <v>14.9</v>
      </c>
      <c r="BN61" s="32">
        <f t="shared" ca="1" si="63"/>
        <v>97.065000000000012</v>
      </c>
      <c r="BO61">
        <f t="shared" ca="1" si="64"/>
        <v>307.37190000000004</v>
      </c>
      <c r="BP61">
        <f t="shared" ca="1" si="65"/>
        <v>0</v>
      </c>
      <c r="BQ61">
        <f t="shared" ca="1" si="66"/>
        <v>84.313999999999993</v>
      </c>
      <c r="BR61">
        <f t="shared" ca="1" si="67"/>
        <v>0</v>
      </c>
      <c r="BS61">
        <f t="shared" ca="1" si="68"/>
        <v>10</v>
      </c>
      <c r="BT61">
        <f t="shared" ca="1" si="69"/>
        <v>0</v>
      </c>
      <c r="BU61">
        <v>0</v>
      </c>
      <c r="BV61">
        <f t="shared" ca="1" si="70"/>
        <v>0</v>
      </c>
      <c r="BW61">
        <f t="shared" ca="1" si="71"/>
        <v>190.06608448415921</v>
      </c>
      <c r="BX61">
        <f t="shared" ca="1" si="72"/>
        <v>0</v>
      </c>
      <c r="BY61">
        <f t="shared" ca="1" si="73"/>
        <v>49.999999949999996</v>
      </c>
      <c r="BZ61">
        <f t="shared" ca="1" si="74"/>
        <v>0</v>
      </c>
      <c r="CA61">
        <f t="shared" si="75"/>
        <v>0</v>
      </c>
      <c r="CB61" s="1018">
        <f t="shared" ca="1" si="78"/>
        <v>240.06608443415919</v>
      </c>
      <c r="CC61" s="1018">
        <f t="shared" ca="1" si="79"/>
        <v>57.095376884597556</v>
      </c>
      <c r="CD61">
        <f t="shared" ca="1" si="22"/>
        <v>8.9148438395627032</v>
      </c>
      <c r="CE61">
        <f t="shared" ca="1" si="23"/>
        <v>14842.858399118319</v>
      </c>
    </row>
    <row r="62" spans="4:83" x14ac:dyDescent="0.25">
      <c r="D62" s="794"/>
      <c r="E62" s="793"/>
      <c r="F62" s="794"/>
      <c r="G62" s="793"/>
      <c r="H62" s="797"/>
      <c r="I62" s="797"/>
      <c r="J62" s="797"/>
      <c r="K62" s="797"/>
      <c r="L62" s="797"/>
      <c r="M62" s="797"/>
      <c r="N62" s="797"/>
      <c r="O62" s="795" t="s">
        <v>7</v>
      </c>
      <c r="P62" s="797">
        <v>3.5700000000000003E-2</v>
      </c>
      <c r="Q62" s="794"/>
      <c r="R62" s="803">
        <v>6.6024784956574123E-5</v>
      </c>
      <c r="S62" s="876"/>
      <c r="T62" s="34">
        <f>R62-R62*Calculation_sheet!F$58</f>
        <v>6.6024784956574123E-5</v>
      </c>
      <c r="U62" s="176">
        <f>T62-T62*Calculation_sheet!E$66</f>
        <v>6.6024784956574123E-5</v>
      </c>
      <c r="V62" s="176">
        <f>U62-U62*Calculation_sheet!E83</f>
        <v>6.6024784956574123E-5</v>
      </c>
      <c r="W62" s="176">
        <f>V62/Calculation_sheet!M$67</f>
        <v>6.6026134927629434E-5</v>
      </c>
      <c r="X62" s="958">
        <f ca="1">IF(AL62&gt;0,W62*Calculation_sheet!C$87,0)</f>
        <v>0</v>
      </c>
      <c r="Y62" s="176">
        <f t="shared" ca="1" si="76"/>
        <v>6.6026134927629434E-5</v>
      </c>
      <c r="Z62" s="176">
        <f>IF(AN62&gt;0,Y62*Calculation_sheet!C$94,0)</f>
        <v>0</v>
      </c>
      <c r="AA62" s="958">
        <f t="shared" ca="1" si="62"/>
        <v>6.6026134927629434E-5</v>
      </c>
      <c r="AB62" s="176">
        <f ca="1">AA62*Calculation_sheet!C$99</f>
        <v>3.9615680956577658E-5</v>
      </c>
      <c r="AC62" s="958">
        <f t="shared" ca="1" si="62"/>
        <v>2.6410453971051776E-5</v>
      </c>
      <c r="AD62" s="176">
        <f t="shared" si="77"/>
        <v>6.6026134927629434E-5</v>
      </c>
      <c r="AE62" s="176">
        <f>AD62*User_sheet!B$77/100</f>
        <v>0</v>
      </c>
      <c r="AF62" s="309"/>
      <c r="AG62" s="27">
        <v>401</v>
      </c>
      <c r="AH62" s="985"/>
      <c r="AI62" s="956">
        <f t="shared" ca="1" si="19"/>
        <v>240.06608443415919</v>
      </c>
      <c r="AJ62" s="956">
        <f ca="1">AI62/'401'!I$24</f>
        <v>1.2544341678292725</v>
      </c>
      <c r="AK62" s="956">
        <f ca="1">0.8*(AI62*30+'401'!D$17*0.34*30*1)</f>
        <v>8375.3523464198206</v>
      </c>
      <c r="AL62" s="954">
        <f ca="1">IF(AK62&lt;User_sheet!B$50,W62,0)</f>
        <v>6.6026134927629434E-5</v>
      </c>
      <c r="AM62" s="954">
        <f ca="1">20-(User_sheet!B$57/(AI62+'401'!D$17*1*0.34))</f>
        <v>3.6663588179096287</v>
      </c>
      <c r="AN62" s="954"/>
      <c r="AO62" s="985"/>
      <c r="AP62" s="2">
        <v>0</v>
      </c>
      <c r="AQ62" s="2">
        <v>3.7</v>
      </c>
      <c r="AR62" s="2">
        <v>0</v>
      </c>
      <c r="AS62" s="2">
        <v>5</v>
      </c>
      <c r="AT62" s="2">
        <v>0</v>
      </c>
      <c r="AU62" s="2">
        <v>0</v>
      </c>
      <c r="AV62" s="2">
        <v>76466.30421774846</v>
      </c>
      <c r="AW62" s="2"/>
      <c r="AX62" s="2"/>
      <c r="AY62" s="2"/>
      <c r="AZ62" s="40">
        <v>0.87</v>
      </c>
      <c r="BA62" s="34">
        <v>0</v>
      </c>
      <c r="BB62" s="34">
        <v>1</v>
      </c>
      <c r="BC62" s="40">
        <v>0</v>
      </c>
      <c r="BD62" s="34">
        <v>1</v>
      </c>
      <c r="BE62" s="34">
        <v>0</v>
      </c>
      <c r="BF62" s="40">
        <v>0</v>
      </c>
      <c r="BG62" s="34">
        <v>1</v>
      </c>
      <c r="BH62" s="40">
        <v>0</v>
      </c>
      <c r="BI62" s="34">
        <v>0</v>
      </c>
      <c r="BJ62" s="34">
        <v>0</v>
      </c>
      <c r="BK62" s="40">
        <v>1</v>
      </c>
      <c r="BL62" s="958">
        <v>0</v>
      </c>
      <c r="BM62" s="958">
        <v>14.9</v>
      </c>
      <c r="BN62" s="32">
        <f t="shared" ca="1" si="63"/>
        <v>97.065000000000012</v>
      </c>
      <c r="BO62">
        <f t="shared" ca="1" si="64"/>
        <v>307.37190000000004</v>
      </c>
      <c r="BP62">
        <f t="shared" ca="1" si="65"/>
        <v>0</v>
      </c>
      <c r="BQ62">
        <f t="shared" ca="1" si="66"/>
        <v>84.313999999999993</v>
      </c>
      <c r="BR62">
        <f t="shared" ca="1" si="67"/>
        <v>0</v>
      </c>
      <c r="BS62">
        <f t="shared" ca="1" si="68"/>
        <v>10</v>
      </c>
      <c r="BT62">
        <f t="shared" ca="1" si="69"/>
        <v>0</v>
      </c>
      <c r="BU62">
        <v>0</v>
      </c>
      <c r="BV62">
        <f t="shared" ca="1" si="70"/>
        <v>0</v>
      </c>
      <c r="BW62">
        <f t="shared" ca="1" si="71"/>
        <v>190.06608448415921</v>
      </c>
      <c r="BX62">
        <f t="shared" ca="1" si="72"/>
        <v>0</v>
      </c>
      <c r="BY62">
        <f t="shared" ca="1" si="73"/>
        <v>49.999999949999996</v>
      </c>
      <c r="BZ62">
        <f t="shared" ca="1" si="74"/>
        <v>0</v>
      </c>
      <c r="CA62">
        <f t="shared" si="75"/>
        <v>0</v>
      </c>
      <c r="CB62" s="1018">
        <f t="shared" ca="1" si="78"/>
        <v>240.06608443415919</v>
      </c>
      <c r="CC62" s="1018">
        <f t="shared" ca="1" si="79"/>
        <v>57.095376884597556</v>
      </c>
      <c r="CD62">
        <f t="shared" ca="1" si="22"/>
        <v>8.9148438395627032</v>
      </c>
      <c r="CE62">
        <f t="shared" ca="1" si="23"/>
        <v>14842.858399118319</v>
      </c>
    </row>
    <row r="63" spans="4:83" x14ac:dyDescent="0.25">
      <c r="D63" s="794"/>
      <c r="E63" s="793"/>
      <c r="F63" s="794"/>
      <c r="G63" s="793"/>
      <c r="H63" s="797"/>
      <c r="I63" s="797"/>
      <c r="J63" s="797"/>
      <c r="K63" s="797" t="s">
        <v>58</v>
      </c>
      <c r="L63" s="797">
        <v>0.95</v>
      </c>
      <c r="M63" s="797" t="s">
        <v>61</v>
      </c>
      <c r="N63" s="797">
        <v>0.65999999999999992</v>
      </c>
      <c r="O63" s="795" t="s">
        <v>57</v>
      </c>
      <c r="P63" s="797">
        <v>0.96430000000000005</v>
      </c>
      <c r="Q63" s="794"/>
      <c r="R63" s="803">
        <v>3.4619115248139816E-3</v>
      </c>
      <c r="S63" s="876"/>
      <c r="T63" s="34">
        <f>R63-R63*Calculation_sheet!F$58</f>
        <v>3.4619115248139816E-3</v>
      </c>
      <c r="U63" s="176">
        <f>T63-T63*Calculation_sheet!E$66</f>
        <v>3.4619115248139816E-3</v>
      </c>
      <c r="V63" s="176">
        <f>U63-U63*Calculation_sheet!E84</f>
        <v>3.4619115248139816E-3</v>
      </c>
      <c r="W63" s="176">
        <f>V63/Calculation_sheet!M$67</f>
        <v>3.4619823085409959E-3</v>
      </c>
      <c r="X63" s="958">
        <f ca="1">IF(AL63&gt;0,W63*Calculation_sheet!C$87,0)</f>
        <v>0</v>
      </c>
      <c r="Y63" s="176">
        <f t="shared" ca="1" si="76"/>
        <v>3.4619823085409959E-3</v>
      </c>
      <c r="Z63" s="176">
        <f>IF(AN63&gt;0,Y63*Calculation_sheet!C$94,0)</f>
        <v>0</v>
      </c>
      <c r="AA63" s="958">
        <f t="shared" ca="1" si="62"/>
        <v>3.4619823085409959E-3</v>
      </c>
      <c r="AB63" s="176">
        <f ca="1">AA63*Calculation_sheet!C$99</f>
        <v>2.0771893851245973E-3</v>
      </c>
      <c r="AC63" s="958">
        <f t="shared" ca="1" si="62"/>
        <v>1.3847929234163986E-3</v>
      </c>
      <c r="AD63" s="176">
        <f t="shared" si="77"/>
        <v>3.4619823085409959E-3</v>
      </c>
      <c r="AE63" s="176">
        <f>AD63*User_sheet!B$77/100</f>
        <v>0</v>
      </c>
      <c r="AF63" s="309"/>
      <c r="AG63" s="27">
        <v>401</v>
      </c>
      <c r="AH63" s="985"/>
      <c r="AI63" s="956">
        <f t="shared" ca="1" si="19"/>
        <v>240.06608443415919</v>
      </c>
      <c r="AJ63" s="956">
        <f ca="1">AI63/'401'!I$24</f>
        <v>1.2544341678292725</v>
      </c>
      <c r="AK63" s="956">
        <f ca="1">0.8*(AI63*30+'401'!D$17*0.34*30*1)</f>
        <v>8375.3523464198206</v>
      </c>
      <c r="AL63" s="954">
        <f ca="1">IF(AK63&lt;User_sheet!B$50,W63,0)</f>
        <v>3.4619823085409959E-3</v>
      </c>
      <c r="AM63" s="954">
        <f ca="1">20-(User_sheet!B$57/(AI63+'401'!D$17*1*0.34))</f>
        <v>3.6663588179096287</v>
      </c>
      <c r="AN63" s="954"/>
      <c r="AO63" s="985"/>
      <c r="AP63" s="2">
        <v>0</v>
      </c>
      <c r="AQ63" s="2">
        <v>3.7</v>
      </c>
      <c r="AR63" s="2">
        <v>0</v>
      </c>
      <c r="AS63" s="2">
        <v>5</v>
      </c>
      <c r="AT63" s="2">
        <v>0</v>
      </c>
      <c r="AU63" s="2">
        <v>0</v>
      </c>
      <c r="AV63" s="2">
        <v>76466.30421774846</v>
      </c>
      <c r="AW63" s="2">
        <v>0</v>
      </c>
      <c r="AX63" s="2">
        <v>0</v>
      </c>
      <c r="AY63" s="2">
        <v>0</v>
      </c>
      <c r="AZ63" s="40">
        <v>0.87</v>
      </c>
      <c r="BA63" s="34">
        <v>0</v>
      </c>
      <c r="BB63" s="34">
        <v>1</v>
      </c>
      <c r="BC63" s="40">
        <v>0</v>
      </c>
      <c r="BD63" s="34">
        <v>1</v>
      </c>
      <c r="BE63" s="34">
        <v>0</v>
      </c>
      <c r="BF63" s="40">
        <v>0</v>
      </c>
      <c r="BG63" s="34">
        <v>0</v>
      </c>
      <c r="BH63" s="40">
        <v>1</v>
      </c>
      <c r="BI63" s="34">
        <v>0</v>
      </c>
      <c r="BJ63" s="34">
        <v>1</v>
      </c>
      <c r="BK63" s="40">
        <v>0</v>
      </c>
      <c r="BL63" s="958">
        <v>0</v>
      </c>
      <c r="BM63" s="958">
        <v>14.9</v>
      </c>
      <c r="BN63" s="32">
        <f t="shared" ca="1" si="63"/>
        <v>97.065000000000012</v>
      </c>
      <c r="BO63">
        <f t="shared" ca="1" si="64"/>
        <v>307.37190000000004</v>
      </c>
      <c r="BP63">
        <f t="shared" ca="1" si="65"/>
        <v>0</v>
      </c>
      <c r="BQ63">
        <f t="shared" ca="1" si="66"/>
        <v>84.313999999999993</v>
      </c>
      <c r="BR63">
        <f t="shared" ca="1" si="67"/>
        <v>0</v>
      </c>
      <c r="BS63">
        <f t="shared" ca="1" si="68"/>
        <v>10</v>
      </c>
      <c r="BT63">
        <f t="shared" ca="1" si="69"/>
        <v>0</v>
      </c>
      <c r="BU63">
        <v>0</v>
      </c>
      <c r="BV63">
        <f t="shared" ca="1" si="70"/>
        <v>0</v>
      </c>
      <c r="BW63">
        <f t="shared" ca="1" si="71"/>
        <v>190.06608448415921</v>
      </c>
      <c r="BX63">
        <f t="shared" ca="1" si="72"/>
        <v>0</v>
      </c>
      <c r="BY63">
        <f t="shared" ca="1" si="73"/>
        <v>49.999999949999996</v>
      </c>
      <c r="BZ63">
        <f t="shared" ca="1" si="74"/>
        <v>0</v>
      </c>
      <c r="CA63">
        <f t="shared" si="75"/>
        <v>0</v>
      </c>
      <c r="CB63" s="1018">
        <f t="shared" ca="1" si="78"/>
        <v>240.06608443415919</v>
      </c>
      <c r="CC63" s="1018">
        <f t="shared" ca="1" si="79"/>
        <v>57.095376884597556</v>
      </c>
      <c r="CD63">
        <f t="shared" ca="1" si="22"/>
        <v>8.9148438395627032</v>
      </c>
      <c r="CE63">
        <f t="shared" ca="1" si="23"/>
        <v>14842.858399118319</v>
      </c>
    </row>
    <row r="64" spans="4:83" x14ac:dyDescent="0.25">
      <c r="D64" s="794"/>
      <c r="E64" s="793"/>
      <c r="F64" s="793"/>
      <c r="G64" s="793"/>
      <c r="H64" s="794"/>
      <c r="I64" s="797" t="s">
        <v>57</v>
      </c>
      <c r="J64" s="797">
        <v>0.28000000000000003</v>
      </c>
      <c r="K64" s="797"/>
      <c r="L64" s="797"/>
      <c r="M64" s="797"/>
      <c r="N64" s="797"/>
      <c r="O64" s="795" t="s">
        <v>7</v>
      </c>
      <c r="P64" s="797">
        <v>3.5700000000000003E-2</v>
      </c>
      <c r="Q64" s="794"/>
      <c r="R64" s="803">
        <v>1.2816575903334973E-4</v>
      </c>
      <c r="S64" s="876"/>
      <c r="T64" s="34">
        <f>R64-R64*Calculation_sheet!F$58</f>
        <v>1.2816575903334973E-4</v>
      </c>
      <c r="U64" s="176">
        <f>T64-T64*Calculation_sheet!E$66</f>
        <v>1.2816575903334973E-4</v>
      </c>
      <c r="V64" s="176">
        <f>U64-U64*Calculation_sheet!E85</f>
        <v>1.2816575903334973E-4</v>
      </c>
      <c r="W64" s="176">
        <f>V64/Calculation_sheet!M$67</f>
        <v>1.2816837956539827E-4</v>
      </c>
      <c r="X64" s="958">
        <f ca="1">IF(AL64&gt;0,W64*Calculation_sheet!C$87,0)</f>
        <v>0</v>
      </c>
      <c r="Y64" s="176">
        <f t="shared" ca="1" si="76"/>
        <v>1.2816837956539827E-4</v>
      </c>
      <c r="Z64" s="176">
        <f>IF(AN64&gt;0,Y64*Calculation_sheet!C$94,0)</f>
        <v>0</v>
      </c>
      <c r="AA64" s="958">
        <f t="shared" ca="1" si="62"/>
        <v>1.2816837956539827E-4</v>
      </c>
      <c r="AB64" s="176">
        <f ca="1">AA64*Calculation_sheet!C$99</f>
        <v>7.6901027739238967E-5</v>
      </c>
      <c r="AC64" s="958">
        <f t="shared" ca="1" si="62"/>
        <v>5.1267351826159307E-5</v>
      </c>
      <c r="AD64" s="176">
        <f t="shared" si="77"/>
        <v>1.2816837956539827E-4</v>
      </c>
      <c r="AE64" s="176">
        <f>AD64*User_sheet!B$77/100</f>
        <v>0</v>
      </c>
      <c r="AF64" s="309"/>
      <c r="AG64" s="27">
        <v>401</v>
      </c>
      <c r="AH64" s="985"/>
      <c r="AI64" s="956">
        <f t="shared" ca="1" si="19"/>
        <v>240.06608443415919</v>
      </c>
      <c r="AJ64" s="956">
        <f ca="1">AI64/'401'!I$24</f>
        <v>1.2544341678292725</v>
      </c>
      <c r="AK64" s="956">
        <f ca="1">0.8*(AI64*30+'401'!D$17*0.34*30*1)</f>
        <v>8375.3523464198206</v>
      </c>
      <c r="AL64" s="954">
        <f ca="1">IF(AK64&lt;User_sheet!B$50,W64,0)</f>
        <v>1.2816837956539827E-4</v>
      </c>
      <c r="AM64" s="954">
        <f ca="1">20-(User_sheet!B$57/(AI64+'401'!D$17*1*0.34))</f>
        <v>3.6663588179096287</v>
      </c>
      <c r="AN64" s="954"/>
      <c r="AO64" s="985"/>
      <c r="AP64" s="2">
        <v>0</v>
      </c>
      <c r="AQ64" s="2">
        <v>3.7</v>
      </c>
      <c r="AR64" s="2">
        <v>0</v>
      </c>
      <c r="AS64" s="2">
        <v>5</v>
      </c>
      <c r="AT64" s="2">
        <v>0</v>
      </c>
      <c r="AU64" s="2">
        <v>0</v>
      </c>
      <c r="AV64" s="2">
        <v>76466.30421774846</v>
      </c>
      <c r="AW64" s="2">
        <v>0</v>
      </c>
      <c r="AX64" s="2">
        <v>0</v>
      </c>
      <c r="AY64" s="2">
        <v>0</v>
      </c>
      <c r="AZ64" s="40">
        <v>0.87</v>
      </c>
      <c r="BA64" s="34">
        <v>0</v>
      </c>
      <c r="BB64" s="34">
        <v>1</v>
      </c>
      <c r="BC64" s="40">
        <v>0</v>
      </c>
      <c r="BD64" s="34">
        <v>1</v>
      </c>
      <c r="BE64" s="34">
        <v>0</v>
      </c>
      <c r="BF64" s="40">
        <v>0</v>
      </c>
      <c r="BG64" s="34">
        <v>0</v>
      </c>
      <c r="BH64" s="40">
        <v>1</v>
      </c>
      <c r="BI64" s="34">
        <v>0</v>
      </c>
      <c r="BJ64" s="34">
        <v>0</v>
      </c>
      <c r="BK64" s="40">
        <v>1</v>
      </c>
      <c r="BL64" s="958">
        <v>0</v>
      </c>
      <c r="BM64" s="958">
        <v>14.9</v>
      </c>
      <c r="BN64" s="32">
        <f t="shared" ca="1" si="63"/>
        <v>97.065000000000012</v>
      </c>
      <c r="BO64">
        <f t="shared" ca="1" si="64"/>
        <v>307.37190000000004</v>
      </c>
      <c r="BP64">
        <f t="shared" ca="1" si="65"/>
        <v>0</v>
      </c>
      <c r="BQ64">
        <f t="shared" ca="1" si="66"/>
        <v>84.313999999999993</v>
      </c>
      <c r="BR64">
        <f t="shared" ca="1" si="67"/>
        <v>0</v>
      </c>
      <c r="BS64">
        <f t="shared" ca="1" si="68"/>
        <v>10</v>
      </c>
      <c r="BT64">
        <f t="shared" ca="1" si="69"/>
        <v>0</v>
      </c>
      <c r="BU64">
        <v>0</v>
      </c>
      <c r="BV64">
        <f t="shared" ca="1" si="70"/>
        <v>0</v>
      </c>
      <c r="BW64">
        <f t="shared" ca="1" si="71"/>
        <v>190.06608448415921</v>
      </c>
      <c r="BX64">
        <f t="shared" ca="1" si="72"/>
        <v>0</v>
      </c>
      <c r="BY64">
        <f t="shared" ca="1" si="73"/>
        <v>49.999999949999996</v>
      </c>
      <c r="BZ64">
        <f t="shared" ca="1" si="74"/>
        <v>0</v>
      </c>
      <c r="CA64">
        <f t="shared" si="75"/>
        <v>0</v>
      </c>
      <c r="CB64" s="1018">
        <f t="shared" ca="1" si="78"/>
        <v>240.06608443415919</v>
      </c>
      <c r="CC64" s="1018">
        <f t="shared" ca="1" si="79"/>
        <v>57.095376884597556</v>
      </c>
      <c r="CD64">
        <f t="shared" ca="1" si="22"/>
        <v>8.9148438395627032</v>
      </c>
      <c r="CE64">
        <f t="shared" ca="1" si="23"/>
        <v>14842.858399118319</v>
      </c>
    </row>
    <row r="65" spans="4:83" x14ac:dyDescent="0.25">
      <c r="D65" s="794"/>
      <c r="E65" s="793"/>
      <c r="F65" s="793"/>
      <c r="G65" s="793"/>
      <c r="H65" s="794"/>
      <c r="I65" s="797"/>
      <c r="J65" s="797"/>
      <c r="K65" s="797" t="s">
        <v>59</v>
      </c>
      <c r="L65" s="797">
        <v>0.05</v>
      </c>
      <c r="M65" s="797"/>
      <c r="N65" s="797"/>
      <c r="O65" s="800" t="s">
        <v>57</v>
      </c>
      <c r="P65" s="797">
        <v>0.96430000000000005</v>
      </c>
      <c r="Q65" s="794"/>
      <c r="R65" s="803">
        <v>2.7606949958644203E-4</v>
      </c>
      <c r="S65" s="876"/>
      <c r="T65" s="34">
        <f>R65-R65*Calculation_sheet!F$58</f>
        <v>2.7606949958644203E-4</v>
      </c>
      <c r="U65" s="176">
        <f>T65-T65*Calculation_sheet!E$66</f>
        <v>2.7606949958644203E-4</v>
      </c>
      <c r="V65" s="176">
        <f>U65-U65*Calculation_sheet!E86</f>
        <v>2.7606949958644203E-4</v>
      </c>
      <c r="W65" s="176">
        <f>V65/Calculation_sheet!M$67</f>
        <v>2.7607514422177013E-4</v>
      </c>
      <c r="X65" s="958">
        <f ca="1">IF(AL65&gt;0,W65*Calculation_sheet!C$87,0)</f>
        <v>0</v>
      </c>
      <c r="Y65" s="176">
        <f t="shared" ca="1" si="76"/>
        <v>2.7607514422177013E-4</v>
      </c>
      <c r="Z65" s="176">
        <f>IF(AN65&gt;0,Y65*Calculation_sheet!C$94,0)</f>
        <v>0</v>
      </c>
      <c r="AA65" s="958">
        <f t="shared" ca="1" si="62"/>
        <v>2.7607514422177013E-4</v>
      </c>
      <c r="AB65" s="176">
        <f ca="1">AA65*Calculation_sheet!C$99</f>
        <v>1.6564508653306206E-4</v>
      </c>
      <c r="AC65" s="958">
        <f t="shared" ca="1" si="62"/>
        <v>1.1043005768870807E-4</v>
      </c>
      <c r="AD65" s="176">
        <f t="shared" si="77"/>
        <v>2.7607514422177013E-4</v>
      </c>
      <c r="AE65" s="176">
        <f>AD65*User_sheet!B$77/100</f>
        <v>0</v>
      </c>
      <c r="AF65" s="309"/>
      <c r="AG65" s="27">
        <v>401</v>
      </c>
      <c r="AH65" s="985"/>
      <c r="AI65" s="956">
        <f t="shared" ca="1" si="19"/>
        <v>240.06608443415919</v>
      </c>
      <c r="AJ65" s="956">
        <f ca="1">AI65/'401'!I$24</f>
        <v>1.2544341678292725</v>
      </c>
      <c r="AK65" s="956">
        <f ca="1">0.8*(AI65*30+'401'!D$17*0.34*30*1)</f>
        <v>8375.3523464198206</v>
      </c>
      <c r="AL65" s="954">
        <f ca="1">IF(AK65&lt;User_sheet!B$50,W65,0)</f>
        <v>2.7607514422177013E-4</v>
      </c>
      <c r="AM65" s="954">
        <f ca="1">20-(User_sheet!B$57/(AI65+'401'!D$17*1*0.34))</f>
        <v>3.6663588179096287</v>
      </c>
      <c r="AN65" s="954"/>
      <c r="AO65" s="985"/>
      <c r="AP65" s="2">
        <v>0</v>
      </c>
      <c r="AQ65" s="2">
        <v>3.7</v>
      </c>
      <c r="AR65" s="2">
        <v>0</v>
      </c>
      <c r="AS65" s="2">
        <v>5</v>
      </c>
      <c r="AT65" s="2">
        <v>0</v>
      </c>
      <c r="AU65" s="2">
        <v>0</v>
      </c>
      <c r="AV65" s="2">
        <v>76466.30421774846</v>
      </c>
      <c r="AW65" s="2">
        <v>0</v>
      </c>
      <c r="AX65" s="2">
        <v>0</v>
      </c>
      <c r="AY65" s="2">
        <v>0</v>
      </c>
      <c r="AZ65" s="40">
        <v>0.87</v>
      </c>
      <c r="BA65" s="34">
        <v>0</v>
      </c>
      <c r="BB65" s="34">
        <v>1</v>
      </c>
      <c r="BC65" s="40">
        <v>0</v>
      </c>
      <c r="BD65" s="34">
        <v>0</v>
      </c>
      <c r="BE65" s="34">
        <v>1</v>
      </c>
      <c r="BF65" s="40">
        <v>0</v>
      </c>
      <c r="BG65" s="34">
        <v>1</v>
      </c>
      <c r="BH65" s="40">
        <v>0</v>
      </c>
      <c r="BI65" s="34">
        <v>0</v>
      </c>
      <c r="BJ65" s="34">
        <v>1</v>
      </c>
      <c r="BK65" s="40">
        <v>0</v>
      </c>
      <c r="BL65" s="958">
        <v>0</v>
      </c>
      <c r="BM65" s="958">
        <v>14.9</v>
      </c>
      <c r="BN65" s="32">
        <f t="shared" ca="1" si="63"/>
        <v>97.065000000000012</v>
      </c>
      <c r="BO65">
        <f t="shared" ca="1" si="64"/>
        <v>307.37190000000004</v>
      </c>
      <c r="BP65">
        <f t="shared" ca="1" si="65"/>
        <v>0</v>
      </c>
      <c r="BQ65">
        <f t="shared" ca="1" si="66"/>
        <v>84.313999999999993</v>
      </c>
      <c r="BR65">
        <f t="shared" ca="1" si="67"/>
        <v>0</v>
      </c>
      <c r="BS65">
        <f t="shared" ca="1" si="68"/>
        <v>10</v>
      </c>
      <c r="BT65">
        <f t="shared" ca="1" si="69"/>
        <v>0</v>
      </c>
      <c r="BU65">
        <v>0</v>
      </c>
      <c r="BV65">
        <f t="shared" ca="1" si="70"/>
        <v>0</v>
      </c>
      <c r="BW65">
        <f t="shared" ca="1" si="71"/>
        <v>190.06608448415921</v>
      </c>
      <c r="BX65">
        <f t="shared" ca="1" si="72"/>
        <v>0</v>
      </c>
      <c r="BY65">
        <f t="shared" ca="1" si="73"/>
        <v>49.999999949999996</v>
      </c>
      <c r="BZ65">
        <f t="shared" ca="1" si="74"/>
        <v>0</v>
      </c>
      <c r="CA65">
        <f t="shared" si="75"/>
        <v>0</v>
      </c>
      <c r="CB65" s="1018">
        <f t="shared" ca="1" si="78"/>
        <v>240.06608443415919</v>
      </c>
      <c r="CC65" s="1018">
        <f t="shared" ca="1" si="79"/>
        <v>57.095376884597556</v>
      </c>
      <c r="CD65">
        <f t="shared" ca="1" si="22"/>
        <v>8.9148438395627032</v>
      </c>
      <c r="CE65">
        <f t="shared" ca="1" si="23"/>
        <v>14842.858399118319</v>
      </c>
    </row>
    <row r="66" spans="4:83" x14ac:dyDescent="0.25">
      <c r="D66" s="794"/>
      <c r="E66" s="793"/>
      <c r="F66" s="794"/>
      <c r="G66" s="793"/>
      <c r="H66" s="794"/>
      <c r="I66" s="797"/>
      <c r="J66" s="797"/>
      <c r="K66" s="797"/>
      <c r="L66" s="797"/>
      <c r="M66" s="797"/>
      <c r="N66" s="797"/>
      <c r="O66" s="800" t="s">
        <v>7</v>
      </c>
      <c r="P66" s="797">
        <v>3.5700000000000003E-2</v>
      </c>
      <c r="Q66" s="794"/>
      <c r="R66" s="803">
        <v>1.0220554946838098E-5</v>
      </c>
      <c r="S66" s="876"/>
      <c r="T66" s="34">
        <f>R66-R66*Calculation_sheet!F$58</f>
        <v>1.0220554946838098E-5</v>
      </c>
      <c r="U66" s="176">
        <f>T66-T66*Calculation_sheet!E$66</f>
        <v>1.0220554946838098E-5</v>
      </c>
      <c r="V66" s="176">
        <f>U66-U66*Calculation_sheet!E87</f>
        <v>1.0220554946838098E-5</v>
      </c>
      <c r="W66" s="176">
        <f>V66/Calculation_sheet!M$67</f>
        <v>1.022076392068567E-5</v>
      </c>
      <c r="X66" s="958">
        <f ca="1">IF(AL66&gt;0,W66*Calculation_sheet!C$87,0)</f>
        <v>0</v>
      </c>
      <c r="Y66" s="176">
        <f t="shared" ca="1" si="76"/>
        <v>1.022076392068567E-5</v>
      </c>
      <c r="Z66" s="176">
        <f>IF(AN66&gt;0,Y66*Calculation_sheet!C$94,0)</f>
        <v>0</v>
      </c>
      <c r="AA66" s="958">
        <f t="shared" ca="1" si="62"/>
        <v>1.022076392068567E-5</v>
      </c>
      <c r="AB66" s="176">
        <f ca="1">AA66*Calculation_sheet!C$99</f>
        <v>6.1324583524114021E-6</v>
      </c>
      <c r="AC66" s="958">
        <f t="shared" ca="1" si="62"/>
        <v>4.0883055682742678E-6</v>
      </c>
      <c r="AD66" s="176">
        <f t="shared" si="77"/>
        <v>1.022076392068567E-5</v>
      </c>
      <c r="AE66" s="176">
        <f>AD66*User_sheet!B$77/100</f>
        <v>0</v>
      </c>
      <c r="AF66" s="309"/>
      <c r="AG66" s="27">
        <v>401</v>
      </c>
      <c r="AH66" s="985"/>
      <c r="AI66" s="956">
        <f t="shared" ca="1" si="19"/>
        <v>240.06608443415919</v>
      </c>
      <c r="AJ66" s="956">
        <f ca="1">AI66/'401'!I$24</f>
        <v>1.2544341678292725</v>
      </c>
      <c r="AK66" s="956">
        <f ca="1">0.8*(AI66*30+'401'!D$17*0.34*30*1)</f>
        <v>8375.3523464198206</v>
      </c>
      <c r="AL66" s="954">
        <f ca="1">IF(AK66&lt;User_sheet!B$50,W66,0)</f>
        <v>1.022076392068567E-5</v>
      </c>
      <c r="AM66" s="954">
        <f ca="1">20-(User_sheet!B$57/(AI66+'401'!D$17*1*0.34))</f>
        <v>3.6663588179096287</v>
      </c>
      <c r="AN66" s="954"/>
      <c r="AO66" s="985"/>
      <c r="AP66" s="2">
        <v>0</v>
      </c>
      <c r="AQ66" s="2">
        <v>3.7</v>
      </c>
      <c r="AR66" s="2">
        <v>0</v>
      </c>
      <c r="AS66" s="2">
        <v>5</v>
      </c>
      <c r="AT66" s="2">
        <v>0</v>
      </c>
      <c r="AU66" s="2">
        <v>0</v>
      </c>
      <c r="AV66" s="2">
        <v>76466.30421774846</v>
      </c>
      <c r="AW66" s="2">
        <v>0</v>
      </c>
      <c r="AX66" s="2">
        <v>0</v>
      </c>
      <c r="AY66" s="2">
        <v>0</v>
      </c>
      <c r="AZ66" s="40">
        <v>0.87</v>
      </c>
      <c r="BA66" s="34">
        <v>0</v>
      </c>
      <c r="BB66" s="34">
        <v>1</v>
      </c>
      <c r="BC66" s="40">
        <v>0</v>
      </c>
      <c r="BD66" s="34">
        <v>0</v>
      </c>
      <c r="BE66" s="34">
        <v>1</v>
      </c>
      <c r="BF66" s="40">
        <v>0</v>
      </c>
      <c r="BG66" s="34">
        <v>1</v>
      </c>
      <c r="BH66" s="40">
        <v>0</v>
      </c>
      <c r="BI66" s="34">
        <v>0</v>
      </c>
      <c r="BJ66" s="34">
        <v>0</v>
      </c>
      <c r="BK66" s="40">
        <v>1</v>
      </c>
      <c r="BL66" s="958">
        <v>0</v>
      </c>
      <c r="BM66" s="958">
        <v>14.9</v>
      </c>
      <c r="BN66" s="32">
        <f t="shared" ca="1" si="63"/>
        <v>97.065000000000012</v>
      </c>
      <c r="BO66">
        <f t="shared" ca="1" si="64"/>
        <v>307.37190000000004</v>
      </c>
      <c r="BP66">
        <f t="shared" ca="1" si="65"/>
        <v>0</v>
      </c>
      <c r="BQ66">
        <f t="shared" ca="1" si="66"/>
        <v>84.313999999999993</v>
      </c>
      <c r="BR66">
        <f t="shared" ca="1" si="67"/>
        <v>0</v>
      </c>
      <c r="BS66">
        <f t="shared" ca="1" si="68"/>
        <v>10</v>
      </c>
      <c r="BT66">
        <f t="shared" ca="1" si="69"/>
        <v>0</v>
      </c>
      <c r="BU66">
        <v>0</v>
      </c>
      <c r="BV66">
        <f t="shared" ca="1" si="70"/>
        <v>0</v>
      </c>
      <c r="BW66">
        <f t="shared" ca="1" si="71"/>
        <v>190.06608448415921</v>
      </c>
      <c r="BX66">
        <f t="shared" ca="1" si="72"/>
        <v>0</v>
      </c>
      <c r="BY66">
        <f t="shared" ca="1" si="73"/>
        <v>49.999999949999996</v>
      </c>
      <c r="BZ66">
        <f t="shared" ca="1" si="74"/>
        <v>0</v>
      </c>
      <c r="CA66">
        <f t="shared" si="75"/>
        <v>0</v>
      </c>
      <c r="CB66" s="1018">
        <f t="shared" ca="1" si="78"/>
        <v>240.06608443415919</v>
      </c>
      <c r="CC66" s="1018">
        <f t="shared" ca="1" si="79"/>
        <v>57.095376884597556</v>
      </c>
      <c r="CD66">
        <f t="shared" ca="1" si="22"/>
        <v>8.9148438395627032</v>
      </c>
      <c r="CE66">
        <f t="shared" ca="1" si="23"/>
        <v>14842.858399118319</v>
      </c>
    </row>
    <row r="67" spans="4:83" x14ac:dyDescent="0.25">
      <c r="D67" s="794"/>
      <c r="E67" s="793"/>
      <c r="F67" s="794"/>
      <c r="G67" s="793" t="s">
        <v>11</v>
      </c>
      <c r="H67" s="796">
        <v>0.3574</v>
      </c>
      <c r="I67" s="797" t="s">
        <v>7</v>
      </c>
      <c r="J67" s="797">
        <v>7.999999999999996E-2</v>
      </c>
      <c r="K67" s="797" t="s">
        <v>23</v>
      </c>
      <c r="L67" s="797">
        <v>1</v>
      </c>
      <c r="M67" s="797"/>
      <c r="N67" s="797">
        <v>1</v>
      </c>
      <c r="O67" s="800" t="s">
        <v>7</v>
      </c>
      <c r="P67" s="797">
        <v>1</v>
      </c>
      <c r="Q67" s="794"/>
      <c r="R67" s="803">
        <v>1.6359431687615995E-3</v>
      </c>
      <c r="S67" s="876"/>
      <c r="T67" s="34">
        <f>R67-R67*Calculation_sheet!F$58</f>
        <v>1.6359431687615995E-3</v>
      </c>
      <c r="U67" s="176">
        <f>T67-T67*Calculation_sheet!E$66</f>
        <v>1.6359431687615995E-3</v>
      </c>
      <c r="V67" s="176">
        <f>U67-U67*Calculation_sheet!E88</f>
        <v>1.6359431687615995E-3</v>
      </c>
      <c r="W67" s="176">
        <f>V67/Calculation_sheet!M$67</f>
        <v>1.6359766179568891E-3</v>
      </c>
      <c r="X67" s="958">
        <f ca="1">IF(AL67&gt;0,W67*Calculation_sheet!C$87,0)</f>
        <v>0</v>
      </c>
      <c r="Y67" s="176">
        <f t="shared" ca="1" si="76"/>
        <v>1.6359766179568891E-3</v>
      </c>
      <c r="Z67" s="176">
        <f>IF(AN67&gt;0,Y67*Calculation_sheet!C$94,0)</f>
        <v>0</v>
      </c>
      <c r="AA67" s="958">
        <f t="shared" ca="1" si="62"/>
        <v>1.6359766179568891E-3</v>
      </c>
      <c r="AB67" s="176">
        <f ca="1">AA67*Calculation_sheet!C$99</f>
        <v>9.8158597077413349E-4</v>
      </c>
      <c r="AC67" s="958">
        <f t="shared" ca="1" si="62"/>
        <v>6.5439064718275566E-4</v>
      </c>
      <c r="AD67" s="176">
        <f t="shared" si="77"/>
        <v>1.6359766179568891E-3</v>
      </c>
      <c r="AE67" s="176">
        <f>AD67*User_sheet!B$77/100</f>
        <v>0</v>
      </c>
      <c r="AF67" s="309"/>
      <c r="AG67" s="27">
        <v>401</v>
      </c>
      <c r="AH67" s="985"/>
      <c r="AI67" s="956">
        <f t="shared" ca="1" si="19"/>
        <v>240.06608443415919</v>
      </c>
      <c r="AJ67" s="956">
        <f ca="1">AI67/'401'!I$24</f>
        <v>1.2544341678292725</v>
      </c>
      <c r="AK67" s="956">
        <f ca="1">0.8*(AI67*30+'401'!D$17*0.34*30*1)</f>
        <v>8375.3523464198206</v>
      </c>
      <c r="AL67" s="954">
        <f ca="1">IF(AK67&lt;User_sheet!B$50,W67,0)</f>
        <v>1.6359766179568891E-3</v>
      </c>
      <c r="AM67" s="954">
        <f ca="1">20-(User_sheet!B$57/(AI67+'401'!D$17*1*0.34))</f>
        <v>3.6663588179096287</v>
      </c>
      <c r="AN67" s="954"/>
      <c r="AO67" s="985"/>
      <c r="AP67" s="2">
        <v>0</v>
      </c>
      <c r="AQ67" s="2">
        <v>3.7</v>
      </c>
      <c r="AR67" s="2">
        <v>0</v>
      </c>
      <c r="AS67" s="2">
        <v>5</v>
      </c>
      <c r="AT67" s="2">
        <v>0</v>
      </c>
      <c r="AU67" s="2">
        <v>0</v>
      </c>
      <c r="AV67" s="2">
        <v>76466.30421774846</v>
      </c>
      <c r="AW67" s="2">
        <v>0</v>
      </c>
      <c r="AX67" s="2">
        <v>0</v>
      </c>
      <c r="AY67" s="2">
        <v>0</v>
      </c>
      <c r="AZ67" s="40">
        <v>0.87</v>
      </c>
      <c r="BA67" s="34">
        <v>0</v>
      </c>
      <c r="BB67" s="34">
        <v>0</v>
      </c>
      <c r="BC67" s="40">
        <v>1</v>
      </c>
      <c r="BD67" s="34">
        <v>0</v>
      </c>
      <c r="BE67" s="34">
        <v>0</v>
      </c>
      <c r="BF67" s="40">
        <v>1</v>
      </c>
      <c r="BG67" s="34">
        <v>1</v>
      </c>
      <c r="BH67" s="40">
        <v>0</v>
      </c>
      <c r="BI67" s="34">
        <v>0</v>
      </c>
      <c r="BJ67" s="34">
        <v>0</v>
      </c>
      <c r="BK67" s="40">
        <v>1</v>
      </c>
      <c r="BL67" s="958">
        <v>0</v>
      </c>
      <c r="BM67" s="958">
        <v>14.9</v>
      </c>
      <c r="BN67" s="32">
        <f t="shared" ca="1" si="63"/>
        <v>97.065000000000012</v>
      </c>
      <c r="BO67">
        <f t="shared" ca="1" si="64"/>
        <v>307.37190000000004</v>
      </c>
      <c r="BP67">
        <f t="shared" ca="1" si="65"/>
        <v>0</v>
      </c>
      <c r="BQ67">
        <f t="shared" ca="1" si="66"/>
        <v>84.313999999999993</v>
      </c>
      <c r="BR67">
        <f t="shared" ca="1" si="67"/>
        <v>0</v>
      </c>
      <c r="BS67">
        <f t="shared" ca="1" si="68"/>
        <v>10</v>
      </c>
      <c r="BT67">
        <f t="shared" ca="1" si="69"/>
        <v>0</v>
      </c>
      <c r="BU67">
        <v>0</v>
      </c>
      <c r="BV67">
        <f t="shared" ca="1" si="70"/>
        <v>0</v>
      </c>
      <c r="BW67">
        <f t="shared" ca="1" si="71"/>
        <v>190.06608448415921</v>
      </c>
      <c r="BX67">
        <f t="shared" ca="1" si="72"/>
        <v>0</v>
      </c>
      <c r="BY67">
        <f t="shared" ca="1" si="73"/>
        <v>49.999999949999996</v>
      </c>
      <c r="BZ67">
        <f t="shared" ca="1" si="74"/>
        <v>0</v>
      </c>
      <c r="CA67">
        <f t="shared" si="75"/>
        <v>0</v>
      </c>
      <c r="CB67" s="1018">
        <f t="shared" ca="1" si="78"/>
        <v>240.06608443415919</v>
      </c>
      <c r="CC67" s="1018">
        <f t="shared" ca="1" si="79"/>
        <v>57.095376884597556</v>
      </c>
      <c r="CD67">
        <f t="shared" ca="1" si="22"/>
        <v>8.9148438395627032</v>
      </c>
      <c r="CE67">
        <f t="shared" ca="1" si="23"/>
        <v>14842.858399118319</v>
      </c>
    </row>
    <row r="68" spans="4:83" s="798" customFormat="1" x14ac:dyDescent="0.25">
      <c r="D68" s="799"/>
      <c r="F68" s="799"/>
      <c r="H68" s="799"/>
      <c r="I68" s="799"/>
      <c r="J68" s="799"/>
      <c r="K68" s="799"/>
      <c r="L68" s="799"/>
      <c r="M68" s="799"/>
      <c r="N68" s="799"/>
      <c r="O68" s="801"/>
      <c r="P68" s="799"/>
      <c r="Q68" s="799"/>
      <c r="R68" s="804"/>
      <c r="S68" s="877">
        <v>6.6531180000000009E-2</v>
      </c>
      <c r="T68" s="277"/>
      <c r="U68" s="292"/>
      <c r="V68" s="292"/>
      <c r="W68" s="292"/>
      <c r="X68" s="277"/>
      <c r="Y68" s="292"/>
      <c r="Z68" s="292"/>
      <c r="AA68" s="277"/>
      <c r="AB68" s="292"/>
      <c r="AC68" s="277"/>
      <c r="AD68" s="292"/>
      <c r="AE68" s="292"/>
      <c r="AF68" s="309"/>
      <c r="AG68" s="801"/>
      <c r="AH68" s="985"/>
      <c r="AI68" s="956">
        <f t="shared" si="19"/>
        <v>0</v>
      </c>
      <c r="AJ68" s="955"/>
      <c r="AK68" s="955"/>
      <c r="AL68" s="955"/>
      <c r="AM68" s="955"/>
      <c r="AN68" s="955"/>
      <c r="AO68" s="985"/>
      <c r="AP68" s="801"/>
      <c r="AQ68" s="801"/>
      <c r="AR68" s="801"/>
      <c r="AS68" s="801"/>
      <c r="AT68" s="801"/>
      <c r="AU68" s="801"/>
      <c r="AV68" s="801"/>
      <c r="AW68" s="801"/>
      <c r="AX68" s="801"/>
      <c r="AY68" s="801"/>
      <c r="AZ68" s="49"/>
      <c r="BA68" s="277"/>
      <c r="BB68" s="277"/>
      <c r="BC68" s="49"/>
      <c r="BD68" s="277"/>
      <c r="BE68" s="277"/>
      <c r="BF68" s="49"/>
      <c r="BG68" s="277"/>
      <c r="BH68" s="49"/>
      <c r="BI68" s="277"/>
      <c r="BJ68" s="277"/>
      <c r="BK68" s="49"/>
      <c r="BL68" s="277"/>
      <c r="BM68" s="277"/>
      <c r="BN68" s="802"/>
    </row>
    <row r="69" spans="4:83" s="3" customFormat="1" x14ac:dyDescent="0.25">
      <c r="D69" s="6"/>
      <c r="F69" s="6"/>
      <c r="G69" s="6"/>
      <c r="H69" s="8"/>
      <c r="I69" s="6"/>
      <c r="J69" s="6"/>
      <c r="K69" s="6"/>
      <c r="L69" s="6"/>
      <c r="M69" s="6" t="s">
        <v>60</v>
      </c>
      <c r="N69" s="4"/>
      <c r="O69" s="2" t="s">
        <v>16</v>
      </c>
      <c r="P69" s="4"/>
      <c r="Q69" s="1"/>
      <c r="R69" s="79"/>
      <c r="S69" s="876"/>
      <c r="T69" s="199"/>
      <c r="U69" s="200"/>
      <c r="V69" s="176">
        <f>U55-V55</f>
        <v>0</v>
      </c>
      <c r="W69" s="176">
        <f>V69/Calculation_sheet!M$67</f>
        <v>0</v>
      </c>
      <c r="X69" s="958">
        <f ca="1">IF(AL69&gt;0,W69*Calculation_sheet!C$87,0)</f>
        <v>0</v>
      </c>
      <c r="Y69" s="176">
        <f ca="1">W69-X69</f>
        <v>0</v>
      </c>
      <c r="Z69" s="176">
        <f>IF(AN69&gt;0,Y69*Calculation_sheet!C$94,0)</f>
        <v>0</v>
      </c>
      <c r="AA69" s="958">
        <f t="shared" ref="AA69:AC81" ca="1" si="80">Y69-Z69</f>
        <v>0</v>
      </c>
      <c r="AB69" s="176">
        <f ca="1">AA69*Calculation_sheet!C$99</f>
        <v>0</v>
      </c>
      <c r="AC69" s="958">
        <f t="shared" ca="1" si="80"/>
        <v>0</v>
      </c>
      <c r="AD69" s="176">
        <f>W69-Z69</f>
        <v>0</v>
      </c>
      <c r="AE69" s="176">
        <f>AD69*User_sheet!B$77/100</f>
        <v>0</v>
      </c>
      <c r="AF69" s="309"/>
      <c r="AG69" s="27">
        <v>401</v>
      </c>
      <c r="AH69" s="985"/>
      <c r="AI69" s="956">
        <f t="shared" ca="1" si="19"/>
        <v>210.0660844761592</v>
      </c>
      <c r="AJ69" s="956">
        <f ca="1">AI69/'401'!I$24</f>
        <v>1.0976730615243409</v>
      </c>
      <c r="AK69" s="956">
        <f ca="1">0.8*(AI69*30+'401'!D$17*0.34*30*1)</f>
        <v>7655.3523474278227</v>
      </c>
      <c r="AL69" s="954">
        <f ca="1">IF(AK69&lt;User_sheet!B$50,W69,0)</f>
        <v>0</v>
      </c>
      <c r="AM69" s="954">
        <f ca="1">20-(User_sheet!B$57/(AI69+'401'!D$17*1*0.34))</f>
        <v>2.1301497577751007</v>
      </c>
      <c r="AN69" s="954"/>
      <c r="AO69" s="985"/>
      <c r="AP69" s="2">
        <v>0</v>
      </c>
      <c r="AQ69" s="2">
        <v>3.7</v>
      </c>
      <c r="AR69" s="2">
        <v>0</v>
      </c>
      <c r="AS69" s="27">
        <v>2</v>
      </c>
      <c r="AT69" s="2">
        <v>0</v>
      </c>
      <c r="AU69" s="2">
        <v>0</v>
      </c>
      <c r="AV69" s="2">
        <v>76466.30421774846</v>
      </c>
      <c r="AW69" s="2">
        <v>0</v>
      </c>
      <c r="AX69" s="2">
        <v>0</v>
      </c>
      <c r="AY69" s="2">
        <v>0</v>
      </c>
      <c r="AZ69" s="50">
        <v>0.6</v>
      </c>
      <c r="BA69" s="34">
        <v>1</v>
      </c>
      <c r="BB69" s="34">
        <v>0</v>
      </c>
      <c r="BC69" s="40">
        <v>0</v>
      </c>
      <c r="BD69" s="34">
        <v>1</v>
      </c>
      <c r="BE69" s="34">
        <v>0</v>
      </c>
      <c r="BF69" s="40">
        <v>0</v>
      </c>
      <c r="BG69" s="34">
        <v>1</v>
      </c>
      <c r="BH69" s="40">
        <v>0</v>
      </c>
      <c r="BI69" s="34">
        <v>1</v>
      </c>
      <c r="BJ69" s="34">
        <v>0</v>
      </c>
      <c r="BK69" s="40">
        <v>0</v>
      </c>
      <c r="BL69" s="958">
        <v>0</v>
      </c>
      <c r="BM69" s="958">
        <v>14.9</v>
      </c>
      <c r="BN69" s="37">
        <f t="shared" ref="BN69:BN81" ca="1" si="81">INDIRECT("'"&amp;AG69&amp;"'!"&amp;"B2")</f>
        <v>97.065000000000012</v>
      </c>
      <c r="BO69" s="3">
        <f t="shared" ref="BO69:BO81" ca="1" si="82">INDIRECT("'"&amp;AG69&amp;"'!"&amp;"C12")+INDIRECT("'"&amp;AG69&amp;"'!"&amp;"C13")+INDIRECT("'"&amp;AG69&amp;"'!"&amp;"C14")+INDIRECT("'"&amp;AG69&amp;"'!"&amp;"C15")+INDIRECT("'"&amp;AG69&amp;"'!"&amp;"C17")</f>
        <v>307.37190000000004</v>
      </c>
      <c r="BP69" s="3">
        <f t="shared" ref="BP69:BP81" ca="1" si="83">INDIRECT("'"&amp;AG69&amp;"'!"&amp;"G5")</f>
        <v>0</v>
      </c>
      <c r="BQ69" s="3">
        <f t="shared" ref="BQ69:BQ81" ca="1" si="84">INDIRECT("'"&amp;AG69&amp;"'!"&amp;"G4")</f>
        <v>84.313999999999993</v>
      </c>
      <c r="BR69" s="3">
        <f t="shared" ref="BR69:BR81" ca="1" si="85">INDIRECT("'"&amp;AG69&amp;"'!"&amp;"G6")</f>
        <v>0</v>
      </c>
      <c r="BS69" s="3">
        <f t="shared" ref="BS69:BS81" ca="1" si="86">INDIRECT("'"&amp;AG69&amp;"'!"&amp;"G2")</f>
        <v>10</v>
      </c>
      <c r="BT69" s="3">
        <f t="shared" ref="BT69:BT81" ca="1" si="87">INDIRECT("'"&amp;AG69&amp;"'!"&amp;"G3")</f>
        <v>0</v>
      </c>
      <c r="BU69" s="3">
        <v>0</v>
      </c>
      <c r="BV69" s="3">
        <f t="shared" ref="BV69:BV81" ca="1" si="88">IF(OR(BP69=0,AP69=0),0,1/(1/(BP69*$BW$3)+1/(BP69*AP69)+1/(BP69*$BW$4)))</f>
        <v>0</v>
      </c>
      <c r="BW69" s="3">
        <f t="shared" ref="BW69:BW81" ca="1" si="89">IF(OR(BQ69=0,AQ69=0),0,1/(1/(BQ69*$BW$3)+1/(BQ69*AQ69)+1/(BQ69*$BW$4)))</f>
        <v>190.06608448415921</v>
      </c>
      <c r="BX69" s="3">
        <f t="shared" ref="BX69:BX81" ca="1" si="90">IF(OR(BR69=0,AR69=0),0,1/(1/(BR69*$BW$3)+1/(BR69*AR69)+1/(BR69*$BW$4)))</f>
        <v>0</v>
      </c>
      <c r="BY69" s="3">
        <f t="shared" ref="BY69:BY81" ca="1" si="91">IF(OR(BS69=0,AS69=0),0,1/(1/(BS69*$BW$5)+1/(BS69*AS69)+1/(BS69*$BW$6)))</f>
        <v>19.999999991999999</v>
      </c>
      <c r="BZ69" s="3">
        <f t="shared" ref="BZ69:BZ81" ca="1" si="92">IF(OR(BT69=0,AT69=0),0,1/(1/(BT69*$BW$3)+1/(BT69*AT69)+1/(BT69*$BW$4)))</f>
        <v>0</v>
      </c>
      <c r="CA69" s="3">
        <f t="shared" ref="CA69:CA81" si="93">IF(OR(BU69=0,AU69=0),0,1/(1/(BU69*$BW$3)+1/(BU69*AU69)+1/(BU69*$BW$4)))</f>
        <v>0</v>
      </c>
      <c r="CB69" s="1018">
        <f ca="1">SUM(BV69:CA69)+(BP69+BQ69+BR69+BS69+BT69)*BL69</f>
        <v>210.0660844761592</v>
      </c>
      <c r="CC69" s="1018">
        <f ca="1">0.34*BM69*(1/25)^0.66*(BQ69+BS69+BT69)</f>
        <v>57.095376884597556</v>
      </c>
      <c r="CD69" s="3">
        <f t="shared" ca="1" si="22"/>
        <v>8.0148438408227047</v>
      </c>
      <c r="CE69" s="3">
        <f t="shared" ca="1" si="23"/>
        <v>13344.394401216168</v>
      </c>
    </row>
    <row r="70" spans="4:83" s="3" customFormat="1" x14ac:dyDescent="0.25">
      <c r="D70" s="6"/>
      <c r="F70" s="6"/>
      <c r="G70" s="6"/>
      <c r="H70" s="8"/>
      <c r="I70" s="6"/>
      <c r="J70" s="6"/>
      <c r="K70" s="6"/>
      <c r="L70" s="6"/>
      <c r="M70" s="6"/>
      <c r="N70" s="6"/>
      <c r="O70" s="2" t="s">
        <v>7</v>
      </c>
      <c r="P70" s="4"/>
      <c r="Q70" s="1"/>
      <c r="R70" s="79"/>
      <c r="S70" s="876"/>
      <c r="T70" s="199"/>
      <c r="U70" s="200"/>
      <c r="V70" s="176">
        <f t="shared" ref="V70:V81" si="94">U56-V56</f>
        <v>0</v>
      </c>
      <c r="W70" s="176">
        <f>V70/Calculation_sheet!M$67</f>
        <v>0</v>
      </c>
      <c r="X70" s="958">
        <f ca="1">IF(AL70&gt;0,W70*Calculation_sheet!C$87,0)</f>
        <v>0</v>
      </c>
      <c r="Y70" s="176">
        <f t="shared" ref="Y70:Y81" ca="1" si="95">W70-X70</f>
        <v>0</v>
      </c>
      <c r="Z70" s="176">
        <f>IF(AN70&gt;0,Y70*Calculation_sheet!C$94,0)</f>
        <v>0</v>
      </c>
      <c r="AA70" s="958">
        <f t="shared" ca="1" si="80"/>
        <v>0</v>
      </c>
      <c r="AB70" s="176">
        <f ca="1">AA70*Calculation_sheet!C$99</f>
        <v>0</v>
      </c>
      <c r="AC70" s="958">
        <f t="shared" ca="1" si="80"/>
        <v>0</v>
      </c>
      <c r="AD70" s="176">
        <f t="shared" ref="AD70:AD81" si="96">W70-Z70</f>
        <v>0</v>
      </c>
      <c r="AE70" s="176">
        <f>AD70*User_sheet!B$77/100</f>
        <v>0</v>
      </c>
      <c r="AF70" s="309"/>
      <c r="AG70" s="27">
        <v>401</v>
      </c>
      <c r="AH70" s="985"/>
      <c r="AI70" s="956">
        <f t="shared" ca="1" si="19"/>
        <v>210.0660844761592</v>
      </c>
      <c r="AJ70" s="956">
        <f ca="1">AI70/'401'!I$24</f>
        <v>1.0976730615243409</v>
      </c>
      <c r="AK70" s="956">
        <f ca="1">0.8*(AI70*30+'401'!D$17*0.34*30*1)</f>
        <v>7655.3523474278227</v>
      </c>
      <c r="AL70" s="954">
        <f ca="1">IF(AK70&lt;User_sheet!B$50,W70,0)</f>
        <v>0</v>
      </c>
      <c r="AM70" s="954">
        <f ca="1">20-(User_sheet!B$57/(AI70+'401'!D$17*1*0.34))</f>
        <v>2.1301497577751007</v>
      </c>
      <c r="AN70" s="954"/>
      <c r="AO70" s="985"/>
      <c r="AP70" s="2">
        <v>0</v>
      </c>
      <c r="AQ70" s="2">
        <v>3.7</v>
      </c>
      <c r="AR70" s="2">
        <v>0</v>
      </c>
      <c r="AS70" s="27">
        <v>2</v>
      </c>
      <c r="AT70" s="2">
        <v>0</v>
      </c>
      <c r="AU70" s="2">
        <v>0</v>
      </c>
      <c r="AV70" s="2">
        <v>76466.30421774846</v>
      </c>
      <c r="AW70" s="2">
        <v>0</v>
      </c>
      <c r="AX70" s="2">
        <v>0</v>
      </c>
      <c r="AY70" s="2">
        <v>0</v>
      </c>
      <c r="AZ70" s="50">
        <v>0.6</v>
      </c>
      <c r="BA70" s="34">
        <v>1</v>
      </c>
      <c r="BB70" s="34">
        <v>0</v>
      </c>
      <c r="BC70" s="40">
        <v>0</v>
      </c>
      <c r="BD70" s="34">
        <v>1</v>
      </c>
      <c r="BE70" s="34">
        <v>0</v>
      </c>
      <c r="BF70" s="40">
        <v>0</v>
      </c>
      <c r="BG70" s="34">
        <v>1</v>
      </c>
      <c r="BH70" s="40">
        <v>0</v>
      </c>
      <c r="BI70" s="34">
        <v>0</v>
      </c>
      <c r="BJ70" s="34">
        <v>0</v>
      </c>
      <c r="BK70" s="40">
        <v>1</v>
      </c>
      <c r="BL70" s="958">
        <v>0</v>
      </c>
      <c r="BM70" s="958">
        <v>14.9</v>
      </c>
      <c r="BN70" s="37">
        <f t="shared" ca="1" si="81"/>
        <v>97.065000000000012</v>
      </c>
      <c r="BO70" s="3">
        <f t="shared" ca="1" si="82"/>
        <v>307.37190000000004</v>
      </c>
      <c r="BP70" s="3">
        <f t="shared" ca="1" si="83"/>
        <v>0</v>
      </c>
      <c r="BQ70" s="3">
        <f t="shared" ca="1" si="84"/>
        <v>84.313999999999993</v>
      </c>
      <c r="BR70" s="3">
        <f t="shared" ca="1" si="85"/>
        <v>0</v>
      </c>
      <c r="BS70" s="3">
        <f t="shared" ca="1" si="86"/>
        <v>10</v>
      </c>
      <c r="BT70" s="3">
        <f t="shared" ca="1" si="87"/>
        <v>0</v>
      </c>
      <c r="BU70" s="3">
        <v>0</v>
      </c>
      <c r="BV70" s="3">
        <f t="shared" ca="1" si="88"/>
        <v>0</v>
      </c>
      <c r="BW70" s="3">
        <f t="shared" ca="1" si="89"/>
        <v>190.06608448415921</v>
      </c>
      <c r="BX70" s="3">
        <f t="shared" ca="1" si="90"/>
        <v>0</v>
      </c>
      <c r="BY70" s="3">
        <f t="shared" ca="1" si="91"/>
        <v>19.999999991999999</v>
      </c>
      <c r="BZ70" s="3">
        <f t="shared" ca="1" si="92"/>
        <v>0</v>
      </c>
      <c r="CA70" s="3">
        <f t="shared" si="93"/>
        <v>0</v>
      </c>
      <c r="CB70" s="1018">
        <f t="shared" ref="CB70:CB81" ca="1" si="97">SUM(BV70:CA70)+(BP70+BQ70+BR70+BS70+BT70)*BL70</f>
        <v>210.0660844761592</v>
      </c>
      <c r="CC70" s="1018">
        <f t="shared" ref="CC70:CC81" ca="1" si="98">0.34*BM70*(1/25)^0.66*(BQ70+BS70+BT70)</f>
        <v>57.095376884597556</v>
      </c>
      <c r="CD70" s="3">
        <f t="shared" ca="1" si="22"/>
        <v>8.0148438408227047</v>
      </c>
      <c r="CE70" s="3">
        <f t="shared" ca="1" si="23"/>
        <v>13344.394401216168</v>
      </c>
    </row>
    <row r="71" spans="4:83" s="3" customFormat="1" x14ac:dyDescent="0.25">
      <c r="D71" s="6"/>
      <c r="F71" s="6"/>
      <c r="G71" s="6"/>
      <c r="H71" s="8"/>
      <c r="I71" s="6"/>
      <c r="J71" s="6"/>
      <c r="K71" s="6" t="s">
        <v>58</v>
      </c>
      <c r="L71" s="4"/>
      <c r="M71" s="6" t="s">
        <v>61</v>
      </c>
      <c r="N71" s="4"/>
      <c r="O71" s="2" t="s">
        <v>16</v>
      </c>
      <c r="P71" s="4"/>
      <c r="Q71" s="1"/>
      <c r="R71" s="79"/>
      <c r="S71" s="876"/>
      <c r="T71" s="199"/>
      <c r="U71" s="200"/>
      <c r="V71" s="176">
        <f t="shared" si="94"/>
        <v>0</v>
      </c>
      <c r="W71" s="176">
        <f>V71/Calculation_sheet!M$67</f>
        <v>0</v>
      </c>
      <c r="X71" s="958">
        <f ca="1">IF(AL71&gt;0,W71*Calculation_sheet!C$87,0)</f>
        <v>0</v>
      </c>
      <c r="Y71" s="176">
        <f t="shared" ca="1" si="95"/>
        <v>0</v>
      </c>
      <c r="Z71" s="176">
        <f>IF(AN71&gt;0,Y71*Calculation_sheet!C$94,0)</f>
        <v>0</v>
      </c>
      <c r="AA71" s="958">
        <f t="shared" ca="1" si="80"/>
        <v>0</v>
      </c>
      <c r="AB71" s="176">
        <f ca="1">AA71*Calculation_sheet!C$99</f>
        <v>0</v>
      </c>
      <c r="AC71" s="958">
        <f t="shared" ca="1" si="80"/>
        <v>0</v>
      </c>
      <c r="AD71" s="176">
        <f t="shared" si="96"/>
        <v>0</v>
      </c>
      <c r="AE71" s="176">
        <f>AD71*User_sheet!B$77/100</f>
        <v>0</v>
      </c>
      <c r="AF71" s="309"/>
      <c r="AG71" s="27">
        <v>401</v>
      </c>
      <c r="AH71" s="985"/>
      <c r="AI71" s="956">
        <f t="shared" ca="1" si="19"/>
        <v>210.0660844761592</v>
      </c>
      <c r="AJ71" s="956">
        <f ca="1">AI71/'401'!I$24</f>
        <v>1.0976730615243409</v>
      </c>
      <c r="AK71" s="956">
        <f ca="1">0.8*(AI71*30+'401'!D$17*0.34*30*1)</f>
        <v>7655.3523474278227</v>
      </c>
      <c r="AL71" s="954">
        <f ca="1">IF(AK71&lt;User_sheet!B$50,W71,0)</f>
        <v>0</v>
      </c>
      <c r="AM71" s="954">
        <f ca="1">20-(User_sheet!B$57/(AI71+'401'!D$17*1*0.34))</f>
        <v>2.1301497577751007</v>
      </c>
      <c r="AN71" s="954"/>
      <c r="AO71" s="985"/>
      <c r="AP71" s="2">
        <v>0</v>
      </c>
      <c r="AQ71" s="2">
        <v>3.7</v>
      </c>
      <c r="AR71" s="2">
        <v>0</v>
      </c>
      <c r="AS71" s="27">
        <v>2</v>
      </c>
      <c r="AT71" s="2">
        <v>0</v>
      </c>
      <c r="AU71" s="2">
        <v>0</v>
      </c>
      <c r="AV71" s="2">
        <v>76466.30421774846</v>
      </c>
      <c r="AW71" s="2">
        <v>0</v>
      </c>
      <c r="AX71" s="2">
        <v>0</v>
      </c>
      <c r="AY71" s="2">
        <v>0</v>
      </c>
      <c r="AZ71" s="50">
        <v>0.6</v>
      </c>
      <c r="BA71" s="34">
        <v>1</v>
      </c>
      <c r="BB71" s="34">
        <v>0</v>
      </c>
      <c r="BC71" s="40">
        <v>0</v>
      </c>
      <c r="BD71" s="34">
        <v>1</v>
      </c>
      <c r="BE71" s="34">
        <v>0</v>
      </c>
      <c r="BF71" s="40">
        <v>0</v>
      </c>
      <c r="BG71" s="34">
        <v>0</v>
      </c>
      <c r="BH71" s="40">
        <v>1</v>
      </c>
      <c r="BI71" s="34">
        <v>1</v>
      </c>
      <c r="BJ71" s="34">
        <v>0</v>
      </c>
      <c r="BK71" s="40">
        <v>0</v>
      </c>
      <c r="BL71" s="958">
        <v>0</v>
      </c>
      <c r="BM71" s="958">
        <v>14.9</v>
      </c>
      <c r="BN71" s="37">
        <f t="shared" ca="1" si="81"/>
        <v>97.065000000000012</v>
      </c>
      <c r="BO71" s="3">
        <f t="shared" ca="1" si="82"/>
        <v>307.37190000000004</v>
      </c>
      <c r="BP71" s="3">
        <f t="shared" ca="1" si="83"/>
        <v>0</v>
      </c>
      <c r="BQ71" s="3">
        <f t="shared" ca="1" si="84"/>
        <v>84.313999999999993</v>
      </c>
      <c r="BR71" s="3">
        <f t="shared" ca="1" si="85"/>
        <v>0</v>
      </c>
      <c r="BS71" s="3">
        <f t="shared" ca="1" si="86"/>
        <v>10</v>
      </c>
      <c r="BT71" s="3">
        <f t="shared" ca="1" si="87"/>
        <v>0</v>
      </c>
      <c r="BU71" s="3">
        <v>0</v>
      </c>
      <c r="BV71" s="3">
        <f t="shared" ca="1" si="88"/>
        <v>0</v>
      </c>
      <c r="BW71" s="3">
        <f t="shared" ca="1" si="89"/>
        <v>190.06608448415921</v>
      </c>
      <c r="BX71" s="3">
        <f t="shared" ca="1" si="90"/>
        <v>0</v>
      </c>
      <c r="BY71" s="3">
        <f t="shared" ca="1" si="91"/>
        <v>19.999999991999999</v>
      </c>
      <c r="BZ71" s="3">
        <f t="shared" ca="1" si="92"/>
        <v>0</v>
      </c>
      <c r="CA71" s="3">
        <f t="shared" si="93"/>
        <v>0</v>
      </c>
      <c r="CB71" s="1018">
        <f t="shared" ca="1" si="97"/>
        <v>210.0660844761592</v>
      </c>
      <c r="CC71" s="1018">
        <f t="shared" ca="1" si="98"/>
        <v>57.095376884597556</v>
      </c>
      <c r="CD71" s="3">
        <f t="shared" ca="1" si="22"/>
        <v>8.0148438408227047</v>
      </c>
      <c r="CE71" s="3">
        <f t="shared" ca="1" si="23"/>
        <v>13344.394401216168</v>
      </c>
    </row>
    <row r="72" spans="4:83" x14ac:dyDescent="0.25">
      <c r="D72" s="1"/>
      <c r="F72" s="1"/>
      <c r="H72" s="8"/>
      <c r="I72" s="6" t="s">
        <v>16</v>
      </c>
      <c r="J72" s="4"/>
      <c r="K72" s="6"/>
      <c r="L72" s="6"/>
      <c r="M72" s="6"/>
      <c r="N72" s="6"/>
      <c r="O72" s="2" t="s">
        <v>7</v>
      </c>
      <c r="P72" s="4"/>
      <c r="Q72" s="1"/>
      <c r="R72" s="79"/>
      <c r="S72" s="876"/>
      <c r="U72" s="200"/>
      <c r="V72" s="176">
        <f t="shared" si="94"/>
        <v>0</v>
      </c>
      <c r="W72" s="176">
        <f>V72/Calculation_sheet!M$67</f>
        <v>0</v>
      </c>
      <c r="X72" s="958">
        <f ca="1">IF(AL72&gt;0,W72*Calculation_sheet!C$87,0)</f>
        <v>0</v>
      </c>
      <c r="Y72" s="176">
        <f t="shared" ca="1" si="95"/>
        <v>0</v>
      </c>
      <c r="Z72" s="176">
        <f>IF(AN72&gt;0,Y72*Calculation_sheet!C$94,0)</f>
        <v>0</v>
      </c>
      <c r="AA72" s="958">
        <f t="shared" ca="1" si="80"/>
        <v>0</v>
      </c>
      <c r="AB72" s="176">
        <f ca="1">AA72*Calculation_sheet!C$99</f>
        <v>0</v>
      </c>
      <c r="AC72" s="958">
        <f t="shared" ca="1" si="80"/>
        <v>0</v>
      </c>
      <c r="AD72" s="176">
        <f t="shared" si="96"/>
        <v>0</v>
      </c>
      <c r="AE72" s="176">
        <f>AD72*User_sheet!B$77/100</f>
        <v>0</v>
      </c>
      <c r="AF72" s="309"/>
      <c r="AG72" s="27">
        <v>401</v>
      </c>
      <c r="AH72" s="985"/>
      <c r="AI72" s="956">
        <f t="shared" ca="1" si="19"/>
        <v>210.0660844761592</v>
      </c>
      <c r="AJ72" s="956">
        <f ca="1">AI72/'401'!I$24</f>
        <v>1.0976730615243409</v>
      </c>
      <c r="AK72" s="956">
        <f ca="1">0.8*(AI72*30+'401'!D$17*0.34*30*1)</f>
        <v>7655.3523474278227</v>
      </c>
      <c r="AL72" s="954">
        <f ca="1">IF(AK72&lt;User_sheet!B$50,W72,0)</f>
        <v>0</v>
      </c>
      <c r="AM72" s="954">
        <f ca="1">20-(User_sheet!B$57/(AI72+'401'!D$17*1*0.34))</f>
        <v>2.1301497577751007</v>
      </c>
      <c r="AN72" s="954"/>
      <c r="AO72" s="985"/>
      <c r="AP72" s="2">
        <v>0</v>
      </c>
      <c r="AQ72" s="2">
        <v>3.7</v>
      </c>
      <c r="AR72" s="2">
        <v>0</v>
      </c>
      <c r="AS72" s="27">
        <v>2</v>
      </c>
      <c r="AT72" s="2">
        <v>0</v>
      </c>
      <c r="AU72" s="2">
        <v>0</v>
      </c>
      <c r="AV72" s="2">
        <v>76466.30421774846</v>
      </c>
      <c r="AW72" s="2">
        <v>0</v>
      </c>
      <c r="AX72" s="2">
        <v>0</v>
      </c>
      <c r="AY72" s="2">
        <v>0</v>
      </c>
      <c r="AZ72" s="50">
        <v>0.6</v>
      </c>
      <c r="BA72" s="34">
        <v>1</v>
      </c>
      <c r="BB72" s="34">
        <v>0</v>
      </c>
      <c r="BC72" s="40">
        <v>0</v>
      </c>
      <c r="BD72" s="34">
        <v>1</v>
      </c>
      <c r="BE72" s="34">
        <v>0</v>
      </c>
      <c r="BF72" s="40">
        <v>0</v>
      </c>
      <c r="BG72" s="34">
        <v>0</v>
      </c>
      <c r="BH72" s="40">
        <v>1</v>
      </c>
      <c r="BI72" s="34">
        <v>0</v>
      </c>
      <c r="BJ72" s="34">
        <v>0</v>
      </c>
      <c r="BK72" s="40">
        <v>1</v>
      </c>
      <c r="BL72" s="958">
        <v>0</v>
      </c>
      <c r="BM72" s="958">
        <v>14.9</v>
      </c>
      <c r="BN72" s="32">
        <f t="shared" ca="1" si="81"/>
        <v>97.065000000000012</v>
      </c>
      <c r="BO72">
        <f t="shared" ca="1" si="82"/>
        <v>307.37190000000004</v>
      </c>
      <c r="BP72">
        <f t="shared" ca="1" si="83"/>
        <v>0</v>
      </c>
      <c r="BQ72">
        <f t="shared" ca="1" si="84"/>
        <v>84.313999999999993</v>
      </c>
      <c r="BR72">
        <f t="shared" ca="1" si="85"/>
        <v>0</v>
      </c>
      <c r="BS72">
        <f t="shared" ca="1" si="86"/>
        <v>10</v>
      </c>
      <c r="BT72">
        <f t="shared" ca="1" si="87"/>
        <v>0</v>
      </c>
      <c r="BU72">
        <v>0</v>
      </c>
      <c r="BV72">
        <f t="shared" ca="1" si="88"/>
        <v>0</v>
      </c>
      <c r="BW72">
        <f t="shared" ca="1" si="89"/>
        <v>190.06608448415921</v>
      </c>
      <c r="BX72">
        <f t="shared" ca="1" si="90"/>
        <v>0</v>
      </c>
      <c r="BY72">
        <f t="shared" ca="1" si="91"/>
        <v>19.999999991999999</v>
      </c>
      <c r="BZ72">
        <f t="shared" ca="1" si="92"/>
        <v>0</v>
      </c>
      <c r="CA72">
        <f t="shared" si="93"/>
        <v>0</v>
      </c>
      <c r="CB72" s="1018">
        <f t="shared" ca="1" si="97"/>
        <v>210.0660844761592</v>
      </c>
      <c r="CC72" s="1018">
        <f t="shared" ca="1" si="98"/>
        <v>57.095376884597556</v>
      </c>
      <c r="CD72">
        <f t="shared" ca="1" si="22"/>
        <v>8.0148438408227047</v>
      </c>
      <c r="CE72">
        <f t="shared" ca="1" si="23"/>
        <v>13344.394401216168</v>
      </c>
    </row>
    <row r="73" spans="4:83" x14ac:dyDescent="0.25">
      <c r="D73" s="1"/>
      <c r="F73" s="1"/>
      <c r="H73" s="8"/>
      <c r="I73" s="6"/>
      <c r="J73" s="6"/>
      <c r="K73" s="6" t="s">
        <v>59</v>
      </c>
      <c r="L73" s="4"/>
      <c r="M73" s="6"/>
      <c r="N73" s="6"/>
      <c r="O73" s="27" t="s">
        <v>16</v>
      </c>
      <c r="P73" s="4"/>
      <c r="Q73" s="1"/>
      <c r="R73" s="79"/>
      <c r="S73" s="876"/>
      <c r="U73" s="200"/>
      <c r="V73" s="176">
        <f t="shared" si="94"/>
        <v>0</v>
      </c>
      <c r="W73" s="176">
        <f>V73/Calculation_sheet!M$67</f>
        <v>0</v>
      </c>
      <c r="X73" s="958">
        <f ca="1">IF(AL73&gt;0,W73*Calculation_sheet!C$87,0)</f>
        <v>0</v>
      </c>
      <c r="Y73" s="176">
        <f t="shared" ca="1" si="95"/>
        <v>0</v>
      </c>
      <c r="Z73" s="176">
        <f>IF(AN73&gt;0,Y73*Calculation_sheet!C$94,0)</f>
        <v>0</v>
      </c>
      <c r="AA73" s="958">
        <f t="shared" ca="1" si="80"/>
        <v>0</v>
      </c>
      <c r="AB73" s="176">
        <f ca="1">AA73*Calculation_sheet!C$99</f>
        <v>0</v>
      </c>
      <c r="AC73" s="958">
        <f t="shared" ca="1" si="80"/>
        <v>0</v>
      </c>
      <c r="AD73" s="176">
        <f t="shared" si="96"/>
        <v>0</v>
      </c>
      <c r="AE73" s="176">
        <f>AD73*User_sheet!B$77/100</f>
        <v>0</v>
      </c>
      <c r="AF73" s="309"/>
      <c r="AG73" s="27">
        <v>401</v>
      </c>
      <c r="AH73" s="985"/>
      <c r="AI73" s="956">
        <f t="shared" ca="1" si="19"/>
        <v>210.0660844761592</v>
      </c>
      <c r="AJ73" s="956">
        <f ca="1">AI73/'401'!I$24</f>
        <v>1.0976730615243409</v>
      </c>
      <c r="AK73" s="956">
        <f ca="1">0.8*(AI73*30+'401'!D$17*0.34*30*1)</f>
        <v>7655.3523474278227</v>
      </c>
      <c r="AL73" s="954">
        <f ca="1">IF(AK73&lt;User_sheet!B$50,W73,0)</f>
        <v>0</v>
      </c>
      <c r="AM73" s="954">
        <f ca="1">20-(User_sheet!B$57/(AI73+'401'!D$17*1*0.34))</f>
        <v>2.1301497577751007</v>
      </c>
      <c r="AN73" s="954"/>
      <c r="AO73" s="985"/>
      <c r="AP73" s="2">
        <v>0</v>
      </c>
      <c r="AQ73" s="2">
        <v>3.7</v>
      </c>
      <c r="AR73" s="2">
        <v>0</v>
      </c>
      <c r="AS73" s="27">
        <v>2</v>
      </c>
      <c r="AT73" s="2">
        <v>0</v>
      </c>
      <c r="AU73" s="2">
        <v>0</v>
      </c>
      <c r="AV73" s="2">
        <v>76466.30421774846</v>
      </c>
      <c r="AW73" s="2">
        <v>0</v>
      </c>
      <c r="AX73" s="2">
        <v>0</v>
      </c>
      <c r="AY73" s="2">
        <v>0</v>
      </c>
      <c r="AZ73" s="50">
        <v>0.6</v>
      </c>
      <c r="BA73" s="34">
        <v>1</v>
      </c>
      <c r="BB73" s="34">
        <v>0</v>
      </c>
      <c r="BC73" s="40">
        <v>0</v>
      </c>
      <c r="BD73" s="34">
        <v>0</v>
      </c>
      <c r="BE73" s="34">
        <v>1</v>
      </c>
      <c r="BF73" s="40">
        <v>0</v>
      </c>
      <c r="BG73" s="34">
        <v>1</v>
      </c>
      <c r="BH73" s="40">
        <v>0</v>
      </c>
      <c r="BI73" s="34">
        <v>1</v>
      </c>
      <c r="BJ73" s="34">
        <v>0</v>
      </c>
      <c r="BK73" s="40">
        <v>0</v>
      </c>
      <c r="BL73" s="958">
        <v>0</v>
      </c>
      <c r="BM73" s="958">
        <v>14.9</v>
      </c>
      <c r="BN73" s="32">
        <f t="shared" ca="1" si="81"/>
        <v>97.065000000000012</v>
      </c>
      <c r="BO73">
        <f t="shared" ca="1" si="82"/>
        <v>307.37190000000004</v>
      </c>
      <c r="BP73">
        <f t="shared" ca="1" si="83"/>
        <v>0</v>
      </c>
      <c r="BQ73">
        <f t="shared" ca="1" si="84"/>
        <v>84.313999999999993</v>
      </c>
      <c r="BR73">
        <f t="shared" ca="1" si="85"/>
        <v>0</v>
      </c>
      <c r="BS73">
        <f t="shared" ca="1" si="86"/>
        <v>10</v>
      </c>
      <c r="BT73">
        <f t="shared" ca="1" si="87"/>
        <v>0</v>
      </c>
      <c r="BU73">
        <v>0</v>
      </c>
      <c r="BV73">
        <f t="shared" ca="1" si="88"/>
        <v>0</v>
      </c>
      <c r="BW73">
        <f t="shared" ca="1" si="89"/>
        <v>190.06608448415921</v>
      </c>
      <c r="BX73">
        <f t="shared" ca="1" si="90"/>
        <v>0</v>
      </c>
      <c r="BY73">
        <f t="shared" ca="1" si="91"/>
        <v>19.999999991999999</v>
      </c>
      <c r="BZ73">
        <f t="shared" ca="1" si="92"/>
        <v>0</v>
      </c>
      <c r="CA73">
        <f t="shared" si="93"/>
        <v>0</v>
      </c>
      <c r="CB73" s="1018">
        <f t="shared" ca="1" si="97"/>
        <v>210.0660844761592</v>
      </c>
      <c r="CC73" s="1018">
        <f t="shared" ca="1" si="98"/>
        <v>57.095376884597556</v>
      </c>
      <c r="CD73">
        <f t="shared" ca="1" si="22"/>
        <v>8.0148438408227047</v>
      </c>
      <c r="CE73">
        <f t="shared" ca="1" si="23"/>
        <v>13344.394401216168</v>
      </c>
    </row>
    <row r="74" spans="4:83" x14ac:dyDescent="0.25">
      <c r="D74" s="1"/>
      <c r="F74" s="3" t="s">
        <v>144</v>
      </c>
      <c r="H74" s="8"/>
      <c r="I74" s="6"/>
      <c r="J74" s="6"/>
      <c r="K74" s="6"/>
      <c r="L74" s="6"/>
      <c r="M74" s="6"/>
      <c r="N74" s="6"/>
      <c r="O74" s="27" t="s">
        <v>7</v>
      </c>
      <c r="P74" s="4"/>
      <c r="Q74" s="1"/>
      <c r="R74" s="79"/>
      <c r="S74" s="876"/>
      <c r="U74" s="200"/>
      <c r="V74" s="176">
        <f t="shared" si="94"/>
        <v>0</v>
      </c>
      <c r="W74" s="176">
        <f>V74/Calculation_sheet!M$67</f>
        <v>0</v>
      </c>
      <c r="X74" s="958">
        <f ca="1">IF(AL74&gt;0,W74*Calculation_sheet!C$87,0)</f>
        <v>0</v>
      </c>
      <c r="Y74" s="176">
        <f t="shared" ca="1" si="95"/>
        <v>0</v>
      </c>
      <c r="Z74" s="176">
        <f>IF(AN74&gt;0,Y74*Calculation_sheet!C$94,0)</f>
        <v>0</v>
      </c>
      <c r="AA74" s="958">
        <f t="shared" ca="1" si="80"/>
        <v>0</v>
      </c>
      <c r="AB74" s="176">
        <f ca="1">AA74*Calculation_sheet!C$99</f>
        <v>0</v>
      </c>
      <c r="AC74" s="958">
        <f t="shared" ca="1" si="80"/>
        <v>0</v>
      </c>
      <c r="AD74" s="176">
        <f t="shared" si="96"/>
        <v>0</v>
      </c>
      <c r="AE74" s="176">
        <f>AD74*User_sheet!B$77/100</f>
        <v>0</v>
      </c>
      <c r="AF74" s="309"/>
      <c r="AG74" s="27">
        <v>401</v>
      </c>
      <c r="AH74" s="985"/>
      <c r="AI74" s="956">
        <f t="shared" ca="1" si="19"/>
        <v>210.0660844761592</v>
      </c>
      <c r="AJ74" s="956">
        <f ca="1">AI74/'401'!I$24</f>
        <v>1.0976730615243409</v>
      </c>
      <c r="AK74" s="956">
        <f ca="1">0.8*(AI74*30+'401'!D$17*0.34*30*1)</f>
        <v>7655.3523474278227</v>
      </c>
      <c r="AL74" s="954">
        <f ca="1">IF(AK74&lt;User_sheet!B$50,W74,0)</f>
        <v>0</v>
      </c>
      <c r="AM74" s="954">
        <f ca="1">20-(User_sheet!B$57/(AI74+'401'!D$17*1*0.34))</f>
        <v>2.1301497577751007</v>
      </c>
      <c r="AN74" s="954"/>
      <c r="AO74" s="985"/>
      <c r="AP74" s="2">
        <v>0</v>
      </c>
      <c r="AQ74" s="2">
        <v>3.7</v>
      </c>
      <c r="AR74" s="2">
        <v>0</v>
      </c>
      <c r="AS74" s="27">
        <v>2</v>
      </c>
      <c r="AT74" s="2">
        <v>0</v>
      </c>
      <c r="AU74" s="2">
        <v>0</v>
      </c>
      <c r="AV74" s="2">
        <v>76466.30421774846</v>
      </c>
      <c r="AW74" s="2">
        <v>0</v>
      </c>
      <c r="AX74" s="2">
        <v>0</v>
      </c>
      <c r="AY74" s="2">
        <v>0</v>
      </c>
      <c r="AZ74" s="50">
        <v>0.6</v>
      </c>
      <c r="BA74" s="34">
        <v>1</v>
      </c>
      <c r="BB74" s="34">
        <v>0</v>
      </c>
      <c r="BC74" s="40">
        <v>0</v>
      </c>
      <c r="BD74" s="34">
        <v>0</v>
      </c>
      <c r="BE74" s="34">
        <v>1</v>
      </c>
      <c r="BF74" s="40">
        <v>0</v>
      </c>
      <c r="BG74" s="34">
        <v>1</v>
      </c>
      <c r="BH74" s="40">
        <v>0</v>
      </c>
      <c r="BI74" s="34">
        <v>0</v>
      </c>
      <c r="BJ74" s="34">
        <v>0</v>
      </c>
      <c r="BK74" s="40">
        <v>1</v>
      </c>
      <c r="BL74" s="958">
        <v>0</v>
      </c>
      <c r="BM74" s="958">
        <v>14.9</v>
      </c>
      <c r="BN74" s="32">
        <f t="shared" ca="1" si="81"/>
        <v>97.065000000000012</v>
      </c>
      <c r="BO74">
        <f t="shared" ca="1" si="82"/>
        <v>307.37190000000004</v>
      </c>
      <c r="BP74">
        <f t="shared" ca="1" si="83"/>
        <v>0</v>
      </c>
      <c r="BQ74">
        <f t="shared" ca="1" si="84"/>
        <v>84.313999999999993</v>
      </c>
      <c r="BR74">
        <f t="shared" ca="1" si="85"/>
        <v>0</v>
      </c>
      <c r="BS74">
        <f t="shared" ca="1" si="86"/>
        <v>10</v>
      </c>
      <c r="BT74">
        <f t="shared" ca="1" si="87"/>
        <v>0</v>
      </c>
      <c r="BU74">
        <v>0</v>
      </c>
      <c r="BV74">
        <f t="shared" ca="1" si="88"/>
        <v>0</v>
      </c>
      <c r="BW74">
        <f t="shared" ca="1" si="89"/>
        <v>190.06608448415921</v>
      </c>
      <c r="BX74">
        <f t="shared" ca="1" si="90"/>
        <v>0</v>
      </c>
      <c r="BY74">
        <f t="shared" ca="1" si="91"/>
        <v>19.999999991999999</v>
      </c>
      <c r="BZ74">
        <f t="shared" ca="1" si="92"/>
        <v>0</v>
      </c>
      <c r="CA74">
        <f t="shared" si="93"/>
        <v>0</v>
      </c>
      <c r="CB74" s="1018">
        <f t="shared" ca="1" si="97"/>
        <v>210.0660844761592</v>
      </c>
      <c r="CC74" s="1018">
        <f t="shared" ca="1" si="98"/>
        <v>57.095376884597556</v>
      </c>
      <c r="CD74">
        <f t="shared" ca="1" si="22"/>
        <v>8.0148438408227047</v>
      </c>
      <c r="CE74">
        <f t="shared" ca="1" si="23"/>
        <v>13344.394401216168</v>
      </c>
    </row>
    <row r="75" spans="4:83" x14ac:dyDescent="0.25">
      <c r="D75" s="1"/>
      <c r="F75" s="6" t="s">
        <v>190</v>
      </c>
      <c r="H75" s="8"/>
      <c r="I75" s="6"/>
      <c r="J75" s="6"/>
      <c r="K75" s="6"/>
      <c r="L75" s="6"/>
      <c r="M75" s="6" t="s">
        <v>60</v>
      </c>
      <c r="N75" s="4"/>
      <c r="O75" s="2" t="s">
        <v>57</v>
      </c>
      <c r="P75" s="4"/>
      <c r="Q75" s="1"/>
      <c r="R75" s="79"/>
      <c r="S75" s="876"/>
      <c r="U75" s="200"/>
      <c r="V75" s="176">
        <f t="shared" si="94"/>
        <v>0</v>
      </c>
      <c r="W75" s="176">
        <f>V75/Calculation_sheet!M$67</f>
        <v>0</v>
      </c>
      <c r="X75" s="958">
        <f ca="1">IF(AL75&gt;0,W75*Calculation_sheet!C$87,0)</f>
        <v>0</v>
      </c>
      <c r="Y75" s="176">
        <f t="shared" ca="1" si="95"/>
        <v>0</v>
      </c>
      <c r="Z75" s="176">
        <f>IF(AN75&gt;0,Y75*Calculation_sheet!C$94,0)</f>
        <v>0</v>
      </c>
      <c r="AA75" s="958">
        <f t="shared" ca="1" si="80"/>
        <v>0</v>
      </c>
      <c r="AB75" s="176">
        <f ca="1">AA75*Calculation_sheet!C$99</f>
        <v>0</v>
      </c>
      <c r="AC75" s="958">
        <f t="shared" ca="1" si="80"/>
        <v>0</v>
      </c>
      <c r="AD75" s="176">
        <f t="shared" si="96"/>
        <v>0</v>
      </c>
      <c r="AE75" s="176">
        <f>AD75*User_sheet!B$77/100</f>
        <v>0</v>
      </c>
      <c r="AF75" s="309"/>
      <c r="AG75" s="27">
        <v>401</v>
      </c>
      <c r="AH75" s="985"/>
      <c r="AI75" s="956">
        <f t="shared" ca="1" si="19"/>
        <v>210.0660844761592</v>
      </c>
      <c r="AJ75" s="956">
        <f ca="1">AI75/'401'!I$24</f>
        <v>1.0976730615243409</v>
      </c>
      <c r="AK75" s="956">
        <f ca="1">0.8*(AI75*30+'401'!D$17*0.34*30*1)</f>
        <v>7655.3523474278227</v>
      </c>
      <c r="AL75" s="954">
        <f ca="1">IF(AK75&lt;User_sheet!B$50,W75,0)</f>
        <v>0</v>
      </c>
      <c r="AM75" s="954">
        <f ca="1">20-(User_sheet!B$57/(AI75+'401'!D$17*1*0.34))</f>
        <v>2.1301497577751007</v>
      </c>
      <c r="AN75" s="954"/>
      <c r="AO75" s="985"/>
      <c r="AP75" s="2">
        <v>0</v>
      </c>
      <c r="AQ75" s="2">
        <v>3.7</v>
      </c>
      <c r="AR75" s="2">
        <v>0</v>
      </c>
      <c r="AS75" s="27">
        <v>2</v>
      </c>
      <c r="AT75" s="2">
        <v>0</v>
      </c>
      <c r="AU75" s="2">
        <v>0</v>
      </c>
      <c r="AV75" s="2">
        <v>76466.30421774846</v>
      </c>
      <c r="AW75" s="2">
        <v>0</v>
      </c>
      <c r="AX75" s="2">
        <v>0</v>
      </c>
      <c r="AY75" s="2">
        <v>0</v>
      </c>
      <c r="AZ75" s="50">
        <v>0.6</v>
      </c>
      <c r="BA75" s="34">
        <v>0</v>
      </c>
      <c r="BB75" s="34">
        <v>1</v>
      </c>
      <c r="BC75" s="40">
        <v>0</v>
      </c>
      <c r="BD75" s="34">
        <v>1</v>
      </c>
      <c r="BE75" s="34">
        <v>0</v>
      </c>
      <c r="BF75" s="40">
        <v>0</v>
      </c>
      <c r="BG75" s="34">
        <v>1</v>
      </c>
      <c r="BH75" s="40">
        <v>0</v>
      </c>
      <c r="BI75" s="34">
        <v>0</v>
      </c>
      <c r="BJ75" s="34">
        <v>1</v>
      </c>
      <c r="BK75" s="40">
        <v>0</v>
      </c>
      <c r="BL75" s="958">
        <v>0</v>
      </c>
      <c r="BM75" s="958">
        <v>14.9</v>
      </c>
      <c r="BN75" s="32">
        <f t="shared" ca="1" si="81"/>
        <v>97.065000000000012</v>
      </c>
      <c r="BO75">
        <f t="shared" ca="1" si="82"/>
        <v>307.37190000000004</v>
      </c>
      <c r="BP75">
        <f t="shared" ca="1" si="83"/>
        <v>0</v>
      </c>
      <c r="BQ75">
        <f t="shared" ca="1" si="84"/>
        <v>84.313999999999993</v>
      </c>
      <c r="BR75">
        <f t="shared" ca="1" si="85"/>
        <v>0</v>
      </c>
      <c r="BS75">
        <f t="shared" ca="1" si="86"/>
        <v>10</v>
      </c>
      <c r="BT75">
        <f t="shared" ca="1" si="87"/>
        <v>0</v>
      </c>
      <c r="BU75">
        <v>0</v>
      </c>
      <c r="BV75">
        <f t="shared" ca="1" si="88"/>
        <v>0</v>
      </c>
      <c r="BW75">
        <f t="shared" ca="1" si="89"/>
        <v>190.06608448415921</v>
      </c>
      <c r="BX75">
        <f t="shared" ca="1" si="90"/>
        <v>0</v>
      </c>
      <c r="BY75">
        <f t="shared" ca="1" si="91"/>
        <v>19.999999991999999</v>
      </c>
      <c r="BZ75">
        <f t="shared" ca="1" si="92"/>
        <v>0</v>
      </c>
      <c r="CA75">
        <f t="shared" si="93"/>
        <v>0</v>
      </c>
      <c r="CB75" s="1018">
        <f t="shared" ca="1" si="97"/>
        <v>210.0660844761592</v>
      </c>
      <c r="CC75" s="1018">
        <f t="shared" ca="1" si="98"/>
        <v>57.095376884597556</v>
      </c>
      <c r="CD75">
        <f t="shared" ca="1" si="22"/>
        <v>8.0148438408227047</v>
      </c>
      <c r="CE75">
        <f t="shared" ca="1" si="23"/>
        <v>13344.394401216168</v>
      </c>
    </row>
    <row r="76" spans="4:83" x14ac:dyDescent="0.25">
      <c r="D76" s="1"/>
      <c r="F76" s="1"/>
      <c r="G76" s="6"/>
      <c r="H76" s="8"/>
      <c r="I76" s="6"/>
      <c r="J76" s="6"/>
      <c r="K76" s="6"/>
      <c r="L76" s="6"/>
      <c r="M76" s="6"/>
      <c r="N76" s="6"/>
      <c r="O76" s="2" t="s">
        <v>7</v>
      </c>
      <c r="P76" s="4"/>
      <c r="Q76" s="1"/>
      <c r="R76" s="79"/>
      <c r="S76" s="876"/>
      <c r="U76" s="200"/>
      <c r="V76" s="176">
        <f t="shared" si="94"/>
        <v>0</v>
      </c>
      <c r="W76" s="176">
        <f>V76/Calculation_sheet!M$67</f>
        <v>0</v>
      </c>
      <c r="X76" s="958">
        <f ca="1">IF(AL76&gt;0,W76*Calculation_sheet!C$87,0)</f>
        <v>0</v>
      </c>
      <c r="Y76" s="176">
        <f t="shared" ca="1" si="95"/>
        <v>0</v>
      </c>
      <c r="Z76" s="176">
        <f>IF(AN76&gt;0,Y76*Calculation_sheet!C$94,0)</f>
        <v>0</v>
      </c>
      <c r="AA76" s="958">
        <f t="shared" ca="1" si="80"/>
        <v>0</v>
      </c>
      <c r="AB76" s="176">
        <f ca="1">AA76*Calculation_sheet!C$99</f>
        <v>0</v>
      </c>
      <c r="AC76" s="958">
        <f t="shared" ca="1" si="80"/>
        <v>0</v>
      </c>
      <c r="AD76" s="176">
        <f t="shared" si="96"/>
        <v>0</v>
      </c>
      <c r="AE76" s="176">
        <f>AD76*User_sheet!B$77/100</f>
        <v>0</v>
      </c>
      <c r="AF76" s="309"/>
      <c r="AG76" s="27">
        <v>401</v>
      </c>
      <c r="AH76" s="985"/>
      <c r="AI76" s="956">
        <f t="shared" ca="1" si="19"/>
        <v>210.0660844761592</v>
      </c>
      <c r="AJ76" s="956">
        <f ca="1">AI76/'401'!I$24</f>
        <v>1.0976730615243409</v>
      </c>
      <c r="AK76" s="956">
        <f ca="1">0.8*(AI76*30+'401'!D$17*0.34*30*1)</f>
        <v>7655.3523474278227</v>
      </c>
      <c r="AL76" s="954">
        <f ca="1">IF(AK76&lt;User_sheet!B$50,W76,0)</f>
        <v>0</v>
      </c>
      <c r="AM76" s="954">
        <f ca="1">20-(User_sheet!B$57/(AI76+'401'!D$17*1*0.34))</f>
        <v>2.1301497577751007</v>
      </c>
      <c r="AN76" s="954"/>
      <c r="AO76" s="985"/>
      <c r="AP76" s="2">
        <v>0</v>
      </c>
      <c r="AQ76" s="2">
        <v>3.7</v>
      </c>
      <c r="AR76" s="2">
        <v>0</v>
      </c>
      <c r="AS76" s="27">
        <v>2</v>
      </c>
      <c r="AT76" s="2">
        <v>0</v>
      </c>
      <c r="AU76" s="2">
        <v>0</v>
      </c>
      <c r="AV76" s="2">
        <v>76466.30421774846</v>
      </c>
      <c r="AW76" s="2">
        <v>0</v>
      </c>
      <c r="AX76" s="2">
        <v>0</v>
      </c>
      <c r="AY76" s="2">
        <v>0</v>
      </c>
      <c r="AZ76" s="50">
        <v>0.6</v>
      </c>
      <c r="BA76" s="34">
        <v>0</v>
      </c>
      <c r="BB76" s="34">
        <v>1</v>
      </c>
      <c r="BC76" s="40">
        <v>0</v>
      </c>
      <c r="BD76" s="34">
        <v>1</v>
      </c>
      <c r="BE76" s="34">
        <v>0</v>
      </c>
      <c r="BF76" s="40">
        <v>0</v>
      </c>
      <c r="BG76" s="34">
        <v>1</v>
      </c>
      <c r="BH76" s="40">
        <v>0</v>
      </c>
      <c r="BI76" s="34">
        <v>0</v>
      </c>
      <c r="BJ76" s="34">
        <v>0</v>
      </c>
      <c r="BK76" s="40">
        <v>1</v>
      </c>
      <c r="BL76" s="958">
        <v>0</v>
      </c>
      <c r="BM76" s="958">
        <v>14.9</v>
      </c>
      <c r="BN76" s="32">
        <f t="shared" ca="1" si="81"/>
        <v>97.065000000000012</v>
      </c>
      <c r="BO76">
        <f t="shared" ca="1" si="82"/>
        <v>307.37190000000004</v>
      </c>
      <c r="BP76">
        <f t="shared" ca="1" si="83"/>
        <v>0</v>
      </c>
      <c r="BQ76">
        <f t="shared" ca="1" si="84"/>
        <v>84.313999999999993</v>
      </c>
      <c r="BR76">
        <f t="shared" ca="1" si="85"/>
        <v>0</v>
      </c>
      <c r="BS76">
        <f t="shared" ca="1" si="86"/>
        <v>10</v>
      </c>
      <c r="BT76">
        <f t="shared" ca="1" si="87"/>
        <v>0</v>
      </c>
      <c r="BU76">
        <v>0</v>
      </c>
      <c r="BV76">
        <f t="shared" ca="1" si="88"/>
        <v>0</v>
      </c>
      <c r="BW76">
        <f t="shared" ca="1" si="89"/>
        <v>190.06608448415921</v>
      </c>
      <c r="BX76">
        <f t="shared" ca="1" si="90"/>
        <v>0</v>
      </c>
      <c r="BY76">
        <f t="shared" ca="1" si="91"/>
        <v>19.999999991999999</v>
      </c>
      <c r="BZ76">
        <f t="shared" ca="1" si="92"/>
        <v>0</v>
      </c>
      <c r="CA76">
        <f t="shared" si="93"/>
        <v>0</v>
      </c>
      <c r="CB76" s="1018">
        <f t="shared" ca="1" si="97"/>
        <v>210.0660844761592</v>
      </c>
      <c r="CC76" s="1018">
        <f t="shared" ca="1" si="98"/>
        <v>57.095376884597556</v>
      </c>
      <c r="CD76">
        <f t="shared" ca="1" si="22"/>
        <v>8.0148438408227047</v>
      </c>
      <c r="CE76">
        <f t="shared" ca="1" si="23"/>
        <v>13344.394401216168</v>
      </c>
    </row>
    <row r="77" spans="4:83" x14ac:dyDescent="0.25">
      <c r="D77" s="1"/>
      <c r="F77" s="1"/>
      <c r="G77" s="6"/>
      <c r="H77" s="8"/>
      <c r="I77" s="6"/>
      <c r="J77" s="6"/>
      <c r="K77" s="6" t="s">
        <v>58</v>
      </c>
      <c r="L77" s="4"/>
      <c r="M77" s="6" t="s">
        <v>61</v>
      </c>
      <c r="N77" s="4"/>
      <c r="O77" s="2" t="s">
        <v>57</v>
      </c>
      <c r="P77" s="4"/>
      <c r="Q77" s="1"/>
      <c r="R77" s="79"/>
      <c r="S77" s="876"/>
      <c r="U77" s="200"/>
      <c r="V77" s="176">
        <f t="shared" si="94"/>
        <v>0</v>
      </c>
      <c r="W77" s="176">
        <f>V77/Calculation_sheet!M$67</f>
        <v>0</v>
      </c>
      <c r="X77" s="958">
        <f ca="1">IF(AL77&gt;0,W77*Calculation_sheet!C$87,0)</f>
        <v>0</v>
      </c>
      <c r="Y77" s="176">
        <f t="shared" ca="1" si="95"/>
        <v>0</v>
      </c>
      <c r="Z77" s="176">
        <f>IF(AN77&gt;0,Y77*Calculation_sheet!C$94,0)</f>
        <v>0</v>
      </c>
      <c r="AA77" s="958">
        <f t="shared" ca="1" si="80"/>
        <v>0</v>
      </c>
      <c r="AB77" s="176">
        <f ca="1">AA77*Calculation_sheet!C$99</f>
        <v>0</v>
      </c>
      <c r="AC77" s="958">
        <f t="shared" ca="1" si="80"/>
        <v>0</v>
      </c>
      <c r="AD77" s="176">
        <f t="shared" si="96"/>
        <v>0</v>
      </c>
      <c r="AE77" s="176">
        <f>AD77*User_sheet!B$77/100</f>
        <v>0</v>
      </c>
      <c r="AF77" s="309"/>
      <c r="AG77" s="27">
        <v>401</v>
      </c>
      <c r="AH77" s="985"/>
      <c r="AI77" s="956">
        <f t="shared" ca="1" si="19"/>
        <v>210.0660844761592</v>
      </c>
      <c r="AJ77" s="956">
        <f ca="1">AI77/'401'!I$24</f>
        <v>1.0976730615243409</v>
      </c>
      <c r="AK77" s="956">
        <f ca="1">0.8*(AI77*30+'401'!D$17*0.34*30*1)</f>
        <v>7655.3523474278227</v>
      </c>
      <c r="AL77" s="954">
        <f ca="1">IF(AK77&lt;User_sheet!B$50,W77,0)</f>
        <v>0</v>
      </c>
      <c r="AM77" s="954">
        <f ca="1">20-(User_sheet!B$57/(AI77+'401'!D$17*1*0.34))</f>
        <v>2.1301497577751007</v>
      </c>
      <c r="AN77" s="954"/>
      <c r="AO77" s="985"/>
      <c r="AP77" s="2">
        <v>0</v>
      </c>
      <c r="AQ77" s="2">
        <v>3.7</v>
      </c>
      <c r="AR77" s="2">
        <v>0</v>
      </c>
      <c r="AS77" s="27">
        <v>2</v>
      </c>
      <c r="AT77" s="2">
        <v>0</v>
      </c>
      <c r="AU77" s="2">
        <v>0</v>
      </c>
      <c r="AV77" s="2">
        <v>76466.30421774846</v>
      </c>
      <c r="AW77" s="2">
        <v>0</v>
      </c>
      <c r="AX77" s="2">
        <v>0</v>
      </c>
      <c r="AY77" s="2">
        <v>0</v>
      </c>
      <c r="AZ77" s="50">
        <v>0.6</v>
      </c>
      <c r="BA77" s="34">
        <v>0</v>
      </c>
      <c r="BB77" s="34">
        <v>1</v>
      </c>
      <c r="BC77" s="40">
        <v>0</v>
      </c>
      <c r="BD77" s="34">
        <v>1</v>
      </c>
      <c r="BE77" s="34">
        <v>0</v>
      </c>
      <c r="BF77" s="40">
        <v>0</v>
      </c>
      <c r="BG77" s="34">
        <v>0</v>
      </c>
      <c r="BH77" s="40">
        <v>1</v>
      </c>
      <c r="BI77" s="34">
        <v>0</v>
      </c>
      <c r="BJ77" s="34">
        <v>1</v>
      </c>
      <c r="BK77" s="40">
        <v>0</v>
      </c>
      <c r="BL77" s="958">
        <v>0</v>
      </c>
      <c r="BM77" s="958">
        <v>14.9</v>
      </c>
      <c r="BN77" s="32">
        <f t="shared" ca="1" si="81"/>
        <v>97.065000000000012</v>
      </c>
      <c r="BO77">
        <f t="shared" ca="1" si="82"/>
        <v>307.37190000000004</v>
      </c>
      <c r="BP77">
        <f t="shared" ca="1" si="83"/>
        <v>0</v>
      </c>
      <c r="BQ77">
        <f t="shared" ca="1" si="84"/>
        <v>84.313999999999993</v>
      </c>
      <c r="BR77">
        <f t="shared" ca="1" si="85"/>
        <v>0</v>
      </c>
      <c r="BS77">
        <f t="shared" ca="1" si="86"/>
        <v>10</v>
      </c>
      <c r="BT77">
        <f t="shared" ca="1" si="87"/>
        <v>0</v>
      </c>
      <c r="BU77">
        <v>0</v>
      </c>
      <c r="BV77">
        <f t="shared" ca="1" si="88"/>
        <v>0</v>
      </c>
      <c r="BW77">
        <f t="shared" ca="1" si="89"/>
        <v>190.06608448415921</v>
      </c>
      <c r="BX77">
        <f t="shared" ca="1" si="90"/>
        <v>0</v>
      </c>
      <c r="BY77">
        <f t="shared" ca="1" si="91"/>
        <v>19.999999991999999</v>
      </c>
      <c r="BZ77">
        <f t="shared" ca="1" si="92"/>
        <v>0</v>
      </c>
      <c r="CA77">
        <f t="shared" si="93"/>
        <v>0</v>
      </c>
      <c r="CB77" s="1018">
        <f t="shared" ca="1" si="97"/>
        <v>210.0660844761592</v>
      </c>
      <c r="CC77" s="1018">
        <f t="shared" ca="1" si="98"/>
        <v>57.095376884597556</v>
      </c>
      <c r="CD77">
        <f t="shared" ca="1" si="22"/>
        <v>8.0148438408227047</v>
      </c>
      <c r="CE77">
        <f t="shared" ca="1" si="23"/>
        <v>13344.394401216168</v>
      </c>
    </row>
    <row r="78" spans="4:83" x14ac:dyDescent="0.25">
      <c r="D78" s="1"/>
      <c r="F78" s="1"/>
      <c r="H78" s="1"/>
      <c r="I78" s="6" t="s">
        <v>57</v>
      </c>
      <c r="J78" s="4"/>
      <c r="K78" s="6"/>
      <c r="L78" s="6"/>
      <c r="M78" s="6"/>
      <c r="N78" s="6"/>
      <c r="O78" s="2" t="s">
        <v>7</v>
      </c>
      <c r="P78" s="4"/>
      <c r="Q78" s="1"/>
      <c r="R78" s="79"/>
      <c r="S78" s="876"/>
      <c r="U78" s="200"/>
      <c r="V78" s="176">
        <f t="shared" si="94"/>
        <v>0</v>
      </c>
      <c r="W78" s="176">
        <f>V78/Calculation_sheet!M$67</f>
        <v>0</v>
      </c>
      <c r="X78" s="958">
        <f ca="1">IF(AL78&gt;0,W78*Calculation_sheet!C$87,0)</f>
        <v>0</v>
      </c>
      <c r="Y78" s="176">
        <f t="shared" ca="1" si="95"/>
        <v>0</v>
      </c>
      <c r="Z78" s="176">
        <f>IF(AN78&gt;0,Y78*Calculation_sheet!C$94,0)</f>
        <v>0</v>
      </c>
      <c r="AA78" s="958">
        <f t="shared" ca="1" si="80"/>
        <v>0</v>
      </c>
      <c r="AB78" s="176">
        <f ca="1">AA78*Calculation_sheet!C$99</f>
        <v>0</v>
      </c>
      <c r="AC78" s="958">
        <f t="shared" ca="1" si="80"/>
        <v>0</v>
      </c>
      <c r="AD78" s="176">
        <f t="shared" si="96"/>
        <v>0</v>
      </c>
      <c r="AE78" s="176">
        <f>AD78*User_sheet!B$77/100</f>
        <v>0</v>
      </c>
      <c r="AF78" s="309"/>
      <c r="AG78" s="27">
        <v>401</v>
      </c>
      <c r="AH78" s="985"/>
      <c r="AI78" s="956">
        <f t="shared" ref="AI78:AI141" ca="1" si="99">CB78</f>
        <v>210.0660844761592</v>
      </c>
      <c r="AJ78" s="956">
        <f ca="1">AI78/'401'!I$24</f>
        <v>1.0976730615243409</v>
      </c>
      <c r="AK78" s="956">
        <f ca="1">0.8*(AI78*30+'401'!D$17*0.34*30*1)</f>
        <v>7655.3523474278227</v>
      </c>
      <c r="AL78" s="954">
        <f ca="1">IF(AK78&lt;User_sheet!B$50,W78,0)</f>
        <v>0</v>
      </c>
      <c r="AM78" s="954">
        <f ca="1">20-(User_sheet!B$57/(AI78+'401'!D$17*1*0.34))</f>
        <v>2.1301497577751007</v>
      </c>
      <c r="AN78" s="954"/>
      <c r="AO78" s="985"/>
      <c r="AP78" s="2">
        <v>0</v>
      </c>
      <c r="AQ78" s="2">
        <v>3.7</v>
      </c>
      <c r="AR78" s="2">
        <v>0</v>
      </c>
      <c r="AS78" s="27">
        <v>2</v>
      </c>
      <c r="AT78" s="2">
        <v>0</v>
      </c>
      <c r="AU78" s="2">
        <v>0</v>
      </c>
      <c r="AV78" s="2">
        <v>76466.30421774846</v>
      </c>
      <c r="AW78" s="2">
        <v>0</v>
      </c>
      <c r="AX78" s="2">
        <v>0</v>
      </c>
      <c r="AY78" s="2">
        <v>0</v>
      </c>
      <c r="AZ78" s="50">
        <v>0.6</v>
      </c>
      <c r="BA78" s="34">
        <v>0</v>
      </c>
      <c r="BB78" s="34">
        <v>1</v>
      </c>
      <c r="BC78" s="40">
        <v>0</v>
      </c>
      <c r="BD78" s="34">
        <v>1</v>
      </c>
      <c r="BE78" s="34">
        <v>0</v>
      </c>
      <c r="BF78" s="40">
        <v>0</v>
      </c>
      <c r="BG78" s="34">
        <v>0</v>
      </c>
      <c r="BH78" s="40">
        <v>1</v>
      </c>
      <c r="BI78" s="34">
        <v>0</v>
      </c>
      <c r="BJ78" s="34">
        <v>0</v>
      </c>
      <c r="BK78" s="40">
        <v>1</v>
      </c>
      <c r="BL78" s="958">
        <v>0</v>
      </c>
      <c r="BM78" s="958">
        <v>14.9</v>
      </c>
      <c r="BN78" s="32">
        <f t="shared" ca="1" si="81"/>
        <v>97.065000000000012</v>
      </c>
      <c r="BO78">
        <f t="shared" ca="1" si="82"/>
        <v>307.37190000000004</v>
      </c>
      <c r="BP78">
        <f t="shared" ca="1" si="83"/>
        <v>0</v>
      </c>
      <c r="BQ78">
        <f t="shared" ca="1" si="84"/>
        <v>84.313999999999993</v>
      </c>
      <c r="BR78">
        <f t="shared" ca="1" si="85"/>
        <v>0</v>
      </c>
      <c r="BS78">
        <f t="shared" ca="1" si="86"/>
        <v>10</v>
      </c>
      <c r="BT78">
        <f t="shared" ca="1" si="87"/>
        <v>0</v>
      </c>
      <c r="BU78">
        <v>0</v>
      </c>
      <c r="BV78">
        <f t="shared" ca="1" si="88"/>
        <v>0</v>
      </c>
      <c r="BW78">
        <f t="shared" ca="1" si="89"/>
        <v>190.06608448415921</v>
      </c>
      <c r="BX78">
        <f t="shared" ca="1" si="90"/>
        <v>0</v>
      </c>
      <c r="BY78">
        <f t="shared" ca="1" si="91"/>
        <v>19.999999991999999</v>
      </c>
      <c r="BZ78">
        <f t="shared" ca="1" si="92"/>
        <v>0</v>
      </c>
      <c r="CA78">
        <f t="shared" si="93"/>
        <v>0</v>
      </c>
      <c r="CB78" s="1018">
        <f t="shared" ca="1" si="97"/>
        <v>210.0660844761592</v>
      </c>
      <c r="CC78" s="1018">
        <f t="shared" ca="1" si="98"/>
        <v>57.095376884597556</v>
      </c>
      <c r="CD78">
        <f t="shared" ref="CD78:CD141" ca="1" si="100">(CB78+CC78)*($BW$7-$BT$5)/1000</f>
        <v>8.0148438408227047</v>
      </c>
      <c r="CE78">
        <f t="shared" ref="CE78:CE141" ca="1" si="101">$BT$8*(CB78+CC78)*($BW$10-$BT$7)*24/1000</f>
        <v>13344.394401216168</v>
      </c>
    </row>
    <row r="79" spans="4:83" x14ac:dyDescent="0.25">
      <c r="D79" s="1"/>
      <c r="F79" s="1"/>
      <c r="H79" s="1"/>
      <c r="I79" s="6"/>
      <c r="J79" s="6"/>
      <c r="K79" s="6" t="s">
        <v>59</v>
      </c>
      <c r="L79" s="4"/>
      <c r="M79" s="6"/>
      <c r="N79" s="6"/>
      <c r="O79" s="27" t="s">
        <v>57</v>
      </c>
      <c r="P79" s="4"/>
      <c r="Q79" s="1"/>
      <c r="R79" s="79"/>
      <c r="S79" s="876"/>
      <c r="U79" s="200"/>
      <c r="V79" s="176">
        <f t="shared" si="94"/>
        <v>0</v>
      </c>
      <c r="W79" s="176">
        <f>V79/Calculation_sheet!M$67</f>
        <v>0</v>
      </c>
      <c r="X79" s="958">
        <f ca="1">IF(AL79&gt;0,W79*Calculation_sheet!C$87,0)</f>
        <v>0</v>
      </c>
      <c r="Y79" s="176">
        <f t="shared" ca="1" si="95"/>
        <v>0</v>
      </c>
      <c r="Z79" s="176">
        <f>IF(AN79&gt;0,Y79*Calculation_sheet!C$94,0)</f>
        <v>0</v>
      </c>
      <c r="AA79" s="958">
        <f t="shared" ca="1" si="80"/>
        <v>0</v>
      </c>
      <c r="AB79" s="176">
        <f ca="1">AA79*Calculation_sheet!C$99</f>
        <v>0</v>
      </c>
      <c r="AC79" s="958">
        <f t="shared" ca="1" si="80"/>
        <v>0</v>
      </c>
      <c r="AD79" s="176">
        <f t="shared" si="96"/>
        <v>0</v>
      </c>
      <c r="AE79" s="176">
        <f>AD79*User_sheet!B$77/100</f>
        <v>0</v>
      </c>
      <c r="AF79" s="309"/>
      <c r="AG79" s="27">
        <v>401</v>
      </c>
      <c r="AH79" s="985"/>
      <c r="AI79" s="956">
        <f t="shared" ca="1" si="99"/>
        <v>210.0660844761592</v>
      </c>
      <c r="AJ79" s="956">
        <f ca="1">AI79/'401'!I$24</f>
        <v>1.0976730615243409</v>
      </c>
      <c r="AK79" s="956">
        <f ca="1">0.8*(AI79*30+'401'!D$17*0.34*30*1)</f>
        <v>7655.3523474278227</v>
      </c>
      <c r="AL79" s="954">
        <f ca="1">IF(AK79&lt;User_sheet!B$50,W79,0)</f>
        <v>0</v>
      </c>
      <c r="AM79" s="954">
        <f ca="1">20-(User_sheet!B$57/(AI79+'401'!D$17*1*0.34))</f>
        <v>2.1301497577751007</v>
      </c>
      <c r="AN79" s="954"/>
      <c r="AO79" s="985"/>
      <c r="AP79" s="2">
        <v>0</v>
      </c>
      <c r="AQ79" s="2">
        <v>3.7</v>
      </c>
      <c r="AR79" s="2">
        <v>0</v>
      </c>
      <c r="AS79" s="27">
        <v>2</v>
      </c>
      <c r="AT79" s="2">
        <v>0</v>
      </c>
      <c r="AU79" s="2">
        <v>0</v>
      </c>
      <c r="AV79" s="2">
        <v>76466.30421774846</v>
      </c>
      <c r="AW79" s="2">
        <v>0</v>
      </c>
      <c r="AX79" s="2">
        <v>0</v>
      </c>
      <c r="AY79" s="2">
        <v>0</v>
      </c>
      <c r="AZ79" s="50">
        <v>0.6</v>
      </c>
      <c r="BA79" s="34">
        <v>0</v>
      </c>
      <c r="BB79" s="34">
        <v>1</v>
      </c>
      <c r="BC79" s="40">
        <v>0</v>
      </c>
      <c r="BD79" s="34">
        <v>0</v>
      </c>
      <c r="BE79" s="34">
        <v>1</v>
      </c>
      <c r="BF79" s="40">
        <v>0</v>
      </c>
      <c r="BG79" s="34">
        <v>1</v>
      </c>
      <c r="BH79" s="40">
        <v>0</v>
      </c>
      <c r="BI79" s="34">
        <v>0</v>
      </c>
      <c r="BJ79" s="34">
        <v>1</v>
      </c>
      <c r="BK79" s="40">
        <v>0</v>
      </c>
      <c r="BL79" s="958">
        <v>0</v>
      </c>
      <c r="BM79" s="958">
        <v>14.9</v>
      </c>
      <c r="BN79" s="32">
        <f t="shared" ca="1" si="81"/>
        <v>97.065000000000012</v>
      </c>
      <c r="BO79">
        <f t="shared" ca="1" si="82"/>
        <v>307.37190000000004</v>
      </c>
      <c r="BP79">
        <f t="shared" ca="1" si="83"/>
        <v>0</v>
      </c>
      <c r="BQ79">
        <f t="shared" ca="1" si="84"/>
        <v>84.313999999999993</v>
      </c>
      <c r="BR79">
        <f t="shared" ca="1" si="85"/>
        <v>0</v>
      </c>
      <c r="BS79">
        <f t="shared" ca="1" si="86"/>
        <v>10</v>
      </c>
      <c r="BT79">
        <f t="shared" ca="1" si="87"/>
        <v>0</v>
      </c>
      <c r="BU79">
        <v>0</v>
      </c>
      <c r="BV79">
        <f t="shared" ca="1" si="88"/>
        <v>0</v>
      </c>
      <c r="BW79">
        <f t="shared" ca="1" si="89"/>
        <v>190.06608448415921</v>
      </c>
      <c r="BX79">
        <f t="shared" ca="1" si="90"/>
        <v>0</v>
      </c>
      <c r="BY79">
        <f t="shared" ca="1" si="91"/>
        <v>19.999999991999999</v>
      </c>
      <c r="BZ79">
        <f t="shared" ca="1" si="92"/>
        <v>0</v>
      </c>
      <c r="CA79">
        <f t="shared" si="93"/>
        <v>0</v>
      </c>
      <c r="CB79" s="1018">
        <f t="shared" ca="1" si="97"/>
        <v>210.0660844761592</v>
      </c>
      <c r="CC79" s="1018">
        <f t="shared" ca="1" si="98"/>
        <v>57.095376884597556</v>
      </c>
      <c r="CD79">
        <f t="shared" ca="1" si="100"/>
        <v>8.0148438408227047</v>
      </c>
      <c r="CE79">
        <f t="shared" ca="1" si="101"/>
        <v>13344.394401216168</v>
      </c>
    </row>
    <row r="80" spans="4:83" x14ac:dyDescent="0.25">
      <c r="D80" s="1"/>
      <c r="F80" s="1"/>
      <c r="H80" s="1"/>
      <c r="I80" s="6"/>
      <c r="J80" s="6"/>
      <c r="K80" s="6"/>
      <c r="L80" s="6"/>
      <c r="M80" s="6"/>
      <c r="N80" s="6"/>
      <c r="O80" s="27" t="s">
        <v>7</v>
      </c>
      <c r="P80" s="4"/>
      <c r="Q80" s="1"/>
      <c r="R80" s="79"/>
      <c r="S80" s="876"/>
      <c r="U80" s="200"/>
      <c r="V80" s="176">
        <f t="shared" si="94"/>
        <v>0</v>
      </c>
      <c r="W80" s="176">
        <f>V80/Calculation_sheet!M$67</f>
        <v>0</v>
      </c>
      <c r="X80" s="958">
        <f ca="1">IF(AL80&gt;0,W80*Calculation_sheet!C$87,0)</f>
        <v>0</v>
      </c>
      <c r="Y80" s="176">
        <f t="shared" ca="1" si="95"/>
        <v>0</v>
      </c>
      <c r="Z80" s="176">
        <f>IF(AN80&gt;0,Y80*Calculation_sheet!C$94,0)</f>
        <v>0</v>
      </c>
      <c r="AA80" s="958">
        <f t="shared" ca="1" si="80"/>
        <v>0</v>
      </c>
      <c r="AB80" s="176">
        <f ca="1">AA80*Calculation_sheet!C$99</f>
        <v>0</v>
      </c>
      <c r="AC80" s="958">
        <f t="shared" ca="1" si="80"/>
        <v>0</v>
      </c>
      <c r="AD80" s="176">
        <f t="shared" si="96"/>
        <v>0</v>
      </c>
      <c r="AE80" s="176">
        <f>AD80*User_sheet!B$77/100</f>
        <v>0</v>
      </c>
      <c r="AF80" s="309"/>
      <c r="AG80" s="27">
        <v>401</v>
      </c>
      <c r="AH80" s="985"/>
      <c r="AI80" s="956">
        <f t="shared" ca="1" si="99"/>
        <v>210.0660844761592</v>
      </c>
      <c r="AJ80" s="956">
        <f ca="1">AI80/'401'!I$24</f>
        <v>1.0976730615243409</v>
      </c>
      <c r="AK80" s="956">
        <f ca="1">0.8*(AI80*30+'401'!D$17*0.34*30*1)</f>
        <v>7655.3523474278227</v>
      </c>
      <c r="AL80" s="954">
        <f ca="1">IF(AK80&lt;User_sheet!B$50,W80,0)</f>
        <v>0</v>
      </c>
      <c r="AM80" s="954">
        <f ca="1">20-(User_sheet!B$57/(AI80+'401'!D$17*1*0.34))</f>
        <v>2.1301497577751007</v>
      </c>
      <c r="AN80" s="954"/>
      <c r="AO80" s="985"/>
      <c r="AP80" s="2">
        <v>0</v>
      </c>
      <c r="AQ80" s="2">
        <v>3.7</v>
      </c>
      <c r="AR80" s="2">
        <v>0</v>
      </c>
      <c r="AS80" s="27">
        <v>2</v>
      </c>
      <c r="AT80" s="2">
        <v>0</v>
      </c>
      <c r="AU80" s="2">
        <v>0</v>
      </c>
      <c r="AV80" s="2">
        <v>76466.30421774846</v>
      </c>
      <c r="AW80" s="2">
        <v>0</v>
      </c>
      <c r="AX80" s="2">
        <v>0</v>
      </c>
      <c r="AY80" s="2">
        <v>0</v>
      </c>
      <c r="AZ80" s="50">
        <v>0.6</v>
      </c>
      <c r="BA80" s="34">
        <v>0</v>
      </c>
      <c r="BB80" s="34">
        <v>1</v>
      </c>
      <c r="BC80" s="40">
        <v>0</v>
      </c>
      <c r="BD80" s="34">
        <v>0</v>
      </c>
      <c r="BE80" s="34">
        <v>1</v>
      </c>
      <c r="BF80" s="40">
        <v>0</v>
      </c>
      <c r="BG80" s="34">
        <v>1</v>
      </c>
      <c r="BH80" s="40">
        <v>0</v>
      </c>
      <c r="BI80" s="34">
        <v>0</v>
      </c>
      <c r="BJ80" s="34">
        <v>0</v>
      </c>
      <c r="BK80" s="40">
        <v>1</v>
      </c>
      <c r="BL80" s="958">
        <v>0</v>
      </c>
      <c r="BM80" s="958">
        <v>14.9</v>
      </c>
      <c r="BN80" s="32">
        <f t="shared" ca="1" si="81"/>
        <v>97.065000000000012</v>
      </c>
      <c r="BO80">
        <f t="shared" ca="1" si="82"/>
        <v>307.37190000000004</v>
      </c>
      <c r="BP80">
        <f t="shared" ca="1" si="83"/>
        <v>0</v>
      </c>
      <c r="BQ80">
        <f t="shared" ca="1" si="84"/>
        <v>84.313999999999993</v>
      </c>
      <c r="BR80">
        <f t="shared" ca="1" si="85"/>
        <v>0</v>
      </c>
      <c r="BS80">
        <f t="shared" ca="1" si="86"/>
        <v>10</v>
      </c>
      <c r="BT80">
        <f t="shared" ca="1" si="87"/>
        <v>0</v>
      </c>
      <c r="BU80">
        <v>0</v>
      </c>
      <c r="BV80">
        <f t="shared" ca="1" si="88"/>
        <v>0</v>
      </c>
      <c r="BW80">
        <f t="shared" ca="1" si="89"/>
        <v>190.06608448415921</v>
      </c>
      <c r="BX80">
        <f t="shared" ca="1" si="90"/>
        <v>0</v>
      </c>
      <c r="BY80">
        <f t="shared" ca="1" si="91"/>
        <v>19.999999991999999</v>
      </c>
      <c r="BZ80">
        <f t="shared" ca="1" si="92"/>
        <v>0</v>
      </c>
      <c r="CA80">
        <f t="shared" si="93"/>
        <v>0</v>
      </c>
      <c r="CB80" s="1018">
        <f t="shared" ca="1" si="97"/>
        <v>210.0660844761592</v>
      </c>
      <c r="CC80" s="1018">
        <f t="shared" ca="1" si="98"/>
        <v>57.095376884597556</v>
      </c>
      <c r="CD80">
        <f t="shared" ca="1" si="100"/>
        <v>8.0148438408227047</v>
      </c>
      <c r="CE80">
        <f t="shared" ca="1" si="101"/>
        <v>13344.394401216168</v>
      </c>
    </row>
    <row r="81" spans="4:83" x14ac:dyDescent="0.25">
      <c r="D81" s="1"/>
      <c r="F81" s="1"/>
      <c r="H81" s="6"/>
      <c r="I81" s="6" t="s">
        <v>7</v>
      </c>
      <c r="J81" s="4"/>
      <c r="K81" s="6" t="s">
        <v>23</v>
      </c>
      <c r="L81" s="4"/>
      <c r="M81" s="6"/>
      <c r="N81" s="4"/>
      <c r="O81" s="27" t="s">
        <v>7</v>
      </c>
      <c r="P81" s="4"/>
      <c r="Q81" s="1"/>
      <c r="R81" s="79"/>
      <c r="S81" s="876"/>
      <c r="U81" s="200"/>
      <c r="V81" s="176">
        <f t="shared" si="94"/>
        <v>0</v>
      </c>
      <c r="W81" s="176">
        <f>V81/Calculation_sheet!M$67</f>
        <v>0</v>
      </c>
      <c r="X81" s="958">
        <f ca="1">IF(AL81&gt;0,W81*Calculation_sheet!C$87,0)</f>
        <v>0</v>
      </c>
      <c r="Y81" s="176">
        <f t="shared" ca="1" si="95"/>
        <v>0</v>
      </c>
      <c r="Z81" s="176">
        <f>IF(AN81&gt;0,Y81*Calculation_sheet!C$94,0)</f>
        <v>0</v>
      </c>
      <c r="AA81" s="958">
        <f t="shared" ca="1" si="80"/>
        <v>0</v>
      </c>
      <c r="AB81" s="176">
        <f ca="1">AA81*Calculation_sheet!C$99</f>
        <v>0</v>
      </c>
      <c r="AC81" s="958">
        <f t="shared" ca="1" si="80"/>
        <v>0</v>
      </c>
      <c r="AD81" s="176">
        <f t="shared" si="96"/>
        <v>0</v>
      </c>
      <c r="AE81" s="176">
        <f>AD81*User_sheet!B$77/100</f>
        <v>0</v>
      </c>
      <c r="AF81" s="309"/>
      <c r="AG81" s="27">
        <v>401</v>
      </c>
      <c r="AH81" s="985"/>
      <c r="AI81" s="956">
        <f t="shared" ca="1" si="99"/>
        <v>210.0660844761592</v>
      </c>
      <c r="AJ81" s="956">
        <f ca="1">AI81/'401'!I$24</f>
        <v>1.0976730615243409</v>
      </c>
      <c r="AK81" s="956">
        <f ca="1">0.8*(AI81*30+'401'!D$17*0.34*30*1)</f>
        <v>7655.3523474278227</v>
      </c>
      <c r="AL81" s="954">
        <f ca="1">IF(AK81&lt;User_sheet!B$50,W81,0)</f>
        <v>0</v>
      </c>
      <c r="AM81" s="954">
        <f ca="1">20-(User_sheet!B$57/(AI81+'401'!D$17*1*0.34))</f>
        <v>2.1301497577751007</v>
      </c>
      <c r="AN81" s="954"/>
      <c r="AO81" s="985"/>
      <c r="AP81" s="2">
        <v>0</v>
      </c>
      <c r="AQ81" s="2">
        <v>3.7</v>
      </c>
      <c r="AR81" s="2">
        <v>0</v>
      </c>
      <c r="AS81" s="27">
        <v>2</v>
      </c>
      <c r="AT81" s="2">
        <v>0</v>
      </c>
      <c r="AU81" s="2">
        <v>0</v>
      </c>
      <c r="AV81" s="2">
        <v>76466.30421774846</v>
      </c>
      <c r="AW81" s="2">
        <v>0</v>
      </c>
      <c r="AX81" s="2">
        <v>0</v>
      </c>
      <c r="AY81" s="2">
        <v>0</v>
      </c>
      <c r="AZ81" s="50">
        <v>0.6</v>
      </c>
      <c r="BA81" s="34">
        <v>0</v>
      </c>
      <c r="BB81" s="34">
        <v>0</v>
      </c>
      <c r="BC81" s="40">
        <v>1</v>
      </c>
      <c r="BD81" s="34">
        <v>0</v>
      </c>
      <c r="BE81" s="34">
        <v>0</v>
      </c>
      <c r="BF81" s="40">
        <v>1</v>
      </c>
      <c r="BG81" s="34">
        <v>1</v>
      </c>
      <c r="BH81" s="40">
        <v>0</v>
      </c>
      <c r="BI81" s="34">
        <v>0</v>
      </c>
      <c r="BJ81" s="34">
        <v>0</v>
      </c>
      <c r="BK81" s="40">
        <v>1</v>
      </c>
      <c r="BL81" s="958">
        <v>0</v>
      </c>
      <c r="BM81" s="958">
        <v>14.9</v>
      </c>
      <c r="BN81" s="32">
        <f t="shared" ca="1" si="81"/>
        <v>97.065000000000012</v>
      </c>
      <c r="BO81">
        <f t="shared" ca="1" si="82"/>
        <v>307.37190000000004</v>
      </c>
      <c r="BP81">
        <f t="shared" ca="1" si="83"/>
        <v>0</v>
      </c>
      <c r="BQ81">
        <f t="shared" ca="1" si="84"/>
        <v>84.313999999999993</v>
      </c>
      <c r="BR81">
        <f t="shared" ca="1" si="85"/>
        <v>0</v>
      </c>
      <c r="BS81">
        <f t="shared" ca="1" si="86"/>
        <v>10</v>
      </c>
      <c r="BT81">
        <f t="shared" ca="1" si="87"/>
        <v>0</v>
      </c>
      <c r="BU81">
        <v>0</v>
      </c>
      <c r="BV81">
        <f t="shared" ca="1" si="88"/>
        <v>0</v>
      </c>
      <c r="BW81">
        <f t="shared" ca="1" si="89"/>
        <v>190.06608448415921</v>
      </c>
      <c r="BX81">
        <f t="shared" ca="1" si="90"/>
        <v>0</v>
      </c>
      <c r="BY81">
        <f t="shared" ca="1" si="91"/>
        <v>19.999999991999999</v>
      </c>
      <c r="BZ81">
        <f t="shared" ca="1" si="92"/>
        <v>0</v>
      </c>
      <c r="CA81">
        <f t="shared" si="93"/>
        <v>0</v>
      </c>
      <c r="CB81" s="1018">
        <f t="shared" ca="1" si="97"/>
        <v>210.0660844761592</v>
      </c>
      <c r="CC81" s="1018">
        <f t="shared" ca="1" si="98"/>
        <v>57.095376884597556</v>
      </c>
      <c r="CD81">
        <f t="shared" ca="1" si="100"/>
        <v>8.0148438408227047</v>
      </c>
      <c r="CE81">
        <f t="shared" ca="1" si="101"/>
        <v>13344.394401216168</v>
      </c>
    </row>
    <row r="82" spans="4:83" s="11" customFormat="1" x14ac:dyDescent="0.25">
      <c r="D82" s="12"/>
      <c r="F82" s="12"/>
      <c r="H82" s="12"/>
      <c r="I82" s="12"/>
      <c r="J82" s="12"/>
      <c r="K82" s="12"/>
      <c r="L82" s="12"/>
      <c r="M82" s="12"/>
      <c r="N82" s="12"/>
      <c r="O82" s="25"/>
      <c r="P82" s="12"/>
      <c r="Q82" s="12"/>
      <c r="R82" s="82"/>
      <c r="S82" s="879"/>
      <c r="T82" s="278"/>
      <c r="U82" s="293"/>
      <c r="V82" s="293"/>
      <c r="W82" s="293"/>
      <c r="X82" s="278"/>
      <c r="Y82" s="293"/>
      <c r="Z82" s="293"/>
      <c r="AA82" s="278"/>
      <c r="AB82" s="293"/>
      <c r="AC82" s="278"/>
      <c r="AD82" s="293"/>
      <c r="AE82" s="293"/>
      <c r="AF82" s="309"/>
      <c r="AG82" s="25"/>
      <c r="AH82" s="985"/>
      <c r="AI82" s="956">
        <f t="shared" si="99"/>
        <v>0</v>
      </c>
      <c r="AJ82" s="955"/>
      <c r="AK82" s="955"/>
      <c r="AL82" s="955"/>
      <c r="AM82" s="955"/>
      <c r="AN82" s="955"/>
      <c r="AO82" s="985"/>
      <c r="AP82" s="25"/>
      <c r="AQ82" s="25"/>
      <c r="AR82" s="25"/>
      <c r="AS82" s="25"/>
      <c r="AT82" s="25"/>
      <c r="AU82" s="25"/>
      <c r="AV82" s="25"/>
      <c r="AW82" s="25"/>
      <c r="AX82" s="25"/>
      <c r="AY82" s="25"/>
      <c r="AZ82" s="52"/>
      <c r="BA82" s="278"/>
      <c r="BB82" s="278"/>
      <c r="BC82" s="52"/>
      <c r="BD82" s="278"/>
      <c r="BE82" s="278"/>
      <c r="BF82" s="52"/>
      <c r="BG82" s="278"/>
      <c r="BH82" s="52"/>
      <c r="BI82" s="278"/>
      <c r="BJ82" s="278"/>
      <c r="BK82" s="52"/>
      <c r="BL82" s="278"/>
      <c r="BM82" s="278"/>
      <c r="BN82" s="268"/>
    </row>
    <row r="83" spans="4:83" s="3" customFormat="1" x14ac:dyDescent="0.25">
      <c r="D83" s="6"/>
      <c r="F83" s="6"/>
      <c r="G83" s="6"/>
      <c r="H83" s="8"/>
      <c r="I83" s="6"/>
      <c r="J83" s="6"/>
      <c r="K83" s="6"/>
      <c r="L83" s="6"/>
      <c r="M83" s="6" t="s">
        <v>60</v>
      </c>
      <c r="N83" s="4"/>
      <c r="O83" s="2" t="s">
        <v>16</v>
      </c>
      <c r="P83" s="4"/>
      <c r="Q83" s="1"/>
      <c r="R83" s="79"/>
      <c r="S83" s="876"/>
      <c r="T83" s="199"/>
      <c r="U83" s="200">
        <f t="shared" ref="U83:U95" si="102">T55-U55+T27-U27</f>
        <v>0</v>
      </c>
      <c r="V83" s="200">
        <f>U83</f>
        <v>0</v>
      </c>
      <c r="W83" s="176">
        <f>V83/Calculation_sheet!M$67</f>
        <v>0</v>
      </c>
      <c r="X83" s="958">
        <f ca="1">IF(AL83&gt;0,W83*Calculation_sheet!C$87,0)</f>
        <v>0</v>
      </c>
      <c r="Y83" s="176">
        <f ca="1">W83-X83</f>
        <v>0</v>
      </c>
      <c r="Z83" s="176">
        <f>IF(AN83&gt;0,Y83*Calculation_sheet!C$94,0)</f>
        <v>0</v>
      </c>
      <c r="AA83" s="958">
        <f t="shared" ref="AA83:AC95" ca="1" si="103">Y83-Z83</f>
        <v>0</v>
      </c>
      <c r="AB83" s="176">
        <f ca="1">AA83*Calculation_sheet!C$99</f>
        <v>0</v>
      </c>
      <c r="AC83" s="958">
        <f t="shared" ca="1" si="103"/>
        <v>0</v>
      </c>
      <c r="AD83" s="176">
        <f>W83-Z83</f>
        <v>0</v>
      </c>
      <c r="AE83" s="176">
        <f>AD83*User_sheet!B$77/100</f>
        <v>0</v>
      </c>
      <c r="AF83" s="309"/>
      <c r="AG83" s="27">
        <v>401</v>
      </c>
      <c r="AH83" s="985"/>
      <c r="AI83" s="956">
        <f t="shared" ca="1" si="99"/>
        <v>57.512806920899358</v>
      </c>
      <c r="AJ83" s="956">
        <f ca="1">AI83/'401'!I$24</f>
        <v>0.30052570840813986</v>
      </c>
      <c r="AK83" s="956">
        <f ca="1">0.8*(AI83*30+'401'!D$17*0.34*30*1)</f>
        <v>3994.0736861015853</v>
      </c>
      <c r="AL83" s="954">
        <f ca="1">IF(AK83&lt;User_sheet!B$50,W83,0)</f>
        <v>0</v>
      </c>
      <c r="AM83" s="954">
        <f ca="1">20-(User_sheet!B$57/(AI83+'401'!D$17*1*0.34))</f>
        <v>-14.250745166778231</v>
      </c>
      <c r="AN83" s="954"/>
      <c r="AO83" s="985"/>
      <c r="AP83" s="2">
        <v>0</v>
      </c>
      <c r="AQ83" s="27">
        <v>0.43</v>
      </c>
      <c r="AR83" s="2">
        <v>0</v>
      </c>
      <c r="AS83" s="27">
        <v>2</v>
      </c>
      <c r="AT83" s="2">
        <v>0</v>
      </c>
      <c r="AU83" s="2">
        <v>0</v>
      </c>
      <c r="AV83" s="2">
        <v>74834</v>
      </c>
      <c r="AW83" s="2">
        <v>0</v>
      </c>
      <c r="AX83" s="2">
        <v>0</v>
      </c>
      <c r="AY83" s="2">
        <v>0</v>
      </c>
      <c r="AZ83" s="50">
        <v>0.6</v>
      </c>
      <c r="BA83" s="34">
        <v>1</v>
      </c>
      <c r="BB83" s="34">
        <v>0</v>
      </c>
      <c r="BC83" s="40">
        <v>0</v>
      </c>
      <c r="BD83" s="34">
        <v>1</v>
      </c>
      <c r="BE83" s="34">
        <v>0</v>
      </c>
      <c r="BF83" s="40">
        <v>0</v>
      </c>
      <c r="BG83" s="34">
        <v>1</v>
      </c>
      <c r="BH83" s="40">
        <v>0</v>
      </c>
      <c r="BI83" s="34">
        <v>1</v>
      </c>
      <c r="BJ83" s="34">
        <v>0</v>
      </c>
      <c r="BK83" s="40">
        <v>0</v>
      </c>
      <c r="BL83" s="199">
        <v>0.04</v>
      </c>
      <c r="BM83" s="958">
        <v>2.5</v>
      </c>
      <c r="BN83" s="37">
        <f t="shared" ref="BN83:BN95" ca="1" si="104">INDIRECT("'"&amp;AG83&amp;"'!"&amp;"B2")</f>
        <v>97.065000000000012</v>
      </c>
      <c r="BO83" s="3">
        <f t="shared" ref="BO83:BO95" ca="1" si="105">INDIRECT("'"&amp;AG83&amp;"'!"&amp;"C12")+INDIRECT("'"&amp;AG83&amp;"'!"&amp;"C13")+INDIRECT("'"&amp;AG83&amp;"'!"&amp;"C14")+INDIRECT("'"&amp;AG83&amp;"'!"&amp;"C15")+INDIRECT("'"&amp;AG83&amp;"'!"&amp;"C17")</f>
        <v>307.37190000000004</v>
      </c>
      <c r="BP83" s="3">
        <f t="shared" ref="BP83:BP95" ca="1" si="106">INDIRECT("'"&amp;AG83&amp;"'!"&amp;"G5")</f>
        <v>0</v>
      </c>
      <c r="BQ83" s="3">
        <f t="shared" ref="BQ83:BQ95" ca="1" si="107">INDIRECT("'"&amp;AG83&amp;"'!"&amp;"G4")</f>
        <v>84.313999999999993</v>
      </c>
      <c r="BR83" s="3">
        <f t="shared" ref="BR83:BR95" ca="1" si="108">INDIRECT("'"&amp;AG83&amp;"'!"&amp;"G6")</f>
        <v>0</v>
      </c>
      <c r="BS83" s="3">
        <f t="shared" ref="BS83:BS95" ca="1" si="109">INDIRECT("'"&amp;AG83&amp;"'!"&amp;"G2")</f>
        <v>10</v>
      </c>
      <c r="BT83" s="3">
        <f t="shared" ref="BT83:BT95" ca="1" si="110">INDIRECT("'"&amp;AG83&amp;"'!"&amp;"G3")</f>
        <v>0</v>
      </c>
      <c r="BU83" s="3">
        <v>0</v>
      </c>
      <c r="BV83" s="3">
        <f t="shared" ref="BV83:BV95" ca="1" si="111">IF(OR(BP83=0,AP83=0),0,1/(1/(BP83*$BW$3)+1/(BP83*AP83)+1/(BP83*$BW$4)))</f>
        <v>0</v>
      </c>
      <c r="BW83" s="3">
        <f t="shared" ref="BW83:BW95" ca="1" si="112">IF(OR(BQ83=0,AQ83=0),0,1/(1/(BQ83*$BW$3)+1/(BQ83*AQ83)+1/(BQ83*$BW$4)))</f>
        <v>33.74024692889936</v>
      </c>
      <c r="BX83" s="3">
        <f t="shared" ref="BX83:BX95" ca="1" si="113">IF(OR(BR83=0,AR83=0),0,1/(1/(BR83*$BW$3)+1/(BR83*AR83)+1/(BR83*$BW$4)))</f>
        <v>0</v>
      </c>
      <c r="BY83" s="3">
        <f t="shared" ref="BY83:BY95" ca="1" si="114">IF(OR(BS83=0,AS83=0),0,1/(1/(BS83*$BW$5)+1/(BS83*AS83)+1/(BS83*$BW$6)))</f>
        <v>19.999999991999999</v>
      </c>
      <c r="BZ83" s="3">
        <f t="shared" ref="BZ83:BZ95" ca="1" si="115">IF(OR(BT83=0,AT83=0),0,1/(1/(BT83*$BW$3)+1/(BT83*AT83)+1/(BT83*$BW$4)))</f>
        <v>0</v>
      </c>
      <c r="CA83" s="3">
        <f t="shared" ref="CA83:CA95" si="116">IF(OR(BU83=0,AU83=0),0,1/(1/(BU83*$BW$3)+1/(BU83*AU83)+1/(BU83*$BW$4)))</f>
        <v>0</v>
      </c>
      <c r="CB83" s="1018">
        <f ca="1">SUM(BV83:CA83)+(BP83+BQ83+BR83+BS83+BT83)*BL83</f>
        <v>57.512806920899358</v>
      </c>
      <c r="CC83" s="1018">
        <f ca="1">0.34*BM83*(1/25)^0.66*(BQ83+BS83+BT83)+0.34*0.6*BO83</f>
        <v>72.28362882224792</v>
      </c>
      <c r="CD83" s="3">
        <f t="shared" ca="1" si="100"/>
        <v>3.8938930722944183</v>
      </c>
      <c r="CE83" s="3">
        <f t="shared" ca="1" si="101"/>
        <v>6483.176209647314</v>
      </c>
    </row>
    <row r="84" spans="4:83" s="3" customFormat="1" x14ac:dyDescent="0.25">
      <c r="D84" s="6"/>
      <c r="F84" s="6"/>
      <c r="G84" s="6"/>
      <c r="H84" s="8"/>
      <c r="I84" s="6"/>
      <c r="J84" s="6"/>
      <c r="K84" s="6"/>
      <c r="L84" s="6"/>
      <c r="M84" s="6"/>
      <c r="N84" s="6"/>
      <c r="O84" s="2" t="s">
        <v>7</v>
      </c>
      <c r="P84" s="4"/>
      <c r="Q84" s="1"/>
      <c r="R84" s="79"/>
      <c r="S84" s="876"/>
      <c r="T84" s="199"/>
      <c r="U84" s="200">
        <f t="shared" si="102"/>
        <v>0</v>
      </c>
      <c r="V84" s="200">
        <f t="shared" ref="V84:V95" si="117">U84</f>
        <v>0</v>
      </c>
      <c r="W84" s="176">
        <f>V84/Calculation_sheet!M$67</f>
        <v>0</v>
      </c>
      <c r="X84" s="958">
        <f ca="1">IF(AL84&gt;0,W84*Calculation_sheet!C$87,0)</f>
        <v>0</v>
      </c>
      <c r="Y84" s="176">
        <f t="shared" ref="Y84:Y95" ca="1" si="118">W84-X84</f>
        <v>0</v>
      </c>
      <c r="Z84" s="176">
        <f>IF(AN84&gt;0,Y84*Calculation_sheet!C$94,0)</f>
        <v>0</v>
      </c>
      <c r="AA84" s="958">
        <f t="shared" ca="1" si="103"/>
        <v>0</v>
      </c>
      <c r="AB84" s="176">
        <f ca="1">AA84*Calculation_sheet!C$99</f>
        <v>0</v>
      </c>
      <c r="AC84" s="958">
        <f t="shared" ca="1" si="103"/>
        <v>0</v>
      </c>
      <c r="AD84" s="176">
        <f t="shared" ref="AD84:AD95" si="119">W84-Z84</f>
        <v>0</v>
      </c>
      <c r="AE84" s="176">
        <f>AD84*User_sheet!B$77/100</f>
        <v>0</v>
      </c>
      <c r="AF84" s="309"/>
      <c r="AG84" s="27">
        <v>401</v>
      </c>
      <c r="AH84" s="985"/>
      <c r="AI84" s="956">
        <f t="shared" ca="1" si="99"/>
        <v>57.512806920899358</v>
      </c>
      <c r="AJ84" s="956">
        <f ca="1">AI84/'401'!I$24</f>
        <v>0.30052570840813986</v>
      </c>
      <c r="AK84" s="956">
        <f ca="1">0.8*(AI84*30+'401'!D$17*0.34*30*1)</f>
        <v>3994.0736861015853</v>
      </c>
      <c r="AL84" s="954">
        <f ca="1">IF(AK84&lt;User_sheet!B$50,W84,0)</f>
        <v>0</v>
      </c>
      <c r="AM84" s="954">
        <f ca="1">20-(User_sheet!B$57/(AI84+'401'!D$17*1*0.34))</f>
        <v>-14.250745166778231</v>
      </c>
      <c r="AN84" s="954"/>
      <c r="AO84" s="985"/>
      <c r="AP84" s="2">
        <v>0</v>
      </c>
      <c r="AQ84" s="27">
        <v>0.43</v>
      </c>
      <c r="AR84" s="2">
        <v>0</v>
      </c>
      <c r="AS84" s="27">
        <v>2</v>
      </c>
      <c r="AT84" s="2">
        <v>0</v>
      </c>
      <c r="AU84" s="2">
        <v>0</v>
      </c>
      <c r="AV84" s="2">
        <v>74834</v>
      </c>
      <c r="AW84" s="2">
        <v>0</v>
      </c>
      <c r="AX84" s="2">
        <v>0</v>
      </c>
      <c r="AY84" s="2">
        <v>0</v>
      </c>
      <c r="AZ84" s="50">
        <v>0.6</v>
      </c>
      <c r="BA84" s="34">
        <v>1</v>
      </c>
      <c r="BB84" s="34">
        <v>0</v>
      </c>
      <c r="BC84" s="40">
        <v>0</v>
      </c>
      <c r="BD84" s="34">
        <v>1</v>
      </c>
      <c r="BE84" s="34">
        <v>0</v>
      </c>
      <c r="BF84" s="40">
        <v>0</v>
      </c>
      <c r="BG84" s="34">
        <v>1</v>
      </c>
      <c r="BH84" s="40">
        <v>0</v>
      </c>
      <c r="BI84" s="34">
        <v>0</v>
      </c>
      <c r="BJ84" s="34">
        <v>0</v>
      </c>
      <c r="BK84" s="40">
        <v>1</v>
      </c>
      <c r="BL84" s="199">
        <v>0.04</v>
      </c>
      <c r="BM84" s="958">
        <v>2.5</v>
      </c>
      <c r="BN84" s="37">
        <f t="shared" ca="1" si="104"/>
        <v>97.065000000000012</v>
      </c>
      <c r="BO84" s="3">
        <f t="shared" ca="1" si="105"/>
        <v>307.37190000000004</v>
      </c>
      <c r="BP84" s="3">
        <f t="shared" ca="1" si="106"/>
        <v>0</v>
      </c>
      <c r="BQ84" s="3">
        <f t="shared" ca="1" si="107"/>
        <v>84.313999999999993</v>
      </c>
      <c r="BR84" s="3">
        <f t="shared" ca="1" si="108"/>
        <v>0</v>
      </c>
      <c r="BS84" s="3">
        <f t="shared" ca="1" si="109"/>
        <v>10</v>
      </c>
      <c r="BT84" s="3">
        <f t="shared" ca="1" si="110"/>
        <v>0</v>
      </c>
      <c r="BU84" s="3">
        <v>0</v>
      </c>
      <c r="BV84" s="3">
        <f t="shared" ca="1" si="111"/>
        <v>0</v>
      </c>
      <c r="BW84" s="3">
        <f t="shared" ca="1" si="112"/>
        <v>33.74024692889936</v>
      </c>
      <c r="BX84" s="3">
        <f t="shared" ca="1" si="113"/>
        <v>0</v>
      </c>
      <c r="BY84" s="3">
        <f t="shared" ca="1" si="114"/>
        <v>19.999999991999999</v>
      </c>
      <c r="BZ84" s="3">
        <f t="shared" ca="1" si="115"/>
        <v>0</v>
      </c>
      <c r="CA84" s="3">
        <f t="shared" si="116"/>
        <v>0</v>
      </c>
      <c r="CB84" s="1018">
        <f t="shared" ref="CB84:CB95" ca="1" si="120">SUM(BV84:CA84)+(BP84+BQ84+BR84+BS84+BT84)*BL84</f>
        <v>57.512806920899358</v>
      </c>
      <c r="CC84" s="1018">
        <f t="shared" ref="CC84:CC95" ca="1" si="121">0.34*BM84*(1/25)^0.66*(BQ84+BS84+BT84)+0.34*0.6*BO84</f>
        <v>72.28362882224792</v>
      </c>
      <c r="CD84" s="3">
        <f t="shared" ca="1" si="100"/>
        <v>3.8938930722944183</v>
      </c>
      <c r="CE84" s="3">
        <f t="shared" ca="1" si="101"/>
        <v>6483.176209647314</v>
      </c>
    </row>
    <row r="85" spans="4:83" s="3" customFormat="1" x14ac:dyDescent="0.25">
      <c r="D85" s="6"/>
      <c r="F85" s="6"/>
      <c r="G85" s="6"/>
      <c r="H85" s="8"/>
      <c r="I85" s="6"/>
      <c r="J85" s="6"/>
      <c r="K85" s="6" t="s">
        <v>58</v>
      </c>
      <c r="L85" s="4"/>
      <c r="M85" s="6" t="s">
        <v>61</v>
      </c>
      <c r="N85" s="4"/>
      <c r="O85" s="2" t="s">
        <v>16</v>
      </c>
      <c r="P85" s="4"/>
      <c r="Q85" s="1"/>
      <c r="R85" s="79"/>
      <c r="S85" s="876"/>
      <c r="T85" s="199"/>
      <c r="U85" s="200">
        <f t="shared" si="102"/>
        <v>0</v>
      </c>
      <c r="V85" s="200">
        <f t="shared" si="117"/>
        <v>0</v>
      </c>
      <c r="W85" s="176">
        <f>V85/Calculation_sheet!M$67</f>
        <v>0</v>
      </c>
      <c r="X85" s="958">
        <f ca="1">IF(AL85&gt;0,W85*Calculation_sheet!C$87,0)</f>
        <v>0</v>
      </c>
      <c r="Y85" s="176">
        <f t="shared" ca="1" si="118"/>
        <v>0</v>
      </c>
      <c r="Z85" s="176">
        <f>IF(AN85&gt;0,Y85*Calculation_sheet!C$94,0)</f>
        <v>0</v>
      </c>
      <c r="AA85" s="958">
        <f t="shared" ca="1" si="103"/>
        <v>0</v>
      </c>
      <c r="AB85" s="176">
        <f ca="1">AA85*Calculation_sheet!C$99</f>
        <v>0</v>
      </c>
      <c r="AC85" s="958">
        <f t="shared" ca="1" si="103"/>
        <v>0</v>
      </c>
      <c r="AD85" s="176">
        <f t="shared" si="119"/>
        <v>0</v>
      </c>
      <c r="AE85" s="176">
        <f>AD85*User_sheet!B$77/100</f>
        <v>0</v>
      </c>
      <c r="AF85" s="309"/>
      <c r="AG85" s="27">
        <v>401</v>
      </c>
      <c r="AH85" s="985"/>
      <c r="AI85" s="956">
        <f t="shared" ca="1" si="99"/>
        <v>57.512806920899358</v>
      </c>
      <c r="AJ85" s="956">
        <f ca="1">AI85/'401'!I$24</f>
        <v>0.30052570840813986</v>
      </c>
      <c r="AK85" s="956">
        <f ca="1">0.8*(AI85*30+'401'!D$17*0.34*30*1)</f>
        <v>3994.0736861015853</v>
      </c>
      <c r="AL85" s="954">
        <f ca="1">IF(AK85&lt;User_sheet!B$50,W85,0)</f>
        <v>0</v>
      </c>
      <c r="AM85" s="954">
        <f ca="1">20-(User_sheet!B$57/(AI85+'401'!D$17*1*0.34))</f>
        <v>-14.250745166778231</v>
      </c>
      <c r="AN85" s="954"/>
      <c r="AO85" s="985"/>
      <c r="AP85" s="2">
        <v>0</v>
      </c>
      <c r="AQ85" s="27">
        <v>0.43</v>
      </c>
      <c r="AR85" s="2">
        <v>0</v>
      </c>
      <c r="AS85" s="27">
        <v>2</v>
      </c>
      <c r="AT85" s="2">
        <v>0</v>
      </c>
      <c r="AU85" s="2">
        <v>0</v>
      </c>
      <c r="AV85" s="2">
        <v>74834</v>
      </c>
      <c r="AW85" s="2">
        <v>0</v>
      </c>
      <c r="AX85" s="2">
        <v>0</v>
      </c>
      <c r="AY85" s="2">
        <v>0</v>
      </c>
      <c r="AZ85" s="50">
        <v>0.6</v>
      </c>
      <c r="BA85" s="34">
        <v>1</v>
      </c>
      <c r="BB85" s="34">
        <v>0</v>
      </c>
      <c r="BC85" s="40">
        <v>0</v>
      </c>
      <c r="BD85" s="34">
        <v>1</v>
      </c>
      <c r="BE85" s="34">
        <v>0</v>
      </c>
      <c r="BF85" s="40">
        <v>0</v>
      </c>
      <c r="BG85" s="34">
        <v>0</v>
      </c>
      <c r="BH85" s="40">
        <v>1</v>
      </c>
      <c r="BI85" s="34">
        <v>1</v>
      </c>
      <c r="BJ85" s="34">
        <v>0</v>
      </c>
      <c r="BK85" s="40">
        <v>0</v>
      </c>
      <c r="BL85" s="199">
        <v>0.04</v>
      </c>
      <c r="BM85" s="958">
        <v>2.5</v>
      </c>
      <c r="BN85" s="37">
        <f t="shared" ca="1" si="104"/>
        <v>97.065000000000012</v>
      </c>
      <c r="BO85" s="3">
        <f t="shared" ca="1" si="105"/>
        <v>307.37190000000004</v>
      </c>
      <c r="BP85" s="3">
        <f t="shared" ca="1" si="106"/>
        <v>0</v>
      </c>
      <c r="BQ85" s="3">
        <f t="shared" ca="1" si="107"/>
        <v>84.313999999999993</v>
      </c>
      <c r="BR85" s="3">
        <f t="shared" ca="1" si="108"/>
        <v>0</v>
      </c>
      <c r="BS85" s="3">
        <f t="shared" ca="1" si="109"/>
        <v>10</v>
      </c>
      <c r="BT85" s="3">
        <f t="shared" ca="1" si="110"/>
        <v>0</v>
      </c>
      <c r="BU85" s="3">
        <v>0</v>
      </c>
      <c r="BV85" s="3">
        <f t="shared" ca="1" si="111"/>
        <v>0</v>
      </c>
      <c r="BW85" s="3">
        <f t="shared" ca="1" si="112"/>
        <v>33.74024692889936</v>
      </c>
      <c r="BX85" s="3">
        <f t="shared" ca="1" si="113"/>
        <v>0</v>
      </c>
      <c r="BY85" s="3">
        <f t="shared" ca="1" si="114"/>
        <v>19.999999991999999</v>
      </c>
      <c r="BZ85" s="3">
        <f t="shared" ca="1" si="115"/>
        <v>0</v>
      </c>
      <c r="CA85" s="3">
        <f t="shared" si="116"/>
        <v>0</v>
      </c>
      <c r="CB85" s="1018">
        <f t="shared" ca="1" si="120"/>
        <v>57.512806920899358</v>
      </c>
      <c r="CC85" s="1018">
        <f t="shared" ca="1" si="121"/>
        <v>72.28362882224792</v>
      </c>
      <c r="CD85" s="3">
        <f t="shared" ca="1" si="100"/>
        <v>3.8938930722944183</v>
      </c>
      <c r="CE85" s="3">
        <f t="shared" ca="1" si="101"/>
        <v>6483.176209647314</v>
      </c>
    </row>
    <row r="86" spans="4:83" x14ac:dyDescent="0.25">
      <c r="D86" s="1"/>
      <c r="F86" s="1"/>
      <c r="H86" s="8"/>
      <c r="I86" s="6" t="s">
        <v>16</v>
      </c>
      <c r="J86" s="4"/>
      <c r="K86" s="6"/>
      <c r="L86" s="6"/>
      <c r="M86" s="6"/>
      <c r="N86" s="6"/>
      <c r="O86" s="2" t="s">
        <v>7</v>
      </c>
      <c r="P86" s="4"/>
      <c r="Q86" s="1"/>
      <c r="R86" s="79"/>
      <c r="S86" s="876"/>
      <c r="U86" s="200">
        <f t="shared" si="102"/>
        <v>0</v>
      </c>
      <c r="V86" s="200">
        <f t="shared" si="117"/>
        <v>0</v>
      </c>
      <c r="W86" s="176">
        <f>V86/Calculation_sheet!M$67</f>
        <v>0</v>
      </c>
      <c r="X86" s="958">
        <f ca="1">IF(AL86&gt;0,W86*Calculation_sheet!C$87,0)</f>
        <v>0</v>
      </c>
      <c r="Y86" s="176">
        <f t="shared" ca="1" si="118"/>
        <v>0</v>
      </c>
      <c r="Z86" s="176">
        <f>IF(AN86&gt;0,Y86*Calculation_sheet!C$94,0)</f>
        <v>0</v>
      </c>
      <c r="AA86" s="958">
        <f t="shared" ca="1" si="103"/>
        <v>0</v>
      </c>
      <c r="AB86" s="176">
        <f ca="1">AA86*Calculation_sheet!C$99</f>
        <v>0</v>
      </c>
      <c r="AC86" s="958">
        <f t="shared" ca="1" si="103"/>
        <v>0</v>
      </c>
      <c r="AD86" s="176">
        <f t="shared" si="119"/>
        <v>0</v>
      </c>
      <c r="AE86" s="176">
        <f>AD86*User_sheet!B$77/100</f>
        <v>0</v>
      </c>
      <c r="AF86" s="309"/>
      <c r="AG86" s="27">
        <v>401</v>
      </c>
      <c r="AH86" s="985"/>
      <c r="AI86" s="956">
        <f t="shared" ca="1" si="99"/>
        <v>57.512806920899358</v>
      </c>
      <c r="AJ86" s="956">
        <f ca="1">AI86/'401'!I$24</f>
        <v>0.30052570840813986</v>
      </c>
      <c r="AK86" s="956">
        <f ca="1">0.8*(AI86*30+'401'!D$17*0.34*30*1)</f>
        <v>3994.0736861015853</v>
      </c>
      <c r="AL86" s="954">
        <f ca="1">IF(AK86&lt;User_sheet!B$50,W86,0)</f>
        <v>0</v>
      </c>
      <c r="AM86" s="954">
        <f ca="1">20-(User_sheet!B$57/(AI86+'401'!D$17*1*0.34))</f>
        <v>-14.250745166778231</v>
      </c>
      <c r="AN86" s="954"/>
      <c r="AO86" s="985"/>
      <c r="AP86" s="2">
        <v>0</v>
      </c>
      <c r="AQ86" s="27">
        <v>0.43</v>
      </c>
      <c r="AR86" s="2">
        <v>0</v>
      </c>
      <c r="AS86" s="27">
        <v>2</v>
      </c>
      <c r="AT86" s="2">
        <v>0</v>
      </c>
      <c r="AU86" s="2">
        <v>0</v>
      </c>
      <c r="AV86" s="2">
        <v>74834</v>
      </c>
      <c r="AW86" s="2">
        <v>0</v>
      </c>
      <c r="AX86" s="2">
        <v>0</v>
      </c>
      <c r="AY86" s="2">
        <v>0</v>
      </c>
      <c r="AZ86" s="50">
        <v>0.6</v>
      </c>
      <c r="BA86" s="34">
        <v>1</v>
      </c>
      <c r="BB86" s="34">
        <v>0</v>
      </c>
      <c r="BC86" s="40">
        <v>0</v>
      </c>
      <c r="BD86" s="34">
        <v>1</v>
      </c>
      <c r="BE86" s="34">
        <v>0</v>
      </c>
      <c r="BF86" s="40">
        <v>0</v>
      </c>
      <c r="BG86" s="34">
        <v>0</v>
      </c>
      <c r="BH86" s="40">
        <v>1</v>
      </c>
      <c r="BI86" s="34">
        <v>0</v>
      </c>
      <c r="BJ86" s="34">
        <v>0</v>
      </c>
      <c r="BK86" s="40">
        <v>1</v>
      </c>
      <c r="BL86" s="199">
        <v>0.04</v>
      </c>
      <c r="BM86" s="958">
        <v>2.5</v>
      </c>
      <c r="BN86" s="32">
        <f t="shared" ca="1" si="104"/>
        <v>97.065000000000012</v>
      </c>
      <c r="BO86">
        <f t="shared" ca="1" si="105"/>
        <v>307.37190000000004</v>
      </c>
      <c r="BP86">
        <f t="shared" ca="1" si="106"/>
        <v>0</v>
      </c>
      <c r="BQ86">
        <f t="shared" ca="1" si="107"/>
        <v>84.313999999999993</v>
      </c>
      <c r="BR86">
        <f t="shared" ca="1" si="108"/>
        <v>0</v>
      </c>
      <c r="BS86">
        <f t="shared" ca="1" si="109"/>
        <v>10</v>
      </c>
      <c r="BT86">
        <f t="shared" ca="1" si="110"/>
        <v>0</v>
      </c>
      <c r="BU86">
        <v>0</v>
      </c>
      <c r="BV86">
        <f t="shared" ca="1" si="111"/>
        <v>0</v>
      </c>
      <c r="BW86">
        <f t="shared" ca="1" si="112"/>
        <v>33.74024692889936</v>
      </c>
      <c r="BX86">
        <f t="shared" ca="1" si="113"/>
        <v>0</v>
      </c>
      <c r="BY86">
        <f t="shared" ca="1" si="114"/>
        <v>19.999999991999999</v>
      </c>
      <c r="BZ86">
        <f t="shared" ca="1" si="115"/>
        <v>0</v>
      </c>
      <c r="CA86">
        <f t="shared" si="116"/>
        <v>0</v>
      </c>
      <c r="CB86" s="1018">
        <f t="shared" ca="1" si="120"/>
        <v>57.512806920899358</v>
      </c>
      <c r="CC86" s="1018">
        <f t="shared" ca="1" si="121"/>
        <v>72.28362882224792</v>
      </c>
      <c r="CD86">
        <f t="shared" ca="1" si="100"/>
        <v>3.8938930722944183</v>
      </c>
      <c r="CE86">
        <f t="shared" ca="1" si="101"/>
        <v>6483.176209647314</v>
      </c>
    </row>
    <row r="87" spans="4:83" x14ac:dyDescent="0.25">
      <c r="D87" s="1"/>
      <c r="F87" s="1"/>
      <c r="H87" s="8"/>
      <c r="I87" s="6"/>
      <c r="J87" s="6"/>
      <c r="K87" s="6" t="s">
        <v>59</v>
      </c>
      <c r="L87" s="4"/>
      <c r="M87" s="6"/>
      <c r="N87" s="6"/>
      <c r="O87" s="27" t="s">
        <v>16</v>
      </c>
      <c r="P87" s="4"/>
      <c r="Q87" s="1"/>
      <c r="R87" s="79"/>
      <c r="S87" s="876"/>
      <c r="U87" s="200">
        <f t="shared" si="102"/>
        <v>0</v>
      </c>
      <c r="V87" s="200">
        <f t="shared" si="117"/>
        <v>0</v>
      </c>
      <c r="W87" s="176">
        <f>V87/Calculation_sheet!M$67</f>
        <v>0</v>
      </c>
      <c r="X87" s="958">
        <f ca="1">IF(AL87&gt;0,W87*Calculation_sheet!C$87,0)</f>
        <v>0</v>
      </c>
      <c r="Y87" s="176">
        <f t="shared" ca="1" si="118"/>
        <v>0</v>
      </c>
      <c r="Z87" s="176">
        <f>IF(AN87&gt;0,Y87*Calculation_sheet!C$94,0)</f>
        <v>0</v>
      </c>
      <c r="AA87" s="958">
        <f t="shared" ca="1" si="103"/>
        <v>0</v>
      </c>
      <c r="AB87" s="176">
        <f ca="1">AA87*Calculation_sheet!C$99</f>
        <v>0</v>
      </c>
      <c r="AC87" s="958">
        <f t="shared" ca="1" si="103"/>
        <v>0</v>
      </c>
      <c r="AD87" s="176">
        <f t="shared" si="119"/>
        <v>0</v>
      </c>
      <c r="AE87" s="176">
        <f>AD87*User_sheet!B$77/100</f>
        <v>0</v>
      </c>
      <c r="AF87" s="309"/>
      <c r="AG87" s="27">
        <v>401</v>
      </c>
      <c r="AH87" s="985"/>
      <c r="AI87" s="956">
        <f t="shared" ca="1" si="99"/>
        <v>57.512806920899358</v>
      </c>
      <c r="AJ87" s="956">
        <f ca="1">AI87/'401'!I$24</f>
        <v>0.30052570840813986</v>
      </c>
      <c r="AK87" s="956">
        <f ca="1">0.8*(AI87*30+'401'!D$17*0.34*30*1)</f>
        <v>3994.0736861015853</v>
      </c>
      <c r="AL87" s="954">
        <f ca="1">IF(AK87&lt;User_sheet!B$50,W87,0)</f>
        <v>0</v>
      </c>
      <c r="AM87" s="954">
        <f ca="1">20-(User_sheet!B$57/(AI87+'401'!D$17*1*0.34))</f>
        <v>-14.250745166778231</v>
      </c>
      <c r="AN87" s="954"/>
      <c r="AO87" s="985"/>
      <c r="AP87" s="2">
        <v>0</v>
      </c>
      <c r="AQ87" s="27">
        <v>0.43</v>
      </c>
      <c r="AR87" s="2">
        <v>0</v>
      </c>
      <c r="AS87" s="27">
        <v>2</v>
      </c>
      <c r="AT87" s="2">
        <v>0</v>
      </c>
      <c r="AU87" s="2">
        <v>0</v>
      </c>
      <c r="AV87" s="2">
        <v>74834</v>
      </c>
      <c r="AW87" s="2">
        <v>0</v>
      </c>
      <c r="AX87" s="2">
        <v>0</v>
      </c>
      <c r="AY87" s="2">
        <v>0</v>
      </c>
      <c r="AZ87" s="50">
        <v>0.6</v>
      </c>
      <c r="BA87" s="34">
        <v>1</v>
      </c>
      <c r="BB87" s="34">
        <v>0</v>
      </c>
      <c r="BC87" s="40">
        <v>0</v>
      </c>
      <c r="BD87" s="34">
        <v>0</v>
      </c>
      <c r="BE87" s="34">
        <v>1</v>
      </c>
      <c r="BF87" s="40">
        <v>0</v>
      </c>
      <c r="BG87" s="34">
        <v>1</v>
      </c>
      <c r="BH87" s="40">
        <v>0</v>
      </c>
      <c r="BI87" s="34">
        <v>1</v>
      </c>
      <c r="BJ87" s="34">
        <v>0</v>
      </c>
      <c r="BK87" s="40">
        <v>0</v>
      </c>
      <c r="BL87" s="199">
        <v>0.04</v>
      </c>
      <c r="BM87" s="958">
        <v>2.5</v>
      </c>
      <c r="BN87" s="32">
        <f t="shared" ca="1" si="104"/>
        <v>97.065000000000012</v>
      </c>
      <c r="BO87">
        <f t="shared" ca="1" si="105"/>
        <v>307.37190000000004</v>
      </c>
      <c r="BP87">
        <f t="shared" ca="1" si="106"/>
        <v>0</v>
      </c>
      <c r="BQ87">
        <f t="shared" ca="1" si="107"/>
        <v>84.313999999999993</v>
      </c>
      <c r="BR87">
        <f t="shared" ca="1" si="108"/>
        <v>0</v>
      </c>
      <c r="BS87">
        <f t="shared" ca="1" si="109"/>
        <v>10</v>
      </c>
      <c r="BT87">
        <f t="shared" ca="1" si="110"/>
        <v>0</v>
      </c>
      <c r="BU87">
        <v>0</v>
      </c>
      <c r="BV87">
        <f t="shared" ca="1" si="111"/>
        <v>0</v>
      </c>
      <c r="BW87">
        <f t="shared" ca="1" si="112"/>
        <v>33.74024692889936</v>
      </c>
      <c r="BX87">
        <f t="shared" ca="1" si="113"/>
        <v>0</v>
      </c>
      <c r="BY87">
        <f t="shared" ca="1" si="114"/>
        <v>19.999999991999999</v>
      </c>
      <c r="BZ87">
        <f t="shared" ca="1" si="115"/>
        <v>0</v>
      </c>
      <c r="CA87">
        <f t="shared" si="116"/>
        <v>0</v>
      </c>
      <c r="CB87" s="1018">
        <f t="shared" ca="1" si="120"/>
        <v>57.512806920899358</v>
      </c>
      <c r="CC87" s="1018">
        <f t="shared" ca="1" si="121"/>
        <v>72.28362882224792</v>
      </c>
      <c r="CD87">
        <f t="shared" ca="1" si="100"/>
        <v>3.8938930722944183</v>
      </c>
      <c r="CE87">
        <f t="shared" ca="1" si="101"/>
        <v>6483.176209647314</v>
      </c>
    </row>
    <row r="88" spans="4:83" x14ac:dyDescent="0.25">
      <c r="D88" s="1"/>
      <c r="F88" s="3" t="s">
        <v>143</v>
      </c>
      <c r="H88" s="8"/>
      <c r="I88" s="6"/>
      <c r="J88" s="6"/>
      <c r="K88" s="6"/>
      <c r="L88" s="6"/>
      <c r="M88" s="6"/>
      <c r="N88" s="6"/>
      <c r="O88" s="27" t="s">
        <v>7</v>
      </c>
      <c r="P88" s="4"/>
      <c r="Q88" s="1"/>
      <c r="R88" s="79"/>
      <c r="S88" s="876"/>
      <c r="U88" s="200">
        <f t="shared" si="102"/>
        <v>0</v>
      </c>
      <c r="V88" s="200">
        <f t="shared" si="117"/>
        <v>0</v>
      </c>
      <c r="W88" s="176">
        <f>V88/Calculation_sheet!M$67</f>
        <v>0</v>
      </c>
      <c r="X88" s="958">
        <f ca="1">IF(AL88&gt;0,W88*Calculation_sheet!C$87,0)</f>
        <v>0</v>
      </c>
      <c r="Y88" s="176">
        <f t="shared" ca="1" si="118"/>
        <v>0</v>
      </c>
      <c r="Z88" s="176">
        <f>IF(AN88&gt;0,Y88*Calculation_sheet!C$94,0)</f>
        <v>0</v>
      </c>
      <c r="AA88" s="958">
        <f t="shared" ca="1" si="103"/>
        <v>0</v>
      </c>
      <c r="AB88" s="176">
        <f ca="1">AA88*Calculation_sheet!C$99</f>
        <v>0</v>
      </c>
      <c r="AC88" s="958">
        <f t="shared" ca="1" si="103"/>
        <v>0</v>
      </c>
      <c r="AD88" s="176">
        <f t="shared" si="119"/>
        <v>0</v>
      </c>
      <c r="AE88" s="176">
        <f>AD88*User_sheet!B$77/100</f>
        <v>0</v>
      </c>
      <c r="AF88" s="309"/>
      <c r="AG88" s="27">
        <v>401</v>
      </c>
      <c r="AH88" s="985"/>
      <c r="AI88" s="956">
        <f t="shared" ca="1" si="99"/>
        <v>57.512806920899358</v>
      </c>
      <c r="AJ88" s="956">
        <f ca="1">AI88/'401'!I$24</f>
        <v>0.30052570840813986</v>
      </c>
      <c r="AK88" s="956">
        <f ca="1">0.8*(AI88*30+'401'!D$17*0.34*30*1)</f>
        <v>3994.0736861015853</v>
      </c>
      <c r="AL88" s="954">
        <f ca="1">IF(AK88&lt;User_sheet!B$50,W88,0)</f>
        <v>0</v>
      </c>
      <c r="AM88" s="954">
        <f ca="1">20-(User_sheet!B$57/(AI88+'401'!D$17*1*0.34))</f>
        <v>-14.250745166778231</v>
      </c>
      <c r="AN88" s="954"/>
      <c r="AO88" s="985"/>
      <c r="AP88" s="2">
        <v>0</v>
      </c>
      <c r="AQ88" s="27">
        <v>0.43</v>
      </c>
      <c r="AR88" s="2">
        <v>0</v>
      </c>
      <c r="AS88" s="27">
        <v>2</v>
      </c>
      <c r="AT88" s="2">
        <v>0</v>
      </c>
      <c r="AU88" s="2">
        <v>0</v>
      </c>
      <c r="AV88" s="2">
        <v>74834</v>
      </c>
      <c r="AW88" s="2">
        <v>0</v>
      </c>
      <c r="AX88" s="2">
        <v>0</v>
      </c>
      <c r="AY88" s="2">
        <v>0</v>
      </c>
      <c r="AZ88" s="50">
        <v>0.6</v>
      </c>
      <c r="BA88" s="34">
        <v>1</v>
      </c>
      <c r="BB88" s="34">
        <v>0</v>
      </c>
      <c r="BC88" s="40">
        <v>0</v>
      </c>
      <c r="BD88" s="34">
        <v>0</v>
      </c>
      <c r="BE88" s="34">
        <v>1</v>
      </c>
      <c r="BF88" s="40">
        <v>0</v>
      </c>
      <c r="BG88" s="34">
        <v>1</v>
      </c>
      <c r="BH88" s="40">
        <v>0</v>
      </c>
      <c r="BI88" s="34">
        <v>0</v>
      </c>
      <c r="BJ88" s="34">
        <v>0</v>
      </c>
      <c r="BK88" s="40">
        <v>1</v>
      </c>
      <c r="BL88" s="199">
        <v>0.04</v>
      </c>
      <c r="BM88" s="958">
        <v>2.5</v>
      </c>
      <c r="BN88" s="32">
        <f t="shared" ca="1" si="104"/>
        <v>97.065000000000012</v>
      </c>
      <c r="BO88">
        <f t="shared" ca="1" si="105"/>
        <v>307.37190000000004</v>
      </c>
      <c r="BP88">
        <f t="shared" ca="1" si="106"/>
        <v>0</v>
      </c>
      <c r="BQ88">
        <f t="shared" ca="1" si="107"/>
        <v>84.313999999999993</v>
      </c>
      <c r="BR88">
        <f t="shared" ca="1" si="108"/>
        <v>0</v>
      </c>
      <c r="BS88">
        <f t="shared" ca="1" si="109"/>
        <v>10</v>
      </c>
      <c r="BT88">
        <f t="shared" ca="1" si="110"/>
        <v>0</v>
      </c>
      <c r="BU88">
        <v>0</v>
      </c>
      <c r="BV88">
        <f t="shared" ca="1" si="111"/>
        <v>0</v>
      </c>
      <c r="BW88">
        <f t="shared" ca="1" si="112"/>
        <v>33.74024692889936</v>
      </c>
      <c r="BX88">
        <f t="shared" ca="1" si="113"/>
        <v>0</v>
      </c>
      <c r="BY88">
        <f t="shared" ca="1" si="114"/>
        <v>19.999999991999999</v>
      </c>
      <c r="BZ88">
        <f t="shared" ca="1" si="115"/>
        <v>0</v>
      </c>
      <c r="CA88">
        <f t="shared" si="116"/>
        <v>0</v>
      </c>
      <c r="CB88" s="1018">
        <f t="shared" ca="1" si="120"/>
        <v>57.512806920899358</v>
      </c>
      <c r="CC88" s="1018">
        <f t="shared" ca="1" si="121"/>
        <v>72.28362882224792</v>
      </c>
      <c r="CD88">
        <f t="shared" ca="1" si="100"/>
        <v>3.8938930722944183</v>
      </c>
      <c r="CE88">
        <f t="shared" ca="1" si="101"/>
        <v>6483.176209647314</v>
      </c>
    </row>
    <row r="89" spans="4:83" x14ac:dyDescent="0.25">
      <c r="D89" s="1"/>
      <c r="F89" s="6" t="s">
        <v>190</v>
      </c>
      <c r="H89" s="8"/>
      <c r="I89" s="6"/>
      <c r="J89" s="6"/>
      <c r="K89" s="6"/>
      <c r="L89" s="6"/>
      <c r="M89" s="6" t="s">
        <v>60</v>
      </c>
      <c r="N89" s="4"/>
      <c r="O89" s="2" t="s">
        <v>57</v>
      </c>
      <c r="P89" s="4"/>
      <c r="Q89" s="1"/>
      <c r="R89" s="79"/>
      <c r="S89" s="876"/>
      <c r="U89" s="200">
        <f t="shared" si="102"/>
        <v>0</v>
      </c>
      <c r="V89" s="200">
        <f t="shared" si="117"/>
        <v>0</v>
      </c>
      <c r="W89" s="176">
        <f>V89/Calculation_sheet!M$67</f>
        <v>0</v>
      </c>
      <c r="X89" s="958">
        <f ca="1">IF(AL89&gt;0,W89*Calculation_sheet!C$87,0)</f>
        <v>0</v>
      </c>
      <c r="Y89" s="176">
        <f t="shared" ca="1" si="118"/>
        <v>0</v>
      </c>
      <c r="Z89" s="176">
        <f>IF(AN89&gt;0,Y89*Calculation_sheet!C$94,0)</f>
        <v>0</v>
      </c>
      <c r="AA89" s="958">
        <f t="shared" ca="1" si="103"/>
        <v>0</v>
      </c>
      <c r="AB89" s="176">
        <f ca="1">AA89*Calculation_sheet!C$99</f>
        <v>0</v>
      </c>
      <c r="AC89" s="958">
        <f t="shared" ca="1" si="103"/>
        <v>0</v>
      </c>
      <c r="AD89" s="176">
        <f t="shared" si="119"/>
        <v>0</v>
      </c>
      <c r="AE89" s="176">
        <f>AD89*User_sheet!B$77/100</f>
        <v>0</v>
      </c>
      <c r="AF89" s="309"/>
      <c r="AG89" s="27">
        <v>401</v>
      </c>
      <c r="AH89" s="985"/>
      <c r="AI89" s="956">
        <f t="shared" ca="1" si="99"/>
        <v>57.512806920899358</v>
      </c>
      <c r="AJ89" s="956">
        <f ca="1">AI89/'401'!I$24</f>
        <v>0.30052570840813986</v>
      </c>
      <c r="AK89" s="956">
        <f ca="1">0.8*(AI89*30+'401'!D$17*0.34*30*1)</f>
        <v>3994.0736861015853</v>
      </c>
      <c r="AL89" s="954">
        <f ca="1">IF(AK89&lt;User_sheet!B$50,W89,0)</f>
        <v>0</v>
      </c>
      <c r="AM89" s="954">
        <f ca="1">20-(User_sheet!B$57/(AI89+'401'!D$17*1*0.34))</f>
        <v>-14.250745166778231</v>
      </c>
      <c r="AN89" s="954"/>
      <c r="AO89" s="985"/>
      <c r="AP89" s="2">
        <v>0</v>
      </c>
      <c r="AQ89" s="27">
        <v>0.43</v>
      </c>
      <c r="AR89" s="2">
        <v>0</v>
      </c>
      <c r="AS89" s="27">
        <v>2</v>
      </c>
      <c r="AT89" s="2">
        <v>0</v>
      </c>
      <c r="AU89" s="2">
        <v>0</v>
      </c>
      <c r="AV89" s="2">
        <v>74834</v>
      </c>
      <c r="AW89" s="2">
        <v>0</v>
      </c>
      <c r="AX89" s="2">
        <v>0</v>
      </c>
      <c r="AY89" s="2">
        <v>0</v>
      </c>
      <c r="AZ89" s="50">
        <v>0.6</v>
      </c>
      <c r="BA89" s="34">
        <v>0</v>
      </c>
      <c r="BB89" s="34">
        <v>1</v>
      </c>
      <c r="BC89" s="40">
        <v>0</v>
      </c>
      <c r="BD89" s="34">
        <v>1</v>
      </c>
      <c r="BE89" s="34">
        <v>0</v>
      </c>
      <c r="BF89" s="40">
        <v>0</v>
      </c>
      <c r="BG89" s="34">
        <v>1</v>
      </c>
      <c r="BH89" s="40">
        <v>0</v>
      </c>
      <c r="BI89" s="34">
        <v>0</v>
      </c>
      <c r="BJ89" s="34">
        <v>1</v>
      </c>
      <c r="BK89" s="40">
        <v>0</v>
      </c>
      <c r="BL89" s="199">
        <v>0.04</v>
      </c>
      <c r="BM89" s="958">
        <v>2.5</v>
      </c>
      <c r="BN89" s="32">
        <f t="shared" ca="1" si="104"/>
        <v>97.065000000000012</v>
      </c>
      <c r="BO89">
        <f t="shared" ca="1" si="105"/>
        <v>307.37190000000004</v>
      </c>
      <c r="BP89">
        <f t="shared" ca="1" si="106"/>
        <v>0</v>
      </c>
      <c r="BQ89">
        <f t="shared" ca="1" si="107"/>
        <v>84.313999999999993</v>
      </c>
      <c r="BR89">
        <f t="shared" ca="1" si="108"/>
        <v>0</v>
      </c>
      <c r="BS89">
        <f t="shared" ca="1" si="109"/>
        <v>10</v>
      </c>
      <c r="BT89">
        <f t="shared" ca="1" si="110"/>
        <v>0</v>
      </c>
      <c r="BU89">
        <v>0</v>
      </c>
      <c r="BV89">
        <f t="shared" ca="1" si="111"/>
        <v>0</v>
      </c>
      <c r="BW89">
        <f t="shared" ca="1" si="112"/>
        <v>33.74024692889936</v>
      </c>
      <c r="BX89">
        <f t="shared" ca="1" si="113"/>
        <v>0</v>
      </c>
      <c r="BY89">
        <f t="shared" ca="1" si="114"/>
        <v>19.999999991999999</v>
      </c>
      <c r="BZ89">
        <f t="shared" ca="1" si="115"/>
        <v>0</v>
      </c>
      <c r="CA89">
        <f t="shared" si="116"/>
        <v>0</v>
      </c>
      <c r="CB89" s="1018">
        <f t="shared" ca="1" si="120"/>
        <v>57.512806920899358</v>
      </c>
      <c r="CC89" s="1018">
        <f t="shared" ca="1" si="121"/>
        <v>72.28362882224792</v>
      </c>
      <c r="CD89">
        <f t="shared" ca="1" si="100"/>
        <v>3.8938930722944183</v>
      </c>
      <c r="CE89">
        <f t="shared" ca="1" si="101"/>
        <v>6483.176209647314</v>
      </c>
    </row>
    <row r="90" spans="4:83" x14ac:dyDescent="0.25">
      <c r="D90" s="1"/>
      <c r="F90" s="1"/>
      <c r="G90" s="6"/>
      <c r="H90" s="8"/>
      <c r="I90" s="6"/>
      <c r="J90" s="6"/>
      <c r="K90" s="6"/>
      <c r="L90" s="6"/>
      <c r="M90" s="6"/>
      <c r="N90" s="6"/>
      <c r="O90" s="2" t="s">
        <v>7</v>
      </c>
      <c r="P90" s="4"/>
      <c r="Q90" s="1"/>
      <c r="R90" s="79"/>
      <c r="S90" s="876"/>
      <c r="U90" s="200">
        <f t="shared" si="102"/>
        <v>0</v>
      </c>
      <c r="V90" s="200">
        <f t="shared" si="117"/>
        <v>0</v>
      </c>
      <c r="W90" s="176">
        <f>V90/Calculation_sheet!M$67</f>
        <v>0</v>
      </c>
      <c r="X90" s="958">
        <f ca="1">IF(AL90&gt;0,W90*Calculation_sheet!C$87,0)</f>
        <v>0</v>
      </c>
      <c r="Y90" s="176">
        <f t="shared" ca="1" si="118"/>
        <v>0</v>
      </c>
      <c r="Z90" s="176">
        <f>IF(AN90&gt;0,Y90*Calculation_sheet!C$94,0)</f>
        <v>0</v>
      </c>
      <c r="AA90" s="958">
        <f t="shared" ca="1" si="103"/>
        <v>0</v>
      </c>
      <c r="AB90" s="176">
        <f ca="1">AA90*Calculation_sheet!C$99</f>
        <v>0</v>
      </c>
      <c r="AC90" s="958">
        <f t="shared" ca="1" si="103"/>
        <v>0</v>
      </c>
      <c r="AD90" s="176">
        <f t="shared" si="119"/>
        <v>0</v>
      </c>
      <c r="AE90" s="176">
        <f>AD90*User_sheet!B$77/100</f>
        <v>0</v>
      </c>
      <c r="AF90" s="309"/>
      <c r="AG90" s="27">
        <v>401</v>
      </c>
      <c r="AH90" s="985"/>
      <c r="AI90" s="956">
        <f t="shared" ca="1" si="99"/>
        <v>57.512806920899358</v>
      </c>
      <c r="AJ90" s="956">
        <f ca="1">AI90/'401'!I$24</f>
        <v>0.30052570840813986</v>
      </c>
      <c r="AK90" s="956">
        <f ca="1">0.8*(AI90*30+'401'!D$17*0.34*30*1)</f>
        <v>3994.0736861015853</v>
      </c>
      <c r="AL90" s="954">
        <f ca="1">IF(AK90&lt;User_sheet!B$50,W90,0)</f>
        <v>0</v>
      </c>
      <c r="AM90" s="954">
        <f ca="1">20-(User_sheet!B$57/(AI90+'401'!D$17*1*0.34))</f>
        <v>-14.250745166778231</v>
      </c>
      <c r="AN90" s="954"/>
      <c r="AO90" s="985"/>
      <c r="AP90" s="2">
        <v>0</v>
      </c>
      <c r="AQ90" s="27">
        <v>0.43</v>
      </c>
      <c r="AR90" s="2">
        <v>0</v>
      </c>
      <c r="AS90" s="27">
        <v>2</v>
      </c>
      <c r="AT90" s="2">
        <v>0</v>
      </c>
      <c r="AU90" s="2">
        <v>0</v>
      </c>
      <c r="AV90" s="2">
        <v>74834</v>
      </c>
      <c r="AW90" s="2">
        <v>0</v>
      </c>
      <c r="AX90" s="2">
        <v>0</v>
      </c>
      <c r="AY90" s="2">
        <v>0</v>
      </c>
      <c r="AZ90" s="50">
        <v>0.6</v>
      </c>
      <c r="BA90" s="34">
        <v>0</v>
      </c>
      <c r="BB90" s="34">
        <v>1</v>
      </c>
      <c r="BC90" s="40">
        <v>0</v>
      </c>
      <c r="BD90" s="34">
        <v>1</v>
      </c>
      <c r="BE90" s="34">
        <v>0</v>
      </c>
      <c r="BF90" s="40">
        <v>0</v>
      </c>
      <c r="BG90" s="34">
        <v>1</v>
      </c>
      <c r="BH90" s="40">
        <v>0</v>
      </c>
      <c r="BI90" s="34">
        <v>0</v>
      </c>
      <c r="BJ90" s="34">
        <v>0</v>
      </c>
      <c r="BK90" s="40">
        <v>1</v>
      </c>
      <c r="BL90" s="199">
        <v>0.04</v>
      </c>
      <c r="BM90" s="958">
        <v>2.5</v>
      </c>
      <c r="BN90" s="32">
        <f t="shared" ca="1" si="104"/>
        <v>97.065000000000012</v>
      </c>
      <c r="BO90">
        <f t="shared" ca="1" si="105"/>
        <v>307.37190000000004</v>
      </c>
      <c r="BP90">
        <f t="shared" ca="1" si="106"/>
        <v>0</v>
      </c>
      <c r="BQ90">
        <f t="shared" ca="1" si="107"/>
        <v>84.313999999999993</v>
      </c>
      <c r="BR90">
        <f t="shared" ca="1" si="108"/>
        <v>0</v>
      </c>
      <c r="BS90">
        <f t="shared" ca="1" si="109"/>
        <v>10</v>
      </c>
      <c r="BT90">
        <f t="shared" ca="1" si="110"/>
        <v>0</v>
      </c>
      <c r="BU90">
        <v>0</v>
      </c>
      <c r="BV90">
        <f t="shared" ca="1" si="111"/>
        <v>0</v>
      </c>
      <c r="BW90">
        <f t="shared" ca="1" si="112"/>
        <v>33.74024692889936</v>
      </c>
      <c r="BX90">
        <f t="shared" ca="1" si="113"/>
        <v>0</v>
      </c>
      <c r="BY90">
        <f t="shared" ca="1" si="114"/>
        <v>19.999999991999999</v>
      </c>
      <c r="BZ90">
        <f t="shared" ca="1" si="115"/>
        <v>0</v>
      </c>
      <c r="CA90">
        <f t="shared" si="116"/>
        <v>0</v>
      </c>
      <c r="CB90" s="1018">
        <f t="shared" ca="1" si="120"/>
        <v>57.512806920899358</v>
      </c>
      <c r="CC90" s="1018">
        <f t="shared" ca="1" si="121"/>
        <v>72.28362882224792</v>
      </c>
      <c r="CD90">
        <f t="shared" ca="1" si="100"/>
        <v>3.8938930722944183</v>
      </c>
      <c r="CE90">
        <f t="shared" ca="1" si="101"/>
        <v>6483.176209647314</v>
      </c>
    </row>
    <row r="91" spans="4:83" x14ac:dyDescent="0.25">
      <c r="D91" s="1"/>
      <c r="F91" s="1"/>
      <c r="G91" s="6"/>
      <c r="H91" s="8"/>
      <c r="I91" s="6"/>
      <c r="J91" s="6"/>
      <c r="K91" s="6" t="s">
        <v>58</v>
      </c>
      <c r="L91" s="4"/>
      <c r="M91" s="6" t="s">
        <v>61</v>
      </c>
      <c r="N91" s="4"/>
      <c r="O91" s="2" t="s">
        <v>57</v>
      </c>
      <c r="P91" s="4"/>
      <c r="Q91" s="1"/>
      <c r="R91" s="79"/>
      <c r="S91" s="876"/>
      <c r="U91" s="200">
        <f t="shared" si="102"/>
        <v>0</v>
      </c>
      <c r="V91" s="200">
        <f t="shared" si="117"/>
        <v>0</v>
      </c>
      <c r="W91" s="176">
        <f>V91/Calculation_sheet!M$67</f>
        <v>0</v>
      </c>
      <c r="X91" s="958">
        <f ca="1">IF(AL91&gt;0,W91*Calculation_sheet!C$87,0)</f>
        <v>0</v>
      </c>
      <c r="Y91" s="176">
        <f t="shared" ca="1" si="118"/>
        <v>0</v>
      </c>
      <c r="Z91" s="176">
        <f>IF(AN91&gt;0,Y91*Calculation_sheet!C$94,0)</f>
        <v>0</v>
      </c>
      <c r="AA91" s="958">
        <f t="shared" ca="1" si="103"/>
        <v>0</v>
      </c>
      <c r="AB91" s="176">
        <f ca="1">AA91*Calculation_sheet!C$99</f>
        <v>0</v>
      </c>
      <c r="AC91" s="958">
        <f t="shared" ca="1" si="103"/>
        <v>0</v>
      </c>
      <c r="AD91" s="176">
        <f t="shared" si="119"/>
        <v>0</v>
      </c>
      <c r="AE91" s="176">
        <f>AD91*User_sheet!B$77/100</f>
        <v>0</v>
      </c>
      <c r="AF91" s="309"/>
      <c r="AG91" s="27">
        <v>401</v>
      </c>
      <c r="AH91" s="985"/>
      <c r="AI91" s="956">
        <f t="shared" ca="1" si="99"/>
        <v>57.512806920899358</v>
      </c>
      <c r="AJ91" s="956">
        <f ca="1">AI91/'401'!I$24</f>
        <v>0.30052570840813986</v>
      </c>
      <c r="AK91" s="956">
        <f ca="1">0.8*(AI91*30+'401'!D$17*0.34*30*1)</f>
        <v>3994.0736861015853</v>
      </c>
      <c r="AL91" s="954">
        <f ca="1">IF(AK91&lt;User_sheet!B$50,W91,0)</f>
        <v>0</v>
      </c>
      <c r="AM91" s="954">
        <f ca="1">20-(User_sheet!B$57/(AI91+'401'!D$17*1*0.34))</f>
        <v>-14.250745166778231</v>
      </c>
      <c r="AN91" s="954"/>
      <c r="AO91" s="985"/>
      <c r="AP91" s="2">
        <v>0</v>
      </c>
      <c r="AQ91" s="27">
        <v>0.43</v>
      </c>
      <c r="AR91" s="2">
        <v>0</v>
      </c>
      <c r="AS91" s="27">
        <v>2</v>
      </c>
      <c r="AT91" s="2">
        <v>0</v>
      </c>
      <c r="AU91" s="2">
        <v>0</v>
      </c>
      <c r="AV91" s="2">
        <v>74834</v>
      </c>
      <c r="AW91" s="2">
        <v>0</v>
      </c>
      <c r="AX91" s="2">
        <v>0</v>
      </c>
      <c r="AY91" s="2">
        <v>0</v>
      </c>
      <c r="AZ91" s="50">
        <v>0.6</v>
      </c>
      <c r="BA91" s="34">
        <v>0</v>
      </c>
      <c r="BB91" s="34">
        <v>1</v>
      </c>
      <c r="BC91" s="40">
        <v>0</v>
      </c>
      <c r="BD91" s="34">
        <v>1</v>
      </c>
      <c r="BE91" s="34">
        <v>0</v>
      </c>
      <c r="BF91" s="40">
        <v>0</v>
      </c>
      <c r="BG91" s="34">
        <v>0</v>
      </c>
      <c r="BH91" s="40">
        <v>1</v>
      </c>
      <c r="BI91" s="34">
        <v>0</v>
      </c>
      <c r="BJ91" s="34">
        <v>1</v>
      </c>
      <c r="BK91" s="40">
        <v>0</v>
      </c>
      <c r="BL91" s="199">
        <v>0.04</v>
      </c>
      <c r="BM91" s="958">
        <v>2.5</v>
      </c>
      <c r="BN91" s="32">
        <f t="shared" ca="1" si="104"/>
        <v>97.065000000000012</v>
      </c>
      <c r="BO91">
        <f t="shared" ca="1" si="105"/>
        <v>307.37190000000004</v>
      </c>
      <c r="BP91">
        <f t="shared" ca="1" si="106"/>
        <v>0</v>
      </c>
      <c r="BQ91">
        <f t="shared" ca="1" si="107"/>
        <v>84.313999999999993</v>
      </c>
      <c r="BR91">
        <f t="shared" ca="1" si="108"/>
        <v>0</v>
      </c>
      <c r="BS91">
        <f t="shared" ca="1" si="109"/>
        <v>10</v>
      </c>
      <c r="BT91">
        <f t="shared" ca="1" si="110"/>
        <v>0</v>
      </c>
      <c r="BU91">
        <v>0</v>
      </c>
      <c r="BV91">
        <f t="shared" ca="1" si="111"/>
        <v>0</v>
      </c>
      <c r="BW91">
        <f t="shared" ca="1" si="112"/>
        <v>33.74024692889936</v>
      </c>
      <c r="BX91">
        <f t="shared" ca="1" si="113"/>
        <v>0</v>
      </c>
      <c r="BY91">
        <f t="shared" ca="1" si="114"/>
        <v>19.999999991999999</v>
      </c>
      <c r="BZ91">
        <f t="shared" ca="1" si="115"/>
        <v>0</v>
      </c>
      <c r="CA91">
        <f t="shared" si="116"/>
        <v>0</v>
      </c>
      <c r="CB91" s="1018">
        <f t="shared" ca="1" si="120"/>
        <v>57.512806920899358</v>
      </c>
      <c r="CC91" s="1018">
        <f t="shared" ca="1" si="121"/>
        <v>72.28362882224792</v>
      </c>
      <c r="CD91">
        <f t="shared" ca="1" si="100"/>
        <v>3.8938930722944183</v>
      </c>
      <c r="CE91">
        <f t="shared" ca="1" si="101"/>
        <v>6483.176209647314</v>
      </c>
    </row>
    <row r="92" spans="4:83" x14ac:dyDescent="0.25">
      <c r="D92" s="1"/>
      <c r="F92" s="1"/>
      <c r="H92" s="1"/>
      <c r="I92" s="6" t="s">
        <v>57</v>
      </c>
      <c r="J92" s="4"/>
      <c r="K92" s="6"/>
      <c r="L92" s="6"/>
      <c r="M92" s="6"/>
      <c r="N92" s="6"/>
      <c r="O92" s="2" t="s">
        <v>7</v>
      </c>
      <c r="P92" s="4"/>
      <c r="Q92" s="1"/>
      <c r="R92" s="79"/>
      <c r="S92" s="876"/>
      <c r="U92" s="200">
        <f t="shared" si="102"/>
        <v>0</v>
      </c>
      <c r="V92" s="200">
        <f t="shared" si="117"/>
        <v>0</v>
      </c>
      <c r="W92" s="176">
        <f>V92/Calculation_sheet!M$67</f>
        <v>0</v>
      </c>
      <c r="X92" s="958">
        <f ca="1">IF(AL92&gt;0,W92*Calculation_sheet!C$87,0)</f>
        <v>0</v>
      </c>
      <c r="Y92" s="176">
        <f t="shared" ca="1" si="118"/>
        <v>0</v>
      </c>
      <c r="Z92" s="176">
        <f>IF(AN92&gt;0,Y92*Calculation_sheet!C$94,0)</f>
        <v>0</v>
      </c>
      <c r="AA92" s="958">
        <f t="shared" ca="1" si="103"/>
        <v>0</v>
      </c>
      <c r="AB92" s="176">
        <f ca="1">AA92*Calculation_sheet!C$99</f>
        <v>0</v>
      </c>
      <c r="AC92" s="958">
        <f t="shared" ca="1" si="103"/>
        <v>0</v>
      </c>
      <c r="AD92" s="176">
        <f t="shared" si="119"/>
        <v>0</v>
      </c>
      <c r="AE92" s="176">
        <f>AD92*User_sheet!B$77/100</f>
        <v>0</v>
      </c>
      <c r="AF92" s="309"/>
      <c r="AG92" s="27">
        <v>401</v>
      </c>
      <c r="AH92" s="985"/>
      <c r="AI92" s="956">
        <f t="shared" ca="1" si="99"/>
        <v>57.512806920899358</v>
      </c>
      <c r="AJ92" s="956">
        <f ca="1">AI92/'401'!I$24</f>
        <v>0.30052570840813986</v>
      </c>
      <c r="AK92" s="956">
        <f ca="1">0.8*(AI92*30+'401'!D$17*0.34*30*1)</f>
        <v>3994.0736861015853</v>
      </c>
      <c r="AL92" s="954">
        <f ca="1">IF(AK92&lt;User_sheet!B$50,W92,0)</f>
        <v>0</v>
      </c>
      <c r="AM92" s="954">
        <f ca="1">20-(User_sheet!B$57/(AI92+'401'!D$17*1*0.34))</f>
        <v>-14.250745166778231</v>
      </c>
      <c r="AN92" s="954"/>
      <c r="AO92" s="985"/>
      <c r="AP92" s="2">
        <v>0</v>
      </c>
      <c r="AQ92" s="27">
        <v>0.43</v>
      </c>
      <c r="AR92" s="2">
        <v>0</v>
      </c>
      <c r="AS92" s="27">
        <v>2</v>
      </c>
      <c r="AT92" s="2">
        <v>0</v>
      </c>
      <c r="AU92" s="2">
        <v>0</v>
      </c>
      <c r="AV92" s="2">
        <v>74834</v>
      </c>
      <c r="AW92" s="2">
        <v>0</v>
      </c>
      <c r="AX92" s="2">
        <v>0</v>
      </c>
      <c r="AY92" s="2">
        <v>0</v>
      </c>
      <c r="AZ92" s="50">
        <v>0.6</v>
      </c>
      <c r="BA92" s="34">
        <v>0</v>
      </c>
      <c r="BB92" s="34">
        <v>1</v>
      </c>
      <c r="BC92" s="40">
        <v>0</v>
      </c>
      <c r="BD92" s="34">
        <v>1</v>
      </c>
      <c r="BE92" s="34">
        <v>0</v>
      </c>
      <c r="BF92" s="40">
        <v>0</v>
      </c>
      <c r="BG92" s="34">
        <v>0</v>
      </c>
      <c r="BH92" s="40">
        <v>1</v>
      </c>
      <c r="BI92" s="34">
        <v>0</v>
      </c>
      <c r="BJ92" s="34">
        <v>0</v>
      </c>
      <c r="BK92" s="40">
        <v>1</v>
      </c>
      <c r="BL92" s="199">
        <v>0.04</v>
      </c>
      <c r="BM92" s="958">
        <v>2.5</v>
      </c>
      <c r="BN92" s="32">
        <f t="shared" ca="1" si="104"/>
        <v>97.065000000000012</v>
      </c>
      <c r="BO92">
        <f t="shared" ca="1" si="105"/>
        <v>307.37190000000004</v>
      </c>
      <c r="BP92">
        <f t="shared" ca="1" si="106"/>
        <v>0</v>
      </c>
      <c r="BQ92">
        <f t="shared" ca="1" si="107"/>
        <v>84.313999999999993</v>
      </c>
      <c r="BR92">
        <f t="shared" ca="1" si="108"/>
        <v>0</v>
      </c>
      <c r="BS92">
        <f t="shared" ca="1" si="109"/>
        <v>10</v>
      </c>
      <c r="BT92">
        <f t="shared" ca="1" si="110"/>
        <v>0</v>
      </c>
      <c r="BU92">
        <v>0</v>
      </c>
      <c r="BV92">
        <f t="shared" ca="1" si="111"/>
        <v>0</v>
      </c>
      <c r="BW92">
        <f t="shared" ca="1" si="112"/>
        <v>33.74024692889936</v>
      </c>
      <c r="BX92">
        <f t="shared" ca="1" si="113"/>
        <v>0</v>
      </c>
      <c r="BY92">
        <f t="shared" ca="1" si="114"/>
        <v>19.999999991999999</v>
      </c>
      <c r="BZ92">
        <f t="shared" ca="1" si="115"/>
        <v>0</v>
      </c>
      <c r="CA92">
        <f t="shared" si="116"/>
        <v>0</v>
      </c>
      <c r="CB92" s="1018">
        <f t="shared" ca="1" si="120"/>
        <v>57.512806920899358</v>
      </c>
      <c r="CC92" s="1018">
        <f t="shared" ca="1" si="121"/>
        <v>72.28362882224792</v>
      </c>
      <c r="CD92">
        <f t="shared" ca="1" si="100"/>
        <v>3.8938930722944183</v>
      </c>
      <c r="CE92">
        <f t="shared" ca="1" si="101"/>
        <v>6483.176209647314</v>
      </c>
    </row>
    <row r="93" spans="4:83" x14ac:dyDescent="0.25">
      <c r="D93" s="1"/>
      <c r="F93" s="1"/>
      <c r="H93" s="1"/>
      <c r="I93" s="6"/>
      <c r="J93" s="6"/>
      <c r="K93" s="6" t="s">
        <v>59</v>
      </c>
      <c r="L93" s="4"/>
      <c r="M93" s="6"/>
      <c r="N93" s="6"/>
      <c r="O93" s="27" t="s">
        <v>57</v>
      </c>
      <c r="P93" s="4"/>
      <c r="Q93" s="1"/>
      <c r="R93" s="79"/>
      <c r="S93" s="876"/>
      <c r="U93" s="200">
        <f t="shared" si="102"/>
        <v>0</v>
      </c>
      <c r="V93" s="200">
        <f t="shared" si="117"/>
        <v>0</v>
      </c>
      <c r="W93" s="176">
        <f>V93/Calculation_sheet!M$67</f>
        <v>0</v>
      </c>
      <c r="X93" s="958">
        <f ca="1">IF(AL93&gt;0,W93*Calculation_sheet!C$87,0)</f>
        <v>0</v>
      </c>
      <c r="Y93" s="176">
        <f t="shared" ca="1" si="118"/>
        <v>0</v>
      </c>
      <c r="Z93" s="176">
        <f>IF(AN93&gt;0,Y93*Calculation_sheet!C$94,0)</f>
        <v>0</v>
      </c>
      <c r="AA93" s="958">
        <f t="shared" ca="1" si="103"/>
        <v>0</v>
      </c>
      <c r="AB93" s="176">
        <f ca="1">AA93*Calculation_sheet!C$99</f>
        <v>0</v>
      </c>
      <c r="AC93" s="958">
        <f t="shared" ca="1" si="103"/>
        <v>0</v>
      </c>
      <c r="AD93" s="176">
        <f t="shared" si="119"/>
        <v>0</v>
      </c>
      <c r="AE93" s="176">
        <f>AD93*User_sheet!B$77/100</f>
        <v>0</v>
      </c>
      <c r="AF93" s="309"/>
      <c r="AG93" s="27">
        <v>401</v>
      </c>
      <c r="AH93" s="985"/>
      <c r="AI93" s="956">
        <f t="shared" ca="1" si="99"/>
        <v>57.512806920899358</v>
      </c>
      <c r="AJ93" s="956">
        <f ca="1">AI93/'401'!I$24</f>
        <v>0.30052570840813986</v>
      </c>
      <c r="AK93" s="956">
        <f ca="1">0.8*(AI93*30+'401'!D$17*0.34*30*1)</f>
        <v>3994.0736861015853</v>
      </c>
      <c r="AL93" s="954">
        <f ca="1">IF(AK93&lt;User_sheet!B$50,W93,0)</f>
        <v>0</v>
      </c>
      <c r="AM93" s="954">
        <f ca="1">20-(User_sheet!B$57/(AI93+'401'!D$17*1*0.34))</f>
        <v>-14.250745166778231</v>
      </c>
      <c r="AN93" s="954"/>
      <c r="AO93" s="985"/>
      <c r="AP93" s="2">
        <v>0</v>
      </c>
      <c r="AQ93" s="27">
        <v>0.43</v>
      </c>
      <c r="AR93" s="2">
        <v>0</v>
      </c>
      <c r="AS93" s="27">
        <v>2</v>
      </c>
      <c r="AT93" s="2">
        <v>0</v>
      </c>
      <c r="AU93" s="2">
        <v>0</v>
      </c>
      <c r="AV93" s="2">
        <v>74834</v>
      </c>
      <c r="AW93" s="2">
        <v>0</v>
      </c>
      <c r="AX93" s="2">
        <v>0</v>
      </c>
      <c r="AY93" s="2">
        <v>0</v>
      </c>
      <c r="AZ93" s="50">
        <v>0.6</v>
      </c>
      <c r="BA93" s="34">
        <v>0</v>
      </c>
      <c r="BB93" s="34">
        <v>1</v>
      </c>
      <c r="BC93" s="40">
        <v>0</v>
      </c>
      <c r="BD93" s="34">
        <v>0</v>
      </c>
      <c r="BE93" s="34">
        <v>1</v>
      </c>
      <c r="BF93" s="40">
        <v>0</v>
      </c>
      <c r="BG93" s="34">
        <v>1</v>
      </c>
      <c r="BH93" s="40">
        <v>0</v>
      </c>
      <c r="BI93" s="34">
        <v>0</v>
      </c>
      <c r="BJ93" s="34">
        <v>1</v>
      </c>
      <c r="BK93" s="40">
        <v>0</v>
      </c>
      <c r="BL93" s="199">
        <v>0.04</v>
      </c>
      <c r="BM93" s="958">
        <v>2.5</v>
      </c>
      <c r="BN93" s="32">
        <f t="shared" ca="1" si="104"/>
        <v>97.065000000000012</v>
      </c>
      <c r="BO93">
        <f t="shared" ca="1" si="105"/>
        <v>307.37190000000004</v>
      </c>
      <c r="BP93">
        <f t="shared" ca="1" si="106"/>
        <v>0</v>
      </c>
      <c r="BQ93">
        <f t="shared" ca="1" si="107"/>
        <v>84.313999999999993</v>
      </c>
      <c r="BR93">
        <f t="shared" ca="1" si="108"/>
        <v>0</v>
      </c>
      <c r="BS93">
        <f t="shared" ca="1" si="109"/>
        <v>10</v>
      </c>
      <c r="BT93">
        <f t="shared" ca="1" si="110"/>
        <v>0</v>
      </c>
      <c r="BU93">
        <v>0</v>
      </c>
      <c r="BV93">
        <f t="shared" ca="1" si="111"/>
        <v>0</v>
      </c>
      <c r="BW93">
        <f t="shared" ca="1" si="112"/>
        <v>33.74024692889936</v>
      </c>
      <c r="BX93">
        <f t="shared" ca="1" si="113"/>
        <v>0</v>
      </c>
      <c r="BY93">
        <f t="shared" ca="1" si="114"/>
        <v>19.999999991999999</v>
      </c>
      <c r="BZ93">
        <f t="shared" ca="1" si="115"/>
        <v>0</v>
      </c>
      <c r="CA93">
        <f t="shared" si="116"/>
        <v>0</v>
      </c>
      <c r="CB93" s="1018">
        <f t="shared" ca="1" si="120"/>
        <v>57.512806920899358</v>
      </c>
      <c r="CC93" s="1018">
        <f t="shared" ca="1" si="121"/>
        <v>72.28362882224792</v>
      </c>
      <c r="CD93">
        <f t="shared" ca="1" si="100"/>
        <v>3.8938930722944183</v>
      </c>
      <c r="CE93">
        <f t="shared" ca="1" si="101"/>
        <v>6483.176209647314</v>
      </c>
    </row>
    <row r="94" spans="4:83" x14ac:dyDescent="0.25">
      <c r="D94" s="1"/>
      <c r="F94" s="1"/>
      <c r="H94" s="1"/>
      <c r="I94" s="6"/>
      <c r="J94" s="6"/>
      <c r="K94" s="6"/>
      <c r="L94" s="6"/>
      <c r="M94" s="6"/>
      <c r="N94" s="6"/>
      <c r="O94" s="27" t="s">
        <v>7</v>
      </c>
      <c r="P94" s="4"/>
      <c r="Q94" s="1"/>
      <c r="R94" s="79"/>
      <c r="S94" s="876"/>
      <c r="U94" s="200">
        <f t="shared" si="102"/>
        <v>0</v>
      </c>
      <c r="V94" s="200">
        <f t="shared" si="117"/>
        <v>0</v>
      </c>
      <c r="W94" s="176">
        <f>V94/Calculation_sheet!M$67</f>
        <v>0</v>
      </c>
      <c r="X94" s="958">
        <f ca="1">IF(AL94&gt;0,W94*Calculation_sheet!C$87,0)</f>
        <v>0</v>
      </c>
      <c r="Y94" s="176">
        <f t="shared" ca="1" si="118"/>
        <v>0</v>
      </c>
      <c r="Z94" s="176">
        <f>IF(AN94&gt;0,Y94*Calculation_sheet!C$94,0)</f>
        <v>0</v>
      </c>
      <c r="AA94" s="958">
        <f t="shared" ca="1" si="103"/>
        <v>0</v>
      </c>
      <c r="AB94" s="176">
        <f ca="1">AA94*Calculation_sheet!C$99</f>
        <v>0</v>
      </c>
      <c r="AC94" s="958">
        <f t="shared" ca="1" si="103"/>
        <v>0</v>
      </c>
      <c r="AD94" s="176">
        <f t="shared" si="119"/>
        <v>0</v>
      </c>
      <c r="AE94" s="176">
        <f>AD94*User_sheet!B$77/100</f>
        <v>0</v>
      </c>
      <c r="AF94" s="309"/>
      <c r="AG94" s="27">
        <v>401</v>
      </c>
      <c r="AH94" s="985"/>
      <c r="AI94" s="956">
        <f t="shared" ca="1" si="99"/>
        <v>57.512806920899358</v>
      </c>
      <c r="AJ94" s="956">
        <f ca="1">AI94/'401'!I$24</f>
        <v>0.30052570840813986</v>
      </c>
      <c r="AK94" s="956">
        <f ca="1">0.8*(AI94*30+'401'!D$17*0.34*30*1)</f>
        <v>3994.0736861015853</v>
      </c>
      <c r="AL94" s="954">
        <f ca="1">IF(AK94&lt;User_sheet!B$50,W94,0)</f>
        <v>0</v>
      </c>
      <c r="AM94" s="954">
        <f ca="1">20-(User_sheet!B$57/(AI94+'401'!D$17*1*0.34))</f>
        <v>-14.250745166778231</v>
      </c>
      <c r="AN94" s="954"/>
      <c r="AO94" s="985"/>
      <c r="AP94" s="2">
        <v>0</v>
      </c>
      <c r="AQ94" s="27">
        <v>0.43</v>
      </c>
      <c r="AR94" s="2">
        <v>0</v>
      </c>
      <c r="AS94" s="27">
        <v>2</v>
      </c>
      <c r="AT94" s="2">
        <v>0</v>
      </c>
      <c r="AU94" s="2">
        <v>0</v>
      </c>
      <c r="AV94" s="2">
        <v>74834</v>
      </c>
      <c r="AW94" s="2">
        <v>0</v>
      </c>
      <c r="AX94" s="2">
        <v>0</v>
      </c>
      <c r="AY94" s="2">
        <v>0</v>
      </c>
      <c r="AZ94" s="50">
        <v>0.6</v>
      </c>
      <c r="BA94" s="34">
        <v>0</v>
      </c>
      <c r="BB94" s="34">
        <v>1</v>
      </c>
      <c r="BC94" s="40">
        <v>0</v>
      </c>
      <c r="BD94" s="34">
        <v>0</v>
      </c>
      <c r="BE94" s="34">
        <v>1</v>
      </c>
      <c r="BF94" s="40">
        <v>0</v>
      </c>
      <c r="BG94" s="34">
        <v>1</v>
      </c>
      <c r="BH94" s="40">
        <v>0</v>
      </c>
      <c r="BI94" s="34">
        <v>0</v>
      </c>
      <c r="BJ94" s="34">
        <v>0</v>
      </c>
      <c r="BK94" s="40">
        <v>1</v>
      </c>
      <c r="BL94" s="199">
        <v>0.04</v>
      </c>
      <c r="BM94" s="958">
        <v>2.5</v>
      </c>
      <c r="BN94" s="32">
        <f t="shared" ca="1" si="104"/>
        <v>97.065000000000012</v>
      </c>
      <c r="BO94">
        <f t="shared" ca="1" si="105"/>
        <v>307.37190000000004</v>
      </c>
      <c r="BP94">
        <f t="shared" ca="1" si="106"/>
        <v>0</v>
      </c>
      <c r="BQ94">
        <f t="shared" ca="1" si="107"/>
        <v>84.313999999999993</v>
      </c>
      <c r="BR94">
        <f t="shared" ca="1" si="108"/>
        <v>0</v>
      </c>
      <c r="BS94">
        <f t="shared" ca="1" si="109"/>
        <v>10</v>
      </c>
      <c r="BT94">
        <f t="shared" ca="1" si="110"/>
        <v>0</v>
      </c>
      <c r="BU94">
        <v>0</v>
      </c>
      <c r="BV94">
        <f t="shared" ca="1" si="111"/>
        <v>0</v>
      </c>
      <c r="BW94">
        <f t="shared" ca="1" si="112"/>
        <v>33.74024692889936</v>
      </c>
      <c r="BX94">
        <f t="shared" ca="1" si="113"/>
        <v>0</v>
      </c>
      <c r="BY94">
        <f t="shared" ca="1" si="114"/>
        <v>19.999999991999999</v>
      </c>
      <c r="BZ94">
        <f t="shared" ca="1" si="115"/>
        <v>0</v>
      </c>
      <c r="CA94">
        <f t="shared" si="116"/>
        <v>0</v>
      </c>
      <c r="CB94" s="1018">
        <f t="shared" ca="1" si="120"/>
        <v>57.512806920899358</v>
      </c>
      <c r="CC94" s="1018">
        <f t="shared" ca="1" si="121"/>
        <v>72.28362882224792</v>
      </c>
      <c r="CD94">
        <f t="shared" ca="1" si="100"/>
        <v>3.8938930722944183</v>
      </c>
      <c r="CE94">
        <f t="shared" ca="1" si="101"/>
        <v>6483.176209647314</v>
      </c>
    </row>
    <row r="95" spans="4:83" x14ac:dyDescent="0.25">
      <c r="D95" s="1"/>
      <c r="F95" s="1"/>
      <c r="H95" s="6"/>
      <c r="I95" s="6" t="s">
        <v>7</v>
      </c>
      <c r="J95" s="4"/>
      <c r="K95" s="6" t="s">
        <v>23</v>
      </c>
      <c r="L95" s="4"/>
      <c r="M95" s="6"/>
      <c r="N95" s="4"/>
      <c r="O95" s="27" t="s">
        <v>7</v>
      </c>
      <c r="P95" s="4"/>
      <c r="Q95" s="1"/>
      <c r="R95" s="79"/>
      <c r="S95" s="876"/>
      <c r="U95" s="200">
        <f t="shared" si="102"/>
        <v>0</v>
      </c>
      <c r="V95" s="200">
        <f t="shared" si="117"/>
        <v>0</v>
      </c>
      <c r="W95" s="176">
        <f>V95/Calculation_sheet!M$67</f>
        <v>0</v>
      </c>
      <c r="X95" s="958">
        <f ca="1">IF(AL95&gt;0,W95*Calculation_sheet!C$87,0)</f>
        <v>0</v>
      </c>
      <c r="Y95" s="176">
        <f t="shared" ca="1" si="118"/>
        <v>0</v>
      </c>
      <c r="Z95" s="176">
        <f>IF(AN95&gt;0,Y95*Calculation_sheet!C$94,0)</f>
        <v>0</v>
      </c>
      <c r="AA95" s="958">
        <f t="shared" ca="1" si="103"/>
        <v>0</v>
      </c>
      <c r="AB95" s="176">
        <f ca="1">AA95*Calculation_sheet!C$99</f>
        <v>0</v>
      </c>
      <c r="AC95" s="958">
        <f t="shared" ca="1" si="103"/>
        <v>0</v>
      </c>
      <c r="AD95" s="176">
        <f t="shared" si="119"/>
        <v>0</v>
      </c>
      <c r="AE95" s="176">
        <f>AD95*User_sheet!B$77/100</f>
        <v>0</v>
      </c>
      <c r="AF95" s="309"/>
      <c r="AG95" s="27">
        <v>401</v>
      </c>
      <c r="AH95" s="985"/>
      <c r="AI95" s="956">
        <f t="shared" ca="1" si="99"/>
        <v>57.512806920899358</v>
      </c>
      <c r="AJ95" s="956">
        <f ca="1">AI95/'401'!I$24</f>
        <v>0.30052570840813986</v>
      </c>
      <c r="AK95" s="956">
        <f ca="1">0.8*(AI95*30+'401'!D$17*0.34*30*1)</f>
        <v>3994.0736861015853</v>
      </c>
      <c r="AL95" s="954">
        <f ca="1">IF(AK95&lt;User_sheet!B$50,W95,0)</f>
        <v>0</v>
      </c>
      <c r="AM95" s="954">
        <f ca="1">20-(User_sheet!B$57/(AI95+'401'!D$17*1*0.34))</f>
        <v>-14.250745166778231</v>
      </c>
      <c r="AN95" s="954"/>
      <c r="AO95" s="985"/>
      <c r="AP95" s="2">
        <v>0</v>
      </c>
      <c r="AQ95" s="27">
        <v>0.43</v>
      </c>
      <c r="AR95" s="2">
        <v>0</v>
      </c>
      <c r="AS95" s="27">
        <v>2</v>
      </c>
      <c r="AT95" s="2">
        <v>0</v>
      </c>
      <c r="AU95" s="2">
        <v>0</v>
      </c>
      <c r="AV95" s="2">
        <v>74834</v>
      </c>
      <c r="AW95" s="2">
        <v>0</v>
      </c>
      <c r="AX95" s="2">
        <v>0</v>
      </c>
      <c r="AY95" s="2">
        <v>0</v>
      </c>
      <c r="AZ95" s="50">
        <v>0.6</v>
      </c>
      <c r="BA95" s="34">
        <v>0</v>
      </c>
      <c r="BB95" s="34">
        <v>0</v>
      </c>
      <c r="BC95" s="40">
        <v>1</v>
      </c>
      <c r="BD95" s="34">
        <v>0</v>
      </c>
      <c r="BE95" s="34">
        <v>0</v>
      </c>
      <c r="BF95" s="40">
        <v>1</v>
      </c>
      <c r="BG95" s="34">
        <v>1</v>
      </c>
      <c r="BH95" s="40">
        <v>0</v>
      </c>
      <c r="BI95" s="34">
        <v>0</v>
      </c>
      <c r="BJ95" s="34">
        <v>0</v>
      </c>
      <c r="BK95" s="40">
        <v>1</v>
      </c>
      <c r="BL95" s="199">
        <v>0.04</v>
      </c>
      <c r="BM95" s="958">
        <v>2.5</v>
      </c>
      <c r="BN95" s="32">
        <f t="shared" ca="1" si="104"/>
        <v>97.065000000000012</v>
      </c>
      <c r="BO95">
        <f t="shared" ca="1" si="105"/>
        <v>307.37190000000004</v>
      </c>
      <c r="BP95">
        <f t="shared" ca="1" si="106"/>
        <v>0</v>
      </c>
      <c r="BQ95">
        <f t="shared" ca="1" si="107"/>
        <v>84.313999999999993</v>
      </c>
      <c r="BR95">
        <f t="shared" ca="1" si="108"/>
        <v>0</v>
      </c>
      <c r="BS95">
        <f t="shared" ca="1" si="109"/>
        <v>10</v>
      </c>
      <c r="BT95">
        <f t="shared" ca="1" si="110"/>
        <v>0</v>
      </c>
      <c r="BU95">
        <v>0</v>
      </c>
      <c r="BV95">
        <f t="shared" ca="1" si="111"/>
        <v>0</v>
      </c>
      <c r="BW95">
        <f t="shared" ca="1" si="112"/>
        <v>33.74024692889936</v>
      </c>
      <c r="BX95">
        <f t="shared" ca="1" si="113"/>
        <v>0</v>
      </c>
      <c r="BY95">
        <f t="shared" ca="1" si="114"/>
        <v>19.999999991999999</v>
      </c>
      <c r="BZ95">
        <f t="shared" ca="1" si="115"/>
        <v>0</v>
      </c>
      <c r="CA95">
        <f t="shared" si="116"/>
        <v>0</v>
      </c>
      <c r="CB95" s="1018">
        <f t="shared" ca="1" si="120"/>
        <v>57.512806920899358</v>
      </c>
      <c r="CC95" s="1018">
        <f t="shared" ca="1" si="121"/>
        <v>72.28362882224792</v>
      </c>
      <c r="CD95">
        <f t="shared" ca="1" si="100"/>
        <v>3.8938930722944183</v>
      </c>
      <c r="CE95">
        <f t="shared" ca="1" si="101"/>
        <v>6483.176209647314</v>
      </c>
    </row>
    <row r="96" spans="4:83" s="9" customFormat="1" x14ac:dyDescent="0.25">
      <c r="D96" s="10"/>
      <c r="F96" s="10"/>
      <c r="H96" s="10"/>
      <c r="I96" s="10"/>
      <c r="J96" s="10"/>
      <c r="K96" s="10"/>
      <c r="L96" s="10"/>
      <c r="M96" s="10"/>
      <c r="N96" s="10"/>
      <c r="O96" s="24"/>
      <c r="P96" s="10"/>
      <c r="Q96" s="10"/>
      <c r="R96" s="81"/>
      <c r="S96" s="878">
        <f>D27*B180</f>
        <v>6.6531180000000009E-2</v>
      </c>
      <c r="T96" s="279"/>
      <c r="U96" s="283"/>
      <c r="V96" s="283"/>
      <c r="W96" s="283"/>
      <c r="X96" s="279"/>
      <c r="Y96" s="283"/>
      <c r="Z96" s="283"/>
      <c r="AA96" s="279"/>
      <c r="AB96" s="283"/>
      <c r="AC96" s="279"/>
      <c r="AD96" s="283"/>
      <c r="AE96" s="283"/>
      <c r="AF96" s="309"/>
      <c r="AG96" s="74"/>
      <c r="AH96" s="988"/>
      <c r="AI96" s="956">
        <f t="shared" si="99"/>
        <v>0</v>
      </c>
      <c r="AJ96" s="916"/>
      <c r="AK96" s="916"/>
      <c r="AL96" s="916"/>
      <c r="AM96" s="916"/>
      <c r="AN96" s="916"/>
      <c r="AO96" s="988"/>
      <c r="AP96" s="24"/>
      <c r="AQ96" s="24"/>
      <c r="AR96" s="24"/>
      <c r="AS96" s="24"/>
      <c r="AT96" s="24"/>
      <c r="AU96" s="24"/>
      <c r="AV96" s="24"/>
      <c r="AW96" s="24"/>
      <c r="AX96" s="24"/>
      <c r="AY96" s="24"/>
      <c r="AZ96" s="51"/>
      <c r="BA96" s="279"/>
      <c r="BB96" s="24"/>
      <c r="BC96" s="51"/>
      <c r="BD96" s="279"/>
      <c r="BE96" s="24"/>
      <c r="BF96" s="51"/>
      <c r="BG96" s="279"/>
      <c r="BH96" s="51"/>
      <c r="BI96" s="279"/>
      <c r="BJ96" s="24"/>
      <c r="BK96" s="51"/>
      <c r="BL96" s="279"/>
      <c r="BM96" s="279"/>
      <c r="BN96" s="38"/>
    </row>
    <row r="97" spans="2:83" s="3" customFormat="1" x14ac:dyDescent="0.25">
      <c r="B97" s="825"/>
      <c r="C97" s="820"/>
      <c r="D97" s="821"/>
      <c r="E97" s="820"/>
      <c r="F97" s="821"/>
      <c r="G97" s="820"/>
      <c r="H97" s="821"/>
      <c r="I97" s="825"/>
      <c r="J97" s="825"/>
      <c r="K97" s="825"/>
      <c r="L97" s="825"/>
      <c r="M97" s="825" t="s">
        <v>60</v>
      </c>
      <c r="N97" s="825">
        <v>0.74576271186440679</v>
      </c>
      <c r="O97" s="822" t="s">
        <v>16</v>
      </c>
      <c r="P97" s="825">
        <v>0.63219999999999998</v>
      </c>
      <c r="Q97" s="821"/>
      <c r="R97" s="962">
        <v>3.0807579527999999E-3</v>
      </c>
      <c r="S97" s="876"/>
      <c r="T97" s="34">
        <f>R97</f>
        <v>3.0807579527999999E-3</v>
      </c>
      <c r="U97" s="176">
        <f>T97</f>
        <v>3.0807579527999999E-3</v>
      </c>
      <c r="V97" s="176">
        <f>U97</f>
        <v>3.0807579527999999E-3</v>
      </c>
      <c r="W97" s="176">
        <f>V97/Calculation_sheet!M$67</f>
        <v>3.0808209432976962E-3</v>
      </c>
      <c r="X97" s="958">
        <f ca="1">IF(AL97&gt;0,W97*Calculation_sheet!C$87,0)</f>
        <v>0</v>
      </c>
      <c r="Y97" s="176">
        <f ca="1">W97-X97</f>
        <v>3.0808209432976962E-3</v>
      </c>
      <c r="Z97" s="176">
        <f>IF(AN97&gt;0,Y97*Calculation_sheet!C$94,0)</f>
        <v>0</v>
      </c>
      <c r="AA97" s="958">
        <f t="shared" ref="AA97:AC109" ca="1" si="122">Y97-Z97</f>
        <v>3.0808209432976962E-3</v>
      </c>
      <c r="AB97" s="176">
        <f ca="1">AA97*Calculation_sheet!C$99</f>
        <v>1.8484925659786177E-3</v>
      </c>
      <c r="AC97" s="958">
        <f t="shared" ca="1" si="122"/>
        <v>1.2323283773190785E-3</v>
      </c>
      <c r="AD97" s="176">
        <f>W97-Z97</f>
        <v>3.0808209432976962E-3</v>
      </c>
      <c r="AE97" s="176">
        <f>AD97*User_sheet!B$77/100</f>
        <v>0</v>
      </c>
      <c r="AF97" s="309"/>
      <c r="AG97" s="27">
        <v>402</v>
      </c>
      <c r="AH97" s="985"/>
      <c r="AI97" s="956">
        <f t="shared" ca="1" si="99"/>
        <v>109.44234344952338</v>
      </c>
      <c r="AJ97" s="956">
        <f ca="1">AI97/'402'!I$24</f>
        <v>0.53816516089300537</v>
      </c>
      <c r="AK97" s="956">
        <f ca="1">0.8*(AI97*30+'402'!D$17*0.34*30*1)</f>
        <v>5429.0866427885621</v>
      </c>
      <c r="AL97" s="954">
        <f ca="1">IF(AK97&lt;User_sheet!B$50,W97,0)</f>
        <v>3.0808209432976962E-3</v>
      </c>
      <c r="AM97" s="954">
        <f ca="1">20-(User_sheet!B$57/(AI97+'402'!D$17*1*0.34))</f>
        <v>-5.1976085483386036</v>
      </c>
      <c r="AN97" s="954"/>
      <c r="AO97" s="985"/>
      <c r="AP97" s="2">
        <v>0</v>
      </c>
      <c r="AQ97" s="2">
        <v>0.6</v>
      </c>
      <c r="AR97" s="2">
        <v>0</v>
      </c>
      <c r="AS97" s="2">
        <v>2.75</v>
      </c>
      <c r="AT97" s="2">
        <v>0</v>
      </c>
      <c r="AU97" s="2">
        <v>0</v>
      </c>
      <c r="AV97" s="2">
        <v>69341.450841082013</v>
      </c>
      <c r="AW97" s="2">
        <v>0</v>
      </c>
      <c r="AX97" s="2">
        <v>0</v>
      </c>
      <c r="AY97" s="2">
        <v>0</v>
      </c>
      <c r="AZ97" s="50">
        <v>0.6</v>
      </c>
      <c r="BA97" s="34">
        <v>1</v>
      </c>
      <c r="BB97" s="34">
        <v>0</v>
      </c>
      <c r="BC97" s="40">
        <v>0</v>
      </c>
      <c r="BD97" s="34">
        <v>1</v>
      </c>
      <c r="BE97" s="34">
        <v>0</v>
      </c>
      <c r="BF97" s="40">
        <v>0</v>
      </c>
      <c r="BG97" s="34">
        <v>1</v>
      </c>
      <c r="BH97" s="40">
        <v>0</v>
      </c>
      <c r="BI97" s="34">
        <v>1</v>
      </c>
      <c r="BJ97" s="34">
        <v>0</v>
      </c>
      <c r="BK97" s="40">
        <v>0</v>
      </c>
      <c r="BL97" s="958">
        <v>0.15</v>
      </c>
      <c r="BM97" s="958">
        <v>6</v>
      </c>
      <c r="BN97" s="37">
        <f t="shared" ref="BN97:BN109" ca="1" si="123">INDIRECT("'"&amp;AG97&amp;"'!"&amp;"B2")</f>
        <v>106</v>
      </c>
      <c r="BO97" s="3">
        <f t="shared" ref="BO97:BO109" ca="1" si="124">INDIRECT("'"&amp;AG97&amp;"'!"&amp;"C12")+INDIRECT("'"&amp;AG97&amp;"'!"&amp;"C13")+INDIRECT("'"&amp;AG97&amp;"'!"&amp;"C14")+INDIRECT("'"&amp;AG97&amp;"'!"&amp;"C15")+INDIRECT("'"&amp;AG97&amp;"'!"&amp;"C17")</f>
        <v>343.44000000000005</v>
      </c>
      <c r="BP97" s="3">
        <f t="shared" ref="BP97:BP109" ca="1" si="125">INDIRECT("'"&amp;AG97&amp;"'!"&amp;"G5")</f>
        <v>0</v>
      </c>
      <c r="BQ97" s="3">
        <f t="shared" ref="BQ97:BQ109" ca="1" si="126">INDIRECT("'"&amp;AG97&amp;"'!"&amp;"G4")</f>
        <v>78.362000000000009</v>
      </c>
      <c r="BR97" s="3">
        <f t="shared" ref="BR97:BR109" ca="1" si="127">INDIRECT("'"&amp;AG97&amp;"'!"&amp;"G6")</f>
        <v>0</v>
      </c>
      <c r="BS97" s="3">
        <f t="shared" ref="BS97:BS109" ca="1" si="128">INDIRECT("'"&amp;AG97&amp;"'!"&amp;"G2")</f>
        <v>19</v>
      </c>
      <c r="BT97" s="3">
        <f t="shared" ref="BT97:BT109" ca="1" si="129">INDIRECT("'"&amp;AG97&amp;"'!"&amp;"G3")</f>
        <v>0</v>
      </c>
      <c r="BU97" s="3">
        <v>0</v>
      </c>
      <c r="BV97" s="3">
        <f t="shared" ref="BV97:BV109" ca="1" si="130">IF(OR(BP97=0,AP97=0),0,1/(1/(BP97*$BW$3)+1/(BP97*AP97)+1/(BP97*$BW$4)))</f>
        <v>0</v>
      </c>
      <c r="BW97" s="3">
        <f t="shared" ref="BW97:BW109" ca="1" si="131">IF(OR(BQ97=0,AQ97=0),0,1/(1/(BQ97*$BW$3)+1/(BQ97*AQ97)+1/(BQ97*$BW$4)))</f>
        <v>42.588043478260872</v>
      </c>
      <c r="BX97" s="3">
        <f t="shared" ref="BX97:BX109" ca="1" si="132">IF(OR(BR97=0,AR97=0),0,1/(1/(BR97*$BW$3)+1/(BR97*AR97)+1/(BR97*$BW$4)))</f>
        <v>0</v>
      </c>
      <c r="BY97" s="3">
        <f t="shared" ref="BY97:BY109" ca="1" si="133">IF(OR(BS97=0,AS97=0),0,1/(1/(BS97*$BW$5)+1/(BS97*AS97)+1/(BS97*$BW$6)))</f>
        <v>52.249999971262504</v>
      </c>
      <c r="BZ97" s="3">
        <f t="shared" ref="BZ97:BZ109" ca="1" si="134">IF(OR(BT97=0,AT97=0),0,1/(1/(BT97*$BW$3)+1/(BT97*AT97)+1/(BT97*$BW$4)))</f>
        <v>0</v>
      </c>
      <c r="CA97" s="3">
        <f t="shared" ref="CA97:CA109" si="135">IF(OR(BU97=0,AU97=0),0,1/(1/(BU97*$BW$3)+1/(BU97*AU97)+1/(BU97*$BW$4)))</f>
        <v>0</v>
      </c>
      <c r="CB97" s="1018">
        <f ca="1">SUM(BV97:CA97)+(BP97+BQ97+BR97+BS97+BT97)*BL97</f>
        <v>109.44234344952338</v>
      </c>
      <c r="CC97" s="1018">
        <f ca="1">0.34*BM97*(1/25)^0.66*(BQ97+BS97+BT97)</f>
        <v>23.734454154093804</v>
      </c>
      <c r="CD97" s="3">
        <f t="shared" ca="1" si="100"/>
        <v>3.9953039281085156</v>
      </c>
      <c r="CE97" s="3">
        <f t="shared" ca="1" si="101"/>
        <v>6652.0212281435543</v>
      </c>
    </row>
    <row r="98" spans="2:83" x14ac:dyDescent="0.25">
      <c r="B98" s="825"/>
      <c r="C98" s="820"/>
      <c r="D98" s="821"/>
      <c r="E98" s="820"/>
      <c r="F98" s="821"/>
      <c r="G98" s="820"/>
      <c r="H98" s="821"/>
      <c r="I98" s="825"/>
      <c r="J98" s="825"/>
      <c r="K98" s="825"/>
      <c r="L98" s="825"/>
      <c r="M98" s="825"/>
      <c r="N98" s="825"/>
      <c r="O98" s="822" t="s">
        <v>7</v>
      </c>
      <c r="P98" s="825">
        <v>0.36780000000000002</v>
      </c>
      <c r="Q98" s="821"/>
      <c r="R98" s="962">
        <v>2.3961450744000002E-3</v>
      </c>
      <c r="S98" s="876"/>
      <c r="T98" s="34">
        <f t="shared" ref="T98:T109" si="136">R98</f>
        <v>2.3961450744000002E-3</v>
      </c>
      <c r="U98" s="176">
        <f t="shared" ref="U98:U109" si="137">T98</f>
        <v>2.3961450744000002E-3</v>
      </c>
      <c r="V98" s="176">
        <f t="shared" ref="V98:V109" si="138">U98</f>
        <v>2.3961450744000002E-3</v>
      </c>
      <c r="W98" s="176">
        <f>V98/Calculation_sheet!M$67</f>
        <v>2.3961940670093195E-3</v>
      </c>
      <c r="X98" s="958">
        <f ca="1">IF(AL98&gt;0,W98*Calculation_sheet!C$87,0)</f>
        <v>0</v>
      </c>
      <c r="Y98" s="176">
        <f t="shared" ref="Y98:Y109" ca="1" si="139">W98-X98</f>
        <v>2.3961940670093195E-3</v>
      </c>
      <c r="Z98" s="176">
        <f>IF(AN98&gt;0,Y98*Calculation_sheet!C$94,0)</f>
        <v>0</v>
      </c>
      <c r="AA98" s="958">
        <f t="shared" ca="1" si="122"/>
        <v>2.3961940670093195E-3</v>
      </c>
      <c r="AB98" s="176">
        <f ca="1">AA98*Calculation_sheet!C$99</f>
        <v>1.4377164402055917E-3</v>
      </c>
      <c r="AC98" s="958">
        <f t="shared" ca="1" si="122"/>
        <v>9.5847762680372774E-4</v>
      </c>
      <c r="AD98" s="176">
        <f t="shared" ref="AD98:AD109" si="140">W98-Z98</f>
        <v>2.3961940670093195E-3</v>
      </c>
      <c r="AE98" s="176">
        <f>AD98*User_sheet!B$77/100</f>
        <v>0</v>
      </c>
      <c r="AF98" s="309"/>
      <c r="AG98" s="27">
        <v>402</v>
      </c>
      <c r="AH98" s="985"/>
      <c r="AI98" s="956">
        <f t="shared" ca="1" si="99"/>
        <v>109.44234344952338</v>
      </c>
      <c r="AJ98" s="956">
        <f ca="1">AI98/'402'!I$24</f>
        <v>0.53816516089300537</v>
      </c>
      <c r="AK98" s="956">
        <f ca="1">0.8*(AI98*30+'402'!D$17*0.34*30*1)</f>
        <v>5429.0866427885621</v>
      </c>
      <c r="AL98" s="954">
        <f ca="1">IF(AK98&lt;User_sheet!B$50,W98,0)</f>
        <v>2.3961940670093195E-3</v>
      </c>
      <c r="AM98" s="954">
        <f ca="1">20-(User_sheet!B$57/(AI98+'402'!D$17*1*0.34))</f>
        <v>-5.1976085483386036</v>
      </c>
      <c r="AN98" s="954"/>
      <c r="AO98" s="985"/>
      <c r="AP98" s="2">
        <v>0</v>
      </c>
      <c r="AQ98" s="2">
        <v>0.6</v>
      </c>
      <c r="AR98" s="2">
        <v>0</v>
      </c>
      <c r="AS98" s="2">
        <v>2.75</v>
      </c>
      <c r="AT98" s="2">
        <v>0</v>
      </c>
      <c r="AU98" s="2">
        <v>0</v>
      </c>
      <c r="AV98" s="2">
        <v>69341.450841082013</v>
      </c>
      <c r="AW98" s="2">
        <v>0</v>
      </c>
      <c r="AX98" s="2">
        <v>0</v>
      </c>
      <c r="AY98" s="2">
        <v>0</v>
      </c>
      <c r="AZ98" s="50">
        <v>0.6</v>
      </c>
      <c r="BA98" s="34">
        <v>1</v>
      </c>
      <c r="BB98" s="34">
        <v>0</v>
      </c>
      <c r="BC98" s="40">
        <v>0</v>
      </c>
      <c r="BD98" s="34">
        <v>1</v>
      </c>
      <c r="BE98" s="34">
        <v>0</v>
      </c>
      <c r="BF98" s="40">
        <v>0</v>
      </c>
      <c r="BG98" s="34">
        <v>1</v>
      </c>
      <c r="BH98" s="40">
        <v>0</v>
      </c>
      <c r="BI98" s="34">
        <v>0</v>
      </c>
      <c r="BJ98" s="34">
        <v>0</v>
      </c>
      <c r="BK98" s="40">
        <v>1</v>
      </c>
      <c r="BL98" s="958">
        <v>0.15</v>
      </c>
      <c r="BM98" s="958">
        <v>6</v>
      </c>
      <c r="BN98" s="32">
        <f t="shared" ca="1" si="123"/>
        <v>106</v>
      </c>
      <c r="BO98">
        <f t="shared" ca="1" si="124"/>
        <v>343.44000000000005</v>
      </c>
      <c r="BP98">
        <f t="shared" ca="1" si="125"/>
        <v>0</v>
      </c>
      <c r="BQ98">
        <f t="shared" ca="1" si="126"/>
        <v>78.362000000000009</v>
      </c>
      <c r="BR98">
        <f t="shared" ca="1" si="127"/>
        <v>0</v>
      </c>
      <c r="BS98">
        <f t="shared" ca="1" si="128"/>
        <v>19</v>
      </c>
      <c r="BT98">
        <f t="shared" ca="1" si="129"/>
        <v>0</v>
      </c>
      <c r="BU98">
        <v>0</v>
      </c>
      <c r="BV98">
        <f t="shared" ca="1" si="130"/>
        <v>0</v>
      </c>
      <c r="BW98">
        <f t="shared" ca="1" si="131"/>
        <v>42.588043478260872</v>
      </c>
      <c r="BX98">
        <f t="shared" ca="1" si="132"/>
        <v>0</v>
      </c>
      <c r="BY98">
        <f t="shared" ca="1" si="133"/>
        <v>52.249999971262504</v>
      </c>
      <c r="BZ98">
        <f t="shared" ca="1" si="134"/>
        <v>0</v>
      </c>
      <c r="CA98">
        <f t="shared" si="135"/>
        <v>0</v>
      </c>
      <c r="CB98" s="1018">
        <f t="shared" ref="CB98:CB109" ca="1" si="141">SUM(BV98:CA98)+(BP98+BQ98+BR98+BS98+BT98)*BL98</f>
        <v>109.44234344952338</v>
      </c>
      <c r="CC98" s="1018">
        <f t="shared" ref="CC98:CC109" ca="1" si="142">0.34*BM98*(1/25)^0.66*(BQ98+BS98+BT98)</f>
        <v>23.734454154093804</v>
      </c>
      <c r="CD98">
        <f t="shared" ca="1" si="100"/>
        <v>3.9953039281085156</v>
      </c>
      <c r="CE98">
        <f t="shared" ca="1" si="101"/>
        <v>6652.0212281435543</v>
      </c>
    </row>
    <row r="99" spans="2:83" x14ac:dyDescent="0.25">
      <c r="B99" s="825"/>
      <c r="C99" s="820"/>
      <c r="D99" s="821"/>
      <c r="E99" s="820"/>
      <c r="F99" s="821"/>
      <c r="G99" s="820"/>
      <c r="H99" s="821"/>
      <c r="I99" s="825"/>
      <c r="J99" s="825"/>
      <c r="K99" s="825"/>
      <c r="L99" s="825">
        <v>0.91</v>
      </c>
      <c r="M99" s="825" t="s">
        <v>61</v>
      </c>
      <c r="N99" s="825">
        <v>0.25423728813559321</v>
      </c>
      <c r="O99" s="822" t="s">
        <v>16</v>
      </c>
      <c r="P99" s="825">
        <v>0.63219999999999998</v>
      </c>
      <c r="Q99" s="821"/>
      <c r="R99" s="962">
        <v>1.0269193176E-3</v>
      </c>
      <c r="S99" s="876"/>
      <c r="T99" s="34">
        <f t="shared" si="136"/>
        <v>1.0269193176E-3</v>
      </c>
      <c r="U99" s="176">
        <f t="shared" si="137"/>
        <v>1.0269193176E-3</v>
      </c>
      <c r="V99" s="176">
        <f t="shared" si="138"/>
        <v>1.0269193176E-3</v>
      </c>
      <c r="W99" s="176">
        <f>V99/Calculation_sheet!M$67</f>
        <v>1.0269403144325653E-3</v>
      </c>
      <c r="X99" s="958">
        <f ca="1">IF(AL99&gt;0,W99*Calculation_sheet!C$87,0)</f>
        <v>0</v>
      </c>
      <c r="Y99" s="176">
        <f t="shared" ca="1" si="139"/>
        <v>1.0269403144325653E-3</v>
      </c>
      <c r="Z99" s="176">
        <f>IF(AN99&gt;0,Y99*Calculation_sheet!C$94,0)</f>
        <v>0</v>
      </c>
      <c r="AA99" s="958">
        <f t="shared" ca="1" si="122"/>
        <v>1.0269403144325653E-3</v>
      </c>
      <c r="AB99" s="176">
        <f ca="1">AA99*Calculation_sheet!C$99</f>
        <v>6.1616418865953915E-4</v>
      </c>
      <c r="AC99" s="958">
        <f t="shared" ca="1" si="122"/>
        <v>4.1077612577302617E-4</v>
      </c>
      <c r="AD99" s="176">
        <f t="shared" si="140"/>
        <v>1.0269403144325653E-3</v>
      </c>
      <c r="AE99" s="176">
        <f>AD99*User_sheet!B$77/100</f>
        <v>0</v>
      </c>
      <c r="AF99" s="309"/>
      <c r="AG99" s="27">
        <v>402</v>
      </c>
      <c r="AH99" s="985"/>
      <c r="AI99" s="956">
        <f t="shared" ca="1" si="99"/>
        <v>109.44234344952338</v>
      </c>
      <c r="AJ99" s="956">
        <f ca="1">AI99/'402'!I$24</f>
        <v>0.53816516089300537</v>
      </c>
      <c r="AK99" s="956">
        <f ca="1">0.8*(AI99*30+'402'!D$17*0.34*30*1)</f>
        <v>5429.0866427885621</v>
      </c>
      <c r="AL99" s="954">
        <f ca="1">IF(AK99&lt;User_sheet!B$50,W99,0)</f>
        <v>1.0269403144325653E-3</v>
      </c>
      <c r="AM99" s="954">
        <f ca="1">20-(User_sheet!B$57/(AI99+'402'!D$17*1*0.34))</f>
        <v>-5.1976085483386036</v>
      </c>
      <c r="AN99" s="954"/>
      <c r="AO99" s="985"/>
      <c r="AP99" s="2">
        <v>0</v>
      </c>
      <c r="AQ99" s="2">
        <v>0.6</v>
      </c>
      <c r="AR99" s="2">
        <v>0</v>
      </c>
      <c r="AS99" s="2">
        <v>2.75</v>
      </c>
      <c r="AT99" s="2">
        <v>0</v>
      </c>
      <c r="AU99" s="2">
        <v>0</v>
      </c>
      <c r="AV99" s="2">
        <v>69341.450841082013</v>
      </c>
      <c r="AW99" s="2">
        <v>0</v>
      </c>
      <c r="AX99" s="2">
        <v>0</v>
      </c>
      <c r="AY99" s="2">
        <v>0</v>
      </c>
      <c r="AZ99" s="50">
        <v>0.6</v>
      </c>
      <c r="BA99" s="34">
        <v>1</v>
      </c>
      <c r="BB99" s="34">
        <v>0</v>
      </c>
      <c r="BC99" s="40">
        <v>0</v>
      </c>
      <c r="BD99" s="34">
        <v>1</v>
      </c>
      <c r="BE99" s="34">
        <v>0</v>
      </c>
      <c r="BF99" s="40">
        <v>0</v>
      </c>
      <c r="BG99" s="34">
        <v>0</v>
      </c>
      <c r="BH99" s="40">
        <v>1</v>
      </c>
      <c r="BI99" s="34">
        <v>1</v>
      </c>
      <c r="BJ99" s="34">
        <v>0</v>
      </c>
      <c r="BK99" s="40">
        <v>0</v>
      </c>
      <c r="BL99" s="958">
        <v>0.15</v>
      </c>
      <c r="BM99" s="958">
        <v>6</v>
      </c>
      <c r="BN99" s="32">
        <f t="shared" ca="1" si="123"/>
        <v>106</v>
      </c>
      <c r="BO99">
        <f t="shared" ca="1" si="124"/>
        <v>343.44000000000005</v>
      </c>
      <c r="BP99">
        <f t="shared" ca="1" si="125"/>
        <v>0</v>
      </c>
      <c r="BQ99">
        <f t="shared" ca="1" si="126"/>
        <v>78.362000000000009</v>
      </c>
      <c r="BR99">
        <f t="shared" ca="1" si="127"/>
        <v>0</v>
      </c>
      <c r="BS99">
        <f t="shared" ca="1" si="128"/>
        <v>19</v>
      </c>
      <c r="BT99">
        <f t="shared" ca="1" si="129"/>
        <v>0</v>
      </c>
      <c r="BU99">
        <v>0</v>
      </c>
      <c r="BV99">
        <f t="shared" ca="1" si="130"/>
        <v>0</v>
      </c>
      <c r="BW99">
        <f t="shared" ca="1" si="131"/>
        <v>42.588043478260872</v>
      </c>
      <c r="BX99">
        <f t="shared" ca="1" si="132"/>
        <v>0</v>
      </c>
      <c r="BY99">
        <f t="shared" ca="1" si="133"/>
        <v>52.249999971262504</v>
      </c>
      <c r="BZ99">
        <f t="shared" ca="1" si="134"/>
        <v>0</v>
      </c>
      <c r="CA99">
        <f t="shared" si="135"/>
        <v>0</v>
      </c>
      <c r="CB99" s="1018">
        <f t="shared" ca="1" si="141"/>
        <v>109.44234344952338</v>
      </c>
      <c r="CC99" s="1018">
        <f t="shared" ca="1" si="142"/>
        <v>23.734454154093804</v>
      </c>
      <c r="CD99">
        <f t="shared" ca="1" si="100"/>
        <v>3.9953039281085156</v>
      </c>
      <c r="CE99">
        <f t="shared" ca="1" si="101"/>
        <v>6652.0212281435543</v>
      </c>
    </row>
    <row r="100" spans="2:83" x14ac:dyDescent="0.25">
      <c r="B100" s="825"/>
      <c r="C100" s="820"/>
      <c r="D100" s="821"/>
      <c r="E100" s="820"/>
      <c r="F100" s="821"/>
      <c r="G100" s="820"/>
      <c r="H100" s="821"/>
      <c r="I100" s="825" t="s">
        <v>16</v>
      </c>
      <c r="J100" s="825">
        <v>0.56999999999999995</v>
      </c>
      <c r="K100" s="825"/>
      <c r="L100" s="825"/>
      <c r="M100" s="825"/>
      <c r="N100" s="825"/>
      <c r="O100" s="822" t="s">
        <v>7</v>
      </c>
      <c r="P100" s="825">
        <v>0.36780000000000002</v>
      </c>
      <c r="Q100" s="821"/>
      <c r="R100" s="962">
        <v>7.9871502479999992E-4</v>
      </c>
      <c r="S100" s="876"/>
      <c r="T100" s="34">
        <f t="shared" si="136"/>
        <v>7.9871502479999992E-4</v>
      </c>
      <c r="U100" s="176">
        <f t="shared" si="137"/>
        <v>7.9871502479999992E-4</v>
      </c>
      <c r="V100" s="176">
        <f t="shared" si="138"/>
        <v>7.9871502479999992E-4</v>
      </c>
      <c r="W100" s="176">
        <f>V100/Calculation_sheet!M$67</f>
        <v>7.9873135566977305E-4</v>
      </c>
      <c r="X100" s="958">
        <f ca="1">IF(AL100&gt;0,W100*Calculation_sheet!C$87,0)</f>
        <v>0</v>
      </c>
      <c r="Y100" s="176">
        <f t="shared" ca="1" si="139"/>
        <v>7.9873135566977305E-4</v>
      </c>
      <c r="Z100" s="176">
        <f>IF(AN100&gt;0,Y100*Calculation_sheet!C$94,0)</f>
        <v>0</v>
      </c>
      <c r="AA100" s="958">
        <f t="shared" ca="1" si="122"/>
        <v>7.9873135566977305E-4</v>
      </c>
      <c r="AB100" s="176">
        <f ca="1">AA100*Calculation_sheet!C$99</f>
        <v>4.7923881340186382E-4</v>
      </c>
      <c r="AC100" s="958">
        <f t="shared" ca="1" si="122"/>
        <v>3.1949254226790923E-4</v>
      </c>
      <c r="AD100" s="176">
        <f t="shared" si="140"/>
        <v>7.9873135566977305E-4</v>
      </c>
      <c r="AE100" s="176">
        <f>AD100*User_sheet!B$77/100</f>
        <v>0</v>
      </c>
      <c r="AF100" s="309"/>
      <c r="AG100" s="27">
        <v>402</v>
      </c>
      <c r="AH100" s="985"/>
      <c r="AI100" s="956">
        <f t="shared" ca="1" si="99"/>
        <v>109.44234344952338</v>
      </c>
      <c r="AJ100" s="956">
        <f ca="1">AI100/'402'!I$24</f>
        <v>0.53816516089300537</v>
      </c>
      <c r="AK100" s="956">
        <f ca="1">0.8*(AI100*30+'402'!D$17*0.34*30*1)</f>
        <v>5429.0866427885621</v>
      </c>
      <c r="AL100" s="954">
        <f ca="1">IF(AK100&lt;User_sheet!B$50,W100,0)</f>
        <v>7.9873135566977305E-4</v>
      </c>
      <c r="AM100" s="954">
        <f ca="1">20-(User_sheet!B$57/(AI100+'402'!D$17*1*0.34))</f>
        <v>-5.1976085483386036</v>
      </c>
      <c r="AN100" s="954"/>
      <c r="AO100" s="985"/>
      <c r="AP100" s="2">
        <v>0</v>
      </c>
      <c r="AQ100" s="2">
        <v>0.6</v>
      </c>
      <c r="AR100" s="2">
        <v>0</v>
      </c>
      <c r="AS100" s="2">
        <v>2.75</v>
      </c>
      <c r="AT100" s="2">
        <v>0</v>
      </c>
      <c r="AU100" s="2">
        <v>0</v>
      </c>
      <c r="AV100" s="2">
        <v>69341.450841082013</v>
      </c>
      <c r="AW100" s="2">
        <v>0</v>
      </c>
      <c r="AX100" s="2">
        <v>0</v>
      </c>
      <c r="AY100" s="2">
        <v>0</v>
      </c>
      <c r="AZ100" s="50">
        <v>0.6</v>
      </c>
      <c r="BA100" s="34">
        <v>1</v>
      </c>
      <c r="BB100" s="34">
        <v>0</v>
      </c>
      <c r="BC100" s="40">
        <v>0</v>
      </c>
      <c r="BD100" s="34">
        <v>1</v>
      </c>
      <c r="BE100" s="34">
        <v>0</v>
      </c>
      <c r="BF100" s="40">
        <v>0</v>
      </c>
      <c r="BG100" s="34">
        <v>0</v>
      </c>
      <c r="BH100" s="40">
        <v>1</v>
      </c>
      <c r="BI100" s="34">
        <v>0</v>
      </c>
      <c r="BJ100" s="34">
        <v>0</v>
      </c>
      <c r="BK100" s="40">
        <v>1</v>
      </c>
      <c r="BL100" s="958">
        <v>0.15</v>
      </c>
      <c r="BM100" s="958">
        <v>6</v>
      </c>
      <c r="BN100" s="32">
        <f t="shared" ca="1" si="123"/>
        <v>106</v>
      </c>
      <c r="BO100">
        <f t="shared" ca="1" si="124"/>
        <v>343.44000000000005</v>
      </c>
      <c r="BP100">
        <f t="shared" ca="1" si="125"/>
        <v>0</v>
      </c>
      <c r="BQ100">
        <f t="shared" ca="1" si="126"/>
        <v>78.362000000000009</v>
      </c>
      <c r="BR100">
        <f t="shared" ca="1" si="127"/>
        <v>0</v>
      </c>
      <c r="BS100">
        <f t="shared" ca="1" si="128"/>
        <v>19</v>
      </c>
      <c r="BT100">
        <f t="shared" ca="1" si="129"/>
        <v>0</v>
      </c>
      <c r="BU100">
        <v>0</v>
      </c>
      <c r="BV100">
        <f t="shared" ca="1" si="130"/>
        <v>0</v>
      </c>
      <c r="BW100">
        <f t="shared" ca="1" si="131"/>
        <v>42.588043478260872</v>
      </c>
      <c r="BX100">
        <f t="shared" ca="1" si="132"/>
        <v>0</v>
      </c>
      <c r="BY100">
        <f t="shared" ca="1" si="133"/>
        <v>52.249999971262504</v>
      </c>
      <c r="BZ100">
        <f t="shared" ca="1" si="134"/>
        <v>0</v>
      </c>
      <c r="CA100">
        <f t="shared" si="135"/>
        <v>0</v>
      </c>
      <c r="CB100" s="1018">
        <f t="shared" ca="1" si="141"/>
        <v>109.44234344952338</v>
      </c>
      <c r="CC100" s="1018">
        <f t="shared" ca="1" si="142"/>
        <v>23.734454154093804</v>
      </c>
      <c r="CD100">
        <f t="shared" ca="1" si="100"/>
        <v>3.9953039281085156</v>
      </c>
      <c r="CE100">
        <f t="shared" ca="1" si="101"/>
        <v>6652.0212281435543</v>
      </c>
    </row>
    <row r="101" spans="2:83" x14ac:dyDescent="0.25">
      <c r="B101" s="825"/>
      <c r="C101" s="820"/>
      <c r="D101" s="821"/>
      <c r="E101" s="820"/>
      <c r="F101" s="821"/>
      <c r="G101" s="820"/>
      <c r="H101" s="821"/>
      <c r="I101" s="825"/>
      <c r="J101" s="825"/>
      <c r="K101" s="825"/>
      <c r="L101" s="825">
        <v>8.9999999999999969E-2</v>
      </c>
      <c r="M101" s="825"/>
      <c r="N101" s="825"/>
      <c r="O101" s="829" t="s">
        <v>16</v>
      </c>
      <c r="P101" s="825">
        <v>0.63219999999999998</v>
      </c>
      <c r="Q101" s="821"/>
      <c r="R101" s="962">
        <v>1.4133943296E-3</v>
      </c>
      <c r="S101" s="876"/>
      <c r="T101" s="34">
        <f t="shared" si="136"/>
        <v>1.4133943296E-3</v>
      </c>
      <c r="U101" s="176">
        <f t="shared" si="137"/>
        <v>1.4133943296E-3</v>
      </c>
      <c r="V101" s="176">
        <f t="shared" si="138"/>
        <v>1.4133943296E-3</v>
      </c>
      <c r="W101" s="176">
        <f>V101/Calculation_sheet!M$67</f>
        <v>1.4134232284663266E-3</v>
      </c>
      <c r="X101" s="958">
        <f ca="1">IF(AL101&gt;0,W101*Calculation_sheet!C$87,0)</f>
        <v>0</v>
      </c>
      <c r="Y101" s="176">
        <f t="shared" ca="1" si="139"/>
        <v>1.4134232284663266E-3</v>
      </c>
      <c r="Z101" s="176">
        <f>IF(AN101&gt;0,Y101*Calculation_sheet!C$94,0)</f>
        <v>0</v>
      </c>
      <c r="AA101" s="958">
        <f t="shared" ca="1" si="122"/>
        <v>1.4134232284663266E-3</v>
      </c>
      <c r="AB101" s="176">
        <f ca="1">AA101*Calculation_sheet!C$99</f>
        <v>8.480539370797959E-4</v>
      </c>
      <c r="AC101" s="958">
        <f t="shared" ca="1" si="122"/>
        <v>5.6536929138653071E-4</v>
      </c>
      <c r="AD101" s="176">
        <f t="shared" si="140"/>
        <v>1.4134232284663266E-3</v>
      </c>
      <c r="AE101" s="176">
        <f>AD101*User_sheet!B$77/100</f>
        <v>0</v>
      </c>
      <c r="AF101" s="309"/>
      <c r="AG101" s="27">
        <v>402</v>
      </c>
      <c r="AH101" s="985"/>
      <c r="AI101" s="956">
        <f t="shared" ca="1" si="99"/>
        <v>109.44234344952338</v>
      </c>
      <c r="AJ101" s="956">
        <f ca="1">AI101/'402'!I$24</f>
        <v>0.53816516089300537</v>
      </c>
      <c r="AK101" s="956">
        <f ca="1">0.8*(AI101*30+'402'!D$17*0.34*30*1)</f>
        <v>5429.0866427885621</v>
      </c>
      <c r="AL101" s="954">
        <f ca="1">IF(AK101&lt;User_sheet!B$50,W101,0)</f>
        <v>1.4134232284663266E-3</v>
      </c>
      <c r="AM101" s="954">
        <f ca="1">20-(User_sheet!B$57/(AI101+'402'!D$17*1*0.34))</f>
        <v>-5.1976085483386036</v>
      </c>
      <c r="AN101" s="954"/>
      <c r="AO101" s="985"/>
      <c r="AP101" s="2">
        <v>0</v>
      </c>
      <c r="AQ101" s="2">
        <v>0.6</v>
      </c>
      <c r="AR101" s="2">
        <v>0</v>
      </c>
      <c r="AS101" s="2">
        <v>2.75</v>
      </c>
      <c r="AT101" s="2">
        <v>0</v>
      </c>
      <c r="AU101" s="2">
        <v>0</v>
      </c>
      <c r="AV101" s="2">
        <v>69341.450841082013</v>
      </c>
      <c r="AW101" s="2">
        <v>0</v>
      </c>
      <c r="AX101" s="2">
        <v>0</v>
      </c>
      <c r="AY101" s="2">
        <v>0</v>
      </c>
      <c r="AZ101" s="50">
        <v>0.6</v>
      </c>
      <c r="BA101" s="34">
        <v>1</v>
      </c>
      <c r="BB101" s="34">
        <v>0</v>
      </c>
      <c r="BC101" s="40">
        <v>0</v>
      </c>
      <c r="BD101" s="34">
        <v>0</v>
      </c>
      <c r="BE101" s="34">
        <v>1</v>
      </c>
      <c r="BF101" s="40">
        <v>0</v>
      </c>
      <c r="BG101" s="34">
        <v>1</v>
      </c>
      <c r="BH101" s="40">
        <v>0</v>
      </c>
      <c r="BI101" s="34">
        <v>1</v>
      </c>
      <c r="BJ101" s="34">
        <v>0</v>
      </c>
      <c r="BK101" s="40">
        <v>0</v>
      </c>
      <c r="BL101" s="958">
        <v>0.15</v>
      </c>
      <c r="BM101" s="958">
        <v>6</v>
      </c>
      <c r="BN101" s="32">
        <f t="shared" ca="1" si="123"/>
        <v>106</v>
      </c>
      <c r="BO101">
        <f t="shared" ca="1" si="124"/>
        <v>343.44000000000005</v>
      </c>
      <c r="BP101">
        <f t="shared" ca="1" si="125"/>
        <v>0</v>
      </c>
      <c r="BQ101">
        <f t="shared" ca="1" si="126"/>
        <v>78.362000000000009</v>
      </c>
      <c r="BR101">
        <f t="shared" ca="1" si="127"/>
        <v>0</v>
      </c>
      <c r="BS101">
        <f t="shared" ca="1" si="128"/>
        <v>19</v>
      </c>
      <c r="BT101">
        <f t="shared" ca="1" si="129"/>
        <v>0</v>
      </c>
      <c r="BU101">
        <v>0</v>
      </c>
      <c r="BV101">
        <f t="shared" ca="1" si="130"/>
        <v>0</v>
      </c>
      <c r="BW101">
        <f t="shared" ca="1" si="131"/>
        <v>42.588043478260872</v>
      </c>
      <c r="BX101">
        <f t="shared" ca="1" si="132"/>
        <v>0</v>
      </c>
      <c r="BY101">
        <f t="shared" ca="1" si="133"/>
        <v>52.249999971262504</v>
      </c>
      <c r="BZ101">
        <f t="shared" ca="1" si="134"/>
        <v>0</v>
      </c>
      <c r="CA101">
        <f t="shared" si="135"/>
        <v>0</v>
      </c>
      <c r="CB101" s="1018">
        <f t="shared" ca="1" si="141"/>
        <v>109.44234344952338</v>
      </c>
      <c r="CC101" s="1018">
        <f t="shared" ca="1" si="142"/>
        <v>23.734454154093804</v>
      </c>
      <c r="CD101">
        <f t="shared" ca="1" si="100"/>
        <v>3.9953039281085156</v>
      </c>
      <c r="CE101">
        <f t="shared" ca="1" si="101"/>
        <v>6652.0212281435543</v>
      </c>
    </row>
    <row r="102" spans="2:83" x14ac:dyDescent="0.25">
      <c r="B102" s="825"/>
      <c r="C102" s="820"/>
      <c r="D102" s="821"/>
      <c r="E102" s="820"/>
      <c r="F102" s="821"/>
      <c r="G102" s="820"/>
      <c r="H102" s="821"/>
      <c r="I102" s="825"/>
      <c r="J102" s="825"/>
      <c r="K102" s="825"/>
      <c r="L102" s="825"/>
      <c r="M102" s="825"/>
      <c r="N102" s="825"/>
      <c r="O102" s="829" t="s">
        <v>7</v>
      </c>
      <c r="P102" s="825">
        <v>0.36780000000000002</v>
      </c>
      <c r="Q102" s="821"/>
      <c r="R102" s="962">
        <v>1.0993067008E-3</v>
      </c>
      <c r="S102" s="876"/>
      <c r="T102" s="34">
        <f t="shared" si="136"/>
        <v>1.0993067008E-3</v>
      </c>
      <c r="U102" s="176">
        <f t="shared" si="137"/>
        <v>1.0993067008E-3</v>
      </c>
      <c r="V102" s="176">
        <f t="shared" si="138"/>
        <v>1.0993067008E-3</v>
      </c>
      <c r="W102" s="176">
        <f>V102/Calculation_sheet!M$67</f>
        <v>1.099329177696032E-3</v>
      </c>
      <c r="X102" s="958">
        <f ca="1">IF(AL102&gt;0,W102*Calculation_sheet!C$87,0)</f>
        <v>0</v>
      </c>
      <c r="Y102" s="176">
        <f t="shared" ca="1" si="139"/>
        <v>1.099329177696032E-3</v>
      </c>
      <c r="Z102" s="176">
        <f>IF(AN102&gt;0,Y102*Calculation_sheet!C$94,0)</f>
        <v>0</v>
      </c>
      <c r="AA102" s="958">
        <f t="shared" ca="1" si="122"/>
        <v>1.099329177696032E-3</v>
      </c>
      <c r="AB102" s="176">
        <f ca="1">AA102*Calculation_sheet!C$99</f>
        <v>6.5959750661761911E-4</v>
      </c>
      <c r="AC102" s="958">
        <f t="shared" ca="1" si="122"/>
        <v>4.3973167107841285E-4</v>
      </c>
      <c r="AD102" s="176">
        <f t="shared" si="140"/>
        <v>1.099329177696032E-3</v>
      </c>
      <c r="AE102" s="176">
        <f>AD102*User_sheet!B$77/100</f>
        <v>0</v>
      </c>
      <c r="AF102" s="309"/>
      <c r="AG102" s="27">
        <v>402</v>
      </c>
      <c r="AH102" s="985"/>
      <c r="AI102" s="956">
        <f t="shared" ca="1" si="99"/>
        <v>109.44234344952338</v>
      </c>
      <c r="AJ102" s="956">
        <f ca="1">AI102/'402'!I$24</f>
        <v>0.53816516089300537</v>
      </c>
      <c r="AK102" s="956">
        <f ca="1">0.8*(AI102*30+'402'!D$17*0.34*30*1)</f>
        <v>5429.0866427885621</v>
      </c>
      <c r="AL102" s="954">
        <f ca="1">IF(AK102&lt;User_sheet!B$50,W102,0)</f>
        <v>1.099329177696032E-3</v>
      </c>
      <c r="AM102" s="954">
        <f ca="1">20-(User_sheet!B$57/(AI102+'402'!D$17*1*0.34))</f>
        <v>-5.1976085483386036</v>
      </c>
      <c r="AN102" s="954"/>
      <c r="AO102" s="985"/>
      <c r="AP102" s="2">
        <v>0</v>
      </c>
      <c r="AQ102" s="2">
        <v>0.6</v>
      </c>
      <c r="AR102" s="2">
        <v>0</v>
      </c>
      <c r="AS102" s="2">
        <v>2.75</v>
      </c>
      <c r="AT102" s="2">
        <v>0</v>
      </c>
      <c r="AU102" s="2">
        <v>0</v>
      </c>
      <c r="AV102" s="2">
        <v>69341.450841082013</v>
      </c>
      <c r="AW102" s="2"/>
      <c r="AX102" s="2"/>
      <c r="AY102" s="2"/>
      <c r="AZ102" s="50">
        <v>0.6</v>
      </c>
      <c r="BA102" s="34">
        <v>1</v>
      </c>
      <c r="BB102" s="34">
        <v>0</v>
      </c>
      <c r="BC102" s="40">
        <v>0</v>
      </c>
      <c r="BD102" s="34">
        <v>0</v>
      </c>
      <c r="BE102" s="34">
        <v>1</v>
      </c>
      <c r="BF102" s="40">
        <v>0</v>
      </c>
      <c r="BG102" s="34">
        <v>1</v>
      </c>
      <c r="BH102" s="40">
        <v>0</v>
      </c>
      <c r="BI102" s="34">
        <v>0</v>
      </c>
      <c r="BJ102" s="34">
        <v>0</v>
      </c>
      <c r="BK102" s="40">
        <v>1</v>
      </c>
      <c r="BL102" s="958">
        <v>0.15</v>
      </c>
      <c r="BM102" s="958">
        <v>6</v>
      </c>
      <c r="BN102" s="32">
        <f t="shared" ca="1" si="123"/>
        <v>106</v>
      </c>
      <c r="BO102">
        <f t="shared" ca="1" si="124"/>
        <v>343.44000000000005</v>
      </c>
      <c r="BP102">
        <f t="shared" ca="1" si="125"/>
        <v>0</v>
      </c>
      <c r="BQ102">
        <f t="shared" ca="1" si="126"/>
        <v>78.362000000000009</v>
      </c>
      <c r="BR102">
        <f t="shared" ca="1" si="127"/>
        <v>0</v>
      </c>
      <c r="BS102">
        <f t="shared" ca="1" si="128"/>
        <v>19</v>
      </c>
      <c r="BT102">
        <f t="shared" ca="1" si="129"/>
        <v>0</v>
      </c>
      <c r="BU102">
        <v>0</v>
      </c>
      <c r="BV102">
        <f t="shared" ca="1" si="130"/>
        <v>0</v>
      </c>
      <c r="BW102">
        <f t="shared" ca="1" si="131"/>
        <v>42.588043478260872</v>
      </c>
      <c r="BX102">
        <f t="shared" ca="1" si="132"/>
        <v>0</v>
      </c>
      <c r="BY102">
        <f t="shared" ca="1" si="133"/>
        <v>52.249999971262504</v>
      </c>
      <c r="BZ102">
        <f t="shared" ca="1" si="134"/>
        <v>0</v>
      </c>
      <c r="CA102">
        <f t="shared" si="135"/>
        <v>0</v>
      </c>
      <c r="CB102" s="1018">
        <f t="shared" ca="1" si="141"/>
        <v>109.44234344952338</v>
      </c>
      <c r="CC102" s="1018">
        <f t="shared" ca="1" si="142"/>
        <v>23.734454154093804</v>
      </c>
      <c r="CD102">
        <f t="shared" ca="1" si="100"/>
        <v>3.9953039281085156</v>
      </c>
      <c r="CE102">
        <f t="shared" ca="1" si="101"/>
        <v>6652.0212281435543</v>
      </c>
    </row>
    <row r="103" spans="2:83" x14ac:dyDescent="0.25">
      <c r="B103" s="825"/>
      <c r="C103" s="820"/>
      <c r="D103" s="821"/>
      <c r="E103" s="820"/>
      <c r="F103" s="821"/>
      <c r="G103" s="820"/>
      <c r="H103" s="821"/>
      <c r="I103" s="825"/>
      <c r="J103" s="825"/>
      <c r="K103" s="825"/>
      <c r="L103" s="825"/>
      <c r="M103" s="825" t="s">
        <v>60</v>
      </c>
      <c r="N103" s="825">
        <v>0.32142857142857145</v>
      </c>
      <c r="O103" s="822" t="s">
        <v>57</v>
      </c>
      <c r="P103" s="825">
        <v>0.96530000000000005</v>
      </c>
      <c r="Q103" s="821"/>
      <c r="R103" s="962">
        <v>1.3374994096125204E-3</v>
      </c>
      <c r="S103" s="876"/>
      <c r="T103" s="34">
        <f t="shared" si="136"/>
        <v>1.3374994096125204E-3</v>
      </c>
      <c r="U103" s="176">
        <f t="shared" si="137"/>
        <v>1.3374994096125204E-3</v>
      </c>
      <c r="V103" s="176">
        <f t="shared" si="138"/>
        <v>1.3374994096125204E-3</v>
      </c>
      <c r="W103" s="176">
        <f>V103/Calculation_sheet!M$67</f>
        <v>1.3375267566987799E-3</v>
      </c>
      <c r="X103" s="958">
        <f ca="1">IF(AL103&gt;0,W103*Calculation_sheet!C$87,0)</f>
        <v>0</v>
      </c>
      <c r="Y103" s="176">
        <f t="shared" ca="1" si="139"/>
        <v>1.3375267566987799E-3</v>
      </c>
      <c r="Z103" s="176">
        <f>IF(AN103&gt;0,Y103*Calculation_sheet!C$94,0)</f>
        <v>0</v>
      </c>
      <c r="AA103" s="958">
        <f t="shared" ca="1" si="122"/>
        <v>1.3375267566987799E-3</v>
      </c>
      <c r="AB103" s="176">
        <f ca="1">AA103*Calculation_sheet!C$99</f>
        <v>8.0251605401926798E-4</v>
      </c>
      <c r="AC103" s="958">
        <f t="shared" ca="1" si="122"/>
        <v>5.3501070267951195E-4</v>
      </c>
      <c r="AD103" s="176">
        <f t="shared" si="140"/>
        <v>1.3375267566987799E-3</v>
      </c>
      <c r="AE103" s="176">
        <f>AD103*User_sheet!B$77/100</f>
        <v>0</v>
      </c>
      <c r="AF103" s="309"/>
      <c r="AG103" s="27">
        <v>402</v>
      </c>
      <c r="AH103" s="985"/>
      <c r="AI103" s="956">
        <f t="shared" ca="1" si="99"/>
        <v>109.44234344952338</v>
      </c>
      <c r="AJ103" s="956">
        <f ca="1">AI103/'402'!I$24</f>
        <v>0.53816516089300537</v>
      </c>
      <c r="AK103" s="956">
        <f ca="1">0.8*(AI103*30+'402'!D$17*0.34*30*1)</f>
        <v>5429.0866427885621</v>
      </c>
      <c r="AL103" s="954">
        <f ca="1">IF(AK103&lt;User_sheet!B$50,W103,0)</f>
        <v>1.3375267566987799E-3</v>
      </c>
      <c r="AM103" s="954">
        <f ca="1">20-(User_sheet!B$57/(AI103+'402'!D$17*1*0.34))</f>
        <v>-5.1976085483386036</v>
      </c>
      <c r="AN103" s="954"/>
      <c r="AO103" s="985"/>
      <c r="AP103" s="2">
        <v>0</v>
      </c>
      <c r="AQ103" s="2">
        <v>0.6</v>
      </c>
      <c r="AR103" s="2">
        <v>0</v>
      </c>
      <c r="AS103" s="2">
        <v>2.75</v>
      </c>
      <c r="AT103" s="2">
        <v>0</v>
      </c>
      <c r="AU103" s="2">
        <v>0</v>
      </c>
      <c r="AV103" s="2">
        <v>69341.450841082013</v>
      </c>
      <c r="AW103" s="2">
        <v>0</v>
      </c>
      <c r="AX103" s="2">
        <v>0</v>
      </c>
      <c r="AY103" s="2">
        <v>0</v>
      </c>
      <c r="AZ103" s="50">
        <v>0.6</v>
      </c>
      <c r="BA103" s="34">
        <v>0</v>
      </c>
      <c r="BB103" s="34">
        <v>1</v>
      </c>
      <c r="BC103" s="40">
        <v>0</v>
      </c>
      <c r="BD103" s="34">
        <v>1</v>
      </c>
      <c r="BE103" s="34">
        <v>0</v>
      </c>
      <c r="BF103" s="40">
        <v>0</v>
      </c>
      <c r="BG103" s="34">
        <v>1</v>
      </c>
      <c r="BH103" s="40">
        <v>0</v>
      </c>
      <c r="BI103" s="34">
        <v>0</v>
      </c>
      <c r="BJ103" s="34">
        <v>1</v>
      </c>
      <c r="BK103" s="40">
        <v>0</v>
      </c>
      <c r="BL103" s="958">
        <v>0.15</v>
      </c>
      <c r="BM103" s="958">
        <v>6</v>
      </c>
      <c r="BN103" s="32">
        <f t="shared" ca="1" si="123"/>
        <v>106</v>
      </c>
      <c r="BO103">
        <f t="shared" ca="1" si="124"/>
        <v>343.44000000000005</v>
      </c>
      <c r="BP103">
        <f t="shared" ca="1" si="125"/>
        <v>0</v>
      </c>
      <c r="BQ103">
        <f t="shared" ca="1" si="126"/>
        <v>78.362000000000009</v>
      </c>
      <c r="BR103">
        <f t="shared" ca="1" si="127"/>
        <v>0</v>
      </c>
      <c r="BS103">
        <f t="shared" ca="1" si="128"/>
        <v>19</v>
      </c>
      <c r="BT103">
        <f t="shared" ca="1" si="129"/>
        <v>0</v>
      </c>
      <c r="BU103">
        <v>0</v>
      </c>
      <c r="BV103">
        <f t="shared" ca="1" si="130"/>
        <v>0</v>
      </c>
      <c r="BW103">
        <f t="shared" ca="1" si="131"/>
        <v>42.588043478260872</v>
      </c>
      <c r="BX103">
        <f t="shared" ca="1" si="132"/>
        <v>0</v>
      </c>
      <c r="BY103">
        <f t="shared" ca="1" si="133"/>
        <v>52.249999971262504</v>
      </c>
      <c r="BZ103">
        <f t="shared" ca="1" si="134"/>
        <v>0</v>
      </c>
      <c r="CA103">
        <f t="shared" si="135"/>
        <v>0</v>
      </c>
      <c r="CB103" s="1018">
        <f t="shared" ca="1" si="141"/>
        <v>109.44234344952338</v>
      </c>
      <c r="CC103" s="1018">
        <f t="shared" ca="1" si="142"/>
        <v>23.734454154093804</v>
      </c>
      <c r="CD103">
        <f t="shared" ca="1" si="100"/>
        <v>3.9953039281085156</v>
      </c>
      <c r="CE103">
        <f t="shared" ca="1" si="101"/>
        <v>6652.0212281435543</v>
      </c>
    </row>
    <row r="104" spans="2:83" x14ac:dyDescent="0.25">
      <c r="B104" s="825"/>
      <c r="C104" s="820"/>
      <c r="D104" s="821"/>
      <c r="E104" s="820"/>
      <c r="F104" s="821"/>
      <c r="G104" s="820"/>
      <c r="H104" s="821"/>
      <c r="I104" s="825"/>
      <c r="J104" s="825"/>
      <c r="K104" s="825"/>
      <c r="L104" s="825"/>
      <c r="M104" s="825"/>
      <c r="N104" s="825"/>
      <c r="O104" s="822" t="s">
        <v>7</v>
      </c>
      <c r="P104" s="825">
        <v>3.4699999999999953E-2</v>
      </c>
      <c r="Q104" s="821"/>
      <c r="R104" s="962">
        <v>4.9516466787480012E-5</v>
      </c>
      <c r="S104" s="876"/>
      <c r="T104" s="34">
        <f t="shared" si="136"/>
        <v>4.9516466787480012E-5</v>
      </c>
      <c r="U104" s="176">
        <f t="shared" si="137"/>
        <v>4.9516466787480012E-5</v>
      </c>
      <c r="V104" s="176">
        <f t="shared" si="138"/>
        <v>4.9516466787480012E-5</v>
      </c>
      <c r="W104" s="176">
        <f>V104/Calculation_sheet!M$67</f>
        <v>4.9517479222385604E-5</v>
      </c>
      <c r="X104" s="958">
        <f ca="1">IF(AL104&gt;0,W104*Calculation_sheet!C$87,0)</f>
        <v>0</v>
      </c>
      <c r="Y104" s="176">
        <f t="shared" ca="1" si="139"/>
        <v>4.9517479222385604E-5</v>
      </c>
      <c r="Z104" s="176">
        <f>IF(AN104&gt;0,Y104*Calculation_sheet!C$94,0)</f>
        <v>0</v>
      </c>
      <c r="AA104" s="958">
        <f t="shared" ca="1" si="122"/>
        <v>4.9517479222385604E-5</v>
      </c>
      <c r="AB104" s="176">
        <f ca="1">AA104*Calculation_sheet!C$99</f>
        <v>2.9710487533431363E-5</v>
      </c>
      <c r="AC104" s="958">
        <f t="shared" ca="1" si="122"/>
        <v>1.9806991688954242E-5</v>
      </c>
      <c r="AD104" s="176">
        <f t="shared" si="140"/>
        <v>4.9517479222385604E-5</v>
      </c>
      <c r="AE104" s="176">
        <f>AD104*User_sheet!B$77/100</f>
        <v>0</v>
      </c>
      <c r="AF104" s="309"/>
      <c r="AG104" s="27">
        <v>402</v>
      </c>
      <c r="AH104" s="985"/>
      <c r="AI104" s="956">
        <f t="shared" ca="1" si="99"/>
        <v>109.44234344952338</v>
      </c>
      <c r="AJ104" s="956">
        <f ca="1">AI104/'402'!I$24</f>
        <v>0.53816516089300537</v>
      </c>
      <c r="AK104" s="956">
        <f ca="1">0.8*(AI104*30+'402'!D$17*0.34*30*1)</f>
        <v>5429.0866427885621</v>
      </c>
      <c r="AL104" s="954">
        <f ca="1">IF(AK104&lt;User_sheet!B$50,W104,0)</f>
        <v>4.9517479222385604E-5</v>
      </c>
      <c r="AM104" s="954">
        <f ca="1">20-(User_sheet!B$57/(AI104+'402'!D$17*1*0.34))</f>
        <v>-5.1976085483386036</v>
      </c>
      <c r="AN104" s="954"/>
      <c r="AO104" s="985"/>
      <c r="AP104" s="2">
        <v>0</v>
      </c>
      <c r="AQ104" s="2">
        <v>0.6</v>
      </c>
      <c r="AR104" s="2">
        <v>0</v>
      </c>
      <c r="AS104" s="2">
        <v>2.75</v>
      </c>
      <c r="AT104" s="2">
        <v>0</v>
      </c>
      <c r="AU104" s="2">
        <v>0</v>
      </c>
      <c r="AV104" s="2">
        <v>69341.450841082013</v>
      </c>
      <c r="AW104" s="2">
        <v>0</v>
      </c>
      <c r="AX104" s="2">
        <v>0</v>
      </c>
      <c r="AY104" s="2">
        <v>0</v>
      </c>
      <c r="AZ104" s="50">
        <v>0.6</v>
      </c>
      <c r="BA104" s="34">
        <v>0</v>
      </c>
      <c r="BB104" s="34">
        <v>1</v>
      </c>
      <c r="BC104" s="40">
        <v>0</v>
      </c>
      <c r="BD104" s="34">
        <v>1</v>
      </c>
      <c r="BE104" s="34">
        <v>0</v>
      </c>
      <c r="BF104" s="40">
        <v>0</v>
      </c>
      <c r="BG104" s="34">
        <v>1</v>
      </c>
      <c r="BH104" s="40">
        <v>0</v>
      </c>
      <c r="BI104" s="34">
        <v>0</v>
      </c>
      <c r="BJ104" s="34">
        <v>0</v>
      </c>
      <c r="BK104" s="40">
        <v>1</v>
      </c>
      <c r="BL104" s="958">
        <v>0.15</v>
      </c>
      <c r="BM104" s="958">
        <v>6</v>
      </c>
      <c r="BN104" s="32">
        <f t="shared" ca="1" si="123"/>
        <v>106</v>
      </c>
      <c r="BO104">
        <f t="shared" ca="1" si="124"/>
        <v>343.44000000000005</v>
      </c>
      <c r="BP104">
        <f t="shared" ca="1" si="125"/>
        <v>0</v>
      </c>
      <c r="BQ104">
        <f t="shared" ca="1" si="126"/>
        <v>78.362000000000009</v>
      </c>
      <c r="BR104">
        <f t="shared" ca="1" si="127"/>
        <v>0</v>
      </c>
      <c r="BS104">
        <f t="shared" ca="1" si="128"/>
        <v>19</v>
      </c>
      <c r="BT104">
        <f t="shared" ca="1" si="129"/>
        <v>0</v>
      </c>
      <c r="BU104">
        <v>0</v>
      </c>
      <c r="BV104">
        <f t="shared" ca="1" si="130"/>
        <v>0</v>
      </c>
      <c r="BW104">
        <f t="shared" ca="1" si="131"/>
        <v>42.588043478260872</v>
      </c>
      <c r="BX104">
        <f t="shared" ca="1" si="132"/>
        <v>0</v>
      </c>
      <c r="BY104">
        <f t="shared" ca="1" si="133"/>
        <v>52.249999971262504</v>
      </c>
      <c r="BZ104">
        <f t="shared" ca="1" si="134"/>
        <v>0</v>
      </c>
      <c r="CA104">
        <f t="shared" si="135"/>
        <v>0</v>
      </c>
      <c r="CB104" s="1018">
        <f t="shared" ca="1" si="141"/>
        <v>109.44234344952338</v>
      </c>
      <c r="CC104" s="1018">
        <f t="shared" ca="1" si="142"/>
        <v>23.734454154093804</v>
      </c>
      <c r="CD104">
        <f t="shared" ca="1" si="100"/>
        <v>3.9953039281085156</v>
      </c>
      <c r="CE104">
        <f t="shared" ca="1" si="101"/>
        <v>6652.0212281435543</v>
      </c>
    </row>
    <row r="105" spans="2:83" x14ac:dyDescent="0.25">
      <c r="B105" s="825"/>
      <c r="C105" s="820"/>
      <c r="D105" s="821"/>
      <c r="E105" s="820"/>
      <c r="F105" s="821"/>
      <c r="G105" s="820"/>
      <c r="H105" s="821"/>
      <c r="I105" s="825"/>
      <c r="J105" s="825"/>
      <c r="K105" s="825"/>
      <c r="L105" s="825">
        <v>0.96551724137931039</v>
      </c>
      <c r="M105" s="825" t="s">
        <v>61</v>
      </c>
      <c r="N105" s="825">
        <v>0.6785714285714286</v>
      </c>
      <c r="O105" s="822" t="s">
        <v>57</v>
      </c>
      <c r="P105" s="825">
        <v>0.96530000000000005</v>
      </c>
      <c r="Q105" s="821"/>
      <c r="R105" s="962">
        <v>2.5963223833654794E-3</v>
      </c>
      <c r="S105" s="876"/>
      <c r="T105" s="34">
        <f t="shared" si="136"/>
        <v>2.5963223833654794E-3</v>
      </c>
      <c r="U105" s="176">
        <f t="shared" si="137"/>
        <v>2.5963223833654794E-3</v>
      </c>
      <c r="V105" s="176">
        <f t="shared" si="138"/>
        <v>2.5963223833654794E-3</v>
      </c>
      <c r="W105" s="176">
        <f>V105/Calculation_sheet!M$67</f>
        <v>2.5963754688858656E-3</v>
      </c>
      <c r="X105" s="958">
        <f ca="1">IF(AL105&gt;0,W105*Calculation_sheet!C$87,0)</f>
        <v>0</v>
      </c>
      <c r="Y105" s="176">
        <f t="shared" ca="1" si="139"/>
        <v>2.5963754688858656E-3</v>
      </c>
      <c r="Z105" s="176">
        <f>IF(AN105&gt;0,Y105*Calculation_sheet!C$94,0)</f>
        <v>0</v>
      </c>
      <c r="AA105" s="958">
        <f t="shared" ca="1" si="122"/>
        <v>2.5963754688858656E-3</v>
      </c>
      <c r="AB105" s="176">
        <f ca="1">AA105*Calculation_sheet!C$99</f>
        <v>1.5578252813315194E-3</v>
      </c>
      <c r="AC105" s="958">
        <f t="shared" ca="1" si="122"/>
        <v>1.0385501875543462E-3</v>
      </c>
      <c r="AD105" s="176">
        <f t="shared" si="140"/>
        <v>2.5963754688858656E-3</v>
      </c>
      <c r="AE105" s="176">
        <f>AD105*User_sheet!B$77/100</f>
        <v>0</v>
      </c>
      <c r="AF105" s="309"/>
      <c r="AG105" s="27">
        <v>402</v>
      </c>
      <c r="AH105" s="985"/>
      <c r="AI105" s="956">
        <f t="shared" ca="1" si="99"/>
        <v>109.44234344952338</v>
      </c>
      <c r="AJ105" s="956">
        <f ca="1">AI105/'402'!I$24</f>
        <v>0.53816516089300537</v>
      </c>
      <c r="AK105" s="956">
        <f ca="1">0.8*(AI105*30+'402'!D$17*0.34*30*1)</f>
        <v>5429.0866427885621</v>
      </c>
      <c r="AL105" s="954">
        <f ca="1">IF(AK105&lt;User_sheet!B$50,W105,0)</f>
        <v>2.5963754688858656E-3</v>
      </c>
      <c r="AM105" s="954">
        <f ca="1">20-(User_sheet!B$57/(AI105+'402'!D$17*1*0.34))</f>
        <v>-5.1976085483386036</v>
      </c>
      <c r="AN105" s="954"/>
      <c r="AO105" s="985"/>
      <c r="AP105" s="2">
        <v>0</v>
      </c>
      <c r="AQ105" s="2">
        <v>0.6</v>
      </c>
      <c r="AR105" s="2">
        <v>0</v>
      </c>
      <c r="AS105" s="2">
        <v>2.75</v>
      </c>
      <c r="AT105" s="2">
        <v>0</v>
      </c>
      <c r="AU105" s="2">
        <v>0</v>
      </c>
      <c r="AV105" s="2">
        <v>69341.450841082013</v>
      </c>
      <c r="AW105" s="2">
        <v>0</v>
      </c>
      <c r="AX105" s="2">
        <v>0</v>
      </c>
      <c r="AY105" s="2">
        <v>0</v>
      </c>
      <c r="AZ105" s="50">
        <v>0.6</v>
      </c>
      <c r="BA105" s="34">
        <v>0</v>
      </c>
      <c r="BB105" s="34">
        <v>1</v>
      </c>
      <c r="BC105" s="40">
        <v>0</v>
      </c>
      <c r="BD105" s="34">
        <v>1</v>
      </c>
      <c r="BE105" s="34">
        <v>0</v>
      </c>
      <c r="BF105" s="40">
        <v>0</v>
      </c>
      <c r="BG105" s="34">
        <v>0</v>
      </c>
      <c r="BH105" s="40">
        <v>1</v>
      </c>
      <c r="BI105" s="34">
        <v>0</v>
      </c>
      <c r="BJ105" s="34">
        <v>1</v>
      </c>
      <c r="BK105" s="40">
        <v>0</v>
      </c>
      <c r="BL105" s="958">
        <v>0.15</v>
      </c>
      <c r="BM105" s="958">
        <v>6</v>
      </c>
      <c r="BN105" s="32">
        <f t="shared" ca="1" si="123"/>
        <v>106</v>
      </c>
      <c r="BO105">
        <f t="shared" ca="1" si="124"/>
        <v>343.44000000000005</v>
      </c>
      <c r="BP105">
        <f t="shared" ca="1" si="125"/>
        <v>0</v>
      </c>
      <c r="BQ105">
        <f t="shared" ca="1" si="126"/>
        <v>78.362000000000009</v>
      </c>
      <c r="BR105">
        <f t="shared" ca="1" si="127"/>
        <v>0</v>
      </c>
      <c r="BS105">
        <f t="shared" ca="1" si="128"/>
        <v>19</v>
      </c>
      <c r="BT105">
        <f t="shared" ca="1" si="129"/>
        <v>0</v>
      </c>
      <c r="BU105">
        <v>0</v>
      </c>
      <c r="BV105">
        <f t="shared" ca="1" si="130"/>
        <v>0</v>
      </c>
      <c r="BW105">
        <f t="shared" ca="1" si="131"/>
        <v>42.588043478260872</v>
      </c>
      <c r="BX105">
        <f t="shared" ca="1" si="132"/>
        <v>0</v>
      </c>
      <c r="BY105">
        <f t="shared" ca="1" si="133"/>
        <v>52.249999971262504</v>
      </c>
      <c r="BZ105">
        <f t="shared" ca="1" si="134"/>
        <v>0</v>
      </c>
      <c r="CA105">
        <f t="shared" si="135"/>
        <v>0</v>
      </c>
      <c r="CB105" s="1018">
        <f t="shared" ca="1" si="141"/>
        <v>109.44234344952338</v>
      </c>
      <c r="CC105" s="1018">
        <f t="shared" ca="1" si="142"/>
        <v>23.734454154093804</v>
      </c>
      <c r="CD105">
        <f t="shared" ca="1" si="100"/>
        <v>3.9953039281085156</v>
      </c>
      <c r="CE105">
        <f t="shared" ca="1" si="101"/>
        <v>6652.0212281435543</v>
      </c>
    </row>
    <row r="106" spans="2:83" x14ac:dyDescent="0.25">
      <c r="B106" s="825"/>
      <c r="C106" s="820"/>
      <c r="D106" s="821"/>
      <c r="E106" s="820"/>
      <c r="F106" s="821"/>
      <c r="G106" s="820"/>
      <c r="H106" s="821"/>
      <c r="I106" s="825" t="s">
        <v>57</v>
      </c>
      <c r="J106" s="825">
        <v>0.28000000000000003</v>
      </c>
      <c r="K106" s="825"/>
      <c r="L106" s="825"/>
      <c r="M106" s="825"/>
      <c r="N106" s="825"/>
      <c r="O106" s="822" t="s">
        <v>7</v>
      </c>
      <c r="P106" s="825">
        <v>3.4700000000000002E-2</v>
      </c>
      <c r="Q106" s="821"/>
      <c r="R106" s="962">
        <v>9.6120200234520013E-5</v>
      </c>
      <c r="S106" s="876"/>
      <c r="T106" s="34">
        <f t="shared" si="136"/>
        <v>9.6120200234520013E-5</v>
      </c>
      <c r="U106" s="176">
        <f t="shared" si="137"/>
        <v>9.6120200234520013E-5</v>
      </c>
      <c r="V106" s="176">
        <f t="shared" si="138"/>
        <v>9.6120200234520013E-5</v>
      </c>
      <c r="W106" s="176">
        <f>V106/Calculation_sheet!M$67</f>
        <v>9.6122165549336757E-5</v>
      </c>
      <c r="X106" s="958">
        <f ca="1">IF(AL106&gt;0,W106*Calculation_sheet!C$87,0)</f>
        <v>0</v>
      </c>
      <c r="Y106" s="176">
        <f t="shared" ca="1" si="139"/>
        <v>9.6122165549336757E-5</v>
      </c>
      <c r="Z106" s="176">
        <f>IF(AN106&gt;0,Y106*Calculation_sheet!C$94,0)</f>
        <v>0</v>
      </c>
      <c r="AA106" s="958">
        <f t="shared" ca="1" si="122"/>
        <v>9.6122165549336757E-5</v>
      </c>
      <c r="AB106" s="176">
        <f ca="1">AA106*Calculation_sheet!C$99</f>
        <v>5.7673299329602054E-5</v>
      </c>
      <c r="AC106" s="958">
        <f t="shared" ca="1" si="122"/>
        <v>3.8448866219734703E-5</v>
      </c>
      <c r="AD106" s="176">
        <f t="shared" si="140"/>
        <v>9.6122165549336757E-5</v>
      </c>
      <c r="AE106" s="176">
        <f>AD106*User_sheet!B$77/100</f>
        <v>0</v>
      </c>
      <c r="AF106" s="309"/>
      <c r="AG106" s="27">
        <v>402</v>
      </c>
      <c r="AH106" s="985"/>
      <c r="AI106" s="956">
        <f t="shared" ca="1" si="99"/>
        <v>109.44234344952338</v>
      </c>
      <c r="AJ106" s="956">
        <f ca="1">AI106/'402'!I$24</f>
        <v>0.53816516089300537</v>
      </c>
      <c r="AK106" s="956">
        <f ca="1">0.8*(AI106*30+'402'!D$17*0.34*30*1)</f>
        <v>5429.0866427885621</v>
      </c>
      <c r="AL106" s="954">
        <f ca="1">IF(AK106&lt;User_sheet!B$50,W106,0)</f>
        <v>9.6122165549336757E-5</v>
      </c>
      <c r="AM106" s="954">
        <f ca="1">20-(User_sheet!B$57/(AI106+'402'!D$17*1*0.34))</f>
        <v>-5.1976085483386036</v>
      </c>
      <c r="AN106" s="954"/>
      <c r="AO106" s="985"/>
      <c r="AP106" s="2">
        <v>0</v>
      </c>
      <c r="AQ106" s="2">
        <v>0.6</v>
      </c>
      <c r="AR106" s="2">
        <v>0</v>
      </c>
      <c r="AS106" s="2">
        <v>2.75</v>
      </c>
      <c r="AT106" s="2">
        <v>0</v>
      </c>
      <c r="AU106" s="2">
        <v>0</v>
      </c>
      <c r="AV106" s="2">
        <v>69341.450841082013</v>
      </c>
      <c r="AW106" s="2">
        <v>0</v>
      </c>
      <c r="AX106" s="2">
        <v>0</v>
      </c>
      <c r="AY106" s="2">
        <v>0</v>
      </c>
      <c r="AZ106" s="50">
        <v>0.6</v>
      </c>
      <c r="BA106" s="34">
        <v>0</v>
      </c>
      <c r="BB106" s="34">
        <v>1</v>
      </c>
      <c r="BC106" s="40">
        <v>0</v>
      </c>
      <c r="BD106" s="34">
        <v>1</v>
      </c>
      <c r="BE106" s="34">
        <v>0</v>
      </c>
      <c r="BF106" s="40">
        <v>0</v>
      </c>
      <c r="BG106" s="34">
        <v>0</v>
      </c>
      <c r="BH106" s="40">
        <v>1</v>
      </c>
      <c r="BI106" s="34">
        <v>0</v>
      </c>
      <c r="BJ106" s="34">
        <v>0</v>
      </c>
      <c r="BK106" s="40">
        <v>1</v>
      </c>
      <c r="BL106" s="958">
        <v>0.15</v>
      </c>
      <c r="BM106" s="958">
        <v>6</v>
      </c>
      <c r="BN106" s="32">
        <f t="shared" ca="1" si="123"/>
        <v>106</v>
      </c>
      <c r="BO106">
        <f t="shared" ca="1" si="124"/>
        <v>343.44000000000005</v>
      </c>
      <c r="BP106">
        <f t="shared" ca="1" si="125"/>
        <v>0</v>
      </c>
      <c r="BQ106">
        <f t="shared" ca="1" si="126"/>
        <v>78.362000000000009</v>
      </c>
      <c r="BR106">
        <f t="shared" ca="1" si="127"/>
        <v>0</v>
      </c>
      <c r="BS106">
        <f t="shared" ca="1" si="128"/>
        <v>19</v>
      </c>
      <c r="BT106">
        <f t="shared" ca="1" si="129"/>
        <v>0</v>
      </c>
      <c r="BU106">
        <v>0</v>
      </c>
      <c r="BV106">
        <f t="shared" ca="1" si="130"/>
        <v>0</v>
      </c>
      <c r="BW106">
        <f t="shared" ca="1" si="131"/>
        <v>42.588043478260872</v>
      </c>
      <c r="BX106">
        <f t="shared" ca="1" si="132"/>
        <v>0</v>
      </c>
      <c r="BY106">
        <f t="shared" ca="1" si="133"/>
        <v>52.249999971262504</v>
      </c>
      <c r="BZ106">
        <f t="shared" ca="1" si="134"/>
        <v>0</v>
      </c>
      <c r="CA106">
        <f t="shared" si="135"/>
        <v>0</v>
      </c>
      <c r="CB106" s="1018">
        <f t="shared" ca="1" si="141"/>
        <v>109.44234344952338</v>
      </c>
      <c r="CC106" s="1018">
        <f t="shared" ca="1" si="142"/>
        <v>23.734454154093804</v>
      </c>
      <c r="CD106">
        <f t="shared" ca="1" si="100"/>
        <v>3.9953039281085156</v>
      </c>
      <c r="CE106">
        <f t="shared" ca="1" si="101"/>
        <v>6652.0212281435543</v>
      </c>
    </row>
    <row r="107" spans="2:83" x14ac:dyDescent="0.25">
      <c r="B107" s="820"/>
      <c r="C107" s="820"/>
      <c r="D107" s="821"/>
      <c r="E107" s="820"/>
      <c r="F107" s="821"/>
      <c r="G107" s="820"/>
      <c r="H107" s="821"/>
      <c r="I107" s="825"/>
      <c r="J107" s="825"/>
      <c r="K107" s="825"/>
      <c r="L107" s="825">
        <v>3.4482758620689655E-2</v>
      </c>
      <c r="M107" s="825"/>
      <c r="N107" s="825"/>
      <c r="O107" s="829" t="s">
        <v>57</v>
      </c>
      <c r="P107" s="825">
        <v>0.96530000000000005</v>
      </c>
      <c r="Q107" s="821"/>
      <c r="R107" s="962">
        <v>2.0704325226200007E-4</v>
      </c>
      <c r="S107" s="876"/>
      <c r="T107" s="34">
        <f t="shared" si="136"/>
        <v>2.0704325226200007E-4</v>
      </c>
      <c r="U107" s="176">
        <f t="shared" si="137"/>
        <v>2.0704325226200007E-4</v>
      </c>
      <c r="V107" s="176">
        <f t="shared" si="138"/>
        <v>2.0704325226200007E-4</v>
      </c>
      <c r="W107" s="176">
        <f>V107/Calculation_sheet!M$67</f>
        <v>2.070474855570867E-4</v>
      </c>
      <c r="X107" s="958">
        <f ca="1">IF(AL107&gt;0,W107*Calculation_sheet!C$87,0)</f>
        <v>0</v>
      </c>
      <c r="Y107" s="176">
        <f t="shared" ca="1" si="139"/>
        <v>2.070474855570867E-4</v>
      </c>
      <c r="Z107" s="176">
        <f>IF(AN107&gt;0,Y107*Calculation_sheet!C$94,0)</f>
        <v>0</v>
      </c>
      <c r="AA107" s="958">
        <f t="shared" ca="1" si="122"/>
        <v>2.070474855570867E-4</v>
      </c>
      <c r="AB107" s="176">
        <f ca="1">AA107*Calculation_sheet!C$99</f>
        <v>1.24228491334252E-4</v>
      </c>
      <c r="AC107" s="958">
        <f t="shared" ca="1" si="122"/>
        <v>8.2818994222834695E-5</v>
      </c>
      <c r="AD107" s="176">
        <f t="shared" si="140"/>
        <v>2.070474855570867E-4</v>
      </c>
      <c r="AE107" s="176">
        <f>AD107*User_sheet!B$77/100</f>
        <v>0</v>
      </c>
      <c r="AF107" s="309"/>
      <c r="AG107" s="27">
        <v>402</v>
      </c>
      <c r="AH107" s="985"/>
      <c r="AI107" s="956">
        <f t="shared" ca="1" si="99"/>
        <v>109.44234344952338</v>
      </c>
      <c r="AJ107" s="956">
        <f ca="1">AI107/'402'!I$24</f>
        <v>0.53816516089300537</v>
      </c>
      <c r="AK107" s="956">
        <f ca="1">0.8*(AI107*30+'402'!D$17*0.34*30*1)</f>
        <v>5429.0866427885621</v>
      </c>
      <c r="AL107" s="954">
        <f ca="1">IF(AK107&lt;User_sheet!B$50,W107,0)</f>
        <v>2.070474855570867E-4</v>
      </c>
      <c r="AM107" s="954">
        <f ca="1">20-(User_sheet!B$57/(AI107+'402'!D$17*1*0.34))</f>
        <v>-5.1976085483386036</v>
      </c>
      <c r="AN107" s="954"/>
      <c r="AO107" s="985"/>
      <c r="AP107" s="2">
        <v>0</v>
      </c>
      <c r="AQ107" s="2">
        <v>0.6</v>
      </c>
      <c r="AR107" s="2">
        <v>0</v>
      </c>
      <c r="AS107" s="2">
        <v>2.75</v>
      </c>
      <c r="AT107" s="2">
        <v>0</v>
      </c>
      <c r="AU107" s="2">
        <v>0</v>
      </c>
      <c r="AV107" s="2">
        <v>69341.450841082013</v>
      </c>
      <c r="AW107" s="2">
        <v>0</v>
      </c>
      <c r="AX107" s="2">
        <v>0</v>
      </c>
      <c r="AY107" s="2">
        <v>0</v>
      </c>
      <c r="AZ107" s="50">
        <v>0.6</v>
      </c>
      <c r="BA107" s="34">
        <v>0</v>
      </c>
      <c r="BB107" s="34">
        <v>1</v>
      </c>
      <c r="BC107" s="40">
        <v>0</v>
      </c>
      <c r="BD107" s="34">
        <v>0</v>
      </c>
      <c r="BE107" s="34">
        <v>1</v>
      </c>
      <c r="BF107" s="40">
        <v>0</v>
      </c>
      <c r="BG107" s="34">
        <v>1</v>
      </c>
      <c r="BH107" s="40">
        <v>0</v>
      </c>
      <c r="BI107" s="34">
        <v>0</v>
      </c>
      <c r="BJ107" s="34">
        <v>1</v>
      </c>
      <c r="BK107" s="40">
        <v>0</v>
      </c>
      <c r="BL107" s="958">
        <v>0.15</v>
      </c>
      <c r="BM107" s="958">
        <v>6</v>
      </c>
      <c r="BN107" s="32">
        <f t="shared" ca="1" si="123"/>
        <v>106</v>
      </c>
      <c r="BO107">
        <f t="shared" ca="1" si="124"/>
        <v>343.44000000000005</v>
      </c>
      <c r="BP107">
        <f t="shared" ca="1" si="125"/>
        <v>0</v>
      </c>
      <c r="BQ107">
        <f t="shared" ca="1" si="126"/>
        <v>78.362000000000009</v>
      </c>
      <c r="BR107">
        <f t="shared" ca="1" si="127"/>
        <v>0</v>
      </c>
      <c r="BS107">
        <f t="shared" ca="1" si="128"/>
        <v>19</v>
      </c>
      <c r="BT107">
        <f t="shared" ca="1" si="129"/>
        <v>0</v>
      </c>
      <c r="BU107">
        <v>0</v>
      </c>
      <c r="BV107">
        <f t="shared" ca="1" si="130"/>
        <v>0</v>
      </c>
      <c r="BW107">
        <f t="shared" ca="1" si="131"/>
        <v>42.588043478260872</v>
      </c>
      <c r="BX107">
        <f t="shared" ca="1" si="132"/>
        <v>0</v>
      </c>
      <c r="BY107">
        <f t="shared" ca="1" si="133"/>
        <v>52.249999971262504</v>
      </c>
      <c r="BZ107">
        <f t="shared" ca="1" si="134"/>
        <v>0</v>
      </c>
      <c r="CA107">
        <f t="shared" si="135"/>
        <v>0</v>
      </c>
      <c r="CB107" s="1018">
        <f t="shared" ca="1" si="141"/>
        <v>109.44234344952338</v>
      </c>
      <c r="CC107" s="1018">
        <f t="shared" ca="1" si="142"/>
        <v>23.734454154093804</v>
      </c>
      <c r="CD107">
        <f t="shared" ca="1" si="100"/>
        <v>3.9953039281085156</v>
      </c>
      <c r="CE107">
        <f t="shared" ca="1" si="101"/>
        <v>6652.0212281435543</v>
      </c>
    </row>
    <row r="108" spans="2:83" x14ac:dyDescent="0.25">
      <c r="B108" s="820"/>
      <c r="C108" s="820"/>
      <c r="D108" s="821"/>
      <c r="E108" s="820"/>
      <c r="F108" s="821"/>
      <c r="G108" s="820"/>
      <c r="H108" s="821"/>
      <c r="I108" s="825"/>
      <c r="J108" s="825"/>
      <c r="K108" s="825"/>
      <c r="L108" s="825"/>
      <c r="M108" s="825"/>
      <c r="N108" s="825"/>
      <c r="O108" s="829" t="s">
        <v>7</v>
      </c>
      <c r="P108" s="825">
        <v>3.4700000000000002E-2</v>
      </c>
      <c r="Q108" s="821"/>
      <c r="R108" s="962">
        <v>7.6650877380000016E-6</v>
      </c>
      <c r="S108" s="876"/>
      <c r="T108" s="34">
        <f t="shared" si="136"/>
        <v>7.6650877380000016E-6</v>
      </c>
      <c r="U108" s="176">
        <f t="shared" si="137"/>
        <v>7.6650877380000016E-6</v>
      </c>
      <c r="V108" s="176">
        <f t="shared" si="138"/>
        <v>7.6650877380000016E-6</v>
      </c>
      <c r="W108" s="176">
        <f>V108/Calculation_sheet!M$67</f>
        <v>7.6652444616695983E-6</v>
      </c>
      <c r="X108" s="958">
        <f ca="1">IF(AL108&gt;0,W108*Calculation_sheet!C$87,0)</f>
        <v>0</v>
      </c>
      <c r="Y108" s="176">
        <f t="shared" ca="1" si="139"/>
        <v>7.6652444616695983E-6</v>
      </c>
      <c r="Z108" s="176">
        <f>IF(AN108&gt;0,Y108*Calculation_sheet!C$94,0)</f>
        <v>0</v>
      </c>
      <c r="AA108" s="958">
        <f t="shared" ca="1" si="122"/>
        <v>7.6652444616695983E-6</v>
      </c>
      <c r="AB108" s="176">
        <f ca="1">AA108*Calculation_sheet!C$99</f>
        <v>4.5991466770017588E-6</v>
      </c>
      <c r="AC108" s="958">
        <f t="shared" ca="1" si="122"/>
        <v>3.0660977846678395E-6</v>
      </c>
      <c r="AD108" s="176">
        <f t="shared" si="140"/>
        <v>7.6652444616695983E-6</v>
      </c>
      <c r="AE108" s="176">
        <f>AD108*User_sheet!B$77/100</f>
        <v>0</v>
      </c>
      <c r="AF108" s="309"/>
      <c r="AG108" s="27">
        <v>402</v>
      </c>
      <c r="AH108" s="985"/>
      <c r="AI108" s="956">
        <f t="shared" ca="1" si="99"/>
        <v>109.44234344952338</v>
      </c>
      <c r="AJ108" s="956">
        <f ca="1">AI108/'402'!I$24</f>
        <v>0.53816516089300537</v>
      </c>
      <c r="AK108" s="956">
        <f ca="1">0.8*(AI108*30+'402'!D$17*0.34*30*1)</f>
        <v>5429.0866427885621</v>
      </c>
      <c r="AL108" s="954">
        <f ca="1">IF(AK108&lt;User_sheet!B$50,W108,0)</f>
        <v>7.6652444616695983E-6</v>
      </c>
      <c r="AM108" s="954">
        <f ca="1">20-(User_sheet!B$57/(AI108+'402'!D$17*1*0.34))</f>
        <v>-5.1976085483386036</v>
      </c>
      <c r="AN108" s="954"/>
      <c r="AO108" s="985"/>
      <c r="AP108" s="2">
        <v>0</v>
      </c>
      <c r="AQ108" s="2">
        <v>0.6</v>
      </c>
      <c r="AR108" s="2">
        <v>0</v>
      </c>
      <c r="AS108" s="2">
        <v>2.75</v>
      </c>
      <c r="AT108" s="2">
        <v>0</v>
      </c>
      <c r="AU108" s="2">
        <v>0</v>
      </c>
      <c r="AV108" s="2">
        <v>69341.450841081998</v>
      </c>
      <c r="AW108" s="2">
        <v>0</v>
      </c>
      <c r="AX108" s="2">
        <v>0</v>
      </c>
      <c r="AY108" s="2">
        <v>0</v>
      </c>
      <c r="AZ108" s="50">
        <v>0.6</v>
      </c>
      <c r="BA108" s="34">
        <v>0</v>
      </c>
      <c r="BB108" s="34">
        <v>1</v>
      </c>
      <c r="BC108" s="40">
        <v>0</v>
      </c>
      <c r="BD108" s="34">
        <v>0</v>
      </c>
      <c r="BE108" s="34">
        <v>1</v>
      </c>
      <c r="BF108" s="40">
        <v>0</v>
      </c>
      <c r="BG108" s="34">
        <v>1</v>
      </c>
      <c r="BH108" s="40">
        <v>0</v>
      </c>
      <c r="BI108" s="34">
        <v>0</v>
      </c>
      <c r="BJ108" s="34">
        <v>0</v>
      </c>
      <c r="BK108" s="40">
        <v>1</v>
      </c>
      <c r="BL108" s="958">
        <v>0.15</v>
      </c>
      <c r="BM108" s="958">
        <v>6</v>
      </c>
      <c r="BN108" s="32">
        <f t="shared" ca="1" si="123"/>
        <v>106</v>
      </c>
      <c r="BO108">
        <f t="shared" ca="1" si="124"/>
        <v>343.44000000000005</v>
      </c>
      <c r="BP108">
        <f t="shared" ca="1" si="125"/>
        <v>0</v>
      </c>
      <c r="BQ108">
        <f t="shared" ca="1" si="126"/>
        <v>78.362000000000009</v>
      </c>
      <c r="BR108">
        <f t="shared" ca="1" si="127"/>
        <v>0</v>
      </c>
      <c r="BS108">
        <f t="shared" ca="1" si="128"/>
        <v>19</v>
      </c>
      <c r="BT108">
        <f t="shared" ca="1" si="129"/>
        <v>0</v>
      </c>
      <c r="BU108">
        <v>0</v>
      </c>
      <c r="BV108">
        <f t="shared" ca="1" si="130"/>
        <v>0</v>
      </c>
      <c r="BW108">
        <f t="shared" ca="1" si="131"/>
        <v>42.588043478260872</v>
      </c>
      <c r="BX108">
        <f t="shared" ca="1" si="132"/>
        <v>0</v>
      </c>
      <c r="BY108">
        <f t="shared" ca="1" si="133"/>
        <v>52.249999971262504</v>
      </c>
      <c r="BZ108">
        <f t="shared" ca="1" si="134"/>
        <v>0</v>
      </c>
      <c r="CA108">
        <f t="shared" si="135"/>
        <v>0</v>
      </c>
      <c r="CB108" s="1018">
        <f t="shared" ca="1" si="141"/>
        <v>109.44234344952338</v>
      </c>
      <c r="CC108" s="1018">
        <f t="shared" ca="1" si="142"/>
        <v>23.734454154093804</v>
      </c>
      <c r="CD108">
        <f t="shared" ca="1" si="100"/>
        <v>3.9953039281085156</v>
      </c>
      <c r="CE108">
        <f t="shared" ca="1" si="101"/>
        <v>6652.0212281435543</v>
      </c>
    </row>
    <row r="109" spans="2:83" x14ac:dyDescent="0.25">
      <c r="B109" s="820"/>
      <c r="C109" s="820"/>
      <c r="D109" s="821"/>
      <c r="E109" s="820" t="s">
        <v>4</v>
      </c>
      <c r="F109" s="824">
        <v>0.61</v>
      </c>
      <c r="G109" s="820" t="s">
        <v>5</v>
      </c>
      <c r="H109" s="824">
        <v>1</v>
      </c>
      <c r="I109" s="825" t="s">
        <v>7</v>
      </c>
      <c r="J109" s="825">
        <v>0.15000000000000002</v>
      </c>
      <c r="K109" s="825"/>
      <c r="L109" s="825">
        <v>1</v>
      </c>
      <c r="M109" s="825"/>
      <c r="N109" s="825">
        <v>1</v>
      </c>
      <c r="O109" s="829" t="s">
        <v>7</v>
      </c>
      <c r="P109" s="825">
        <v>1</v>
      </c>
      <c r="Q109" s="821"/>
      <c r="R109" s="962">
        <v>1.2269047999999994E-3</v>
      </c>
      <c r="S109" s="876"/>
      <c r="T109" s="34">
        <f t="shared" si="136"/>
        <v>1.2269047999999994E-3</v>
      </c>
      <c r="U109" s="176">
        <f t="shared" si="137"/>
        <v>1.2269047999999994E-3</v>
      </c>
      <c r="V109" s="176">
        <f t="shared" si="138"/>
        <v>1.2269047999999994E-3</v>
      </c>
      <c r="W109" s="176">
        <f>V109/Calculation_sheet!M$67</f>
        <v>1.2269298858214636E-3</v>
      </c>
      <c r="X109" s="958">
        <f ca="1">IF(AL109&gt;0,W109*Calculation_sheet!C$87,0)</f>
        <v>0</v>
      </c>
      <c r="Y109" s="176">
        <f t="shared" ca="1" si="139"/>
        <v>1.2269298858214636E-3</v>
      </c>
      <c r="Z109" s="176">
        <f>IF(AN109&gt;0,Y109*Calculation_sheet!C$94,0)</f>
        <v>0</v>
      </c>
      <c r="AA109" s="958">
        <f t="shared" ca="1" si="122"/>
        <v>1.2269298858214636E-3</v>
      </c>
      <c r="AB109" s="176">
        <f ca="1">AA109*Calculation_sheet!C$99</f>
        <v>7.3615793149287814E-4</v>
      </c>
      <c r="AC109" s="958">
        <f t="shared" ca="1" si="122"/>
        <v>4.9077195432858543E-4</v>
      </c>
      <c r="AD109" s="176">
        <f t="shared" si="140"/>
        <v>1.2269298858214636E-3</v>
      </c>
      <c r="AE109" s="176">
        <f>AD109*User_sheet!B$77/100</f>
        <v>0</v>
      </c>
      <c r="AF109" s="309"/>
      <c r="AG109" s="27">
        <v>402</v>
      </c>
      <c r="AH109" s="985"/>
      <c r="AI109" s="956">
        <f t="shared" ca="1" si="99"/>
        <v>109.44234344952338</v>
      </c>
      <c r="AJ109" s="956">
        <f ca="1">AI109/'402'!I$24</f>
        <v>0.53816516089300537</v>
      </c>
      <c r="AK109" s="956">
        <f ca="1">0.8*(AI109*30+'402'!D$17*0.34*30*1)</f>
        <v>5429.0866427885621</v>
      </c>
      <c r="AL109" s="954">
        <f ca="1">IF(AK109&lt;User_sheet!B$50,W109,0)</f>
        <v>1.2269298858214636E-3</v>
      </c>
      <c r="AM109" s="954">
        <f ca="1">20-(User_sheet!B$57/(AI109+'402'!D$17*1*0.34))</f>
        <v>-5.1976085483386036</v>
      </c>
      <c r="AN109" s="954"/>
      <c r="AO109" s="985"/>
      <c r="AP109" s="2">
        <v>0</v>
      </c>
      <c r="AQ109" s="2">
        <v>0.6</v>
      </c>
      <c r="AR109" s="2">
        <v>0</v>
      </c>
      <c r="AS109" s="2">
        <v>2.75</v>
      </c>
      <c r="AT109" s="2">
        <v>0</v>
      </c>
      <c r="AU109" s="2">
        <v>0</v>
      </c>
      <c r="AV109" s="2">
        <v>69341.450841081998</v>
      </c>
      <c r="AW109" s="2">
        <v>0</v>
      </c>
      <c r="AX109" s="2">
        <v>0</v>
      </c>
      <c r="AY109" s="2">
        <v>0</v>
      </c>
      <c r="AZ109" s="50">
        <v>0.6</v>
      </c>
      <c r="BA109" s="34">
        <v>0</v>
      </c>
      <c r="BB109" s="34">
        <v>0</v>
      </c>
      <c r="BC109" s="40">
        <v>1</v>
      </c>
      <c r="BD109" s="34">
        <v>0</v>
      </c>
      <c r="BE109" s="34">
        <v>0</v>
      </c>
      <c r="BF109" s="40">
        <v>1</v>
      </c>
      <c r="BG109" s="34">
        <v>1</v>
      </c>
      <c r="BH109" s="40">
        <v>0</v>
      </c>
      <c r="BI109" s="34">
        <v>0</v>
      </c>
      <c r="BJ109" s="34">
        <v>0</v>
      </c>
      <c r="BK109" s="40">
        <v>1</v>
      </c>
      <c r="BL109" s="958">
        <v>0.15</v>
      </c>
      <c r="BM109" s="958">
        <v>6</v>
      </c>
      <c r="BN109" s="32">
        <f t="shared" ca="1" si="123"/>
        <v>106</v>
      </c>
      <c r="BO109">
        <f t="shared" ca="1" si="124"/>
        <v>343.44000000000005</v>
      </c>
      <c r="BP109">
        <f t="shared" ca="1" si="125"/>
        <v>0</v>
      </c>
      <c r="BQ109">
        <f t="shared" ca="1" si="126"/>
        <v>78.362000000000009</v>
      </c>
      <c r="BR109">
        <f t="shared" ca="1" si="127"/>
        <v>0</v>
      </c>
      <c r="BS109">
        <f t="shared" ca="1" si="128"/>
        <v>19</v>
      </c>
      <c r="BT109">
        <f t="shared" ca="1" si="129"/>
        <v>0</v>
      </c>
      <c r="BU109">
        <v>0</v>
      </c>
      <c r="BV109">
        <f t="shared" ca="1" si="130"/>
        <v>0</v>
      </c>
      <c r="BW109">
        <f t="shared" ca="1" si="131"/>
        <v>42.588043478260872</v>
      </c>
      <c r="BX109">
        <f t="shared" ca="1" si="132"/>
        <v>0</v>
      </c>
      <c r="BY109">
        <f t="shared" ca="1" si="133"/>
        <v>52.249999971262504</v>
      </c>
      <c r="BZ109">
        <f t="shared" ca="1" si="134"/>
        <v>0</v>
      </c>
      <c r="CA109">
        <f t="shared" si="135"/>
        <v>0</v>
      </c>
      <c r="CB109" s="1018">
        <f t="shared" ca="1" si="141"/>
        <v>109.44234344952338</v>
      </c>
      <c r="CC109" s="1018">
        <f t="shared" ca="1" si="142"/>
        <v>23.734454154093804</v>
      </c>
      <c r="CD109">
        <f t="shared" ca="1" si="100"/>
        <v>3.9953039281085156</v>
      </c>
      <c r="CE109">
        <f t="shared" ca="1" si="101"/>
        <v>6652.0212281435543</v>
      </c>
    </row>
    <row r="110" spans="2:83" s="14" customFormat="1" x14ac:dyDescent="0.25">
      <c r="B110" s="826"/>
      <c r="C110" s="826"/>
      <c r="D110" s="827"/>
      <c r="E110" s="826"/>
      <c r="F110" s="827"/>
      <c r="G110" s="826"/>
      <c r="H110" s="827"/>
      <c r="I110" s="827"/>
      <c r="J110" s="827"/>
      <c r="K110" s="827"/>
      <c r="L110" s="827"/>
      <c r="M110" s="827"/>
      <c r="N110" s="827"/>
      <c r="O110" s="828"/>
      <c r="P110" s="827"/>
      <c r="Q110" s="827"/>
      <c r="R110" s="963"/>
      <c r="S110" s="879"/>
      <c r="T110" s="277"/>
      <c r="U110" s="292"/>
      <c r="V110" s="292"/>
      <c r="W110" s="292"/>
      <c r="X110" s="277"/>
      <c r="Y110" s="292"/>
      <c r="Z110" s="292"/>
      <c r="AA110" s="277"/>
      <c r="AB110" s="292"/>
      <c r="AC110" s="277"/>
      <c r="AD110" s="292"/>
      <c r="AE110" s="292"/>
      <c r="AF110" s="309"/>
      <c r="AG110" s="28"/>
      <c r="AH110" s="985"/>
      <c r="AI110" s="956">
        <f t="shared" si="99"/>
        <v>0</v>
      </c>
      <c r="AJ110" s="941"/>
      <c r="AK110" s="941"/>
      <c r="AL110" s="941"/>
      <c r="AM110" s="941"/>
      <c r="AN110" s="941"/>
      <c r="AO110" s="985"/>
      <c r="AP110" s="28"/>
      <c r="AQ110" s="28"/>
      <c r="AR110" s="28"/>
      <c r="AS110" s="28"/>
      <c r="AT110" s="28"/>
      <c r="AU110" s="28"/>
      <c r="AV110" s="28"/>
      <c r="AW110" s="28"/>
      <c r="AX110" s="28"/>
      <c r="AY110" s="28"/>
      <c r="AZ110" s="49"/>
      <c r="BA110" s="277"/>
      <c r="BB110" s="28"/>
      <c r="BC110" s="49"/>
      <c r="BD110" s="277"/>
      <c r="BE110" s="28"/>
      <c r="BF110" s="49"/>
      <c r="BG110" s="277"/>
      <c r="BH110" s="49"/>
      <c r="BI110" s="277"/>
      <c r="BJ110" s="28"/>
      <c r="BK110" s="49"/>
      <c r="BL110" s="277"/>
      <c r="BM110" s="277"/>
      <c r="BN110" s="36"/>
    </row>
    <row r="111" spans="2:83" s="3" customFormat="1" x14ac:dyDescent="0.25">
      <c r="B111" s="820"/>
      <c r="C111" s="820" t="s">
        <v>3</v>
      </c>
      <c r="D111" s="823">
        <v>0.1847</v>
      </c>
      <c r="E111" s="820"/>
      <c r="F111" s="821"/>
      <c r="G111" s="820"/>
      <c r="H111" s="821"/>
      <c r="I111" s="825"/>
      <c r="J111" s="825"/>
      <c r="K111" s="825"/>
      <c r="L111" s="825"/>
      <c r="M111" s="825" t="s">
        <v>60</v>
      </c>
      <c r="N111" s="825">
        <v>0.74576271186440679</v>
      </c>
      <c r="O111" s="822" t="s">
        <v>16</v>
      </c>
      <c r="P111" s="825">
        <v>0.63219999999999998</v>
      </c>
      <c r="Q111" s="821"/>
      <c r="R111" s="962">
        <v>5.9390851814078412E-3</v>
      </c>
      <c r="S111" s="882"/>
      <c r="T111" s="34">
        <f>R111</f>
        <v>5.9390851814078412E-3</v>
      </c>
      <c r="U111" s="200">
        <f>T111-T111*Calculation_sheet!J$67/4</f>
        <v>5.9390851814078412E-3</v>
      </c>
      <c r="V111" s="200">
        <f>U111-U111*(Calculation_sheet!O$77+Calculation_sheet!J$77)/4</f>
        <v>5.9390851814078412E-3</v>
      </c>
      <c r="W111" s="176">
        <f>V111/Calculation_sheet!M$67</f>
        <v>5.9392066144893004E-3</v>
      </c>
      <c r="X111" s="958">
        <f ca="1">IF(AL111&gt;0,W111*Calculation_sheet!C$87,0)</f>
        <v>0</v>
      </c>
      <c r="Y111" s="176">
        <f ca="1">W111-X111</f>
        <v>5.9392066144893004E-3</v>
      </c>
      <c r="Z111" s="176">
        <f>IF(AN111&gt;0,Y111*Calculation_sheet!C$94,0)</f>
        <v>0</v>
      </c>
      <c r="AA111" s="958">
        <f t="shared" ref="AA111:AC123" ca="1" si="143">Y111-Z111</f>
        <v>5.9392066144893004E-3</v>
      </c>
      <c r="AB111" s="176">
        <f ca="1">AA111*Calculation_sheet!C$99</f>
        <v>3.5635239686935801E-3</v>
      </c>
      <c r="AC111" s="958">
        <f t="shared" ca="1" si="143"/>
        <v>2.3756826457957203E-3</v>
      </c>
      <c r="AD111" s="176">
        <f>W111-Z111</f>
        <v>5.9392066144893004E-3</v>
      </c>
      <c r="AE111" s="176">
        <f>AD111*User_sheet!B$77/100</f>
        <v>0</v>
      </c>
      <c r="AF111" s="309"/>
      <c r="AG111" s="27">
        <v>402</v>
      </c>
      <c r="AH111" s="985"/>
      <c r="AI111" s="956">
        <f t="shared" ca="1" si="99"/>
        <v>172.8953078891511</v>
      </c>
      <c r="AJ111" s="956">
        <f ca="1">AI111/'402'!I$24</f>
        <v>0.85018493075968504</v>
      </c>
      <c r="AK111" s="956">
        <f ca="1">0.8*(AI111*30+'402'!D$17*0.34*30*1)</f>
        <v>6951.9577893396272</v>
      </c>
      <c r="AL111" s="954">
        <f ca="1">IF(AK111&lt;User_sheet!B$50,W111,0)</f>
        <v>5.9392066144893004E-3</v>
      </c>
      <c r="AM111" s="954">
        <f ca="1">20-(User_sheet!B$57/(AI111+'402'!D$17*1*0.34))</f>
        <v>0.32208995719538436</v>
      </c>
      <c r="AN111" s="954"/>
      <c r="AO111" s="985"/>
      <c r="AP111" s="2">
        <v>0</v>
      </c>
      <c r="AQ111" s="2">
        <v>2.1</v>
      </c>
      <c r="AR111" s="2">
        <v>0</v>
      </c>
      <c r="AS111" s="2">
        <v>2.75</v>
      </c>
      <c r="AT111" s="2">
        <v>0</v>
      </c>
      <c r="AU111" s="2">
        <v>0</v>
      </c>
      <c r="AV111" s="2">
        <v>74715.401027665983</v>
      </c>
      <c r="AW111" s="2">
        <v>0</v>
      </c>
      <c r="AX111" s="2">
        <v>0</v>
      </c>
      <c r="AY111" s="2">
        <v>0</v>
      </c>
      <c r="AZ111" s="50">
        <v>0.6</v>
      </c>
      <c r="BA111" s="34">
        <v>1</v>
      </c>
      <c r="BB111" s="34">
        <v>0</v>
      </c>
      <c r="BC111" s="40">
        <v>0</v>
      </c>
      <c r="BD111" s="34">
        <v>1</v>
      </c>
      <c r="BE111" s="34">
        <v>0</v>
      </c>
      <c r="BF111" s="40">
        <v>0</v>
      </c>
      <c r="BG111" s="34">
        <v>1</v>
      </c>
      <c r="BH111" s="40">
        <v>0</v>
      </c>
      <c r="BI111" s="34">
        <v>1</v>
      </c>
      <c r="BJ111" s="34">
        <v>0</v>
      </c>
      <c r="BK111" s="40">
        <v>0</v>
      </c>
      <c r="BL111" s="958">
        <v>0</v>
      </c>
      <c r="BM111" s="958">
        <v>14.9</v>
      </c>
      <c r="BN111" s="37">
        <f t="shared" ref="BN111:BN123" ca="1" si="144">INDIRECT("'"&amp;AG111&amp;"'!"&amp;"B2")</f>
        <v>106</v>
      </c>
      <c r="BO111" s="3">
        <f t="shared" ref="BO111:BO123" ca="1" si="145">INDIRECT("'"&amp;AG111&amp;"'!"&amp;"C12")+INDIRECT("'"&amp;AG111&amp;"'!"&amp;"C13")+INDIRECT("'"&amp;AG111&amp;"'!"&amp;"C14")+INDIRECT("'"&amp;AG111&amp;"'!"&amp;"C15")+INDIRECT("'"&amp;AG111&amp;"'!"&amp;"C17")</f>
        <v>343.44000000000005</v>
      </c>
      <c r="BP111" s="3">
        <f t="shared" ref="BP111:BP123" ca="1" si="146">INDIRECT("'"&amp;AG111&amp;"'!"&amp;"G5")</f>
        <v>0</v>
      </c>
      <c r="BQ111" s="3">
        <f t="shared" ref="BQ111:BQ123" ca="1" si="147">INDIRECT("'"&amp;AG111&amp;"'!"&amp;"G4")</f>
        <v>78.362000000000009</v>
      </c>
      <c r="BR111" s="3">
        <f t="shared" ref="BR111:BR123" ca="1" si="148">INDIRECT("'"&amp;AG111&amp;"'!"&amp;"G6")</f>
        <v>0</v>
      </c>
      <c r="BS111" s="3">
        <f t="shared" ref="BS111:BS123" ca="1" si="149">INDIRECT("'"&amp;AG111&amp;"'!"&amp;"G2")</f>
        <v>19</v>
      </c>
      <c r="BT111" s="3">
        <f t="shared" ref="BT111:BT123" ca="1" si="150">INDIRECT("'"&amp;AG111&amp;"'!"&amp;"G3")</f>
        <v>0</v>
      </c>
      <c r="BU111" s="3">
        <v>0</v>
      </c>
      <c r="BV111" s="3">
        <f t="shared" ref="BV111:BV123" ca="1" si="151">IF(OR(BP111=0,AP111=0),0,1/(1/(BP111*$BW$3)+1/(BP111*AP111)+1/(BP111*$BW$4)))</f>
        <v>0</v>
      </c>
      <c r="BW111" s="3">
        <f t="shared" ref="BW111:BW123" ca="1" si="152">IF(OR(BQ111=0,AQ111=0),0,1/(1/(BQ111*$BW$3)+1/(BQ111*AQ111)+1/(BQ111*$BW$4)))</f>
        <v>120.64530791788859</v>
      </c>
      <c r="BX111" s="3">
        <f t="shared" ref="BX111:BX123" ca="1" si="153">IF(OR(BR111=0,AR111=0),0,1/(1/(BR111*$BW$3)+1/(BR111*AR111)+1/(BR111*$BW$4)))</f>
        <v>0</v>
      </c>
      <c r="BY111" s="3">
        <f t="shared" ref="BY111:BY123" ca="1" si="154">IF(OR(BS111=0,AS111=0),0,1/(1/(BS111*$BW$5)+1/(BS111*AS111)+1/(BS111*$BW$6)))</f>
        <v>52.249999971262504</v>
      </c>
      <c r="BZ111" s="3">
        <f t="shared" ref="BZ111:BZ123" ca="1" si="155">IF(OR(BT111=0,AT111=0),0,1/(1/(BT111*$BW$3)+1/(BT111*AT111)+1/(BT111*$BW$4)))</f>
        <v>0</v>
      </c>
      <c r="CA111" s="3">
        <f t="shared" ref="CA111:CA123" si="156">IF(OR(BU111=0,AU111=0),0,1/(1/(BU111*$BW$3)+1/(BU111*AU111)+1/(BU111*$BW$4)))</f>
        <v>0</v>
      </c>
      <c r="CB111" s="1018">
        <f ca="1">SUM(BV111:CA111)+(BP111+BQ111+BR111+BS111+BT111)*BL111</f>
        <v>172.8953078891511</v>
      </c>
      <c r="CC111" s="1018">
        <f ca="1">0.34*BM111*(1/25)^0.66*(BQ111+BS111+BT111)</f>
        <v>58.940561149332957</v>
      </c>
      <c r="CD111" s="3">
        <f t="shared" ca="1" si="100"/>
        <v>6.9550760711545214</v>
      </c>
      <c r="CE111" s="3">
        <f t="shared" ca="1" si="101"/>
        <v>11579.923455429431</v>
      </c>
    </row>
    <row r="112" spans="2:83" s="3" customFormat="1" x14ac:dyDescent="0.25">
      <c r="B112" s="820"/>
      <c r="C112" s="820"/>
      <c r="D112" s="821"/>
      <c r="E112" s="820"/>
      <c r="F112" s="821"/>
      <c r="G112" s="820"/>
      <c r="H112" s="821"/>
      <c r="I112" s="825"/>
      <c r="J112" s="825"/>
      <c r="K112" s="825"/>
      <c r="L112" s="825"/>
      <c r="M112" s="825"/>
      <c r="N112" s="825"/>
      <c r="O112" s="822" t="s">
        <v>7</v>
      </c>
      <c r="P112" s="825">
        <v>0.36780000000000002</v>
      </c>
      <c r="Q112" s="821"/>
      <c r="R112" s="962">
        <v>4.6192884744283213E-3</v>
      </c>
      <c r="S112" s="882"/>
      <c r="T112" s="34">
        <f t="shared" ref="T112:T123" si="157">R112</f>
        <v>4.6192884744283213E-3</v>
      </c>
      <c r="U112" s="200">
        <f>T112-T112*Calculation_sheet!J$67/4</f>
        <v>4.6192884744283213E-3</v>
      </c>
      <c r="V112" s="200">
        <f>U112-U112*(Calculation_sheet!O$77+Calculation_sheet!J$77)/4</f>
        <v>4.6192884744283213E-3</v>
      </c>
      <c r="W112" s="176">
        <f>V112/Calculation_sheet!M$67</f>
        <v>4.6193829223805669E-3</v>
      </c>
      <c r="X112" s="958">
        <f ca="1">IF(AL112&gt;0,W112*Calculation_sheet!C$87,0)</f>
        <v>0</v>
      </c>
      <c r="Y112" s="176">
        <f t="shared" ref="Y112:Y123" ca="1" si="158">W112-X112</f>
        <v>4.6193829223805669E-3</v>
      </c>
      <c r="Z112" s="176">
        <f>IF(AN112&gt;0,Y112*Calculation_sheet!C$94,0)</f>
        <v>0</v>
      </c>
      <c r="AA112" s="958">
        <f t="shared" ca="1" si="143"/>
        <v>4.6193829223805669E-3</v>
      </c>
      <c r="AB112" s="176">
        <f ca="1">AA112*Calculation_sheet!C$99</f>
        <v>2.77162975342834E-3</v>
      </c>
      <c r="AC112" s="958">
        <f t="shared" ca="1" si="143"/>
        <v>1.8477531689522269E-3</v>
      </c>
      <c r="AD112" s="176">
        <f t="shared" ref="AD112:AD123" si="159">W112-Z112</f>
        <v>4.6193829223805669E-3</v>
      </c>
      <c r="AE112" s="176">
        <f>AD112*User_sheet!B$77/100</f>
        <v>0</v>
      </c>
      <c r="AF112" s="309"/>
      <c r="AG112" s="27">
        <v>402</v>
      </c>
      <c r="AH112" s="985"/>
      <c r="AI112" s="956">
        <f t="shared" ca="1" si="99"/>
        <v>172.8953078891511</v>
      </c>
      <c r="AJ112" s="956">
        <f ca="1">AI112/'402'!I$24</f>
        <v>0.85018493075968504</v>
      </c>
      <c r="AK112" s="956">
        <f ca="1">0.8*(AI112*30+'402'!D$17*0.34*30*1)</f>
        <v>6951.9577893396272</v>
      </c>
      <c r="AL112" s="954">
        <f ca="1">IF(AK112&lt;User_sheet!B$50,W112,0)</f>
        <v>4.6193829223805669E-3</v>
      </c>
      <c r="AM112" s="954">
        <f ca="1">20-(User_sheet!B$57/(AI112+'402'!D$17*1*0.34))</f>
        <v>0.32208995719538436</v>
      </c>
      <c r="AN112" s="954"/>
      <c r="AO112" s="985"/>
      <c r="AP112" s="2">
        <v>0</v>
      </c>
      <c r="AQ112" s="2">
        <v>2.1</v>
      </c>
      <c r="AR112" s="2">
        <v>0</v>
      </c>
      <c r="AS112" s="2">
        <v>2.75</v>
      </c>
      <c r="AT112" s="2">
        <v>0</v>
      </c>
      <c r="AU112" s="2">
        <v>0</v>
      </c>
      <c r="AV112" s="2">
        <v>74715.401027665983</v>
      </c>
      <c r="AW112" s="2">
        <v>0</v>
      </c>
      <c r="AX112" s="2">
        <v>0</v>
      </c>
      <c r="AY112" s="2">
        <v>0</v>
      </c>
      <c r="AZ112" s="50">
        <v>0.6</v>
      </c>
      <c r="BA112" s="34">
        <v>1</v>
      </c>
      <c r="BB112" s="34">
        <v>0</v>
      </c>
      <c r="BC112" s="40">
        <v>0</v>
      </c>
      <c r="BD112" s="34">
        <v>1</v>
      </c>
      <c r="BE112" s="34">
        <v>0</v>
      </c>
      <c r="BF112" s="40">
        <v>0</v>
      </c>
      <c r="BG112" s="34">
        <v>1</v>
      </c>
      <c r="BH112" s="40">
        <v>0</v>
      </c>
      <c r="BI112" s="34">
        <v>0</v>
      </c>
      <c r="BJ112" s="34">
        <v>0</v>
      </c>
      <c r="BK112" s="40">
        <v>1</v>
      </c>
      <c r="BL112" s="958">
        <v>0</v>
      </c>
      <c r="BM112" s="958">
        <v>14.9</v>
      </c>
      <c r="BN112" s="37">
        <f t="shared" ca="1" si="144"/>
        <v>106</v>
      </c>
      <c r="BO112" s="3">
        <f t="shared" ca="1" si="145"/>
        <v>343.44000000000005</v>
      </c>
      <c r="BP112" s="3">
        <f t="shared" ca="1" si="146"/>
        <v>0</v>
      </c>
      <c r="BQ112" s="3">
        <f t="shared" ca="1" si="147"/>
        <v>78.362000000000009</v>
      </c>
      <c r="BR112" s="3">
        <f t="shared" ca="1" si="148"/>
        <v>0</v>
      </c>
      <c r="BS112" s="3">
        <f t="shared" ca="1" si="149"/>
        <v>19</v>
      </c>
      <c r="BT112" s="3">
        <f t="shared" ca="1" si="150"/>
        <v>0</v>
      </c>
      <c r="BU112" s="3">
        <v>0</v>
      </c>
      <c r="BV112" s="3">
        <f t="shared" ca="1" si="151"/>
        <v>0</v>
      </c>
      <c r="BW112" s="3">
        <f t="shared" ca="1" si="152"/>
        <v>120.64530791788859</v>
      </c>
      <c r="BX112" s="3">
        <f t="shared" ca="1" si="153"/>
        <v>0</v>
      </c>
      <c r="BY112" s="3">
        <f t="shared" ca="1" si="154"/>
        <v>52.249999971262504</v>
      </c>
      <c r="BZ112" s="3">
        <f t="shared" ca="1" si="155"/>
        <v>0</v>
      </c>
      <c r="CA112" s="3">
        <f t="shared" si="156"/>
        <v>0</v>
      </c>
      <c r="CB112" s="1018">
        <f t="shared" ref="CB112:CB123" ca="1" si="160">SUM(BV112:CA112)+(BP112+BQ112+BR112+BS112+BT112)*BL112</f>
        <v>172.8953078891511</v>
      </c>
      <c r="CC112" s="1018">
        <f t="shared" ref="CC112:CC123" ca="1" si="161">0.34*BM112*(1/25)^0.66*(BQ112+BS112+BT112)</f>
        <v>58.940561149332957</v>
      </c>
      <c r="CD112" s="3">
        <f t="shared" ca="1" si="100"/>
        <v>6.9550760711545214</v>
      </c>
      <c r="CE112" s="3">
        <f t="shared" ca="1" si="101"/>
        <v>11579.923455429431</v>
      </c>
    </row>
    <row r="113" spans="1:83" s="3" customFormat="1" x14ac:dyDescent="0.25">
      <c r="C113" s="806"/>
      <c r="D113" s="821"/>
      <c r="E113" s="820"/>
      <c r="F113" s="821"/>
      <c r="G113" s="820"/>
      <c r="H113" s="821"/>
      <c r="I113" s="825"/>
      <c r="J113" s="825"/>
      <c r="K113" s="825"/>
      <c r="L113" s="825">
        <v>0.91</v>
      </c>
      <c r="M113" s="825" t="s">
        <v>61</v>
      </c>
      <c r="N113" s="825">
        <v>0.25423728813559321</v>
      </c>
      <c r="O113" s="822" t="s">
        <v>16</v>
      </c>
      <c r="P113" s="825">
        <v>0.63219999999999998</v>
      </c>
      <c r="Q113" s="821"/>
      <c r="R113" s="962">
        <v>1.9796950604692803E-3</v>
      </c>
      <c r="S113" s="882"/>
      <c r="T113" s="34">
        <f t="shared" si="157"/>
        <v>1.9796950604692803E-3</v>
      </c>
      <c r="U113" s="200">
        <f>T113-T113*Calculation_sheet!J$67/4</f>
        <v>1.9796950604692803E-3</v>
      </c>
      <c r="V113" s="200">
        <f>U113-U113*(Calculation_sheet!O$77+Calculation_sheet!J$77)/4</f>
        <v>1.9796950604692803E-3</v>
      </c>
      <c r="W113" s="176">
        <f>V113/Calculation_sheet!M$67</f>
        <v>1.9797355381630998E-3</v>
      </c>
      <c r="X113" s="958">
        <f ca="1">IF(AL113&gt;0,W113*Calculation_sheet!C$87,0)</f>
        <v>0</v>
      </c>
      <c r="Y113" s="176">
        <f t="shared" ca="1" si="158"/>
        <v>1.9797355381630998E-3</v>
      </c>
      <c r="Z113" s="176">
        <f>IF(AN113&gt;0,Y113*Calculation_sheet!C$94,0)</f>
        <v>0</v>
      </c>
      <c r="AA113" s="958">
        <f t="shared" ca="1" si="143"/>
        <v>1.9797355381630998E-3</v>
      </c>
      <c r="AB113" s="176">
        <f ca="1">AA113*Calculation_sheet!C$99</f>
        <v>1.18784132289786E-3</v>
      </c>
      <c r="AC113" s="958">
        <f t="shared" ca="1" si="143"/>
        <v>7.918942152652399E-4</v>
      </c>
      <c r="AD113" s="176">
        <f t="shared" si="159"/>
        <v>1.9797355381630998E-3</v>
      </c>
      <c r="AE113" s="176">
        <f>AD113*User_sheet!B$77/100</f>
        <v>0</v>
      </c>
      <c r="AF113" s="309"/>
      <c r="AG113" s="27">
        <v>402</v>
      </c>
      <c r="AH113" s="985"/>
      <c r="AI113" s="956">
        <f t="shared" ca="1" si="99"/>
        <v>172.8953078891511</v>
      </c>
      <c r="AJ113" s="956">
        <f ca="1">AI113/'402'!I$24</f>
        <v>0.85018493075968504</v>
      </c>
      <c r="AK113" s="956">
        <f ca="1">0.8*(AI113*30+'402'!D$17*0.34*30*1)</f>
        <v>6951.9577893396272</v>
      </c>
      <c r="AL113" s="954">
        <f ca="1">IF(AK113&lt;User_sheet!B$50,W113,0)</f>
        <v>1.9797355381630998E-3</v>
      </c>
      <c r="AM113" s="954">
        <f ca="1">20-(User_sheet!B$57/(AI113+'402'!D$17*1*0.34))</f>
        <v>0.32208995719538436</v>
      </c>
      <c r="AN113" s="954"/>
      <c r="AO113" s="985"/>
      <c r="AP113" s="2">
        <v>0</v>
      </c>
      <c r="AQ113" s="2">
        <v>2.1</v>
      </c>
      <c r="AR113" s="2">
        <v>0</v>
      </c>
      <c r="AS113" s="2">
        <v>2.75</v>
      </c>
      <c r="AT113" s="2">
        <v>0</v>
      </c>
      <c r="AU113" s="2">
        <v>0</v>
      </c>
      <c r="AV113" s="2">
        <v>74715.401027665983</v>
      </c>
      <c r="AW113" s="2">
        <v>0</v>
      </c>
      <c r="AX113" s="2">
        <v>0</v>
      </c>
      <c r="AY113" s="2">
        <v>0</v>
      </c>
      <c r="AZ113" s="50">
        <v>0.6</v>
      </c>
      <c r="BA113" s="34">
        <v>1</v>
      </c>
      <c r="BB113" s="34">
        <v>0</v>
      </c>
      <c r="BC113" s="40">
        <v>0</v>
      </c>
      <c r="BD113" s="34">
        <v>1</v>
      </c>
      <c r="BE113" s="34">
        <v>0</v>
      </c>
      <c r="BF113" s="40">
        <v>0</v>
      </c>
      <c r="BG113" s="34">
        <v>0</v>
      </c>
      <c r="BH113" s="40">
        <v>1</v>
      </c>
      <c r="BI113" s="34">
        <v>1</v>
      </c>
      <c r="BJ113" s="34">
        <v>0</v>
      </c>
      <c r="BK113" s="40">
        <v>0</v>
      </c>
      <c r="BL113" s="958">
        <v>0</v>
      </c>
      <c r="BM113" s="958">
        <v>14.9</v>
      </c>
      <c r="BN113" s="37">
        <f t="shared" ca="1" si="144"/>
        <v>106</v>
      </c>
      <c r="BO113" s="3">
        <f t="shared" ca="1" si="145"/>
        <v>343.44000000000005</v>
      </c>
      <c r="BP113" s="3">
        <f t="shared" ca="1" si="146"/>
        <v>0</v>
      </c>
      <c r="BQ113" s="3">
        <f t="shared" ca="1" si="147"/>
        <v>78.362000000000009</v>
      </c>
      <c r="BR113" s="3">
        <f t="shared" ca="1" si="148"/>
        <v>0</v>
      </c>
      <c r="BS113" s="3">
        <f t="shared" ca="1" si="149"/>
        <v>19</v>
      </c>
      <c r="BT113" s="3">
        <f t="shared" ca="1" si="150"/>
        <v>0</v>
      </c>
      <c r="BU113" s="3">
        <v>0</v>
      </c>
      <c r="BV113" s="3">
        <f t="shared" ca="1" si="151"/>
        <v>0</v>
      </c>
      <c r="BW113" s="3">
        <f t="shared" ca="1" si="152"/>
        <v>120.64530791788859</v>
      </c>
      <c r="BX113" s="3">
        <f t="shared" ca="1" si="153"/>
        <v>0</v>
      </c>
      <c r="BY113" s="3">
        <f t="shared" ca="1" si="154"/>
        <v>52.249999971262504</v>
      </c>
      <c r="BZ113" s="3">
        <f t="shared" ca="1" si="155"/>
        <v>0</v>
      </c>
      <c r="CA113" s="3">
        <f t="shared" si="156"/>
        <v>0</v>
      </c>
      <c r="CB113" s="1018">
        <f t="shared" ca="1" si="160"/>
        <v>172.8953078891511</v>
      </c>
      <c r="CC113" s="1018">
        <f t="shared" ca="1" si="161"/>
        <v>58.940561149332957</v>
      </c>
      <c r="CD113" s="3">
        <f t="shared" ca="1" si="100"/>
        <v>6.9550760711545214</v>
      </c>
      <c r="CE113" s="3">
        <f t="shared" ca="1" si="101"/>
        <v>11579.923455429431</v>
      </c>
    </row>
    <row r="114" spans="1:83" x14ac:dyDescent="0.25">
      <c r="C114" s="805"/>
      <c r="D114" s="821"/>
      <c r="E114" s="820"/>
      <c r="F114" s="821"/>
      <c r="G114" s="820"/>
      <c r="H114" s="821"/>
      <c r="I114" s="825" t="s">
        <v>16</v>
      </c>
      <c r="J114" s="825">
        <v>0.56999999999999995</v>
      </c>
      <c r="K114" s="825"/>
      <c r="L114" s="825"/>
      <c r="M114" s="825"/>
      <c r="N114" s="825"/>
      <c r="O114" s="822" t="s">
        <v>7</v>
      </c>
      <c r="P114" s="825">
        <v>0.36780000000000002</v>
      </c>
      <c r="Q114" s="821"/>
      <c r="R114" s="962">
        <v>1.5397628248094398E-3</v>
      </c>
      <c r="T114" s="34">
        <f t="shared" si="157"/>
        <v>1.5397628248094398E-3</v>
      </c>
      <c r="U114" s="200">
        <f>T114-T114*Calculation_sheet!J$67/4</f>
        <v>1.5397628248094398E-3</v>
      </c>
      <c r="V114" s="200">
        <f>U114-U114*(Calculation_sheet!O$77+Calculation_sheet!J$77)/4</f>
        <v>1.5397628248094398E-3</v>
      </c>
      <c r="W114" s="176">
        <f>V114/Calculation_sheet!M$67</f>
        <v>1.5397943074601883E-3</v>
      </c>
      <c r="X114" s="958">
        <f ca="1">IF(AL114&gt;0,W114*Calculation_sheet!C$87,0)</f>
        <v>0</v>
      </c>
      <c r="Y114" s="176">
        <f t="shared" ca="1" si="158"/>
        <v>1.5397943074601883E-3</v>
      </c>
      <c r="Z114" s="176">
        <f>IF(AN114&gt;0,Y114*Calculation_sheet!C$94,0)</f>
        <v>0</v>
      </c>
      <c r="AA114" s="958">
        <f t="shared" ca="1" si="143"/>
        <v>1.5397943074601883E-3</v>
      </c>
      <c r="AB114" s="176">
        <f ca="1">AA114*Calculation_sheet!C$99</f>
        <v>9.2387658447611292E-4</v>
      </c>
      <c r="AC114" s="958">
        <f t="shared" ca="1" si="143"/>
        <v>6.1591772298407539E-4</v>
      </c>
      <c r="AD114" s="176">
        <f t="shared" si="159"/>
        <v>1.5397943074601883E-3</v>
      </c>
      <c r="AE114" s="176">
        <f>AD114*User_sheet!B$77/100</f>
        <v>0</v>
      </c>
      <c r="AF114" s="309"/>
      <c r="AG114" s="27">
        <v>402</v>
      </c>
      <c r="AH114" s="985"/>
      <c r="AI114" s="956">
        <f t="shared" ca="1" si="99"/>
        <v>172.8953078891511</v>
      </c>
      <c r="AJ114" s="956">
        <f ca="1">AI114/'402'!I$24</f>
        <v>0.85018493075968504</v>
      </c>
      <c r="AK114" s="956">
        <f ca="1">0.8*(AI114*30+'402'!D$17*0.34*30*1)</f>
        <v>6951.9577893396272</v>
      </c>
      <c r="AL114" s="954">
        <f ca="1">IF(AK114&lt;User_sheet!B$50,W114,0)</f>
        <v>1.5397943074601883E-3</v>
      </c>
      <c r="AM114" s="954">
        <f ca="1">20-(User_sheet!B$57/(AI114+'402'!D$17*1*0.34))</f>
        <v>0.32208995719538436</v>
      </c>
      <c r="AN114" s="954"/>
      <c r="AO114" s="985"/>
      <c r="AP114" s="2">
        <v>0</v>
      </c>
      <c r="AQ114" s="2">
        <v>2.1</v>
      </c>
      <c r="AR114" s="2">
        <v>0</v>
      </c>
      <c r="AS114" s="2">
        <v>2.75</v>
      </c>
      <c r="AT114" s="2">
        <v>0</v>
      </c>
      <c r="AU114" s="2">
        <v>0</v>
      </c>
      <c r="AV114" s="2">
        <v>74715.401027665983</v>
      </c>
      <c r="AW114" s="2"/>
      <c r="AX114" s="2"/>
      <c r="AY114" s="2"/>
      <c r="AZ114" s="50">
        <v>0.6</v>
      </c>
      <c r="BA114" s="34">
        <v>1</v>
      </c>
      <c r="BB114" s="34">
        <v>0</v>
      </c>
      <c r="BC114" s="40">
        <v>0</v>
      </c>
      <c r="BD114" s="34">
        <v>1</v>
      </c>
      <c r="BE114" s="34">
        <v>0</v>
      </c>
      <c r="BF114" s="40">
        <v>0</v>
      </c>
      <c r="BG114" s="34">
        <v>0</v>
      </c>
      <c r="BH114" s="40">
        <v>1</v>
      </c>
      <c r="BI114" s="34">
        <v>0</v>
      </c>
      <c r="BJ114" s="34">
        <v>0</v>
      </c>
      <c r="BK114" s="40">
        <v>1</v>
      </c>
      <c r="BL114" s="958">
        <v>0</v>
      </c>
      <c r="BM114" s="958">
        <v>14.9</v>
      </c>
      <c r="BN114" s="32">
        <f t="shared" ca="1" si="144"/>
        <v>106</v>
      </c>
      <c r="BO114">
        <f t="shared" ca="1" si="145"/>
        <v>343.44000000000005</v>
      </c>
      <c r="BP114">
        <f t="shared" ca="1" si="146"/>
        <v>0</v>
      </c>
      <c r="BQ114">
        <f t="shared" ca="1" si="147"/>
        <v>78.362000000000009</v>
      </c>
      <c r="BR114">
        <f t="shared" ca="1" si="148"/>
        <v>0</v>
      </c>
      <c r="BS114">
        <f t="shared" ca="1" si="149"/>
        <v>19</v>
      </c>
      <c r="BT114">
        <f t="shared" ca="1" si="150"/>
        <v>0</v>
      </c>
      <c r="BU114">
        <v>0</v>
      </c>
      <c r="BV114">
        <f t="shared" ca="1" si="151"/>
        <v>0</v>
      </c>
      <c r="BW114">
        <f t="shared" ca="1" si="152"/>
        <v>120.64530791788859</v>
      </c>
      <c r="BX114">
        <f t="shared" ca="1" si="153"/>
        <v>0</v>
      </c>
      <c r="BY114">
        <f t="shared" ca="1" si="154"/>
        <v>52.249999971262504</v>
      </c>
      <c r="BZ114">
        <f t="shared" ca="1" si="155"/>
        <v>0</v>
      </c>
      <c r="CA114">
        <f t="shared" si="156"/>
        <v>0</v>
      </c>
      <c r="CB114" s="1018">
        <f t="shared" ca="1" si="160"/>
        <v>172.8953078891511</v>
      </c>
      <c r="CC114" s="1018">
        <f t="shared" ca="1" si="161"/>
        <v>58.940561149332957</v>
      </c>
      <c r="CD114">
        <f t="shared" ca="1" si="100"/>
        <v>6.9550760711545214</v>
      </c>
      <c r="CE114">
        <f t="shared" ca="1" si="101"/>
        <v>11579.923455429431</v>
      </c>
    </row>
    <row r="115" spans="1:83" x14ac:dyDescent="0.25">
      <c r="C115" s="805"/>
      <c r="D115" s="821"/>
      <c r="E115" s="820"/>
      <c r="F115" s="821"/>
      <c r="G115" s="820"/>
      <c r="H115" s="821"/>
      <c r="I115" s="825"/>
      <c r="J115" s="825"/>
      <c r="K115" s="825"/>
      <c r="L115" s="825">
        <v>8.9999999999999969E-2</v>
      </c>
      <c r="M115" s="825"/>
      <c r="N115" s="825"/>
      <c r="O115" s="829" t="s">
        <v>16</v>
      </c>
      <c r="P115" s="825">
        <v>0.63219999999999998</v>
      </c>
      <c r="Q115" s="821"/>
      <c r="R115" s="962">
        <v>2.7247415886028801E-3</v>
      </c>
      <c r="T115" s="34">
        <f t="shared" si="157"/>
        <v>2.7247415886028801E-3</v>
      </c>
      <c r="U115" s="200">
        <f>T115-T115*Calculation_sheet!J$67/4</f>
        <v>2.7247415886028801E-3</v>
      </c>
      <c r="V115" s="200">
        <f>U115-U115*(Calculation_sheet!O$77+Calculation_sheet!J$77)/4</f>
        <v>2.7247415886028801E-3</v>
      </c>
      <c r="W115" s="176">
        <f>V115/Calculation_sheet!M$67</f>
        <v>2.7247972998373847E-3</v>
      </c>
      <c r="X115" s="958">
        <f ca="1">IF(AL115&gt;0,W115*Calculation_sheet!C$87,0)</f>
        <v>0</v>
      </c>
      <c r="Y115" s="176">
        <f t="shared" ca="1" si="158"/>
        <v>2.7247972998373847E-3</v>
      </c>
      <c r="Z115" s="176">
        <f>IF(AN115&gt;0,Y115*Calculation_sheet!C$94,0)</f>
        <v>0</v>
      </c>
      <c r="AA115" s="958">
        <f t="shared" ca="1" si="143"/>
        <v>2.7247972998373847E-3</v>
      </c>
      <c r="AB115" s="176">
        <f ca="1">AA115*Calculation_sheet!C$99</f>
        <v>1.6348783799024307E-3</v>
      </c>
      <c r="AC115" s="958">
        <f t="shared" ca="1" si="143"/>
        <v>1.089918919934954E-3</v>
      </c>
      <c r="AD115" s="176">
        <f t="shared" si="159"/>
        <v>2.7247972998373847E-3</v>
      </c>
      <c r="AE115" s="176">
        <f>AD115*User_sheet!B$77/100</f>
        <v>0</v>
      </c>
      <c r="AF115" s="309"/>
      <c r="AG115" s="27">
        <v>402</v>
      </c>
      <c r="AH115" s="985"/>
      <c r="AI115" s="956">
        <f t="shared" ca="1" si="99"/>
        <v>172.8953078891511</v>
      </c>
      <c r="AJ115" s="956">
        <f ca="1">AI115/'402'!I$24</f>
        <v>0.85018493075968504</v>
      </c>
      <c r="AK115" s="956">
        <f ca="1">0.8*(AI115*30+'402'!D$17*0.34*30*1)</f>
        <v>6951.9577893396272</v>
      </c>
      <c r="AL115" s="954">
        <f ca="1">IF(AK115&lt;User_sheet!B$50,W115,0)</f>
        <v>2.7247972998373847E-3</v>
      </c>
      <c r="AM115" s="954">
        <f ca="1">20-(User_sheet!B$57/(AI115+'402'!D$17*1*0.34))</f>
        <v>0.32208995719538436</v>
      </c>
      <c r="AN115" s="954"/>
      <c r="AO115" s="985"/>
      <c r="AP115" s="2">
        <v>0</v>
      </c>
      <c r="AQ115" s="2">
        <v>2.1</v>
      </c>
      <c r="AR115" s="2">
        <v>0</v>
      </c>
      <c r="AS115" s="2">
        <v>2.75</v>
      </c>
      <c r="AT115" s="2">
        <v>0</v>
      </c>
      <c r="AU115" s="2">
        <v>0</v>
      </c>
      <c r="AV115" s="2">
        <v>74715.401027665983</v>
      </c>
      <c r="AW115" s="2">
        <v>0</v>
      </c>
      <c r="AX115" s="2">
        <v>0</v>
      </c>
      <c r="AY115" s="2">
        <v>0</v>
      </c>
      <c r="AZ115" s="50">
        <v>0.6</v>
      </c>
      <c r="BA115" s="34">
        <v>1</v>
      </c>
      <c r="BB115" s="34">
        <v>0</v>
      </c>
      <c r="BC115" s="40">
        <v>0</v>
      </c>
      <c r="BD115" s="34">
        <v>0</v>
      </c>
      <c r="BE115" s="34">
        <v>1</v>
      </c>
      <c r="BF115" s="40">
        <v>0</v>
      </c>
      <c r="BG115" s="34">
        <v>1</v>
      </c>
      <c r="BH115" s="40">
        <v>0</v>
      </c>
      <c r="BI115" s="34">
        <v>1</v>
      </c>
      <c r="BJ115" s="34">
        <v>0</v>
      </c>
      <c r="BK115" s="40">
        <v>0</v>
      </c>
      <c r="BL115" s="958">
        <v>0</v>
      </c>
      <c r="BM115" s="958">
        <v>14.9</v>
      </c>
      <c r="BN115" s="32">
        <f t="shared" ca="1" si="144"/>
        <v>106</v>
      </c>
      <c r="BO115">
        <f t="shared" ca="1" si="145"/>
        <v>343.44000000000005</v>
      </c>
      <c r="BP115">
        <f t="shared" ca="1" si="146"/>
        <v>0</v>
      </c>
      <c r="BQ115">
        <f t="shared" ca="1" si="147"/>
        <v>78.362000000000009</v>
      </c>
      <c r="BR115">
        <f t="shared" ca="1" si="148"/>
        <v>0</v>
      </c>
      <c r="BS115">
        <f t="shared" ca="1" si="149"/>
        <v>19</v>
      </c>
      <c r="BT115">
        <f t="shared" ca="1" si="150"/>
        <v>0</v>
      </c>
      <c r="BU115">
        <v>0</v>
      </c>
      <c r="BV115">
        <f t="shared" ca="1" si="151"/>
        <v>0</v>
      </c>
      <c r="BW115">
        <f t="shared" ca="1" si="152"/>
        <v>120.64530791788859</v>
      </c>
      <c r="BX115">
        <f t="shared" ca="1" si="153"/>
        <v>0</v>
      </c>
      <c r="BY115">
        <f t="shared" ca="1" si="154"/>
        <v>52.249999971262504</v>
      </c>
      <c r="BZ115">
        <f t="shared" ca="1" si="155"/>
        <v>0</v>
      </c>
      <c r="CA115">
        <f t="shared" si="156"/>
        <v>0</v>
      </c>
      <c r="CB115" s="1018">
        <f t="shared" ca="1" si="160"/>
        <v>172.8953078891511</v>
      </c>
      <c r="CC115" s="1018">
        <f t="shared" ca="1" si="161"/>
        <v>58.940561149332957</v>
      </c>
      <c r="CD115">
        <f t="shared" ca="1" si="100"/>
        <v>6.9550760711545214</v>
      </c>
      <c r="CE115">
        <f t="shared" ca="1" si="101"/>
        <v>11579.923455429431</v>
      </c>
    </row>
    <row r="116" spans="1:83" x14ac:dyDescent="0.25">
      <c r="C116" s="805"/>
      <c r="D116" s="821"/>
      <c r="E116" s="820"/>
      <c r="F116" s="821"/>
      <c r="G116" s="820"/>
      <c r="H116" s="821"/>
      <c r="I116" s="825"/>
      <c r="J116" s="825"/>
      <c r="K116" s="825"/>
      <c r="L116" s="825"/>
      <c r="M116" s="825"/>
      <c r="N116" s="825"/>
      <c r="O116" s="829" t="s">
        <v>7</v>
      </c>
      <c r="P116" s="825">
        <v>0.36780000000000002</v>
      </c>
      <c r="Q116" s="821"/>
      <c r="R116" s="962">
        <v>2.1192434578022404E-3</v>
      </c>
      <c r="T116" s="34">
        <f t="shared" si="157"/>
        <v>2.1192434578022404E-3</v>
      </c>
      <c r="U116" s="200">
        <f>T116-T116*Calculation_sheet!J$67/4</f>
        <v>2.1192434578022404E-3</v>
      </c>
      <c r="V116" s="200">
        <f>U116-U116*(Calculation_sheet!O$77+Calculation_sheet!J$77)/4</f>
        <v>2.1192434578022404E-3</v>
      </c>
      <c r="W116" s="176">
        <f>V116/Calculation_sheet!M$67</f>
        <v>2.1192867887624106E-3</v>
      </c>
      <c r="X116" s="958">
        <f ca="1">IF(AL116&gt;0,W116*Calculation_sheet!C$87,0)</f>
        <v>0</v>
      </c>
      <c r="Y116" s="176">
        <f t="shared" ca="1" si="158"/>
        <v>2.1192867887624106E-3</v>
      </c>
      <c r="Z116" s="176">
        <f>IF(AN116&gt;0,Y116*Calculation_sheet!C$94,0)</f>
        <v>0</v>
      </c>
      <c r="AA116" s="958">
        <f t="shared" ca="1" si="143"/>
        <v>2.1192867887624106E-3</v>
      </c>
      <c r="AB116" s="176">
        <f ca="1">AA116*Calculation_sheet!C$99</f>
        <v>1.2715720732574462E-3</v>
      </c>
      <c r="AC116" s="958">
        <f t="shared" ca="1" si="143"/>
        <v>8.4771471550496437E-4</v>
      </c>
      <c r="AD116" s="176">
        <f t="shared" si="159"/>
        <v>2.1192867887624106E-3</v>
      </c>
      <c r="AE116" s="176">
        <f>AD116*User_sheet!B$77/100</f>
        <v>0</v>
      </c>
      <c r="AF116" s="309"/>
      <c r="AG116" s="27">
        <v>402</v>
      </c>
      <c r="AH116" s="985"/>
      <c r="AI116" s="956">
        <f t="shared" ca="1" si="99"/>
        <v>172.8953078891511</v>
      </c>
      <c r="AJ116" s="956">
        <f ca="1">AI116/'402'!I$24</f>
        <v>0.85018493075968504</v>
      </c>
      <c r="AK116" s="956">
        <f ca="1">0.8*(AI116*30+'402'!D$17*0.34*30*1)</f>
        <v>6951.9577893396272</v>
      </c>
      <c r="AL116" s="954">
        <f ca="1">IF(AK116&lt;User_sheet!B$50,W116,0)</f>
        <v>2.1192867887624106E-3</v>
      </c>
      <c r="AM116" s="954">
        <f ca="1">20-(User_sheet!B$57/(AI116+'402'!D$17*1*0.34))</f>
        <v>0.32208995719538436</v>
      </c>
      <c r="AN116" s="954"/>
      <c r="AO116" s="985"/>
      <c r="AP116" s="2">
        <v>0</v>
      </c>
      <c r="AQ116" s="2">
        <v>2.1</v>
      </c>
      <c r="AR116" s="2">
        <v>0</v>
      </c>
      <c r="AS116" s="2">
        <v>2.75</v>
      </c>
      <c r="AT116" s="2">
        <v>0</v>
      </c>
      <c r="AU116" s="2">
        <v>0</v>
      </c>
      <c r="AV116" s="2">
        <v>74715.401027665983</v>
      </c>
      <c r="AW116" s="2">
        <v>0</v>
      </c>
      <c r="AX116" s="2">
        <v>0</v>
      </c>
      <c r="AY116" s="2">
        <v>0</v>
      </c>
      <c r="AZ116" s="50">
        <v>0.6</v>
      </c>
      <c r="BA116" s="34">
        <v>1</v>
      </c>
      <c r="BB116" s="34">
        <v>0</v>
      </c>
      <c r="BC116" s="40">
        <v>0</v>
      </c>
      <c r="BD116" s="34">
        <v>0</v>
      </c>
      <c r="BE116" s="34">
        <v>1</v>
      </c>
      <c r="BF116" s="40">
        <v>0</v>
      </c>
      <c r="BG116" s="34">
        <v>1</v>
      </c>
      <c r="BH116" s="40">
        <v>0</v>
      </c>
      <c r="BI116" s="34">
        <v>0</v>
      </c>
      <c r="BJ116" s="34">
        <v>0</v>
      </c>
      <c r="BK116" s="40">
        <v>1</v>
      </c>
      <c r="BL116" s="958">
        <v>0</v>
      </c>
      <c r="BM116" s="958">
        <v>14.9</v>
      </c>
      <c r="BN116" s="32">
        <f t="shared" ca="1" si="144"/>
        <v>106</v>
      </c>
      <c r="BO116">
        <f t="shared" ca="1" si="145"/>
        <v>343.44000000000005</v>
      </c>
      <c r="BP116">
        <f t="shared" ca="1" si="146"/>
        <v>0</v>
      </c>
      <c r="BQ116">
        <f t="shared" ca="1" si="147"/>
        <v>78.362000000000009</v>
      </c>
      <c r="BR116">
        <f t="shared" ca="1" si="148"/>
        <v>0</v>
      </c>
      <c r="BS116">
        <f t="shared" ca="1" si="149"/>
        <v>19</v>
      </c>
      <c r="BT116">
        <f t="shared" ca="1" si="150"/>
        <v>0</v>
      </c>
      <c r="BU116">
        <v>0</v>
      </c>
      <c r="BV116">
        <f t="shared" ca="1" si="151"/>
        <v>0</v>
      </c>
      <c r="BW116">
        <f t="shared" ca="1" si="152"/>
        <v>120.64530791788859</v>
      </c>
      <c r="BX116">
        <f t="shared" ca="1" si="153"/>
        <v>0</v>
      </c>
      <c r="BY116">
        <f t="shared" ca="1" si="154"/>
        <v>52.249999971262504</v>
      </c>
      <c r="BZ116">
        <f t="shared" ca="1" si="155"/>
        <v>0</v>
      </c>
      <c r="CA116">
        <f t="shared" si="156"/>
        <v>0</v>
      </c>
      <c r="CB116" s="1018">
        <f t="shared" ca="1" si="160"/>
        <v>172.8953078891511</v>
      </c>
      <c r="CC116" s="1018">
        <f t="shared" ca="1" si="161"/>
        <v>58.940561149332957</v>
      </c>
      <c r="CD116">
        <f t="shared" ca="1" si="100"/>
        <v>6.9550760711545214</v>
      </c>
      <c r="CE116">
        <f t="shared" ca="1" si="101"/>
        <v>11579.923455429431</v>
      </c>
    </row>
    <row r="117" spans="1:83" x14ac:dyDescent="0.25">
      <c r="C117" s="805"/>
      <c r="D117" s="821"/>
      <c r="E117" s="820"/>
      <c r="F117" s="821"/>
      <c r="G117" s="820"/>
      <c r="H117" s="821"/>
      <c r="I117" s="825"/>
      <c r="J117" s="825"/>
      <c r="K117" s="825"/>
      <c r="L117" s="825"/>
      <c r="M117" s="825" t="s">
        <v>60</v>
      </c>
      <c r="N117" s="825">
        <v>0.32142857142857145</v>
      </c>
      <c r="O117" s="822" t="s">
        <v>57</v>
      </c>
      <c r="P117" s="825">
        <v>0.96530000000000005</v>
      </c>
      <c r="Q117" s="821"/>
      <c r="R117" s="962">
        <v>2.578431361851017E-3</v>
      </c>
      <c r="T117" s="34">
        <f t="shared" si="157"/>
        <v>2.578431361851017E-3</v>
      </c>
      <c r="U117" s="200">
        <f>T117-T117*Calculation_sheet!J$67/4</f>
        <v>2.578431361851017E-3</v>
      </c>
      <c r="V117" s="200">
        <f>U117-U117*(Calculation_sheet!O$77+Calculation_sheet!J$77)/4</f>
        <v>2.578431361851017E-3</v>
      </c>
      <c r="W117" s="176">
        <f>V117/Calculation_sheet!M$67</f>
        <v>2.5784840815639082E-3</v>
      </c>
      <c r="X117" s="958">
        <f ca="1">IF(AL117&gt;0,W117*Calculation_sheet!C$87,0)</f>
        <v>0</v>
      </c>
      <c r="Y117" s="176">
        <f t="shared" ca="1" si="158"/>
        <v>2.5784840815639082E-3</v>
      </c>
      <c r="Z117" s="176">
        <f>IF(AN117&gt;0,Y117*Calculation_sheet!C$94,0)</f>
        <v>0</v>
      </c>
      <c r="AA117" s="958">
        <f t="shared" ca="1" si="143"/>
        <v>2.5784840815639082E-3</v>
      </c>
      <c r="AB117" s="176">
        <f ca="1">AA117*Calculation_sheet!C$99</f>
        <v>1.5470904489383449E-3</v>
      </c>
      <c r="AC117" s="958">
        <f t="shared" ca="1" si="143"/>
        <v>1.0313936326255633E-3</v>
      </c>
      <c r="AD117" s="176">
        <f t="shared" si="159"/>
        <v>2.5784840815639082E-3</v>
      </c>
      <c r="AE117" s="176">
        <f>AD117*User_sheet!B$77/100</f>
        <v>0</v>
      </c>
      <c r="AF117" s="309"/>
      <c r="AG117" s="27">
        <v>402</v>
      </c>
      <c r="AH117" s="985"/>
      <c r="AI117" s="956">
        <f t="shared" ca="1" si="99"/>
        <v>172.8953078891511</v>
      </c>
      <c r="AJ117" s="956">
        <f ca="1">AI117/'402'!I$24</f>
        <v>0.85018493075968504</v>
      </c>
      <c r="AK117" s="956">
        <f ca="1">0.8*(AI117*30+'402'!D$17*0.34*30*1)</f>
        <v>6951.9577893396272</v>
      </c>
      <c r="AL117" s="954">
        <f ca="1">IF(AK117&lt;User_sheet!B$50,W117,0)</f>
        <v>2.5784840815639082E-3</v>
      </c>
      <c r="AM117" s="954">
        <f ca="1">20-(User_sheet!B$57/(AI117+'402'!D$17*1*0.34))</f>
        <v>0.32208995719538436</v>
      </c>
      <c r="AN117" s="954"/>
      <c r="AO117" s="985"/>
      <c r="AP117" s="2">
        <v>0</v>
      </c>
      <c r="AQ117" s="2">
        <v>2.1</v>
      </c>
      <c r="AR117" s="2">
        <v>0</v>
      </c>
      <c r="AS117" s="2">
        <v>2.75</v>
      </c>
      <c r="AT117" s="2">
        <v>0</v>
      </c>
      <c r="AU117" s="2">
        <v>0</v>
      </c>
      <c r="AV117" s="2">
        <v>74715.401027665983</v>
      </c>
      <c r="AW117" s="2">
        <v>0</v>
      </c>
      <c r="AX117" s="2">
        <v>0</v>
      </c>
      <c r="AY117" s="2">
        <v>0</v>
      </c>
      <c r="AZ117" s="50">
        <v>0.6</v>
      </c>
      <c r="BA117" s="34">
        <v>0</v>
      </c>
      <c r="BB117" s="34">
        <v>1</v>
      </c>
      <c r="BC117" s="40">
        <v>0</v>
      </c>
      <c r="BD117" s="34">
        <v>1</v>
      </c>
      <c r="BE117" s="34">
        <v>0</v>
      </c>
      <c r="BF117" s="40">
        <v>0</v>
      </c>
      <c r="BG117" s="34">
        <v>1</v>
      </c>
      <c r="BH117" s="40">
        <v>0</v>
      </c>
      <c r="BI117" s="34">
        <v>0</v>
      </c>
      <c r="BJ117" s="34">
        <v>1</v>
      </c>
      <c r="BK117" s="40">
        <v>0</v>
      </c>
      <c r="BL117" s="958">
        <v>0</v>
      </c>
      <c r="BM117" s="958">
        <v>14.9</v>
      </c>
      <c r="BN117" s="32">
        <f t="shared" ca="1" si="144"/>
        <v>106</v>
      </c>
      <c r="BO117">
        <f t="shared" ca="1" si="145"/>
        <v>343.44000000000005</v>
      </c>
      <c r="BP117">
        <f t="shared" ca="1" si="146"/>
        <v>0</v>
      </c>
      <c r="BQ117">
        <f t="shared" ca="1" si="147"/>
        <v>78.362000000000009</v>
      </c>
      <c r="BR117">
        <f t="shared" ca="1" si="148"/>
        <v>0</v>
      </c>
      <c r="BS117">
        <f t="shared" ca="1" si="149"/>
        <v>19</v>
      </c>
      <c r="BT117">
        <f t="shared" ca="1" si="150"/>
        <v>0</v>
      </c>
      <c r="BU117">
        <v>0</v>
      </c>
      <c r="BV117">
        <f t="shared" ca="1" si="151"/>
        <v>0</v>
      </c>
      <c r="BW117">
        <f t="shared" ca="1" si="152"/>
        <v>120.64530791788859</v>
      </c>
      <c r="BX117">
        <f t="shared" ca="1" si="153"/>
        <v>0</v>
      </c>
      <c r="BY117">
        <f t="shared" ca="1" si="154"/>
        <v>52.249999971262504</v>
      </c>
      <c r="BZ117">
        <f t="shared" ca="1" si="155"/>
        <v>0</v>
      </c>
      <c r="CA117">
        <f t="shared" si="156"/>
        <v>0</v>
      </c>
      <c r="CB117" s="1018">
        <f t="shared" ca="1" si="160"/>
        <v>172.8953078891511</v>
      </c>
      <c r="CC117" s="1018">
        <f t="shared" ca="1" si="161"/>
        <v>58.940561149332957</v>
      </c>
      <c r="CD117">
        <f t="shared" ca="1" si="100"/>
        <v>6.9550760711545214</v>
      </c>
      <c r="CE117">
        <f t="shared" ca="1" si="101"/>
        <v>11579.923455429431</v>
      </c>
    </row>
    <row r="118" spans="1:83" x14ac:dyDescent="0.25">
      <c r="C118" s="805"/>
      <c r="D118" s="821"/>
      <c r="E118" s="820"/>
      <c r="F118" s="821"/>
      <c r="G118" s="820"/>
      <c r="H118" s="821"/>
      <c r="I118" s="825"/>
      <c r="J118" s="825"/>
      <c r="K118" s="825"/>
      <c r="L118" s="825"/>
      <c r="M118" s="825"/>
      <c r="N118" s="825"/>
      <c r="O118" s="822" t="s">
        <v>7</v>
      </c>
      <c r="P118" s="825">
        <v>3.4700000000000002E-2</v>
      </c>
      <c r="Q118" s="821"/>
      <c r="R118" s="962">
        <v>9.5457844672903973E-5</v>
      </c>
      <c r="T118" s="34">
        <f t="shared" si="157"/>
        <v>9.5457844672903973E-5</v>
      </c>
      <c r="U118" s="200">
        <f>T118-T118*Calculation_sheet!J$67/4</f>
        <v>9.5457844672903973E-5</v>
      </c>
      <c r="V118" s="200">
        <f>U118-U118*(Calculation_sheet!O$77+Calculation_sheet!J$77)/4</f>
        <v>9.5457844672903973E-5</v>
      </c>
      <c r="W118" s="176">
        <f>V118/Calculation_sheet!M$67</f>
        <v>9.5459796444914978E-5</v>
      </c>
      <c r="X118" s="958">
        <f ca="1">IF(AL118&gt;0,W118*Calculation_sheet!C$87,0)</f>
        <v>0</v>
      </c>
      <c r="Y118" s="176">
        <f t="shared" ca="1" si="158"/>
        <v>9.5459796444914978E-5</v>
      </c>
      <c r="Z118" s="176">
        <f>IF(AN118&gt;0,Y118*Calculation_sheet!C$94,0)</f>
        <v>0</v>
      </c>
      <c r="AA118" s="958">
        <f t="shared" ca="1" si="143"/>
        <v>9.5459796444914978E-5</v>
      </c>
      <c r="AB118" s="176">
        <f ca="1">AA118*Calculation_sheet!C$99</f>
        <v>5.7275877866948984E-5</v>
      </c>
      <c r="AC118" s="958">
        <f t="shared" ca="1" si="143"/>
        <v>3.8183918577965994E-5</v>
      </c>
      <c r="AD118" s="176">
        <f t="shared" si="159"/>
        <v>9.5459796444914978E-5</v>
      </c>
      <c r="AE118" s="176">
        <f>AD118*User_sheet!B$77/100</f>
        <v>0</v>
      </c>
      <c r="AF118" s="309"/>
      <c r="AG118" s="27">
        <v>402</v>
      </c>
      <c r="AH118" s="985"/>
      <c r="AI118" s="956">
        <f t="shared" ca="1" si="99"/>
        <v>172.8953078891511</v>
      </c>
      <c r="AJ118" s="956">
        <f ca="1">AI118/'402'!I$24</f>
        <v>0.85018493075968504</v>
      </c>
      <c r="AK118" s="956">
        <f ca="1">0.8*(AI118*30+'402'!D$17*0.34*30*1)</f>
        <v>6951.9577893396272</v>
      </c>
      <c r="AL118" s="954">
        <f ca="1">IF(AK118&lt;User_sheet!B$50,W118,0)</f>
        <v>9.5459796444914978E-5</v>
      </c>
      <c r="AM118" s="954">
        <f ca="1">20-(User_sheet!B$57/(AI118+'402'!D$17*1*0.34))</f>
        <v>0.32208995719538436</v>
      </c>
      <c r="AN118" s="954"/>
      <c r="AO118" s="985"/>
      <c r="AP118" s="2">
        <v>0</v>
      </c>
      <c r="AQ118" s="2">
        <v>2.1</v>
      </c>
      <c r="AR118" s="2">
        <v>0</v>
      </c>
      <c r="AS118" s="2">
        <v>2.75</v>
      </c>
      <c r="AT118" s="2">
        <v>0</v>
      </c>
      <c r="AU118" s="2">
        <v>0</v>
      </c>
      <c r="AV118" s="2">
        <v>74715.401027665983</v>
      </c>
      <c r="AW118" s="2">
        <v>0</v>
      </c>
      <c r="AX118" s="2">
        <v>0</v>
      </c>
      <c r="AY118" s="2">
        <v>0</v>
      </c>
      <c r="AZ118" s="50">
        <v>0.6</v>
      </c>
      <c r="BA118" s="34">
        <v>0</v>
      </c>
      <c r="BB118" s="34">
        <v>1</v>
      </c>
      <c r="BC118" s="40">
        <v>0</v>
      </c>
      <c r="BD118" s="34">
        <v>1</v>
      </c>
      <c r="BE118" s="34">
        <v>0</v>
      </c>
      <c r="BF118" s="40">
        <v>0</v>
      </c>
      <c r="BG118" s="34">
        <v>1</v>
      </c>
      <c r="BH118" s="40">
        <v>0</v>
      </c>
      <c r="BI118" s="34">
        <v>0</v>
      </c>
      <c r="BJ118" s="34">
        <v>0</v>
      </c>
      <c r="BK118" s="40">
        <v>1</v>
      </c>
      <c r="BL118" s="958">
        <v>0</v>
      </c>
      <c r="BM118" s="958">
        <v>14.9</v>
      </c>
      <c r="BN118" s="32">
        <f t="shared" ca="1" si="144"/>
        <v>106</v>
      </c>
      <c r="BO118">
        <f t="shared" ca="1" si="145"/>
        <v>343.44000000000005</v>
      </c>
      <c r="BP118">
        <f t="shared" ca="1" si="146"/>
        <v>0</v>
      </c>
      <c r="BQ118">
        <f t="shared" ca="1" si="147"/>
        <v>78.362000000000009</v>
      </c>
      <c r="BR118">
        <f t="shared" ca="1" si="148"/>
        <v>0</v>
      </c>
      <c r="BS118">
        <f t="shared" ca="1" si="149"/>
        <v>19</v>
      </c>
      <c r="BT118">
        <f t="shared" ca="1" si="150"/>
        <v>0</v>
      </c>
      <c r="BU118">
        <v>0</v>
      </c>
      <c r="BV118">
        <f t="shared" ca="1" si="151"/>
        <v>0</v>
      </c>
      <c r="BW118">
        <f t="shared" ca="1" si="152"/>
        <v>120.64530791788859</v>
      </c>
      <c r="BX118">
        <f t="shared" ca="1" si="153"/>
        <v>0</v>
      </c>
      <c r="BY118">
        <f t="shared" ca="1" si="154"/>
        <v>52.249999971262504</v>
      </c>
      <c r="BZ118">
        <f t="shared" ca="1" si="155"/>
        <v>0</v>
      </c>
      <c r="CA118">
        <f t="shared" si="156"/>
        <v>0</v>
      </c>
      <c r="CB118" s="1018">
        <f t="shared" ca="1" si="160"/>
        <v>172.8953078891511</v>
      </c>
      <c r="CC118" s="1018">
        <f t="shared" ca="1" si="161"/>
        <v>58.940561149332957</v>
      </c>
      <c r="CD118">
        <f t="shared" ca="1" si="100"/>
        <v>6.9550760711545214</v>
      </c>
      <c r="CE118">
        <f t="shared" ca="1" si="101"/>
        <v>11579.923455429431</v>
      </c>
    </row>
    <row r="119" spans="1:83" x14ac:dyDescent="0.25">
      <c r="C119" s="805"/>
      <c r="D119" s="821"/>
      <c r="E119" s="820"/>
      <c r="F119" s="821"/>
      <c r="G119" s="820"/>
      <c r="H119" s="821"/>
      <c r="I119" s="825"/>
      <c r="J119" s="825"/>
      <c r="K119" s="825"/>
      <c r="L119" s="825">
        <v>0.96551724137931039</v>
      </c>
      <c r="M119" s="825" t="s">
        <v>61</v>
      </c>
      <c r="N119" s="825">
        <v>0.6785714285714286</v>
      </c>
      <c r="O119" s="822" t="s">
        <v>57</v>
      </c>
      <c r="P119" s="825">
        <v>0.96530000000000005</v>
      </c>
      <c r="Q119" s="821"/>
      <c r="R119" s="962">
        <v>5.0051902906519726E-3</v>
      </c>
      <c r="T119" s="34">
        <f t="shared" si="157"/>
        <v>5.0051902906519726E-3</v>
      </c>
      <c r="U119" s="200">
        <f>T119-T119*Calculation_sheet!J$67/4</f>
        <v>5.0051902906519726E-3</v>
      </c>
      <c r="V119" s="200">
        <f>U119-U119*(Calculation_sheet!O$77+Calculation_sheet!J$77)/4</f>
        <v>5.0051902906519726E-3</v>
      </c>
      <c r="W119" s="176">
        <f>V119/Calculation_sheet!M$67</f>
        <v>5.0052926289181733E-3</v>
      </c>
      <c r="X119" s="958">
        <f ca="1">IF(AL119&gt;0,W119*Calculation_sheet!C$87,0)</f>
        <v>0</v>
      </c>
      <c r="Y119" s="176">
        <f t="shared" ca="1" si="158"/>
        <v>5.0052926289181733E-3</v>
      </c>
      <c r="Z119" s="176">
        <f>IF(AN119&gt;0,Y119*Calculation_sheet!C$94,0)</f>
        <v>0</v>
      </c>
      <c r="AA119" s="958">
        <f t="shared" ca="1" si="143"/>
        <v>5.0052926289181733E-3</v>
      </c>
      <c r="AB119" s="176">
        <f ca="1">AA119*Calculation_sheet!C$99</f>
        <v>3.0031755773509039E-3</v>
      </c>
      <c r="AC119" s="958">
        <f t="shared" ca="1" si="143"/>
        <v>2.0021170515672694E-3</v>
      </c>
      <c r="AD119" s="176">
        <f t="shared" si="159"/>
        <v>5.0052926289181733E-3</v>
      </c>
      <c r="AE119" s="176">
        <f>AD119*User_sheet!B$77/100</f>
        <v>0</v>
      </c>
      <c r="AF119" s="309"/>
      <c r="AG119" s="27">
        <v>402</v>
      </c>
      <c r="AH119" s="985"/>
      <c r="AI119" s="956">
        <f t="shared" ca="1" si="99"/>
        <v>172.8953078891511</v>
      </c>
      <c r="AJ119" s="956">
        <f ca="1">AI119/'402'!I$24</f>
        <v>0.85018493075968504</v>
      </c>
      <c r="AK119" s="956">
        <f ca="1">0.8*(AI119*30+'402'!D$17*0.34*30*1)</f>
        <v>6951.9577893396272</v>
      </c>
      <c r="AL119" s="954">
        <f ca="1">IF(AK119&lt;User_sheet!B$50,W119,0)</f>
        <v>5.0052926289181733E-3</v>
      </c>
      <c r="AM119" s="954">
        <f ca="1">20-(User_sheet!B$57/(AI119+'402'!D$17*1*0.34))</f>
        <v>0.32208995719538436</v>
      </c>
      <c r="AN119" s="954"/>
      <c r="AO119" s="985"/>
      <c r="AP119" s="2">
        <v>0</v>
      </c>
      <c r="AQ119" s="2">
        <v>2.1</v>
      </c>
      <c r="AR119" s="2">
        <v>0</v>
      </c>
      <c r="AS119" s="2">
        <v>2.75</v>
      </c>
      <c r="AT119" s="2">
        <v>0</v>
      </c>
      <c r="AU119" s="2">
        <v>0</v>
      </c>
      <c r="AV119" s="2">
        <v>74715.401027665983</v>
      </c>
      <c r="AW119" s="2">
        <v>0</v>
      </c>
      <c r="AX119" s="2">
        <v>0</v>
      </c>
      <c r="AY119" s="2">
        <v>0</v>
      </c>
      <c r="AZ119" s="50">
        <v>0.6</v>
      </c>
      <c r="BA119" s="34">
        <v>0</v>
      </c>
      <c r="BB119" s="34">
        <v>1</v>
      </c>
      <c r="BC119" s="40">
        <v>0</v>
      </c>
      <c r="BD119" s="34">
        <v>1</v>
      </c>
      <c r="BE119" s="34">
        <v>0</v>
      </c>
      <c r="BF119" s="40">
        <v>0</v>
      </c>
      <c r="BG119" s="34">
        <v>0</v>
      </c>
      <c r="BH119" s="40">
        <v>1</v>
      </c>
      <c r="BI119" s="34">
        <v>0</v>
      </c>
      <c r="BJ119" s="34">
        <v>1</v>
      </c>
      <c r="BK119" s="40">
        <v>0</v>
      </c>
      <c r="BL119" s="958">
        <v>0</v>
      </c>
      <c r="BM119" s="958">
        <v>14.9</v>
      </c>
      <c r="BN119" s="32">
        <f t="shared" ca="1" si="144"/>
        <v>106</v>
      </c>
      <c r="BO119">
        <f t="shared" ca="1" si="145"/>
        <v>343.44000000000005</v>
      </c>
      <c r="BP119">
        <f t="shared" ca="1" si="146"/>
        <v>0</v>
      </c>
      <c r="BQ119">
        <f t="shared" ca="1" si="147"/>
        <v>78.362000000000009</v>
      </c>
      <c r="BR119">
        <f t="shared" ca="1" si="148"/>
        <v>0</v>
      </c>
      <c r="BS119">
        <f t="shared" ca="1" si="149"/>
        <v>19</v>
      </c>
      <c r="BT119">
        <f t="shared" ca="1" si="150"/>
        <v>0</v>
      </c>
      <c r="BU119">
        <v>0</v>
      </c>
      <c r="BV119">
        <f t="shared" ca="1" si="151"/>
        <v>0</v>
      </c>
      <c r="BW119">
        <f t="shared" ca="1" si="152"/>
        <v>120.64530791788859</v>
      </c>
      <c r="BX119">
        <f t="shared" ca="1" si="153"/>
        <v>0</v>
      </c>
      <c r="BY119">
        <f t="shared" ca="1" si="154"/>
        <v>52.249999971262504</v>
      </c>
      <c r="BZ119">
        <f t="shared" ca="1" si="155"/>
        <v>0</v>
      </c>
      <c r="CA119">
        <f t="shared" si="156"/>
        <v>0</v>
      </c>
      <c r="CB119" s="1018">
        <f t="shared" ca="1" si="160"/>
        <v>172.8953078891511</v>
      </c>
      <c r="CC119" s="1018">
        <f t="shared" ca="1" si="161"/>
        <v>58.940561149332957</v>
      </c>
      <c r="CD119">
        <f t="shared" ca="1" si="100"/>
        <v>6.9550760711545214</v>
      </c>
      <c r="CE119">
        <f t="shared" ca="1" si="101"/>
        <v>11579.923455429431</v>
      </c>
    </row>
    <row r="120" spans="1:83" x14ac:dyDescent="0.25">
      <c r="C120" s="805"/>
      <c r="D120" s="821"/>
      <c r="E120" s="820"/>
      <c r="F120" s="821"/>
      <c r="G120" s="820"/>
      <c r="H120" s="821"/>
      <c r="I120" s="825" t="s">
        <v>57</v>
      </c>
      <c r="J120" s="825">
        <v>0.28000000000000003</v>
      </c>
      <c r="K120" s="825"/>
      <c r="L120" s="825"/>
      <c r="M120" s="825"/>
      <c r="N120" s="825"/>
      <c r="O120" s="822" t="s">
        <v>7</v>
      </c>
      <c r="P120" s="825">
        <v>3.4700000000000002E-2</v>
      </c>
      <c r="Q120" s="821"/>
      <c r="R120" s="962">
        <v>1.8530052201210764E-4</v>
      </c>
      <c r="T120" s="34">
        <f t="shared" si="157"/>
        <v>1.8530052201210764E-4</v>
      </c>
      <c r="U120" s="200">
        <f>T120-T120*Calculation_sheet!J$67/4</f>
        <v>1.8530052201210764E-4</v>
      </c>
      <c r="V120" s="200">
        <f>U120-U120*(Calculation_sheet!O$77+Calculation_sheet!J$77)/4</f>
        <v>1.8530052201210764E-4</v>
      </c>
      <c r="W120" s="176">
        <f>V120/Calculation_sheet!M$67</f>
        <v>1.8530431074601137E-4</v>
      </c>
      <c r="X120" s="958">
        <f ca="1">IF(AL120&gt;0,W120*Calculation_sheet!C$87,0)</f>
        <v>0</v>
      </c>
      <c r="Y120" s="176">
        <f t="shared" ca="1" si="158"/>
        <v>1.8530431074601137E-4</v>
      </c>
      <c r="Z120" s="176">
        <f>IF(AN120&gt;0,Y120*Calculation_sheet!C$94,0)</f>
        <v>0</v>
      </c>
      <c r="AA120" s="958">
        <f t="shared" ca="1" si="143"/>
        <v>1.8530431074601137E-4</v>
      </c>
      <c r="AB120" s="176">
        <f ca="1">AA120*Calculation_sheet!C$99</f>
        <v>1.1118258644760682E-4</v>
      </c>
      <c r="AC120" s="958">
        <f t="shared" ca="1" si="143"/>
        <v>7.4121724298404555E-5</v>
      </c>
      <c r="AD120" s="176">
        <f t="shared" si="159"/>
        <v>1.8530431074601137E-4</v>
      </c>
      <c r="AE120" s="176">
        <f>AD120*User_sheet!B$77/100</f>
        <v>0</v>
      </c>
      <c r="AF120" s="309"/>
      <c r="AG120" s="27">
        <v>402</v>
      </c>
      <c r="AH120" s="985"/>
      <c r="AI120" s="956">
        <f t="shared" ca="1" si="99"/>
        <v>172.8953078891511</v>
      </c>
      <c r="AJ120" s="956">
        <f ca="1">AI120/'402'!I$24</f>
        <v>0.85018493075968504</v>
      </c>
      <c r="AK120" s="956">
        <f ca="1">0.8*(AI120*30+'402'!D$17*0.34*30*1)</f>
        <v>6951.9577893396272</v>
      </c>
      <c r="AL120" s="954">
        <f ca="1">IF(AK120&lt;User_sheet!B$50,W120,0)</f>
        <v>1.8530431074601137E-4</v>
      </c>
      <c r="AM120" s="954">
        <f ca="1">20-(User_sheet!B$57/(AI120+'402'!D$17*1*0.34))</f>
        <v>0.32208995719538436</v>
      </c>
      <c r="AN120" s="954"/>
      <c r="AO120" s="985"/>
      <c r="AP120" s="2">
        <v>0</v>
      </c>
      <c r="AQ120" s="2">
        <v>2.1</v>
      </c>
      <c r="AR120" s="2">
        <v>0</v>
      </c>
      <c r="AS120" s="2">
        <v>2.75</v>
      </c>
      <c r="AT120" s="2">
        <v>0</v>
      </c>
      <c r="AU120" s="2">
        <v>0</v>
      </c>
      <c r="AV120" s="2">
        <v>74715.401027665983</v>
      </c>
      <c r="AW120" s="2">
        <v>0</v>
      </c>
      <c r="AX120" s="2">
        <v>0</v>
      </c>
      <c r="AY120" s="2">
        <v>0</v>
      </c>
      <c r="AZ120" s="50">
        <v>0.6</v>
      </c>
      <c r="BA120" s="34">
        <v>0</v>
      </c>
      <c r="BB120" s="34">
        <v>1</v>
      </c>
      <c r="BC120" s="40">
        <v>0</v>
      </c>
      <c r="BD120" s="34">
        <v>1</v>
      </c>
      <c r="BE120" s="34">
        <v>0</v>
      </c>
      <c r="BF120" s="40">
        <v>0</v>
      </c>
      <c r="BG120" s="34">
        <v>0</v>
      </c>
      <c r="BH120" s="40">
        <v>1</v>
      </c>
      <c r="BI120" s="34">
        <v>0</v>
      </c>
      <c r="BJ120" s="34">
        <v>0</v>
      </c>
      <c r="BK120" s="40">
        <v>1</v>
      </c>
      <c r="BL120" s="958">
        <v>0</v>
      </c>
      <c r="BM120" s="958">
        <v>14.9</v>
      </c>
      <c r="BN120" s="32">
        <f t="shared" ca="1" si="144"/>
        <v>106</v>
      </c>
      <c r="BO120">
        <f t="shared" ca="1" si="145"/>
        <v>343.44000000000005</v>
      </c>
      <c r="BP120">
        <f t="shared" ca="1" si="146"/>
        <v>0</v>
      </c>
      <c r="BQ120">
        <f t="shared" ca="1" si="147"/>
        <v>78.362000000000009</v>
      </c>
      <c r="BR120">
        <f t="shared" ca="1" si="148"/>
        <v>0</v>
      </c>
      <c r="BS120">
        <f t="shared" ca="1" si="149"/>
        <v>19</v>
      </c>
      <c r="BT120">
        <f t="shared" ca="1" si="150"/>
        <v>0</v>
      </c>
      <c r="BU120">
        <v>0</v>
      </c>
      <c r="BV120">
        <f t="shared" ca="1" si="151"/>
        <v>0</v>
      </c>
      <c r="BW120">
        <f t="shared" ca="1" si="152"/>
        <v>120.64530791788859</v>
      </c>
      <c r="BX120">
        <f t="shared" ca="1" si="153"/>
        <v>0</v>
      </c>
      <c r="BY120">
        <f t="shared" ca="1" si="154"/>
        <v>52.249999971262504</v>
      </c>
      <c r="BZ120">
        <f t="shared" ca="1" si="155"/>
        <v>0</v>
      </c>
      <c r="CA120">
        <f t="shared" si="156"/>
        <v>0</v>
      </c>
      <c r="CB120" s="1018">
        <f t="shared" ca="1" si="160"/>
        <v>172.8953078891511</v>
      </c>
      <c r="CC120" s="1018">
        <f t="shared" ca="1" si="161"/>
        <v>58.940561149332957</v>
      </c>
      <c r="CD120">
        <f t="shared" ca="1" si="100"/>
        <v>6.9550760711545214</v>
      </c>
      <c r="CE120">
        <f t="shared" ca="1" si="101"/>
        <v>11579.923455429431</v>
      </c>
    </row>
    <row r="121" spans="1:83" x14ac:dyDescent="0.25">
      <c r="C121" s="805"/>
      <c r="D121" s="821"/>
      <c r="E121" s="820"/>
      <c r="F121" s="821"/>
      <c r="G121" s="820"/>
      <c r="H121" s="821"/>
      <c r="I121" s="825"/>
      <c r="J121" s="825"/>
      <c r="K121" s="825"/>
      <c r="L121" s="825">
        <v>3.4482758620689655E-2</v>
      </c>
      <c r="M121" s="825"/>
      <c r="N121" s="825"/>
      <c r="O121" s="829" t="s">
        <v>57</v>
      </c>
      <c r="P121" s="825">
        <v>0.96530000000000005</v>
      </c>
      <c r="Q121" s="821"/>
      <c r="R121" s="962">
        <v>3.9913798171068376E-4</v>
      </c>
      <c r="T121" s="34">
        <f t="shared" si="157"/>
        <v>3.9913798171068376E-4</v>
      </c>
      <c r="U121" s="200">
        <f>T121-T121*Calculation_sheet!J$67/4</f>
        <v>3.9913798171068376E-4</v>
      </c>
      <c r="V121" s="200">
        <f>U121-U121*(Calculation_sheet!O$77+Calculation_sheet!J$77)/4</f>
        <v>3.9913798171068376E-4</v>
      </c>
      <c r="W121" s="176">
        <f>V121/Calculation_sheet!M$67</f>
        <v>3.9914614265695175E-4</v>
      </c>
      <c r="X121" s="958">
        <f ca="1">IF(AL121&gt;0,W121*Calculation_sheet!C$87,0)</f>
        <v>0</v>
      </c>
      <c r="Y121" s="176">
        <f t="shared" ca="1" si="158"/>
        <v>3.9914614265695175E-4</v>
      </c>
      <c r="Z121" s="176">
        <f>IF(AN121&gt;0,Y121*Calculation_sheet!C$94,0)</f>
        <v>0</v>
      </c>
      <c r="AA121" s="958">
        <f t="shared" ca="1" si="143"/>
        <v>3.9914614265695175E-4</v>
      </c>
      <c r="AB121" s="176">
        <f ca="1">AA121*Calculation_sheet!C$99</f>
        <v>2.3948768559417104E-4</v>
      </c>
      <c r="AC121" s="958">
        <f t="shared" ca="1" si="143"/>
        <v>1.5965845706278071E-4</v>
      </c>
      <c r="AD121" s="176">
        <f t="shared" si="159"/>
        <v>3.9914614265695175E-4</v>
      </c>
      <c r="AE121" s="176">
        <f>AD121*User_sheet!B$77/100</f>
        <v>0</v>
      </c>
      <c r="AF121" s="309"/>
      <c r="AG121" s="27">
        <v>402</v>
      </c>
      <c r="AH121" s="985"/>
      <c r="AI121" s="956">
        <f t="shared" ca="1" si="99"/>
        <v>172.8953078891511</v>
      </c>
      <c r="AJ121" s="956">
        <f ca="1">AI121/'402'!I$24</f>
        <v>0.85018493075968504</v>
      </c>
      <c r="AK121" s="956">
        <f ca="1">0.8*(AI121*30+'402'!D$17*0.34*30*1)</f>
        <v>6951.9577893396272</v>
      </c>
      <c r="AL121" s="954">
        <f ca="1">IF(AK121&lt;User_sheet!B$50,W121,0)</f>
        <v>3.9914614265695175E-4</v>
      </c>
      <c r="AM121" s="954">
        <f ca="1">20-(User_sheet!B$57/(AI121+'402'!D$17*1*0.34))</f>
        <v>0.32208995719538436</v>
      </c>
      <c r="AN121" s="954"/>
      <c r="AO121" s="985"/>
      <c r="AP121" s="2">
        <v>0</v>
      </c>
      <c r="AQ121" s="2">
        <v>2.1</v>
      </c>
      <c r="AR121" s="2">
        <v>0</v>
      </c>
      <c r="AS121" s="2">
        <v>2.75</v>
      </c>
      <c r="AT121" s="2">
        <v>0</v>
      </c>
      <c r="AU121" s="2">
        <v>0</v>
      </c>
      <c r="AV121" s="2">
        <v>74715.401027665983</v>
      </c>
      <c r="AW121" s="2">
        <v>0</v>
      </c>
      <c r="AX121" s="2">
        <v>0</v>
      </c>
      <c r="AY121" s="2">
        <v>0</v>
      </c>
      <c r="AZ121" s="50">
        <v>0.6</v>
      </c>
      <c r="BA121" s="34">
        <v>0</v>
      </c>
      <c r="BB121" s="34">
        <v>1</v>
      </c>
      <c r="BC121" s="40">
        <v>0</v>
      </c>
      <c r="BD121" s="34">
        <v>0</v>
      </c>
      <c r="BE121" s="34">
        <v>1</v>
      </c>
      <c r="BF121" s="40">
        <v>0</v>
      </c>
      <c r="BG121" s="34">
        <v>1</v>
      </c>
      <c r="BH121" s="40">
        <v>0</v>
      </c>
      <c r="BI121" s="34">
        <v>0</v>
      </c>
      <c r="BJ121" s="34">
        <v>1</v>
      </c>
      <c r="BK121" s="40">
        <v>0</v>
      </c>
      <c r="BL121" s="958">
        <v>0</v>
      </c>
      <c r="BM121" s="958">
        <v>14.9</v>
      </c>
      <c r="BN121" s="32">
        <f t="shared" ca="1" si="144"/>
        <v>106</v>
      </c>
      <c r="BO121">
        <f t="shared" ca="1" si="145"/>
        <v>343.44000000000005</v>
      </c>
      <c r="BP121">
        <f t="shared" ca="1" si="146"/>
        <v>0</v>
      </c>
      <c r="BQ121">
        <f t="shared" ca="1" si="147"/>
        <v>78.362000000000009</v>
      </c>
      <c r="BR121">
        <f t="shared" ca="1" si="148"/>
        <v>0</v>
      </c>
      <c r="BS121">
        <f t="shared" ca="1" si="149"/>
        <v>19</v>
      </c>
      <c r="BT121">
        <f t="shared" ca="1" si="150"/>
        <v>0</v>
      </c>
      <c r="BU121">
        <v>0</v>
      </c>
      <c r="BV121">
        <f t="shared" ca="1" si="151"/>
        <v>0</v>
      </c>
      <c r="BW121">
        <f t="shared" ca="1" si="152"/>
        <v>120.64530791788859</v>
      </c>
      <c r="BX121">
        <f t="shared" ca="1" si="153"/>
        <v>0</v>
      </c>
      <c r="BY121">
        <f t="shared" ca="1" si="154"/>
        <v>52.249999971262504</v>
      </c>
      <c r="BZ121">
        <f t="shared" ca="1" si="155"/>
        <v>0</v>
      </c>
      <c r="CA121">
        <f t="shared" si="156"/>
        <v>0</v>
      </c>
      <c r="CB121" s="1018">
        <f t="shared" ca="1" si="160"/>
        <v>172.8953078891511</v>
      </c>
      <c r="CC121" s="1018">
        <f t="shared" ca="1" si="161"/>
        <v>58.940561149332957</v>
      </c>
      <c r="CD121">
        <f t="shared" ca="1" si="100"/>
        <v>6.9550760711545214</v>
      </c>
      <c r="CE121">
        <f t="shared" ca="1" si="101"/>
        <v>11579.923455429431</v>
      </c>
    </row>
    <row r="122" spans="1:83" x14ac:dyDescent="0.25">
      <c r="C122" s="805"/>
      <c r="D122" s="820"/>
      <c r="E122" s="820"/>
      <c r="F122" s="821"/>
      <c r="G122" s="820"/>
      <c r="H122" s="821"/>
      <c r="I122" s="825"/>
      <c r="J122" s="825"/>
      <c r="K122" s="825"/>
      <c r="L122" s="825"/>
      <c r="M122" s="825"/>
      <c r="N122" s="825"/>
      <c r="O122" s="829" t="s">
        <v>7</v>
      </c>
      <c r="P122" s="825">
        <v>3.4700000000000002E-2</v>
      </c>
      <c r="Q122" s="821"/>
      <c r="R122" s="962">
        <v>1.4776756141316406E-5</v>
      </c>
      <c r="T122" s="34">
        <f t="shared" si="157"/>
        <v>1.4776756141316406E-5</v>
      </c>
      <c r="U122" s="200">
        <f>T122-T122*Calculation_sheet!J$67/4</f>
        <v>1.4776756141316406E-5</v>
      </c>
      <c r="V122" s="200">
        <f>U122-U122*(Calculation_sheet!O$77+Calculation_sheet!J$77)/4</f>
        <v>1.4776756141316406E-5</v>
      </c>
      <c r="W122" s="176">
        <f>V122/Calculation_sheet!M$67</f>
        <v>1.4777058273206655E-5</v>
      </c>
      <c r="X122" s="958">
        <f ca="1">IF(AL122&gt;0,W122*Calculation_sheet!C$87,0)</f>
        <v>0</v>
      </c>
      <c r="Y122" s="176">
        <f t="shared" ca="1" si="158"/>
        <v>1.4777058273206655E-5</v>
      </c>
      <c r="Z122" s="176">
        <f>IF(AN122&gt;0,Y122*Calculation_sheet!C$94,0)</f>
        <v>0</v>
      </c>
      <c r="AA122" s="958">
        <f t="shared" ca="1" si="143"/>
        <v>1.4777058273206655E-5</v>
      </c>
      <c r="AB122" s="176">
        <f ca="1">AA122*Calculation_sheet!C$99</f>
        <v>8.8662349639239933E-6</v>
      </c>
      <c r="AC122" s="958">
        <f t="shared" ca="1" si="143"/>
        <v>5.9108233092826616E-6</v>
      </c>
      <c r="AD122" s="176">
        <f t="shared" si="159"/>
        <v>1.4777058273206655E-5</v>
      </c>
      <c r="AE122" s="176">
        <f>AD122*User_sheet!B$77/100</f>
        <v>0</v>
      </c>
      <c r="AF122" s="309"/>
      <c r="AG122" s="27">
        <v>402</v>
      </c>
      <c r="AH122" s="985"/>
      <c r="AI122" s="956">
        <f t="shared" ca="1" si="99"/>
        <v>172.8953078891511</v>
      </c>
      <c r="AJ122" s="956">
        <f ca="1">AI122/'402'!I$24</f>
        <v>0.85018493075968504</v>
      </c>
      <c r="AK122" s="956">
        <f ca="1">0.8*(AI122*30+'402'!D$17*0.34*30*1)</f>
        <v>6951.9577893396272</v>
      </c>
      <c r="AL122" s="954">
        <f ca="1">IF(AK122&lt;User_sheet!B$50,W122,0)</f>
        <v>1.4777058273206655E-5</v>
      </c>
      <c r="AM122" s="954">
        <f ca="1">20-(User_sheet!B$57/(AI122+'402'!D$17*1*0.34))</f>
        <v>0.32208995719538436</v>
      </c>
      <c r="AN122" s="954"/>
      <c r="AO122" s="985"/>
      <c r="AP122" s="2">
        <v>0</v>
      </c>
      <c r="AQ122" s="2">
        <v>2.1</v>
      </c>
      <c r="AR122" s="2">
        <v>0</v>
      </c>
      <c r="AS122" s="2">
        <v>2.75</v>
      </c>
      <c r="AT122" s="2">
        <v>0</v>
      </c>
      <c r="AU122" s="2">
        <v>0</v>
      </c>
      <c r="AV122" s="2">
        <v>74715.401027665997</v>
      </c>
      <c r="AW122" s="2">
        <v>0</v>
      </c>
      <c r="AX122" s="2">
        <v>0</v>
      </c>
      <c r="AY122" s="2">
        <v>0</v>
      </c>
      <c r="AZ122" s="50">
        <v>0.6</v>
      </c>
      <c r="BA122" s="34">
        <v>0</v>
      </c>
      <c r="BB122" s="34">
        <v>1</v>
      </c>
      <c r="BC122" s="40">
        <v>0</v>
      </c>
      <c r="BD122" s="34">
        <v>0</v>
      </c>
      <c r="BE122" s="34">
        <v>1</v>
      </c>
      <c r="BF122" s="40">
        <v>0</v>
      </c>
      <c r="BG122" s="34">
        <v>1</v>
      </c>
      <c r="BH122" s="40">
        <v>0</v>
      </c>
      <c r="BI122" s="34">
        <v>0</v>
      </c>
      <c r="BJ122" s="34">
        <v>0</v>
      </c>
      <c r="BK122" s="40">
        <v>1</v>
      </c>
      <c r="BL122" s="958">
        <v>0</v>
      </c>
      <c r="BM122" s="958">
        <v>14.9</v>
      </c>
      <c r="BN122" s="32">
        <f t="shared" ca="1" si="144"/>
        <v>106</v>
      </c>
      <c r="BO122">
        <f t="shared" ca="1" si="145"/>
        <v>343.44000000000005</v>
      </c>
      <c r="BP122">
        <f t="shared" ca="1" si="146"/>
        <v>0</v>
      </c>
      <c r="BQ122">
        <f t="shared" ca="1" si="147"/>
        <v>78.362000000000009</v>
      </c>
      <c r="BR122">
        <f t="shared" ca="1" si="148"/>
        <v>0</v>
      </c>
      <c r="BS122">
        <f t="shared" ca="1" si="149"/>
        <v>19</v>
      </c>
      <c r="BT122">
        <f t="shared" ca="1" si="150"/>
        <v>0</v>
      </c>
      <c r="BU122">
        <v>0</v>
      </c>
      <c r="BV122">
        <f t="shared" ca="1" si="151"/>
        <v>0</v>
      </c>
      <c r="BW122">
        <f t="shared" ca="1" si="152"/>
        <v>120.64530791788859</v>
      </c>
      <c r="BX122">
        <f t="shared" ca="1" si="153"/>
        <v>0</v>
      </c>
      <c r="BY122">
        <f t="shared" ca="1" si="154"/>
        <v>52.249999971262504</v>
      </c>
      <c r="BZ122">
        <f t="shared" ca="1" si="155"/>
        <v>0</v>
      </c>
      <c r="CA122">
        <f t="shared" si="156"/>
        <v>0</v>
      </c>
      <c r="CB122" s="1018">
        <f t="shared" ca="1" si="160"/>
        <v>172.8953078891511</v>
      </c>
      <c r="CC122" s="1018">
        <f t="shared" ca="1" si="161"/>
        <v>58.940561149332957</v>
      </c>
      <c r="CD122">
        <f t="shared" ca="1" si="100"/>
        <v>6.9550760711545214</v>
      </c>
      <c r="CE122">
        <f t="shared" ca="1" si="101"/>
        <v>11579.923455429431</v>
      </c>
    </row>
    <row r="123" spans="1:83" x14ac:dyDescent="0.25">
      <c r="A123" s="805"/>
      <c r="B123" s="805"/>
      <c r="C123" s="805"/>
      <c r="D123" s="821"/>
      <c r="E123" s="820" t="s">
        <v>8</v>
      </c>
      <c r="F123" s="824">
        <v>0.39</v>
      </c>
      <c r="G123" s="820" t="s">
        <v>9</v>
      </c>
      <c r="H123" s="824">
        <v>0.64260000000000006</v>
      </c>
      <c r="I123" s="825" t="s">
        <v>7</v>
      </c>
      <c r="J123" s="825">
        <v>0.15000000000000002</v>
      </c>
      <c r="K123" s="825"/>
      <c r="L123" s="825">
        <v>1</v>
      </c>
      <c r="M123" s="825"/>
      <c r="N123" s="825">
        <v>1</v>
      </c>
      <c r="O123" s="829" t="s">
        <v>7</v>
      </c>
      <c r="P123" s="825">
        <v>1</v>
      </c>
      <c r="Q123" s="821"/>
      <c r="R123" s="962">
        <v>2.365227073439999E-3</v>
      </c>
      <c r="T123" s="34">
        <f t="shared" si="157"/>
        <v>2.365227073439999E-3</v>
      </c>
      <c r="U123" s="200">
        <f>T123-T123*Calculation_sheet!J$67/4</f>
        <v>2.365227073439999E-3</v>
      </c>
      <c r="V123" s="200">
        <f>U123-U123*(Calculation_sheet!O$77+Calculation_sheet!J$77)/4</f>
        <v>2.365227073439999E-3</v>
      </c>
      <c r="W123" s="176">
        <f>V123/Calculation_sheet!M$67</f>
        <v>2.3652754338866176E-3</v>
      </c>
      <c r="X123" s="958">
        <f ca="1">IF(AL123&gt;0,W123*Calculation_sheet!C$87,0)</f>
        <v>0</v>
      </c>
      <c r="Y123" s="176">
        <f t="shared" ca="1" si="158"/>
        <v>2.3652754338866176E-3</v>
      </c>
      <c r="Z123" s="176">
        <f>IF(AN123&gt;0,Y123*Calculation_sheet!C$94,0)</f>
        <v>0</v>
      </c>
      <c r="AA123" s="958">
        <f t="shared" ca="1" si="143"/>
        <v>2.3652754338866176E-3</v>
      </c>
      <c r="AB123" s="176">
        <f ca="1">AA123*Calculation_sheet!C$99</f>
        <v>1.4191652603319706E-3</v>
      </c>
      <c r="AC123" s="958">
        <f t="shared" ca="1" si="143"/>
        <v>9.4611017355464701E-4</v>
      </c>
      <c r="AD123" s="176">
        <f t="shared" si="159"/>
        <v>2.3652754338866176E-3</v>
      </c>
      <c r="AE123" s="176">
        <f>AD123*User_sheet!B$77/100</f>
        <v>0</v>
      </c>
      <c r="AF123" s="309"/>
      <c r="AG123" s="27">
        <v>402</v>
      </c>
      <c r="AH123" s="985"/>
      <c r="AI123" s="956">
        <f t="shared" ca="1" si="99"/>
        <v>172.8953078891511</v>
      </c>
      <c r="AJ123" s="956">
        <f ca="1">AI123/'402'!I$24</f>
        <v>0.85018493075968504</v>
      </c>
      <c r="AK123" s="956">
        <f ca="1">0.8*(AI123*30+'402'!D$17*0.34*30*1)</f>
        <v>6951.9577893396272</v>
      </c>
      <c r="AL123" s="954">
        <f ca="1">IF(AK123&lt;User_sheet!B$50,W123,0)</f>
        <v>2.3652754338866176E-3</v>
      </c>
      <c r="AM123" s="954">
        <f ca="1">20-(User_sheet!B$57/(AI123+'402'!D$17*1*0.34))</f>
        <v>0.32208995719538436</v>
      </c>
      <c r="AN123" s="954"/>
      <c r="AO123" s="985"/>
      <c r="AP123" s="2">
        <v>0</v>
      </c>
      <c r="AQ123" s="2">
        <v>2.1</v>
      </c>
      <c r="AR123" s="2">
        <v>0</v>
      </c>
      <c r="AS123" s="2">
        <v>2.75</v>
      </c>
      <c r="AT123" s="2">
        <v>0</v>
      </c>
      <c r="AU123" s="2">
        <v>0</v>
      </c>
      <c r="AV123" s="2">
        <v>74715.401027665997</v>
      </c>
      <c r="AW123" s="2">
        <v>0</v>
      </c>
      <c r="AX123" s="2">
        <v>0</v>
      </c>
      <c r="AY123" s="2">
        <v>0</v>
      </c>
      <c r="AZ123" s="50">
        <v>0.6</v>
      </c>
      <c r="BA123" s="34">
        <v>0</v>
      </c>
      <c r="BB123" s="34">
        <v>0</v>
      </c>
      <c r="BC123" s="40">
        <v>1</v>
      </c>
      <c r="BD123" s="34">
        <v>0</v>
      </c>
      <c r="BE123" s="34">
        <v>0</v>
      </c>
      <c r="BF123" s="40">
        <v>1</v>
      </c>
      <c r="BG123" s="34">
        <v>1</v>
      </c>
      <c r="BH123" s="40">
        <v>0</v>
      </c>
      <c r="BI123" s="34">
        <v>0</v>
      </c>
      <c r="BJ123" s="34">
        <v>0</v>
      </c>
      <c r="BK123" s="40">
        <v>1</v>
      </c>
      <c r="BL123" s="958">
        <v>0</v>
      </c>
      <c r="BM123" s="958">
        <v>14.9</v>
      </c>
      <c r="BN123" s="32">
        <f t="shared" ca="1" si="144"/>
        <v>106</v>
      </c>
      <c r="BO123">
        <f t="shared" ca="1" si="145"/>
        <v>343.44000000000005</v>
      </c>
      <c r="BP123">
        <f t="shared" ca="1" si="146"/>
        <v>0</v>
      </c>
      <c r="BQ123">
        <f t="shared" ca="1" si="147"/>
        <v>78.362000000000009</v>
      </c>
      <c r="BR123">
        <f t="shared" ca="1" si="148"/>
        <v>0</v>
      </c>
      <c r="BS123">
        <f t="shared" ca="1" si="149"/>
        <v>19</v>
      </c>
      <c r="BT123">
        <f t="shared" ca="1" si="150"/>
        <v>0</v>
      </c>
      <c r="BU123">
        <v>0</v>
      </c>
      <c r="BV123">
        <f t="shared" ca="1" si="151"/>
        <v>0</v>
      </c>
      <c r="BW123">
        <f t="shared" ca="1" si="152"/>
        <v>120.64530791788859</v>
      </c>
      <c r="BX123">
        <f t="shared" ca="1" si="153"/>
        <v>0</v>
      </c>
      <c r="BY123">
        <f t="shared" ca="1" si="154"/>
        <v>52.249999971262504</v>
      </c>
      <c r="BZ123">
        <f t="shared" ca="1" si="155"/>
        <v>0</v>
      </c>
      <c r="CA123">
        <f t="shared" si="156"/>
        <v>0</v>
      </c>
      <c r="CB123" s="1018">
        <f t="shared" ca="1" si="160"/>
        <v>172.8953078891511</v>
      </c>
      <c r="CC123" s="1018">
        <f t="shared" ca="1" si="161"/>
        <v>58.940561149332957</v>
      </c>
      <c r="CD123">
        <f t="shared" ca="1" si="100"/>
        <v>6.9550760711545214</v>
      </c>
      <c r="CE123">
        <f t="shared" ca="1" si="101"/>
        <v>11579.923455429431</v>
      </c>
    </row>
    <row r="124" spans="1:83" s="14" customFormat="1" x14ac:dyDescent="0.25">
      <c r="A124" s="807"/>
      <c r="B124" s="807"/>
      <c r="C124" s="807"/>
      <c r="D124" s="827"/>
      <c r="E124" s="826"/>
      <c r="F124" s="827"/>
      <c r="G124" s="826"/>
      <c r="H124" s="827"/>
      <c r="I124" s="827"/>
      <c r="J124" s="827"/>
      <c r="K124" s="827"/>
      <c r="L124" s="827"/>
      <c r="M124" s="827"/>
      <c r="N124" s="827"/>
      <c r="O124" s="828"/>
      <c r="P124" s="827"/>
      <c r="Q124" s="827"/>
      <c r="R124" s="830"/>
      <c r="S124" s="289"/>
      <c r="T124" s="281"/>
      <c r="U124" s="292"/>
      <c r="V124" s="292"/>
      <c r="W124" s="292"/>
      <c r="X124" s="277"/>
      <c r="Y124" s="292"/>
      <c r="Z124" s="292"/>
      <c r="AA124" s="277"/>
      <c r="AB124" s="292"/>
      <c r="AC124" s="277"/>
      <c r="AD124" s="292"/>
      <c r="AE124" s="292"/>
      <c r="AF124" s="309"/>
      <c r="AG124" s="28"/>
      <c r="AH124" s="985"/>
      <c r="AI124" s="956">
        <f t="shared" si="99"/>
        <v>0</v>
      </c>
      <c r="AJ124" s="941"/>
      <c r="AK124" s="941"/>
      <c r="AL124" s="941"/>
      <c r="AM124" s="941"/>
      <c r="AN124" s="941"/>
      <c r="AO124" s="985"/>
      <c r="AP124" s="28"/>
      <c r="AQ124" s="28"/>
      <c r="AR124" s="28"/>
      <c r="AS124" s="28"/>
      <c r="AT124" s="28"/>
      <c r="AU124" s="28"/>
      <c r="AV124" s="28"/>
      <c r="AW124" s="28"/>
      <c r="AX124" s="28"/>
      <c r="AY124" s="28"/>
      <c r="AZ124" s="49"/>
      <c r="BA124" s="277"/>
      <c r="BB124" s="277"/>
      <c r="BC124" s="49"/>
      <c r="BD124" s="277"/>
      <c r="BE124" s="277"/>
      <c r="BF124" s="49"/>
      <c r="BG124" s="277"/>
      <c r="BH124" s="49"/>
      <c r="BI124" s="277"/>
      <c r="BJ124" s="277"/>
      <c r="BK124" s="49"/>
      <c r="BL124" s="277"/>
      <c r="BM124" s="277"/>
      <c r="BN124" s="36"/>
    </row>
    <row r="125" spans="1:83" s="3" customFormat="1" x14ac:dyDescent="0.25">
      <c r="D125" s="6"/>
      <c r="F125" s="6"/>
      <c r="G125" s="6"/>
      <c r="H125" s="8"/>
      <c r="I125" s="6"/>
      <c r="J125" s="6"/>
      <c r="K125" s="6"/>
      <c r="L125" s="6"/>
      <c r="M125" s="6" t="s">
        <v>60</v>
      </c>
      <c r="N125" s="4"/>
      <c r="O125" s="2" t="s">
        <v>16</v>
      </c>
      <c r="P125" s="4"/>
      <c r="Q125" s="1"/>
      <c r="R125" s="79"/>
      <c r="S125" s="876"/>
      <c r="T125" s="282"/>
      <c r="U125" s="200"/>
      <c r="V125" s="176">
        <f>U111-V111</f>
        <v>0</v>
      </c>
      <c r="W125" s="176">
        <f>V125/Calculation_sheet!M$67</f>
        <v>0</v>
      </c>
      <c r="X125" s="958">
        <f ca="1">IF(AL125&gt;0,W125*Calculation_sheet!C$87,0)</f>
        <v>0</v>
      </c>
      <c r="Y125" s="176">
        <f ca="1">W125-X125</f>
        <v>0</v>
      </c>
      <c r="Z125" s="176">
        <f>IF(AN125&gt;0,Y125*Calculation_sheet!C$94,0)</f>
        <v>0</v>
      </c>
      <c r="AA125" s="958">
        <f t="shared" ref="AA125:AC137" ca="1" si="162">Y125-Z125</f>
        <v>0</v>
      </c>
      <c r="AB125" s="176">
        <f ca="1">AA125*Calculation_sheet!C$99</f>
        <v>0</v>
      </c>
      <c r="AC125" s="958">
        <f t="shared" ca="1" si="162"/>
        <v>0</v>
      </c>
      <c r="AD125" s="176">
        <f>W125-Z125</f>
        <v>0</v>
      </c>
      <c r="AE125" s="176">
        <f>AD125*User_sheet!B$77/100</f>
        <v>0</v>
      </c>
      <c r="AF125" s="309"/>
      <c r="AG125" s="27">
        <v>402</v>
      </c>
      <c r="AH125" s="985"/>
      <c r="AI125" s="956">
        <f t="shared" ca="1" si="99"/>
        <v>158.64530790268859</v>
      </c>
      <c r="AJ125" s="956">
        <f ca="1">AI125/'402'!I$24</f>
        <v>0.78011284262885183</v>
      </c>
      <c r="AK125" s="956">
        <f ca="1">0.8*(AI125*30+'402'!D$17*0.34*30*1)</f>
        <v>6609.9577896645269</v>
      </c>
      <c r="AL125" s="954">
        <f ca="1">IF(AK125&lt;User_sheet!B$50,W125,0)</f>
        <v>0</v>
      </c>
      <c r="AM125" s="954">
        <f ca="1">20-(User_sheet!B$57/(AI125+'402'!D$17*1*0.34))</f>
        <v>-0.69604744131701679</v>
      </c>
      <c r="AN125" s="954"/>
      <c r="AO125" s="985"/>
      <c r="AP125" s="2">
        <v>0</v>
      </c>
      <c r="AQ125" s="2">
        <v>2.1</v>
      </c>
      <c r="AR125" s="2">
        <v>0</v>
      </c>
      <c r="AS125" s="27">
        <v>2</v>
      </c>
      <c r="AT125" s="2">
        <v>0</v>
      </c>
      <c r="AU125" s="2">
        <v>0</v>
      </c>
      <c r="AV125" s="2">
        <v>74715.401027665983</v>
      </c>
      <c r="AW125" s="2">
        <v>0</v>
      </c>
      <c r="AX125" s="2">
        <v>0</v>
      </c>
      <c r="AY125" s="2">
        <v>0</v>
      </c>
      <c r="AZ125" s="50">
        <v>0.6</v>
      </c>
      <c r="BA125" s="34">
        <v>1</v>
      </c>
      <c r="BB125" s="34">
        <v>0</v>
      </c>
      <c r="BC125" s="40">
        <v>0</v>
      </c>
      <c r="BD125" s="34">
        <v>1</v>
      </c>
      <c r="BE125" s="34">
        <v>0</v>
      </c>
      <c r="BF125" s="40">
        <v>0</v>
      </c>
      <c r="BG125" s="34">
        <v>1</v>
      </c>
      <c r="BH125" s="40">
        <v>0</v>
      </c>
      <c r="BI125" s="34">
        <v>1</v>
      </c>
      <c r="BJ125" s="34">
        <v>0</v>
      </c>
      <c r="BK125" s="40">
        <v>0</v>
      </c>
      <c r="BL125" s="958">
        <v>0</v>
      </c>
      <c r="BM125" s="958">
        <v>14.9</v>
      </c>
      <c r="BN125" s="37">
        <f t="shared" ref="BN125:BN137" ca="1" si="163">INDIRECT("'"&amp;AG125&amp;"'!"&amp;"B2")</f>
        <v>106</v>
      </c>
      <c r="BO125" s="3">
        <f t="shared" ref="BO125:BO137" ca="1" si="164">INDIRECT("'"&amp;AG125&amp;"'!"&amp;"C12")+INDIRECT("'"&amp;AG125&amp;"'!"&amp;"C13")+INDIRECT("'"&amp;AG125&amp;"'!"&amp;"C14")+INDIRECT("'"&amp;AG125&amp;"'!"&amp;"C15")+INDIRECT("'"&amp;AG125&amp;"'!"&amp;"C17")</f>
        <v>343.44000000000005</v>
      </c>
      <c r="BP125" s="3">
        <f t="shared" ref="BP125:BP137" ca="1" si="165">INDIRECT("'"&amp;AG125&amp;"'!"&amp;"G5")</f>
        <v>0</v>
      </c>
      <c r="BQ125" s="3">
        <f t="shared" ref="BQ125:BQ137" ca="1" si="166">INDIRECT("'"&amp;AG125&amp;"'!"&amp;"G4")</f>
        <v>78.362000000000009</v>
      </c>
      <c r="BR125" s="3">
        <f t="shared" ref="BR125:BR137" ca="1" si="167">INDIRECT("'"&amp;AG125&amp;"'!"&amp;"G6")</f>
        <v>0</v>
      </c>
      <c r="BS125" s="3">
        <f t="shared" ref="BS125:BS137" ca="1" si="168">INDIRECT("'"&amp;AG125&amp;"'!"&amp;"G2")</f>
        <v>19</v>
      </c>
      <c r="BT125" s="3">
        <f t="shared" ref="BT125:BT137" ca="1" si="169">INDIRECT("'"&amp;AG125&amp;"'!"&amp;"G3")</f>
        <v>0</v>
      </c>
      <c r="BU125" s="3">
        <v>0</v>
      </c>
      <c r="BV125" s="3">
        <f t="shared" ref="BV125:BV137" ca="1" si="170">IF(OR(BP125=0,AP125=0),0,1/(1/(BP125*$BW$3)+1/(BP125*AP125)+1/(BP125*$BW$4)))</f>
        <v>0</v>
      </c>
      <c r="BW125" s="3">
        <f t="shared" ref="BW125:BW137" ca="1" si="171">IF(OR(BQ125=0,AQ125=0),0,1/(1/(BQ125*$BW$3)+1/(BQ125*AQ125)+1/(BQ125*$BW$4)))</f>
        <v>120.64530791788859</v>
      </c>
      <c r="BX125" s="3">
        <f t="shared" ref="BX125:BX137" ca="1" si="172">IF(OR(BR125=0,AR125=0),0,1/(1/(BR125*$BW$3)+1/(BR125*AR125)+1/(BR125*$BW$4)))</f>
        <v>0</v>
      </c>
      <c r="BY125" s="3">
        <f t="shared" ref="BY125:BY137" ca="1" si="173">IF(OR(BS125=0,AS125=0),0,1/(1/(BS125*$BW$5)+1/(BS125*AS125)+1/(BS125*$BW$6)))</f>
        <v>37.999999984799999</v>
      </c>
      <c r="BZ125" s="3">
        <f t="shared" ref="BZ125:BZ137" ca="1" si="174">IF(OR(BT125=0,AT125=0),0,1/(1/(BT125*$BW$3)+1/(BT125*AT125)+1/(BT125*$BW$4)))</f>
        <v>0</v>
      </c>
      <c r="CA125" s="3">
        <f t="shared" ref="CA125:CA137" si="175">IF(OR(BU125=0,AU125=0),0,1/(1/(BU125*$BW$3)+1/(BU125*AU125)+1/(BU125*$BW$4)))</f>
        <v>0</v>
      </c>
      <c r="CB125" s="1018">
        <f ca="1">SUM(BV125:CA125)+(BP125+BQ125+BR125+BS125+BT125)*BL125</f>
        <v>158.64530790268859</v>
      </c>
      <c r="CC125" s="1018">
        <f ca="1">0.34*BM125*(1/25)^0.66*(BQ125+BS125+BT125)</f>
        <v>58.940561149332957</v>
      </c>
      <c r="CD125" s="3">
        <f t="shared" ca="1" si="100"/>
        <v>6.5275760715606461</v>
      </c>
      <c r="CE125" s="3">
        <f t="shared" ca="1" si="101"/>
        <v>10868.153056105612</v>
      </c>
    </row>
    <row r="126" spans="1:83" s="3" customFormat="1" x14ac:dyDescent="0.25">
      <c r="D126" s="6"/>
      <c r="F126" s="6"/>
      <c r="G126" s="6"/>
      <c r="H126" s="8"/>
      <c r="I126" s="6"/>
      <c r="J126" s="6"/>
      <c r="K126" s="6"/>
      <c r="L126" s="6"/>
      <c r="M126" s="6"/>
      <c r="N126" s="6"/>
      <c r="O126" s="2" t="s">
        <v>7</v>
      </c>
      <c r="P126" s="4"/>
      <c r="Q126" s="1"/>
      <c r="R126" s="79"/>
      <c r="S126" s="876"/>
      <c r="T126" s="282"/>
      <c r="U126" s="200"/>
      <c r="V126" s="176">
        <f t="shared" ref="V126:V137" si="176">U112-V112</f>
        <v>0</v>
      </c>
      <c r="W126" s="176">
        <f>V126/Calculation_sheet!M$67</f>
        <v>0</v>
      </c>
      <c r="X126" s="958">
        <f ca="1">IF(AL126&gt;0,W126*Calculation_sheet!C$87,0)</f>
        <v>0</v>
      </c>
      <c r="Y126" s="176">
        <f t="shared" ref="Y126:Y137" ca="1" si="177">W126-X126</f>
        <v>0</v>
      </c>
      <c r="Z126" s="176">
        <f>IF(AN126&gt;0,Y126*Calculation_sheet!C$94,0)</f>
        <v>0</v>
      </c>
      <c r="AA126" s="958">
        <f t="shared" ca="1" si="162"/>
        <v>0</v>
      </c>
      <c r="AB126" s="176">
        <f ca="1">AA126*Calculation_sheet!C$99</f>
        <v>0</v>
      </c>
      <c r="AC126" s="958">
        <f t="shared" ca="1" si="162"/>
        <v>0</v>
      </c>
      <c r="AD126" s="176">
        <f t="shared" ref="AD126:AD137" si="178">W126-Z126</f>
        <v>0</v>
      </c>
      <c r="AE126" s="176">
        <f>AD126*User_sheet!B$77/100</f>
        <v>0</v>
      </c>
      <c r="AF126" s="309"/>
      <c r="AG126" s="27">
        <v>402</v>
      </c>
      <c r="AH126" s="985"/>
      <c r="AI126" s="956">
        <f t="shared" ca="1" si="99"/>
        <v>158.64530790268859</v>
      </c>
      <c r="AJ126" s="956">
        <f ca="1">AI126/'402'!I$24</f>
        <v>0.78011284262885183</v>
      </c>
      <c r="AK126" s="956">
        <f ca="1">0.8*(AI126*30+'402'!D$17*0.34*30*1)</f>
        <v>6609.9577896645269</v>
      </c>
      <c r="AL126" s="954">
        <f ca="1">IF(AK126&lt;User_sheet!B$50,W126,0)</f>
        <v>0</v>
      </c>
      <c r="AM126" s="954">
        <f ca="1">20-(User_sheet!B$57/(AI126+'402'!D$17*1*0.34))</f>
        <v>-0.69604744131701679</v>
      </c>
      <c r="AN126" s="954"/>
      <c r="AO126" s="985"/>
      <c r="AP126" s="2">
        <v>0</v>
      </c>
      <c r="AQ126" s="2">
        <v>2.1</v>
      </c>
      <c r="AR126" s="2">
        <v>0</v>
      </c>
      <c r="AS126" s="27">
        <v>2</v>
      </c>
      <c r="AT126" s="2">
        <v>0</v>
      </c>
      <c r="AU126" s="2">
        <v>0</v>
      </c>
      <c r="AV126" s="2">
        <v>74715.401027665983</v>
      </c>
      <c r="AW126" s="2">
        <v>0</v>
      </c>
      <c r="AX126" s="2">
        <v>0</v>
      </c>
      <c r="AY126" s="2">
        <v>0</v>
      </c>
      <c r="AZ126" s="50">
        <v>0.6</v>
      </c>
      <c r="BA126" s="34">
        <v>1</v>
      </c>
      <c r="BB126" s="34">
        <v>0</v>
      </c>
      <c r="BC126" s="40">
        <v>0</v>
      </c>
      <c r="BD126" s="34">
        <v>1</v>
      </c>
      <c r="BE126" s="34">
        <v>0</v>
      </c>
      <c r="BF126" s="40">
        <v>0</v>
      </c>
      <c r="BG126" s="34">
        <v>1</v>
      </c>
      <c r="BH126" s="40">
        <v>0</v>
      </c>
      <c r="BI126" s="34">
        <v>0</v>
      </c>
      <c r="BJ126" s="34">
        <v>0</v>
      </c>
      <c r="BK126" s="40">
        <v>1</v>
      </c>
      <c r="BL126" s="958">
        <v>0</v>
      </c>
      <c r="BM126" s="958">
        <v>14.9</v>
      </c>
      <c r="BN126" s="37">
        <f t="shared" ca="1" si="163"/>
        <v>106</v>
      </c>
      <c r="BO126" s="3">
        <f t="shared" ca="1" si="164"/>
        <v>343.44000000000005</v>
      </c>
      <c r="BP126" s="3">
        <f t="shared" ca="1" si="165"/>
        <v>0</v>
      </c>
      <c r="BQ126" s="3">
        <f t="shared" ca="1" si="166"/>
        <v>78.362000000000009</v>
      </c>
      <c r="BR126" s="3">
        <f t="shared" ca="1" si="167"/>
        <v>0</v>
      </c>
      <c r="BS126" s="3">
        <f t="shared" ca="1" si="168"/>
        <v>19</v>
      </c>
      <c r="BT126" s="3">
        <f t="shared" ca="1" si="169"/>
        <v>0</v>
      </c>
      <c r="BU126" s="3">
        <v>0</v>
      </c>
      <c r="BV126" s="3">
        <f t="shared" ca="1" si="170"/>
        <v>0</v>
      </c>
      <c r="BW126" s="3">
        <f t="shared" ca="1" si="171"/>
        <v>120.64530791788859</v>
      </c>
      <c r="BX126" s="3">
        <f t="shared" ca="1" si="172"/>
        <v>0</v>
      </c>
      <c r="BY126" s="3">
        <f t="shared" ca="1" si="173"/>
        <v>37.999999984799999</v>
      </c>
      <c r="BZ126" s="3">
        <f t="shared" ca="1" si="174"/>
        <v>0</v>
      </c>
      <c r="CA126" s="3">
        <f t="shared" si="175"/>
        <v>0</v>
      </c>
      <c r="CB126" s="1018">
        <f t="shared" ref="CB126:CB137" ca="1" si="179">SUM(BV126:CA126)+(BP126+BQ126+BR126+BS126+BT126)*BL126</f>
        <v>158.64530790268859</v>
      </c>
      <c r="CC126" s="1018">
        <f t="shared" ref="CC126:CC137" ca="1" si="180">0.34*BM126*(1/25)^0.66*(BQ126+BS126+BT126)</f>
        <v>58.940561149332957</v>
      </c>
      <c r="CD126" s="3">
        <f t="shared" ca="1" si="100"/>
        <v>6.5275760715606461</v>
      </c>
      <c r="CE126" s="3">
        <f t="shared" ca="1" si="101"/>
        <v>10868.153056105612</v>
      </c>
    </row>
    <row r="127" spans="1:83" s="3" customFormat="1" x14ac:dyDescent="0.25">
      <c r="D127" s="6"/>
      <c r="F127" s="6"/>
      <c r="G127" s="6"/>
      <c r="H127" s="8"/>
      <c r="I127" s="6"/>
      <c r="J127" s="6"/>
      <c r="K127" s="6" t="s">
        <v>58</v>
      </c>
      <c r="L127" s="4"/>
      <c r="M127" s="6" t="s">
        <v>61</v>
      </c>
      <c r="N127" s="4"/>
      <c r="O127" s="2" t="s">
        <v>16</v>
      </c>
      <c r="P127" s="4"/>
      <c r="Q127" s="1"/>
      <c r="R127" s="79"/>
      <c r="S127" s="876"/>
      <c r="T127" s="282"/>
      <c r="U127" s="200"/>
      <c r="V127" s="176">
        <f t="shared" si="176"/>
        <v>0</v>
      </c>
      <c r="W127" s="176">
        <f>V127/Calculation_sheet!M$67</f>
        <v>0</v>
      </c>
      <c r="X127" s="958">
        <f ca="1">IF(AL127&gt;0,W127*Calculation_sheet!C$87,0)</f>
        <v>0</v>
      </c>
      <c r="Y127" s="176">
        <f t="shared" ca="1" si="177"/>
        <v>0</v>
      </c>
      <c r="Z127" s="176">
        <f>IF(AN127&gt;0,Y127*Calculation_sheet!C$94,0)</f>
        <v>0</v>
      </c>
      <c r="AA127" s="958">
        <f t="shared" ca="1" si="162"/>
        <v>0</v>
      </c>
      <c r="AB127" s="176">
        <f ca="1">AA127*Calculation_sheet!C$99</f>
        <v>0</v>
      </c>
      <c r="AC127" s="958">
        <f t="shared" ca="1" si="162"/>
        <v>0</v>
      </c>
      <c r="AD127" s="176">
        <f t="shared" si="178"/>
        <v>0</v>
      </c>
      <c r="AE127" s="176">
        <f>AD127*User_sheet!B$77/100</f>
        <v>0</v>
      </c>
      <c r="AF127" s="309"/>
      <c r="AG127" s="27">
        <v>402</v>
      </c>
      <c r="AH127" s="985"/>
      <c r="AI127" s="956">
        <f t="shared" ca="1" si="99"/>
        <v>158.64530790268859</v>
      </c>
      <c r="AJ127" s="956">
        <f ca="1">AI127/'402'!I$24</f>
        <v>0.78011284262885183</v>
      </c>
      <c r="AK127" s="956">
        <f ca="1">0.8*(AI127*30+'402'!D$17*0.34*30*1)</f>
        <v>6609.9577896645269</v>
      </c>
      <c r="AL127" s="954">
        <f ca="1">IF(AK127&lt;User_sheet!B$50,W127,0)</f>
        <v>0</v>
      </c>
      <c r="AM127" s="954">
        <f ca="1">20-(User_sheet!B$57/(AI127+'402'!D$17*1*0.34))</f>
        <v>-0.69604744131701679</v>
      </c>
      <c r="AN127" s="954"/>
      <c r="AO127" s="985"/>
      <c r="AP127" s="2">
        <v>0</v>
      </c>
      <c r="AQ127" s="2">
        <v>2.1</v>
      </c>
      <c r="AR127" s="2">
        <v>0</v>
      </c>
      <c r="AS127" s="27">
        <v>2</v>
      </c>
      <c r="AT127" s="2">
        <v>0</v>
      </c>
      <c r="AU127" s="2">
        <v>0</v>
      </c>
      <c r="AV127" s="2">
        <v>74715.401027665983</v>
      </c>
      <c r="AW127" s="2">
        <v>0</v>
      </c>
      <c r="AX127" s="2">
        <v>0</v>
      </c>
      <c r="AY127" s="2">
        <v>0</v>
      </c>
      <c r="AZ127" s="50">
        <v>0.6</v>
      </c>
      <c r="BA127" s="34">
        <v>1</v>
      </c>
      <c r="BB127" s="34">
        <v>0</v>
      </c>
      <c r="BC127" s="40">
        <v>0</v>
      </c>
      <c r="BD127" s="34">
        <v>1</v>
      </c>
      <c r="BE127" s="34">
        <v>0</v>
      </c>
      <c r="BF127" s="40">
        <v>0</v>
      </c>
      <c r="BG127" s="34">
        <v>0</v>
      </c>
      <c r="BH127" s="40">
        <v>1</v>
      </c>
      <c r="BI127" s="34">
        <v>1</v>
      </c>
      <c r="BJ127" s="34">
        <v>0</v>
      </c>
      <c r="BK127" s="40">
        <v>0</v>
      </c>
      <c r="BL127" s="958">
        <v>0</v>
      </c>
      <c r="BM127" s="958">
        <v>14.9</v>
      </c>
      <c r="BN127" s="37">
        <f t="shared" ca="1" si="163"/>
        <v>106</v>
      </c>
      <c r="BO127" s="3">
        <f t="shared" ca="1" si="164"/>
        <v>343.44000000000005</v>
      </c>
      <c r="BP127" s="3">
        <f t="shared" ca="1" si="165"/>
        <v>0</v>
      </c>
      <c r="BQ127" s="3">
        <f t="shared" ca="1" si="166"/>
        <v>78.362000000000009</v>
      </c>
      <c r="BR127" s="3">
        <f t="shared" ca="1" si="167"/>
        <v>0</v>
      </c>
      <c r="BS127" s="3">
        <f t="shared" ca="1" si="168"/>
        <v>19</v>
      </c>
      <c r="BT127" s="3">
        <f t="shared" ca="1" si="169"/>
        <v>0</v>
      </c>
      <c r="BU127" s="3">
        <v>0</v>
      </c>
      <c r="BV127" s="3">
        <f t="shared" ca="1" si="170"/>
        <v>0</v>
      </c>
      <c r="BW127" s="3">
        <f t="shared" ca="1" si="171"/>
        <v>120.64530791788859</v>
      </c>
      <c r="BX127" s="3">
        <f t="shared" ca="1" si="172"/>
        <v>0</v>
      </c>
      <c r="BY127" s="3">
        <f t="shared" ca="1" si="173"/>
        <v>37.999999984799999</v>
      </c>
      <c r="BZ127" s="3">
        <f t="shared" ca="1" si="174"/>
        <v>0</v>
      </c>
      <c r="CA127" s="3">
        <f t="shared" si="175"/>
        <v>0</v>
      </c>
      <c r="CB127" s="1018">
        <f t="shared" ca="1" si="179"/>
        <v>158.64530790268859</v>
      </c>
      <c r="CC127" s="1018">
        <f t="shared" ca="1" si="180"/>
        <v>58.940561149332957</v>
      </c>
      <c r="CD127" s="3">
        <f t="shared" ca="1" si="100"/>
        <v>6.5275760715606461</v>
      </c>
      <c r="CE127" s="3">
        <f t="shared" ca="1" si="101"/>
        <v>10868.153056105612</v>
      </c>
    </row>
    <row r="128" spans="1:83" s="3" customFormat="1" x14ac:dyDescent="0.25">
      <c r="D128" s="6"/>
      <c r="F128" s="1"/>
      <c r="G128"/>
      <c r="H128" s="8"/>
      <c r="I128" s="6" t="s">
        <v>16</v>
      </c>
      <c r="J128" s="4"/>
      <c r="K128" s="6"/>
      <c r="L128" s="6"/>
      <c r="M128" s="6"/>
      <c r="N128" s="6"/>
      <c r="O128" s="2" t="s">
        <v>7</v>
      </c>
      <c r="P128" s="4"/>
      <c r="Q128" s="1"/>
      <c r="R128" s="79"/>
      <c r="S128" s="876"/>
      <c r="T128" s="282"/>
      <c r="U128" s="200"/>
      <c r="V128" s="176">
        <f t="shared" si="176"/>
        <v>0</v>
      </c>
      <c r="W128" s="176">
        <f>V128/Calculation_sheet!M$67</f>
        <v>0</v>
      </c>
      <c r="X128" s="958">
        <f ca="1">IF(AL128&gt;0,W128*Calculation_sheet!C$87,0)</f>
        <v>0</v>
      </c>
      <c r="Y128" s="176">
        <f t="shared" ca="1" si="177"/>
        <v>0</v>
      </c>
      <c r="Z128" s="176">
        <f>IF(AN128&gt;0,Y128*Calculation_sheet!C$94,0)</f>
        <v>0</v>
      </c>
      <c r="AA128" s="958">
        <f t="shared" ca="1" si="162"/>
        <v>0</v>
      </c>
      <c r="AB128" s="176">
        <f ca="1">AA128*Calculation_sheet!C$99</f>
        <v>0</v>
      </c>
      <c r="AC128" s="958">
        <f t="shared" ca="1" si="162"/>
        <v>0</v>
      </c>
      <c r="AD128" s="176">
        <f t="shared" si="178"/>
        <v>0</v>
      </c>
      <c r="AE128" s="176">
        <f>AD128*User_sheet!B$77/100</f>
        <v>0</v>
      </c>
      <c r="AF128" s="309"/>
      <c r="AG128" s="27">
        <v>402</v>
      </c>
      <c r="AH128" s="985"/>
      <c r="AI128" s="956">
        <f t="shared" ca="1" si="99"/>
        <v>158.64530790268859</v>
      </c>
      <c r="AJ128" s="956">
        <f ca="1">AI128/'402'!I$24</f>
        <v>0.78011284262885183</v>
      </c>
      <c r="AK128" s="956">
        <f ca="1">0.8*(AI128*30+'402'!D$17*0.34*30*1)</f>
        <v>6609.9577896645269</v>
      </c>
      <c r="AL128" s="954">
        <f ca="1">IF(AK128&lt;User_sheet!B$50,W128,0)</f>
        <v>0</v>
      </c>
      <c r="AM128" s="954">
        <f ca="1">20-(User_sheet!B$57/(AI128+'402'!D$17*1*0.34))</f>
        <v>-0.69604744131701679</v>
      </c>
      <c r="AN128" s="954"/>
      <c r="AO128" s="985"/>
      <c r="AP128" s="2">
        <v>0</v>
      </c>
      <c r="AQ128" s="2">
        <v>2.1</v>
      </c>
      <c r="AR128" s="2">
        <v>0</v>
      </c>
      <c r="AS128" s="27">
        <v>2</v>
      </c>
      <c r="AT128" s="2">
        <v>0</v>
      </c>
      <c r="AU128" s="2">
        <v>0</v>
      </c>
      <c r="AV128" s="2">
        <v>74715.401027665983</v>
      </c>
      <c r="AW128" s="2">
        <v>0</v>
      </c>
      <c r="AX128" s="2">
        <v>0</v>
      </c>
      <c r="AY128" s="2">
        <v>0</v>
      </c>
      <c r="AZ128" s="50">
        <v>0.6</v>
      </c>
      <c r="BA128" s="34">
        <v>1</v>
      </c>
      <c r="BB128" s="34">
        <v>0</v>
      </c>
      <c r="BC128" s="40">
        <v>0</v>
      </c>
      <c r="BD128" s="34">
        <v>1</v>
      </c>
      <c r="BE128" s="34">
        <v>0</v>
      </c>
      <c r="BF128" s="40">
        <v>0</v>
      </c>
      <c r="BG128" s="34">
        <v>0</v>
      </c>
      <c r="BH128" s="40">
        <v>1</v>
      </c>
      <c r="BI128" s="34">
        <v>0</v>
      </c>
      <c r="BJ128" s="34">
        <v>0</v>
      </c>
      <c r="BK128" s="40">
        <v>1</v>
      </c>
      <c r="BL128" s="958">
        <v>0</v>
      </c>
      <c r="BM128" s="958">
        <v>14.9</v>
      </c>
      <c r="BN128" s="37">
        <f t="shared" ca="1" si="163"/>
        <v>106</v>
      </c>
      <c r="BO128" s="3">
        <f t="shared" ca="1" si="164"/>
        <v>343.44000000000005</v>
      </c>
      <c r="BP128" s="3">
        <f t="shared" ca="1" si="165"/>
        <v>0</v>
      </c>
      <c r="BQ128" s="3">
        <f t="shared" ca="1" si="166"/>
        <v>78.362000000000009</v>
      </c>
      <c r="BR128" s="3">
        <f t="shared" ca="1" si="167"/>
        <v>0</v>
      </c>
      <c r="BS128" s="3">
        <f t="shared" ca="1" si="168"/>
        <v>19</v>
      </c>
      <c r="BT128" s="3">
        <f t="shared" ca="1" si="169"/>
        <v>0</v>
      </c>
      <c r="BU128" s="3">
        <v>0</v>
      </c>
      <c r="BV128" s="3">
        <f t="shared" ca="1" si="170"/>
        <v>0</v>
      </c>
      <c r="BW128" s="3">
        <f t="shared" ca="1" si="171"/>
        <v>120.64530791788859</v>
      </c>
      <c r="BX128" s="3">
        <f t="shared" ca="1" si="172"/>
        <v>0</v>
      </c>
      <c r="BY128" s="3">
        <f t="shared" ca="1" si="173"/>
        <v>37.999999984799999</v>
      </c>
      <c r="BZ128" s="3">
        <f t="shared" ca="1" si="174"/>
        <v>0</v>
      </c>
      <c r="CA128" s="3">
        <f t="shared" si="175"/>
        <v>0</v>
      </c>
      <c r="CB128" s="1018">
        <f t="shared" ca="1" si="179"/>
        <v>158.64530790268859</v>
      </c>
      <c r="CC128" s="1018">
        <f t="shared" ca="1" si="180"/>
        <v>58.940561149332957</v>
      </c>
      <c r="CD128" s="3">
        <f t="shared" ca="1" si="100"/>
        <v>6.5275760715606461</v>
      </c>
      <c r="CE128" s="3">
        <f t="shared" ca="1" si="101"/>
        <v>10868.153056105612</v>
      </c>
    </row>
    <row r="129" spans="1:83" s="3" customFormat="1" x14ac:dyDescent="0.25">
      <c r="D129" s="6"/>
      <c r="F129" s="1"/>
      <c r="G129"/>
      <c r="H129" s="8"/>
      <c r="I129" s="6"/>
      <c r="J129" s="6"/>
      <c r="K129" s="6" t="s">
        <v>59</v>
      </c>
      <c r="L129" s="4"/>
      <c r="M129" s="6"/>
      <c r="N129" s="6"/>
      <c r="O129" s="27" t="s">
        <v>16</v>
      </c>
      <c r="P129" s="4"/>
      <c r="Q129" s="1"/>
      <c r="R129" s="79"/>
      <c r="S129" s="876"/>
      <c r="T129" s="282"/>
      <c r="U129" s="200"/>
      <c r="V129" s="176">
        <f t="shared" si="176"/>
        <v>0</v>
      </c>
      <c r="W129" s="176">
        <f>V129/Calculation_sheet!M$67</f>
        <v>0</v>
      </c>
      <c r="X129" s="958">
        <f ca="1">IF(AL129&gt;0,W129*Calculation_sheet!C$87,0)</f>
        <v>0</v>
      </c>
      <c r="Y129" s="176">
        <f t="shared" ca="1" si="177"/>
        <v>0</v>
      </c>
      <c r="Z129" s="176">
        <f>IF(AN129&gt;0,Y129*Calculation_sheet!C$94,0)</f>
        <v>0</v>
      </c>
      <c r="AA129" s="958">
        <f t="shared" ca="1" si="162"/>
        <v>0</v>
      </c>
      <c r="AB129" s="176">
        <f ca="1">AA129*Calculation_sheet!C$99</f>
        <v>0</v>
      </c>
      <c r="AC129" s="958">
        <f t="shared" ca="1" si="162"/>
        <v>0</v>
      </c>
      <c r="AD129" s="176">
        <f t="shared" si="178"/>
        <v>0</v>
      </c>
      <c r="AE129" s="176">
        <f>AD129*User_sheet!B$77/100</f>
        <v>0</v>
      </c>
      <c r="AF129" s="309"/>
      <c r="AG129" s="27">
        <v>402</v>
      </c>
      <c r="AH129" s="985"/>
      <c r="AI129" s="956">
        <f t="shared" ca="1" si="99"/>
        <v>158.64530790268859</v>
      </c>
      <c r="AJ129" s="956">
        <f ca="1">AI129/'402'!I$24</f>
        <v>0.78011284262885183</v>
      </c>
      <c r="AK129" s="956">
        <f ca="1">0.8*(AI129*30+'402'!D$17*0.34*30*1)</f>
        <v>6609.9577896645269</v>
      </c>
      <c r="AL129" s="954">
        <f ca="1">IF(AK129&lt;User_sheet!B$50,W129,0)</f>
        <v>0</v>
      </c>
      <c r="AM129" s="954">
        <f ca="1">20-(User_sheet!B$57/(AI129+'402'!D$17*1*0.34))</f>
        <v>-0.69604744131701679</v>
      </c>
      <c r="AN129" s="954"/>
      <c r="AO129" s="985"/>
      <c r="AP129" s="2">
        <v>0</v>
      </c>
      <c r="AQ129" s="2">
        <v>2.1</v>
      </c>
      <c r="AR129" s="2">
        <v>0</v>
      </c>
      <c r="AS129" s="27">
        <v>2</v>
      </c>
      <c r="AT129" s="2">
        <v>0</v>
      </c>
      <c r="AU129" s="2">
        <v>0</v>
      </c>
      <c r="AV129" s="2">
        <v>74715.401027665983</v>
      </c>
      <c r="AW129" s="2">
        <v>0</v>
      </c>
      <c r="AX129" s="2">
        <v>0</v>
      </c>
      <c r="AY129" s="2">
        <v>0</v>
      </c>
      <c r="AZ129" s="50">
        <v>0.6</v>
      </c>
      <c r="BA129" s="34">
        <v>1</v>
      </c>
      <c r="BB129" s="34">
        <v>0</v>
      </c>
      <c r="BC129" s="40">
        <v>0</v>
      </c>
      <c r="BD129" s="34">
        <v>0</v>
      </c>
      <c r="BE129" s="34">
        <v>1</v>
      </c>
      <c r="BF129" s="40">
        <v>0</v>
      </c>
      <c r="BG129" s="34">
        <v>1</v>
      </c>
      <c r="BH129" s="40">
        <v>0</v>
      </c>
      <c r="BI129" s="34">
        <v>1</v>
      </c>
      <c r="BJ129" s="34">
        <v>0</v>
      </c>
      <c r="BK129" s="40">
        <v>0</v>
      </c>
      <c r="BL129" s="958">
        <v>0</v>
      </c>
      <c r="BM129" s="958">
        <v>14.9</v>
      </c>
      <c r="BN129" s="37">
        <f t="shared" ca="1" si="163"/>
        <v>106</v>
      </c>
      <c r="BO129" s="3">
        <f t="shared" ca="1" si="164"/>
        <v>343.44000000000005</v>
      </c>
      <c r="BP129" s="3">
        <f t="shared" ca="1" si="165"/>
        <v>0</v>
      </c>
      <c r="BQ129" s="3">
        <f t="shared" ca="1" si="166"/>
        <v>78.362000000000009</v>
      </c>
      <c r="BR129" s="3">
        <f t="shared" ca="1" si="167"/>
        <v>0</v>
      </c>
      <c r="BS129" s="3">
        <f t="shared" ca="1" si="168"/>
        <v>19</v>
      </c>
      <c r="BT129" s="3">
        <f t="shared" ca="1" si="169"/>
        <v>0</v>
      </c>
      <c r="BU129" s="3">
        <v>0</v>
      </c>
      <c r="BV129" s="3">
        <f t="shared" ca="1" si="170"/>
        <v>0</v>
      </c>
      <c r="BW129" s="3">
        <f t="shared" ca="1" si="171"/>
        <v>120.64530791788859</v>
      </c>
      <c r="BX129" s="3">
        <f t="shared" ca="1" si="172"/>
        <v>0</v>
      </c>
      <c r="BY129" s="3">
        <f t="shared" ca="1" si="173"/>
        <v>37.999999984799999</v>
      </c>
      <c r="BZ129" s="3">
        <f t="shared" ca="1" si="174"/>
        <v>0</v>
      </c>
      <c r="CA129" s="3">
        <f t="shared" si="175"/>
        <v>0</v>
      </c>
      <c r="CB129" s="1018">
        <f t="shared" ca="1" si="179"/>
        <v>158.64530790268859</v>
      </c>
      <c r="CC129" s="1018">
        <f t="shared" ca="1" si="180"/>
        <v>58.940561149332957</v>
      </c>
      <c r="CD129" s="3">
        <f t="shared" ca="1" si="100"/>
        <v>6.5275760715606461</v>
      </c>
      <c r="CE129" s="3">
        <f t="shared" ca="1" si="101"/>
        <v>10868.153056105612</v>
      </c>
    </row>
    <row r="130" spans="1:83" s="3" customFormat="1" x14ac:dyDescent="0.25">
      <c r="D130" s="6"/>
      <c r="F130" s="3" t="s">
        <v>144</v>
      </c>
      <c r="G130"/>
      <c r="H130" s="8"/>
      <c r="I130" s="6"/>
      <c r="J130" s="6"/>
      <c r="K130" s="6"/>
      <c r="L130" s="6"/>
      <c r="M130" s="6"/>
      <c r="N130" s="6"/>
      <c r="O130" s="27" t="s">
        <v>7</v>
      </c>
      <c r="P130" s="4"/>
      <c r="Q130" s="1"/>
      <c r="R130" s="79"/>
      <c r="S130" s="876"/>
      <c r="T130" s="282"/>
      <c r="U130" s="200"/>
      <c r="V130" s="176">
        <f t="shared" si="176"/>
        <v>0</v>
      </c>
      <c r="W130" s="176">
        <f>V130/Calculation_sheet!M$67</f>
        <v>0</v>
      </c>
      <c r="X130" s="958">
        <f ca="1">IF(AL130&gt;0,W130*Calculation_sheet!C$87,0)</f>
        <v>0</v>
      </c>
      <c r="Y130" s="176">
        <f t="shared" ca="1" si="177"/>
        <v>0</v>
      </c>
      <c r="Z130" s="176">
        <f>IF(AN130&gt;0,Y130*Calculation_sheet!C$94,0)</f>
        <v>0</v>
      </c>
      <c r="AA130" s="958">
        <f t="shared" ca="1" si="162"/>
        <v>0</v>
      </c>
      <c r="AB130" s="176">
        <f ca="1">AA130*Calculation_sheet!C$99</f>
        <v>0</v>
      </c>
      <c r="AC130" s="958">
        <f t="shared" ca="1" si="162"/>
        <v>0</v>
      </c>
      <c r="AD130" s="176">
        <f t="shared" si="178"/>
        <v>0</v>
      </c>
      <c r="AE130" s="176">
        <f>AD130*User_sheet!B$77/100</f>
        <v>0</v>
      </c>
      <c r="AF130" s="309"/>
      <c r="AG130" s="27">
        <v>402</v>
      </c>
      <c r="AH130" s="985"/>
      <c r="AI130" s="956">
        <f t="shared" ca="1" si="99"/>
        <v>158.64530790268859</v>
      </c>
      <c r="AJ130" s="956">
        <f ca="1">AI130/'402'!I$24</f>
        <v>0.78011284262885183</v>
      </c>
      <c r="AK130" s="956">
        <f ca="1">0.8*(AI130*30+'402'!D$17*0.34*30*1)</f>
        <v>6609.9577896645269</v>
      </c>
      <c r="AL130" s="954">
        <f ca="1">IF(AK130&lt;User_sheet!B$50,W130,0)</f>
        <v>0</v>
      </c>
      <c r="AM130" s="954">
        <f ca="1">20-(User_sheet!B$57/(AI130+'402'!D$17*1*0.34))</f>
        <v>-0.69604744131701679</v>
      </c>
      <c r="AN130" s="954"/>
      <c r="AO130" s="985"/>
      <c r="AP130" s="2">
        <v>0</v>
      </c>
      <c r="AQ130" s="2">
        <v>2.1</v>
      </c>
      <c r="AR130" s="2">
        <v>0</v>
      </c>
      <c r="AS130" s="27">
        <v>2</v>
      </c>
      <c r="AT130" s="2">
        <v>0</v>
      </c>
      <c r="AU130" s="2">
        <v>0</v>
      </c>
      <c r="AV130" s="2">
        <v>74715.401027665983</v>
      </c>
      <c r="AW130" s="2">
        <v>0</v>
      </c>
      <c r="AX130" s="2">
        <v>0</v>
      </c>
      <c r="AY130" s="2">
        <v>0</v>
      </c>
      <c r="AZ130" s="50">
        <v>0.6</v>
      </c>
      <c r="BA130" s="34">
        <v>1</v>
      </c>
      <c r="BB130" s="34">
        <v>0</v>
      </c>
      <c r="BC130" s="40">
        <v>0</v>
      </c>
      <c r="BD130" s="34">
        <v>0</v>
      </c>
      <c r="BE130" s="34">
        <v>1</v>
      </c>
      <c r="BF130" s="40">
        <v>0</v>
      </c>
      <c r="BG130" s="34">
        <v>1</v>
      </c>
      <c r="BH130" s="40">
        <v>0</v>
      </c>
      <c r="BI130" s="34">
        <v>0</v>
      </c>
      <c r="BJ130" s="34">
        <v>0</v>
      </c>
      <c r="BK130" s="40">
        <v>1</v>
      </c>
      <c r="BL130" s="958">
        <v>0</v>
      </c>
      <c r="BM130" s="958">
        <v>14.9</v>
      </c>
      <c r="BN130" s="37">
        <f t="shared" ca="1" si="163"/>
        <v>106</v>
      </c>
      <c r="BO130" s="3">
        <f t="shared" ca="1" si="164"/>
        <v>343.44000000000005</v>
      </c>
      <c r="BP130" s="3">
        <f t="shared" ca="1" si="165"/>
        <v>0</v>
      </c>
      <c r="BQ130" s="3">
        <f t="shared" ca="1" si="166"/>
        <v>78.362000000000009</v>
      </c>
      <c r="BR130" s="3">
        <f t="shared" ca="1" si="167"/>
        <v>0</v>
      </c>
      <c r="BS130" s="3">
        <f t="shared" ca="1" si="168"/>
        <v>19</v>
      </c>
      <c r="BT130" s="3">
        <f t="shared" ca="1" si="169"/>
        <v>0</v>
      </c>
      <c r="BU130" s="3">
        <v>0</v>
      </c>
      <c r="BV130" s="3">
        <f t="shared" ca="1" si="170"/>
        <v>0</v>
      </c>
      <c r="BW130" s="3">
        <f t="shared" ca="1" si="171"/>
        <v>120.64530791788859</v>
      </c>
      <c r="BX130" s="3">
        <f t="shared" ca="1" si="172"/>
        <v>0</v>
      </c>
      <c r="BY130" s="3">
        <f t="shared" ca="1" si="173"/>
        <v>37.999999984799999</v>
      </c>
      <c r="BZ130" s="3">
        <f t="shared" ca="1" si="174"/>
        <v>0</v>
      </c>
      <c r="CA130" s="3">
        <f t="shared" si="175"/>
        <v>0</v>
      </c>
      <c r="CB130" s="1018">
        <f t="shared" ca="1" si="179"/>
        <v>158.64530790268859</v>
      </c>
      <c r="CC130" s="1018">
        <f t="shared" ca="1" si="180"/>
        <v>58.940561149332957</v>
      </c>
      <c r="CD130" s="3">
        <f t="shared" ca="1" si="100"/>
        <v>6.5275760715606461</v>
      </c>
      <c r="CE130" s="3">
        <f t="shared" ca="1" si="101"/>
        <v>10868.153056105612</v>
      </c>
    </row>
    <row r="131" spans="1:83" x14ac:dyDescent="0.25">
      <c r="D131" s="1"/>
      <c r="F131" s="6" t="s">
        <v>190</v>
      </c>
      <c r="H131" s="8"/>
      <c r="I131" s="6"/>
      <c r="J131" s="6"/>
      <c r="K131" s="6"/>
      <c r="L131" s="6"/>
      <c r="M131" s="6" t="s">
        <v>60</v>
      </c>
      <c r="N131" s="4"/>
      <c r="O131" s="2" t="s">
        <v>57</v>
      </c>
      <c r="P131" s="4"/>
      <c r="Q131" s="1"/>
      <c r="R131" s="79"/>
      <c r="S131" s="876"/>
      <c r="T131" s="280"/>
      <c r="U131" s="200"/>
      <c r="V131" s="176">
        <f t="shared" si="176"/>
        <v>0</v>
      </c>
      <c r="W131" s="176">
        <f>V131/Calculation_sheet!M$67</f>
        <v>0</v>
      </c>
      <c r="X131" s="958">
        <f ca="1">IF(AL131&gt;0,W131*Calculation_sheet!C$87,0)</f>
        <v>0</v>
      </c>
      <c r="Y131" s="176">
        <f t="shared" ca="1" si="177"/>
        <v>0</v>
      </c>
      <c r="Z131" s="176">
        <f>IF(AN131&gt;0,Y131*Calculation_sheet!C$94,0)</f>
        <v>0</v>
      </c>
      <c r="AA131" s="958">
        <f t="shared" ca="1" si="162"/>
        <v>0</v>
      </c>
      <c r="AB131" s="176">
        <f ca="1">AA131*Calculation_sheet!C$99</f>
        <v>0</v>
      </c>
      <c r="AC131" s="958">
        <f t="shared" ca="1" si="162"/>
        <v>0</v>
      </c>
      <c r="AD131" s="176">
        <f t="shared" si="178"/>
        <v>0</v>
      </c>
      <c r="AE131" s="176">
        <f>AD131*User_sheet!B$77/100</f>
        <v>0</v>
      </c>
      <c r="AF131" s="309"/>
      <c r="AG131" s="27">
        <v>402</v>
      </c>
      <c r="AH131" s="985"/>
      <c r="AI131" s="956">
        <f t="shared" ca="1" si="99"/>
        <v>158.64530790268859</v>
      </c>
      <c r="AJ131" s="956">
        <f ca="1">AI131/'402'!I$24</f>
        <v>0.78011284262885183</v>
      </c>
      <c r="AK131" s="956">
        <f ca="1">0.8*(AI131*30+'402'!D$17*0.34*30*1)</f>
        <v>6609.9577896645269</v>
      </c>
      <c r="AL131" s="954">
        <f ca="1">IF(AK131&lt;User_sheet!B$50,W131,0)</f>
        <v>0</v>
      </c>
      <c r="AM131" s="954">
        <f ca="1">20-(User_sheet!B$57/(AI131+'402'!D$17*1*0.34))</f>
        <v>-0.69604744131701679</v>
      </c>
      <c r="AN131" s="954"/>
      <c r="AO131" s="985"/>
      <c r="AP131" s="2">
        <v>0</v>
      </c>
      <c r="AQ131" s="2">
        <v>2.1</v>
      </c>
      <c r="AR131" s="2">
        <v>0</v>
      </c>
      <c r="AS131" s="27">
        <v>2</v>
      </c>
      <c r="AT131" s="2">
        <v>0</v>
      </c>
      <c r="AU131" s="2">
        <v>0</v>
      </c>
      <c r="AV131" s="2">
        <v>74715.401027665983</v>
      </c>
      <c r="AW131" s="2">
        <v>0</v>
      </c>
      <c r="AX131" s="2">
        <v>0</v>
      </c>
      <c r="AY131" s="2">
        <v>0</v>
      </c>
      <c r="AZ131" s="50">
        <v>0.6</v>
      </c>
      <c r="BA131" s="34">
        <v>0</v>
      </c>
      <c r="BB131" s="34">
        <v>1</v>
      </c>
      <c r="BC131" s="40">
        <v>0</v>
      </c>
      <c r="BD131" s="34">
        <v>1</v>
      </c>
      <c r="BE131" s="34">
        <v>0</v>
      </c>
      <c r="BF131" s="40">
        <v>0</v>
      </c>
      <c r="BG131" s="34">
        <v>1</v>
      </c>
      <c r="BH131" s="40">
        <v>0</v>
      </c>
      <c r="BI131" s="34">
        <v>0</v>
      </c>
      <c r="BJ131" s="34">
        <v>1</v>
      </c>
      <c r="BK131" s="40">
        <v>0</v>
      </c>
      <c r="BL131" s="958">
        <v>0</v>
      </c>
      <c r="BM131" s="958">
        <v>14.9</v>
      </c>
      <c r="BN131" s="32">
        <f t="shared" ca="1" si="163"/>
        <v>106</v>
      </c>
      <c r="BO131">
        <f t="shared" ca="1" si="164"/>
        <v>343.44000000000005</v>
      </c>
      <c r="BP131">
        <f t="shared" ca="1" si="165"/>
        <v>0</v>
      </c>
      <c r="BQ131">
        <f t="shared" ca="1" si="166"/>
        <v>78.362000000000009</v>
      </c>
      <c r="BR131">
        <f t="shared" ca="1" si="167"/>
        <v>0</v>
      </c>
      <c r="BS131">
        <f t="shared" ca="1" si="168"/>
        <v>19</v>
      </c>
      <c r="BT131">
        <f t="shared" ca="1" si="169"/>
        <v>0</v>
      </c>
      <c r="BU131">
        <v>0</v>
      </c>
      <c r="BV131">
        <f t="shared" ca="1" si="170"/>
        <v>0</v>
      </c>
      <c r="BW131">
        <f t="shared" ca="1" si="171"/>
        <v>120.64530791788859</v>
      </c>
      <c r="BX131">
        <f t="shared" ca="1" si="172"/>
        <v>0</v>
      </c>
      <c r="BY131">
        <f t="shared" ca="1" si="173"/>
        <v>37.999999984799999</v>
      </c>
      <c r="BZ131">
        <f t="shared" ca="1" si="174"/>
        <v>0</v>
      </c>
      <c r="CA131">
        <f t="shared" si="175"/>
        <v>0</v>
      </c>
      <c r="CB131" s="1018">
        <f t="shared" ca="1" si="179"/>
        <v>158.64530790268859</v>
      </c>
      <c r="CC131" s="1018">
        <f t="shared" ca="1" si="180"/>
        <v>58.940561149332957</v>
      </c>
      <c r="CD131">
        <f t="shared" ca="1" si="100"/>
        <v>6.5275760715606461</v>
      </c>
      <c r="CE131">
        <f t="shared" ca="1" si="101"/>
        <v>10868.153056105612</v>
      </c>
    </row>
    <row r="132" spans="1:83" x14ac:dyDescent="0.25">
      <c r="D132" s="1"/>
      <c r="F132" s="1"/>
      <c r="G132" s="6"/>
      <c r="H132" s="8"/>
      <c r="I132" s="6"/>
      <c r="J132" s="6"/>
      <c r="K132" s="6"/>
      <c r="L132" s="6"/>
      <c r="M132" s="6"/>
      <c r="N132" s="6"/>
      <c r="O132" s="2" t="s">
        <v>7</v>
      </c>
      <c r="P132" s="4"/>
      <c r="Q132" s="1"/>
      <c r="R132" s="79"/>
      <c r="S132" s="876"/>
      <c r="T132" s="280"/>
      <c r="U132" s="200"/>
      <c r="V132" s="176">
        <f t="shared" si="176"/>
        <v>0</v>
      </c>
      <c r="W132" s="176">
        <f>V132/Calculation_sheet!M$67</f>
        <v>0</v>
      </c>
      <c r="X132" s="958">
        <f ca="1">IF(AL132&gt;0,W132*Calculation_sheet!C$87,0)</f>
        <v>0</v>
      </c>
      <c r="Y132" s="176">
        <f t="shared" ca="1" si="177"/>
        <v>0</v>
      </c>
      <c r="Z132" s="176">
        <f>IF(AN132&gt;0,Y132*Calculation_sheet!C$94,0)</f>
        <v>0</v>
      </c>
      <c r="AA132" s="958">
        <f t="shared" ca="1" si="162"/>
        <v>0</v>
      </c>
      <c r="AB132" s="176">
        <f ca="1">AA132*Calculation_sheet!C$99</f>
        <v>0</v>
      </c>
      <c r="AC132" s="958">
        <f t="shared" ca="1" si="162"/>
        <v>0</v>
      </c>
      <c r="AD132" s="176">
        <f t="shared" si="178"/>
        <v>0</v>
      </c>
      <c r="AE132" s="176">
        <f>AD132*User_sheet!B$77/100</f>
        <v>0</v>
      </c>
      <c r="AF132" s="309"/>
      <c r="AG132" s="27">
        <v>402</v>
      </c>
      <c r="AH132" s="985"/>
      <c r="AI132" s="956">
        <f t="shared" ca="1" si="99"/>
        <v>158.64530790268859</v>
      </c>
      <c r="AJ132" s="956">
        <f ca="1">AI132/'402'!I$24</f>
        <v>0.78011284262885183</v>
      </c>
      <c r="AK132" s="956">
        <f ca="1">0.8*(AI132*30+'402'!D$17*0.34*30*1)</f>
        <v>6609.9577896645269</v>
      </c>
      <c r="AL132" s="954">
        <f ca="1">IF(AK132&lt;User_sheet!B$50,W132,0)</f>
        <v>0</v>
      </c>
      <c r="AM132" s="954">
        <f ca="1">20-(User_sheet!B$57/(AI132+'402'!D$17*1*0.34))</f>
        <v>-0.69604744131701679</v>
      </c>
      <c r="AN132" s="954"/>
      <c r="AO132" s="985"/>
      <c r="AP132" s="2">
        <v>0</v>
      </c>
      <c r="AQ132" s="2">
        <v>2.1</v>
      </c>
      <c r="AR132" s="2">
        <v>0</v>
      </c>
      <c r="AS132" s="27">
        <v>2</v>
      </c>
      <c r="AT132" s="2">
        <v>0</v>
      </c>
      <c r="AU132" s="2">
        <v>0</v>
      </c>
      <c r="AV132" s="2">
        <v>74715.401027665983</v>
      </c>
      <c r="AW132" s="2">
        <v>0</v>
      </c>
      <c r="AX132" s="2">
        <v>0</v>
      </c>
      <c r="AY132" s="2">
        <v>0</v>
      </c>
      <c r="AZ132" s="50">
        <v>0.6</v>
      </c>
      <c r="BA132" s="34">
        <v>0</v>
      </c>
      <c r="BB132" s="34">
        <v>1</v>
      </c>
      <c r="BC132" s="40">
        <v>0</v>
      </c>
      <c r="BD132" s="34">
        <v>1</v>
      </c>
      <c r="BE132" s="34">
        <v>0</v>
      </c>
      <c r="BF132" s="40">
        <v>0</v>
      </c>
      <c r="BG132" s="34">
        <v>1</v>
      </c>
      <c r="BH132" s="40">
        <v>0</v>
      </c>
      <c r="BI132" s="34">
        <v>0</v>
      </c>
      <c r="BJ132" s="34">
        <v>0</v>
      </c>
      <c r="BK132" s="40">
        <v>1</v>
      </c>
      <c r="BL132" s="958">
        <v>0</v>
      </c>
      <c r="BM132" s="958">
        <v>14.9</v>
      </c>
      <c r="BN132" s="32">
        <f t="shared" ca="1" si="163"/>
        <v>106</v>
      </c>
      <c r="BO132">
        <f t="shared" ca="1" si="164"/>
        <v>343.44000000000005</v>
      </c>
      <c r="BP132">
        <f t="shared" ca="1" si="165"/>
        <v>0</v>
      </c>
      <c r="BQ132">
        <f t="shared" ca="1" si="166"/>
        <v>78.362000000000009</v>
      </c>
      <c r="BR132">
        <f t="shared" ca="1" si="167"/>
        <v>0</v>
      </c>
      <c r="BS132">
        <f t="shared" ca="1" si="168"/>
        <v>19</v>
      </c>
      <c r="BT132">
        <f t="shared" ca="1" si="169"/>
        <v>0</v>
      </c>
      <c r="BU132">
        <v>0</v>
      </c>
      <c r="BV132">
        <f t="shared" ca="1" si="170"/>
        <v>0</v>
      </c>
      <c r="BW132">
        <f t="shared" ca="1" si="171"/>
        <v>120.64530791788859</v>
      </c>
      <c r="BX132">
        <f t="shared" ca="1" si="172"/>
        <v>0</v>
      </c>
      <c r="BY132">
        <f t="shared" ca="1" si="173"/>
        <v>37.999999984799999</v>
      </c>
      <c r="BZ132">
        <f t="shared" ca="1" si="174"/>
        <v>0</v>
      </c>
      <c r="CA132">
        <f t="shared" si="175"/>
        <v>0</v>
      </c>
      <c r="CB132" s="1018">
        <f t="shared" ca="1" si="179"/>
        <v>158.64530790268859</v>
      </c>
      <c r="CC132" s="1018">
        <f t="shared" ca="1" si="180"/>
        <v>58.940561149332957</v>
      </c>
      <c r="CD132">
        <f t="shared" ca="1" si="100"/>
        <v>6.5275760715606461</v>
      </c>
      <c r="CE132">
        <f t="shared" ca="1" si="101"/>
        <v>10868.153056105612</v>
      </c>
    </row>
    <row r="133" spans="1:83" x14ac:dyDescent="0.25">
      <c r="D133" s="1"/>
      <c r="F133" s="1"/>
      <c r="G133" s="6"/>
      <c r="H133" s="8"/>
      <c r="I133" s="6"/>
      <c r="J133" s="6"/>
      <c r="K133" s="6" t="s">
        <v>58</v>
      </c>
      <c r="L133" s="4"/>
      <c r="M133" s="6" t="s">
        <v>61</v>
      </c>
      <c r="N133" s="4"/>
      <c r="O133" s="2" t="s">
        <v>57</v>
      </c>
      <c r="P133" s="4"/>
      <c r="Q133" s="1"/>
      <c r="R133" s="79"/>
      <c r="S133" s="876"/>
      <c r="T133" s="280"/>
      <c r="U133" s="200"/>
      <c r="V133" s="176">
        <f t="shared" si="176"/>
        <v>0</v>
      </c>
      <c r="W133" s="176">
        <f>V133/Calculation_sheet!M$67</f>
        <v>0</v>
      </c>
      <c r="X133" s="958">
        <f ca="1">IF(AL133&gt;0,W133*Calculation_sheet!C$87,0)</f>
        <v>0</v>
      </c>
      <c r="Y133" s="176">
        <f t="shared" ca="1" si="177"/>
        <v>0</v>
      </c>
      <c r="Z133" s="176">
        <f>IF(AN133&gt;0,Y133*Calculation_sheet!C$94,0)</f>
        <v>0</v>
      </c>
      <c r="AA133" s="958">
        <f t="shared" ca="1" si="162"/>
        <v>0</v>
      </c>
      <c r="AB133" s="176">
        <f ca="1">AA133*Calculation_sheet!C$99</f>
        <v>0</v>
      </c>
      <c r="AC133" s="958">
        <f t="shared" ca="1" si="162"/>
        <v>0</v>
      </c>
      <c r="AD133" s="176">
        <f t="shared" si="178"/>
        <v>0</v>
      </c>
      <c r="AE133" s="176">
        <f>AD133*User_sheet!B$77/100</f>
        <v>0</v>
      </c>
      <c r="AF133" s="309"/>
      <c r="AG133" s="27">
        <v>402</v>
      </c>
      <c r="AH133" s="985"/>
      <c r="AI133" s="956">
        <f t="shared" ca="1" si="99"/>
        <v>158.64530790268859</v>
      </c>
      <c r="AJ133" s="956">
        <f ca="1">AI133/'402'!I$24</f>
        <v>0.78011284262885183</v>
      </c>
      <c r="AK133" s="956">
        <f ca="1">0.8*(AI133*30+'402'!D$17*0.34*30*1)</f>
        <v>6609.9577896645269</v>
      </c>
      <c r="AL133" s="954">
        <f ca="1">IF(AK133&lt;User_sheet!B$50,W133,0)</f>
        <v>0</v>
      </c>
      <c r="AM133" s="954">
        <f ca="1">20-(User_sheet!B$57/(AI133+'402'!D$17*1*0.34))</f>
        <v>-0.69604744131701679</v>
      </c>
      <c r="AN133" s="954"/>
      <c r="AO133" s="985"/>
      <c r="AP133" s="2">
        <v>0</v>
      </c>
      <c r="AQ133" s="2">
        <v>2.1</v>
      </c>
      <c r="AR133" s="2">
        <v>0</v>
      </c>
      <c r="AS133" s="27">
        <v>2</v>
      </c>
      <c r="AT133" s="2">
        <v>0</v>
      </c>
      <c r="AU133" s="2">
        <v>0</v>
      </c>
      <c r="AV133" s="2">
        <v>74715.401027665983</v>
      </c>
      <c r="AW133" s="2">
        <v>0</v>
      </c>
      <c r="AX133" s="2">
        <v>0</v>
      </c>
      <c r="AY133" s="2">
        <v>0</v>
      </c>
      <c r="AZ133" s="50">
        <v>0.6</v>
      </c>
      <c r="BA133" s="34">
        <v>0</v>
      </c>
      <c r="BB133" s="34">
        <v>1</v>
      </c>
      <c r="BC133" s="40">
        <v>0</v>
      </c>
      <c r="BD133" s="34">
        <v>1</v>
      </c>
      <c r="BE133" s="34">
        <v>0</v>
      </c>
      <c r="BF133" s="40">
        <v>0</v>
      </c>
      <c r="BG133" s="34">
        <v>0</v>
      </c>
      <c r="BH133" s="40">
        <v>1</v>
      </c>
      <c r="BI133" s="34">
        <v>0</v>
      </c>
      <c r="BJ133" s="34">
        <v>1</v>
      </c>
      <c r="BK133" s="40">
        <v>0</v>
      </c>
      <c r="BL133" s="958">
        <v>0</v>
      </c>
      <c r="BM133" s="958">
        <v>14.9</v>
      </c>
      <c r="BN133" s="32">
        <f t="shared" ca="1" si="163"/>
        <v>106</v>
      </c>
      <c r="BO133">
        <f t="shared" ca="1" si="164"/>
        <v>343.44000000000005</v>
      </c>
      <c r="BP133">
        <f t="shared" ca="1" si="165"/>
        <v>0</v>
      </c>
      <c r="BQ133">
        <f t="shared" ca="1" si="166"/>
        <v>78.362000000000009</v>
      </c>
      <c r="BR133">
        <f t="shared" ca="1" si="167"/>
        <v>0</v>
      </c>
      <c r="BS133">
        <f t="shared" ca="1" si="168"/>
        <v>19</v>
      </c>
      <c r="BT133">
        <f t="shared" ca="1" si="169"/>
        <v>0</v>
      </c>
      <c r="BU133">
        <v>0</v>
      </c>
      <c r="BV133">
        <f t="shared" ca="1" si="170"/>
        <v>0</v>
      </c>
      <c r="BW133">
        <f t="shared" ca="1" si="171"/>
        <v>120.64530791788859</v>
      </c>
      <c r="BX133">
        <f t="shared" ca="1" si="172"/>
        <v>0</v>
      </c>
      <c r="BY133">
        <f t="shared" ca="1" si="173"/>
        <v>37.999999984799999</v>
      </c>
      <c r="BZ133">
        <f t="shared" ca="1" si="174"/>
        <v>0</v>
      </c>
      <c r="CA133">
        <f t="shared" si="175"/>
        <v>0</v>
      </c>
      <c r="CB133" s="1018">
        <f t="shared" ca="1" si="179"/>
        <v>158.64530790268859</v>
      </c>
      <c r="CC133" s="1018">
        <f t="shared" ca="1" si="180"/>
        <v>58.940561149332957</v>
      </c>
      <c r="CD133">
        <f t="shared" ca="1" si="100"/>
        <v>6.5275760715606461</v>
      </c>
      <c r="CE133">
        <f t="shared" ca="1" si="101"/>
        <v>10868.153056105612</v>
      </c>
    </row>
    <row r="134" spans="1:83" x14ac:dyDescent="0.25">
      <c r="D134" s="1"/>
      <c r="F134" s="1"/>
      <c r="H134" s="1"/>
      <c r="I134" s="6" t="s">
        <v>57</v>
      </c>
      <c r="J134" s="4"/>
      <c r="K134" s="6"/>
      <c r="L134" s="6"/>
      <c r="M134" s="6"/>
      <c r="N134" s="6"/>
      <c r="O134" s="2" t="s">
        <v>7</v>
      </c>
      <c r="P134" s="4"/>
      <c r="Q134" s="1"/>
      <c r="R134" s="79"/>
      <c r="S134" s="876"/>
      <c r="T134" s="280"/>
      <c r="U134" s="200"/>
      <c r="V134" s="176">
        <f t="shared" si="176"/>
        <v>0</v>
      </c>
      <c r="W134" s="176">
        <f>V134/Calculation_sheet!M$67</f>
        <v>0</v>
      </c>
      <c r="X134" s="958">
        <f ca="1">IF(AL134&gt;0,W134*Calculation_sheet!C$87,0)</f>
        <v>0</v>
      </c>
      <c r="Y134" s="176">
        <f t="shared" ca="1" si="177"/>
        <v>0</v>
      </c>
      <c r="Z134" s="176">
        <f>IF(AN134&gt;0,Y134*Calculation_sheet!C$94,0)</f>
        <v>0</v>
      </c>
      <c r="AA134" s="958">
        <f t="shared" ca="1" si="162"/>
        <v>0</v>
      </c>
      <c r="AB134" s="176">
        <f ca="1">AA134*Calculation_sheet!C$99</f>
        <v>0</v>
      </c>
      <c r="AC134" s="958">
        <f t="shared" ca="1" si="162"/>
        <v>0</v>
      </c>
      <c r="AD134" s="176">
        <f t="shared" si="178"/>
        <v>0</v>
      </c>
      <c r="AE134" s="176">
        <f>AD134*User_sheet!B$77/100</f>
        <v>0</v>
      </c>
      <c r="AF134" s="309"/>
      <c r="AG134" s="27">
        <v>402</v>
      </c>
      <c r="AH134" s="985"/>
      <c r="AI134" s="956">
        <f t="shared" ca="1" si="99"/>
        <v>158.64530790268859</v>
      </c>
      <c r="AJ134" s="956">
        <f ca="1">AI134/'402'!I$24</f>
        <v>0.78011284262885183</v>
      </c>
      <c r="AK134" s="956">
        <f ca="1">0.8*(AI134*30+'402'!D$17*0.34*30*1)</f>
        <v>6609.9577896645269</v>
      </c>
      <c r="AL134" s="954">
        <f ca="1">IF(AK134&lt;User_sheet!B$50,W134,0)</f>
        <v>0</v>
      </c>
      <c r="AM134" s="954">
        <f ca="1">20-(User_sheet!B$57/(AI134+'402'!D$17*1*0.34))</f>
        <v>-0.69604744131701679</v>
      </c>
      <c r="AN134" s="954"/>
      <c r="AO134" s="985"/>
      <c r="AP134" s="2">
        <v>0</v>
      </c>
      <c r="AQ134" s="2">
        <v>2.1</v>
      </c>
      <c r="AR134" s="2">
        <v>0</v>
      </c>
      <c r="AS134" s="27">
        <v>2</v>
      </c>
      <c r="AT134" s="2">
        <v>0</v>
      </c>
      <c r="AU134" s="2">
        <v>0</v>
      </c>
      <c r="AV134" s="2">
        <v>74715.401027665983</v>
      </c>
      <c r="AW134" s="2">
        <v>0</v>
      </c>
      <c r="AX134" s="2">
        <v>0</v>
      </c>
      <c r="AY134" s="2">
        <v>0</v>
      </c>
      <c r="AZ134" s="50">
        <v>0.6</v>
      </c>
      <c r="BA134" s="34">
        <v>0</v>
      </c>
      <c r="BB134" s="34">
        <v>1</v>
      </c>
      <c r="BC134" s="40">
        <v>0</v>
      </c>
      <c r="BD134" s="34">
        <v>1</v>
      </c>
      <c r="BE134" s="34">
        <v>0</v>
      </c>
      <c r="BF134" s="40">
        <v>0</v>
      </c>
      <c r="BG134" s="34">
        <v>0</v>
      </c>
      <c r="BH134" s="40">
        <v>1</v>
      </c>
      <c r="BI134" s="34">
        <v>0</v>
      </c>
      <c r="BJ134" s="34">
        <v>0</v>
      </c>
      <c r="BK134" s="40">
        <v>1</v>
      </c>
      <c r="BL134" s="958">
        <v>0</v>
      </c>
      <c r="BM134" s="958">
        <v>14.9</v>
      </c>
      <c r="BN134" s="32">
        <f t="shared" ca="1" si="163"/>
        <v>106</v>
      </c>
      <c r="BO134">
        <f t="shared" ca="1" si="164"/>
        <v>343.44000000000005</v>
      </c>
      <c r="BP134">
        <f t="shared" ca="1" si="165"/>
        <v>0</v>
      </c>
      <c r="BQ134">
        <f t="shared" ca="1" si="166"/>
        <v>78.362000000000009</v>
      </c>
      <c r="BR134">
        <f t="shared" ca="1" si="167"/>
        <v>0</v>
      </c>
      <c r="BS134">
        <f t="shared" ca="1" si="168"/>
        <v>19</v>
      </c>
      <c r="BT134">
        <f t="shared" ca="1" si="169"/>
        <v>0</v>
      </c>
      <c r="BU134">
        <v>0</v>
      </c>
      <c r="BV134">
        <f t="shared" ca="1" si="170"/>
        <v>0</v>
      </c>
      <c r="BW134">
        <f t="shared" ca="1" si="171"/>
        <v>120.64530791788859</v>
      </c>
      <c r="BX134">
        <f t="shared" ca="1" si="172"/>
        <v>0</v>
      </c>
      <c r="BY134">
        <f t="shared" ca="1" si="173"/>
        <v>37.999999984799999</v>
      </c>
      <c r="BZ134">
        <f t="shared" ca="1" si="174"/>
        <v>0</v>
      </c>
      <c r="CA134">
        <f t="shared" si="175"/>
        <v>0</v>
      </c>
      <c r="CB134" s="1018">
        <f t="shared" ca="1" si="179"/>
        <v>158.64530790268859</v>
      </c>
      <c r="CC134" s="1018">
        <f t="shared" ca="1" si="180"/>
        <v>58.940561149332957</v>
      </c>
      <c r="CD134">
        <f t="shared" ca="1" si="100"/>
        <v>6.5275760715606461</v>
      </c>
      <c r="CE134">
        <f t="shared" ca="1" si="101"/>
        <v>10868.153056105612</v>
      </c>
    </row>
    <row r="135" spans="1:83" x14ac:dyDescent="0.25">
      <c r="D135" s="1"/>
      <c r="F135" s="1"/>
      <c r="H135" s="1"/>
      <c r="I135" s="6"/>
      <c r="J135" s="6"/>
      <c r="K135" s="6" t="s">
        <v>59</v>
      </c>
      <c r="L135" s="4"/>
      <c r="M135" s="6"/>
      <c r="N135" s="6"/>
      <c r="O135" s="27" t="s">
        <v>57</v>
      </c>
      <c r="P135" s="4"/>
      <c r="Q135" s="1"/>
      <c r="R135" s="79"/>
      <c r="S135" s="876"/>
      <c r="T135" s="280"/>
      <c r="U135" s="200"/>
      <c r="V135" s="176">
        <f t="shared" si="176"/>
        <v>0</v>
      </c>
      <c r="W135" s="176">
        <f>V135/Calculation_sheet!M$67</f>
        <v>0</v>
      </c>
      <c r="X135" s="958">
        <f ca="1">IF(AL135&gt;0,W135*Calculation_sheet!C$87,0)</f>
        <v>0</v>
      </c>
      <c r="Y135" s="176">
        <f t="shared" ca="1" si="177"/>
        <v>0</v>
      </c>
      <c r="Z135" s="176">
        <f>IF(AN135&gt;0,Y135*Calculation_sheet!C$94,0)</f>
        <v>0</v>
      </c>
      <c r="AA135" s="958">
        <f t="shared" ca="1" si="162"/>
        <v>0</v>
      </c>
      <c r="AB135" s="176">
        <f ca="1">AA135*Calculation_sheet!C$99</f>
        <v>0</v>
      </c>
      <c r="AC135" s="958">
        <f t="shared" ca="1" si="162"/>
        <v>0</v>
      </c>
      <c r="AD135" s="176">
        <f t="shared" si="178"/>
        <v>0</v>
      </c>
      <c r="AE135" s="176">
        <f>AD135*User_sheet!B$77/100</f>
        <v>0</v>
      </c>
      <c r="AF135" s="309"/>
      <c r="AG135" s="27">
        <v>402</v>
      </c>
      <c r="AH135" s="985"/>
      <c r="AI135" s="956">
        <f t="shared" ca="1" si="99"/>
        <v>158.64530790268859</v>
      </c>
      <c r="AJ135" s="956">
        <f ca="1">AI135/'402'!I$24</f>
        <v>0.78011284262885183</v>
      </c>
      <c r="AK135" s="956">
        <f ca="1">0.8*(AI135*30+'402'!D$17*0.34*30*1)</f>
        <v>6609.9577896645269</v>
      </c>
      <c r="AL135" s="954">
        <f ca="1">IF(AK135&lt;User_sheet!B$50,W135,0)</f>
        <v>0</v>
      </c>
      <c r="AM135" s="954">
        <f ca="1">20-(User_sheet!B$57/(AI135+'402'!D$17*1*0.34))</f>
        <v>-0.69604744131701679</v>
      </c>
      <c r="AN135" s="954"/>
      <c r="AO135" s="985"/>
      <c r="AP135" s="2">
        <v>0</v>
      </c>
      <c r="AQ135" s="2">
        <v>2.1</v>
      </c>
      <c r="AR135" s="2">
        <v>0</v>
      </c>
      <c r="AS135" s="27">
        <v>2</v>
      </c>
      <c r="AT135" s="2">
        <v>0</v>
      </c>
      <c r="AU135" s="2">
        <v>0</v>
      </c>
      <c r="AV135" s="2">
        <v>74715.401027665983</v>
      </c>
      <c r="AW135" s="2">
        <v>0</v>
      </c>
      <c r="AX135" s="2">
        <v>0</v>
      </c>
      <c r="AY135" s="2">
        <v>0</v>
      </c>
      <c r="AZ135" s="50">
        <v>0.6</v>
      </c>
      <c r="BA135" s="34">
        <v>0</v>
      </c>
      <c r="BB135" s="34">
        <v>1</v>
      </c>
      <c r="BC135" s="40">
        <v>0</v>
      </c>
      <c r="BD135" s="34">
        <v>0</v>
      </c>
      <c r="BE135" s="34">
        <v>1</v>
      </c>
      <c r="BF135" s="40">
        <v>0</v>
      </c>
      <c r="BG135" s="34">
        <v>1</v>
      </c>
      <c r="BH135" s="40">
        <v>0</v>
      </c>
      <c r="BI135" s="34">
        <v>0</v>
      </c>
      <c r="BJ135" s="34">
        <v>1</v>
      </c>
      <c r="BK135" s="40">
        <v>0</v>
      </c>
      <c r="BL135" s="958">
        <v>0</v>
      </c>
      <c r="BM135" s="958">
        <v>14.9</v>
      </c>
      <c r="BN135" s="32">
        <f t="shared" ca="1" si="163"/>
        <v>106</v>
      </c>
      <c r="BO135">
        <f t="shared" ca="1" si="164"/>
        <v>343.44000000000005</v>
      </c>
      <c r="BP135">
        <f t="shared" ca="1" si="165"/>
        <v>0</v>
      </c>
      <c r="BQ135">
        <f t="shared" ca="1" si="166"/>
        <v>78.362000000000009</v>
      </c>
      <c r="BR135">
        <f t="shared" ca="1" si="167"/>
        <v>0</v>
      </c>
      <c r="BS135">
        <f t="shared" ca="1" si="168"/>
        <v>19</v>
      </c>
      <c r="BT135">
        <f t="shared" ca="1" si="169"/>
        <v>0</v>
      </c>
      <c r="BU135">
        <v>0</v>
      </c>
      <c r="BV135">
        <f t="shared" ca="1" si="170"/>
        <v>0</v>
      </c>
      <c r="BW135">
        <f t="shared" ca="1" si="171"/>
        <v>120.64530791788859</v>
      </c>
      <c r="BX135">
        <f t="shared" ca="1" si="172"/>
        <v>0</v>
      </c>
      <c r="BY135">
        <f t="shared" ca="1" si="173"/>
        <v>37.999999984799999</v>
      </c>
      <c r="BZ135">
        <f t="shared" ca="1" si="174"/>
        <v>0</v>
      </c>
      <c r="CA135">
        <f t="shared" si="175"/>
        <v>0</v>
      </c>
      <c r="CB135" s="1018">
        <f t="shared" ca="1" si="179"/>
        <v>158.64530790268859</v>
      </c>
      <c r="CC135" s="1018">
        <f t="shared" ca="1" si="180"/>
        <v>58.940561149332957</v>
      </c>
      <c r="CD135">
        <f t="shared" ca="1" si="100"/>
        <v>6.5275760715606461</v>
      </c>
      <c r="CE135">
        <f t="shared" ca="1" si="101"/>
        <v>10868.153056105612</v>
      </c>
    </row>
    <row r="136" spans="1:83" x14ac:dyDescent="0.25">
      <c r="D136" s="1"/>
      <c r="F136" s="1"/>
      <c r="H136" s="1"/>
      <c r="I136" s="6"/>
      <c r="J136" s="6"/>
      <c r="K136" s="6"/>
      <c r="L136" s="6"/>
      <c r="M136" s="6"/>
      <c r="N136" s="6"/>
      <c r="O136" s="27" t="s">
        <v>7</v>
      </c>
      <c r="P136" s="4"/>
      <c r="Q136" s="1"/>
      <c r="R136" s="79"/>
      <c r="S136" s="876"/>
      <c r="T136" s="280"/>
      <c r="U136" s="200"/>
      <c r="V136" s="176">
        <f t="shared" si="176"/>
        <v>0</v>
      </c>
      <c r="W136" s="176">
        <f>V136/Calculation_sheet!M$67</f>
        <v>0</v>
      </c>
      <c r="X136" s="958">
        <f ca="1">IF(AL136&gt;0,W136*Calculation_sheet!C$87,0)</f>
        <v>0</v>
      </c>
      <c r="Y136" s="176">
        <f t="shared" ca="1" si="177"/>
        <v>0</v>
      </c>
      <c r="Z136" s="176">
        <f>IF(AN136&gt;0,Y136*Calculation_sheet!C$94,0)</f>
        <v>0</v>
      </c>
      <c r="AA136" s="958">
        <f t="shared" ca="1" si="162"/>
        <v>0</v>
      </c>
      <c r="AB136" s="176">
        <f ca="1">AA136*Calculation_sheet!C$99</f>
        <v>0</v>
      </c>
      <c r="AC136" s="958">
        <f t="shared" ca="1" si="162"/>
        <v>0</v>
      </c>
      <c r="AD136" s="176">
        <f t="shared" si="178"/>
        <v>0</v>
      </c>
      <c r="AE136" s="176">
        <f>AD136*User_sheet!B$77/100</f>
        <v>0</v>
      </c>
      <c r="AF136" s="309"/>
      <c r="AG136" s="27">
        <v>402</v>
      </c>
      <c r="AH136" s="985"/>
      <c r="AI136" s="956">
        <f t="shared" ca="1" si="99"/>
        <v>158.64530790268859</v>
      </c>
      <c r="AJ136" s="956">
        <f ca="1">AI136/'402'!I$24</f>
        <v>0.78011284262885183</v>
      </c>
      <c r="AK136" s="956">
        <f ca="1">0.8*(AI136*30+'402'!D$17*0.34*30*1)</f>
        <v>6609.9577896645269</v>
      </c>
      <c r="AL136" s="954">
        <f ca="1">IF(AK136&lt;User_sheet!B$50,W136,0)</f>
        <v>0</v>
      </c>
      <c r="AM136" s="954">
        <f ca="1">20-(User_sheet!B$57/(AI136+'402'!D$17*1*0.34))</f>
        <v>-0.69604744131701679</v>
      </c>
      <c r="AN136" s="954"/>
      <c r="AO136" s="985"/>
      <c r="AP136" s="2">
        <v>0</v>
      </c>
      <c r="AQ136" s="2">
        <v>2.1</v>
      </c>
      <c r="AR136" s="2">
        <v>0</v>
      </c>
      <c r="AS136" s="27">
        <v>2</v>
      </c>
      <c r="AT136" s="2">
        <v>0</v>
      </c>
      <c r="AU136" s="2">
        <v>0</v>
      </c>
      <c r="AV136" s="2">
        <v>74715.401027665997</v>
      </c>
      <c r="AW136" s="2">
        <v>0</v>
      </c>
      <c r="AX136" s="2">
        <v>0</v>
      </c>
      <c r="AY136" s="2">
        <v>0</v>
      </c>
      <c r="AZ136" s="50">
        <v>0.6</v>
      </c>
      <c r="BA136" s="34">
        <v>0</v>
      </c>
      <c r="BB136" s="34">
        <v>1</v>
      </c>
      <c r="BC136" s="40">
        <v>0</v>
      </c>
      <c r="BD136" s="34">
        <v>0</v>
      </c>
      <c r="BE136" s="34">
        <v>1</v>
      </c>
      <c r="BF136" s="40">
        <v>0</v>
      </c>
      <c r="BG136" s="34">
        <v>1</v>
      </c>
      <c r="BH136" s="40">
        <v>0</v>
      </c>
      <c r="BI136" s="34">
        <v>0</v>
      </c>
      <c r="BJ136" s="34">
        <v>0</v>
      </c>
      <c r="BK136" s="40">
        <v>1</v>
      </c>
      <c r="BL136" s="958">
        <v>0</v>
      </c>
      <c r="BM136" s="958">
        <v>14.9</v>
      </c>
      <c r="BN136" s="32">
        <f t="shared" ca="1" si="163"/>
        <v>106</v>
      </c>
      <c r="BO136">
        <f t="shared" ca="1" si="164"/>
        <v>343.44000000000005</v>
      </c>
      <c r="BP136">
        <f t="shared" ca="1" si="165"/>
        <v>0</v>
      </c>
      <c r="BQ136">
        <f t="shared" ca="1" si="166"/>
        <v>78.362000000000009</v>
      </c>
      <c r="BR136">
        <f t="shared" ca="1" si="167"/>
        <v>0</v>
      </c>
      <c r="BS136">
        <f t="shared" ca="1" si="168"/>
        <v>19</v>
      </c>
      <c r="BT136">
        <f t="shared" ca="1" si="169"/>
        <v>0</v>
      </c>
      <c r="BU136">
        <v>0</v>
      </c>
      <c r="BV136">
        <f t="shared" ca="1" si="170"/>
        <v>0</v>
      </c>
      <c r="BW136">
        <f t="shared" ca="1" si="171"/>
        <v>120.64530791788859</v>
      </c>
      <c r="BX136">
        <f t="shared" ca="1" si="172"/>
        <v>0</v>
      </c>
      <c r="BY136">
        <f t="shared" ca="1" si="173"/>
        <v>37.999999984799999</v>
      </c>
      <c r="BZ136">
        <f t="shared" ca="1" si="174"/>
        <v>0</v>
      </c>
      <c r="CA136">
        <f t="shared" si="175"/>
        <v>0</v>
      </c>
      <c r="CB136" s="1018">
        <f t="shared" ca="1" si="179"/>
        <v>158.64530790268859</v>
      </c>
      <c r="CC136" s="1018">
        <f t="shared" ca="1" si="180"/>
        <v>58.940561149332957</v>
      </c>
      <c r="CD136">
        <f t="shared" ca="1" si="100"/>
        <v>6.5275760715606461</v>
      </c>
      <c r="CE136">
        <f t="shared" ca="1" si="101"/>
        <v>10868.153056105612</v>
      </c>
    </row>
    <row r="137" spans="1:83" x14ac:dyDescent="0.25">
      <c r="D137" s="1"/>
      <c r="F137" s="1"/>
      <c r="H137" s="6"/>
      <c r="I137" s="6" t="s">
        <v>7</v>
      </c>
      <c r="J137" s="4"/>
      <c r="K137" s="6" t="s">
        <v>23</v>
      </c>
      <c r="L137" s="4"/>
      <c r="M137" s="6"/>
      <c r="N137" s="4"/>
      <c r="O137" s="27" t="s">
        <v>7</v>
      </c>
      <c r="P137" s="4"/>
      <c r="Q137" s="1"/>
      <c r="R137" s="79"/>
      <c r="S137" s="876"/>
      <c r="T137" s="280"/>
      <c r="U137" s="200"/>
      <c r="V137" s="176">
        <f t="shared" si="176"/>
        <v>0</v>
      </c>
      <c r="W137" s="176">
        <f>V137/Calculation_sheet!M$67</f>
        <v>0</v>
      </c>
      <c r="X137" s="958">
        <f ca="1">IF(AL137&gt;0,W137*Calculation_sheet!C$87,0)</f>
        <v>0</v>
      </c>
      <c r="Y137" s="176">
        <f t="shared" ca="1" si="177"/>
        <v>0</v>
      </c>
      <c r="Z137" s="176">
        <f>IF(AN137&gt;0,Y137*Calculation_sheet!C$94,0)</f>
        <v>0</v>
      </c>
      <c r="AA137" s="958">
        <f t="shared" ca="1" si="162"/>
        <v>0</v>
      </c>
      <c r="AB137" s="176">
        <f ca="1">AA137*Calculation_sheet!C$99</f>
        <v>0</v>
      </c>
      <c r="AC137" s="958">
        <f t="shared" ca="1" si="162"/>
        <v>0</v>
      </c>
      <c r="AD137" s="176">
        <f t="shared" si="178"/>
        <v>0</v>
      </c>
      <c r="AE137" s="176">
        <f>AD137*User_sheet!B$77/100</f>
        <v>0</v>
      </c>
      <c r="AF137" s="309"/>
      <c r="AG137" s="27">
        <v>402</v>
      </c>
      <c r="AH137" s="985"/>
      <c r="AI137" s="956">
        <f t="shared" ca="1" si="99"/>
        <v>158.64530790268859</v>
      </c>
      <c r="AJ137" s="956">
        <f ca="1">AI137/'402'!I$24</f>
        <v>0.78011284262885183</v>
      </c>
      <c r="AK137" s="956">
        <f ca="1">0.8*(AI137*30+'402'!D$17*0.34*30*1)</f>
        <v>6609.9577896645269</v>
      </c>
      <c r="AL137" s="954">
        <f ca="1">IF(AK137&lt;User_sheet!B$50,W137,0)</f>
        <v>0</v>
      </c>
      <c r="AM137" s="954">
        <f ca="1">20-(User_sheet!B$57/(AI137+'402'!D$17*1*0.34))</f>
        <v>-0.69604744131701679</v>
      </c>
      <c r="AN137" s="954"/>
      <c r="AO137" s="985"/>
      <c r="AP137" s="2">
        <v>0</v>
      </c>
      <c r="AQ137" s="2">
        <v>2.1</v>
      </c>
      <c r="AR137" s="2">
        <v>0</v>
      </c>
      <c r="AS137" s="27">
        <v>2</v>
      </c>
      <c r="AT137" s="2">
        <v>0</v>
      </c>
      <c r="AU137" s="2">
        <v>0</v>
      </c>
      <c r="AV137" s="2">
        <v>74715.401027665997</v>
      </c>
      <c r="AW137" s="2">
        <v>0</v>
      </c>
      <c r="AX137" s="2">
        <v>0</v>
      </c>
      <c r="AY137" s="2">
        <v>0</v>
      </c>
      <c r="AZ137" s="50">
        <v>0.6</v>
      </c>
      <c r="BA137" s="34">
        <v>0</v>
      </c>
      <c r="BB137" s="34">
        <v>0</v>
      </c>
      <c r="BC137" s="40">
        <v>1</v>
      </c>
      <c r="BD137" s="34">
        <v>0</v>
      </c>
      <c r="BE137" s="34">
        <v>0</v>
      </c>
      <c r="BF137" s="40">
        <v>1</v>
      </c>
      <c r="BG137" s="34">
        <v>1</v>
      </c>
      <c r="BH137" s="40">
        <v>0</v>
      </c>
      <c r="BI137" s="34">
        <v>0</v>
      </c>
      <c r="BJ137" s="34">
        <v>0</v>
      </c>
      <c r="BK137" s="40">
        <v>1</v>
      </c>
      <c r="BL137" s="958">
        <v>0</v>
      </c>
      <c r="BM137" s="958">
        <v>14.9</v>
      </c>
      <c r="BN137" s="32">
        <f t="shared" ca="1" si="163"/>
        <v>106</v>
      </c>
      <c r="BO137">
        <f t="shared" ca="1" si="164"/>
        <v>343.44000000000005</v>
      </c>
      <c r="BP137">
        <f t="shared" ca="1" si="165"/>
        <v>0</v>
      </c>
      <c r="BQ137">
        <f t="shared" ca="1" si="166"/>
        <v>78.362000000000009</v>
      </c>
      <c r="BR137">
        <f t="shared" ca="1" si="167"/>
        <v>0</v>
      </c>
      <c r="BS137">
        <f t="shared" ca="1" si="168"/>
        <v>19</v>
      </c>
      <c r="BT137">
        <f t="shared" ca="1" si="169"/>
        <v>0</v>
      </c>
      <c r="BU137">
        <v>0</v>
      </c>
      <c r="BV137">
        <f t="shared" ca="1" si="170"/>
        <v>0</v>
      </c>
      <c r="BW137">
        <f t="shared" ca="1" si="171"/>
        <v>120.64530791788859</v>
      </c>
      <c r="BX137">
        <f t="shared" ca="1" si="172"/>
        <v>0</v>
      </c>
      <c r="BY137">
        <f t="shared" ca="1" si="173"/>
        <v>37.999999984799999</v>
      </c>
      <c r="BZ137">
        <f t="shared" ca="1" si="174"/>
        <v>0</v>
      </c>
      <c r="CA137">
        <f t="shared" si="175"/>
        <v>0</v>
      </c>
      <c r="CB137" s="1018">
        <f t="shared" ca="1" si="179"/>
        <v>158.64530790268859</v>
      </c>
      <c r="CC137" s="1018">
        <f t="shared" ca="1" si="180"/>
        <v>58.940561149332957</v>
      </c>
      <c r="CD137">
        <f t="shared" ca="1" si="100"/>
        <v>6.5275760715606461</v>
      </c>
      <c r="CE137">
        <f t="shared" ca="1" si="101"/>
        <v>10868.153056105612</v>
      </c>
    </row>
    <row r="138" spans="1:83" s="14" customFormat="1" x14ac:dyDescent="0.25">
      <c r="D138" s="15"/>
      <c r="F138" s="15"/>
      <c r="H138" s="15"/>
      <c r="I138" s="15"/>
      <c r="J138" s="15"/>
      <c r="K138" s="15"/>
      <c r="L138" s="15"/>
      <c r="M138" s="15"/>
      <c r="N138" s="15"/>
      <c r="O138" s="28"/>
      <c r="P138" s="15"/>
      <c r="Q138" s="15"/>
      <c r="R138" s="80"/>
      <c r="S138" s="273"/>
      <c r="T138" s="277"/>
      <c r="U138" s="292"/>
      <c r="V138" s="292"/>
      <c r="W138" s="292"/>
      <c r="X138" s="277"/>
      <c r="Y138" s="292"/>
      <c r="Z138" s="292"/>
      <c r="AA138" s="277"/>
      <c r="AB138" s="292"/>
      <c r="AC138" s="277"/>
      <c r="AD138" s="292"/>
      <c r="AE138" s="292"/>
      <c r="AF138" s="309"/>
      <c r="AG138" s="28"/>
      <c r="AH138" s="985"/>
      <c r="AI138" s="956">
        <f t="shared" si="99"/>
        <v>0</v>
      </c>
      <c r="AJ138" s="941"/>
      <c r="AK138" s="941"/>
      <c r="AL138" s="941"/>
      <c r="AM138" s="941"/>
      <c r="AN138" s="941"/>
      <c r="AO138" s="985"/>
      <c r="AP138" s="28"/>
      <c r="AQ138" s="28"/>
      <c r="AR138" s="28"/>
      <c r="AS138" s="28"/>
      <c r="AT138" s="28"/>
      <c r="AU138" s="28"/>
      <c r="AV138" s="28"/>
      <c r="AW138" s="28"/>
      <c r="AX138" s="28"/>
      <c r="AY138" s="28"/>
      <c r="AZ138" s="49"/>
      <c r="BA138" s="277"/>
      <c r="BB138" s="28"/>
      <c r="BC138" s="49"/>
      <c r="BD138" s="277"/>
      <c r="BE138" s="28"/>
      <c r="BF138" s="49"/>
      <c r="BG138" s="277"/>
      <c r="BH138" s="49"/>
      <c r="BI138" s="277"/>
      <c r="BJ138" s="28"/>
      <c r="BK138" s="49"/>
      <c r="BL138" s="277"/>
      <c r="BM138" s="277"/>
      <c r="BN138" s="36"/>
    </row>
    <row r="139" spans="1:83" x14ac:dyDescent="0.25">
      <c r="A139" s="808"/>
      <c r="B139" s="808"/>
      <c r="C139" s="808"/>
      <c r="D139" s="809"/>
      <c r="E139" s="808"/>
      <c r="F139" s="809"/>
      <c r="G139" s="808"/>
      <c r="H139" s="812"/>
      <c r="I139" s="812"/>
      <c r="J139" s="812"/>
      <c r="K139" s="812"/>
      <c r="L139" s="812"/>
      <c r="M139" s="812" t="s">
        <v>60</v>
      </c>
      <c r="N139" s="812">
        <v>0.75</v>
      </c>
      <c r="O139" s="810" t="s">
        <v>16</v>
      </c>
      <c r="P139" s="812">
        <v>0.5625</v>
      </c>
      <c r="Q139" s="809"/>
      <c r="R139" s="814">
        <v>3.3031886769921601E-3</v>
      </c>
      <c r="S139" s="876"/>
      <c r="T139" s="280">
        <f>R139-R139*Calculation_sheet!F$59</f>
        <v>3.3031886769921601E-3</v>
      </c>
      <c r="U139" s="176">
        <f>T139-T139*Calculation_sheet!E$67</f>
        <v>3.3031886769921601E-3</v>
      </c>
      <c r="V139" s="176">
        <f>U139-U139*Calculation_sheet!E$77</f>
        <v>3.3031886769921601E-3</v>
      </c>
      <c r="W139" s="176">
        <f>V139/Calculation_sheet!M$67</f>
        <v>3.3032562154037899E-3</v>
      </c>
      <c r="X139" s="958">
        <f ca="1">IF(AL139&gt;0,W139*Calculation_sheet!C$87,0)</f>
        <v>0</v>
      </c>
      <c r="Y139" s="176">
        <f ca="1">W139-X139</f>
        <v>3.3032562154037899E-3</v>
      </c>
      <c r="Z139" s="176">
        <f>IF(AN139&gt;0,Y139*Calculation_sheet!C$94,0)</f>
        <v>0</v>
      </c>
      <c r="AA139" s="958">
        <f t="shared" ref="AA139:AC151" ca="1" si="181">Y139-Z139</f>
        <v>3.3032562154037899E-3</v>
      </c>
      <c r="AB139" s="176">
        <f ca="1">AA139*Calculation_sheet!C$99</f>
        <v>1.981953729242274E-3</v>
      </c>
      <c r="AC139" s="958">
        <f t="shared" ca="1" si="181"/>
        <v>1.3213024861615159E-3</v>
      </c>
      <c r="AD139" s="176">
        <f>W139-Z139</f>
        <v>3.3032562154037899E-3</v>
      </c>
      <c r="AE139" s="176">
        <f>AD139*User_sheet!B$77/100</f>
        <v>0</v>
      </c>
      <c r="AF139" s="309"/>
      <c r="AG139" s="27">
        <v>402</v>
      </c>
      <c r="AH139" s="985"/>
      <c r="AI139" s="956">
        <f t="shared" ca="1" si="99"/>
        <v>215.64530782288858</v>
      </c>
      <c r="AJ139" s="956">
        <f ca="1">AI139/'402'!I$24</f>
        <v>1.0604011950260548</v>
      </c>
      <c r="AK139" s="956">
        <f ca="1">0.8*(AI139*30+'402'!D$17*0.34*30*1)</f>
        <v>7977.9577877493257</v>
      </c>
      <c r="AL139" s="954">
        <f ca="1">IF(AK139&lt;User_sheet!B$50,W139,0)</f>
        <v>3.3032562154037899E-3</v>
      </c>
      <c r="AM139" s="954">
        <f ca="1">20-(User_sheet!B$57/(AI139+'402'!D$17*1*0.34))</f>
        <v>2.8527545971645409</v>
      </c>
      <c r="AN139" s="954"/>
      <c r="AO139" s="985"/>
      <c r="AP139" s="2">
        <v>0</v>
      </c>
      <c r="AQ139" s="2">
        <v>2.1</v>
      </c>
      <c r="AR139" s="2">
        <v>0</v>
      </c>
      <c r="AS139" s="2">
        <v>5</v>
      </c>
      <c r="AT139" s="2">
        <v>0</v>
      </c>
      <c r="AU139" s="2">
        <v>0</v>
      </c>
      <c r="AV139" s="2">
        <v>74715.401027665983</v>
      </c>
      <c r="AW139" s="2">
        <v>0</v>
      </c>
      <c r="AX139" s="2">
        <v>0</v>
      </c>
      <c r="AY139" s="2">
        <v>0</v>
      </c>
      <c r="AZ139" s="40">
        <v>0.87</v>
      </c>
      <c r="BA139" s="34">
        <v>1</v>
      </c>
      <c r="BB139" s="34">
        <v>0</v>
      </c>
      <c r="BC139" s="40">
        <v>0</v>
      </c>
      <c r="BD139" s="34">
        <v>1</v>
      </c>
      <c r="BE139" s="34">
        <v>0</v>
      </c>
      <c r="BF139" s="40">
        <v>0</v>
      </c>
      <c r="BG139" s="34">
        <v>1</v>
      </c>
      <c r="BH139" s="40">
        <v>0</v>
      </c>
      <c r="BI139" s="34">
        <v>1</v>
      </c>
      <c r="BJ139" s="34">
        <v>0</v>
      </c>
      <c r="BK139" s="40">
        <v>0</v>
      </c>
      <c r="BL139" s="958">
        <v>0</v>
      </c>
      <c r="BM139" s="958">
        <v>14.9</v>
      </c>
      <c r="BN139" s="32">
        <f t="shared" ref="BN139:BN151" ca="1" si="182">INDIRECT("'"&amp;AG139&amp;"'!"&amp;"B2")</f>
        <v>106</v>
      </c>
      <c r="BO139">
        <f t="shared" ref="BO139:BO151" ca="1" si="183">INDIRECT("'"&amp;AG139&amp;"'!"&amp;"C12")+INDIRECT("'"&amp;AG139&amp;"'!"&amp;"C13")+INDIRECT("'"&amp;AG139&amp;"'!"&amp;"C14")+INDIRECT("'"&amp;AG139&amp;"'!"&amp;"C15")+INDIRECT("'"&amp;AG139&amp;"'!"&amp;"C17")</f>
        <v>343.44000000000005</v>
      </c>
      <c r="BP139">
        <f t="shared" ref="BP139:BP151" ca="1" si="184">INDIRECT("'"&amp;AG139&amp;"'!"&amp;"G5")</f>
        <v>0</v>
      </c>
      <c r="BQ139">
        <f t="shared" ref="BQ139:BQ151" ca="1" si="185">INDIRECT("'"&amp;AG139&amp;"'!"&amp;"G4")</f>
        <v>78.362000000000009</v>
      </c>
      <c r="BR139">
        <f t="shared" ref="BR139:BR151" ca="1" si="186">INDIRECT("'"&amp;AG139&amp;"'!"&amp;"G6")</f>
        <v>0</v>
      </c>
      <c r="BS139">
        <f t="shared" ref="BS139:BS151" ca="1" si="187">INDIRECT("'"&amp;AG139&amp;"'!"&amp;"G2")</f>
        <v>19</v>
      </c>
      <c r="BT139">
        <f t="shared" ref="BT139:BT151" ca="1" si="188">INDIRECT("'"&amp;AG139&amp;"'!"&amp;"G3")</f>
        <v>0</v>
      </c>
      <c r="BU139">
        <v>0</v>
      </c>
      <c r="BV139">
        <f t="shared" ref="BV139:BV151" ca="1" si="189">IF(OR(BP139=0,AP139=0),0,1/(1/(BP139*$BW$3)+1/(BP139*AP139)+1/(BP139*$BW$4)))</f>
        <v>0</v>
      </c>
      <c r="BW139">
        <f t="shared" ref="BW139:BW151" ca="1" si="190">IF(OR(BQ139=0,AQ139=0),0,1/(1/(BQ139*$BW$3)+1/(BQ139*AQ139)+1/(BQ139*$BW$4)))</f>
        <v>120.64530791788859</v>
      </c>
      <c r="BX139">
        <f t="shared" ref="BX139:BX151" ca="1" si="191">IF(OR(BR139=0,AR139=0),0,1/(1/(BR139*$BW$3)+1/(BR139*AR139)+1/(BR139*$BW$4)))</f>
        <v>0</v>
      </c>
      <c r="BY139">
        <f t="shared" ref="BY139:BY151" ca="1" si="192">IF(OR(BS139=0,AS139=0),0,1/(1/(BS139*$BW$5)+1/(BS139*AS139)+1/(BS139*$BW$6)))</f>
        <v>94.999999904999996</v>
      </c>
      <c r="BZ139">
        <f t="shared" ref="BZ139:BZ151" ca="1" si="193">IF(OR(BT139=0,AT139=0),0,1/(1/(BT139*$BW$3)+1/(BT139*AT139)+1/(BT139*$BW$4)))</f>
        <v>0</v>
      </c>
      <c r="CA139">
        <f t="shared" ref="CA139:CA151" si="194">IF(OR(BU139=0,AU139=0),0,1/(1/(BU139*$BW$3)+1/(BU139*AU139)+1/(BU139*$BW$4)))</f>
        <v>0</v>
      </c>
      <c r="CB139" s="1018">
        <f ca="1">SUM(BV139:CA139)+(BP139+BQ139+BR139+BS139+BT139)*BL139</f>
        <v>215.64530782288858</v>
      </c>
      <c r="CC139" s="1018">
        <f ca="1">0.34*BM139*(1/25)^0.66*(BQ139+BS139+BT139)</f>
        <v>58.940561149332957</v>
      </c>
      <c r="CD139">
        <f t="shared" ca="1" si="100"/>
        <v>8.2375760691666464</v>
      </c>
      <c r="CE139">
        <f t="shared" ca="1" si="101"/>
        <v>13715.234652119698</v>
      </c>
    </row>
    <row r="140" spans="1:83" x14ac:dyDescent="0.25">
      <c r="A140" s="808"/>
      <c r="B140" s="808"/>
      <c r="C140" s="808"/>
      <c r="D140" s="809"/>
      <c r="E140" s="808"/>
      <c r="F140" s="809"/>
      <c r="G140" s="808"/>
      <c r="H140" s="812"/>
      <c r="I140" s="812"/>
      <c r="J140" s="812"/>
      <c r="K140" s="812"/>
      <c r="L140" s="812"/>
      <c r="M140" s="812"/>
      <c r="N140" s="812"/>
      <c r="O140" s="810" t="s">
        <v>7</v>
      </c>
      <c r="P140" s="812">
        <v>0.4375</v>
      </c>
      <c r="Q140" s="809"/>
      <c r="R140" s="814">
        <v>2.5691467487716797E-3</v>
      </c>
      <c r="S140" s="876"/>
      <c r="T140" s="280">
        <f>R140-R140*Calculation_sheet!F$59</f>
        <v>2.5691467487716797E-3</v>
      </c>
      <c r="U140" s="176">
        <f>T140-T140*Calculation_sheet!E$67</f>
        <v>2.5691467487716797E-3</v>
      </c>
      <c r="V140" s="176">
        <f>U140-U140*Calculation_sheet!E$77</f>
        <v>2.5691467487716797E-3</v>
      </c>
      <c r="W140" s="176">
        <f>V140/Calculation_sheet!M$67</f>
        <v>2.5691992786473919E-3</v>
      </c>
      <c r="X140" s="958">
        <f ca="1">IF(AL140&gt;0,W140*Calculation_sheet!C$87,0)</f>
        <v>0</v>
      </c>
      <c r="Y140" s="176">
        <f t="shared" ref="Y140:Y151" ca="1" si="195">W140-X140</f>
        <v>2.5691992786473919E-3</v>
      </c>
      <c r="Z140" s="176">
        <f>IF(AN140&gt;0,Y140*Calculation_sheet!C$94,0)</f>
        <v>0</v>
      </c>
      <c r="AA140" s="958">
        <f t="shared" ca="1" si="181"/>
        <v>2.5691992786473919E-3</v>
      </c>
      <c r="AB140" s="176">
        <f ca="1">AA140*Calculation_sheet!C$99</f>
        <v>1.5415195671884352E-3</v>
      </c>
      <c r="AC140" s="958">
        <f t="shared" ca="1" si="181"/>
        <v>1.0276797114589567E-3</v>
      </c>
      <c r="AD140" s="176">
        <f t="shared" ref="AD140:AD151" si="196">W140-Z140</f>
        <v>2.5691992786473919E-3</v>
      </c>
      <c r="AE140" s="176">
        <f>AD140*User_sheet!B$77/100</f>
        <v>0</v>
      </c>
      <c r="AF140" s="309"/>
      <c r="AG140" s="27">
        <v>402</v>
      </c>
      <c r="AH140" s="985"/>
      <c r="AI140" s="956">
        <f t="shared" ca="1" si="99"/>
        <v>215.64530782288858</v>
      </c>
      <c r="AJ140" s="956">
        <f ca="1">AI140/'402'!I$24</f>
        <v>1.0604011950260548</v>
      </c>
      <c r="AK140" s="956">
        <f ca="1">0.8*(AI140*30+'402'!D$17*0.34*30*1)</f>
        <v>7977.9577877493257</v>
      </c>
      <c r="AL140" s="954">
        <f ca="1">IF(AK140&lt;User_sheet!B$50,W140,0)</f>
        <v>2.5691992786473919E-3</v>
      </c>
      <c r="AM140" s="954">
        <f ca="1">20-(User_sheet!B$57/(AI140+'402'!D$17*1*0.34))</f>
        <v>2.8527545971645409</v>
      </c>
      <c r="AN140" s="954"/>
      <c r="AO140" s="985"/>
      <c r="AP140" s="2">
        <v>0</v>
      </c>
      <c r="AQ140" s="2">
        <v>2.1</v>
      </c>
      <c r="AR140" s="2">
        <v>0</v>
      </c>
      <c r="AS140" s="2">
        <v>5</v>
      </c>
      <c r="AT140" s="2">
        <v>0</v>
      </c>
      <c r="AU140" s="2">
        <v>0</v>
      </c>
      <c r="AV140" s="2">
        <v>74715.401027665983</v>
      </c>
      <c r="AW140" s="2"/>
      <c r="AX140" s="2"/>
      <c r="AY140" s="2"/>
      <c r="AZ140" s="40">
        <v>0.87</v>
      </c>
      <c r="BA140" s="34">
        <v>1</v>
      </c>
      <c r="BB140" s="34">
        <v>0</v>
      </c>
      <c r="BC140" s="40">
        <v>0</v>
      </c>
      <c r="BD140" s="34">
        <v>1</v>
      </c>
      <c r="BE140" s="34">
        <v>0</v>
      </c>
      <c r="BF140" s="40">
        <v>0</v>
      </c>
      <c r="BG140" s="34">
        <v>1</v>
      </c>
      <c r="BH140" s="40">
        <v>0</v>
      </c>
      <c r="BI140" s="34">
        <v>0</v>
      </c>
      <c r="BJ140" s="34">
        <v>0</v>
      </c>
      <c r="BK140" s="40">
        <v>1</v>
      </c>
      <c r="BL140" s="958">
        <v>0</v>
      </c>
      <c r="BM140" s="958">
        <v>14.9</v>
      </c>
      <c r="BN140" s="32">
        <f t="shared" ca="1" si="182"/>
        <v>106</v>
      </c>
      <c r="BO140">
        <f t="shared" ca="1" si="183"/>
        <v>343.44000000000005</v>
      </c>
      <c r="BP140">
        <f t="shared" ca="1" si="184"/>
        <v>0</v>
      </c>
      <c r="BQ140">
        <f t="shared" ca="1" si="185"/>
        <v>78.362000000000009</v>
      </c>
      <c r="BR140">
        <f t="shared" ca="1" si="186"/>
        <v>0</v>
      </c>
      <c r="BS140">
        <f t="shared" ca="1" si="187"/>
        <v>19</v>
      </c>
      <c r="BT140">
        <f t="shared" ca="1" si="188"/>
        <v>0</v>
      </c>
      <c r="BU140">
        <v>0</v>
      </c>
      <c r="BV140">
        <f t="shared" ca="1" si="189"/>
        <v>0</v>
      </c>
      <c r="BW140">
        <f t="shared" ca="1" si="190"/>
        <v>120.64530791788859</v>
      </c>
      <c r="BX140">
        <f t="shared" ca="1" si="191"/>
        <v>0</v>
      </c>
      <c r="BY140">
        <f t="shared" ca="1" si="192"/>
        <v>94.999999904999996</v>
      </c>
      <c r="BZ140">
        <f t="shared" ca="1" si="193"/>
        <v>0</v>
      </c>
      <c r="CA140">
        <f t="shared" si="194"/>
        <v>0</v>
      </c>
      <c r="CB140" s="1018">
        <f t="shared" ref="CB140:CB151" ca="1" si="197">SUM(BV140:CA140)+(BP140+BQ140+BR140+BS140+BT140)*BL140</f>
        <v>215.64530782288858</v>
      </c>
      <c r="CC140" s="1018">
        <f t="shared" ref="CC140:CC151" ca="1" si="198">0.34*BM140*(1/25)^0.66*(BQ140+BS140+BT140)</f>
        <v>58.940561149332957</v>
      </c>
      <c r="CD140">
        <f t="shared" ca="1" si="100"/>
        <v>8.2375760691666464</v>
      </c>
      <c r="CE140">
        <f t="shared" ca="1" si="101"/>
        <v>13715.234652119698</v>
      </c>
    </row>
    <row r="141" spans="1:83" x14ac:dyDescent="0.25">
      <c r="A141" s="808"/>
      <c r="B141" s="808"/>
      <c r="C141" s="808"/>
      <c r="D141" s="809"/>
      <c r="E141" s="808"/>
      <c r="F141" s="809"/>
      <c r="G141" s="808"/>
      <c r="H141" s="812"/>
      <c r="I141" s="812"/>
      <c r="J141" s="812"/>
      <c r="K141" s="812" t="s">
        <v>58</v>
      </c>
      <c r="L141" s="812">
        <v>0.74399999999999999</v>
      </c>
      <c r="M141" s="812" t="s">
        <v>61</v>
      </c>
      <c r="N141" s="812">
        <v>0.25</v>
      </c>
      <c r="O141" s="810" t="s">
        <v>16</v>
      </c>
      <c r="P141" s="812">
        <v>0.5625</v>
      </c>
      <c r="Q141" s="809"/>
      <c r="R141" s="814">
        <v>1.10106289233072E-3</v>
      </c>
      <c r="S141" s="876"/>
      <c r="T141" s="280">
        <f>R141-R141*Calculation_sheet!F$59</f>
        <v>1.10106289233072E-3</v>
      </c>
      <c r="U141" s="176">
        <f>T141-T141*Calculation_sheet!E$67</f>
        <v>1.10106289233072E-3</v>
      </c>
      <c r="V141" s="176">
        <f>U141-U141*Calculation_sheet!E$77</f>
        <v>1.10106289233072E-3</v>
      </c>
      <c r="W141" s="176">
        <f>V141/Calculation_sheet!M$67</f>
        <v>1.1010854051345968E-3</v>
      </c>
      <c r="X141" s="958">
        <f ca="1">IF(AL141&gt;0,W141*Calculation_sheet!C$87,0)</f>
        <v>0</v>
      </c>
      <c r="Y141" s="176">
        <f t="shared" ca="1" si="195"/>
        <v>1.1010854051345968E-3</v>
      </c>
      <c r="Z141" s="176">
        <f>IF(AN141&gt;0,Y141*Calculation_sheet!C$94,0)</f>
        <v>0</v>
      </c>
      <c r="AA141" s="958">
        <f t="shared" ca="1" si="181"/>
        <v>1.1010854051345968E-3</v>
      </c>
      <c r="AB141" s="176">
        <f ca="1">AA141*Calculation_sheet!C$99</f>
        <v>6.6065124308075805E-4</v>
      </c>
      <c r="AC141" s="958">
        <f t="shared" ca="1" si="181"/>
        <v>4.4043416205383874E-4</v>
      </c>
      <c r="AD141" s="176">
        <f t="shared" si="196"/>
        <v>1.1010854051345968E-3</v>
      </c>
      <c r="AE141" s="176">
        <f>AD141*User_sheet!B$77/100</f>
        <v>0</v>
      </c>
      <c r="AF141" s="309"/>
      <c r="AG141" s="27">
        <v>402</v>
      </c>
      <c r="AH141" s="985"/>
      <c r="AI141" s="956">
        <f t="shared" ca="1" si="99"/>
        <v>215.64530782288858</v>
      </c>
      <c r="AJ141" s="956">
        <f ca="1">AI141/'402'!I$24</f>
        <v>1.0604011950260548</v>
      </c>
      <c r="AK141" s="956">
        <f ca="1">0.8*(AI141*30+'402'!D$17*0.34*30*1)</f>
        <v>7977.9577877493257</v>
      </c>
      <c r="AL141" s="954">
        <f ca="1">IF(AK141&lt;User_sheet!B$50,W141,0)</f>
        <v>1.1010854051345968E-3</v>
      </c>
      <c r="AM141" s="954">
        <f ca="1">20-(User_sheet!B$57/(AI141+'402'!D$17*1*0.34))</f>
        <v>2.8527545971645409</v>
      </c>
      <c r="AN141" s="954"/>
      <c r="AO141" s="985"/>
      <c r="AP141" s="2">
        <v>0</v>
      </c>
      <c r="AQ141" s="2">
        <v>2.1</v>
      </c>
      <c r="AR141" s="2">
        <v>0</v>
      </c>
      <c r="AS141" s="2">
        <v>5</v>
      </c>
      <c r="AT141" s="2">
        <v>0</v>
      </c>
      <c r="AU141" s="2">
        <v>0</v>
      </c>
      <c r="AV141" s="2">
        <v>74715.401027665983</v>
      </c>
      <c r="AW141" s="2">
        <v>0</v>
      </c>
      <c r="AX141" s="2">
        <v>0</v>
      </c>
      <c r="AY141" s="2">
        <v>0</v>
      </c>
      <c r="AZ141" s="40">
        <v>0.87</v>
      </c>
      <c r="BA141" s="34">
        <v>1</v>
      </c>
      <c r="BB141" s="34">
        <v>0</v>
      </c>
      <c r="BC141" s="40">
        <v>0</v>
      </c>
      <c r="BD141" s="34">
        <v>1</v>
      </c>
      <c r="BE141" s="34">
        <v>0</v>
      </c>
      <c r="BF141" s="40">
        <v>0</v>
      </c>
      <c r="BG141" s="34">
        <v>0</v>
      </c>
      <c r="BH141" s="40">
        <v>1</v>
      </c>
      <c r="BI141" s="34">
        <v>1</v>
      </c>
      <c r="BJ141" s="34">
        <v>0</v>
      </c>
      <c r="BK141" s="40">
        <v>0</v>
      </c>
      <c r="BL141" s="958">
        <v>0</v>
      </c>
      <c r="BM141" s="958">
        <v>14.9</v>
      </c>
      <c r="BN141" s="32">
        <f t="shared" ca="1" si="182"/>
        <v>106</v>
      </c>
      <c r="BO141">
        <f t="shared" ca="1" si="183"/>
        <v>343.44000000000005</v>
      </c>
      <c r="BP141">
        <f t="shared" ca="1" si="184"/>
        <v>0</v>
      </c>
      <c r="BQ141">
        <f t="shared" ca="1" si="185"/>
        <v>78.362000000000009</v>
      </c>
      <c r="BR141">
        <f t="shared" ca="1" si="186"/>
        <v>0</v>
      </c>
      <c r="BS141">
        <f t="shared" ca="1" si="187"/>
        <v>19</v>
      </c>
      <c r="BT141">
        <f t="shared" ca="1" si="188"/>
        <v>0</v>
      </c>
      <c r="BU141">
        <v>0</v>
      </c>
      <c r="BV141">
        <f t="shared" ca="1" si="189"/>
        <v>0</v>
      </c>
      <c r="BW141">
        <f t="shared" ca="1" si="190"/>
        <v>120.64530791788859</v>
      </c>
      <c r="BX141">
        <f t="shared" ca="1" si="191"/>
        <v>0</v>
      </c>
      <c r="BY141">
        <f t="shared" ca="1" si="192"/>
        <v>94.999999904999996</v>
      </c>
      <c r="BZ141">
        <f t="shared" ca="1" si="193"/>
        <v>0</v>
      </c>
      <c r="CA141">
        <f t="shared" si="194"/>
        <v>0</v>
      </c>
      <c r="CB141" s="1018">
        <f t="shared" ca="1" si="197"/>
        <v>215.64530782288858</v>
      </c>
      <c r="CC141" s="1018">
        <f t="shared" ca="1" si="198"/>
        <v>58.940561149332957</v>
      </c>
      <c r="CD141">
        <f t="shared" ca="1" si="100"/>
        <v>8.2375760691666464</v>
      </c>
      <c r="CE141">
        <f t="shared" ca="1" si="101"/>
        <v>13715.234652119698</v>
      </c>
    </row>
    <row r="142" spans="1:83" x14ac:dyDescent="0.25">
      <c r="A142" s="808"/>
      <c r="B142" s="808"/>
      <c r="C142" s="808"/>
      <c r="D142" s="809"/>
      <c r="E142" s="808"/>
      <c r="F142" s="809"/>
      <c r="G142" s="808"/>
      <c r="H142" s="812"/>
      <c r="I142" s="812" t="s">
        <v>16</v>
      </c>
      <c r="J142" s="812">
        <v>0.64</v>
      </c>
      <c r="K142" s="812"/>
      <c r="L142" s="812"/>
      <c r="M142" s="812"/>
      <c r="N142" s="812"/>
      <c r="O142" s="810" t="s">
        <v>7</v>
      </c>
      <c r="P142" s="812">
        <v>0.4375</v>
      </c>
      <c r="Q142" s="809"/>
      <c r="R142" s="814">
        <v>8.5638224959055996E-4</v>
      </c>
      <c r="S142" s="876"/>
      <c r="T142" s="280">
        <f>R142-R142*Calculation_sheet!F$59</f>
        <v>8.5638224959055996E-4</v>
      </c>
      <c r="U142" s="176">
        <f>T142-T142*Calculation_sheet!E$67</f>
        <v>8.5638224959055996E-4</v>
      </c>
      <c r="V142" s="176">
        <f>U142-U142*Calculation_sheet!E$77</f>
        <v>8.5638224959055996E-4</v>
      </c>
      <c r="W142" s="176">
        <f>V142/Calculation_sheet!M$67</f>
        <v>8.5639975954913071E-4</v>
      </c>
      <c r="X142" s="958">
        <f ca="1">IF(AL142&gt;0,W142*Calculation_sheet!C$87,0)</f>
        <v>0</v>
      </c>
      <c r="Y142" s="176">
        <f t="shared" ca="1" si="195"/>
        <v>8.5639975954913071E-4</v>
      </c>
      <c r="Z142" s="176">
        <f>IF(AN142&gt;0,Y142*Calculation_sheet!C$94,0)</f>
        <v>0</v>
      </c>
      <c r="AA142" s="958">
        <f t="shared" ca="1" si="181"/>
        <v>8.5639975954913071E-4</v>
      </c>
      <c r="AB142" s="176">
        <f ca="1">AA142*Calculation_sheet!C$99</f>
        <v>5.1383985572947836E-4</v>
      </c>
      <c r="AC142" s="958">
        <f t="shared" ca="1" si="181"/>
        <v>3.4255990381965235E-4</v>
      </c>
      <c r="AD142" s="176">
        <f t="shared" si="196"/>
        <v>8.5639975954913071E-4</v>
      </c>
      <c r="AE142" s="176">
        <f>AD142*User_sheet!B$77/100</f>
        <v>0</v>
      </c>
      <c r="AF142" s="309"/>
      <c r="AG142" s="27">
        <v>402</v>
      </c>
      <c r="AH142" s="985"/>
      <c r="AI142" s="956">
        <f t="shared" ref="AI142:AI205" ca="1" si="199">CB142</f>
        <v>215.64530782288858</v>
      </c>
      <c r="AJ142" s="956">
        <f ca="1">AI142/'402'!I$24</f>
        <v>1.0604011950260548</v>
      </c>
      <c r="AK142" s="956">
        <f ca="1">0.8*(AI142*30+'402'!D$17*0.34*30*1)</f>
        <v>7977.9577877493257</v>
      </c>
      <c r="AL142" s="954">
        <f ca="1">IF(AK142&lt;User_sheet!B$50,W142,0)</f>
        <v>8.5639975954913071E-4</v>
      </c>
      <c r="AM142" s="954">
        <f ca="1">20-(User_sheet!B$57/(AI142+'402'!D$17*1*0.34))</f>
        <v>2.8527545971645409</v>
      </c>
      <c r="AN142" s="954"/>
      <c r="AO142" s="985"/>
      <c r="AP142" s="2">
        <v>0</v>
      </c>
      <c r="AQ142" s="2">
        <v>2.1</v>
      </c>
      <c r="AR142" s="2">
        <v>0</v>
      </c>
      <c r="AS142" s="2">
        <v>5</v>
      </c>
      <c r="AT142" s="2">
        <v>0</v>
      </c>
      <c r="AU142" s="2">
        <v>0</v>
      </c>
      <c r="AV142" s="2">
        <v>74715.401027665983</v>
      </c>
      <c r="AW142" s="2">
        <v>0</v>
      </c>
      <c r="AX142" s="2">
        <v>0</v>
      </c>
      <c r="AY142" s="2">
        <v>0</v>
      </c>
      <c r="AZ142" s="40">
        <v>0.87</v>
      </c>
      <c r="BA142" s="34">
        <v>1</v>
      </c>
      <c r="BB142" s="34">
        <v>0</v>
      </c>
      <c r="BC142" s="40">
        <v>0</v>
      </c>
      <c r="BD142" s="34">
        <v>1</v>
      </c>
      <c r="BE142" s="34">
        <v>0</v>
      </c>
      <c r="BF142" s="40">
        <v>0</v>
      </c>
      <c r="BG142" s="34">
        <v>0</v>
      </c>
      <c r="BH142" s="40">
        <v>1</v>
      </c>
      <c r="BI142" s="34">
        <v>0</v>
      </c>
      <c r="BJ142" s="34">
        <v>0</v>
      </c>
      <c r="BK142" s="40">
        <v>1</v>
      </c>
      <c r="BL142" s="958">
        <v>0</v>
      </c>
      <c r="BM142" s="958">
        <v>14.9</v>
      </c>
      <c r="BN142" s="32">
        <f t="shared" ca="1" si="182"/>
        <v>106</v>
      </c>
      <c r="BO142">
        <f t="shared" ca="1" si="183"/>
        <v>343.44000000000005</v>
      </c>
      <c r="BP142">
        <f t="shared" ca="1" si="184"/>
        <v>0</v>
      </c>
      <c r="BQ142">
        <f t="shared" ca="1" si="185"/>
        <v>78.362000000000009</v>
      </c>
      <c r="BR142">
        <f t="shared" ca="1" si="186"/>
        <v>0</v>
      </c>
      <c r="BS142">
        <f t="shared" ca="1" si="187"/>
        <v>19</v>
      </c>
      <c r="BT142">
        <f t="shared" ca="1" si="188"/>
        <v>0</v>
      </c>
      <c r="BU142">
        <v>0</v>
      </c>
      <c r="BV142">
        <f t="shared" ca="1" si="189"/>
        <v>0</v>
      </c>
      <c r="BW142">
        <f t="shared" ca="1" si="190"/>
        <v>120.64530791788859</v>
      </c>
      <c r="BX142">
        <f t="shared" ca="1" si="191"/>
        <v>0</v>
      </c>
      <c r="BY142">
        <f t="shared" ca="1" si="192"/>
        <v>94.999999904999996</v>
      </c>
      <c r="BZ142">
        <f t="shared" ca="1" si="193"/>
        <v>0</v>
      </c>
      <c r="CA142">
        <f t="shared" si="194"/>
        <v>0</v>
      </c>
      <c r="CB142" s="1018">
        <f t="shared" ca="1" si="197"/>
        <v>215.64530782288858</v>
      </c>
      <c r="CC142" s="1018">
        <f t="shared" ca="1" si="198"/>
        <v>58.940561149332957</v>
      </c>
      <c r="CD142">
        <f t="shared" ref="CD142:CD205" ca="1" si="200">(CB142+CC142)*($BW$7-$BT$5)/1000</f>
        <v>8.2375760691666464</v>
      </c>
      <c r="CE142">
        <f t="shared" ref="CE142:CE205" ca="1" si="201">$BT$8*(CB142+CC142)*($BW$10-$BT$7)*24/1000</f>
        <v>13715.234652119698</v>
      </c>
    </row>
    <row r="143" spans="1:83" x14ac:dyDescent="0.25">
      <c r="A143" s="808"/>
      <c r="B143" s="808"/>
      <c r="C143" s="808"/>
      <c r="D143" s="809"/>
      <c r="E143" s="808"/>
      <c r="F143" s="809"/>
      <c r="G143" s="808"/>
      <c r="H143" s="812"/>
      <c r="I143" s="812"/>
      <c r="J143" s="812"/>
      <c r="K143" s="812" t="s">
        <v>59</v>
      </c>
      <c r="L143" s="812">
        <v>0.25600000000000001</v>
      </c>
      <c r="M143" s="812"/>
      <c r="N143" s="812"/>
      <c r="O143" s="813" t="s">
        <v>16</v>
      </c>
      <c r="P143" s="812">
        <v>0.5625</v>
      </c>
      <c r="Q143" s="809"/>
      <c r="R143" s="814">
        <v>1.5154414001971202E-3</v>
      </c>
      <c r="S143" s="876"/>
      <c r="T143" s="280">
        <f>R143-R143*Calculation_sheet!F$59</f>
        <v>1.5154414001971202E-3</v>
      </c>
      <c r="U143" s="176">
        <f>T143-T143*Calculation_sheet!E$67</f>
        <v>1.5154414001971202E-3</v>
      </c>
      <c r="V143" s="176">
        <f>U143-U143*Calculation_sheet!E$77</f>
        <v>1.5154414001971202E-3</v>
      </c>
      <c r="W143" s="176">
        <f>V143/Calculation_sheet!M$67</f>
        <v>1.5154723855615956E-3</v>
      </c>
      <c r="X143" s="958">
        <f ca="1">IF(AL143&gt;0,W143*Calculation_sheet!C$87,0)</f>
        <v>0</v>
      </c>
      <c r="Y143" s="176">
        <f t="shared" ca="1" si="195"/>
        <v>1.5154723855615956E-3</v>
      </c>
      <c r="Z143" s="176">
        <f>IF(AN143&gt;0,Y143*Calculation_sheet!C$94,0)</f>
        <v>0</v>
      </c>
      <c r="AA143" s="958">
        <f t="shared" ca="1" si="181"/>
        <v>1.5154723855615956E-3</v>
      </c>
      <c r="AB143" s="176">
        <f ca="1">AA143*Calculation_sheet!C$99</f>
        <v>9.0928343133695735E-4</v>
      </c>
      <c r="AC143" s="958">
        <f t="shared" ca="1" si="181"/>
        <v>6.0618895422463823E-4</v>
      </c>
      <c r="AD143" s="176">
        <f t="shared" si="196"/>
        <v>1.5154723855615956E-3</v>
      </c>
      <c r="AE143" s="176">
        <f>AD143*User_sheet!B$77/100</f>
        <v>0</v>
      </c>
      <c r="AF143" s="309"/>
      <c r="AG143" s="27">
        <v>402</v>
      </c>
      <c r="AH143" s="985"/>
      <c r="AI143" s="956">
        <f t="shared" ca="1" si="199"/>
        <v>215.64530782288858</v>
      </c>
      <c r="AJ143" s="956">
        <f ca="1">AI143/'402'!I$24</f>
        <v>1.0604011950260548</v>
      </c>
      <c r="AK143" s="956">
        <f ca="1">0.8*(AI143*30+'402'!D$17*0.34*30*1)</f>
        <v>7977.9577877493257</v>
      </c>
      <c r="AL143" s="954">
        <f ca="1">IF(AK143&lt;User_sheet!B$50,W143,0)</f>
        <v>1.5154723855615956E-3</v>
      </c>
      <c r="AM143" s="954">
        <f ca="1">20-(User_sheet!B$57/(AI143+'402'!D$17*1*0.34))</f>
        <v>2.8527545971645409</v>
      </c>
      <c r="AN143" s="954"/>
      <c r="AO143" s="985"/>
      <c r="AP143" s="2">
        <v>0</v>
      </c>
      <c r="AQ143" s="2">
        <v>2.1</v>
      </c>
      <c r="AR143" s="2">
        <v>0</v>
      </c>
      <c r="AS143" s="2">
        <v>5</v>
      </c>
      <c r="AT143" s="2">
        <v>0</v>
      </c>
      <c r="AU143" s="2">
        <v>0</v>
      </c>
      <c r="AV143" s="2">
        <v>74715.401027665983</v>
      </c>
      <c r="AW143" s="2">
        <v>0</v>
      </c>
      <c r="AX143" s="2">
        <v>0</v>
      </c>
      <c r="AY143" s="2">
        <v>0</v>
      </c>
      <c r="AZ143" s="40">
        <v>0.87</v>
      </c>
      <c r="BA143" s="34">
        <v>1</v>
      </c>
      <c r="BB143" s="34">
        <v>0</v>
      </c>
      <c r="BC143" s="40">
        <v>0</v>
      </c>
      <c r="BD143" s="34">
        <v>0</v>
      </c>
      <c r="BE143" s="34">
        <v>1</v>
      </c>
      <c r="BF143" s="40">
        <v>0</v>
      </c>
      <c r="BG143" s="34">
        <v>1</v>
      </c>
      <c r="BH143" s="40">
        <v>0</v>
      </c>
      <c r="BI143" s="34">
        <v>1</v>
      </c>
      <c r="BJ143" s="34">
        <v>0</v>
      </c>
      <c r="BK143" s="40">
        <v>0</v>
      </c>
      <c r="BL143" s="958">
        <v>0</v>
      </c>
      <c r="BM143" s="958">
        <v>14.9</v>
      </c>
      <c r="BN143" s="32">
        <f t="shared" ca="1" si="182"/>
        <v>106</v>
      </c>
      <c r="BO143">
        <f t="shared" ca="1" si="183"/>
        <v>343.44000000000005</v>
      </c>
      <c r="BP143">
        <f t="shared" ca="1" si="184"/>
        <v>0</v>
      </c>
      <c r="BQ143">
        <f t="shared" ca="1" si="185"/>
        <v>78.362000000000009</v>
      </c>
      <c r="BR143">
        <f t="shared" ca="1" si="186"/>
        <v>0</v>
      </c>
      <c r="BS143">
        <f t="shared" ca="1" si="187"/>
        <v>19</v>
      </c>
      <c r="BT143">
        <f t="shared" ca="1" si="188"/>
        <v>0</v>
      </c>
      <c r="BU143">
        <v>0</v>
      </c>
      <c r="BV143">
        <f t="shared" ca="1" si="189"/>
        <v>0</v>
      </c>
      <c r="BW143">
        <f t="shared" ca="1" si="190"/>
        <v>120.64530791788859</v>
      </c>
      <c r="BX143">
        <f t="shared" ca="1" si="191"/>
        <v>0</v>
      </c>
      <c r="BY143">
        <f t="shared" ca="1" si="192"/>
        <v>94.999999904999996</v>
      </c>
      <c r="BZ143">
        <f t="shared" ca="1" si="193"/>
        <v>0</v>
      </c>
      <c r="CA143">
        <f t="shared" si="194"/>
        <v>0</v>
      </c>
      <c r="CB143" s="1018">
        <f t="shared" ca="1" si="197"/>
        <v>215.64530782288858</v>
      </c>
      <c r="CC143" s="1018">
        <f t="shared" ca="1" si="198"/>
        <v>58.940561149332957</v>
      </c>
      <c r="CD143">
        <f t="shared" ca="1" si="200"/>
        <v>8.2375760691666464</v>
      </c>
      <c r="CE143">
        <f t="shared" ca="1" si="201"/>
        <v>13715.234652119698</v>
      </c>
    </row>
    <row r="144" spans="1:83" x14ac:dyDescent="0.25">
      <c r="A144" s="808"/>
      <c r="B144" s="808"/>
      <c r="C144" s="808"/>
      <c r="D144" s="809"/>
      <c r="E144" s="808"/>
      <c r="F144" s="809"/>
      <c r="G144" s="808"/>
      <c r="H144" s="812"/>
      <c r="I144" s="812"/>
      <c r="J144" s="812"/>
      <c r="K144" s="812"/>
      <c r="L144" s="812"/>
      <c r="M144" s="812"/>
      <c r="N144" s="812"/>
      <c r="O144" s="813" t="s">
        <v>7</v>
      </c>
      <c r="P144" s="812">
        <v>0.4375</v>
      </c>
      <c r="Q144" s="809"/>
      <c r="R144" s="814">
        <v>1.1786766445977602E-3</v>
      </c>
      <c r="S144" s="876"/>
      <c r="T144" s="280">
        <f>R144-R144*Calculation_sheet!F$59</f>
        <v>1.1786766445977602E-3</v>
      </c>
      <c r="U144" s="176">
        <f>T144-T144*Calculation_sheet!E$67</f>
        <v>1.1786766445977602E-3</v>
      </c>
      <c r="V144" s="176">
        <f>U144-U144*Calculation_sheet!E$77</f>
        <v>1.1786766445977602E-3</v>
      </c>
      <c r="W144" s="176">
        <f>V144/Calculation_sheet!M$67</f>
        <v>1.1787007443256855E-3</v>
      </c>
      <c r="X144" s="958">
        <f ca="1">IF(AL144&gt;0,W144*Calculation_sheet!C$87,0)</f>
        <v>0</v>
      </c>
      <c r="Y144" s="176">
        <f t="shared" ca="1" si="195"/>
        <v>1.1787007443256855E-3</v>
      </c>
      <c r="Z144" s="176">
        <f>IF(AN144&gt;0,Y144*Calculation_sheet!C$94,0)</f>
        <v>0</v>
      </c>
      <c r="AA144" s="958">
        <f t="shared" ca="1" si="181"/>
        <v>1.1787007443256855E-3</v>
      </c>
      <c r="AB144" s="176">
        <f ca="1">AA144*Calculation_sheet!C$99</f>
        <v>7.0722044659541131E-4</v>
      </c>
      <c r="AC144" s="958">
        <f t="shared" ca="1" si="181"/>
        <v>4.7148029773027417E-4</v>
      </c>
      <c r="AD144" s="176">
        <f t="shared" si="196"/>
        <v>1.1787007443256855E-3</v>
      </c>
      <c r="AE144" s="176">
        <f>AD144*User_sheet!B$77/100</f>
        <v>0</v>
      </c>
      <c r="AF144" s="309"/>
      <c r="AG144" s="27">
        <v>402</v>
      </c>
      <c r="AH144" s="985"/>
      <c r="AI144" s="956">
        <f t="shared" ca="1" si="199"/>
        <v>215.64530782288858</v>
      </c>
      <c r="AJ144" s="956">
        <f ca="1">AI144/'402'!I$24</f>
        <v>1.0604011950260548</v>
      </c>
      <c r="AK144" s="956">
        <f ca="1">0.8*(AI144*30+'402'!D$17*0.34*30*1)</f>
        <v>7977.9577877493257</v>
      </c>
      <c r="AL144" s="954">
        <f ca="1">IF(AK144&lt;User_sheet!B$50,W144,0)</f>
        <v>1.1787007443256855E-3</v>
      </c>
      <c r="AM144" s="954">
        <f ca="1">20-(User_sheet!B$57/(AI144+'402'!D$17*1*0.34))</f>
        <v>2.8527545971645409</v>
      </c>
      <c r="AN144" s="954"/>
      <c r="AO144" s="985"/>
      <c r="AP144" s="2">
        <v>0</v>
      </c>
      <c r="AQ144" s="2">
        <v>2.1</v>
      </c>
      <c r="AR144" s="2">
        <v>0</v>
      </c>
      <c r="AS144" s="2">
        <v>5</v>
      </c>
      <c r="AT144" s="2">
        <v>0</v>
      </c>
      <c r="AU144" s="2">
        <v>0</v>
      </c>
      <c r="AV144" s="2">
        <v>74715.401027665983</v>
      </c>
      <c r="AW144" s="2">
        <v>0</v>
      </c>
      <c r="AX144" s="2">
        <v>0</v>
      </c>
      <c r="AY144" s="2">
        <v>0</v>
      </c>
      <c r="AZ144" s="40">
        <v>0.87</v>
      </c>
      <c r="BA144" s="34">
        <v>1</v>
      </c>
      <c r="BB144" s="34">
        <v>0</v>
      </c>
      <c r="BC144" s="40">
        <v>0</v>
      </c>
      <c r="BD144" s="34">
        <v>0</v>
      </c>
      <c r="BE144" s="34">
        <v>1</v>
      </c>
      <c r="BF144" s="40">
        <v>0</v>
      </c>
      <c r="BG144" s="34">
        <v>1</v>
      </c>
      <c r="BH144" s="40">
        <v>0</v>
      </c>
      <c r="BI144" s="34">
        <v>0</v>
      </c>
      <c r="BJ144" s="34">
        <v>0</v>
      </c>
      <c r="BK144" s="40">
        <v>1</v>
      </c>
      <c r="BL144" s="958">
        <v>0</v>
      </c>
      <c r="BM144" s="958">
        <v>14.9</v>
      </c>
      <c r="BN144" s="32">
        <f t="shared" ca="1" si="182"/>
        <v>106</v>
      </c>
      <c r="BO144">
        <f t="shared" ca="1" si="183"/>
        <v>343.44000000000005</v>
      </c>
      <c r="BP144">
        <f t="shared" ca="1" si="184"/>
        <v>0</v>
      </c>
      <c r="BQ144">
        <f t="shared" ca="1" si="185"/>
        <v>78.362000000000009</v>
      </c>
      <c r="BR144">
        <f t="shared" ca="1" si="186"/>
        <v>0</v>
      </c>
      <c r="BS144">
        <f t="shared" ca="1" si="187"/>
        <v>19</v>
      </c>
      <c r="BT144">
        <f t="shared" ca="1" si="188"/>
        <v>0</v>
      </c>
      <c r="BU144">
        <v>0</v>
      </c>
      <c r="BV144">
        <f t="shared" ca="1" si="189"/>
        <v>0</v>
      </c>
      <c r="BW144">
        <f t="shared" ca="1" si="190"/>
        <v>120.64530791788859</v>
      </c>
      <c r="BX144">
        <f t="shared" ca="1" si="191"/>
        <v>0</v>
      </c>
      <c r="BY144">
        <f t="shared" ca="1" si="192"/>
        <v>94.999999904999996</v>
      </c>
      <c r="BZ144">
        <f t="shared" ca="1" si="193"/>
        <v>0</v>
      </c>
      <c r="CA144">
        <f t="shared" si="194"/>
        <v>0</v>
      </c>
      <c r="CB144" s="1018">
        <f t="shared" ca="1" si="197"/>
        <v>215.64530782288858</v>
      </c>
      <c r="CC144" s="1018">
        <f t="shared" ca="1" si="198"/>
        <v>58.940561149332957</v>
      </c>
      <c r="CD144">
        <f t="shared" ca="1" si="200"/>
        <v>8.2375760691666464</v>
      </c>
      <c r="CE144">
        <f t="shared" ca="1" si="201"/>
        <v>13715.234652119698</v>
      </c>
    </row>
    <row r="145" spans="1:83" x14ac:dyDescent="0.25">
      <c r="A145" s="808"/>
      <c r="B145" s="808"/>
      <c r="C145" s="808"/>
      <c r="D145" s="809"/>
      <c r="E145" s="808"/>
      <c r="F145" s="809"/>
      <c r="G145" s="808"/>
      <c r="H145" s="812"/>
      <c r="I145" s="812"/>
      <c r="J145" s="812"/>
      <c r="K145" s="812"/>
      <c r="L145" s="812"/>
      <c r="M145" s="812" t="s">
        <v>60</v>
      </c>
      <c r="N145" s="812">
        <v>0.34</v>
      </c>
      <c r="O145" s="810" t="s">
        <v>57</v>
      </c>
      <c r="P145" s="812">
        <v>0.96430000000000005</v>
      </c>
      <c r="Q145" s="809"/>
      <c r="R145" s="814">
        <v>1.4340668669865443E-3</v>
      </c>
      <c r="S145" s="876"/>
      <c r="T145" s="280">
        <f>R145-R145*Calculation_sheet!F$59</f>
        <v>1.4340668669865443E-3</v>
      </c>
      <c r="U145" s="176">
        <f>T145-T145*Calculation_sheet!E$67</f>
        <v>1.4340668669865443E-3</v>
      </c>
      <c r="V145" s="176">
        <f>U145-U145*Calculation_sheet!E$77</f>
        <v>1.4340668669865443E-3</v>
      </c>
      <c r="W145" s="176">
        <f>V145/Calculation_sheet!M$67</f>
        <v>1.4340961885324318E-3</v>
      </c>
      <c r="X145" s="958">
        <f ca="1">IF(AL145&gt;0,W145*Calculation_sheet!C$87,0)</f>
        <v>0</v>
      </c>
      <c r="Y145" s="176">
        <f t="shared" ca="1" si="195"/>
        <v>1.4340961885324318E-3</v>
      </c>
      <c r="Z145" s="176">
        <f>IF(AN145&gt;0,Y145*Calculation_sheet!C$94,0)</f>
        <v>0</v>
      </c>
      <c r="AA145" s="958">
        <f t="shared" ca="1" si="181"/>
        <v>1.4340961885324318E-3</v>
      </c>
      <c r="AB145" s="176">
        <f ca="1">AA145*Calculation_sheet!C$99</f>
        <v>8.6045771311945901E-4</v>
      </c>
      <c r="AC145" s="958">
        <f t="shared" ca="1" si="181"/>
        <v>5.7363847541297278E-4</v>
      </c>
      <c r="AD145" s="176">
        <f t="shared" si="196"/>
        <v>1.4340961885324318E-3</v>
      </c>
      <c r="AE145" s="176">
        <f>AD145*User_sheet!B$77/100</f>
        <v>0</v>
      </c>
      <c r="AF145" s="309"/>
      <c r="AG145" s="27">
        <v>402</v>
      </c>
      <c r="AH145" s="985"/>
      <c r="AI145" s="956">
        <f t="shared" ca="1" si="199"/>
        <v>215.64530782288858</v>
      </c>
      <c r="AJ145" s="956">
        <f ca="1">AI145/'402'!I$24</f>
        <v>1.0604011950260548</v>
      </c>
      <c r="AK145" s="956">
        <f ca="1">0.8*(AI145*30+'402'!D$17*0.34*30*1)</f>
        <v>7977.9577877493257</v>
      </c>
      <c r="AL145" s="954">
        <f ca="1">IF(AK145&lt;User_sheet!B$50,W145,0)</f>
        <v>1.4340961885324318E-3</v>
      </c>
      <c r="AM145" s="954">
        <f ca="1">20-(User_sheet!B$57/(AI145+'402'!D$17*1*0.34))</f>
        <v>2.8527545971645409</v>
      </c>
      <c r="AN145" s="954"/>
      <c r="AO145" s="985"/>
      <c r="AP145" s="2">
        <v>0</v>
      </c>
      <c r="AQ145" s="2">
        <v>2.1</v>
      </c>
      <c r="AR145" s="2">
        <v>0</v>
      </c>
      <c r="AS145" s="2">
        <v>5</v>
      </c>
      <c r="AT145" s="2">
        <v>0</v>
      </c>
      <c r="AU145" s="2">
        <v>0</v>
      </c>
      <c r="AV145" s="2">
        <v>74715.401027665983</v>
      </c>
      <c r="AW145" s="2">
        <v>0</v>
      </c>
      <c r="AX145" s="2">
        <v>0</v>
      </c>
      <c r="AY145" s="2">
        <v>0</v>
      </c>
      <c r="AZ145" s="40">
        <v>0.87</v>
      </c>
      <c r="BA145" s="34">
        <v>0</v>
      </c>
      <c r="BB145" s="34">
        <v>1</v>
      </c>
      <c r="BC145" s="40">
        <v>0</v>
      </c>
      <c r="BD145" s="34">
        <v>1</v>
      </c>
      <c r="BE145" s="34">
        <v>0</v>
      </c>
      <c r="BF145" s="40">
        <v>0</v>
      </c>
      <c r="BG145" s="34">
        <v>1</v>
      </c>
      <c r="BH145" s="40">
        <v>0</v>
      </c>
      <c r="BI145" s="34">
        <v>0</v>
      </c>
      <c r="BJ145" s="34">
        <v>1</v>
      </c>
      <c r="BK145" s="40">
        <v>0</v>
      </c>
      <c r="BL145" s="958">
        <v>0</v>
      </c>
      <c r="BM145" s="958">
        <v>14.9</v>
      </c>
      <c r="BN145" s="32">
        <f t="shared" ca="1" si="182"/>
        <v>106</v>
      </c>
      <c r="BO145">
        <f t="shared" ca="1" si="183"/>
        <v>343.44000000000005</v>
      </c>
      <c r="BP145">
        <f t="shared" ca="1" si="184"/>
        <v>0</v>
      </c>
      <c r="BQ145">
        <f t="shared" ca="1" si="185"/>
        <v>78.362000000000009</v>
      </c>
      <c r="BR145">
        <f t="shared" ca="1" si="186"/>
        <v>0</v>
      </c>
      <c r="BS145">
        <f t="shared" ca="1" si="187"/>
        <v>19</v>
      </c>
      <c r="BT145">
        <f t="shared" ca="1" si="188"/>
        <v>0</v>
      </c>
      <c r="BU145">
        <v>0</v>
      </c>
      <c r="BV145">
        <f t="shared" ca="1" si="189"/>
        <v>0</v>
      </c>
      <c r="BW145">
        <f t="shared" ca="1" si="190"/>
        <v>120.64530791788859</v>
      </c>
      <c r="BX145">
        <f t="shared" ca="1" si="191"/>
        <v>0</v>
      </c>
      <c r="BY145">
        <f t="shared" ca="1" si="192"/>
        <v>94.999999904999996</v>
      </c>
      <c r="BZ145">
        <f t="shared" ca="1" si="193"/>
        <v>0</v>
      </c>
      <c r="CA145">
        <f t="shared" si="194"/>
        <v>0</v>
      </c>
      <c r="CB145" s="1018">
        <f t="shared" ca="1" si="197"/>
        <v>215.64530782288858</v>
      </c>
      <c r="CC145" s="1018">
        <f t="shared" ca="1" si="198"/>
        <v>58.940561149332957</v>
      </c>
      <c r="CD145">
        <f t="shared" ca="1" si="200"/>
        <v>8.2375760691666464</v>
      </c>
      <c r="CE145">
        <f t="shared" ca="1" si="201"/>
        <v>13715.234652119698</v>
      </c>
    </row>
    <row r="146" spans="1:83" x14ac:dyDescent="0.25">
      <c r="A146" s="808"/>
      <c r="B146" s="808"/>
      <c r="C146" s="808"/>
      <c r="D146" s="809"/>
      <c r="E146" s="808"/>
      <c r="F146" s="809"/>
      <c r="G146" s="808"/>
      <c r="H146" s="812"/>
      <c r="I146" s="812"/>
      <c r="J146" s="812"/>
      <c r="K146" s="812"/>
      <c r="L146" s="812"/>
      <c r="M146" s="812"/>
      <c r="N146" s="812"/>
      <c r="O146" s="810" t="s">
        <v>7</v>
      </c>
      <c r="P146" s="812">
        <v>3.5700000000000003E-2</v>
      </c>
      <c r="Q146" s="809"/>
      <c r="R146" s="814">
        <v>5.3091555689536077E-5</v>
      </c>
      <c r="S146" s="876"/>
      <c r="T146" s="280">
        <f>R146-R146*Calculation_sheet!F$59</f>
        <v>5.3091555689536077E-5</v>
      </c>
      <c r="U146" s="176">
        <f>T146-T146*Calculation_sheet!E$67</f>
        <v>5.3091555689536077E-5</v>
      </c>
      <c r="V146" s="176">
        <f>U146-U146*Calculation_sheet!E$77</f>
        <v>5.3091555689536077E-5</v>
      </c>
      <c r="W146" s="176">
        <f>V146/Calculation_sheet!M$67</f>
        <v>5.3092641222241855E-5</v>
      </c>
      <c r="X146" s="958">
        <f ca="1">IF(AL146&gt;0,W146*Calculation_sheet!C$87,0)</f>
        <v>0</v>
      </c>
      <c r="Y146" s="176">
        <f t="shared" ca="1" si="195"/>
        <v>5.3092641222241855E-5</v>
      </c>
      <c r="Z146" s="176">
        <f>IF(AN146&gt;0,Y146*Calculation_sheet!C$94,0)</f>
        <v>0</v>
      </c>
      <c r="AA146" s="958">
        <f t="shared" ca="1" si="181"/>
        <v>5.3092641222241855E-5</v>
      </c>
      <c r="AB146" s="176">
        <f ca="1">AA146*Calculation_sheet!C$99</f>
        <v>3.185558473334511E-5</v>
      </c>
      <c r="AC146" s="958">
        <f t="shared" ca="1" si="181"/>
        <v>2.1237056488896745E-5</v>
      </c>
      <c r="AD146" s="176">
        <f t="shared" si="196"/>
        <v>5.3092641222241855E-5</v>
      </c>
      <c r="AE146" s="176">
        <f>AD146*User_sheet!B$77/100</f>
        <v>0</v>
      </c>
      <c r="AF146" s="309"/>
      <c r="AG146" s="27">
        <v>402</v>
      </c>
      <c r="AH146" s="985"/>
      <c r="AI146" s="956">
        <f t="shared" ca="1" si="199"/>
        <v>215.64530782288858</v>
      </c>
      <c r="AJ146" s="956">
        <f ca="1">AI146/'402'!I$24</f>
        <v>1.0604011950260548</v>
      </c>
      <c r="AK146" s="956">
        <f ca="1">0.8*(AI146*30+'402'!D$17*0.34*30*1)</f>
        <v>7977.9577877493257</v>
      </c>
      <c r="AL146" s="954">
        <f ca="1">IF(AK146&lt;User_sheet!B$50,W146,0)</f>
        <v>5.3092641222241855E-5</v>
      </c>
      <c r="AM146" s="954">
        <f ca="1">20-(User_sheet!B$57/(AI146+'402'!D$17*1*0.34))</f>
        <v>2.8527545971645409</v>
      </c>
      <c r="AN146" s="954"/>
      <c r="AO146" s="985"/>
      <c r="AP146" s="2">
        <v>0</v>
      </c>
      <c r="AQ146" s="2">
        <v>2.1</v>
      </c>
      <c r="AR146" s="2">
        <v>0</v>
      </c>
      <c r="AS146" s="2">
        <v>5</v>
      </c>
      <c r="AT146" s="2">
        <v>0</v>
      </c>
      <c r="AU146" s="2">
        <v>0</v>
      </c>
      <c r="AV146" s="2">
        <v>74715.401027665983</v>
      </c>
      <c r="AW146" s="2">
        <v>0</v>
      </c>
      <c r="AX146" s="2">
        <v>0</v>
      </c>
      <c r="AY146" s="2">
        <v>0</v>
      </c>
      <c r="AZ146" s="40">
        <v>0.87</v>
      </c>
      <c r="BA146" s="34">
        <v>0</v>
      </c>
      <c r="BB146" s="34">
        <v>1</v>
      </c>
      <c r="BC146" s="40">
        <v>0</v>
      </c>
      <c r="BD146" s="34">
        <v>1</v>
      </c>
      <c r="BE146" s="34">
        <v>0</v>
      </c>
      <c r="BF146" s="40">
        <v>0</v>
      </c>
      <c r="BG146" s="34">
        <v>1</v>
      </c>
      <c r="BH146" s="40">
        <v>0</v>
      </c>
      <c r="BI146" s="34">
        <v>0</v>
      </c>
      <c r="BJ146" s="34">
        <v>0</v>
      </c>
      <c r="BK146" s="40">
        <v>1</v>
      </c>
      <c r="BL146" s="958">
        <v>0</v>
      </c>
      <c r="BM146" s="958">
        <v>14.9</v>
      </c>
      <c r="BN146" s="32">
        <f t="shared" ca="1" si="182"/>
        <v>106</v>
      </c>
      <c r="BO146">
        <f t="shared" ca="1" si="183"/>
        <v>343.44000000000005</v>
      </c>
      <c r="BP146">
        <f t="shared" ca="1" si="184"/>
        <v>0</v>
      </c>
      <c r="BQ146">
        <f t="shared" ca="1" si="185"/>
        <v>78.362000000000009</v>
      </c>
      <c r="BR146">
        <f t="shared" ca="1" si="186"/>
        <v>0</v>
      </c>
      <c r="BS146">
        <f t="shared" ca="1" si="187"/>
        <v>19</v>
      </c>
      <c r="BT146">
        <f t="shared" ca="1" si="188"/>
        <v>0</v>
      </c>
      <c r="BU146">
        <v>0</v>
      </c>
      <c r="BV146">
        <f t="shared" ca="1" si="189"/>
        <v>0</v>
      </c>
      <c r="BW146">
        <f t="shared" ca="1" si="190"/>
        <v>120.64530791788859</v>
      </c>
      <c r="BX146">
        <f t="shared" ca="1" si="191"/>
        <v>0</v>
      </c>
      <c r="BY146">
        <f t="shared" ca="1" si="192"/>
        <v>94.999999904999996</v>
      </c>
      <c r="BZ146">
        <f t="shared" ca="1" si="193"/>
        <v>0</v>
      </c>
      <c r="CA146">
        <f t="shared" si="194"/>
        <v>0</v>
      </c>
      <c r="CB146" s="1018">
        <f t="shared" ca="1" si="197"/>
        <v>215.64530782288858</v>
      </c>
      <c r="CC146" s="1018">
        <f t="shared" ca="1" si="198"/>
        <v>58.940561149332957</v>
      </c>
      <c r="CD146">
        <f t="shared" ca="1" si="200"/>
        <v>8.2375760691666464</v>
      </c>
      <c r="CE146">
        <f t="shared" ca="1" si="201"/>
        <v>13715.234652119698</v>
      </c>
    </row>
    <row r="147" spans="1:83" x14ac:dyDescent="0.25">
      <c r="A147" s="808"/>
      <c r="B147" s="808"/>
      <c r="C147" s="808"/>
      <c r="D147" s="809"/>
      <c r="E147" s="808"/>
      <c r="F147" s="809"/>
      <c r="G147" s="808"/>
      <c r="H147" s="812"/>
      <c r="I147" s="812"/>
      <c r="J147" s="812"/>
      <c r="K147" s="812" t="s">
        <v>58</v>
      </c>
      <c r="L147" s="812">
        <v>0.95</v>
      </c>
      <c r="M147" s="812" t="s">
        <v>61</v>
      </c>
      <c r="N147" s="812">
        <v>0.65999999999999992</v>
      </c>
      <c r="O147" s="810" t="s">
        <v>57</v>
      </c>
      <c r="P147" s="812">
        <v>0.96430000000000005</v>
      </c>
      <c r="Q147" s="809"/>
      <c r="R147" s="814">
        <v>2.7837768594444678E-3</v>
      </c>
      <c r="S147" s="876"/>
      <c r="T147" s="280">
        <f>R147-R147*Calculation_sheet!F$59</f>
        <v>2.7837768594444678E-3</v>
      </c>
      <c r="U147" s="176">
        <f>T147-T147*Calculation_sheet!E$67</f>
        <v>2.7837768594444678E-3</v>
      </c>
      <c r="V147" s="176">
        <f>U147-U147*Calculation_sheet!E$77</f>
        <v>2.7837768594444678E-3</v>
      </c>
      <c r="W147" s="176">
        <f>V147/Calculation_sheet!M$67</f>
        <v>2.7838337777394257E-3</v>
      </c>
      <c r="X147" s="958">
        <f ca="1">IF(AL147&gt;0,W147*Calculation_sheet!C$87,0)</f>
        <v>0</v>
      </c>
      <c r="Y147" s="176">
        <f t="shared" ca="1" si="195"/>
        <v>2.7838337777394257E-3</v>
      </c>
      <c r="Z147" s="176">
        <f>IF(AN147&gt;0,Y147*Calculation_sheet!C$94,0)</f>
        <v>0</v>
      </c>
      <c r="AA147" s="958">
        <f t="shared" ca="1" si="181"/>
        <v>2.7838337777394257E-3</v>
      </c>
      <c r="AB147" s="176">
        <f ca="1">AA147*Calculation_sheet!C$99</f>
        <v>1.6703002666436553E-3</v>
      </c>
      <c r="AC147" s="958">
        <f t="shared" ca="1" si="181"/>
        <v>1.1135335110957704E-3</v>
      </c>
      <c r="AD147" s="176">
        <f t="shared" si="196"/>
        <v>2.7838337777394257E-3</v>
      </c>
      <c r="AE147" s="176">
        <f>AD147*User_sheet!B$77/100</f>
        <v>0</v>
      </c>
      <c r="AF147" s="309"/>
      <c r="AG147" s="27">
        <v>402</v>
      </c>
      <c r="AH147" s="985"/>
      <c r="AI147" s="956">
        <f t="shared" ca="1" si="199"/>
        <v>215.64530782288858</v>
      </c>
      <c r="AJ147" s="956">
        <f ca="1">AI147/'402'!I$24</f>
        <v>1.0604011950260548</v>
      </c>
      <c r="AK147" s="956">
        <f ca="1">0.8*(AI147*30+'402'!D$17*0.34*30*1)</f>
        <v>7977.9577877493257</v>
      </c>
      <c r="AL147" s="954">
        <f ca="1">IF(AK147&lt;User_sheet!B$50,W147,0)</f>
        <v>2.7838337777394257E-3</v>
      </c>
      <c r="AM147" s="954">
        <f ca="1">20-(User_sheet!B$57/(AI147+'402'!D$17*1*0.34))</f>
        <v>2.8527545971645409</v>
      </c>
      <c r="AN147" s="954"/>
      <c r="AO147" s="985"/>
      <c r="AP147" s="2">
        <v>0</v>
      </c>
      <c r="AQ147" s="2">
        <v>2.1</v>
      </c>
      <c r="AR147" s="2">
        <v>0</v>
      </c>
      <c r="AS147" s="2">
        <v>5</v>
      </c>
      <c r="AT147" s="2">
        <v>0</v>
      </c>
      <c r="AU147" s="2">
        <v>0</v>
      </c>
      <c r="AV147" s="2">
        <v>74715.401027665983</v>
      </c>
      <c r="AW147" s="2">
        <v>0</v>
      </c>
      <c r="AX147" s="2">
        <v>0</v>
      </c>
      <c r="AY147" s="2">
        <v>0</v>
      </c>
      <c r="AZ147" s="40">
        <v>0.87</v>
      </c>
      <c r="BA147" s="34">
        <v>0</v>
      </c>
      <c r="BB147" s="34">
        <v>1</v>
      </c>
      <c r="BC147" s="40">
        <v>0</v>
      </c>
      <c r="BD147" s="34">
        <v>1</v>
      </c>
      <c r="BE147" s="34">
        <v>0</v>
      </c>
      <c r="BF147" s="40">
        <v>0</v>
      </c>
      <c r="BG147" s="34">
        <v>0</v>
      </c>
      <c r="BH147" s="40">
        <v>1</v>
      </c>
      <c r="BI147" s="34">
        <v>0</v>
      </c>
      <c r="BJ147" s="34">
        <v>1</v>
      </c>
      <c r="BK147" s="40">
        <v>0</v>
      </c>
      <c r="BL147" s="958">
        <v>0</v>
      </c>
      <c r="BM147" s="958">
        <v>14.9</v>
      </c>
      <c r="BN147" s="32">
        <f t="shared" ca="1" si="182"/>
        <v>106</v>
      </c>
      <c r="BO147">
        <f t="shared" ca="1" si="183"/>
        <v>343.44000000000005</v>
      </c>
      <c r="BP147">
        <f t="shared" ca="1" si="184"/>
        <v>0</v>
      </c>
      <c r="BQ147">
        <f t="shared" ca="1" si="185"/>
        <v>78.362000000000009</v>
      </c>
      <c r="BR147">
        <f t="shared" ca="1" si="186"/>
        <v>0</v>
      </c>
      <c r="BS147">
        <f t="shared" ca="1" si="187"/>
        <v>19</v>
      </c>
      <c r="BT147">
        <f t="shared" ca="1" si="188"/>
        <v>0</v>
      </c>
      <c r="BU147">
        <v>0</v>
      </c>
      <c r="BV147">
        <f t="shared" ca="1" si="189"/>
        <v>0</v>
      </c>
      <c r="BW147">
        <f t="shared" ca="1" si="190"/>
        <v>120.64530791788859</v>
      </c>
      <c r="BX147">
        <f t="shared" ca="1" si="191"/>
        <v>0</v>
      </c>
      <c r="BY147">
        <f t="shared" ca="1" si="192"/>
        <v>94.999999904999996</v>
      </c>
      <c r="BZ147">
        <f t="shared" ca="1" si="193"/>
        <v>0</v>
      </c>
      <c r="CA147">
        <f t="shared" si="194"/>
        <v>0</v>
      </c>
      <c r="CB147" s="1018">
        <f t="shared" ca="1" si="197"/>
        <v>215.64530782288858</v>
      </c>
      <c r="CC147" s="1018">
        <f t="shared" ca="1" si="198"/>
        <v>58.940561149332957</v>
      </c>
      <c r="CD147">
        <f t="shared" ca="1" si="200"/>
        <v>8.2375760691666464</v>
      </c>
      <c r="CE147">
        <f t="shared" ca="1" si="201"/>
        <v>13715.234652119698</v>
      </c>
    </row>
    <row r="148" spans="1:83" x14ac:dyDescent="0.25">
      <c r="A148" s="808"/>
      <c r="B148" s="808"/>
      <c r="C148" s="808"/>
      <c r="D148" s="809"/>
      <c r="E148" s="808"/>
      <c r="F148" s="809"/>
      <c r="G148" s="808"/>
      <c r="H148" s="809"/>
      <c r="I148" s="812" t="s">
        <v>57</v>
      </c>
      <c r="J148" s="812">
        <v>0.28000000000000003</v>
      </c>
      <c r="K148" s="812"/>
      <c r="L148" s="812"/>
      <c r="M148" s="812"/>
      <c r="N148" s="812"/>
      <c r="O148" s="810" t="s">
        <v>7</v>
      </c>
      <c r="P148" s="812">
        <v>3.5700000000000003E-2</v>
      </c>
      <c r="Q148" s="809"/>
      <c r="R148" s="814">
        <v>1.0306007869145235E-4</v>
      </c>
      <c r="S148" s="876"/>
      <c r="T148" s="280">
        <f>R148-R148*Calculation_sheet!F$59</f>
        <v>1.0306007869145235E-4</v>
      </c>
      <c r="U148" s="176">
        <f>T148-T148*Calculation_sheet!E$67</f>
        <v>1.0306007869145235E-4</v>
      </c>
      <c r="V148" s="176">
        <f>U148-U148*Calculation_sheet!E$77</f>
        <v>1.0306007869145235E-4</v>
      </c>
      <c r="W148" s="176">
        <f>V148/Calculation_sheet!M$67</f>
        <v>1.0306218590199887E-4</v>
      </c>
      <c r="X148" s="958">
        <f ca="1">IF(AL148&gt;0,W148*Calculation_sheet!C$87,0)</f>
        <v>0</v>
      </c>
      <c r="Y148" s="176">
        <f t="shared" ca="1" si="195"/>
        <v>1.0306218590199887E-4</v>
      </c>
      <c r="Z148" s="176">
        <f>IF(AN148&gt;0,Y148*Calculation_sheet!C$94,0)</f>
        <v>0</v>
      </c>
      <c r="AA148" s="958">
        <f t="shared" ca="1" si="181"/>
        <v>1.0306218590199887E-4</v>
      </c>
      <c r="AB148" s="176">
        <f ca="1">AA148*Calculation_sheet!C$99</f>
        <v>6.1837311541199316E-5</v>
      </c>
      <c r="AC148" s="958">
        <f t="shared" ca="1" si="181"/>
        <v>4.1224874360799553E-5</v>
      </c>
      <c r="AD148" s="176">
        <f t="shared" si="196"/>
        <v>1.0306218590199887E-4</v>
      </c>
      <c r="AE148" s="176">
        <f>AD148*User_sheet!B$77/100</f>
        <v>0</v>
      </c>
      <c r="AF148" s="309"/>
      <c r="AG148" s="27">
        <v>402</v>
      </c>
      <c r="AH148" s="985"/>
      <c r="AI148" s="956">
        <f t="shared" ca="1" si="199"/>
        <v>215.64530782288858</v>
      </c>
      <c r="AJ148" s="956">
        <f ca="1">AI148/'402'!I$24</f>
        <v>1.0604011950260548</v>
      </c>
      <c r="AK148" s="956">
        <f ca="1">0.8*(AI148*30+'402'!D$17*0.34*30*1)</f>
        <v>7977.9577877493257</v>
      </c>
      <c r="AL148" s="954">
        <f ca="1">IF(AK148&lt;User_sheet!B$50,W148,0)</f>
        <v>1.0306218590199887E-4</v>
      </c>
      <c r="AM148" s="954">
        <f ca="1">20-(User_sheet!B$57/(AI148+'402'!D$17*1*0.34))</f>
        <v>2.8527545971645409</v>
      </c>
      <c r="AN148" s="954"/>
      <c r="AO148" s="985"/>
      <c r="AP148" s="2">
        <v>0</v>
      </c>
      <c r="AQ148" s="2">
        <v>2.1</v>
      </c>
      <c r="AR148" s="2">
        <v>0</v>
      </c>
      <c r="AS148" s="2">
        <v>5</v>
      </c>
      <c r="AT148" s="2">
        <v>0</v>
      </c>
      <c r="AU148" s="2">
        <v>0</v>
      </c>
      <c r="AV148" s="2">
        <v>74715.401027665983</v>
      </c>
      <c r="AW148" s="2">
        <v>0</v>
      </c>
      <c r="AX148" s="2">
        <v>0</v>
      </c>
      <c r="AY148" s="2">
        <v>0</v>
      </c>
      <c r="AZ148" s="40">
        <v>0.87</v>
      </c>
      <c r="BA148" s="34">
        <v>0</v>
      </c>
      <c r="BB148" s="34">
        <v>1</v>
      </c>
      <c r="BC148" s="40">
        <v>0</v>
      </c>
      <c r="BD148" s="34">
        <v>1</v>
      </c>
      <c r="BE148" s="34">
        <v>0</v>
      </c>
      <c r="BF148" s="40">
        <v>0</v>
      </c>
      <c r="BG148" s="34">
        <v>0</v>
      </c>
      <c r="BH148" s="40">
        <v>1</v>
      </c>
      <c r="BI148" s="34">
        <v>0</v>
      </c>
      <c r="BJ148" s="34">
        <v>0</v>
      </c>
      <c r="BK148" s="40">
        <v>1</v>
      </c>
      <c r="BL148" s="958">
        <v>0</v>
      </c>
      <c r="BM148" s="958">
        <v>14.9</v>
      </c>
      <c r="BN148" s="32">
        <f t="shared" ca="1" si="182"/>
        <v>106</v>
      </c>
      <c r="BO148">
        <f t="shared" ca="1" si="183"/>
        <v>343.44000000000005</v>
      </c>
      <c r="BP148">
        <f t="shared" ca="1" si="184"/>
        <v>0</v>
      </c>
      <c r="BQ148">
        <f t="shared" ca="1" si="185"/>
        <v>78.362000000000009</v>
      </c>
      <c r="BR148">
        <f t="shared" ca="1" si="186"/>
        <v>0</v>
      </c>
      <c r="BS148">
        <f t="shared" ca="1" si="187"/>
        <v>19</v>
      </c>
      <c r="BT148">
        <f t="shared" ca="1" si="188"/>
        <v>0</v>
      </c>
      <c r="BU148">
        <v>0</v>
      </c>
      <c r="BV148">
        <f t="shared" ca="1" si="189"/>
        <v>0</v>
      </c>
      <c r="BW148">
        <f t="shared" ca="1" si="190"/>
        <v>120.64530791788859</v>
      </c>
      <c r="BX148">
        <f t="shared" ca="1" si="191"/>
        <v>0</v>
      </c>
      <c r="BY148">
        <f t="shared" ca="1" si="192"/>
        <v>94.999999904999996</v>
      </c>
      <c r="BZ148">
        <f t="shared" ca="1" si="193"/>
        <v>0</v>
      </c>
      <c r="CA148">
        <f t="shared" si="194"/>
        <v>0</v>
      </c>
      <c r="CB148" s="1018">
        <f t="shared" ca="1" si="197"/>
        <v>215.64530782288858</v>
      </c>
      <c r="CC148" s="1018">
        <f t="shared" ca="1" si="198"/>
        <v>58.940561149332957</v>
      </c>
      <c r="CD148">
        <f t="shared" ca="1" si="200"/>
        <v>8.2375760691666464</v>
      </c>
      <c r="CE148">
        <f t="shared" ca="1" si="201"/>
        <v>13715.234652119698</v>
      </c>
    </row>
    <row r="149" spans="1:83" x14ac:dyDescent="0.25">
      <c r="A149" s="808"/>
      <c r="B149" s="808"/>
      <c r="C149" s="808"/>
      <c r="D149" s="809"/>
      <c r="E149" s="808"/>
      <c r="F149" s="808"/>
      <c r="G149" s="808"/>
      <c r="H149" s="809"/>
      <c r="I149" s="812"/>
      <c r="J149" s="812"/>
      <c r="K149" s="812" t="s">
        <v>59</v>
      </c>
      <c r="L149" s="812">
        <v>0.05</v>
      </c>
      <c r="M149" s="812"/>
      <c r="N149" s="812"/>
      <c r="O149" s="813" t="s">
        <v>57</v>
      </c>
      <c r="P149" s="812">
        <v>0.96430000000000005</v>
      </c>
      <c r="Q149" s="809"/>
      <c r="R149" s="814">
        <v>2.2199177507531645E-4</v>
      </c>
      <c r="S149" s="876"/>
      <c r="T149" s="280">
        <f>R149-R149*Calculation_sheet!F$59</f>
        <v>2.2199177507531645E-4</v>
      </c>
      <c r="U149" s="176">
        <f>T149-T149*Calculation_sheet!E$67</f>
        <v>2.2199177507531645E-4</v>
      </c>
      <c r="V149" s="176">
        <f>U149-U149*Calculation_sheet!E$77</f>
        <v>2.2199177507531645E-4</v>
      </c>
      <c r="W149" s="176">
        <f>V149/Calculation_sheet!M$67</f>
        <v>2.2199631401430831E-4</v>
      </c>
      <c r="X149" s="958">
        <f ca="1">IF(AL149&gt;0,W149*Calculation_sheet!C$87,0)</f>
        <v>0</v>
      </c>
      <c r="Y149" s="176">
        <f t="shared" ca="1" si="195"/>
        <v>2.2199631401430831E-4</v>
      </c>
      <c r="Z149" s="176">
        <f>IF(AN149&gt;0,Y149*Calculation_sheet!C$94,0)</f>
        <v>0</v>
      </c>
      <c r="AA149" s="958">
        <f t="shared" ca="1" si="181"/>
        <v>2.2199631401430831E-4</v>
      </c>
      <c r="AB149" s="176">
        <f ca="1">AA149*Calculation_sheet!C$99</f>
        <v>1.3319778840858499E-4</v>
      </c>
      <c r="AC149" s="958">
        <f t="shared" ca="1" si="181"/>
        <v>8.8798525605723319E-5</v>
      </c>
      <c r="AD149" s="176">
        <f t="shared" si="196"/>
        <v>2.2199631401430831E-4</v>
      </c>
      <c r="AE149" s="176">
        <f>AD149*User_sheet!B$77/100</f>
        <v>0</v>
      </c>
      <c r="AF149" s="309"/>
      <c r="AG149" s="27">
        <v>402</v>
      </c>
      <c r="AH149" s="985"/>
      <c r="AI149" s="956">
        <f t="shared" ca="1" si="199"/>
        <v>215.64530782288858</v>
      </c>
      <c r="AJ149" s="956">
        <f ca="1">AI149/'402'!I$24</f>
        <v>1.0604011950260548</v>
      </c>
      <c r="AK149" s="956">
        <f ca="1">0.8*(AI149*30+'402'!D$17*0.34*30*1)</f>
        <v>7977.9577877493257</v>
      </c>
      <c r="AL149" s="954">
        <f ca="1">IF(AK149&lt;User_sheet!B$50,W149,0)</f>
        <v>2.2199631401430831E-4</v>
      </c>
      <c r="AM149" s="954">
        <f ca="1">20-(User_sheet!B$57/(AI149+'402'!D$17*1*0.34))</f>
        <v>2.8527545971645409</v>
      </c>
      <c r="AN149" s="954"/>
      <c r="AO149" s="985"/>
      <c r="AP149" s="2">
        <v>0</v>
      </c>
      <c r="AQ149" s="2">
        <v>2.1</v>
      </c>
      <c r="AR149" s="2">
        <v>0</v>
      </c>
      <c r="AS149" s="2">
        <v>5</v>
      </c>
      <c r="AT149" s="2">
        <v>0</v>
      </c>
      <c r="AU149" s="2">
        <v>0</v>
      </c>
      <c r="AV149" s="2">
        <v>74715.401027665983</v>
      </c>
      <c r="AW149" s="2">
        <v>0</v>
      </c>
      <c r="AX149" s="2">
        <v>0</v>
      </c>
      <c r="AY149" s="2">
        <v>0</v>
      </c>
      <c r="AZ149" s="40">
        <v>0.87</v>
      </c>
      <c r="BA149" s="34">
        <v>0</v>
      </c>
      <c r="BB149" s="34">
        <v>1</v>
      </c>
      <c r="BC149" s="40">
        <v>0</v>
      </c>
      <c r="BD149" s="34">
        <v>0</v>
      </c>
      <c r="BE149" s="34">
        <v>1</v>
      </c>
      <c r="BF149" s="40">
        <v>0</v>
      </c>
      <c r="BG149" s="34">
        <v>1</v>
      </c>
      <c r="BH149" s="40">
        <v>0</v>
      </c>
      <c r="BI149" s="34">
        <v>0</v>
      </c>
      <c r="BJ149" s="34">
        <v>1</v>
      </c>
      <c r="BK149" s="40">
        <v>0</v>
      </c>
      <c r="BL149" s="958">
        <v>0</v>
      </c>
      <c r="BM149" s="958">
        <v>14.9</v>
      </c>
      <c r="BN149" s="32">
        <f t="shared" ca="1" si="182"/>
        <v>106</v>
      </c>
      <c r="BO149">
        <f t="shared" ca="1" si="183"/>
        <v>343.44000000000005</v>
      </c>
      <c r="BP149">
        <f t="shared" ca="1" si="184"/>
        <v>0</v>
      </c>
      <c r="BQ149">
        <f t="shared" ca="1" si="185"/>
        <v>78.362000000000009</v>
      </c>
      <c r="BR149">
        <f t="shared" ca="1" si="186"/>
        <v>0</v>
      </c>
      <c r="BS149">
        <f t="shared" ca="1" si="187"/>
        <v>19</v>
      </c>
      <c r="BT149">
        <f t="shared" ca="1" si="188"/>
        <v>0</v>
      </c>
      <c r="BU149">
        <v>0</v>
      </c>
      <c r="BV149">
        <f t="shared" ca="1" si="189"/>
        <v>0</v>
      </c>
      <c r="BW149">
        <f t="shared" ca="1" si="190"/>
        <v>120.64530791788859</v>
      </c>
      <c r="BX149">
        <f t="shared" ca="1" si="191"/>
        <v>0</v>
      </c>
      <c r="BY149">
        <f t="shared" ca="1" si="192"/>
        <v>94.999999904999996</v>
      </c>
      <c r="BZ149">
        <f t="shared" ca="1" si="193"/>
        <v>0</v>
      </c>
      <c r="CA149">
        <f t="shared" si="194"/>
        <v>0</v>
      </c>
      <c r="CB149" s="1018">
        <f t="shared" ca="1" si="197"/>
        <v>215.64530782288858</v>
      </c>
      <c r="CC149" s="1018">
        <f t="shared" ca="1" si="198"/>
        <v>58.940561149332957</v>
      </c>
      <c r="CD149">
        <f t="shared" ca="1" si="200"/>
        <v>8.2375760691666464</v>
      </c>
      <c r="CE149">
        <f t="shared" ca="1" si="201"/>
        <v>13715.234652119698</v>
      </c>
    </row>
    <row r="150" spans="1:83" x14ac:dyDescent="0.25">
      <c r="A150" s="808"/>
      <c r="B150" s="808"/>
      <c r="C150" s="808"/>
      <c r="D150" s="809"/>
      <c r="E150" s="808"/>
      <c r="F150" s="809"/>
      <c r="G150" s="808"/>
      <c r="H150" s="809"/>
      <c r="I150" s="812"/>
      <c r="J150" s="812"/>
      <c r="K150" s="812"/>
      <c r="L150" s="812"/>
      <c r="M150" s="812"/>
      <c r="N150" s="812"/>
      <c r="O150" s="813" t="s">
        <v>7</v>
      </c>
      <c r="P150" s="812">
        <v>3.5700000000000003E-2</v>
      </c>
      <c r="Q150" s="809"/>
      <c r="R150" s="814">
        <v>8.2185070726836026E-6</v>
      </c>
      <c r="S150" s="876"/>
      <c r="T150" s="280">
        <f>R150-R150*Calculation_sheet!F$59</f>
        <v>8.2185070726836026E-6</v>
      </c>
      <c r="U150" s="176">
        <f>T150-T150*Calculation_sheet!E$67</f>
        <v>8.2185070726836026E-6</v>
      </c>
      <c r="V150" s="176">
        <f>U150-U150*Calculation_sheet!E$77</f>
        <v>8.2185070726836026E-6</v>
      </c>
      <c r="W150" s="176">
        <f>V150/Calculation_sheet!M$67</f>
        <v>8.2186751118021451E-6</v>
      </c>
      <c r="X150" s="958">
        <f ca="1">IF(AL150&gt;0,W150*Calculation_sheet!C$87,0)</f>
        <v>0</v>
      </c>
      <c r="Y150" s="176">
        <f t="shared" ca="1" si="195"/>
        <v>8.2186751118021451E-6</v>
      </c>
      <c r="Z150" s="176">
        <f>IF(AN150&gt;0,Y150*Calculation_sheet!C$94,0)</f>
        <v>0</v>
      </c>
      <c r="AA150" s="958">
        <f t="shared" ca="1" si="181"/>
        <v>8.2186751118021451E-6</v>
      </c>
      <c r="AB150" s="176">
        <f ca="1">AA150*Calculation_sheet!C$99</f>
        <v>4.9312050670812865E-6</v>
      </c>
      <c r="AC150" s="958">
        <f t="shared" ca="1" si="181"/>
        <v>3.2874700447208585E-6</v>
      </c>
      <c r="AD150" s="176">
        <f t="shared" si="196"/>
        <v>8.2186751118021451E-6</v>
      </c>
      <c r="AE150" s="176">
        <f>AD150*User_sheet!B$77/100</f>
        <v>0</v>
      </c>
      <c r="AF150" s="309"/>
      <c r="AG150" s="27">
        <v>402</v>
      </c>
      <c r="AH150" s="985"/>
      <c r="AI150" s="956">
        <f t="shared" ca="1" si="199"/>
        <v>215.64530782288858</v>
      </c>
      <c r="AJ150" s="956">
        <f ca="1">AI150/'402'!I$24</f>
        <v>1.0604011950260548</v>
      </c>
      <c r="AK150" s="956">
        <f ca="1">0.8*(AI150*30+'402'!D$17*0.34*30*1)</f>
        <v>7977.9577877493257</v>
      </c>
      <c r="AL150" s="954">
        <f ca="1">IF(AK150&lt;User_sheet!B$50,W150,0)</f>
        <v>8.2186751118021451E-6</v>
      </c>
      <c r="AM150" s="954">
        <f ca="1">20-(User_sheet!B$57/(AI150+'402'!D$17*1*0.34))</f>
        <v>2.8527545971645409</v>
      </c>
      <c r="AN150" s="954"/>
      <c r="AO150" s="985"/>
      <c r="AP150" s="2">
        <v>0</v>
      </c>
      <c r="AQ150" s="2">
        <v>2.1</v>
      </c>
      <c r="AR150" s="2">
        <v>0</v>
      </c>
      <c r="AS150" s="2">
        <v>5</v>
      </c>
      <c r="AT150" s="2">
        <v>0</v>
      </c>
      <c r="AU150" s="2">
        <v>0</v>
      </c>
      <c r="AV150" s="2">
        <v>74715.401027665997</v>
      </c>
      <c r="AW150" s="2">
        <v>0</v>
      </c>
      <c r="AX150" s="2">
        <v>0</v>
      </c>
      <c r="AY150" s="2">
        <v>0</v>
      </c>
      <c r="AZ150" s="40">
        <v>0.87</v>
      </c>
      <c r="BA150" s="34">
        <v>0</v>
      </c>
      <c r="BB150" s="34">
        <v>1</v>
      </c>
      <c r="BC150" s="40">
        <v>0</v>
      </c>
      <c r="BD150" s="34">
        <v>0</v>
      </c>
      <c r="BE150" s="34">
        <v>1</v>
      </c>
      <c r="BF150" s="40">
        <v>0</v>
      </c>
      <c r="BG150" s="34">
        <v>1</v>
      </c>
      <c r="BH150" s="40">
        <v>0</v>
      </c>
      <c r="BI150" s="34">
        <v>0</v>
      </c>
      <c r="BJ150" s="34">
        <v>0</v>
      </c>
      <c r="BK150" s="40">
        <v>1</v>
      </c>
      <c r="BL150" s="958">
        <v>0</v>
      </c>
      <c r="BM150" s="958">
        <v>14.9</v>
      </c>
      <c r="BN150" s="32">
        <f t="shared" ca="1" si="182"/>
        <v>106</v>
      </c>
      <c r="BO150">
        <f t="shared" ca="1" si="183"/>
        <v>343.44000000000005</v>
      </c>
      <c r="BP150">
        <f t="shared" ca="1" si="184"/>
        <v>0</v>
      </c>
      <c r="BQ150">
        <f t="shared" ca="1" si="185"/>
        <v>78.362000000000009</v>
      </c>
      <c r="BR150">
        <f t="shared" ca="1" si="186"/>
        <v>0</v>
      </c>
      <c r="BS150">
        <f t="shared" ca="1" si="187"/>
        <v>19</v>
      </c>
      <c r="BT150">
        <f t="shared" ca="1" si="188"/>
        <v>0</v>
      </c>
      <c r="BU150">
        <v>0</v>
      </c>
      <c r="BV150">
        <f t="shared" ca="1" si="189"/>
        <v>0</v>
      </c>
      <c r="BW150">
        <f t="shared" ca="1" si="190"/>
        <v>120.64530791788859</v>
      </c>
      <c r="BX150">
        <f t="shared" ca="1" si="191"/>
        <v>0</v>
      </c>
      <c r="BY150">
        <f t="shared" ca="1" si="192"/>
        <v>94.999999904999996</v>
      </c>
      <c r="BZ150">
        <f t="shared" ca="1" si="193"/>
        <v>0</v>
      </c>
      <c r="CA150">
        <f t="shared" si="194"/>
        <v>0</v>
      </c>
      <c r="CB150" s="1018">
        <f t="shared" ca="1" si="197"/>
        <v>215.64530782288858</v>
      </c>
      <c r="CC150" s="1018">
        <f t="shared" ca="1" si="198"/>
        <v>58.940561149332957</v>
      </c>
      <c r="CD150">
        <f t="shared" ca="1" si="200"/>
        <v>8.2375760691666464</v>
      </c>
      <c r="CE150">
        <f t="shared" ca="1" si="201"/>
        <v>13715.234652119698</v>
      </c>
    </row>
    <row r="151" spans="1:83" x14ac:dyDescent="0.25">
      <c r="A151" s="808"/>
      <c r="B151" s="808"/>
      <c r="C151" s="808"/>
      <c r="D151" s="809"/>
      <c r="E151" s="808"/>
      <c r="F151" s="808"/>
      <c r="G151" s="808" t="s">
        <v>11</v>
      </c>
      <c r="H151" s="811">
        <v>0.3574</v>
      </c>
      <c r="I151" s="812" t="s">
        <v>7</v>
      </c>
      <c r="J151" s="812">
        <v>7.999999999999996E-2</v>
      </c>
      <c r="K151" s="812" t="s">
        <v>23</v>
      </c>
      <c r="L151" s="812">
        <v>1</v>
      </c>
      <c r="M151" s="812"/>
      <c r="N151" s="812">
        <v>1</v>
      </c>
      <c r="O151" s="813" t="s">
        <v>7</v>
      </c>
      <c r="P151" s="812">
        <v>1</v>
      </c>
      <c r="Q151" s="809"/>
      <c r="R151" s="814">
        <v>1.3154873265599993E-3</v>
      </c>
      <c r="S151" s="876"/>
      <c r="T151" s="280">
        <f>R151-R151*Calculation_sheet!F$59</f>
        <v>1.3154873265599993E-3</v>
      </c>
      <c r="U151" s="176">
        <f>T151-T151*Calculation_sheet!E$67</f>
        <v>1.3154873265599993E-3</v>
      </c>
      <c r="V151" s="176">
        <f>U151-U151*Calculation_sheet!E$77</f>
        <v>1.3154873265599993E-3</v>
      </c>
      <c r="W151" s="176">
        <f>V151/Calculation_sheet!M$67</f>
        <v>1.3155142235777731E-3</v>
      </c>
      <c r="X151" s="958">
        <f ca="1">IF(AL151&gt;0,W151*Calculation_sheet!C$87,0)</f>
        <v>0</v>
      </c>
      <c r="Y151" s="176">
        <f t="shared" ca="1" si="195"/>
        <v>1.3155142235777731E-3</v>
      </c>
      <c r="Z151" s="176">
        <f>IF(AN151&gt;0,Y151*Calculation_sheet!C$94,0)</f>
        <v>0</v>
      </c>
      <c r="AA151" s="958">
        <f t="shared" ca="1" si="181"/>
        <v>1.3155142235777731E-3</v>
      </c>
      <c r="AB151" s="176">
        <f ca="1">AA151*Calculation_sheet!C$99</f>
        <v>7.8930853414666382E-4</v>
      </c>
      <c r="AC151" s="958">
        <f t="shared" ca="1" si="181"/>
        <v>5.2620568943110928E-4</v>
      </c>
      <c r="AD151" s="176">
        <f t="shared" si="196"/>
        <v>1.3155142235777731E-3</v>
      </c>
      <c r="AE151" s="176">
        <f>AD151*User_sheet!B$77/100</f>
        <v>0</v>
      </c>
      <c r="AF151" s="309"/>
      <c r="AG151" s="27">
        <v>402</v>
      </c>
      <c r="AH151" s="985"/>
      <c r="AI151" s="956">
        <f t="shared" ca="1" si="199"/>
        <v>215.64530782288858</v>
      </c>
      <c r="AJ151" s="956">
        <f ca="1">AI151/'402'!I$24</f>
        <v>1.0604011950260548</v>
      </c>
      <c r="AK151" s="956">
        <f ca="1">0.8*(AI151*30+'402'!D$17*0.34*30*1)</f>
        <v>7977.9577877493257</v>
      </c>
      <c r="AL151" s="954">
        <f ca="1">IF(AK151&lt;User_sheet!B$50,W151,0)</f>
        <v>1.3155142235777731E-3</v>
      </c>
      <c r="AM151" s="954">
        <f ca="1">20-(User_sheet!B$57/(AI151+'402'!D$17*1*0.34))</f>
        <v>2.8527545971645409</v>
      </c>
      <c r="AN151" s="954"/>
      <c r="AO151" s="985"/>
      <c r="AP151" s="2">
        <v>0</v>
      </c>
      <c r="AQ151" s="2">
        <v>2.1</v>
      </c>
      <c r="AR151" s="2">
        <v>0</v>
      </c>
      <c r="AS151" s="2">
        <v>5</v>
      </c>
      <c r="AT151" s="2">
        <v>0</v>
      </c>
      <c r="AU151" s="2">
        <v>0</v>
      </c>
      <c r="AV151" s="2">
        <v>74715.401027665997</v>
      </c>
      <c r="AW151" s="2">
        <v>0</v>
      </c>
      <c r="AX151" s="2">
        <v>0</v>
      </c>
      <c r="AY151" s="2">
        <v>0</v>
      </c>
      <c r="AZ151" s="40">
        <v>0.87</v>
      </c>
      <c r="BA151" s="34">
        <v>0</v>
      </c>
      <c r="BB151" s="34">
        <v>0</v>
      </c>
      <c r="BC151" s="40">
        <v>1</v>
      </c>
      <c r="BD151" s="34">
        <v>0</v>
      </c>
      <c r="BE151" s="34">
        <v>0</v>
      </c>
      <c r="BF151" s="40">
        <v>1</v>
      </c>
      <c r="BG151" s="34">
        <v>1</v>
      </c>
      <c r="BH151" s="40">
        <v>0</v>
      </c>
      <c r="BI151" s="34">
        <v>0</v>
      </c>
      <c r="BJ151" s="34">
        <v>0</v>
      </c>
      <c r="BK151" s="40">
        <v>1</v>
      </c>
      <c r="BL151" s="958">
        <v>0</v>
      </c>
      <c r="BM151" s="958">
        <v>14.9</v>
      </c>
      <c r="BN151" s="32">
        <f t="shared" ca="1" si="182"/>
        <v>106</v>
      </c>
      <c r="BO151">
        <f t="shared" ca="1" si="183"/>
        <v>343.44000000000005</v>
      </c>
      <c r="BP151">
        <f t="shared" ca="1" si="184"/>
        <v>0</v>
      </c>
      <c r="BQ151">
        <f t="shared" ca="1" si="185"/>
        <v>78.362000000000009</v>
      </c>
      <c r="BR151">
        <f t="shared" ca="1" si="186"/>
        <v>0</v>
      </c>
      <c r="BS151">
        <f t="shared" ca="1" si="187"/>
        <v>19</v>
      </c>
      <c r="BT151">
        <f t="shared" ca="1" si="188"/>
        <v>0</v>
      </c>
      <c r="BU151">
        <v>0</v>
      </c>
      <c r="BV151">
        <f t="shared" ca="1" si="189"/>
        <v>0</v>
      </c>
      <c r="BW151">
        <f t="shared" ca="1" si="190"/>
        <v>120.64530791788859</v>
      </c>
      <c r="BX151">
        <f t="shared" ca="1" si="191"/>
        <v>0</v>
      </c>
      <c r="BY151">
        <f t="shared" ca="1" si="192"/>
        <v>94.999999904999996</v>
      </c>
      <c r="BZ151">
        <f t="shared" ca="1" si="193"/>
        <v>0</v>
      </c>
      <c r="CA151">
        <f t="shared" si="194"/>
        <v>0</v>
      </c>
      <c r="CB151" s="1018">
        <f t="shared" ca="1" si="197"/>
        <v>215.64530782288858</v>
      </c>
      <c r="CC151" s="1018">
        <f t="shared" ca="1" si="198"/>
        <v>58.940561149332957</v>
      </c>
      <c r="CD151">
        <f t="shared" ca="1" si="200"/>
        <v>8.2375760691666464</v>
      </c>
      <c r="CE151">
        <f t="shared" ca="1" si="201"/>
        <v>13715.234652119698</v>
      </c>
    </row>
    <row r="152" spans="1:83" s="815" customFormat="1" x14ac:dyDescent="0.25">
      <c r="D152" s="816"/>
      <c r="H152" s="816"/>
      <c r="I152" s="816"/>
      <c r="J152" s="816"/>
      <c r="K152" s="816"/>
      <c r="L152" s="816"/>
      <c r="M152" s="816"/>
      <c r="N152" s="816"/>
      <c r="O152" s="817"/>
      <c r="P152" s="816"/>
      <c r="Q152" s="816"/>
      <c r="R152" s="819"/>
      <c r="S152" s="877">
        <v>6.1345240000000002E-2</v>
      </c>
      <c r="T152" s="281"/>
      <c r="U152" s="292"/>
      <c r="V152" s="292"/>
      <c r="W152" s="292"/>
      <c r="X152" s="277"/>
      <c r="Y152" s="292"/>
      <c r="Z152" s="292"/>
      <c r="AA152" s="277"/>
      <c r="AB152" s="292"/>
      <c r="AC152" s="277"/>
      <c r="AD152" s="292"/>
      <c r="AE152" s="292"/>
      <c r="AF152" s="309"/>
      <c r="AG152" s="817"/>
      <c r="AH152" s="985"/>
      <c r="AI152" s="956">
        <f t="shared" si="199"/>
        <v>0</v>
      </c>
      <c r="AJ152" s="941"/>
      <c r="AK152" s="941"/>
      <c r="AL152" s="941"/>
      <c r="AM152" s="941"/>
      <c r="AN152" s="941"/>
      <c r="AO152" s="985"/>
      <c r="AP152" s="817"/>
      <c r="AQ152" s="817"/>
      <c r="AR152" s="817"/>
      <c r="AS152" s="817"/>
      <c r="AT152" s="817"/>
      <c r="AU152" s="817"/>
      <c r="AV152" s="817"/>
      <c r="AW152" s="817"/>
      <c r="AX152" s="817"/>
      <c r="AY152" s="817"/>
      <c r="AZ152" s="49"/>
      <c r="BA152" s="277"/>
      <c r="BB152" s="277"/>
      <c r="BC152" s="49"/>
      <c r="BD152" s="277"/>
      <c r="BE152" s="277"/>
      <c r="BF152" s="49"/>
      <c r="BG152" s="277"/>
      <c r="BH152" s="49"/>
      <c r="BI152" s="277"/>
      <c r="BJ152" s="277"/>
      <c r="BK152" s="49"/>
      <c r="BL152" s="277"/>
      <c r="BM152" s="277"/>
      <c r="BN152" s="818"/>
    </row>
    <row r="153" spans="1:83" s="3" customFormat="1" x14ac:dyDescent="0.25">
      <c r="D153" s="6"/>
      <c r="F153" s="6"/>
      <c r="G153" s="6"/>
      <c r="H153" s="8"/>
      <c r="I153" s="6"/>
      <c r="J153" s="6"/>
      <c r="K153" s="6"/>
      <c r="L153" s="6"/>
      <c r="M153" s="6" t="s">
        <v>60</v>
      </c>
      <c r="N153" s="4"/>
      <c r="O153" s="2" t="s">
        <v>16</v>
      </c>
      <c r="P153" s="4"/>
      <c r="Q153" s="1"/>
      <c r="R153" s="79"/>
      <c r="S153" s="876"/>
      <c r="T153" s="282"/>
      <c r="U153" s="200"/>
      <c r="V153" s="176">
        <f>U139-V139</f>
        <v>0</v>
      </c>
      <c r="W153" s="176">
        <f>V153/Calculation_sheet!M$67</f>
        <v>0</v>
      </c>
      <c r="X153" s="958">
        <f ca="1">IF(AL153&gt;0,W153*Calculation_sheet!C$87,0)</f>
        <v>0</v>
      </c>
      <c r="Y153" s="176">
        <f ca="1">W153-X153</f>
        <v>0</v>
      </c>
      <c r="Z153" s="176">
        <f>IF(AN153&gt;0,Y153*Calculation_sheet!C$94,0)</f>
        <v>0</v>
      </c>
      <c r="AA153" s="958">
        <f t="shared" ref="AA153:AC165" ca="1" si="202">Y153-Z153</f>
        <v>0</v>
      </c>
      <c r="AB153" s="176">
        <f ca="1">AA153*Calculation_sheet!C$99</f>
        <v>0</v>
      </c>
      <c r="AC153" s="958">
        <f t="shared" ca="1" si="202"/>
        <v>0</v>
      </c>
      <c r="AD153" s="176">
        <f>W153-Z153</f>
        <v>0</v>
      </c>
      <c r="AE153" s="176">
        <f>AD153*User_sheet!B$77/100</f>
        <v>0</v>
      </c>
      <c r="AF153" s="309"/>
      <c r="AG153" s="27">
        <v>402</v>
      </c>
      <c r="AH153" s="985"/>
      <c r="AI153" s="956">
        <f t="shared" ca="1" si="199"/>
        <v>158.64530790268859</v>
      </c>
      <c r="AJ153" s="956">
        <f ca="1">AI153/'402'!I$24</f>
        <v>0.78011284262885183</v>
      </c>
      <c r="AK153" s="956">
        <f ca="1">0.8*(AI153*30+'402'!D$17*0.34*30*1)</f>
        <v>6609.9577896645269</v>
      </c>
      <c r="AL153" s="954">
        <f ca="1">IF(AK153&lt;User_sheet!B$50,W153,0)</f>
        <v>0</v>
      </c>
      <c r="AM153" s="954">
        <f ca="1">20-(User_sheet!B$57/(AI153+'402'!D$17*1*0.34))</f>
        <v>-0.69604744131701679</v>
      </c>
      <c r="AN153" s="954"/>
      <c r="AO153" s="985"/>
      <c r="AP153" s="2">
        <v>0</v>
      </c>
      <c r="AQ153" s="2">
        <v>2.1</v>
      </c>
      <c r="AR153" s="2">
        <v>0</v>
      </c>
      <c r="AS153" s="27">
        <v>2</v>
      </c>
      <c r="AT153" s="2">
        <v>0</v>
      </c>
      <c r="AU153" s="2">
        <v>0</v>
      </c>
      <c r="AV153" s="2">
        <v>74715.401027665983</v>
      </c>
      <c r="AW153" s="2">
        <v>0</v>
      </c>
      <c r="AX153" s="2">
        <v>0</v>
      </c>
      <c r="AY153" s="2">
        <v>0</v>
      </c>
      <c r="AZ153" s="50">
        <v>0.6</v>
      </c>
      <c r="BA153" s="34">
        <v>1</v>
      </c>
      <c r="BB153" s="34">
        <v>0</v>
      </c>
      <c r="BC153" s="40">
        <v>0</v>
      </c>
      <c r="BD153" s="34">
        <v>1</v>
      </c>
      <c r="BE153" s="34">
        <v>0</v>
      </c>
      <c r="BF153" s="40">
        <v>0</v>
      </c>
      <c r="BG153" s="34">
        <v>1</v>
      </c>
      <c r="BH153" s="40">
        <v>0</v>
      </c>
      <c r="BI153" s="34">
        <v>1</v>
      </c>
      <c r="BJ153" s="34">
        <v>0</v>
      </c>
      <c r="BK153" s="40">
        <v>0</v>
      </c>
      <c r="BL153" s="958">
        <v>0</v>
      </c>
      <c r="BM153" s="958">
        <v>14.9</v>
      </c>
      <c r="BN153" s="37">
        <f t="shared" ref="BN153:BN165" ca="1" si="203">INDIRECT("'"&amp;AG153&amp;"'!"&amp;"B2")</f>
        <v>106</v>
      </c>
      <c r="BO153" s="3">
        <f t="shared" ref="BO153:BO165" ca="1" si="204">INDIRECT("'"&amp;AG153&amp;"'!"&amp;"C12")+INDIRECT("'"&amp;AG153&amp;"'!"&amp;"C13")+INDIRECT("'"&amp;AG153&amp;"'!"&amp;"C14")+INDIRECT("'"&amp;AG153&amp;"'!"&amp;"C15")+INDIRECT("'"&amp;AG153&amp;"'!"&amp;"C17")</f>
        <v>343.44000000000005</v>
      </c>
      <c r="BP153" s="3">
        <f t="shared" ref="BP153:BP165" ca="1" si="205">INDIRECT("'"&amp;AG153&amp;"'!"&amp;"G5")</f>
        <v>0</v>
      </c>
      <c r="BQ153" s="3">
        <f t="shared" ref="BQ153:BQ165" ca="1" si="206">INDIRECT("'"&amp;AG153&amp;"'!"&amp;"G4")</f>
        <v>78.362000000000009</v>
      </c>
      <c r="BR153" s="3">
        <f t="shared" ref="BR153:BR165" ca="1" si="207">INDIRECT("'"&amp;AG153&amp;"'!"&amp;"G6")</f>
        <v>0</v>
      </c>
      <c r="BS153" s="3">
        <f t="shared" ref="BS153:BS165" ca="1" si="208">INDIRECT("'"&amp;AG153&amp;"'!"&amp;"G2")</f>
        <v>19</v>
      </c>
      <c r="BT153" s="3">
        <f t="shared" ref="BT153:BT165" ca="1" si="209">INDIRECT("'"&amp;AG153&amp;"'!"&amp;"G3")</f>
        <v>0</v>
      </c>
      <c r="BU153" s="3">
        <v>0</v>
      </c>
      <c r="BV153" s="3">
        <f t="shared" ref="BV153:BV165" ca="1" si="210">IF(OR(BP153=0,AP153=0),0,1/(1/(BP153*$BW$3)+1/(BP153*AP153)+1/(BP153*$BW$4)))</f>
        <v>0</v>
      </c>
      <c r="BW153" s="3">
        <f t="shared" ref="BW153:BW165" ca="1" si="211">IF(OR(BQ153=0,AQ153=0),0,1/(1/(BQ153*$BW$3)+1/(BQ153*AQ153)+1/(BQ153*$BW$4)))</f>
        <v>120.64530791788859</v>
      </c>
      <c r="BX153" s="3">
        <f t="shared" ref="BX153:BX165" ca="1" si="212">IF(OR(BR153=0,AR153=0),0,1/(1/(BR153*$BW$3)+1/(BR153*AR153)+1/(BR153*$BW$4)))</f>
        <v>0</v>
      </c>
      <c r="BY153" s="3">
        <f t="shared" ref="BY153:BY165" ca="1" si="213">IF(OR(BS153=0,AS153=0),0,1/(1/(BS153*$BW$5)+1/(BS153*AS153)+1/(BS153*$BW$6)))</f>
        <v>37.999999984799999</v>
      </c>
      <c r="BZ153" s="3">
        <f t="shared" ref="BZ153:BZ165" ca="1" si="214">IF(OR(BT153=0,AT153=0),0,1/(1/(BT153*$BW$3)+1/(BT153*AT153)+1/(BT153*$BW$4)))</f>
        <v>0</v>
      </c>
      <c r="CA153" s="3">
        <f t="shared" ref="CA153:CA165" si="215">IF(OR(BU153=0,AU153=0),0,1/(1/(BU153*$BW$3)+1/(BU153*AU153)+1/(BU153*$BW$4)))</f>
        <v>0</v>
      </c>
      <c r="CB153" s="1018">
        <f ca="1">SUM(BV153:CA153)+(BP153+BQ153+BR153+BS153+BT153)*BL153</f>
        <v>158.64530790268859</v>
      </c>
      <c r="CC153" s="1018">
        <f ca="1">0.34*BM153*(1/25)^0.66*(BQ153+BS153+BT153)</f>
        <v>58.940561149332957</v>
      </c>
      <c r="CD153" s="3">
        <f t="shared" ca="1" si="200"/>
        <v>6.5275760715606461</v>
      </c>
      <c r="CE153" s="3">
        <f t="shared" ca="1" si="201"/>
        <v>10868.153056105612</v>
      </c>
    </row>
    <row r="154" spans="1:83" s="3" customFormat="1" x14ac:dyDescent="0.25">
      <c r="D154" s="6"/>
      <c r="F154" s="6"/>
      <c r="G154" s="6"/>
      <c r="H154" s="8"/>
      <c r="I154" s="6"/>
      <c r="J154" s="6"/>
      <c r="K154" s="6"/>
      <c r="L154" s="6"/>
      <c r="M154" s="6"/>
      <c r="N154" s="6"/>
      <c r="O154" s="2" t="s">
        <v>7</v>
      </c>
      <c r="P154" s="4"/>
      <c r="Q154" s="1"/>
      <c r="R154" s="79"/>
      <c r="S154" s="876"/>
      <c r="T154" s="282"/>
      <c r="U154" s="200"/>
      <c r="V154" s="176">
        <f t="shared" ref="V154:V165" si="216">U140-V140</f>
        <v>0</v>
      </c>
      <c r="W154" s="176">
        <f>V154/Calculation_sheet!M$67</f>
        <v>0</v>
      </c>
      <c r="X154" s="958">
        <f ca="1">IF(AL154&gt;0,W154*Calculation_sheet!C$87,0)</f>
        <v>0</v>
      </c>
      <c r="Y154" s="176">
        <f t="shared" ref="Y154:Y165" ca="1" si="217">W154-X154</f>
        <v>0</v>
      </c>
      <c r="Z154" s="176">
        <f>IF(AN154&gt;0,Y154*Calculation_sheet!C$94,0)</f>
        <v>0</v>
      </c>
      <c r="AA154" s="958">
        <f t="shared" ca="1" si="202"/>
        <v>0</v>
      </c>
      <c r="AB154" s="176">
        <f ca="1">AA154*Calculation_sheet!C$99</f>
        <v>0</v>
      </c>
      <c r="AC154" s="958">
        <f t="shared" ca="1" si="202"/>
        <v>0</v>
      </c>
      <c r="AD154" s="176">
        <f t="shared" ref="AD154:AD165" si="218">W154-Z154</f>
        <v>0</v>
      </c>
      <c r="AE154" s="176">
        <f>AD154*User_sheet!B$77/100</f>
        <v>0</v>
      </c>
      <c r="AF154" s="309"/>
      <c r="AG154" s="27">
        <v>402</v>
      </c>
      <c r="AH154" s="985"/>
      <c r="AI154" s="956">
        <f t="shared" ca="1" si="199"/>
        <v>158.64530790268859</v>
      </c>
      <c r="AJ154" s="956">
        <f ca="1">AI154/'402'!I$24</f>
        <v>0.78011284262885183</v>
      </c>
      <c r="AK154" s="956">
        <f ca="1">0.8*(AI154*30+'402'!D$17*0.34*30*1)</f>
        <v>6609.9577896645269</v>
      </c>
      <c r="AL154" s="954">
        <f ca="1">IF(AK154&lt;User_sheet!B$50,W154,0)</f>
        <v>0</v>
      </c>
      <c r="AM154" s="954">
        <f ca="1">20-(User_sheet!B$57/(AI154+'402'!D$17*1*0.34))</f>
        <v>-0.69604744131701679</v>
      </c>
      <c r="AN154" s="954"/>
      <c r="AO154" s="985"/>
      <c r="AP154" s="2">
        <v>0</v>
      </c>
      <c r="AQ154" s="2">
        <v>2.1</v>
      </c>
      <c r="AR154" s="2">
        <v>0</v>
      </c>
      <c r="AS154" s="27">
        <v>2</v>
      </c>
      <c r="AT154" s="2">
        <v>0</v>
      </c>
      <c r="AU154" s="2">
        <v>0</v>
      </c>
      <c r="AV154" s="2">
        <v>74715.401027665983</v>
      </c>
      <c r="AW154" s="2">
        <v>0</v>
      </c>
      <c r="AX154" s="2">
        <v>0</v>
      </c>
      <c r="AY154" s="2">
        <v>0</v>
      </c>
      <c r="AZ154" s="50">
        <v>0.6</v>
      </c>
      <c r="BA154" s="34">
        <v>1</v>
      </c>
      <c r="BB154" s="34">
        <v>0</v>
      </c>
      <c r="BC154" s="40">
        <v>0</v>
      </c>
      <c r="BD154" s="34">
        <v>1</v>
      </c>
      <c r="BE154" s="34">
        <v>0</v>
      </c>
      <c r="BF154" s="40">
        <v>0</v>
      </c>
      <c r="BG154" s="34">
        <v>1</v>
      </c>
      <c r="BH154" s="40">
        <v>0</v>
      </c>
      <c r="BI154" s="34">
        <v>0</v>
      </c>
      <c r="BJ154" s="34">
        <v>0</v>
      </c>
      <c r="BK154" s="40">
        <v>1</v>
      </c>
      <c r="BL154" s="958">
        <v>0</v>
      </c>
      <c r="BM154" s="958">
        <v>14.9</v>
      </c>
      <c r="BN154" s="37">
        <f t="shared" ca="1" si="203"/>
        <v>106</v>
      </c>
      <c r="BO154" s="3">
        <f t="shared" ca="1" si="204"/>
        <v>343.44000000000005</v>
      </c>
      <c r="BP154" s="3">
        <f t="shared" ca="1" si="205"/>
        <v>0</v>
      </c>
      <c r="BQ154" s="3">
        <f t="shared" ca="1" si="206"/>
        <v>78.362000000000009</v>
      </c>
      <c r="BR154" s="3">
        <f t="shared" ca="1" si="207"/>
        <v>0</v>
      </c>
      <c r="BS154" s="3">
        <f t="shared" ca="1" si="208"/>
        <v>19</v>
      </c>
      <c r="BT154" s="3">
        <f t="shared" ca="1" si="209"/>
        <v>0</v>
      </c>
      <c r="BU154" s="3">
        <v>0</v>
      </c>
      <c r="BV154" s="3">
        <f t="shared" ca="1" si="210"/>
        <v>0</v>
      </c>
      <c r="BW154" s="3">
        <f t="shared" ca="1" si="211"/>
        <v>120.64530791788859</v>
      </c>
      <c r="BX154" s="3">
        <f t="shared" ca="1" si="212"/>
        <v>0</v>
      </c>
      <c r="BY154" s="3">
        <f t="shared" ca="1" si="213"/>
        <v>37.999999984799999</v>
      </c>
      <c r="BZ154" s="3">
        <f t="shared" ca="1" si="214"/>
        <v>0</v>
      </c>
      <c r="CA154" s="3">
        <f t="shared" si="215"/>
        <v>0</v>
      </c>
      <c r="CB154" s="1018">
        <f t="shared" ref="CB154:CB165" ca="1" si="219">SUM(BV154:CA154)+(BP154+BQ154+BR154+BS154+BT154)*BL154</f>
        <v>158.64530790268859</v>
      </c>
      <c r="CC154" s="1018">
        <f t="shared" ref="CC154:CC165" ca="1" si="220">0.34*BM154*(1/25)^0.66*(BQ154+BS154+BT154)</f>
        <v>58.940561149332957</v>
      </c>
      <c r="CD154" s="3">
        <f t="shared" ca="1" si="200"/>
        <v>6.5275760715606461</v>
      </c>
      <c r="CE154" s="3">
        <f t="shared" ca="1" si="201"/>
        <v>10868.153056105612</v>
      </c>
    </row>
    <row r="155" spans="1:83" s="3" customFormat="1" x14ac:dyDescent="0.25">
      <c r="D155" s="6"/>
      <c r="F155" s="6"/>
      <c r="G155" s="6"/>
      <c r="H155" s="8"/>
      <c r="I155" s="6"/>
      <c r="J155" s="6"/>
      <c r="K155" s="6" t="s">
        <v>58</v>
      </c>
      <c r="L155" s="4"/>
      <c r="M155" s="6" t="s">
        <v>61</v>
      </c>
      <c r="N155" s="4"/>
      <c r="O155" s="2" t="s">
        <v>16</v>
      </c>
      <c r="P155" s="4"/>
      <c r="Q155" s="1"/>
      <c r="R155" s="79"/>
      <c r="S155" s="876"/>
      <c r="T155" s="282"/>
      <c r="U155" s="200"/>
      <c r="V155" s="176">
        <f t="shared" si="216"/>
        <v>0</v>
      </c>
      <c r="W155" s="176">
        <f>V155/Calculation_sheet!M$67</f>
        <v>0</v>
      </c>
      <c r="X155" s="958">
        <f ca="1">IF(AL155&gt;0,W155*Calculation_sheet!C$87,0)</f>
        <v>0</v>
      </c>
      <c r="Y155" s="176">
        <f t="shared" ca="1" si="217"/>
        <v>0</v>
      </c>
      <c r="Z155" s="176">
        <f>IF(AN155&gt;0,Y155*Calculation_sheet!C$94,0)</f>
        <v>0</v>
      </c>
      <c r="AA155" s="958">
        <f t="shared" ca="1" si="202"/>
        <v>0</v>
      </c>
      <c r="AB155" s="176">
        <f ca="1">AA155*Calculation_sheet!C$99</f>
        <v>0</v>
      </c>
      <c r="AC155" s="958">
        <f t="shared" ca="1" si="202"/>
        <v>0</v>
      </c>
      <c r="AD155" s="176">
        <f t="shared" si="218"/>
        <v>0</v>
      </c>
      <c r="AE155" s="176">
        <f>AD155*User_sheet!B$77/100</f>
        <v>0</v>
      </c>
      <c r="AF155" s="309"/>
      <c r="AG155" s="27">
        <v>402</v>
      </c>
      <c r="AH155" s="985"/>
      <c r="AI155" s="956">
        <f t="shared" ca="1" si="199"/>
        <v>158.64530790268859</v>
      </c>
      <c r="AJ155" s="956">
        <f ca="1">AI155/'402'!I$24</f>
        <v>0.78011284262885183</v>
      </c>
      <c r="AK155" s="956">
        <f ca="1">0.8*(AI155*30+'402'!D$17*0.34*30*1)</f>
        <v>6609.9577896645269</v>
      </c>
      <c r="AL155" s="954">
        <f ca="1">IF(AK155&lt;User_sheet!B$50,W155,0)</f>
        <v>0</v>
      </c>
      <c r="AM155" s="954">
        <f ca="1">20-(User_sheet!B$57/(AI155+'402'!D$17*1*0.34))</f>
        <v>-0.69604744131701679</v>
      </c>
      <c r="AN155" s="954"/>
      <c r="AO155" s="985"/>
      <c r="AP155" s="2">
        <v>0</v>
      </c>
      <c r="AQ155" s="2">
        <v>2.1</v>
      </c>
      <c r="AR155" s="2">
        <v>0</v>
      </c>
      <c r="AS155" s="27">
        <v>2</v>
      </c>
      <c r="AT155" s="2">
        <v>0</v>
      </c>
      <c r="AU155" s="2">
        <v>0</v>
      </c>
      <c r="AV155" s="2">
        <v>74715.401027665983</v>
      </c>
      <c r="AW155" s="2">
        <v>0</v>
      </c>
      <c r="AX155" s="2">
        <v>0</v>
      </c>
      <c r="AY155" s="2">
        <v>0</v>
      </c>
      <c r="AZ155" s="50">
        <v>0.6</v>
      </c>
      <c r="BA155" s="34">
        <v>1</v>
      </c>
      <c r="BB155" s="34">
        <v>0</v>
      </c>
      <c r="BC155" s="40">
        <v>0</v>
      </c>
      <c r="BD155" s="34">
        <v>1</v>
      </c>
      <c r="BE155" s="34">
        <v>0</v>
      </c>
      <c r="BF155" s="40">
        <v>0</v>
      </c>
      <c r="BG155" s="34">
        <v>0</v>
      </c>
      <c r="BH155" s="40">
        <v>1</v>
      </c>
      <c r="BI155" s="34">
        <v>1</v>
      </c>
      <c r="BJ155" s="34">
        <v>0</v>
      </c>
      <c r="BK155" s="40">
        <v>0</v>
      </c>
      <c r="BL155" s="958">
        <v>0</v>
      </c>
      <c r="BM155" s="958">
        <v>14.9</v>
      </c>
      <c r="BN155" s="37">
        <f t="shared" ca="1" si="203"/>
        <v>106</v>
      </c>
      <c r="BO155" s="3">
        <f t="shared" ca="1" si="204"/>
        <v>343.44000000000005</v>
      </c>
      <c r="BP155" s="3">
        <f t="shared" ca="1" si="205"/>
        <v>0</v>
      </c>
      <c r="BQ155" s="3">
        <f t="shared" ca="1" si="206"/>
        <v>78.362000000000009</v>
      </c>
      <c r="BR155" s="3">
        <f t="shared" ca="1" si="207"/>
        <v>0</v>
      </c>
      <c r="BS155" s="3">
        <f t="shared" ca="1" si="208"/>
        <v>19</v>
      </c>
      <c r="BT155" s="3">
        <f t="shared" ca="1" si="209"/>
        <v>0</v>
      </c>
      <c r="BU155" s="3">
        <v>0</v>
      </c>
      <c r="BV155" s="3">
        <f t="shared" ca="1" si="210"/>
        <v>0</v>
      </c>
      <c r="BW155" s="3">
        <f t="shared" ca="1" si="211"/>
        <v>120.64530791788859</v>
      </c>
      <c r="BX155" s="3">
        <f t="shared" ca="1" si="212"/>
        <v>0</v>
      </c>
      <c r="BY155" s="3">
        <f t="shared" ca="1" si="213"/>
        <v>37.999999984799999</v>
      </c>
      <c r="BZ155" s="3">
        <f t="shared" ca="1" si="214"/>
        <v>0</v>
      </c>
      <c r="CA155" s="3">
        <f t="shared" si="215"/>
        <v>0</v>
      </c>
      <c r="CB155" s="1018">
        <f t="shared" ca="1" si="219"/>
        <v>158.64530790268859</v>
      </c>
      <c r="CC155" s="1018">
        <f t="shared" ca="1" si="220"/>
        <v>58.940561149332957</v>
      </c>
      <c r="CD155" s="3">
        <f t="shared" ca="1" si="200"/>
        <v>6.5275760715606461</v>
      </c>
      <c r="CE155" s="3">
        <f t="shared" ca="1" si="201"/>
        <v>10868.153056105612</v>
      </c>
    </row>
    <row r="156" spans="1:83" s="3" customFormat="1" x14ac:dyDescent="0.25">
      <c r="D156" s="6"/>
      <c r="F156" s="1"/>
      <c r="G156"/>
      <c r="H156" s="8"/>
      <c r="I156" s="6" t="s">
        <v>16</v>
      </c>
      <c r="J156" s="4"/>
      <c r="K156" s="6"/>
      <c r="L156" s="6"/>
      <c r="M156" s="6"/>
      <c r="N156" s="6"/>
      <c r="O156" s="2" t="s">
        <v>7</v>
      </c>
      <c r="P156" s="4"/>
      <c r="Q156" s="1"/>
      <c r="R156" s="79"/>
      <c r="S156" s="876"/>
      <c r="T156" s="282"/>
      <c r="U156" s="200"/>
      <c r="V156" s="176">
        <f t="shared" si="216"/>
        <v>0</v>
      </c>
      <c r="W156" s="176">
        <f>V156/Calculation_sheet!M$67</f>
        <v>0</v>
      </c>
      <c r="X156" s="958">
        <f ca="1">IF(AL156&gt;0,W156*Calculation_sheet!C$87,0)</f>
        <v>0</v>
      </c>
      <c r="Y156" s="176">
        <f t="shared" ca="1" si="217"/>
        <v>0</v>
      </c>
      <c r="Z156" s="176">
        <f>IF(AN156&gt;0,Y156*Calculation_sheet!C$94,0)</f>
        <v>0</v>
      </c>
      <c r="AA156" s="958">
        <f t="shared" ca="1" si="202"/>
        <v>0</v>
      </c>
      <c r="AB156" s="176">
        <f ca="1">AA156*Calculation_sheet!C$99</f>
        <v>0</v>
      </c>
      <c r="AC156" s="958">
        <f t="shared" ca="1" si="202"/>
        <v>0</v>
      </c>
      <c r="AD156" s="176">
        <f t="shared" si="218"/>
        <v>0</v>
      </c>
      <c r="AE156" s="176">
        <f>AD156*User_sheet!B$77/100</f>
        <v>0</v>
      </c>
      <c r="AF156" s="309"/>
      <c r="AG156" s="27">
        <v>402</v>
      </c>
      <c r="AH156" s="985"/>
      <c r="AI156" s="956">
        <f t="shared" ca="1" si="199"/>
        <v>158.64530790268859</v>
      </c>
      <c r="AJ156" s="956">
        <f ca="1">AI156/'402'!I$24</f>
        <v>0.78011284262885183</v>
      </c>
      <c r="AK156" s="956">
        <f ca="1">0.8*(AI156*30+'402'!D$17*0.34*30*1)</f>
        <v>6609.9577896645269</v>
      </c>
      <c r="AL156" s="954">
        <f ca="1">IF(AK156&lt;User_sheet!B$50,W156,0)</f>
        <v>0</v>
      </c>
      <c r="AM156" s="954">
        <f ca="1">20-(User_sheet!B$57/(AI156+'402'!D$17*1*0.34))</f>
        <v>-0.69604744131701679</v>
      </c>
      <c r="AN156" s="954"/>
      <c r="AO156" s="985"/>
      <c r="AP156" s="2">
        <v>0</v>
      </c>
      <c r="AQ156" s="2">
        <v>2.1</v>
      </c>
      <c r="AR156" s="2">
        <v>0</v>
      </c>
      <c r="AS156" s="27">
        <v>2</v>
      </c>
      <c r="AT156" s="2">
        <v>0</v>
      </c>
      <c r="AU156" s="2">
        <v>0</v>
      </c>
      <c r="AV156" s="2">
        <v>74715.401027665983</v>
      </c>
      <c r="AW156" s="2">
        <v>0</v>
      </c>
      <c r="AX156" s="2">
        <v>0</v>
      </c>
      <c r="AY156" s="2">
        <v>0</v>
      </c>
      <c r="AZ156" s="50">
        <v>0.6</v>
      </c>
      <c r="BA156" s="34">
        <v>1</v>
      </c>
      <c r="BB156" s="34">
        <v>0</v>
      </c>
      <c r="BC156" s="40">
        <v>0</v>
      </c>
      <c r="BD156" s="34">
        <v>1</v>
      </c>
      <c r="BE156" s="34">
        <v>0</v>
      </c>
      <c r="BF156" s="40">
        <v>0</v>
      </c>
      <c r="BG156" s="34">
        <v>0</v>
      </c>
      <c r="BH156" s="40">
        <v>1</v>
      </c>
      <c r="BI156" s="34">
        <v>0</v>
      </c>
      <c r="BJ156" s="34">
        <v>0</v>
      </c>
      <c r="BK156" s="40">
        <v>1</v>
      </c>
      <c r="BL156" s="958">
        <v>0</v>
      </c>
      <c r="BM156" s="958">
        <v>14.9</v>
      </c>
      <c r="BN156" s="37">
        <f t="shared" ca="1" si="203"/>
        <v>106</v>
      </c>
      <c r="BO156" s="3">
        <f t="shared" ca="1" si="204"/>
        <v>343.44000000000005</v>
      </c>
      <c r="BP156" s="3">
        <f t="shared" ca="1" si="205"/>
        <v>0</v>
      </c>
      <c r="BQ156" s="3">
        <f t="shared" ca="1" si="206"/>
        <v>78.362000000000009</v>
      </c>
      <c r="BR156" s="3">
        <f t="shared" ca="1" si="207"/>
        <v>0</v>
      </c>
      <c r="BS156" s="3">
        <f t="shared" ca="1" si="208"/>
        <v>19</v>
      </c>
      <c r="BT156" s="3">
        <f t="shared" ca="1" si="209"/>
        <v>0</v>
      </c>
      <c r="BU156" s="3">
        <v>0</v>
      </c>
      <c r="BV156" s="3">
        <f t="shared" ca="1" si="210"/>
        <v>0</v>
      </c>
      <c r="BW156" s="3">
        <f t="shared" ca="1" si="211"/>
        <v>120.64530791788859</v>
      </c>
      <c r="BX156" s="3">
        <f t="shared" ca="1" si="212"/>
        <v>0</v>
      </c>
      <c r="BY156" s="3">
        <f t="shared" ca="1" si="213"/>
        <v>37.999999984799999</v>
      </c>
      <c r="BZ156" s="3">
        <f t="shared" ca="1" si="214"/>
        <v>0</v>
      </c>
      <c r="CA156" s="3">
        <f t="shared" si="215"/>
        <v>0</v>
      </c>
      <c r="CB156" s="1018">
        <f t="shared" ca="1" si="219"/>
        <v>158.64530790268859</v>
      </c>
      <c r="CC156" s="1018">
        <f t="shared" ca="1" si="220"/>
        <v>58.940561149332957</v>
      </c>
      <c r="CD156" s="3">
        <f t="shared" ca="1" si="200"/>
        <v>6.5275760715606461</v>
      </c>
      <c r="CE156" s="3">
        <f t="shared" ca="1" si="201"/>
        <v>10868.153056105612</v>
      </c>
    </row>
    <row r="157" spans="1:83" s="3" customFormat="1" x14ac:dyDescent="0.25">
      <c r="D157" s="6"/>
      <c r="F157" s="1"/>
      <c r="G157"/>
      <c r="H157" s="8"/>
      <c r="I157" s="6"/>
      <c r="J157" s="6"/>
      <c r="K157" s="6" t="s">
        <v>59</v>
      </c>
      <c r="L157" s="4"/>
      <c r="M157" s="6"/>
      <c r="N157" s="6"/>
      <c r="O157" s="27" t="s">
        <v>16</v>
      </c>
      <c r="P157" s="4"/>
      <c r="Q157" s="1"/>
      <c r="R157" s="79"/>
      <c r="S157" s="876"/>
      <c r="T157" s="282"/>
      <c r="U157" s="200"/>
      <c r="V157" s="176">
        <f t="shared" si="216"/>
        <v>0</v>
      </c>
      <c r="W157" s="176">
        <f>V157/Calculation_sheet!M$67</f>
        <v>0</v>
      </c>
      <c r="X157" s="958">
        <f ca="1">IF(AL157&gt;0,W157*Calculation_sheet!C$87,0)</f>
        <v>0</v>
      </c>
      <c r="Y157" s="176">
        <f t="shared" ca="1" si="217"/>
        <v>0</v>
      </c>
      <c r="Z157" s="176">
        <f>IF(AN157&gt;0,Y157*Calculation_sheet!C$94,0)</f>
        <v>0</v>
      </c>
      <c r="AA157" s="958">
        <f t="shared" ca="1" si="202"/>
        <v>0</v>
      </c>
      <c r="AB157" s="176">
        <f ca="1">AA157*Calculation_sheet!C$99</f>
        <v>0</v>
      </c>
      <c r="AC157" s="958">
        <f t="shared" ca="1" si="202"/>
        <v>0</v>
      </c>
      <c r="AD157" s="176">
        <f t="shared" si="218"/>
        <v>0</v>
      </c>
      <c r="AE157" s="176">
        <f>AD157*User_sheet!B$77/100</f>
        <v>0</v>
      </c>
      <c r="AF157" s="309"/>
      <c r="AG157" s="27">
        <v>402</v>
      </c>
      <c r="AH157" s="985"/>
      <c r="AI157" s="956">
        <f t="shared" ca="1" si="199"/>
        <v>158.64530790268859</v>
      </c>
      <c r="AJ157" s="956">
        <f ca="1">AI157/'402'!I$24</f>
        <v>0.78011284262885183</v>
      </c>
      <c r="AK157" s="956">
        <f ca="1">0.8*(AI157*30+'402'!D$17*0.34*30*1)</f>
        <v>6609.9577896645269</v>
      </c>
      <c r="AL157" s="954">
        <f ca="1">IF(AK157&lt;User_sheet!B$50,W157,0)</f>
        <v>0</v>
      </c>
      <c r="AM157" s="954">
        <f ca="1">20-(User_sheet!B$57/(AI157+'402'!D$17*1*0.34))</f>
        <v>-0.69604744131701679</v>
      </c>
      <c r="AN157" s="954"/>
      <c r="AO157" s="985"/>
      <c r="AP157" s="2">
        <v>0</v>
      </c>
      <c r="AQ157" s="2">
        <v>2.1</v>
      </c>
      <c r="AR157" s="2">
        <v>0</v>
      </c>
      <c r="AS157" s="27">
        <v>2</v>
      </c>
      <c r="AT157" s="2">
        <v>0</v>
      </c>
      <c r="AU157" s="2">
        <v>0</v>
      </c>
      <c r="AV157" s="2">
        <v>74715.401027665983</v>
      </c>
      <c r="AW157" s="2">
        <v>0</v>
      </c>
      <c r="AX157" s="2">
        <v>0</v>
      </c>
      <c r="AY157" s="2">
        <v>0</v>
      </c>
      <c r="AZ157" s="50">
        <v>0.6</v>
      </c>
      <c r="BA157" s="34">
        <v>1</v>
      </c>
      <c r="BB157" s="34">
        <v>0</v>
      </c>
      <c r="BC157" s="40">
        <v>0</v>
      </c>
      <c r="BD157" s="34">
        <v>0</v>
      </c>
      <c r="BE157" s="34">
        <v>1</v>
      </c>
      <c r="BF157" s="40">
        <v>0</v>
      </c>
      <c r="BG157" s="34">
        <v>1</v>
      </c>
      <c r="BH157" s="40">
        <v>0</v>
      </c>
      <c r="BI157" s="34">
        <v>1</v>
      </c>
      <c r="BJ157" s="34">
        <v>0</v>
      </c>
      <c r="BK157" s="40">
        <v>0</v>
      </c>
      <c r="BL157" s="958">
        <v>0</v>
      </c>
      <c r="BM157" s="958">
        <v>14.9</v>
      </c>
      <c r="BN157" s="37">
        <f t="shared" ca="1" si="203"/>
        <v>106</v>
      </c>
      <c r="BO157" s="3">
        <f t="shared" ca="1" si="204"/>
        <v>343.44000000000005</v>
      </c>
      <c r="BP157" s="3">
        <f t="shared" ca="1" si="205"/>
        <v>0</v>
      </c>
      <c r="BQ157" s="3">
        <f t="shared" ca="1" si="206"/>
        <v>78.362000000000009</v>
      </c>
      <c r="BR157" s="3">
        <f t="shared" ca="1" si="207"/>
        <v>0</v>
      </c>
      <c r="BS157" s="3">
        <f t="shared" ca="1" si="208"/>
        <v>19</v>
      </c>
      <c r="BT157" s="3">
        <f t="shared" ca="1" si="209"/>
        <v>0</v>
      </c>
      <c r="BU157" s="3">
        <v>0</v>
      </c>
      <c r="BV157" s="3">
        <f t="shared" ca="1" si="210"/>
        <v>0</v>
      </c>
      <c r="BW157" s="3">
        <f t="shared" ca="1" si="211"/>
        <v>120.64530791788859</v>
      </c>
      <c r="BX157" s="3">
        <f t="shared" ca="1" si="212"/>
        <v>0</v>
      </c>
      <c r="BY157" s="3">
        <f t="shared" ca="1" si="213"/>
        <v>37.999999984799999</v>
      </c>
      <c r="BZ157" s="3">
        <f t="shared" ca="1" si="214"/>
        <v>0</v>
      </c>
      <c r="CA157" s="3">
        <f t="shared" si="215"/>
        <v>0</v>
      </c>
      <c r="CB157" s="1018">
        <f t="shared" ca="1" si="219"/>
        <v>158.64530790268859</v>
      </c>
      <c r="CC157" s="1018">
        <f t="shared" ca="1" si="220"/>
        <v>58.940561149332957</v>
      </c>
      <c r="CD157" s="3">
        <f t="shared" ca="1" si="200"/>
        <v>6.5275760715606461</v>
      </c>
      <c r="CE157" s="3">
        <f t="shared" ca="1" si="201"/>
        <v>10868.153056105612</v>
      </c>
    </row>
    <row r="158" spans="1:83" s="3" customFormat="1" x14ac:dyDescent="0.25">
      <c r="D158" s="6"/>
      <c r="F158" s="3" t="s">
        <v>144</v>
      </c>
      <c r="G158"/>
      <c r="H158" s="8"/>
      <c r="I158" s="6"/>
      <c r="J158" s="6"/>
      <c r="K158" s="6"/>
      <c r="L158" s="6"/>
      <c r="M158" s="6"/>
      <c r="N158" s="6"/>
      <c r="O158" s="27" t="s">
        <v>7</v>
      </c>
      <c r="P158" s="4"/>
      <c r="Q158" s="1"/>
      <c r="R158" s="79"/>
      <c r="S158" s="876"/>
      <c r="T158" s="282"/>
      <c r="U158" s="200"/>
      <c r="V158" s="176">
        <f t="shared" si="216"/>
        <v>0</v>
      </c>
      <c r="W158" s="176">
        <f>V158/Calculation_sheet!M$67</f>
        <v>0</v>
      </c>
      <c r="X158" s="958">
        <f ca="1">IF(AL158&gt;0,W158*Calculation_sheet!C$87,0)</f>
        <v>0</v>
      </c>
      <c r="Y158" s="176">
        <f t="shared" ca="1" si="217"/>
        <v>0</v>
      </c>
      <c r="Z158" s="176">
        <f>IF(AN158&gt;0,Y158*Calculation_sheet!C$94,0)</f>
        <v>0</v>
      </c>
      <c r="AA158" s="958">
        <f t="shared" ca="1" si="202"/>
        <v>0</v>
      </c>
      <c r="AB158" s="176">
        <f ca="1">AA158*Calculation_sheet!C$99</f>
        <v>0</v>
      </c>
      <c r="AC158" s="958">
        <f t="shared" ca="1" si="202"/>
        <v>0</v>
      </c>
      <c r="AD158" s="176">
        <f t="shared" si="218"/>
        <v>0</v>
      </c>
      <c r="AE158" s="176">
        <f>AD158*User_sheet!B$77/100</f>
        <v>0</v>
      </c>
      <c r="AF158" s="309"/>
      <c r="AG158" s="27">
        <v>402</v>
      </c>
      <c r="AH158" s="985"/>
      <c r="AI158" s="956">
        <f t="shared" ca="1" si="199"/>
        <v>158.64530790268859</v>
      </c>
      <c r="AJ158" s="956">
        <f ca="1">AI158/'402'!I$24</f>
        <v>0.78011284262885183</v>
      </c>
      <c r="AK158" s="956">
        <f ca="1">0.8*(AI158*30+'402'!D$17*0.34*30*1)</f>
        <v>6609.9577896645269</v>
      </c>
      <c r="AL158" s="954">
        <f ca="1">IF(AK158&lt;User_sheet!B$50,W158,0)</f>
        <v>0</v>
      </c>
      <c r="AM158" s="954">
        <f ca="1">20-(User_sheet!B$57/(AI158+'402'!D$17*1*0.34))</f>
        <v>-0.69604744131701679</v>
      </c>
      <c r="AN158" s="954"/>
      <c r="AO158" s="985"/>
      <c r="AP158" s="2">
        <v>0</v>
      </c>
      <c r="AQ158" s="2">
        <v>2.1</v>
      </c>
      <c r="AR158" s="2">
        <v>0</v>
      </c>
      <c r="AS158" s="27">
        <v>2</v>
      </c>
      <c r="AT158" s="2">
        <v>0</v>
      </c>
      <c r="AU158" s="2">
        <v>0</v>
      </c>
      <c r="AV158" s="2">
        <v>74715.401027665983</v>
      </c>
      <c r="AW158" s="2">
        <v>0</v>
      </c>
      <c r="AX158" s="2">
        <v>0</v>
      </c>
      <c r="AY158" s="2">
        <v>0</v>
      </c>
      <c r="AZ158" s="50">
        <v>0.6</v>
      </c>
      <c r="BA158" s="34">
        <v>1</v>
      </c>
      <c r="BB158" s="34">
        <v>0</v>
      </c>
      <c r="BC158" s="40">
        <v>0</v>
      </c>
      <c r="BD158" s="34">
        <v>0</v>
      </c>
      <c r="BE158" s="34">
        <v>1</v>
      </c>
      <c r="BF158" s="40">
        <v>0</v>
      </c>
      <c r="BG158" s="34">
        <v>1</v>
      </c>
      <c r="BH158" s="40">
        <v>0</v>
      </c>
      <c r="BI158" s="34">
        <v>0</v>
      </c>
      <c r="BJ158" s="34">
        <v>0</v>
      </c>
      <c r="BK158" s="40">
        <v>1</v>
      </c>
      <c r="BL158" s="958">
        <v>0</v>
      </c>
      <c r="BM158" s="958">
        <v>14.9</v>
      </c>
      <c r="BN158" s="37">
        <f t="shared" ca="1" si="203"/>
        <v>106</v>
      </c>
      <c r="BO158" s="3">
        <f t="shared" ca="1" si="204"/>
        <v>343.44000000000005</v>
      </c>
      <c r="BP158" s="3">
        <f t="shared" ca="1" si="205"/>
        <v>0</v>
      </c>
      <c r="BQ158" s="3">
        <f t="shared" ca="1" si="206"/>
        <v>78.362000000000009</v>
      </c>
      <c r="BR158" s="3">
        <f t="shared" ca="1" si="207"/>
        <v>0</v>
      </c>
      <c r="BS158" s="3">
        <f t="shared" ca="1" si="208"/>
        <v>19</v>
      </c>
      <c r="BT158" s="3">
        <f t="shared" ca="1" si="209"/>
        <v>0</v>
      </c>
      <c r="BU158" s="3">
        <v>0</v>
      </c>
      <c r="BV158" s="3">
        <f t="shared" ca="1" si="210"/>
        <v>0</v>
      </c>
      <c r="BW158" s="3">
        <f t="shared" ca="1" si="211"/>
        <v>120.64530791788859</v>
      </c>
      <c r="BX158" s="3">
        <f t="shared" ca="1" si="212"/>
        <v>0</v>
      </c>
      <c r="BY158" s="3">
        <f t="shared" ca="1" si="213"/>
        <v>37.999999984799999</v>
      </c>
      <c r="BZ158" s="3">
        <f t="shared" ca="1" si="214"/>
        <v>0</v>
      </c>
      <c r="CA158" s="3">
        <f t="shared" si="215"/>
        <v>0</v>
      </c>
      <c r="CB158" s="1018">
        <f t="shared" ca="1" si="219"/>
        <v>158.64530790268859</v>
      </c>
      <c r="CC158" s="1018">
        <f t="shared" ca="1" si="220"/>
        <v>58.940561149332957</v>
      </c>
      <c r="CD158" s="3">
        <f t="shared" ca="1" si="200"/>
        <v>6.5275760715606461</v>
      </c>
      <c r="CE158" s="3">
        <f t="shared" ca="1" si="201"/>
        <v>10868.153056105612</v>
      </c>
    </row>
    <row r="159" spans="1:83" x14ac:dyDescent="0.25">
      <c r="D159" s="1"/>
      <c r="F159" s="6" t="s">
        <v>190</v>
      </c>
      <c r="H159" s="8"/>
      <c r="I159" s="6"/>
      <c r="J159" s="6"/>
      <c r="K159" s="6"/>
      <c r="L159" s="6"/>
      <c r="M159" s="6" t="s">
        <v>60</v>
      </c>
      <c r="N159" s="4"/>
      <c r="O159" s="2" t="s">
        <v>57</v>
      </c>
      <c r="P159" s="4"/>
      <c r="Q159" s="1"/>
      <c r="R159" s="79"/>
      <c r="S159" s="876"/>
      <c r="T159" s="280"/>
      <c r="U159" s="200"/>
      <c r="V159" s="176">
        <f t="shared" si="216"/>
        <v>0</v>
      </c>
      <c r="W159" s="176">
        <f>V159/Calculation_sheet!M$67</f>
        <v>0</v>
      </c>
      <c r="X159" s="958">
        <f ca="1">IF(AL159&gt;0,W159*Calculation_sheet!C$87,0)</f>
        <v>0</v>
      </c>
      <c r="Y159" s="176">
        <f t="shared" ca="1" si="217"/>
        <v>0</v>
      </c>
      <c r="Z159" s="176">
        <f>IF(AN159&gt;0,Y159*Calculation_sheet!C$94,0)</f>
        <v>0</v>
      </c>
      <c r="AA159" s="958">
        <f t="shared" ca="1" si="202"/>
        <v>0</v>
      </c>
      <c r="AB159" s="176">
        <f ca="1">AA159*Calculation_sheet!C$99</f>
        <v>0</v>
      </c>
      <c r="AC159" s="958">
        <f t="shared" ca="1" si="202"/>
        <v>0</v>
      </c>
      <c r="AD159" s="176">
        <f t="shared" si="218"/>
        <v>0</v>
      </c>
      <c r="AE159" s="176">
        <f>AD159*User_sheet!B$77/100</f>
        <v>0</v>
      </c>
      <c r="AF159" s="309"/>
      <c r="AG159" s="27">
        <v>402</v>
      </c>
      <c r="AH159" s="985"/>
      <c r="AI159" s="956">
        <f t="shared" ca="1" si="199"/>
        <v>158.64530790268859</v>
      </c>
      <c r="AJ159" s="956">
        <f ca="1">AI159/'402'!I$24</f>
        <v>0.78011284262885183</v>
      </c>
      <c r="AK159" s="956">
        <f ca="1">0.8*(AI159*30+'402'!D$17*0.34*30*1)</f>
        <v>6609.9577896645269</v>
      </c>
      <c r="AL159" s="954">
        <f ca="1">IF(AK159&lt;User_sheet!B$50,W159,0)</f>
        <v>0</v>
      </c>
      <c r="AM159" s="954">
        <f ca="1">20-(User_sheet!B$57/(AI159+'402'!D$17*1*0.34))</f>
        <v>-0.69604744131701679</v>
      </c>
      <c r="AN159" s="954"/>
      <c r="AO159" s="985"/>
      <c r="AP159" s="2">
        <v>0</v>
      </c>
      <c r="AQ159" s="2">
        <v>2.1</v>
      </c>
      <c r="AR159" s="2">
        <v>0</v>
      </c>
      <c r="AS159" s="27">
        <v>2</v>
      </c>
      <c r="AT159" s="2">
        <v>0</v>
      </c>
      <c r="AU159" s="2">
        <v>0</v>
      </c>
      <c r="AV159" s="2">
        <v>74715.401027665983</v>
      </c>
      <c r="AW159" s="2">
        <v>0</v>
      </c>
      <c r="AX159" s="2">
        <v>0</v>
      </c>
      <c r="AY159" s="2">
        <v>0</v>
      </c>
      <c r="AZ159" s="50">
        <v>0.6</v>
      </c>
      <c r="BA159" s="34">
        <v>0</v>
      </c>
      <c r="BB159" s="34">
        <v>1</v>
      </c>
      <c r="BC159" s="40">
        <v>0</v>
      </c>
      <c r="BD159" s="34">
        <v>1</v>
      </c>
      <c r="BE159" s="34">
        <v>0</v>
      </c>
      <c r="BF159" s="40">
        <v>0</v>
      </c>
      <c r="BG159" s="34">
        <v>1</v>
      </c>
      <c r="BH159" s="40">
        <v>0</v>
      </c>
      <c r="BI159" s="34">
        <v>0</v>
      </c>
      <c r="BJ159" s="34">
        <v>1</v>
      </c>
      <c r="BK159" s="40">
        <v>0</v>
      </c>
      <c r="BL159" s="958">
        <v>0</v>
      </c>
      <c r="BM159" s="958">
        <v>14.9</v>
      </c>
      <c r="BN159" s="32">
        <f t="shared" ca="1" si="203"/>
        <v>106</v>
      </c>
      <c r="BO159">
        <f t="shared" ca="1" si="204"/>
        <v>343.44000000000005</v>
      </c>
      <c r="BP159">
        <f t="shared" ca="1" si="205"/>
        <v>0</v>
      </c>
      <c r="BQ159">
        <f t="shared" ca="1" si="206"/>
        <v>78.362000000000009</v>
      </c>
      <c r="BR159">
        <f t="shared" ca="1" si="207"/>
        <v>0</v>
      </c>
      <c r="BS159">
        <f t="shared" ca="1" si="208"/>
        <v>19</v>
      </c>
      <c r="BT159">
        <f t="shared" ca="1" si="209"/>
        <v>0</v>
      </c>
      <c r="BU159">
        <v>0</v>
      </c>
      <c r="BV159">
        <f t="shared" ca="1" si="210"/>
        <v>0</v>
      </c>
      <c r="BW159">
        <f t="shared" ca="1" si="211"/>
        <v>120.64530791788859</v>
      </c>
      <c r="BX159">
        <f t="shared" ca="1" si="212"/>
        <v>0</v>
      </c>
      <c r="BY159">
        <f t="shared" ca="1" si="213"/>
        <v>37.999999984799999</v>
      </c>
      <c r="BZ159">
        <f t="shared" ca="1" si="214"/>
        <v>0</v>
      </c>
      <c r="CA159">
        <f t="shared" si="215"/>
        <v>0</v>
      </c>
      <c r="CB159" s="1018">
        <f t="shared" ca="1" si="219"/>
        <v>158.64530790268859</v>
      </c>
      <c r="CC159" s="1018">
        <f t="shared" ca="1" si="220"/>
        <v>58.940561149332957</v>
      </c>
      <c r="CD159">
        <f t="shared" ca="1" si="200"/>
        <v>6.5275760715606461</v>
      </c>
      <c r="CE159">
        <f t="shared" ca="1" si="201"/>
        <v>10868.153056105612</v>
      </c>
    </row>
    <row r="160" spans="1:83" x14ac:dyDescent="0.25">
      <c r="D160" s="1"/>
      <c r="F160" s="1"/>
      <c r="G160" s="6"/>
      <c r="H160" s="8"/>
      <c r="I160" s="6"/>
      <c r="J160" s="6"/>
      <c r="K160" s="6"/>
      <c r="L160" s="6"/>
      <c r="M160" s="6"/>
      <c r="N160" s="6"/>
      <c r="O160" s="2" t="s">
        <v>7</v>
      </c>
      <c r="P160" s="4"/>
      <c r="Q160" s="1"/>
      <c r="R160" s="79"/>
      <c r="S160" s="876"/>
      <c r="T160" s="280"/>
      <c r="U160" s="200"/>
      <c r="V160" s="176">
        <f t="shared" si="216"/>
        <v>0</v>
      </c>
      <c r="W160" s="176">
        <f>V160/Calculation_sheet!M$67</f>
        <v>0</v>
      </c>
      <c r="X160" s="958">
        <f ca="1">IF(AL160&gt;0,W160*Calculation_sheet!C$87,0)</f>
        <v>0</v>
      </c>
      <c r="Y160" s="176">
        <f t="shared" ca="1" si="217"/>
        <v>0</v>
      </c>
      <c r="Z160" s="176">
        <f>IF(AN160&gt;0,Y160*Calculation_sheet!C$94,0)</f>
        <v>0</v>
      </c>
      <c r="AA160" s="958">
        <f t="shared" ca="1" si="202"/>
        <v>0</v>
      </c>
      <c r="AB160" s="176">
        <f ca="1">AA160*Calculation_sheet!C$99</f>
        <v>0</v>
      </c>
      <c r="AC160" s="958">
        <f t="shared" ca="1" si="202"/>
        <v>0</v>
      </c>
      <c r="AD160" s="176">
        <f t="shared" si="218"/>
        <v>0</v>
      </c>
      <c r="AE160" s="176">
        <f>AD160*User_sheet!B$77/100</f>
        <v>0</v>
      </c>
      <c r="AF160" s="309"/>
      <c r="AG160" s="27">
        <v>402</v>
      </c>
      <c r="AH160" s="985"/>
      <c r="AI160" s="956">
        <f t="shared" ca="1" si="199"/>
        <v>158.64530790268859</v>
      </c>
      <c r="AJ160" s="956">
        <f ca="1">AI160/'402'!I$24</f>
        <v>0.78011284262885183</v>
      </c>
      <c r="AK160" s="956">
        <f ca="1">0.8*(AI160*30+'402'!D$17*0.34*30*1)</f>
        <v>6609.9577896645269</v>
      </c>
      <c r="AL160" s="954">
        <f ca="1">IF(AK160&lt;User_sheet!B$50,W160,0)</f>
        <v>0</v>
      </c>
      <c r="AM160" s="954">
        <f ca="1">20-(User_sheet!B$57/(AI160+'402'!D$17*1*0.34))</f>
        <v>-0.69604744131701679</v>
      </c>
      <c r="AN160" s="954"/>
      <c r="AO160" s="985"/>
      <c r="AP160" s="2">
        <v>0</v>
      </c>
      <c r="AQ160" s="2">
        <v>2.1</v>
      </c>
      <c r="AR160" s="2">
        <v>0</v>
      </c>
      <c r="AS160" s="27">
        <v>2</v>
      </c>
      <c r="AT160" s="2">
        <v>0</v>
      </c>
      <c r="AU160" s="2">
        <v>0</v>
      </c>
      <c r="AV160" s="2">
        <v>74715.401027665983</v>
      </c>
      <c r="AW160" s="2">
        <v>0</v>
      </c>
      <c r="AX160" s="2">
        <v>0</v>
      </c>
      <c r="AY160" s="2">
        <v>0</v>
      </c>
      <c r="AZ160" s="50">
        <v>0.6</v>
      </c>
      <c r="BA160" s="34">
        <v>0</v>
      </c>
      <c r="BB160" s="34">
        <v>1</v>
      </c>
      <c r="BC160" s="40">
        <v>0</v>
      </c>
      <c r="BD160" s="34">
        <v>1</v>
      </c>
      <c r="BE160" s="34">
        <v>0</v>
      </c>
      <c r="BF160" s="40">
        <v>0</v>
      </c>
      <c r="BG160" s="34">
        <v>1</v>
      </c>
      <c r="BH160" s="40">
        <v>0</v>
      </c>
      <c r="BI160" s="34">
        <v>0</v>
      </c>
      <c r="BJ160" s="34">
        <v>0</v>
      </c>
      <c r="BK160" s="40">
        <v>1</v>
      </c>
      <c r="BL160" s="958">
        <v>0</v>
      </c>
      <c r="BM160" s="958">
        <v>14.9</v>
      </c>
      <c r="BN160" s="32">
        <f t="shared" ca="1" si="203"/>
        <v>106</v>
      </c>
      <c r="BO160">
        <f t="shared" ca="1" si="204"/>
        <v>343.44000000000005</v>
      </c>
      <c r="BP160">
        <f t="shared" ca="1" si="205"/>
        <v>0</v>
      </c>
      <c r="BQ160">
        <f t="shared" ca="1" si="206"/>
        <v>78.362000000000009</v>
      </c>
      <c r="BR160">
        <f t="shared" ca="1" si="207"/>
        <v>0</v>
      </c>
      <c r="BS160">
        <f t="shared" ca="1" si="208"/>
        <v>19</v>
      </c>
      <c r="BT160">
        <f t="shared" ca="1" si="209"/>
        <v>0</v>
      </c>
      <c r="BU160">
        <v>0</v>
      </c>
      <c r="BV160">
        <f t="shared" ca="1" si="210"/>
        <v>0</v>
      </c>
      <c r="BW160">
        <f t="shared" ca="1" si="211"/>
        <v>120.64530791788859</v>
      </c>
      <c r="BX160">
        <f t="shared" ca="1" si="212"/>
        <v>0</v>
      </c>
      <c r="BY160">
        <f t="shared" ca="1" si="213"/>
        <v>37.999999984799999</v>
      </c>
      <c r="BZ160">
        <f t="shared" ca="1" si="214"/>
        <v>0</v>
      </c>
      <c r="CA160">
        <f t="shared" si="215"/>
        <v>0</v>
      </c>
      <c r="CB160" s="1018">
        <f t="shared" ca="1" si="219"/>
        <v>158.64530790268859</v>
      </c>
      <c r="CC160" s="1018">
        <f t="shared" ca="1" si="220"/>
        <v>58.940561149332957</v>
      </c>
      <c r="CD160">
        <f t="shared" ca="1" si="200"/>
        <v>6.5275760715606461</v>
      </c>
      <c r="CE160">
        <f t="shared" ca="1" si="201"/>
        <v>10868.153056105612</v>
      </c>
    </row>
    <row r="161" spans="4:83" x14ac:dyDescent="0.25">
      <c r="D161" s="1"/>
      <c r="F161" s="1"/>
      <c r="G161" s="6"/>
      <c r="H161" s="8"/>
      <c r="I161" s="6"/>
      <c r="J161" s="6"/>
      <c r="K161" s="6" t="s">
        <v>58</v>
      </c>
      <c r="L161" s="4"/>
      <c r="M161" s="6" t="s">
        <v>61</v>
      </c>
      <c r="N161" s="4"/>
      <c r="O161" s="2" t="s">
        <v>57</v>
      </c>
      <c r="P161" s="4"/>
      <c r="Q161" s="1"/>
      <c r="R161" s="79"/>
      <c r="S161" s="876"/>
      <c r="T161" s="280"/>
      <c r="U161" s="200"/>
      <c r="V161" s="176">
        <f t="shared" si="216"/>
        <v>0</v>
      </c>
      <c r="W161" s="176">
        <f>V161/Calculation_sheet!M$67</f>
        <v>0</v>
      </c>
      <c r="X161" s="958">
        <f ca="1">IF(AL161&gt;0,W161*Calculation_sheet!C$87,0)</f>
        <v>0</v>
      </c>
      <c r="Y161" s="176">
        <f t="shared" ca="1" si="217"/>
        <v>0</v>
      </c>
      <c r="Z161" s="176">
        <f>IF(AN161&gt;0,Y161*Calculation_sheet!C$94,0)</f>
        <v>0</v>
      </c>
      <c r="AA161" s="958">
        <f t="shared" ca="1" si="202"/>
        <v>0</v>
      </c>
      <c r="AB161" s="176">
        <f ca="1">AA161*Calculation_sheet!C$99</f>
        <v>0</v>
      </c>
      <c r="AC161" s="958">
        <f t="shared" ca="1" si="202"/>
        <v>0</v>
      </c>
      <c r="AD161" s="176">
        <f t="shared" si="218"/>
        <v>0</v>
      </c>
      <c r="AE161" s="176">
        <f>AD161*User_sheet!B$77/100</f>
        <v>0</v>
      </c>
      <c r="AF161" s="309"/>
      <c r="AG161" s="27">
        <v>402</v>
      </c>
      <c r="AH161" s="985"/>
      <c r="AI161" s="956">
        <f t="shared" ca="1" si="199"/>
        <v>158.64530790268859</v>
      </c>
      <c r="AJ161" s="956">
        <f ca="1">AI161/'402'!I$24</f>
        <v>0.78011284262885183</v>
      </c>
      <c r="AK161" s="956">
        <f ca="1">0.8*(AI161*30+'402'!D$17*0.34*30*1)</f>
        <v>6609.9577896645269</v>
      </c>
      <c r="AL161" s="954">
        <f ca="1">IF(AK161&lt;User_sheet!B$50,W161,0)</f>
        <v>0</v>
      </c>
      <c r="AM161" s="954">
        <f ca="1">20-(User_sheet!B$57/(AI161+'402'!D$17*1*0.34))</f>
        <v>-0.69604744131701679</v>
      </c>
      <c r="AN161" s="954"/>
      <c r="AO161" s="985"/>
      <c r="AP161" s="2">
        <v>0</v>
      </c>
      <c r="AQ161" s="2">
        <v>2.1</v>
      </c>
      <c r="AR161" s="2">
        <v>0</v>
      </c>
      <c r="AS161" s="27">
        <v>2</v>
      </c>
      <c r="AT161" s="2">
        <v>0</v>
      </c>
      <c r="AU161" s="2">
        <v>0</v>
      </c>
      <c r="AV161" s="2">
        <v>74715.401027665983</v>
      </c>
      <c r="AW161" s="2">
        <v>0</v>
      </c>
      <c r="AX161" s="2">
        <v>0</v>
      </c>
      <c r="AY161" s="2">
        <v>0</v>
      </c>
      <c r="AZ161" s="50">
        <v>0.6</v>
      </c>
      <c r="BA161" s="34">
        <v>0</v>
      </c>
      <c r="BB161" s="34">
        <v>1</v>
      </c>
      <c r="BC161" s="40">
        <v>0</v>
      </c>
      <c r="BD161" s="34">
        <v>1</v>
      </c>
      <c r="BE161" s="34">
        <v>0</v>
      </c>
      <c r="BF161" s="40">
        <v>0</v>
      </c>
      <c r="BG161" s="34">
        <v>0</v>
      </c>
      <c r="BH161" s="40">
        <v>1</v>
      </c>
      <c r="BI161" s="34">
        <v>0</v>
      </c>
      <c r="BJ161" s="34">
        <v>1</v>
      </c>
      <c r="BK161" s="40">
        <v>0</v>
      </c>
      <c r="BL161" s="958">
        <v>0</v>
      </c>
      <c r="BM161" s="958">
        <v>14.9</v>
      </c>
      <c r="BN161" s="32">
        <f t="shared" ca="1" si="203"/>
        <v>106</v>
      </c>
      <c r="BO161">
        <f t="shared" ca="1" si="204"/>
        <v>343.44000000000005</v>
      </c>
      <c r="BP161">
        <f t="shared" ca="1" si="205"/>
        <v>0</v>
      </c>
      <c r="BQ161">
        <f t="shared" ca="1" si="206"/>
        <v>78.362000000000009</v>
      </c>
      <c r="BR161">
        <f t="shared" ca="1" si="207"/>
        <v>0</v>
      </c>
      <c r="BS161">
        <f t="shared" ca="1" si="208"/>
        <v>19</v>
      </c>
      <c r="BT161">
        <f t="shared" ca="1" si="209"/>
        <v>0</v>
      </c>
      <c r="BU161">
        <v>0</v>
      </c>
      <c r="BV161">
        <f t="shared" ca="1" si="210"/>
        <v>0</v>
      </c>
      <c r="BW161">
        <f t="shared" ca="1" si="211"/>
        <v>120.64530791788859</v>
      </c>
      <c r="BX161">
        <f t="shared" ca="1" si="212"/>
        <v>0</v>
      </c>
      <c r="BY161">
        <f t="shared" ca="1" si="213"/>
        <v>37.999999984799999</v>
      </c>
      <c r="BZ161">
        <f t="shared" ca="1" si="214"/>
        <v>0</v>
      </c>
      <c r="CA161">
        <f t="shared" si="215"/>
        <v>0</v>
      </c>
      <c r="CB161" s="1018">
        <f t="shared" ca="1" si="219"/>
        <v>158.64530790268859</v>
      </c>
      <c r="CC161" s="1018">
        <f t="shared" ca="1" si="220"/>
        <v>58.940561149332957</v>
      </c>
      <c r="CD161">
        <f t="shared" ca="1" si="200"/>
        <v>6.5275760715606461</v>
      </c>
      <c r="CE161">
        <f t="shared" ca="1" si="201"/>
        <v>10868.153056105612</v>
      </c>
    </row>
    <row r="162" spans="4:83" x14ac:dyDescent="0.25">
      <c r="D162" s="1"/>
      <c r="F162" s="1"/>
      <c r="H162" s="1"/>
      <c r="I162" s="6" t="s">
        <v>57</v>
      </c>
      <c r="J162" s="4"/>
      <c r="K162" s="6"/>
      <c r="L162" s="6"/>
      <c r="M162" s="6"/>
      <c r="N162" s="6"/>
      <c r="O162" s="2" t="s">
        <v>7</v>
      </c>
      <c r="P162" s="4"/>
      <c r="Q162" s="1"/>
      <c r="R162" s="79"/>
      <c r="S162" s="876"/>
      <c r="T162" s="280"/>
      <c r="U162" s="200"/>
      <c r="V162" s="176">
        <f t="shared" si="216"/>
        <v>0</v>
      </c>
      <c r="W162" s="176">
        <f>V162/Calculation_sheet!M$67</f>
        <v>0</v>
      </c>
      <c r="X162" s="958">
        <f ca="1">IF(AL162&gt;0,W162*Calculation_sheet!C$87,0)</f>
        <v>0</v>
      </c>
      <c r="Y162" s="176">
        <f t="shared" ca="1" si="217"/>
        <v>0</v>
      </c>
      <c r="Z162" s="176">
        <f>IF(AN162&gt;0,Y162*Calculation_sheet!C$94,0)</f>
        <v>0</v>
      </c>
      <c r="AA162" s="958">
        <f t="shared" ca="1" si="202"/>
        <v>0</v>
      </c>
      <c r="AB162" s="176">
        <f ca="1">AA162*Calculation_sheet!C$99</f>
        <v>0</v>
      </c>
      <c r="AC162" s="958">
        <f t="shared" ca="1" si="202"/>
        <v>0</v>
      </c>
      <c r="AD162" s="176">
        <f t="shared" si="218"/>
        <v>0</v>
      </c>
      <c r="AE162" s="176">
        <f>AD162*User_sheet!B$77/100</f>
        <v>0</v>
      </c>
      <c r="AF162" s="309"/>
      <c r="AG162" s="27">
        <v>402</v>
      </c>
      <c r="AH162" s="985"/>
      <c r="AI162" s="956">
        <f t="shared" ca="1" si="199"/>
        <v>158.64530790268859</v>
      </c>
      <c r="AJ162" s="956">
        <f ca="1">AI162/'402'!I$24</f>
        <v>0.78011284262885183</v>
      </c>
      <c r="AK162" s="956">
        <f ca="1">0.8*(AI162*30+'402'!D$17*0.34*30*1)</f>
        <v>6609.9577896645269</v>
      </c>
      <c r="AL162" s="954">
        <f ca="1">IF(AK162&lt;User_sheet!B$50,W162,0)</f>
        <v>0</v>
      </c>
      <c r="AM162" s="954">
        <f ca="1">20-(User_sheet!B$57/(AI162+'402'!D$17*1*0.34))</f>
        <v>-0.69604744131701679</v>
      </c>
      <c r="AN162" s="954"/>
      <c r="AO162" s="985"/>
      <c r="AP162" s="2">
        <v>0</v>
      </c>
      <c r="AQ162" s="2">
        <v>2.1</v>
      </c>
      <c r="AR162" s="2">
        <v>0</v>
      </c>
      <c r="AS162" s="27">
        <v>2</v>
      </c>
      <c r="AT162" s="2">
        <v>0</v>
      </c>
      <c r="AU162" s="2">
        <v>0</v>
      </c>
      <c r="AV162" s="2">
        <v>74715.401027665983</v>
      </c>
      <c r="AW162" s="2">
        <v>0</v>
      </c>
      <c r="AX162" s="2">
        <v>0</v>
      </c>
      <c r="AY162" s="2">
        <v>0</v>
      </c>
      <c r="AZ162" s="50">
        <v>0.6</v>
      </c>
      <c r="BA162" s="34">
        <v>0</v>
      </c>
      <c r="BB162" s="34">
        <v>1</v>
      </c>
      <c r="BC162" s="40">
        <v>0</v>
      </c>
      <c r="BD162" s="34">
        <v>1</v>
      </c>
      <c r="BE162" s="34">
        <v>0</v>
      </c>
      <c r="BF162" s="40">
        <v>0</v>
      </c>
      <c r="BG162" s="34">
        <v>0</v>
      </c>
      <c r="BH162" s="40">
        <v>1</v>
      </c>
      <c r="BI162" s="34">
        <v>0</v>
      </c>
      <c r="BJ162" s="34">
        <v>0</v>
      </c>
      <c r="BK162" s="40">
        <v>1</v>
      </c>
      <c r="BL162" s="958">
        <v>0</v>
      </c>
      <c r="BM162" s="958">
        <v>14.9</v>
      </c>
      <c r="BN162" s="32">
        <f t="shared" ca="1" si="203"/>
        <v>106</v>
      </c>
      <c r="BO162">
        <f t="shared" ca="1" si="204"/>
        <v>343.44000000000005</v>
      </c>
      <c r="BP162">
        <f t="shared" ca="1" si="205"/>
        <v>0</v>
      </c>
      <c r="BQ162">
        <f t="shared" ca="1" si="206"/>
        <v>78.362000000000009</v>
      </c>
      <c r="BR162">
        <f t="shared" ca="1" si="207"/>
        <v>0</v>
      </c>
      <c r="BS162">
        <f t="shared" ca="1" si="208"/>
        <v>19</v>
      </c>
      <c r="BT162">
        <f t="shared" ca="1" si="209"/>
        <v>0</v>
      </c>
      <c r="BU162">
        <v>0</v>
      </c>
      <c r="BV162">
        <f t="shared" ca="1" si="210"/>
        <v>0</v>
      </c>
      <c r="BW162">
        <f t="shared" ca="1" si="211"/>
        <v>120.64530791788859</v>
      </c>
      <c r="BX162">
        <f t="shared" ca="1" si="212"/>
        <v>0</v>
      </c>
      <c r="BY162">
        <f t="shared" ca="1" si="213"/>
        <v>37.999999984799999</v>
      </c>
      <c r="BZ162">
        <f t="shared" ca="1" si="214"/>
        <v>0</v>
      </c>
      <c r="CA162">
        <f t="shared" si="215"/>
        <v>0</v>
      </c>
      <c r="CB162" s="1018">
        <f t="shared" ca="1" si="219"/>
        <v>158.64530790268859</v>
      </c>
      <c r="CC162" s="1018">
        <f t="shared" ca="1" si="220"/>
        <v>58.940561149332957</v>
      </c>
      <c r="CD162">
        <f t="shared" ca="1" si="200"/>
        <v>6.5275760715606461</v>
      </c>
      <c r="CE162">
        <f t="shared" ca="1" si="201"/>
        <v>10868.153056105612</v>
      </c>
    </row>
    <row r="163" spans="4:83" x14ac:dyDescent="0.25">
      <c r="D163" s="1"/>
      <c r="F163" s="1"/>
      <c r="H163" s="1"/>
      <c r="I163" s="6"/>
      <c r="J163" s="6"/>
      <c r="K163" s="6" t="s">
        <v>59</v>
      </c>
      <c r="L163" s="4"/>
      <c r="M163" s="6"/>
      <c r="N163" s="6"/>
      <c r="O163" s="27" t="s">
        <v>57</v>
      </c>
      <c r="P163" s="4"/>
      <c r="Q163" s="1"/>
      <c r="R163" s="79"/>
      <c r="S163" s="876"/>
      <c r="T163" s="280"/>
      <c r="U163" s="200"/>
      <c r="V163" s="176">
        <f t="shared" si="216"/>
        <v>0</v>
      </c>
      <c r="W163" s="176">
        <f>V163/Calculation_sheet!M$67</f>
        <v>0</v>
      </c>
      <c r="X163" s="958">
        <f ca="1">IF(AL163&gt;0,W163*Calculation_sheet!C$87,0)</f>
        <v>0</v>
      </c>
      <c r="Y163" s="176">
        <f t="shared" ca="1" si="217"/>
        <v>0</v>
      </c>
      <c r="Z163" s="176">
        <f>IF(AN163&gt;0,Y163*Calculation_sheet!C$94,0)</f>
        <v>0</v>
      </c>
      <c r="AA163" s="958">
        <f t="shared" ca="1" si="202"/>
        <v>0</v>
      </c>
      <c r="AB163" s="176">
        <f ca="1">AA163*Calculation_sheet!C$99</f>
        <v>0</v>
      </c>
      <c r="AC163" s="958">
        <f t="shared" ca="1" si="202"/>
        <v>0</v>
      </c>
      <c r="AD163" s="176">
        <f t="shared" si="218"/>
        <v>0</v>
      </c>
      <c r="AE163" s="176">
        <f>AD163*User_sheet!B$77/100</f>
        <v>0</v>
      </c>
      <c r="AF163" s="309"/>
      <c r="AG163" s="27">
        <v>402</v>
      </c>
      <c r="AH163" s="985"/>
      <c r="AI163" s="956">
        <f t="shared" ca="1" si="199"/>
        <v>158.64530790268859</v>
      </c>
      <c r="AJ163" s="956">
        <f ca="1">AI163/'402'!I$24</f>
        <v>0.78011284262885183</v>
      </c>
      <c r="AK163" s="956">
        <f ca="1">0.8*(AI163*30+'402'!D$17*0.34*30*1)</f>
        <v>6609.9577896645269</v>
      </c>
      <c r="AL163" s="954">
        <f ca="1">IF(AK163&lt;User_sheet!B$50,W163,0)</f>
        <v>0</v>
      </c>
      <c r="AM163" s="954">
        <f ca="1">20-(User_sheet!B$57/(AI163+'402'!D$17*1*0.34))</f>
        <v>-0.69604744131701679</v>
      </c>
      <c r="AN163" s="954"/>
      <c r="AO163" s="985"/>
      <c r="AP163" s="2">
        <v>0</v>
      </c>
      <c r="AQ163" s="2">
        <v>2.1</v>
      </c>
      <c r="AR163" s="2">
        <v>0</v>
      </c>
      <c r="AS163" s="27">
        <v>2</v>
      </c>
      <c r="AT163" s="2">
        <v>0</v>
      </c>
      <c r="AU163" s="2">
        <v>0</v>
      </c>
      <c r="AV163" s="2">
        <v>74715.401027665983</v>
      </c>
      <c r="AW163" s="2">
        <v>0</v>
      </c>
      <c r="AX163" s="2">
        <v>0</v>
      </c>
      <c r="AY163" s="2">
        <v>0</v>
      </c>
      <c r="AZ163" s="50">
        <v>0.6</v>
      </c>
      <c r="BA163" s="34">
        <v>0</v>
      </c>
      <c r="BB163" s="34">
        <v>1</v>
      </c>
      <c r="BC163" s="40">
        <v>0</v>
      </c>
      <c r="BD163" s="34">
        <v>0</v>
      </c>
      <c r="BE163" s="34">
        <v>1</v>
      </c>
      <c r="BF163" s="40">
        <v>0</v>
      </c>
      <c r="BG163" s="34">
        <v>1</v>
      </c>
      <c r="BH163" s="40">
        <v>0</v>
      </c>
      <c r="BI163" s="34">
        <v>0</v>
      </c>
      <c r="BJ163" s="34">
        <v>1</v>
      </c>
      <c r="BK163" s="40">
        <v>0</v>
      </c>
      <c r="BL163" s="958">
        <v>0</v>
      </c>
      <c r="BM163" s="958">
        <v>14.9</v>
      </c>
      <c r="BN163" s="32">
        <f t="shared" ca="1" si="203"/>
        <v>106</v>
      </c>
      <c r="BO163">
        <f t="shared" ca="1" si="204"/>
        <v>343.44000000000005</v>
      </c>
      <c r="BP163">
        <f t="shared" ca="1" si="205"/>
        <v>0</v>
      </c>
      <c r="BQ163">
        <f t="shared" ca="1" si="206"/>
        <v>78.362000000000009</v>
      </c>
      <c r="BR163">
        <f t="shared" ca="1" si="207"/>
        <v>0</v>
      </c>
      <c r="BS163">
        <f t="shared" ca="1" si="208"/>
        <v>19</v>
      </c>
      <c r="BT163">
        <f t="shared" ca="1" si="209"/>
        <v>0</v>
      </c>
      <c r="BU163">
        <v>0</v>
      </c>
      <c r="BV163">
        <f t="shared" ca="1" si="210"/>
        <v>0</v>
      </c>
      <c r="BW163">
        <f t="shared" ca="1" si="211"/>
        <v>120.64530791788859</v>
      </c>
      <c r="BX163">
        <f t="shared" ca="1" si="212"/>
        <v>0</v>
      </c>
      <c r="BY163">
        <f t="shared" ca="1" si="213"/>
        <v>37.999999984799999</v>
      </c>
      <c r="BZ163">
        <f t="shared" ca="1" si="214"/>
        <v>0</v>
      </c>
      <c r="CA163">
        <f t="shared" si="215"/>
        <v>0</v>
      </c>
      <c r="CB163" s="1018">
        <f t="shared" ca="1" si="219"/>
        <v>158.64530790268859</v>
      </c>
      <c r="CC163" s="1018">
        <f t="shared" ca="1" si="220"/>
        <v>58.940561149332957</v>
      </c>
      <c r="CD163">
        <f t="shared" ca="1" si="200"/>
        <v>6.5275760715606461</v>
      </c>
      <c r="CE163">
        <f t="shared" ca="1" si="201"/>
        <v>10868.153056105612</v>
      </c>
    </row>
    <row r="164" spans="4:83" x14ac:dyDescent="0.25">
      <c r="D164" s="1"/>
      <c r="F164" s="1"/>
      <c r="H164" s="1"/>
      <c r="I164" s="6"/>
      <c r="J164" s="6"/>
      <c r="K164" s="6"/>
      <c r="L164" s="6"/>
      <c r="M164" s="6"/>
      <c r="N164" s="6"/>
      <c r="O164" s="27" t="s">
        <v>7</v>
      </c>
      <c r="P164" s="4"/>
      <c r="Q164" s="1"/>
      <c r="R164" s="79"/>
      <c r="S164" s="876"/>
      <c r="T164" s="280"/>
      <c r="U164" s="200"/>
      <c r="V164" s="176">
        <f t="shared" si="216"/>
        <v>0</v>
      </c>
      <c r="W164" s="176">
        <f>V164/Calculation_sheet!M$67</f>
        <v>0</v>
      </c>
      <c r="X164" s="958">
        <f ca="1">IF(AL164&gt;0,W164*Calculation_sheet!C$87,0)</f>
        <v>0</v>
      </c>
      <c r="Y164" s="176">
        <f t="shared" ca="1" si="217"/>
        <v>0</v>
      </c>
      <c r="Z164" s="176">
        <f>IF(AN164&gt;0,Y164*Calculation_sheet!C$94,0)</f>
        <v>0</v>
      </c>
      <c r="AA164" s="958">
        <f t="shared" ca="1" si="202"/>
        <v>0</v>
      </c>
      <c r="AB164" s="176">
        <f ca="1">AA164*Calculation_sheet!C$99</f>
        <v>0</v>
      </c>
      <c r="AC164" s="958">
        <f t="shared" ca="1" si="202"/>
        <v>0</v>
      </c>
      <c r="AD164" s="176">
        <f t="shared" si="218"/>
        <v>0</v>
      </c>
      <c r="AE164" s="176">
        <f>AD164*User_sheet!B$77/100</f>
        <v>0</v>
      </c>
      <c r="AF164" s="309"/>
      <c r="AG164" s="27">
        <v>402</v>
      </c>
      <c r="AH164" s="985"/>
      <c r="AI164" s="956">
        <f t="shared" ca="1" si="199"/>
        <v>158.64530790268859</v>
      </c>
      <c r="AJ164" s="956">
        <f ca="1">AI164/'402'!I$24</f>
        <v>0.78011284262885183</v>
      </c>
      <c r="AK164" s="956">
        <f ca="1">0.8*(AI164*30+'402'!D$17*0.34*30*1)</f>
        <v>6609.9577896645269</v>
      </c>
      <c r="AL164" s="954">
        <f ca="1">IF(AK164&lt;User_sheet!B$50,W164,0)</f>
        <v>0</v>
      </c>
      <c r="AM164" s="954">
        <f ca="1">20-(User_sheet!B$57/(AI164+'402'!D$17*1*0.34))</f>
        <v>-0.69604744131701679</v>
      </c>
      <c r="AN164" s="954"/>
      <c r="AO164" s="985"/>
      <c r="AP164" s="2">
        <v>0</v>
      </c>
      <c r="AQ164" s="2">
        <v>2.1</v>
      </c>
      <c r="AR164" s="2">
        <v>0</v>
      </c>
      <c r="AS164" s="27">
        <v>2</v>
      </c>
      <c r="AT164" s="2">
        <v>0</v>
      </c>
      <c r="AU164" s="2">
        <v>0</v>
      </c>
      <c r="AV164" s="2">
        <v>74715.401027665997</v>
      </c>
      <c r="AW164" s="2">
        <v>0</v>
      </c>
      <c r="AX164" s="2">
        <v>0</v>
      </c>
      <c r="AY164" s="2">
        <v>0</v>
      </c>
      <c r="AZ164" s="50">
        <v>0.6</v>
      </c>
      <c r="BA164" s="34">
        <v>0</v>
      </c>
      <c r="BB164" s="34">
        <v>1</v>
      </c>
      <c r="BC164" s="40">
        <v>0</v>
      </c>
      <c r="BD164" s="34">
        <v>0</v>
      </c>
      <c r="BE164" s="34">
        <v>1</v>
      </c>
      <c r="BF164" s="40">
        <v>0</v>
      </c>
      <c r="BG164" s="34">
        <v>1</v>
      </c>
      <c r="BH164" s="40">
        <v>0</v>
      </c>
      <c r="BI164" s="34">
        <v>0</v>
      </c>
      <c r="BJ164" s="34">
        <v>0</v>
      </c>
      <c r="BK164" s="40">
        <v>1</v>
      </c>
      <c r="BL164" s="958">
        <v>0</v>
      </c>
      <c r="BM164" s="958">
        <v>14.9</v>
      </c>
      <c r="BN164" s="32">
        <f t="shared" ca="1" si="203"/>
        <v>106</v>
      </c>
      <c r="BO164">
        <f t="shared" ca="1" si="204"/>
        <v>343.44000000000005</v>
      </c>
      <c r="BP164">
        <f t="shared" ca="1" si="205"/>
        <v>0</v>
      </c>
      <c r="BQ164">
        <f t="shared" ca="1" si="206"/>
        <v>78.362000000000009</v>
      </c>
      <c r="BR164">
        <f t="shared" ca="1" si="207"/>
        <v>0</v>
      </c>
      <c r="BS164">
        <f t="shared" ca="1" si="208"/>
        <v>19</v>
      </c>
      <c r="BT164">
        <f t="shared" ca="1" si="209"/>
        <v>0</v>
      </c>
      <c r="BU164">
        <v>0</v>
      </c>
      <c r="BV164">
        <f t="shared" ca="1" si="210"/>
        <v>0</v>
      </c>
      <c r="BW164">
        <f t="shared" ca="1" si="211"/>
        <v>120.64530791788859</v>
      </c>
      <c r="BX164">
        <f t="shared" ca="1" si="212"/>
        <v>0</v>
      </c>
      <c r="BY164">
        <f t="shared" ca="1" si="213"/>
        <v>37.999999984799999</v>
      </c>
      <c r="BZ164">
        <f t="shared" ca="1" si="214"/>
        <v>0</v>
      </c>
      <c r="CA164">
        <f t="shared" si="215"/>
        <v>0</v>
      </c>
      <c r="CB164" s="1018">
        <f t="shared" ca="1" si="219"/>
        <v>158.64530790268859</v>
      </c>
      <c r="CC164" s="1018">
        <f t="shared" ca="1" si="220"/>
        <v>58.940561149332957</v>
      </c>
      <c r="CD164">
        <f t="shared" ca="1" si="200"/>
        <v>6.5275760715606461</v>
      </c>
      <c r="CE164">
        <f t="shared" ca="1" si="201"/>
        <v>10868.153056105612</v>
      </c>
    </row>
    <row r="165" spans="4:83" x14ac:dyDescent="0.25">
      <c r="D165" s="1"/>
      <c r="F165" s="1"/>
      <c r="H165" s="6"/>
      <c r="I165" s="6" t="s">
        <v>7</v>
      </c>
      <c r="J165" s="4"/>
      <c r="K165" s="6" t="s">
        <v>23</v>
      </c>
      <c r="L165" s="4"/>
      <c r="M165" s="6"/>
      <c r="N165" s="4"/>
      <c r="O165" s="27" t="s">
        <v>7</v>
      </c>
      <c r="P165" s="4"/>
      <c r="Q165" s="1"/>
      <c r="R165" s="79"/>
      <c r="S165" s="876"/>
      <c r="T165" s="280"/>
      <c r="U165" s="200"/>
      <c r="V165" s="176">
        <f t="shared" si="216"/>
        <v>0</v>
      </c>
      <c r="W165" s="176">
        <f>V165/Calculation_sheet!M$67</f>
        <v>0</v>
      </c>
      <c r="X165" s="958">
        <f ca="1">IF(AL165&gt;0,W165*Calculation_sheet!C$87,0)</f>
        <v>0</v>
      </c>
      <c r="Y165" s="176">
        <f t="shared" ca="1" si="217"/>
        <v>0</v>
      </c>
      <c r="Z165" s="176">
        <f>IF(AN165&gt;0,Y165*Calculation_sheet!C$94,0)</f>
        <v>0</v>
      </c>
      <c r="AA165" s="958">
        <f t="shared" ca="1" si="202"/>
        <v>0</v>
      </c>
      <c r="AB165" s="176">
        <f ca="1">AA165*Calculation_sheet!C$99</f>
        <v>0</v>
      </c>
      <c r="AC165" s="958">
        <f t="shared" ca="1" si="202"/>
        <v>0</v>
      </c>
      <c r="AD165" s="176">
        <f t="shared" si="218"/>
        <v>0</v>
      </c>
      <c r="AE165" s="176">
        <f>AD165*User_sheet!B$77/100</f>
        <v>0</v>
      </c>
      <c r="AF165" s="309"/>
      <c r="AG165" s="27">
        <v>402</v>
      </c>
      <c r="AH165" s="985"/>
      <c r="AI165" s="956">
        <f t="shared" ca="1" si="199"/>
        <v>158.64530790268859</v>
      </c>
      <c r="AJ165" s="956">
        <f ca="1">AI165/'402'!I$24</f>
        <v>0.78011284262885183</v>
      </c>
      <c r="AK165" s="956">
        <f ca="1">0.8*(AI165*30+'402'!D$17*0.34*30*1)</f>
        <v>6609.9577896645269</v>
      </c>
      <c r="AL165" s="954">
        <f ca="1">IF(AK165&lt;User_sheet!B$50,W165,0)</f>
        <v>0</v>
      </c>
      <c r="AM165" s="954">
        <f ca="1">20-(User_sheet!B$57/(AI165+'402'!D$17*1*0.34))</f>
        <v>-0.69604744131701679</v>
      </c>
      <c r="AN165" s="954"/>
      <c r="AO165" s="985"/>
      <c r="AP165" s="2">
        <v>0</v>
      </c>
      <c r="AQ165" s="2">
        <v>2.1</v>
      </c>
      <c r="AR165" s="2">
        <v>0</v>
      </c>
      <c r="AS165" s="27">
        <v>2</v>
      </c>
      <c r="AT165" s="2">
        <v>0</v>
      </c>
      <c r="AU165" s="2">
        <v>0</v>
      </c>
      <c r="AV165" s="2">
        <v>74715.401027665997</v>
      </c>
      <c r="AW165" s="2">
        <v>0</v>
      </c>
      <c r="AX165" s="2">
        <v>0</v>
      </c>
      <c r="AY165" s="2">
        <v>0</v>
      </c>
      <c r="AZ165" s="50">
        <v>0.6</v>
      </c>
      <c r="BA165" s="34">
        <v>0</v>
      </c>
      <c r="BB165" s="34">
        <v>0</v>
      </c>
      <c r="BC165" s="40">
        <v>1</v>
      </c>
      <c r="BD165" s="34">
        <v>0</v>
      </c>
      <c r="BE165" s="34">
        <v>0</v>
      </c>
      <c r="BF165" s="40">
        <v>1</v>
      </c>
      <c r="BG165" s="34">
        <v>1</v>
      </c>
      <c r="BH165" s="40">
        <v>0</v>
      </c>
      <c r="BI165" s="34">
        <v>0</v>
      </c>
      <c r="BJ165" s="34">
        <v>0</v>
      </c>
      <c r="BK165" s="40">
        <v>1</v>
      </c>
      <c r="BL165" s="958">
        <v>0</v>
      </c>
      <c r="BM165" s="958">
        <v>14.9</v>
      </c>
      <c r="BN165" s="32">
        <f t="shared" ca="1" si="203"/>
        <v>106</v>
      </c>
      <c r="BO165">
        <f t="shared" ca="1" si="204"/>
        <v>343.44000000000005</v>
      </c>
      <c r="BP165">
        <f t="shared" ca="1" si="205"/>
        <v>0</v>
      </c>
      <c r="BQ165">
        <f t="shared" ca="1" si="206"/>
        <v>78.362000000000009</v>
      </c>
      <c r="BR165">
        <f t="shared" ca="1" si="207"/>
        <v>0</v>
      </c>
      <c r="BS165">
        <f t="shared" ca="1" si="208"/>
        <v>19</v>
      </c>
      <c r="BT165">
        <f t="shared" ca="1" si="209"/>
        <v>0</v>
      </c>
      <c r="BU165">
        <v>0</v>
      </c>
      <c r="BV165">
        <f t="shared" ca="1" si="210"/>
        <v>0</v>
      </c>
      <c r="BW165">
        <f t="shared" ca="1" si="211"/>
        <v>120.64530791788859</v>
      </c>
      <c r="BX165">
        <f t="shared" ca="1" si="212"/>
        <v>0</v>
      </c>
      <c r="BY165">
        <f t="shared" ca="1" si="213"/>
        <v>37.999999984799999</v>
      </c>
      <c r="BZ165">
        <f t="shared" ca="1" si="214"/>
        <v>0</v>
      </c>
      <c r="CA165">
        <f t="shared" si="215"/>
        <v>0</v>
      </c>
      <c r="CB165" s="1018">
        <f t="shared" ca="1" si="219"/>
        <v>158.64530790268859</v>
      </c>
      <c r="CC165" s="1018">
        <f t="shared" ca="1" si="220"/>
        <v>58.940561149332957</v>
      </c>
      <c r="CD165">
        <f t="shared" ca="1" si="200"/>
        <v>6.5275760715606461</v>
      </c>
      <c r="CE165">
        <f t="shared" ca="1" si="201"/>
        <v>10868.153056105612</v>
      </c>
    </row>
    <row r="166" spans="4:83" s="14" customFormat="1" x14ac:dyDescent="0.25">
      <c r="D166" s="15"/>
      <c r="H166" s="15"/>
      <c r="I166" s="15"/>
      <c r="J166" s="15"/>
      <c r="K166" s="15"/>
      <c r="L166" s="15"/>
      <c r="M166" s="15"/>
      <c r="N166" s="15"/>
      <c r="O166" s="28"/>
      <c r="P166" s="15"/>
      <c r="Q166" s="15"/>
      <c r="R166" s="80"/>
      <c r="S166" s="877"/>
      <c r="T166" s="281"/>
      <c r="U166" s="292"/>
      <c r="V166" s="292"/>
      <c r="W166" s="292"/>
      <c r="X166" s="277"/>
      <c r="Y166" s="292"/>
      <c r="Z166" s="292"/>
      <c r="AA166" s="277"/>
      <c r="AB166" s="292"/>
      <c r="AC166" s="277"/>
      <c r="AD166" s="292"/>
      <c r="AE166" s="292"/>
      <c r="AF166" s="309"/>
      <c r="AG166" s="28"/>
      <c r="AH166" s="985"/>
      <c r="AI166" s="956">
        <f t="shared" si="199"/>
        <v>0</v>
      </c>
      <c r="AJ166" s="941"/>
      <c r="AK166" s="941"/>
      <c r="AL166" s="941"/>
      <c r="AM166" s="941"/>
      <c r="AN166" s="941"/>
      <c r="AO166" s="985"/>
      <c r="AP166" s="28"/>
      <c r="AQ166" s="28"/>
      <c r="AR166" s="28"/>
      <c r="AS166" s="28"/>
      <c r="AT166" s="28"/>
      <c r="AU166" s="28"/>
      <c r="AV166" s="28"/>
      <c r="AW166" s="28"/>
      <c r="AX166" s="28"/>
      <c r="AY166" s="28"/>
      <c r="AZ166" s="49"/>
      <c r="BA166" s="277"/>
      <c r="BB166" s="277"/>
      <c r="BC166" s="49"/>
      <c r="BD166" s="277"/>
      <c r="BE166" s="277"/>
      <c r="BF166" s="49"/>
      <c r="BG166" s="277"/>
      <c r="BH166" s="49"/>
      <c r="BI166" s="277"/>
      <c r="BJ166" s="277"/>
      <c r="BK166" s="49"/>
      <c r="BL166" s="277"/>
      <c r="BM166" s="277"/>
      <c r="BN166" s="36"/>
    </row>
    <row r="167" spans="4:83" s="3" customFormat="1" x14ac:dyDescent="0.25">
      <c r="D167" s="6"/>
      <c r="F167" s="6"/>
      <c r="G167" s="6"/>
      <c r="H167" s="8"/>
      <c r="I167" s="6"/>
      <c r="J167" s="6"/>
      <c r="K167" s="6"/>
      <c r="L167" s="6"/>
      <c r="M167" s="6" t="s">
        <v>60</v>
      </c>
      <c r="N167" s="4"/>
      <c r="O167" s="2" t="s">
        <v>16</v>
      </c>
      <c r="P167" s="4"/>
      <c r="Q167" s="1"/>
      <c r="R167" s="79"/>
      <c r="S167" s="876"/>
      <c r="T167" s="282"/>
      <c r="U167" s="200">
        <f t="shared" ref="U167:U179" si="221">T139-U139+T111-U111</f>
        <v>0</v>
      </c>
      <c r="V167" s="200">
        <f>U167</f>
        <v>0</v>
      </c>
      <c r="W167" s="176">
        <f>V167/Calculation_sheet!M$67</f>
        <v>0</v>
      </c>
      <c r="X167" s="958">
        <f ca="1">IF(AL167&gt;0,W167*Calculation_sheet!C$87,0)</f>
        <v>0</v>
      </c>
      <c r="Y167" s="176">
        <f ca="1">W167-X167</f>
        <v>0</v>
      </c>
      <c r="Z167" s="176">
        <f>IF(AN167&gt;0,Y167*Calculation_sheet!C$94,0)</f>
        <v>0</v>
      </c>
      <c r="AA167" s="958">
        <f t="shared" ref="AA167:AC179" ca="1" si="222">Y167-Z167</f>
        <v>0</v>
      </c>
      <c r="AB167" s="176">
        <f ca="1">AA167*Calculation_sheet!C$99</f>
        <v>0</v>
      </c>
      <c r="AC167" s="958">
        <f t="shared" ca="1" si="222"/>
        <v>0</v>
      </c>
      <c r="AD167" s="176">
        <f>W167-Z167</f>
        <v>0</v>
      </c>
      <c r="AE167" s="176">
        <f>AD167*User_sheet!B$77/100</f>
        <v>0</v>
      </c>
      <c r="AF167" s="309"/>
      <c r="AG167" s="27">
        <v>402</v>
      </c>
      <c r="AH167" s="985"/>
      <c r="AI167" s="956">
        <f t="shared" ca="1" si="199"/>
        <v>73.25289293926086</v>
      </c>
      <c r="AJ167" s="956">
        <f ca="1">AI167/'402'!I$24</f>
        <v>0.36020934559682166</v>
      </c>
      <c r="AK167" s="956">
        <f ca="1">0.8*(AI167*30+'402'!D$17*0.34*30*1)</f>
        <v>4560.5398305422614</v>
      </c>
      <c r="AL167" s="954">
        <f ca="1">IF(AK167&lt;User_sheet!B$50,W167,0)</f>
        <v>0</v>
      </c>
      <c r="AM167" s="954">
        <f ca="1">20-(User_sheet!B$57/(AI167+'402'!D$17*1*0.34))</f>
        <v>-9.9964489036672006</v>
      </c>
      <c r="AN167" s="954"/>
      <c r="AO167" s="985"/>
      <c r="AP167" s="2">
        <v>0</v>
      </c>
      <c r="AQ167" s="27">
        <v>0.43</v>
      </c>
      <c r="AR167" s="2">
        <v>0</v>
      </c>
      <c r="AS167" s="27">
        <v>2</v>
      </c>
      <c r="AT167" s="2">
        <v>0</v>
      </c>
      <c r="AU167" s="2">
        <v>0</v>
      </c>
      <c r="AV167" s="2">
        <v>74834</v>
      </c>
      <c r="AW167" s="2">
        <v>0</v>
      </c>
      <c r="AX167" s="2">
        <v>0</v>
      </c>
      <c r="AY167" s="2">
        <v>0</v>
      </c>
      <c r="AZ167" s="50">
        <v>0.6</v>
      </c>
      <c r="BA167" s="34">
        <v>1</v>
      </c>
      <c r="BB167" s="34">
        <v>0</v>
      </c>
      <c r="BC167" s="40">
        <v>0</v>
      </c>
      <c r="BD167" s="34">
        <v>1</v>
      </c>
      <c r="BE167" s="34">
        <v>0</v>
      </c>
      <c r="BF167" s="40">
        <v>0</v>
      </c>
      <c r="BG167" s="34">
        <v>1</v>
      </c>
      <c r="BH167" s="40">
        <v>0</v>
      </c>
      <c r="BI167" s="34">
        <v>1</v>
      </c>
      <c r="BJ167" s="34">
        <v>0</v>
      </c>
      <c r="BK167" s="40">
        <v>0</v>
      </c>
      <c r="BL167" s="199">
        <v>0.04</v>
      </c>
      <c r="BM167" s="958">
        <v>2.5</v>
      </c>
      <c r="BN167" s="37">
        <f t="shared" ref="BN167:BN179" ca="1" si="223">INDIRECT("'"&amp;AG167&amp;"'!"&amp;"B2")</f>
        <v>106</v>
      </c>
      <c r="BO167" s="3">
        <f t="shared" ref="BO167:BO179" ca="1" si="224">INDIRECT("'"&amp;AG167&amp;"'!"&amp;"C12")+INDIRECT("'"&amp;AG167&amp;"'!"&amp;"C13")+INDIRECT("'"&amp;AG167&amp;"'!"&amp;"C14")+INDIRECT("'"&amp;AG167&amp;"'!"&amp;"C15")+INDIRECT("'"&amp;AG167&amp;"'!"&amp;"C17")</f>
        <v>343.44000000000005</v>
      </c>
      <c r="BP167" s="3">
        <f t="shared" ref="BP167:BP179" ca="1" si="225">INDIRECT("'"&amp;AG167&amp;"'!"&amp;"G5")</f>
        <v>0</v>
      </c>
      <c r="BQ167" s="3">
        <f t="shared" ref="BQ167:BQ179" ca="1" si="226">INDIRECT("'"&amp;AG167&amp;"'!"&amp;"G4")</f>
        <v>78.362000000000009</v>
      </c>
      <c r="BR167" s="3">
        <f t="shared" ref="BR167:BR179" ca="1" si="227">INDIRECT("'"&amp;AG167&amp;"'!"&amp;"G6")</f>
        <v>0</v>
      </c>
      <c r="BS167" s="3">
        <f t="shared" ref="BS167:BS179" ca="1" si="228">INDIRECT("'"&amp;AG167&amp;"'!"&amp;"G2")</f>
        <v>19</v>
      </c>
      <c r="BT167" s="3">
        <f t="shared" ref="BT167:BT179" ca="1" si="229">INDIRECT("'"&amp;AG167&amp;"'!"&amp;"G3")</f>
        <v>0</v>
      </c>
      <c r="BU167" s="3">
        <v>0</v>
      </c>
      <c r="BV167" s="3">
        <f t="shared" ref="BV167:BV179" ca="1" si="230">IF(OR(BP167=0,AP167=0),0,1/(1/(BP167*$BW$3)+1/(BP167*AP167)+1/(BP167*$BW$4)))</f>
        <v>0</v>
      </c>
      <c r="BW167" s="3">
        <f t="shared" ref="BW167:BW179" ca="1" si="231">IF(OR(BQ167=0,AQ167=0),0,1/(1/(BQ167*$BW$3)+1/(BQ167*AQ167)+1/(BQ167*$BW$4)))</f>
        <v>31.358412954460857</v>
      </c>
      <c r="BX167" s="3">
        <f t="shared" ref="BX167:BX179" ca="1" si="232">IF(OR(BR167=0,AR167=0),0,1/(1/(BR167*$BW$3)+1/(BR167*AR167)+1/(BR167*$BW$4)))</f>
        <v>0</v>
      </c>
      <c r="BY167" s="3">
        <f t="shared" ref="BY167:BY179" ca="1" si="233">IF(OR(BS167=0,AS167=0),0,1/(1/(BS167*$BW$5)+1/(BS167*AS167)+1/(BS167*$BW$6)))</f>
        <v>37.999999984799999</v>
      </c>
      <c r="BZ167" s="3">
        <f t="shared" ref="BZ167:BZ179" ca="1" si="234">IF(OR(BT167=0,AT167=0),0,1/(1/(BT167*$BW$3)+1/(BT167*AT167)+1/(BT167*$BW$4)))</f>
        <v>0</v>
      </c>
      <c r="CA167" s="3">
        <f t="shared" ref="CA167:CA179" si="235">IF(OR(BU167=0,AU167=0),0,1/(1/(BU167*$BW$3)+1/(BU167*AU167)+1/(BU167*$BW$4)))</f>
        <v>0</v>
      </c>
      <c r="CB167" s="1018">
        <f ca="1">SUM(BV167:CA167)+(BP167+BQ167+BR167+BS167+BT167)*BL167</f>
        <v>73.25289293926086</v>
      </c>
      <c r="CC167" s="1018">
        <f ca="1">0.34*BM167*(1/25)^0.66*(BQ167+BS167+BT167)+0.34*0.6*BO167</f>
        <v>79.951115897539111</v>
      </c>
      <c r="CD167" s="3">
        <f t="shared" ca="1" si="200"/>
        <v>4.5961202651039992</v>
      </c>
      <c r="CE167" s="3">
        <f t="shared" ca="1" si="201"/>
        <v>7652.3563965875528</v>
      </c>
    </row>
    <row r="168" spans="4:83" s="3" customFormat="1" x14ac:dyDescent="0.25">
      <c r="D168" s="6"/>
      <c r="F168" s="6"/>
      <c r="G168" s="6"/>
      <c r="H168" s="8"/>
      <c r="I168" s="6"/>
      <c r="J168" s="6"/>
      <c r="K168" s="6"/>
      <c r="L168" s="6"/>
      <c r="M168" s="6"/>
      <c r="N168" s="6"/>
      <c r="O168" s="2" t="s">
        <v>7</v>
      </c>
      <c r="P168" s="4"/>
      <c r="Q168" s="1"/>
      <c r="R168" s="79"/>
      <c r="S168" s="876"/>
      <c r="T168" s="282"/>
      <c r="U168" s="200">
        <f t="shared" si="221"/>
        <v>0</v>
      </c>
      <c r="V168" s="200">
        <f t="shared" ref="V168:V179" si="236">U168</f>
        <v>0</v>
      </c>
      <c r="W168" s="176">
        <f>V168/Calculation_sheet!M$67</f>
        <v>0</v>
      </c>
      <c r="X168" s="958">
        <f ca="1">IF(AL168&gt;0,W168*Calculation_sheet!C$87,0)</f>
        <v>0</v>
      </c>
      <c r="Y168" s="176">
        <f t="shared" ref="Y168:Y179" ca="1" si="237">W168-X168</f>
        <v>0</v>
      </c>
      <c r="Z168" s="176">
        <f>IF(AN168&gt;0,Y168*Calculation_sheet!C$94,0)</f>
        <v>0</v>
      </c>
      <c r="AA168" s="958">
        <f t="shared" ca="1" si="222"/>
        <v>0</v>
      </c>
      <c r="AB168" s="176">
        <f ca="1">AA168*Calculation_sheet!C$99</f>
        <v>0</v>
      </c>
      <c r="AC168" s="958">
        <f t="shared" ca="1" si="222"/>
        <v>0</v>
      </c>
      <c r="AD168" s="176">
        <f t="shared" ref="AD168:AD179" si="238">W168-Z168</f>
        <v>0</v>
      </c>
      <c r="AE168" s="176">
        <f>AD168*User_sheet!B$77/100</f>
        <v>0</v>
      </c>
      <c r="AF168" s="309"/>
      <c r="AG168" s="27">
        <v>402</v>
      </c>
      <c r="AH168" s="985"/>
      <c r="AI168" s="956">
        <f t="shared" ca="1" si="199"/>
        <v>73.25289293926086</v>
      </c>
      <c r="AJ168" s="956">
        <f ca="1">AI168/'402'!I$24</f>
        <v>0.36020934559682166</v>
      </c>
      <c r="AK168" s="956">
        <f ca="1">0.8*(AI168*30+'402'!D$17*0.34*30*1)</f>
        <v>4560.5398305422614</v>
      </c>
      <c r="AL168" s="954">
        <f ca="1">IF(AK168&lt;User_sheet!B$50,W168,0)</f>
        <v>0</v>
      </c>
      <c r="AM168" s="954">
        <f ca="1">20-(User_sheet!B$57/(AI168+'402'!D$17*1*0.34))</f>
        <v>-9.9964489036672006</v>
      </c>
      <c r="AN168" s="954"/>
      <c r="AO168" s="985"/>
      <c r="AP168" s="2">
        <v>0</v>
      </c>
      <c r="AQ168" s="27">
        <v>0.43</v>
      </c>
      <c r="AR168" s="2">
        <v>0</v>
      </c>
      <c r="AS168" s="27">
        <v>2</v>
      </c>
      <c r="AT168" s="2">
        <v>0</v>
      </c>
      <c r="AU168" s="2">
        <v>0</v>
      </c>
      <c r="AV168" s="2">
        <v>74834</v>
      </c>
      <c r="AW168" s="2">
        <v>0</v>
      </c>
      <c r="AX168" s="2">
        <v>0</v>
      </c>
      <c r="AY168" s="2">
        <v>0</v>
      </c>
      <c r="AZ168" s="50">
        <v>0.6</v>
      </c>
      <c r="BA168" s="34">
        <v>1</v>
      </c>
      <c r="BB168" s="34">
        <v>0</v>
      </c>
      <c r="BC168" s="40">
        <v>0</v>
      </c>
      <c r="BD168" s="34">
        <v>1</v>
      </c>
      <c r="BE168" s="34">
        <v>0</v>
      </c>
      <c r="BF168" s="40">
        <v>0</v>
      </c>
      <c r="BG168" s="34">
        <v>1</v>
      </c>
      <c r="BH168" s="40">
        <v>0</v>
      </c>
      <c r="BI168" s="34">
        <v>0</v>
      </c>
      <c r="BJ168" s="34">
        <v>0</v>
      </c>
      <c r="BK168" s="40">
        <v>1</v>
      </c>
      <c r="BL168" s="199">
        <v>0.04</v>
      </c>
      <c r="BM168" s="958">
        <v>2.5</v>
      </c>
      <c r="BN168" s="37">
        <f t="shared" ca="1" si="223"/>
        <v>106</v>
      </c>
      <c r="BO168" s="3">
        <f t="shared" ca="1" si="224"/>
        <v>343.44000000000005</v>
      </c>
      <c r="BP168" s="3">
        <f t="shared" ca="1" si="225"/>
        <v>0</v>
      </c>
      <c r="BQ168" s="3">
        <f t="shared" ca="1" si="226"/>
        <v>78.362000000000009</v>
      </c>
      <c r="BR168" s="3">
        <f t="shared" ca="1" si="227"/>
        <v>0</v>
      </c>
      <c r="BS168" s="3">
        <f t="shared" ca="1" si="228"/>
        <v>19</v>
      </c>
      <c r="BT168" s="3">
        <f t="shared" ca="1" si="229"/>
        <v>0</v>
      </c>
      <c r="BU168" s="3">
        <v>0</v>
      </c>
      <c r="BV168" s="3">
        <f t="shared" ca="1" si="230"/>
        <v>0</v>
      </c>
      <c r="BW168" s="3">
        <f t="shared" ca="1" si="231"/>
        <v>31.358412954460857</v>
      </c>
      <c r="BX168" s="3">
        <f t="shared" ca="1" si="232"/>
        <v>0</v>
      </c>
      <c r="BY168" s="3">
        <f t="shared" ca="1" si="233"/>
        <v>37.999999984799999</v>
      </c>
      <c r="BZ168" s="3">
        <f t="shared" ca="1" si="234"/>
        <v>0</v>
      </c>
      <c r="CA168" s="3">
        <f t="shared" si="235"/>
        <v>0</v>
      </c>
      <c r="CB168" s="1018">
        <f t="shared" ref="CB168:CB179" ca="1" si="239">SUM(BV168:CA168)+(BP168+BQ168+BR168+BS168+BT168)*BL168</f>
        <v>73.25289293926086</v>
      </c>
      <c r="CC168" s="1018">
        <f t="shared" ref="CC168:CC179" ca="1" si="240">0.34*BM168*(1/25)^0.66*(BQ168+BS168+BT168)+0.34*0.6*BO168</f>
        <v>79.951115897539111</v>
      </c>
      <c r="CD168" s="3">
        <f t="shared" ca="1" si="200"/>
        <v>4.5961202651039992</v>
      </c>
      <c r="CE168" s="3">
        <f t="shared" ca="1" si="201"/>
        <v>7652.3563965875528</v>
      </c>
    </row>
    <row r="169" spans="4:83" s="3" customFormat="1" x14ac:dyDescent="0.25">
      <c r="D169" s="6"/>
      <c r="F169" s="6"/>
      <c r="G169" s="6"/>
      <c r="H169" s="8"/>
      <c r="I169" s="6"/>
      <c r="J169" s="6"/>
      <c r="K169" s="6" t="s">
        <v>58</v>
      </c>
      <c r="L169" s="4"/>
      <c r="M169" s="6" t="s">
        <v>61</v>
      </c>
      <c r="N169" s="4"/>
      <c r="O169" s="2" t="s">
        <v>16</v>
      </c>
      <c r="P169" s="4"/>
      <c r="Q169" s="1"/>
      <c r="R169" s="79"/>
      <c r="S169" s="876"/>
      <c r="T169" s="282"/>
      <c r="U169" s="200">
        <f t="shared" si="221"/>
        <v>0</v>
      </c>
      <c r="V169" s="200">
        <f t="shared" si="236"/>
        <v>0</v>
      </c>
      <c r="W169" s="176">
        <f>V169/Calculation_sheet!M$67</f>
        <v>0</v>
      </c>
      <c r="X169" s="958">
        <f ca="1">IF(AL169&gt;0,W169*Calculation_sheet!C$87,0)</f>
        <v>0</v>
      </c>
      <c r="Y169" s="176">
        <f t="shared" ca="1" si="237"/>
        <v>0</v>
      </c>
      <c r="Z169" s="176">
        <f>IF(AN169&gt;0,Y169*Calculation_sheet!C$94,0)</f>
        <v>0</v>
      </c>
      <c r="AA169" s="958">
        <f t="shared" ca="1" si="222"/>
        <v>0</v>
      </c>
      <c r="AB169" s="176">
        <f ca="1">AA169*Calculation_sheet!C$99</f>
        <v>0</v>
      </c>
      <c r="AC169" s="958">
        <f t="shared" ca="1" si="222"/>
        <v>0</v>
      </c>
      <c r="AD169" s="176">
        <f t="shared" si="238"/>
        <v>0</v>
      </c>
      <c r="AE169" s="176">
        <f>AD169*User_sheet!B$77/100</f>
        <v>0</v>
      </c>
      <c r="AF169" s="309"/>
      <c r="AG169" s="27">
        <v>402</v>
      </c>
      <c r="AH169" s="985"/>
      <c r="AI169" s="956">
        <f t="shared" ca="1" si="199"/>
        <v>73.25289293926086</v>
      </c>
      <c r="AJ169" s="956">
        <f ca="1">AI169/'402'!I$24</f>
        <v>0.36020934559682166</v>
      </c>
      <c r="AK169" s="956">
        <f ca="1">0.8*(AI169*30+'402'!D$17*0.34*30*1)</f>
        <v>4560.5398305422614</v>
      </c>
      <c r="AL169" s="954">
        <f ca="1">IF(AK169&lt;User_sheet!B$50,W169,0)</f>
        <v>0</v>
      </c>
      <c r="AM169" s="954">
        <f ca="1">20-(User_sheet!B$57/(AI169+'402'!D$17*1*0.34))</f>
        <v>-9.9964489036672006</v>
      </c>
      <c r="AN169" s="954"/>
      <c r="AO169" s="985"/>
      <c r="AP169" s="2">
        <v>0</v>
      </c>
      <c r="AQ169" s="27">
        <v>0.43</v>
      </c>
      <c r="AR169" s="2">
        <v>0</v>
      </c>
      <c r="AS169" s="27">
        <v>2</v>
      </c>
      <c r="AT169" s="2">
        <v>0</v>
      </c>
      <c r="AU169" s="2">
        <v>0</v>
      </c>
      <c r="AV169" s="2">
        <v>74834</v>
      </c>
      <c r="AW169" s="2">
        <v>0</v>
      </c>
      <c r="AX169" s="2">
        <v>0</v>
      </c>
      <c r="AY169" s="2">
        <v>0</v>
      </c>
      <c r="AZ169" s="50">
        <v>0.6</v>
      </c>
      <c r="BA169" s="34">
        <v>1</v>
      </c>
      <c r="BB169" s="34">
        <v>0</v>
      </c>
      <c r="BC169" s="40">
        <v>0</v>
      </c>
      <c r="BD169" s="34">
        <v>1</v>
      </c>
      <c r="BE169" s="34">
        <v>0</v>
      </c>
      <c r="BF169" s="40">
        <v>0</v>
      </c>
      <c r="BG169" s="34">
        <v>0</v>
      </c>
      <c r="BH169" s="40">
        <v>1</v>
      </c>
      <c r="BI169" s="34">
        <v>1</v>
      </c>
      <c r="BJ169" s="34">
        <v>0</v>
      </c>
      <c r="BK169" s="40">
        <v>0</v>
      </c>
      <c r="BL169" s="199">
        <v>0.04</v>
      </c>
      <c r="BM169" s="958">
        <v>2.5</v>
      </c>
      <c r="BN169" s="37">
        <f t="shared" ca="1" si="223"/>
        <v>106</v>
      </c>
      <c r="BO169" s="3">
        <f t="shared" ca="1" si="224"/>
        <v>343.44000000000005</v>
      </c>
      <c r="BP169" s="3">
        <f t="shared" ca="1" si="225"/>
        <v>0</v>
      </c>
      <c r="BQ169" s="3">
        <f t="shared" ca="1" si="226"/>
        <v>78.362000000000009</v>
      </c>
      <c r="BR169" s="3">
        <f t="shared" ca="1" si="227"/>
        <v>0</v>
      </c>
      <c r="BS169" s="3">
        <f t="shared" ca="1" si="228"/>
        <v>19</v>
      </c>
      <c r="BT169" s="3">
        <f t="shared" ca="1" si="229"/>
        <v>0</v>
      </c>
      <c r="BU169" s="3">
        <v>0</v>
      </c>
      <c r="BV169" s="3">
        <f t="shared" ca="1" si="230"/>
        <v>0</v>
      </c>
      <c r="BW169" s="3">
        <f t="shared" ca="1" si="231"/>
        <v>31.358412954460857</v>
      </c>
      <c r="BX169" s="3">
        <f t="shared" ca="1" si="232"/>
        <v>0</v>
      </c>
      <c r="BY169" s="3">
        <f t="shared" ca="1" si="233"/>
        <v>37.999999984799999</v>
      </c>
      <c r="BZ169" s="3">
        <f t="shared" ca="1" si="234"/>
        <v>0</v>
      </c>
      <c r="CA169" s="3">
        <f t="shared" si="235"/>
        <v>0</v>
      </c>
      <c r="CB169" s="1018">
        <f t="shared" ca="1" si="239"/>
        <v>73.25289293926086</v>
      </c>
      <c r="CC169" s="1018">
        <f t="shared" ca="1" si="240"/>
        <v>79.951115897539111</v>
      </c>
      <c r="CD169" s="3">
        <f t="shared" ca="1" si="200"/>
        <v>4.5961202651039992</v>
      </c>
      <c r="CE169" s="3">
        <f t="shared" ca="1" si="201"/>
        <v>7652.3563965875528</v>
      </c>
    </row>
    <row r="170" spans="4:83" s="3" customFormat="1" x14ac:dyDescent="0.25">
      <c r="D170" s="6"/>
      <c r="F170" s="1"/>
      <c r="G170"/>
      <c r="H170" s="8"/>
      <c r="I170" s="6" t="s">
        <v>16</v>
      </c>
      <c r="J170" s="4"/>
      <c r="K170" s="6"/>
      <c r="L170" s="6"/>
      <c r="M170" s="6"/>
      <c r="N170" s="6"/>
      <c r="O170" s="2" t="s">
        <v>7</v>
      </c>
      <c r="P170" s="4"/>
      <c r="Q170" s="1"/>
      <c r="R170" s="79"/>
      <c r="S170" s="876"/>
      <c r="T170" s="282"/>
      <c r="U170" s="200">
        <f t="shared" si="221"/>
        <v>0</v>
      </c>
      <c r="V170" s="200">
        <f t="shared" si="236"/>
        <v>0</v>
      </c>
      <c r="W170" s="176">
        <f>V170/Calculation_sheet!M$67</f>
        <v>0</v>
      </c>
      <c r="X170" s="958">
        <f ca="1">IF(AL170&gt;0,W170*Calculation_sheet!C$87,0)</f>
        <v>0</v>
      </c>
      <c r="Y170" s="176">
        <f t="shared" ca="1" si="237"/>
        <v>0</v>
      </c>
      <c r="Z170" s="176">
        <f>IF(AN170&gt;0,Y170*Calculation_sheet!C$94,0)</f>
        <v>0</v>
      </c>
      <c r="AA170" s="958">
        <f t="shared" ca="1" si="222"/>
        <v>0</v>
      </c>
      <c r="AB170" s="176">
        <f ca="1">AA170*Calculation_sheet!C$99</f>
        <v>0</v>
      </c>
      <c r="AC170" s="958">
        <f t="shared" ca="1" si="222"/>
        <v>0</v>
      </c>
      <c r="AD170" s="176">
        <f t="shared" si="238"/>
        <v>0</v>
      </c>
      <c r="AE170" s="176">
        <f>AD170*User_sheet!B$77/100</f>
        <v>0</v>
      </c>
      <c r="AF170" s="309"/>
      <c r="AG170" s="27">
        <v>402</v>
      </c>
      <c r="AH170" s="985"/>
      <c r="AI170" s="956">
        <f t="shared" ca="1" si="199"/>
        <v>73.25289293926086</v>
      </c>
      <c r="AJ170" s="956">
        <f ca="1">AI170/'402'!I$24</f>
        <v>0.36020934559682166</v>
      </c>
      <c r="AK170" s="956">
        <f ca="1">0.8*(AI170*30+'402'!D$17*0.34*30*1)</f>
        <v>4560.5398305422614</v>
      </c>
      <c r="AL170" s="954">
        <f ca="1">IF(AK170&lt;User_sheet!B$50,W170,0)</f>
        <v>0</v>
      </c>
      <c r="AM170" s="954">
        <f ca="1">20-(User_sheet!B$57/(AI170+'402'!D$17*1*0.34))</f>
        <v>-9.9964489036672006</v>
      </c>
      <c r="AN170" s="954"/>
      <c r="AO170" s="985"/>
      <c r="AP170" s="2">
        <v>0</v>
      </c>
      <c r="AQ170" s="27">
        <v>0.43</v>
      </c>
      <c r="AR170" s="2">
        <v>0</v>
      </c>
      <c r="AS170" s="27">
        <v>2</v>
      </c>
      <c r="AT170" s="2">
        <v>0</v>
      </c>
      <c r="AU170" s="2">
        <v>0</v>
      </c>
      <c r="AV170" s="2">
        <v>74834</v>
      </c>
      <c r="AW170" s="2">
        <v>0</v>
      </c>
      <c r="AX170" s="2">
        <v>0</v>
      </c>
      <c r="AY170" s="2">
        <v>0</v>
      </c>
      <c r="AZ170" s="50">
        <v>0.6</v>
      </c>
      <c r="BA170" s="34">
        <v>1</v>
      </c>
      <c r="BB170" s="34">
        <v>0</v>
      </c>
      <c r="BC170" s="40">
        <v>0</v>
      </c>
      <c r="BD170" s="34">
        <v>1</v>
      </c>
      <c r="BE170" s="34">
        <v>0</v>
      </c>
      <c r="BF170" s="40">
        <v>0</v>
      </c>
      <c r="BG170" s="34">
        <v>0</v>
      </c>
      <c r="BH170" s="40">
        <v>1</v>
      </c>
      <c r="BI170" s="34">
        <v>0</v>
      </c>
      <c r="BJ170" s="34">
        <v>0</v>
      </c>
      <c r="BK170" s="40">
        <v>1</v>
      </c>
      <c r="BL170" s="199">
        <v>0.04</v>
      </c>
      <c r="BM170" s="958">
        <v>2.5</v>
      </c>
      <c r="BN170" s="37">
        <f t="shared" ca="1" si="223"/>
        <v>106</v>
      </c>
      <c r="BO170" s="3">
        <f t="shared" ca="1" si="224"/>
        <v>343.44000000000005</v>
      </c>
      <c r="BP170" s="3">
        <f t="shared" ca="1" si="225"/>
        <v>0</v>
      </c>
      <c r="BQ170" s="3">
        <f t="shared" ca="1" si="226"/>
        <v>78.362000000000009</v>
      </c>
      <c r="BR170" s="3">
        <f t="shared" ca="1" si="227"/>
        <v>0</v>
      </c>
      <c r="BS170" s="3">
        <f t="shared" ca="1" si="228"/>
        <v>19</v>
      </c>
      <c r="BT170" s="3">
        <f t="shared" ca="1" si="229"/>
        <v>0</v>
      </c>
      <c r="BU170" s="3">
        <v>0</v>
      </c>
      <c r="BV170" s="3">
        <f t="shared" ca="1" si="230"/>
        <v>0</v>
      </c>
      <c r="BW170" s="3">
        <f t="shared" ca="1" si="231"/>
        <v>31.358412954460857</v>
      </c>
      <c r="BX170" s="3">
        <f t="shared" ca="1" si="232"/>
        <v>0</v>
      </c>
      <c r="BY170" s="3">
        <f t="shared" ca="1" si="233"/>
        <v>37.999999984799999</v>
      </c>
      <c r="BZ170" s="3">
        <f t="shared" ca="1" si="234"/>
        <v>0</v>
      </c>
      <c r="CA170" s="3">
        <f t="shared" si="235"/>
        <v>0</v>
      </c>
      <c r="CB170" s="1018">
        <f t="shared" ca="1" si="239"/>
        <v>73.25289293926086</v>
      </c>
      <c r="CC170" s="1018">
        <f t="shared" ca="1" si="240"/>
        <v>79.951115897539111</v>
      </c>
      <c r="CD170" s="3">
        <f t="shared" ca="1" si="200"/>
        <v>4.5961202651039992</v>
      </c>
      <c r="CE170" s="3">
        <f t="shared" ca="1" si="201"/>
        <v>7652.3563965875528</v>
      </c>
    </row>
    <row r="171" spans="4:83" s="3" customFormat="1" x14ac:dyDescent="0.25">
      <c r="D171" s="6"/>
      <c r="F171" s="1"/>
      <c r="G171"/>
      <c r="H171" s="8"/>
      <c r="I171" s="6"/>
      <c r="J171" s="6"/>
      <c r="K171" s="6" t="s">
        <v>59</v>
      </c>
      <c r="L171" s="4"/>
      <c r="M171" s="6"/>
      <c r="N171" s="6"/>
      <c r="O171" s="27" t="s">
        <v>16</v>
      </c>
      <c r="P171" s="4"/>
      <c r="Q171" s="1"/>
      <c r="R171" s="79"/>
      <c r="S171" s="876"/>
      <c r="T171" s="282"/>
      <c r="U171" s="200">
        <f t="shared" si="221"/>
        <v>0</v>
      </c>
      <c r="V171" s="200">
        <f t="shared" si="236"/>
        <v>0</v>
      </c>
      <c r="W171" s="176">
        <f>V171/Calculation_sheet!M$67</f>
        <v>0</v>
      </c>
      <c r="X171" s="958">
        <f ca="1">IF(AL171&gt;0,W171*Calculation_sheet!C$87,0)</f>
        <v>0</v>
      </c>
      <c r="Y171" s="176">
        <f t="shared" ca="1" si="237"/>
        <v>0</v>
      </c>
      <c r="Z171" s="176">
        <f>IF(AN171&gt;0,Y171*Calculation_sheet!C$94,0)</f>
        <v>0</v>
      </c>
      <c r="AA171" s="958">
        <f t="shared" ca="1" si="222"/>
        <v>0</v>
      </c>
      <c r="AB171" s="176">
        <f ca="1">AA171*Calculation_sheet!C$99</f>
        <v>0</v>
      </c>
      <c r="AC171" s="958">
        <f t="shared" ca="1" si="222"/>
        <v>0</v>
      </c>
      <c r="AD171" s="176">
        <f t="shared" si="238"/>
        <v>0</v>
      </c>
      <c r="AE171" s="176">
        <f>AD171*User_sheet!B$77/100</f>
        <v>0</v>
      </c>
      <c r="AF171" s="309"/>
      <c r="AG171" s="27">
        <v>402</v>
      </c>
      <c r="AH171" s="985"/>
      <c r="AI171" s="956">
        <f t="shared" ca="1" si="199"/>
        <v>73.25289293926086</v>
      </c>
      <c r="AJ171" s="956">
        <f ca="1">AI171/'402'!I$24</f>
        <v>0.36020934559682166</v>
      </c>
      <c r="AK171" s="956">
        <f ca="1">0.8*(AI171*30+'402'!D$17*0.34*30*1)</f>
        <v>4560.5398305422614</v>
      </c>
      <c r="AL171" s="954">
        <f ca="1">IF(AK171&lt;User_sheet!B$50,W171,0)</f>
        <v>0</v>
      </c>
      <c r="AM171" s="954">
        <f ca="1">20-(User_sheet!B$57/(AI171+'402'!D$17*1*0.34))</f>
        <v>-9.9964489036672006</v>
      </c>
      <c r="AN171" s="954"/>
      <c r="AO171" s="985"/>
      <c r="AP171" s="2">
        <v>0</v>
      </c>
      <c r="AQ171" s="27">
        <v>0.43</v>
      </c>
      <c r="AR171" s="2">
        <v>0</v>
      </c>
      <c r="AS171" s="27">
        <v>2</v>
      </c>
      <c r="AT171" s="2">
        <v>0</v>
      </c>
      <c r="AU171" s="2">
        <v>0</v>
      </c>
      <c r="AV171" s="2">
        <v>74834</v>
      </c>
      <c r="AW171" s="2">
        <v>0</v>
      </c>
      <c r="AX171" s="2">
        <v>0</v>
      </c>
      <c r="AY171" s="2">
        <v>0</v>
      </c>
      <c r="AZ171" s="50">
        <v>0.6</v>
      </c>
      <c r="BA171" s="34">
        <v>1</v>
      </c>
      <c r="BB171" s="34">
        <v>0</v>
      </c>
      <c r="BC171" s="40">
        <v>0</v>
      </c>
      <c r="BD171" s="34">
        <v>0</v>
      </c>
      <c r="BE171" s="34">
        <v>1</v>
      </c>
      <c r="BF171" s="40">
        <v>0</v>
      </c>
      <c r="BG171" s="34">
        <v>1</v>
      </c>
      <c r="BH171" s="40">
        <v>0</v>
      </c>
      <c r="BI171" s="34">
        <v>1</v>
      </c>
      <c r="BJ171" s="34">
        <v>0</v>
      </c>
      <c r="BK171" s="40">
        <v>0</v>
      </c>
      <c r="BL171" s="199">
        <v>0.04</v>
      </c>
      <c r="BM171" s="958">
        <v>2.5</v>
      </c>
      <c r="BN171" s="37">
        <f t="shared" ca="1" si="223"/>
        <v>106</v>
      </c>
      <c r="BO171" s="3">
        <f t="shared" ca="1" si="224"/>
        <v>343.44000000000005</v>
      </c>
      <c r="BP171" s="3">
        <f t="shared" ca="1" si="225"/>
        <v>0</v>
      </c>
      <c r="BQ171" s="3">
        <f t="shared" ca="1" si="226"/>
        <v>78.362000000000009</v>
      </c>
      <c r="BR171" s="3">
        <f t="shared" ca="1" si="227"/>
        <v>0</v>
      </c>
      <c r="BS171" s="3">
        <f t="shared" ca="1" si="228"/>
        <v>19</v>
      </c>
      <c r="BT171" s="3">
        <f t="shared" ca="1" si="229"/>
        <v>0</v>
      </c>
      <c r="BU171" s="3">
        <v>0</v>
      </c>
      <c r="BV171" s="3">
        <f t="shared" ca="1" si="230"/>
        <v>0</v>
      </c>
      <c r="BW171" s="3">
        <f t="shared" ca="1" si="231"/>
        <v>31.358412954460857</v>
      </c>
      <c r="BX171" s="3">
        <f t="shared" ca="1" si="232"/>
        <v>0</v>
      </c>
      <c r="BY171" s="3">
        <f t="shared" ca="1" si="233"/>
        <v>37.999999984799999</v>
      </c>
      <c r="BZ171" s="3">
        <f t="shared" ca="1" si="234"/>
        <v>0</v>
      </c>
      <c r="CA171" s="3">
        <f t="shared" si="235"/>
        <v>0</v>
      </c>
      <c r="CB171" s="1018">
        <f t="shared" ca="1" si="239"/>
        <v>73.25289293926086</v>
      </c>
      <c r="CC171" s="1018">
        <f t="shared" ca="1" si="240"/>
        <v>79.951115897539111</v>
      </c>
      <c r="CD171" s="3">
        <f t="shared" ca="1" si="200"/>
        <v>4.5961202651039992</v>
      </c>
      <c r="CE171" s="3">
        <f t="shared" ca="1" si="201"/>
        <v>7652.3563965875528</v>
      </c>
    </row>
    <row r="172" spans="4:83" s="3" customFormat="1" x14ac:dyDescent="0.25">
      <c r="D172" s="6"/>
      <c r="F172" s="3" t="s">
        <v>143</v>
      </c>
      <c r="G172"/>
      <c r="H172" s="8"/>
      <c r="I172" s="6"/>
      <c r="J172" s="6"/>
      <c r="K172" s="6"/>
      <c r="L172" s="6"/>
      <c r="M172" s="6"/>
      <c r="N172" s="6"/>
      <c r="O172" s="27" t="s">
        <v>7</v>
      </c>
      <c r="P172" s="4"/>
      <c r="Q172" s="1"/>
      <c r="R172" s="79"/>
      <c r="S172" s="876"/>
      <c r="T172" s="282"/>
      <c r="U172" s="200">
        <f t="shared" si="221"/>
        <v>0</v>
      </c>
      <c r="V172" s="200">
        <f t="shared" si="236"/>
        <v>0</v>
      </c>
      <c r="W172" s="176">
        <f>V172/Calculation_sheet!M$67</f>
        <v>0</v>
      </c>
      <c r="X172" s="958">
        <f ca="1">IF(AL172&gt;0,W172*Calculation_sheet!C$87,0)</f>
        <v>0</v>
      </c>
      <c r="Y172" s="176">
        <f t="shared" ca="1" si="237"/>
        <v>0</v>
      </c>
      <c r="Z172" s="176">
        <f>IF(AN172&gt;0,Y172*Calculation_sheet!C$94,0)</f>
        <v>0</v>
      </c>
      <c r="AA172" s="958">
        <f t="shared" ca="1" si="222"/>
        <v>0</v>
      </c>
      <c r="AB172" s="176">
        <f ca="1">AA172*Calculation_sheet!C$99</f>
        <v>0</v>
      </c>
      <c r="AC172" s="958">
        <f t="shared" ca="1" si="222"/>
        <v>0</v>
      </c>
      <c r="AD172" s="176">
        <f t="shared" si="238"/>
        <v>0</v>
      </c>
      <c r="AE172" s="176">
        <f>AD172*User_sheet!B$77/100</f>
        <v>0</v>
      </c>
      <c r="AF172" s="309"/>
      <c r="AG172" s="27">
        <v>402</v>
      </c>
      <c r="AH172" s="985"/>
      <c r="AI172" s="956">
        <f t="shared" ca="1" si="199"/>
        <v>73.25289293926086</v>
      </c>
      <c r="AJ172" s="956">
        <f ca="1">AI172/'402'!I$24</f>
        <v>0.36020934559682166</v>
      </c>
      <c r="AK172" s="956">
        <f ca="1">0.8*(AI172*30+'402'!D$17*0.34*30*1)</f>
        <v>4560.5398305422614</v>
      </c>
      <c r="AL172" s="954">
        <f ca="1">IF(AK172&lt;User_sheet!B$50,W172,0)</f>
        <v>0</v>
      </c>
      <c r="AM172" s="954">
        <f ca="1">20-(User_sheet!B$57/(AI172+'402'!D$17*1*0.34))</f>
        <v>-9.9964489036672006</v>
      </c>
      <c r="AN172" s="954"/>
      <c r="AO172" s="985"/>
      <c r="AP172" s="2">
        <v>0</v>
      </c>
      <c r="AQ172" s="27">
        <v>0.43</v>
      </c>
      <c r="AR172" s="2">
        <v>0</v>
      </c>
      <c r="AS172" s="27">
        <v>2</v>
      </c>
      <c r="AT172" s="2">
        <v>0</v>
      </c>
      <c r="AU172" s="2">
        <v>0</v>
      </c>
      <c r="AV172" s="2">
        <v>74834</v>
      </c>
      <c r="AW172" s="2">
        <v>0</v>
      </c>
      <c r="AX172" s="2">
        <v>0</v>
      </c>
      <c r="AY172" s="2">
        <v>0</v>
      </c>
      <c r="AZ172" s="50">
        <v>0.6</v>
      </c>
      <c r="BA172" s="34">
        <v>1</v>
      </c>
      <c r="BB172" s="34">
        <v>0</v>
      </c>
      <c r="BC172" s="40">
        <v>0</v>
      </c>
      <c r="BD172" s="34">
        <v>0</v>
      </c>
      <c r="BE172" s="34">
        <v>1</v>
      </c>
      <c r="BF172" s="40">
        <v>0</v>
      </c>
      <c r="BG172" s="34">
        <v>1</v>
      </c>
      <c r="BH172" s="40">
        <v>0</v>
      </c>
      <c r="BI172" s="34">
        <v>0</v>
      </c>
      <c r="BJ172" s="34">
        <v>0</v>
      </c>
      <c r="BK172" s="40">
        <v>1</v>
      </c>
      <c r="BL172" s="199">
        <v>0.04</v>
      </c>
      <c r="BM172" s="958">
        <v>2.5</v>
      </c>
      <c r="BN172" s="37">
        <f t="shared" ca="1" si="223"/>
        <v>106</v>
      </c>
      <c r="BO172" s="3">
        <f t="shared" ca="1" si="224"/>
        <v>343.44000000000005</v>
      </c>
      <c r="BP172" s="3">
        <f t="shared" ca="1" si="225"/>
        <v>0</v>
      </c>
      <c r="BQ172" s="3">
        <f t="shared" ca="1" si="226"/>
        <v>78.362000000000009</v>
      </c>
      <c r="BR172" s="3">
        <f t="shared" ca="1" si="227"/>
        <v>0</v>
      </c>
      <c r="BS172" s="3">
        <f t="shared" ca="1" si="228"/>
        <v>19</v>
      </c>
      <c r="BT172" s="3">
        <f t="shared" ca="1" si="229"/>
        <v>0</v>
      </c>
      <c r="BU172" s="3">
        <v>0</v>
      </c>
      <c r="BV172" s="3">
        <f t="shared" ca="1" si="230"/>
        <v>0</v>
      </c>
      <c r="BW172" s="3">
        <f t="shared" ca="1" si="231"/>
        <v>31.358412954460857</v>
      </c>
      <c r="BX172" s="3">
        <f t="shared" ca="1" si="232"/>
        <v>0</v>
      </c>
      <c r="BY172" s="3">
        <f t="shared" ca="1" si="233"/>
        <v>37.999999984799999</v>
      </c>
      <c r="BZ172" s="3">
        <f t="shared" ca="1" si="234"/>
        <v>0</v>
      </c>
      <c r="CA172" s="3">
        <f t="shared" si="235"/>
        <v>0</v>
      </c>
      <c r="CB172" s="1018">
        <f t="shared" ca="1" si="239"/>
        <v>73.25289293926086</v>
      </c>
      <c r="CC172" s="1018">
        <f t="shared" ca="1" si="240"/>
        <v>79.951115897539111</v>
      </c>
      <c r="CD172" s="3">
        <f t="shared" ca="1" si="200"/>
        <v>4.5961202651039992</v>
      </c>
      <c r="CE172" s="3">
        <f t="shared" ca="1" si="201"/>
        <v>7652.3563965875528</v>
      </c>
    </row>
    <row r="173" spans="4:83" x14ac:dyDescent="0.25">
      <c r="D173" s="1"/>
      <c r="F173" s="6" t="s">
        <v>190</v>
      </c>
      <c r="H173" s="8"/>
      <c r="I173" s="6"/>
      <c r="J173" s="6"/>
      <c r="K173" s="6"/>
      <c r="L173" s="6"/>
      <c r="M173" s="6" t="s">
        <v>60</v>
      </c>
      <c r="N173" s="4"/>
      <c r="O173" s="2" t="s">
        <v>57</v>
      </c>
      <c r="P173" s="4"/>
      <c r="Q173" s="1"/>
      <c r="R173" s="79"/>
      <c r="S173" s="876"/>
      <c r="T173" s="280"/>
      <c r="U173" s="200">
        <f t="shared" si="221"/>
        <v>0</v>
      </c>
      <c r="V173" s="200">
        <f t="shared" si="236"/>
        <v>0</v>
      </c>
      <c r="W173" s="176">
        <f>V173/Calculation_sheet!M$67</f>
        <v>0</v>
      </c>
      <c r="X173" s="958">
        <f ca="1">IF(AL173&gt;0,W173*Calculation_sheet!C$87,0)</f>
        <v>0</v>
      </c>
      <c r="Y173" s="176">
        <f t="shared" ca="1" si="237"/>
        <v>0</v>
      </c>
      <c r="Z173" s="176">
        <f>IF(AN173&gt;0,Y173*Calculation_sheet!C$94,0)</f>
        <v>0</v>
      </c>
      <c r="AA173" s="958">
        <f t="shared" ca="1" si="222"/>
        <v>0</v>
      </c>
      <c r="AB173" s="176">
        <f ca="1">AA173*Calculation_sheet!C$99</f>
        <v>0</v>
      </c>
      <c r="AC173" s="958">
        <f t="shared" ca="1" si="222"/>
        <v>0</v>
      </c>
      <c r="AD173" s="176">
        <f t="shared" si="238"/>
        <v>0</v>
      </c>
      <c r="AE173" s="176">
        <f>AD173*User_sheet!B$77/100</f>
        <v>0</v>
      </c>
      <c r="AF173" s="309"/>
      <c r="AG173" s="27">
        <v>402</v>
      </c>
      <c r="AH173" s="985"/>
      <c r="AI173" s="956">
        <f t="shared" ca="1" si="199"/>
        <v>73.25289293926086</v>
      </c>
      <c r="AJ173" s="956">
        <f ca="1">AI173/'402'!I$24</f>
        <v>0.36020934559682166</v>
      </c>
      <c r="AK173" s="956">
        <f ca="1">0.8*(AI173*30+'402'!D$17*0.34*30*1)</f>
        <v>4560.5398305422614</v>
      </c>
      <c r="AL173" s="954">
        <f ca="1">IF(AK173&lt;User_sheet!B$50,W173,0)</f>
        <v>0</v>
      </c>
      <c r="AM173" s="954">
        <f ca="1">20-(User_sheet!B$57/(AI173+'402'!D$17*1*0.34))</f>
        <v>-9.9964489036672006</v>
      </c>
      <c r="AN173" s="954"/>
      <c r="AO173" s="985"/>
      <c r="AP173" s="2">
        <v>0</v>
      </c>
      <c r="AQ173" s="27">
        <v>0.43</v>
      </c>
      <c r="AR173" s="2">
        <v>0</v>
      </c>
      <c r="AS173" s="27">
        <v>2</v>
      </c>
      <c r="AT173" s="2">
        <v>0</v>
      </c>
      <c r="AU173" s="2">
        <v>0</v>
      </c>
      <c r="AV173" s="2">
        <v>74834</v>
      </c>
      <c r="AW173" s="2">
        <v>0</v>
      </c>
      <c r="AX173" s="2">
        <v>0</v>
      </c>
      <c r="AY173" s="2">
        <v>0</v>
      </c>
      <c r="AZ173" s="50">
        <v>0.6</v>
      </c>
      <c r="BA173" s="34">
        <v>0</v>
      </c>
      <c r="BB173" s="34">
        <v>1</v>
      </c>
      <c r="BC173" s="40">
        <v>0</v>
      </c>
      <c r="BD173" s="34">
        <v>1</v>
      </c>
      <c r="BE173" s="34">
        <v>0</v>
      </c>
      <c r="BF173" s="40">
        <v>0</v>
      </c>
      <c r="BG173" s="34">
        <v>1</v>
      </c>
      <c r="BH173" s="40">
        <v>0</v>
      </c>
      <c r="BI173" s="34">
        <v>0</v>
      </c>
      <c r="BJ173" s="34">
        <v>1</v>
      </c>
      <c r="BK173" s="40">
        <v>0</v>
      </c>
      <c r="BL173" s="199">
        <v>0.04</v>
      </c>
      <c r="BM173" s="958">
        <v>2.5</v>
      </c>
      <c r="BN173" s="32">
        <f t="shared" ca="1" si="223"/>
        <v>106</v>
      </c>
      <c r="BO173">
        <f t="shared" ca="1" si="224"/>
        <v>343.44000000000005</v>
      </c>
      <c r="BP173">
        <f t="shared" ca="1" si="225"/>
        <v>0</v>
      </c>
      <c r="BQ173">
        <f t="shared" ca="1" si="226"/>
        <v>78.362000000000009</v>
      </c>
      <c r="BR173">
        <f t="shared" ca="1" si="227"/>
        <v>0</v>
      </c>
      <c r="BS173">
        <f t="shared" ca="1" si="228"/>
        <v>19</v>
      </c>
      <c r="BT173">
        <f t="shared" ca="1" si="229"/>
        <v>0</v>
      </c>
      <c r="BU173">
        <v>0</v>
      </c>
      <c r="BV173">
        <f t="shared" ca="1" si="230"/>
        <v>0</v>
      </c>
      <c r="BW173">
        <f t="shared" ca="1" si="231"/>
        <v>31.358412954460857</v>
      </c>
      <c r="BX173">
        <f t="shared" ca="1" si="232"/>
        <v>0</v>
      </c>
      <c r="BY173">
        <f t="shared" ca="1" si="233"/>
        <v>37.999999984799999</v>
      </c>
      <c r="BZ173">
        <f t="shared" ca="1" si="234"/>
        <v>0</v>
      </c>
      <c r="CA173">
        <f t="shared" si="235"/>
        <v>0</v>
      </c>
      <c r="CB173" s="1018">
        <f t="shared" ca="1" si="239"/>
        <v>73.25289293926086</v>
      </c>
      <c r="CC173" s="1018">
        <f t="shared" ca="1" si="240"/>
        <v>79.951115897539111</v>
      </c>
      <c r="CD173">
        <f t="shared" ca="1" si="200"/>
        <v>4.5961202651039992</v>
      </c>
      <c r="CE173">
        <f t="shared" ca="1" si="201"/>
        <v>7652.3563965875528</v>
      </c>
    </row>
    <row r="174" spans="4:83" x14ac:dyDescent="0.25">
      <c r="D174" s="1"/>
      <c r="F174" s="1"/>
      <c r="G174" s="6"/>
      <c r="H174" s="8"/>
      <c r="I174" s="6"/>
      <c r="J174" s="6"/>
      <c r="K174" s="6"/>
      <c r="L174" s="6"/>
      <c r="M174" s="6"/>
      <c r="N174" s="6"/>
      <c r="O174" s="2" t="s">
        <v>7</v>
      </c>
      <c r="P174" s="4"/>
      <c r="Q174" s="1"/>
      <c r="R174" s="79"/>
      <c r="S174" s="876"/>
      <c r="T174" s="280"/>
      <c r="U174" s="200">
        <f t="shared" si="221"/>
        <v>0</v>
      </c>
      <c r="V174" s="200">
        <f t="shared" si="236"/>
        <v>0</v>
      </c>
      <c r="W174" s="176">
        <f>V174/Calculation_sheet!M$67</f>
        <v>0</v>
      </c>
      <c r="X174" s="958">
        <f ca="1">IF(AL174&gt;0,W174*Calculation_sheet!C$87,0)</f>
        <v>0</v>
      </c>
      <c r="Y174" s="176">
        <f t="shared" ca="1" si="237"/>
        <v>0</v>
      </c>
      <c r="Z174" s="176">
        <f>IF(AN174&gt;0,Y174*Calculation_sheet!C$94,0)</f>
        <v>0</v>
      </c>
      <c r="AA174" s="958">
        <f t="shared" ca="1" si="222"/>
        <v>0</v>
      </c>
      <c r="AB174" s="176">
        <f ca="1">AA174*Calculation_sheet!C$99</f>
        <v>0</v>
      </c>
      <c r="AC174" s="958">
        <f t="shared" ca="1" si="222"/>
        <v>0</v>
      </c>
      <c r="AD174" s="176">
        <f t="shared" si="238"/>
        <v>0</v>
      </c>
      <c r="AE174" s="176">
        <f>AD174*User_sheet!B$77/100</f>
        <v>0</v>
      </c>
      <c r="AF174" s="309"/>
      <c r="AG174" s="27">
        <v>402</v>
      </c>
      <c r="AH174" s="985"/>
      <c r="AI174" s="956">
        <f t="shared" ca="1" si="199"/>
        <v>73.25289293926086</v>
      </c>
      <c r="AJ174" s="956">
        <f ca="1">AI174/'402'!I$24</f>
        <v>0.36020934559682166</v>
      </c>
      <c r="AK174" s="956">
        <f ca="1">0.8*(AI174*30+'402'!D$17*0.34*30*1)</f>
        <v>4560.5398305422614</v>
      </c>
      <c r="AL174" s="954">
        <f ca="1">IF(AK174&lt;User_sheet!B$50,W174,0)</f>
        <v>0</v>
      </c>
      <c r="AM174" s="954">
        <f ca="1">20-(User_sheet!B$57/(AI174+'402'!D$17*1*0.34))</f>
        <v>-9.9964489036672006</v>
      </c>
      <c r="AN174" s="954"/>
      <c r="AO174" s="985"/>
      <c r="AP174" s="2">
        <v>0</v>
      </c>
      <c r="AQ174" s="27">
        <v>0.43</v>
      </c>
      <c r="AR174" s="2">
        <v>0</v>
      </c>
      <c r="AS174" s="27">
        <v>2</v>
      </c>
      <c r="AT174" s="2">
        <v>0</v>
      </c>
      <c r="AU174" s="2">
        <v>0</v>
      </c>
      <c r="AV174" s="2">
        <v>74834</v>
      </c>
      <c r="AW174" s="2">
        <v>0</v>
      </c>
      <c r="AX174" s="2">
        <v>0</v>
      </c>
      <c r="AY174" s="2">
        <v>0</v>
      </c>
      <c r="AZ174" s="50">
        <v>0.6</v>
      </c>
      <c r="BA174" s="34">
        <v>0</v>
      </c>
      <c r="BB174" s="34">
        <v>1</v>
      </c>
      <c r="BC174" s="40">
        <v>0</v>
      </c>
      <c r="BD174" s="34">
        <v>1</v>
      </c>
      <c r="BE174" s="34">
        <v>0</v>
      </c>
      <c r="BF174" s="40">
        <v>0</v>
      </c>
      <c r="BG174" s="34">
        <v>1</v>
      </c>
      <c r="BH174" s="40">
        <v>0</v>
      </c>
      <c r="BI174" s="34">
        <v>0</v>
      </c>
      <c r="BJ174" s="34">
        <v>0</v>
      </c>
      <c r="BK174" s="40">
        <v>1</v>
      </c>
      <c r="BL174" s="199">
        <v>0.04</v>
      </c>
      <c r="BM174" s="958">
        <v>2.5</v>
      </c>
      <c r="BN174" s="32">
        <f t="shared" ca="1" si="223"/>
        <v>106</v>
      </c>
      <c r="BO174">
        <f t="shared" ca="1" si="224"/>
        <v>343.44000000000005</v>
      </c>
      <c r="BP174">
        <f t="shared" ca="1" si="225"/>
        <v>0</v>
      </c>
      <c r="BQ174">
        <f t="shared" ca="1" si="226"/>
        <v>78.362000000000009</v>
      </c>
      <c r="BR174">
        <f t="shared" ca="1" si="227"/>
        <v>0</v>
      </c>
      <c r="BS174">
        <f t="shared" ca="1" si="228"/>
        <v>19</v>
      </c>
      <c r="BT174">
        <f t="shared" ca="1" si="229"/>
        <v>0</v>
      </c>
      <c r="BU174">
        <v>0</v>
      </c>
      <c r="BV174">
        <f t="shared" ca="1" si="230"/>
        <v>0</v>
      </c>
      <c r="BW174">
        <f t="shared" ca="1" si="231"/>
        <v>31.358412954460857</v>
      </c>
      <c r="BX174">
        <f t="shared" ca="1" si="232"/>
        <v>0</v>
      </c>
      <c r="BY174">
        <f t="shared" ca="1" si="233"/>
        <v>37.999999984799999</v>
      </c>
      <c r="BZ174">
        <f t="shared" ca="1" si="234"/>
        <v>0</v>
      </c>
      <c r="CA174">
        <f t="shared" si="235"/>
        <v>0</v>
      </c>
      <c r="CB174" s="1018">
        <f t="shared" ca="1" si="239"/>
        <v>73.25289293926086</v>
      </c>
      <c r="CC174" s="1018">
        <f t="shared" ca="1" si="240"/>
        <v>79.951115897539111</v>
      </c>
      <c r="CD174">
        <f t="shared" ca="1" si="200"/>
        <v>4.5961202651039992</v>
      </c>
      <c r="CE174">
        <f t="shared" ca="1" si="201"/>
        <v>7652.3563965875528</v>
      </c>
    </row>
    <row r="175" spans="4:83" x14ac:dyDescent="0.25">
      <c r="D175" s="1"/>
      <c r="F175" s="1"/>
      <c r="G175" s="6"/>
      <c r="H175" s="8"/>
      <c r="I175" s="6"/>
      <c r="J175" s="6"/>
      <c r="K175" s="6" t="s">
        <v>58</v>
      </c>
      <c r="L175" s="4"/>
      <c r="M175" s="6" t="s">
        <v>61</v>
      </c>
      <c r="N175" s="4"/>
      <c r="O175" s="2" t="s">
        <v>57</v>
      </c>
      <c r="P175" s="4"/>
      <c r="Q175" s="1"/>
      <c r="R175" s="79"/>
      <c r="S175" s="876"/>
      <c r="T175" s="280"/>
      <c r="U175" s="200">
        <f t="shared" si="221"/>
        <v>0</v>
      </c>
      <c r="V175" s="200">
        <f t="shared" si="236"/>
        <v>0</v>
      </c>
      <c r="W175" s="176">
        <f>V175/Calculation_sheet!M$67</f>
        <v>0</v>
      </c>
      <c r="X175" s="958">
        <f ca="1">IF(AL175&gt;0,W175*Calculation_sheet!C$87,0)</f>
        <v>0</v>
      </c>
      <c r="Y175" s="176">
        <f t="shared" ca="1" si="237"/>
        <v>0</v>
      </c>
      <c r="Z175" s="176">
        <f>IF(AN175&gt;0,Y175*Calculation_sheet!C$94,0)</f>
        <v>0</v>
      </c>
      <c r="AA175" s="958">
        <f t="shared" ca="1" si="222"/>
        <v>0</v>
      </c>
      <c r="AB175" s="176">
        <f ca="1">AA175*Calculation_sheet!C$99</f>
        <v>0</v>
      </c>
      <c r="AC175" s="958">
        <f t="shared" ca="1" si="222"/>
        <v>0</v>
      </c>
      <c r="AD175" s="176">
        <f t="shared" si="238"/>
        <v>0</v>
      </c>
      <c r="AE175" s="176">
        <f>AD175*User_sheet!B$77/100</f>
        <v>0</v>
      </c>
      <c r="AF175" s="309"/>
      <c r="AG175" s="27">
        <v>402</v>
      </c>
      <c r="AH175" s="985"/>
      <c r="AI175" s="956">
        <f t="shared" ca="1" si="199"/>
        <v>73.25289293926086</v>
      </c>
      <c r="AJ175" s="956">
        <f ca="1">AI175/'402'!I$24</f>
        <v>0.36020934559682166</v>
      </c>
      <c r="AK175" s="956">
        <f ca="1">0.8*(AI175*30+'402'!D$17*0.34*30*1)</f>
        <v>4560.5398305422614</v>
      </c>
      <c r="AL175" s="954">
        <f ca="1">IF(AK175&lt;User_sheet!B$50,W175,0)</f>
        <v>0</v>
      </c>
      <c r="AM175" s="954">
        <f ca="1">20-(User_sheet!B$57/(AI175+'402'!D$17*1*0.34))</f>
        <v>-9.9964489036672006</v>
      </c>
      <c r="AN175" s="954"/>
      <c r="AO175" s="985"/>
      <c r="AP175" s="2">
        <v>0</v>
      </c>
      <c r="AQ175" s="27">
        <v>0.43</v>
      </c>
      <c r="AR175" s="2">
        <v>0</v>
      </c>
      <c r="AS175" s="27">
        <v>2</v>
      </c>
      <c r="AT175" s="2">
        <v>0</v>
      </c>
      <c r="AU175" s="2">
        <v>0</v>
      </c>
      <c r="AV175" s="2">
        <v>74834</v>
      </c>
      <c r="AW175" s="2">
        <v>0</v>
      </c>
      <c r="AX175" s="2">
        <v>0</v>
      </c>
      <c r="AY175" s="2">
        <v>0</v>
      </c>
      <c r="AZ175" s="50">
        <v>0.6</v>
      </c>
      <c r="BA175" s="34">
        <v>0</v>
      </c>
      <c r="BB175" s="34">
        <v>1</v>
      </c>
      <c r="BC175" s="40">
        <v>0</v>
      </c>
      <c r="BD175" s="34">
        <v>1</v>
      </c>
      <c r="BE175" s="34">
        <v>0</v>
      </c>
      <c r="BF175" s="40">
        <v>0</v>
      </c>
      <c r="BG175" s="34">
        <v>0</v>
      </c>
      <c r="BH175" s="40">
        <v>1</v>
      </c>
      <c r="BI175" s="34">
        <v>0</v>
      </c>
      <c r="BJ175" s="34">
        <v>1</v>
      </c>
      <c r="BK175" s="40">
        <v>0</v>
      </c>
      <c r="BL175" s="199">
        <v>0.04</v>
      </c>
      <c r="BM175" s="958">
        <v>2.5</v>
      </c>
      <c r="BN175" s="32">
        <f t="shared" ca="1" si="223"/>
        <v>106</v>
      </c>
      <c r="BO175">
        <f t="shared" ca="1" si="224"/>
        <v>343.44000000000005</v>
      </c>
      <c r="BP175">
        <f t="shared" ca="1" si="225"/>
        <v>0</v>
      </c>
      <c r="BQ175">
        <f t="shared" ca="1" si="226"/>
        <v>78.362000000000009</v>
      </c>
      <c r="BR175">
        <f t="shared" ca="1" si="227"/>
        <v>0</v>
      </c>
      <c r="BS175">
        <f t="shared" ca="1" si="228"/>
        <v>19</v>
      </c>
      <c r="BT175">
        <f t="shared" ca="1" si="229"/>
        <v>0</v>
      </c>
      <c r="BU175">
        <v>0</v>
      </c>
      <c r="BV175">
        <f t="shared" ca="1" si="230"/>
        <v>0</v>
      </c>
      <c r="BW175">
        <f t="shared" ca="1" si="231"/>
        <v>31.358412954460857</v>
      </c>
      <c r="BX175">
        <f t="shared" ca="1" si="232"/>
        <v>0</v>
      </c>
      <c r="BY175">
        <f t="shared" ca="1" si="233"/>
        <v>37.999999984799999</v>
      </c>
      <c r="BZ175">
        <f t="shared" ca="1" si="234"/>
        <v>0</v>
      </c>
      <c r="CA175">
        <f t="shared" si="235"/>
        <v>0</v>
      </c>
      <c r="CB175" s="1018">
        <f t="shared" ca="1" si="239"/>
        <v>73.25289293926086</v>
      </c>
      <c r="CC175" s="1018">
        <f t="shared" ca="1" si="240"/>
        <v>79.951115897539111</v>
      </c>
      <c r="CD175">
        <f t="shared" ca="1" si="200"/>
        <v>4.5961202651039992</v>
      </c>
      <c r="CE175">
        <f t="shared" ca="1" si="201"/>
        <v>7652.3563965875528</v>
      </c>
    </row>
    <row r="176" spans="4:83" x14ac:dyDescent="0.25">
      <c r="D176" s="1"/>
      <c r="F176" s="1"/>
      <c r="H176" s="1"/>
      <c r="I176" s="6" t="s">
        <v>57</v>
      </c>
      <c r="J176" s="4"/>
      <c r="K176" s="6"/>
      <c r="L176" s="6"/>
      <c r="M176" s="6"/>
      <c r="N176" s="6"/>
      <c r="O176" s="2" t="s">
        <v>7</v>
      </c>
      <c r="P176" s="4"/>
      <c r="Q176" s="1"/>
      <c r="R176" s="79"/>
      <c r="S176" s="876"/>
      <c r="T176" s="280"/>
      <c r="U176" s="200">
        <f t="shared" si="221"/>
        <v>0</v>
      </c>
      <c r="V176" s="200">
        <f t="shared" si="236"/>
        <v>0</v>
      </c>
      <c r="W176" s="176">
        <f>V176/Calculation_sheet!M$67</f>
        <v>0</v>
      </c>
      <c r="X176" s="958">
        <f ca="1">IF(AL176&gt;0,W176*Calculation_sheet!C$87,0)</f>
        <v>0</v>
      </c>
      <c r="Y176" s="176">
        <f t="shared" ca="1" si="237"/>
        <v>0</v>
      </c>
      <c r="Z176" s="176">
        <f>IF(AN176&gt;0,Y176*Calculation_sheet!C$94,0)</f>
        <v>0</v>
      </c>
      <c r="AA176" s="958">
        <f t="shared" ca="1" si="222"/>
        <v>0</v>
      </c>
      <c r="AB176" s="176">
        <f ca="1">AA176*Calculation_sheet!C$99</f>
        <v>0</v>
      </c>
      <c r="AC176" s="958">
        <f t="shared" ca="1" si="222"/>
        <v>0</v>
      </c>
      <c r="AD176" s="176">
        <f t="shared" si="238"/>
        <v>0</v>
      </c>
      <c r="AE176" s="176">
        <f>AD176*User_sheet!B$77/100</f>
        <v>0</v>
      </c>
      <c r="AF176" s="309"/>
      <c r="AG176" s="27">
        <v>402</v>
      </c>
      <c r="AH176" s="985"/>
      <c r="AI176" s="956">
        <f t="shared" ca="1" si="199"/>
        <v>73.25289293926086</v>
      </c>
      <c r="AJ176" s="956">
        <f ca="1">AI176/'402'!I$24</f>
        <v>0.36020934559682166</v>
      </c>
      <c r="AK176" s="956">
        <f ca="1">0.8*(AI176*30+'402'!D$17*0.34*30*1)</f>
        <v>4560.5398305422614</v>
      </c>
      <c r="AL176" s="954">
        <f ca="1">IF(AK176&lt;User_sheet!B$50,W176,0)</f>
        <v>0</v>
      </c>
      <c r="AM176" s="954">
        <f ca="1">20-(User_sheet!B$57/(AI176+'402'!D$17*1*0.34))</f>
        <v>-9.9964489036672006</v>
      </c>
      <c r="AN176" s="954"/>
      <c r="AO176" s="985"/>
      <c r="AP176" s="2">
        <v>0</v>
      </c>
      <c r="AQ176" s="27">
        <v>0.43</v>
      </c>
      <c r="AR176" s="2">
        <v>0</v>
      </c>
      <c r="AS176" s="27">
        <v>2</v>
      </c>
      <c r="AT176" s="2">
        <v>0</v>
      </c>
      <c r="AU176" s="2">
        <v>0</v>
      </c>
      <c r="AV176" s="2">
        <v>74834</v>
      </c>
      <c r="AW176" s="2">
        <v>0</v>
      </c>
      <c r="AX176" s="2">
        <v>0</v>
      </c>
      <c r="AY176" s="2">
        <v>0</v>
      </c>
      <c r="AZ176" s="50">
        <v>0.6</v>
      </c>
      <c r="BA176" s="34">
        <v>0</v>
      </c>
      <c r="BB176" s="34">
        <v>1</v>
      </c>
      <c r="BC176" s="40">
        <v>0</v>
      </c>
      <c r="BD176" s="34">
        <v>1</v>
      </c>
      <c r="BE176" s="34">
        <v>0</v>
      </c>
      <c r="BF176" s="40">
        <v>0</v>
      </c>
      <c r="BG176" s="34">
        <v>0</v>
      </c>
      <c r="BH176" s="40">
        <v>1</v>
      </c>
      <c r="BI176" s="34">
        <v>0</v>
      </c>
      <c r="BJ176" s="34">
        <v>0</v>
      </c>
      <c r="BK176" s="40">
        <v>1</v>
      </c>
      <c r="BL176" s="199">
        <v>0.04</v>
      </c>
      <c r="BM176" s="958">
        <v>2.5</v>
      </c>
      <c r="BN176" s="32">
        <f t="shared" ca="1" si="223"/>
        <v>106</v>
      </c>
      <c r="BO176">
        <f t="shared" ca="1" si="224"/>
        <v>343.44000000000005</v>
      </c>
      <c r="BP176">
        <f t="shared" ca="1" si="225"/>
        <v>0</v>
      </c>
      <c r="BQ176">
        <f t="shared" ca="1" si="226"/>
        <v>78.362000000000009</v>
      </c>
      <c r="BR176">
        <f t="shared" ca="1" si="227"/>
        <v>0</v>
      </c>
      <c r="BS176">
        <f t="shared" ca="1" si="228"/>
        <v>19</v>
      </c>
      <c r="BT176">
        <f t="shared" ca="1" si="229"/>
        <v>0</v>
      </c>
      <c r="BU176">
        <v>0</v>
      </c>
      <c r="BV176">
        <f t="shared" ca="1" si="230"/>
        <v>0</v>
      </c>
      <c r="BW176">
        <f t="shared" ca="1" si="231"/>
        <v>31.358412954460857</v>
      </c>
      <c r="BX176">
        <f t="shared" ca="1" si="232"/>
        <v>0</v>
      </c>
      <c r="BY176">
        <f t="shared" ca="1" si="233"/>
        <v>37.999999984799999</v>
      </c>
      <c r="BZ176">
        <f t="shared" ca="1" si="234"/>
        <v>0</v>
      </c>
      <c r="CA176">
        <f t="shared" si="235"/>
        <v>0</v>
      </c>
      <c r="CB176" s="1018">
        <f t="shared" ca="1" si="239"/>
        <v>73.25289293926086</v>
      </c>
      <c r="CC176" s="1018">
        <f t="shared" ca="1" si="240"/>
        <v>79.951115897539111</v>
      </c>
      <c r="CD176">
        <f t="shared" ca="1" si="200"/>
        <v>4.5961202651039992</v>
      </c>
      <c r="CE176">
        <f t="shared" ca="1" si="201"/>
        <v>7652.3563965875528</v>
      </c>
    </row>
    <row r="177" spans="1:83" x14ac:dyDescent="0.25">
      <c r="D177" s="1"/>
      <c r="F177" s="1"/>
      <c r="H177" s="1"/>
      <c r="I177" s="6"/>
      <c r="J177" s="6"/>
      <c r="K177" s="6" t="s">
        <v>59</v>
      </c>
      <c r="L177" s="4"/>
      <c r="M177" s="6"/>
      <c r="N177" s="6"/>
      <c r="O177" s="27" t="s">
        <v>57</v>
      </c>
      <c r="P177" s="4"/>
      <c r="Q177" s="1"/>
      <c r="R177" s="79"/>
      <c r="S177" s="876"/>
      <c r="T177" s="280"/>
      <c r="U177" s="200">
        <f t="shared" si="221"/>
        <v>0</v>
      </c>
      <c r="V177" s="200">
        <f t="shared" si="236"/>
        <v>0</v>
      </c>
      <c r="W177" s="176">
        <f>V177/Calculation_sheet!M$67</f>
        <v>0</v>
      </c>
      <c r="X177" s="958">
        <f ca="1">IF(AL177&gt;0,W177*Calculation_sheet!C$87,0)</f>
        <v>0</v>
      </c>
      <c r="Y177" s="176">
        <f t="shared" ca="1" si="237"/>
        <v>0</v>
      </c>
      <c r="Z177" s="176">
        <f>IF(AN177&gt;0,Y177*Calculation_sheet!C$94,0)</f>
        <v>0</v>
      </c>
      <c r="AA177" s="958">
        <f t="shared" ca="1" si="222"/>
        <v>0</v>
      </c>
      <c r="AB177" s="176">
        <f ca="1">AA177*Calculation_sheet!C$99</f>
        <v>0</v>
      </c>
      <c r="AC177" s="958">
        <f t="shared" ca="1" si="222"/>
        <v>0</v>
      </c>
      <c r="AD177" s="176">
        <f t="shared" si="238"/>
        <v>0</v>
      </c>
      <c r="AE177" s="176">
        <f>AD177*User_sheet!B$77/100</f>
        <v>0</v>
      </c>
      <c r="AF177" s="309"/>
      <c r="AG177" s="27">
        <v>402</v>
      </c>
      <c r="AH177" s="985"/>
      <c r="AI177" s="956">
        <f t="shared" ca="1" si="199"/>
        <v>73.25289293926086</v>
      </c>
      <c r="AJ177" s="956">
        <f ca="1">AI177/'402'!I$24</f>
        <v>0.36020934559682166</v>
      </c>
      <c r="AK177" s="956">
        <f ca="1">0.8*(AI177*30+'402'!D$17*0.34*30*1)</f>
        <v>4560.5398305422614</v>
      </c>
      <c r="AL177" s="954">
        <f ca="1">IF(AK177&lt;User_sheet!B$50,W177,0)</f>
        <v>0</v>
      </c>
      <c r="AM177" s="954">
        <f ca="1">20-(User_sheet!B$57/(AI177+'402'!D$17*1*0.34))</f>
        <v>-9.9964489036672006</v>
      </c>
      <c r="AN177" s="954"/>
      <c r="AO177" s="985"/>
      <c r="AP177" s="2">
        <v>0</v>
      </c>
      <c r="AQ177" s="27">
        <v>0.43</v>
      </c>
      <c r="AR177" s="2">
        <v>0</v>
      </c>
      <c r="AS177" s="27">
        <v>2</v>
      </c>
      <c r="AT177" s="2">
        <v>0</v>
      </c>
      <c r="AU177" s="2">
        <v>0</v>
      </c>
      <c r="AV177" s="2">
        <v>74834</v>
      </c>
      <c r="AW177" s="2">
        <v>0</v>
      </c>
      <c r="AX177" s="2">
        <v>0</v>
      </c>
      <c r="AY177" s="2">
        <v>0</v>
      </c>
      <c r="AZ177" s="50">
        <v>0.6</v>
      </c>
      <c r="BA177" s="34">
        <v>0</v>
      </c>
      <c r="BB177" s="34">
        <v>1</v>
      </c>
      <c r="BC177" s="40">
        <v>0</v>
      </c>
      <c r="BD177" s="34">
        <v>0</v>
      </c>
      <c r="BE177" s="34">
        <v>1</v>
      </c>
      <c r="BF177" s="40">
        <v>0</v>
      </c>
      <c r="BG177" s="34">
        <v>1</v>
      </c>
      <c r="BH177" s="40">
        <v>0</v>
      </c>
      <c r="BI177" s="34">
        <v>0</v>
      </c>
      <c r="BJ177" s="34">
        <v>1</v>
      </c>
      <c r="BK177" s="40">
        <v>0</v>
      </c>
      <c r="BL177" s="199">
        <v>0.04</v>
      </c>
      <c r="BM177" s="958">
        <v>2.5</v>
      </c>
      <c r="BN177" s="32">
        <f t="shared" ca="1" si="223"/>
        <v>106</v>
      </c>
      <c r="BO177">
        <f t="shared" ca="1" si="224"/>
        <v>343.44000000000005</v>
      </c>
      <c r="BP177">
        <f t="shared" ca="1" si="225"/>
        <v>0</v>
      </c>
      <c r="BQ177">
        <f t="shared" ca="1" si="226"/>
        <v>78.362000000000009</v>
      </c>
      <c r="BR177">
        <f t="shared" ca="1" si="227"/>
        <v>0</v>
      </c>
      <c r="BS177">
        <f t="shared" ca="1" si="228"/>
        <v>19</v>
      </c>
      <c r="BT177">
        <f t="shared" ca="1" si="229"/>
        <v>0</v>
      </c>
      <c r="BU177">
        <v>0</v>
      </c>
      <c r="BV177">
        <f t="shared" ca="1" si="230"/>
        <v>0</v>
      </c>
      <c r="BW177">
        <f t="shared" ca="1" si="231"/>
        <v>31.358412954460857</v>
      </c>
      <c r="BX177">
        <f t="shared" ca="1" si="232"/>
        <v>0</v>
      </c>
      <c r="BY177">
        <f t="shared" ca="1" si="233"/>
        <v>37.999999984799999</v>
      </c>
      <c r="BZ177">
        <f t="shared" ca="1" si="234"/>
        <v>0</v>
      </c>
      <c r="CA177">
        <f t="shared" si="235"/>
        <v>0</v>
      </c>
      <c r="CB177" s="1018">
        <f t="shared" ca="1" si="239"/>
        <v>73.25289293926086</v>
      </c>
      <c r="CC177" s="1018">
        <f t="shared" ca="1" si="240"/>
        <v>79.951115897539111</v>
      </c>
      <c r="CD177">
        <f t="shared" ca="1" si="200"/>
        <v>4.5961202651039992</v>
      </c>
      <c r="CE177">
        <f t="shared" ca="1" si="201"/>
        <v>7652.3563965875528</v>
      </c>
    </row>
    <row r="178" spans="1:83" x14ac:dyDescent="0.25">
      <c r="D178" s="1"/>
      <c r="F178" s="1"/>
      <c r="H178" s="1"/>
      <c r="I178" s="6"/>
      <c r="J178" s="6"/>
      <c r="K178" s="6"/>
      <c r="L178" s="6"/>
      <c r="M178" s="6"/>
      <c r="N178" s="6"/>
      <c r="O178" s="27" t="s">
        <v>7</v>
      </c>
      <c r="P178" s="4"/>
      <c r="Q178" s="1"/>
      <c r="R178" s="79"/>
      <c r="S178" s="876"/>
      <c r="T178" s="280"/>
      <c r="U178" s="200">
        <f t="shared" si="221"/>
        <v>0</v>
      </c>
      <c r="V178" s="200">
        <f t="shared" si="236"/>
        <v>0</v>
      </c>
      <c r="W178" s="176">
        <f>V178/Calculation_sheet!M$67</f>
        <v>0</v>
      </c>
      <c r="X178" s="958">
        <f ca="1">IF(AL178&gt;0,W178*Calculation_sheet!C$87,0)</f>
        <v>0</v>
      </c>
      <c r="Y178" s="176">
        <f t="shared" ca="1" si="237"/>
        <v>0</v>
      </c>
      <c r="Z178" s="176">
        <f>IF(AN178&gt;0,Y178*Calculation_sheet!C$94,0)</f>
        <v>0</v>
      </c>
      <c r="AA178" s="958">
        <f t="shared" ca="1" si="222"/>
        <v>0</v>
      </c>
      <c r="AB178" s="176">
        <f ca="1">AA178*Calculation_sheet!C$99</f>
        <v>0</v>
      </c>
      <c r="AC178" s="958">
        <f t="shared" ca="1" si="222"/>
        <v>0</v>
      </c>
      <c r="AD178" s="176">
        <f t="shared" si="238"/>
        <v>0</v>
      </c>
      <c r="AE178" s="176">
        <f>AD178*User_sheet!B$77/100</f>
        <v>0</v>
      </c>
      <c r="AF178" s="309"/>
      <c r="AG178" s="27">
        <v>402</v>
      </c>
      <c r="AH178" s="985"/>
      <c r="AI178" s="956">
        <f t="shared" ca="1" si="199"/>
        <v>73.25289293926086</v>
      </c>
      <c r="AJ178" s="956">
        <f ca="1">AI178/'402'!I$24</f>
        <v>0.36020934559682166</v>
      </c>
      <c r="AK178" s="956">
        <f ca="1">0.8*(AI178*30+'402'!D$17*0.34*30*1)</f>
        <v>4560.5398305422614</v>
      </c>
      <c r="AL178" s="954">
        <f ca="1">IF(AK178&lt;User_sheet!B$50,W178,0)</f>
        <v>0</v>
      </c>
      <c r="AM178" s="954">
        <f ca="1">20-(User_sheet!B$57/(AI178+'402'!D$17*1*0.34))</f>
        <v>-9.9964489036672006</v>
      </c>
      <c r="AN178" s="954"/>
      <c r="AO178" s="985"/>
      <c r="AP178" s="2">
        <v>0</v>
      </c>
      <c r="AQ178" s="27">
        <v>0.43</v>
      </c>
      <c r="AR178" s="2">
        <v>0</v>
      </c>
      <c r="AS178" s="27">
        <v>2</v>
      </c>
      <c r="AT178" s="2">
        <v>0</v>
      </c>
      <c r="AU178" s="2">
        <v>0</v>
      </c>
      <c r="AV178" s="2">
        <v>74834</v>
      </c>
      <c r="AW178" s="2">
        <v>0</v>
      </c>
      <c r="AX178" s="2">
        <v>0</v>
      </c>
      <c r="AY178" s="2">
        <v>0</v>
      </c>
      <c r="AZ178" s="50">
        <v>0.6</v>
      </c>
      <c r="BA178" s="34">
        <v>0</v>
      </c>
      <c r="BB178" s="34">
        <v>1</v>
      </c>
      <c r="BC178" s="40">
        <v>0</v>
      </c>
      <c r="BD178" s="34">
        <v>0</v>
      </c>
      <c r="BE178" s="34">
        <v>1</v>
      </c>
      <c r="BF178" s="40">
        <v>0</v>
      </c>
      <c r="BG178" s="34">
        <v>1</v>
      </c>
      <c r="BH178" s="40">
        <v>0</v>
      </c>
      <c r="BI178" s="34">
        <v>0</v>
      </c>
      <c r="BJ178" s="34">
        <v>0</v>
      </c>
      <c r="BK178" s="40">
        <v>1</v>
      </c>
      <c r="BL178" s="199">
        <v>0.04</v>
      </c>
      <c r="BM178" s="958">
        <v>2.5</v>
      </c>
      <c r="BN178" s="32">
        <f t="shared" ca="1" si="223"/>
        <v>106</v>
      </c>
      <c r="BO178">
        <f t="shared" ca="1" si="224"/>
        <v>343.44000000000005</v>
      </c>
      <c r="BP178">
        <f t="shared" ca="1" si="225"/>
        <v>0</v>
      </c>
      <c r="BQ178">
        <f t="shared" ca="1" si="226"/>
        <v>78.362000000000009</v>
      </c>
      <c r="BR178">
        <f t="shared" ca="1" si="227"/>
        <v>0</v>
      </c>
      <c r="BS178">
        <f t="shared" ca="1" si="228"/>
        <v>19</v>
      </c>
      <c r="BT178">
        <f t="shared" ca="1" si="229"/>
        <v>0</v>
      </c>
      <c r="BU178">
        <v>0</v>
      </c>
      <c r="BV178">
        <f t="shared" ca="1" si="230"/>
        <v>0</v>
      </c>
      <c r="BW178">
        <f t="shared" ca="1" si="231"/>
        <v>31.358412954460857</v>
      </c>
      <c r="BX178">
        <f t="shared" ca="1" si="232"/>
        <v>0</v>
      </c>
      <c r="BY178">
        <f t="shared" ca="1" si="233"/>
        <v>37.999999984799999</v>
      </c>
      <c r="BZ178">
        <f t="shared" ca="1" si="234"/>
        <v>0</v>
      </c>
      <c r="CA178">
        <f t="shared" si="235"/>
        <v>0</v>
      </c>
      <c r="CB178" s="1018">
        <f t="shared" ca="1" si="239"/>
        <v>73.25289293926086</v>
      </c>
      <c r="CC178" s="1018">
        <f t="shared" ca="1" si="240"/>
        <v>79.951115897539111</v>
      </c>
      <c r="CD178">
        <f t="shared" ca="1" si="200"/>
        <v>4.5961202651039992</v>
      </c>
      <c r="CE178">
        <f t="shared" ca="1" si="201"/>
        <v>7652.3563965875528</v>
      </c>
    </row>
    <row r="179" spans="1:83" x14ac:dyDescent="0.25">
      <c r="D179" s="1"/>
      <c r="F179" s="1"/>
      <c r="H179" s="6"/>
      <c r="I179" s="6" t="s">
        <v>7</v>
      </c>
      <c r="J179" s="4"/>
      <c r="K179" s="6" t="s">
        <v>23</v>
      </c>
      <c r="L179" s="4"/>
      <c r="M179" s="6"/>
      <c r="N179" s="4"/>
      <c r="O179" s="27" t="s">
        <v>7</v>
      </c>
      <c r="P179" s="4"/>
      <c r="Q179" s="1"/>
      <c r="R179" s="79"/>
      <c r="S179" s="876"/>
      <c r="T179" s="280"/>
      <c r="U179" s="200">
        <f t="shared" si="221"/>
        <v>0</v>
      </c>
      <c r="V179" s="200">
        <f t="shared" si="236"/>
        <v>0</v>
      </c>
      <c r="W179" s="176">
        <f>V179/Calculation_sheet!M$67</f>
        <v>0</v>
      </c>
      <c r="X179" s="958">
        <f ca="1">IF(AL179&gt;0,W179*Calculation_sheet!C$87,0)</f>
        <v>0</v>
      </c>
      <c r="Y179" s="176">
        <f t="shared" ca="1" si="237"/>
        <v>0</v>
      </c>
      <c r="Z179" s="176">
        <f>IF(AN179&gt;0,Y179*Calculation_sheet!C$94,0)</f>
        <v>0</v>
      </c>
      <c r="AA179" s="958">
        <f t="shared" ca="1" si="222"/>
        <v>0</v>
      </c>
      <c r="AB179" s="176">
        <f ca="1">AA179*Calculation_sheet!C$99</f>
        <v>0</v>
      </c>
      <c r="AC179" s="958">
        <f t="shared" ca="1" si="222"/>
        <v>0</v>
      </c>
      <c r="AD179" s="176">
        <f t="shared" si="238"/>
        <v>0</v>
      </c>
      <c r="AE179" s="176">
        <f>AD179*User_sheet!B$77/100</f>
        <v>0</v>
      </c>
      <c r="AF179" s="309"/>
      <c r="AG179" s="27">
        <v>402</v>
      </c>
      <c r="AH179" s="985"/>
      <c r="AI179" s="956">
        <f t="shared" ca="1" si="199"/>
        <v>73.25289293926086</v>
      </c>
      <c r="AJ179" s="956">
        <f ca="1">AI179/'402'!I$24</f>
        <v>0.36020934559682166</v>
      </c>
      <c r="AK179" s="956">
        <f ca="1">0.8*(AI179*30+'402'!D$17*0.34*30*1)</f>
        <v>4560.5398305422614</v>
      </c>
      <c r="AL179" s="954">
        <f ca="1">IF(AK179&lt;User_sheet!B$50,W179,0)</f>
        <v>0</v>
      </c>
      <c r="AM179" s="954">
        <f ca="1">20-(User_sheet!B$57/(AI179+'402'!D$17*1*0.34))</f>
        <v>-9.9964489036672006</v>
      </c>
      <c r="AN179" s="954"/>
      <c r="AO179" s="985"/>
      <c r="AP179" s="2">
        <v>0</v>
      </c>
      <c r="AQ179" s="27">
        <v>0.43</v>
      </c>
      <c r="AR179" s="2">
        <v>0</v>
      </c>
      <c r="AS179" s="27">
        <v>2</v>
      </c>
      <c r="AT179" s="2">
        <v>0</v>
      </c>
      <c r="AU179" s="2">
        <v>0</v>
      </c>
      <c r="AV179" s="2">
        <v>74834</v>
      </c>
      <c r="AW179" s="2">
        <v>0</v>
      </c>
      <c r="AX179" s="2">
        <v>0</v>
      </c>
      <c r="AY179" s="2">
        <v>0</v>
      </c>
      <c r="AZ179" s="50">
        <v>0.6</v>
      </c>
      <c r="BA179" s="34">
        <v>0</v>
      </c>
      <c r="BB179" s="34">
        <v>0</v>
      </c>
      <c r="BC179" s="40">
        <v>1</v>
      </c>
      <c r="BD179" s="34">
        <v>0</v>
      </c>
      <c r="BE179" s="34">
        <v>0</v>
      </c>
      <c r="BF179" s="40">
        <v>1</v>
      </c>
      <c r="BG179" s="34">
        <v>1</v>
      </c>
      <c r="BH179" s="40">
        <v>0</v>
      </c>
      <c r="BI179" s="34">
        <v>0</v>
      </c>
      <c r="BJ179" s="34">
        <v>0</v>
      </c>
      <c r="BK179" s="40">
        <v>1</v>
      </c>
      <c r="BL179" s="199">
        <v>0.04</v>
      </c>
      <c r="BM179" s="958">
        <v>2.5</v>
      </c>
      <c r="BN179" s="32">
        <f t="shared" ca="1" si="223"/>
        <v>106</v>
      </c>
      <c r="BO179">
        <f t="shared" ca="1" si="224"/>
        <v>343.44000000000005</v>
      </c>
      <c r="BP179">
        <f t="shared" ca="1" si="225"/>
        <v>0</v>
      </c>
      <c r="BQ179">
        <f t="shared" ca="1" si="226"/>
        <v>78.362000000000009</v>
      </c>
      <c r="BR179">
        <f t="shared" ca="1" si="227"/>
        <v>0</v>
      </c>
      <c r="BS179">
        <f t="shared" ca="1" si="228"/>
        <v>19</v>
      </c>
      <c r="BT179">
        <f t="shared" ca="1" si="229"/>
        <v>0</v>
      </c>
      <c r="BU179">
        <v>0</v>
      </c>
      <c r="BV179">
        <f t="shared" ca="1" si="230"/>
        <v>0</v>
      </c>
      <c r="BW179">
        <f t="shared" ca="1" si="231"/>
        <v>31.358412954460857</v>
      </c>
      <c r="BX179">
        <f t="shared" ca="1" si="232"/>
        <v>0</v>
      </c>
      <c r="BY179">
        <f t="shared" ca="1" si="233"/>
        <v>37.999999984799999</v>
      </c>
      <c r="BZ179">
        <f t="shared" ca="1" si="234"/>
        <v>0</v>
      </c>
      <c r="CA179">
        <f t="shared" si="235"/>
        <v>0</v>
      </c>
      <c r="CB179" s="1018">
        <f t="shared" ca="1" si="239"/>
        <v>73.25289293926086</v>
      </c>
      <c r="CC179" s="1018">
        <f t="shared" ca="1" si="240"/>
        <v>79.951115897539111</v>
      </c>
      <c r="CD179">
        <f t="shared" ca="1" si="200"/>
        <v>4.5961202651039992</v>
      </c>
      <c r="CE179">
        <f t="shared" ca="1" si="201"/>
        <v>7652.3563965875528</v>
      </c>
    </row>
    <row r="180" spans="1:83" s="9" customFormat="1" x14ac:dyDescent="0.25">
      <c r="A180" s="9" t="s">
        <v>0</v>
      </c>
      <c r="B180" s="10">
        <v>0.2606</v>
      </c>
      <c r="D180" s="10"/>
      <c r="F180" s="10"/>
      <c r="H180" s="10"/>
      <c r="I180" s="10"/>
      <c r="J180" s="10"/>
      <c r="K180" s="10"/>
      <c r="L180" s="10"/>
      <c r="M180" s="10"/>
      <c r="N180" s="10"/>
      <c r="O180" s="10"/>
      <c r="P180" s="10"/>
      <c r="Q180" s="10"/>
      <c r="R180" s="81"/>
      <c r="S180" s="878">
        <f>B180*D111</f>
        <v>4.813282E-2</v>
      </c>
      <c r="T180" s="279"/>
      <c r="U180" s="283"/>
      <c r="V180" s="283"/>
      <c r="W180" s="283"/>
      <c r="X180" s="279"/>
      <c r="Y180" s="283"/>
      <c r="Z180" s="283"/>
      <c r="AA180" s="279"/>
      <c r="AB180" s="283"/>
      <c r="AC180" s="279"/>
      <c r="AD180" s="283"/>
      <c r="AE180" s="283"/>
      <c r="AF180" s="309"/>
      <c r="AG180" s="24"/>
      <c r="AH180" s="985"/>
      <c r="AI180" s="956">
        <f t="shared" si="199"/>
        <v>0</v>
      </c>
      <c r="AJ180" s="916"/>
      <c r="AK180" s="916"/>
      <c r="AL180" s="916"/>
      <c r="AM180" s="916"/>
      <c r="AN180" s="916"/>
      <c r="AO180" s="985"/>
      <c r="AP180" s="24"/>
      <c r="AQ180" s="24"/>
      <c r="AR180" s="24"/>
      <c r="AS180" s="24"/>
      <c r="AT180" s="24"/>
      <c r="AU180" s="24"/>
      <c r="AV180" s="24"/>
      <c r="AW180" s="24"/>
      <c r="AX180" s="24"/>
      <c r="AY180" s="24"/>
      <c r="AZ180" s="51"/>
      <c r="BA180" s="279"/>
      <c r="BB180" s="24"/>
      <c r="BC180" s="51"/>
      <c r="BD180" s="279"/>
      <c r="BE180" s="24"/>
      <c r="BF180" s="51"/>
      <c r="BG180" s="279"/>
      <c r="BH180" s="51"/>
      <c r="BI180" s="279"/>
      <c r="BJ180" s="24"/>
      <c r="BK180" s="51"/>
      <c r="BL180" s="279"/>
      <c r="BM180" s="279"/>
      <c r="BN180" s="38"/>
    </row>
    <row r="181" spans="1:83" x14ac:dyDescent="0.25">
      <c r="B181" s="836"/>
      <c r="C181" s="831"/>
      <c r="D181" s="832"/>
      <c r="E181" s="831"/>
      <c r="F181" s="832"/>
      <c r="G181" s="831"/>
      <c r="H181" s="832"/>
      <c r="I181" s="836"/>
      <c r="J181" s="836"/>
      <c r="K181" s="836"/>
      <c r="L181" s="836"/>
      <c r="M181" s="836" t="s">
        <v>60</v>
      </c>
      <c r="N181" s="836">
        <v>0.74576271186440679</v>
      </c>
      <c r="O181" s="833" t="s">
        <v>16</v>
      </c>
      <c r="P181" s="836">
        <v>0.63219999999999998</v>
      </c>
      <c r="Q181" s="832"/>
      <c r="R181" s="841">
        <v>7.1802992774399662E-3</v>
      </c>
      <c r="S181" s="876"/>
      <c r="T181" s="34">
        <f>R181</f>
        <v>7.1802992774399662E-3</v>
      </c>
      <c r="U181" s="200">
        <f>T181</f>
        <v>7.1802992774399662E-3</v>
      </c>
      <c r="V181" s="200">
        <f>U181</f>
        <v>7.1802992774399662E-3</v>
      </c>
      <c r="W181" s="176">
        <f>V181/Calculation_sheet!M$67</f>
        <v>7.1804460889168895E-3</v>
      </c>
      <c r="X181" s="958">
        <f ca="1">IF(AL181&gt;0,W181*Calculation_sheet!C$87,0)</f>
        <v>0</v>
      </c>
      <c r="Y181" s="176">
        <f ca="1">W181-X181</f>
        <v>7.1804460889168895E-3</v>
      </c>
      <c r="Z181" s="176">
        <f>IF(AN181&gt;0,Y181*Calculation_sheet!C$94,0)</f>
        <v>0</v>
      </c>
      <c r="AA181" s="958">
        <f t="shared" ref="AA181:AC193" ca="1" si="241">Y181-Z181</f>
        <v>7.1804460889168895E-3</v>
      </c>
      <c r="AB181" s="176">
        <f ca="1">AA181*Calculation_sheet!C$99</f>
        <v>4.3082676533501337E-3</v>
      </c>
      <c r="AC181" s="958">
        <f t="shared" ca="1" si="241"/>
        <v>2.8721784355667558E-3</v>
      </c>
      <c r="AD181" s="176">
        <f>W181-Z181</f>
        <v>7.1804460889168895E-3</v>
      </c>
      <c r="AE181" s="176">
        <f>AD181*User_sheet!B$77/100</f>
        <v>0</v>
      </c>
      <c r="AF181" s="309"/>
      <c r="AG181" s="27">
        <v>403</v>
      </c>
      <c r="AH181" s="985"/>
      <c r="AI181" s="956">
        <f t="shared" ca="1" si="199"/>
        <v>74.232168927023139</v>
      </c>
      <c r="AJ181" s="956">
        <f ca="1">AI181/'403'!I$24</f>
        <v>0.51817601689524495</v>
      </c>
      <c r="AK181" s="956">
        <f ca="1">0.8*(AI181*30+'403'!D$17*0.34*30*1)</f>
        <v>4372.0306942485549</v>
      </c>
      <c r="AL181" s="954">
        <f ca="1">IF(AK181&lt;User_sheet!B$50,W181,0)</f>
        <v>7.1804460889168895E-3</v>
      </c>
      <c r="AM181" s="954">
        <f ca="1">20-(User_sheet!B$57/(AI181+'403'!D$17*1*0.34))</f>
        <v>-11.289807772841485</v>
      </c>
      <c r="AN181" s="954"/>
      <c r="AO181" s="985"/>
      <c r="AP181" s="2">
        <v>0</v>
      </c>
      <c r="AQ181" s="2">
        <v>0.58899999999999997</v>
      </c>
      <c r="AR181" s="2">
        <v>0</v>
      </c>
      <c r="AS181" s="2">
        <v>2.75</v>
      </c>
      <c r="AT181" s="2">
        <v>0</v>
      </c>
      <c r="AU181" s="2">
        <v>0</v>
      </c>
      <c r="AV181" s="2">
        <v>72298.2589500467</v>
      </c>
      <c r="AW181" s="2">
        <v>0</v>
      </c>
      <c r="AX181" s="2">
        <v>0</v>
      </c>
      <c r="AY181" s="2">
        <v>0</v>
      </c>
      <c r="AZ181" s="50">
        <v>0.6</v>
      </c>
      <c r="BA181" s="34">
        <v>1</v>
      </c>
      <c r="BB181" s="34">
        <v>0</v>
      </c>
      <c r="BC181" s="40">
        <v>0</v>
      </c>
      <c r="BD181" s="34">
        <v>1</v>
      </c>
      <c r="BE181" s="34">
        <v>0</v>
      </c>
      <c r="BF181" s="40">
        <v>0</v>
      </c>
      <c r="BG181" s="34">
        <v>1</v>
      </c>
      <c r="BH181" s="40">
        <v>0</v>
      </c>
      <c r="BI181" s="34">
        <v>1</v>
      </c>
      <c r="BJ181" s="34">
        <v>0</v>
      </c>
      <c r="BK181" s="40">
        <v>0</v>
      </c>
      <c r="BL181" s="958">
        <v>0.15</v>
      </c>
      <c r="BM181" s="958">
        <v>6</v>
      </c>
      <c r="BN181" s="32">
        <f t="shared" ref="BN181:BN193" ca="1" si="242">INDIRECT("'"&amp;AG181&amp;"'!"&amp;"B2")</f>
        <v>86.579499999999996</v>
      </c>
      <c r="BO181">
        <f t="shared" ref="BO181:BO193" ca="1" si="243">INDIRECT("'"&amp;AG181&amp;"'!"&amp;"C12")+INDIRECT("'"&amp;AG181&amp;"'!"&amp;"C13")+INDIRECT("'"&amp;AG181&amp;"'!"&amp;"C14")+INDIRECT("'"&amp;AG181&amp;"'!"&amp;"C15")+INDIRECT("'"&amp;AG181&amp;"'!"&amp;"C17")</f>
        <v>292.3576333333333</v>
      </c>
      <c r="BP181">
        <f t="shared" ref="BP181:BP193" ca="1" si="244">INDIRECT("'"&amp;AG181&amp;"'!"&amp;"G5")</f>
        <v>0</v>
      </c>
      <c r="BQ181">
        <f t="shared" ref="BQ181:BQ193" ca="1" si="245">INDIRECT("'"&amp;AG181&amp;"'!"&amp;"G4")</f>
        <v>40.706666666666663</v>
      </c>
      <c r="BR181">
        <f t="shared" ref="BR181:BR193" ca="1" si="246">INDIRECT("'"&amp;AG181&amp;"'!"&amp;"G6")</f>
        <v>0</v>
      </c>
      <c r="BS181">
        <f t="shared" ref="BS181:BS193" ca="1" si="247">INDIRECT("'"&amp;AG181&amp;"'!"&amp;"G2")</f>
        <v>15.99</v>
      </c>
      <c r="BT181">
        <f t="shared" ref="BT181:BT193" ca="1" si="248">INDIRECT("'"&amp;AG181&amp;"'!"&amp;"G3")</f>
        <v>0</v>
      </c>
      <c r="BU181">
        <v>0</v>
      </c>
      <c r="BV181">
        <f t="shared" ref="BV181:BV193" ca="1" si="249">IF(OR(BP181=0,AP181=0),0,1/(1/(BP181*$BW$3)+1/(BP181*AP181)+1/(BP181*$BW$4)))</f>
        <v>0</v>
      </c>
      <c r="BW181">
        <f t="shared" ref="BW181:BW193" ca="1" si="250">IF(OR(BQ181=0,AQ181=0),0,1/(1/(BQ181*$BW$3)+1/(BQ181*AQ181)+1/(BQ181*$BW$4)))</f>
        <v>21.755168951207999</v>
      </c>
      <c r="BX181">
        <f t="shared" ref="BX181:BX193" ca="1" si="251">IF(OR(BR181=0,AR181=0),0,1/(1/(BR181*$BW$3)+1/(BR181*AR181)+1/(BR181*$BW$4)))</f>
        <v>0</v>
      </c>
      <c r="BY181">
        <f t="shared" ref="BY181:BY193" ca="1" si="252">IF(OR(BS181=0,AS181=0),0,1/(1/(BS181*$BW$5)+1/(BS181*AS181)+1/(BS181*$BW$6)))</f>
        <v>43.97249997581514</v>
      </c>
      <c r="BZ181">
        <f t="shared" ref="BZ181:BZ193" ca="1" si="253">IF(OR(BT181=0,AT181=0),0,1/(1/(BT181*$BW$3)+1/(BT181*AT181)+1/(BT181*$BW$4)))</f>
        <v>0</v>
      </c>
      <c r="CA181">
        <f t="shared" ref="CA181:CA193" si="254">IF(OR(BU181=0,AU181=0),0,1/(1/(BU181*$BW$3)+1/(BU181*AU181)+1/(BU181*$BW$4)))</f>
        <v>0</v>
      </c>
      <c r="CB181" s="1018">
        <f ca="1">SUM(BV181:CA181)+(BP181+BQ181+BR181+BS181+BT181)*BL181</f>
        <v>74.232168927023139</v>
      </c>
      <c r="CC181" s="1018">
        <f ca="1">0.34*BM181*(1/25)^0.66*(BQ181+BS181+BT181)</f>
        <v>13.821248902959452</v>
      </c>
      <c r="CD181">
        <f t="shared" ca="1" si="200"/>
        <v>2.6416025348994778</v>
      </c>
      <c r="CE181">
        <f t="shared" ca="1" si="201"/>
        <v>4398.1625565062341</v>
      </c>
    </row>
    <row r="182" spans="1:83" x14ac:dyDescent="0.25">
      <c r="B182" s="836"/>
      <c r="C182" s="831"/>
      <c r="D182" s="832"/>
      <c r="E182" s="831"/>
      <c r="F182" s="832"/>
      <c r="G182" s="831"/>
      <c r="H182" s="832"/>
      <c r="I182" s="836"/>
      <c r="J182" s="836"/>
      <c r="K182" s="836"/>
      <c r="L182" s="836"/>
      <c r="M182" s="836"/>
      <c r="N182" s="836"/>
      <c r="O182" s="833" t="s">
        <v>7</v>
      </c>
      <c r="P182" s="836">
        <v>0.36780000000000002</v>
      </c>
      <c r="Q182" s="832"/>
      <c r="R182" s="841">
        <v>4.1773395669763048E-3</v>
      </c>
      <c r="S182" s="876"/>
      <c r="T182" s="34">
        <f t="shared" ref="T182:T193" si="255">R182</f>
        <v>4.1773395669763048E-3</v>
      </c>
      <c r="U182" s="200">
        <f t="shared" ref="U182:U193" si="256">T182</f>
        <v>4.1773395669763048E-3</v>
      </c>
      <c r="V182" s="200">
        <f t="shared" ref="V182:V193" si="257">U182</f>
        <v>4.1773395669763048E-3</v>
      </c>
      <c r="W182" s="176">
        <f>V182/Calculation_sheet!M$67</f>
        <v>4.1774249786517437E-3</v>
      </c>
      <c r="X182" s="958">
        <f ca="1">IF(AL182&gt;0,W182*Calculation_sheet!C$87,0)</f>
        <v>0</v>
      </c>
      <c r="Y182" s="176">
        <f t="shared" ref="Y182:Y193" ca="1" si="258">W182-X182</f>
        <v>4.1774249786517437E-3</v>
      </c>
      <c r="Z182" s="176">
        <f>IF(AN182&gt;0,Y182*Calculation_sheet!C$94,0)</f>
        <v>0</v>
      </c>
      <c r="AA182" s="958">
        <f t="shared" ca="1" si="241"/>
        <v>4.1774249786517437E-3</v>
      </c>
      <c r="AB182" s="176">
        <f ca="1">AA182*Calculation_sheet!C$99</f>
        <v>2.5064549871910463E-3</v>
      </c>
      <c r="AC182" s="958">
        <f t="shared" ca="1" si="241"/>
        <v>1.6709699914606974E-3</v>
      </c>
      <c r="AD182" s="176">
        <f t="shared" ref="AD182:AD193" si="259">W182-Z182</f>
        <v>4.1774249786517437E-3</v>
      </c>
      <c r="AE182" s="176">
        <f>AD182*User_sheet!B$77/100</f>
        <v>0</v>
      </c>
      <c r="AF182" s="309"/>
      <c r="AG182" s="27">
        <v>403</v>
      </c>
      <c r="AH182" s="985"/>
      <c r="AI182" s="956">
        <f t="shared" ca="1" si="199"/>
        <v>74.232168927023139</v>
      </c>
      <c r="AJ182" s="956">
        <f ca="1">AI182/'403'!I$24</f>
        <v>0.51817601689524495</v>
      </c>
      <c r="AK182" s="956">
        <f ca="1">0.8*(AI182*30+'403'!D$17*0.34*30*1)</f>
        <v>4372.0306942485549</v>
      </c>
      <c r="AL182" s="954">
        <f ca="1">IF(AK182&lt;User_sheet!B$50,W182,0)</f>
        <v>4.1774249786517437E-3</v>
      </c>
      <c r="AM182" s="954">
        <f ca="1">20-(User_sheet!B$57/(AI182+'403'!D$17*1*0.34))</f>
        <v>-11.289807772841485</v>
      </c>
      <c r="AN182" s="954"/>
      <c r="AO182" s="985"/>
      <c r="AP182" s="2">
        <v>0</v>
      </c>
      <c r="AQ182" s="1020">
        <v>0.58899999999999997</v>
      </c>
      <c r="AR182" s="2">
        <v>0</v>
      </c>
      <c r="AS182" s="2">
        <v>2.75</v>
      </c>
      <c r="AT182" s="2">
        <v>0</v>
      </c>
      <c r="AU182" s="2">
        <v>0</v>
      </c>
      <c r="AV182" s="2">
        <v>72298.2589500467</v>
      </c>
      <c r="AW182" s="2">
        <v>0</v>
      </c>
      <c r="AX182" s="2">
        <v>0</v>
      </c>
      <c r="AY182" s="2">
        <v>0</v>
      </c>
      <c r="AZ182" s="50">
        <v>0.6</v>
      </c>
      <c r="BA182" s="34">
        <v>1</v>
      </c>
      <c r="BB182" s="34">
        <v>0</v>
      </c>
      <c r="BC182" s="40">
        <v>0</v>
      </c>
      <c r="BD182" s="34">
        <v>1</v>
      </c>
      <c r="BE182" s="34">
        <v>0</v>
      </c>
      <c r="BF182" s="40">
        <v>0</v>
      </c>
      <c r="BG182" s="34">
        <v>1</v>
      </c>
      <c r="BH182" s="40">
        <v>0</v>
      </c>
      <c r="BI182" s="34">
        <v>0</v>
      </c>
      <c r="BJ182" s="34">
        <v>0</v>
      </c>
      <c r="BK182" s="40">
        <v>1</v>
      </c>
      <c r="BL182" s="958">
        <v>0.15</v>
      </c>
      <c r="BM182" s="958">
        <v>6</v>
      </c>
      <c r="BN182" s="32">
        <f t="shared" ca="1" si="242"/>
        <v>86.579499999999996</v>
      </c>
      <c r="BO182">
        <f t="shared" ca="1" si="243"/>
        <v>292.3576333333333</v>
      </c>
      <c r="BP182">
        <f t="shared" ca="1" si="244"/>
        <v>0</v>
      </c>
      <c r="BQ182">
        <f t="shared" ca="1" si="245"/>
        <v>40.706666666666663</v>
      </c>
      <c r="BR182">
        <f t="shared" ca="1" si="246"/>
        <v>0</v>
      </c>
      <c r="BS182">
        <f t="shared" ca="1" si="247"/>
        <v>15.99</v>
      </c>
      <c r="BT182">
        <f t="shared" ca="1" si="248"/>
        <v>0</v>
      </c>
      <c r="BU182">
        <v>0</v>
      </c>
      <c r="BV182">
        <f t="shared" ca="1" si="249"/>
        <v>0</v>
      </c>
      <c r="BW182">
        <f t="shared" ca="1" si="250"/>
        <v>21.755168951207999</v>
      </c>
      <c r="BX182">
        <f t="shared" ca="1" si="251"/>
        <v>0</v>
      </c>
      <c r="BY182">
        <f t="shared" ca="1" si="252"/>
        <v>43.97249997581514</v>
      </c>
      <c r="BZ182">
        <f t="shared" ca="1" si="253"/>
        <v>0</v>
      </c>
      <c r="CA182">
        <f t="shared" si="254"/>
        <v>0</v>
      </c>
      <c r="CB182" s="1018">
        <f t="shared" ref="CB182:CB193" ca="1" si="260">SUM(BV182:CA182)+(BP182+BQ182+BR182+BS182+BT182)*BL182</f>
        <v>74.232168927023139</v>
      </c>
      <c r="CC182" s="1018">
        <f t="shared" ref="CC182:CC193" ca="1" si="261">0.34*BM182*(1/25)^0.66*(BQ182+BS182+BT182)</f>
        <v>13.821248902959452</v>
      </c>
      <c r="CD182">
        <f t="shared" ca="1" si="200"/>
        <v>2.6416025348994778</v>
      </c>
      <c r="CE182">
        <f t="shared" ca="1" si="201"/>
        <v>4398.1625565062341</v>
      </c>
    </row>
    <row r="183" spans="1:83" x14ac:dyDescent="0.25">
      <c r="B183" s="836"/>
      <c r="C183" s="831"/>
      <c r="D183" s="832"/>
      <c r="E183" s="831"/>
      <c r="F183" s="832"/>
      <c r="G183" s="831"/>
      <c r="H183" s="832"/>
      <c r="I183" s="836"/>
      <c r="J183" s="836"/>
      <c r="K183" s="836"/>
      <c r="L183" s="836">
        <v>0.91</v>
      </c>
      <c r="M183" s="836" t="s">
        <v>61</v>
      </c>
      <c r="N183" s="836">
        <v>0.25423728813559321</v>
      </c>
      <c r="O183" s="833" t="s">
        <v>16</v>
      </c>
      <c r="P183" s="836">
        <v>0.63219999999999998</v>
      </c>
      <c r="Q183" s="832"/>
      <c r="R183" s="841">
        <v>2.4478292991272615E-3</v>
      </c>
      <c r="S183" s="876"/>
      <c r="T183" s="34">
        <f t="shared" si="255"/>
        <v>2.4478292991272615E-3</v>
      </c>
      <c r="U183" s="200">
        <f t="shared" si="256"/>
        <v>2.4478292991272615E-3</v>
      </c>
      <c r="V183" s="200">
        <f t="shared" si="257"/>
        <v>2.4478292991272615E-3</v>
      </c>
      <c r="W183" s="176">
        <f>V183/Calculation_sheet!M$67</f>
        <v>2.4478793484943944E-3</v>
      </c>
      <c r="X183" s="958">
        <f ca="1">IF(AL183&gt;0,W183*Calculation_sheet!C$87,0)</f>
        <v>0</v>
      </c>
      <c r="Y183" s="176">
        <f t="shared" ca="1" si="258"/>
        <v>2.4478793484943944E-3</v>
      </c>
      <c r="Z183" s="176">
        <f>IF(AN183&gt;0,Y183*Calculation_sheet!C$94,0)</f>
        <v>0</v>
      </c>
      <c r="AA183" s="958">
        <f t="shared" ca="1" si="241"/>
        <v>2.4478793484943944E-3</v>
      </c>
      <c r="AB183" s="176">
        <f ca="1">AA183*Calculation_sheet!C$99</f>
        <v>1.4687276090966366E-3</v>
      </c>
      <c r="AC183" s="958">
        <f t="shared" ca="1" si="241"/>
        <v>9.791517393977578E-4</v>
      </c>
      <c r="AD183" s="176">
        <f t="shared" si="259"/>
        <v>2.4478793484943944E-3</v>
      </c>
      <c r="AE183" s="176">
        <f>AD183*User_sheet!B$77/100</f>
        <v>0</v>
      </c>
      <c r="AF183" s="309"/>
      <c r="AG183" s="27">
        <v>403</v>
      </c>
      <c r="AH183" s="985"/>
      <c r="AI183" s="956">
        <f t="shared" ca="1" si="199"/>
        <v>74.232168927023139</v>
      </c>
      <c r="AJ183" s="956">
        <f ca="1">AI183/'403'!I$24</f>
        <v>0.51817601689524495</v>
      </c>
      <c r="AK183" s="956">
        <f ca="1">0.8*(AI183*30+'403'!D$17*0.34*30*1)</f>
        <v>4372.0306942485549</v>
      </c>
      <c r="AL183" s="954">
        <f ca="1">IF(AK183&lt;User_sheet!B$50,W183,0)</f>
        <v>2.4478793484943944E-3</v>
      </c>
      <c r="AM183" s="954">
        <f ca="1">20-(User_sheet!B$57/(AI183+'403'!D$17*1*0.34))</f>
        <v>-11.289807772841485</v>
      </c>
      <c r="AN183" s="954"/>
      <c r="AO183" s="985"/>
      <c r="AP183" s="2">
        <v>0</v>
      </c>
      <c r="AQ183" s="1020">
        <v>0.58899999999999997</v>
      </c>
      <c r="AR183" s="2">
        <v>0</v>
      </c>
      <c r="AS183" s="2">
        <v>2.75</v>
      </c>
      <c r="AT183" s="2">
        <v>0</v>
      </c>
      <c r="AU183" s="2">
        <v>0</v>
      </c>
      <c r="AV183" s="2">
        <v>72298.2589500467</v>
      </c>
      <c r="AW183" s="2">
        <v>0</v>
      </c>
      <c r="AX183" s="2">
        <v>0</v>
      </c>
      <c r="AY183" s="2">
        <v>0</v>
      </c>
      <c r="AZ183" s="50">
        <v>0.6</v>
      </c>
      <c r="BA183" s="34">
        <v>1</v>
      </c>
      <c r="BB183" s="34">
        <v>0</v>
      </c>
      <c r="BC183" s="40">
        <v>0</v>
      </c>
      <c r="BD183" s="34">
        <v>1</v>
      </c>
      <c r="BE183" s="34">
        <v>0</v>
      </c>
      <c r="BF183" s="40">
        <v>0</v>
      </c>
      <c r="BG183" s="34">
        <v>0</v>
      </c>
      <c r="BH183" s="40">
        <v>1</v>
      </c>
      <c r="BI183" s="34">
        <v>1</v>
      </c>
      <c r="BJ183" s="34">
        <v>0</v>
      </c>
      <c r="BK183" s="40">
        <v>0</v>
      </c>
      <c r="BL183" s="958">
        <v>0.15</v>
      </c>
      <c r="BM183" s="958">
        <v>6</v>
      </c>
      <c r="BN183" s="32">
        <f t="shared" ca="1" si="242"/>
        <v>86.579499999999996</v>
      </c>
      <c r="BO183">
        <f t="shared" ca="1" si="243"/>
        <v>292.3576333333333</v>
      </c>
      <c r="BP183">
        <f t="shared" ca="1" si="244"/>
        <v>0</v>
      </c>
      <c r="BQ183">
        <f t="shared" ca="1" si="245"/>
        <v>40.706666666666663</v>
      </c>
      <c r="BR183">
        <f t="shared" ca="1" si="246"/>
        <v>0</v>
      </c>
      <c r="BS183">
        <f t="shared" ca="1" si="247"/>
        <v>15.99</v>
      </c>
      <c r="BT183">
        <f t="shared" ca="1" si="248"/>
        <v>0</v>
      </c>
      <c r="BU183">
        <v>0</v>
      </c>
      <c r="BV183">
        <f t="shared" ca="1" si="249"/>
        <v>0</v>
      </c>
      <c r="BW183">
        <f t="shared" ca="1" si="250"/>
        <v>21.755168951207999</v>
      </c>
      <c r="BX183">
        <f t="shared" ca="1" si="251"/>
        <v>0</v>
      </c>
      <c r="BY183">
        <f t="shared" ca="1" si="252"/>
        <v>43.97249997581514</v>
      </c>
      <c r="BZ183">
        <f t="shared" ca="1" si="253"/>
        <v>0</v>
      </c>
      <c r="CA183">
        <f t="shared" si="254"/>
        <v>0</v>
      </c>
      <c r="CB183" s="1018">
        <f t="shared" ca="1" si="260"/>
        <v>74.232168927023139</v>
      </c>
      <c r="CC183" s="1018">
        <f t="shared" ca="1" si="261"/>
        <v>13.821248902959452</v>
      </c>
      <c r="CD183">
        <f t="shared" ca="1" si="200"/>
        <v>2.6416025348994778</v>
      </c>
      <c r="CE183">
        <f t="shared" ca="1" si="201"/>
        <v>4398.1625565062341</v>
      </c>
    </row>
    <row r="184" spans="1:83" x14ac:dyDescent="0.25">
      <c r="B184" s="836"/>
      <c r="C184" s="831"/>
      <c r="D184" s="832"/>
      <c r="E184" s="831"/>
      <c r="F184" s="832"/>
      <c r="G184" s="831"/>
      <c r="H184" s="832"/>
      <c r="I184" s="836" t="s">
        <v>16</v>
      </c>
      <c r="J184" s="836">
        <v>0.56999999999999995</v>
      </c>
      <c r="K184" s="836"/>
      <c r="L184" s="836"/>
      <c r="M184" s="836"/>
      <c r="N184" s="836"/>
      <c r="O184" s="833" t="s">
        <v>7</v>
      </c>
      <c r="P184" s="836">
        <v>0.36780000000000002</v>
      </c>
      <c r="Q184" s="832"/>
      <c r="R184" s="841">
        <v>1.4240930341964675E-3</v>
      </c>
      <c r="S184" s="876"/>
      <c r="T184" s="34">
        <f t="shared" si="255"/>
        <v>1.4240930341964675E-3</v>
      </c>
      <c r="U184" s="200">
        <f t="shared" si="256"/>
        <v>1.4240930341964675E-3</v>
      </c>
      <c r="V184" s="200">
        <f t="shared" si="257"/>
        <v>1.4240930341964675E-3</v>
      </c>
      <c r="W184" s="176">
        <f>V184/Calculation_sheet!M$67</f>
        <v>1.4241221518130943E-3</v>
      </c>
      <c r="X184" s="958">
        <f ca="1">IF(AL184&gt;0,W184*Calculation_sheet!C$87,0)</f>
        <v>0</v>
      </c>
      <c r="Y184" s="176">
        <f t="shared" ca="1" si="258"/>
        <v>1.4241221518130943E-3</v>
      </c>
      <c r="Z184" s="176">
        <f>IF(AN184&gt;0,Y184*Calculation_sheet!C$94,0)</f>
        <v>0</v>
      </c>
      <c r="AA184" s="958">
        <f t="shared" ca="1" si="241"/>
        <v>1.4241221518130943E-3</v>
      </c>
      <c r="AB184" s="176">
        <f ca="1">AA184*Calculation_sheet!C$99</f>
        <v>8.5447329108785653E-4</v>
      </c>
      <c r="AC184" s="958">
        <f t="shared" ca="1" si="241"/>
        <v>5.6964886072523779E-4</v>
      </c>
      <c r="AD184" s="176">
        <f t="shared" si="259"/>
        <v>1.4241221518130943E-3</v>
      </c>
      <c r="AE184" s="176">
        <f>AD184*User_sheet!B$77/100</f>
        <v>0</v>
      </c>
      <c r="AF184" s="309"/>
      <c r="AG184" s="27">
        <v>403</v>
      </c>
      <c r="AH184" s="985"/>
      <c r="AI184" s="956">
        <f t="shared" ca="1" si="199"/>
        <v>74.232168927023139</v>
      </c>
      <c r="AJ184" s="956">
        <f ca="1">AI184/'403'!I$24</f>
        <v>0.51817601689524495</v>
      </c>
      <c r="AK184" s="956">
        <f ca="1">0.8*(AI184*30+'403'!D$17*0.34*30*1)</f>
        <v>4372.0306942485549</v>
      </c>
      <c r="AL184" s="954">
        <f ca="1">IF(AK184&lt;User_sheet!B$50,W184,0)</f>
        <v>1.4241221518130943E-3</v>
      </c>
      <c r="AM184" s="954">
        <f ca="1">20-(User_sheet!B$57/(AI184+'403'!D$17*1*0.34))</f>
        <v>-11.289807772841485</v>
      </c>
      <c r="AN184" s="954"/>
      <c r="AO184" s="985"/>
      <c r="AP184" s="2">
        <v>0</v>
      </c>
      <c r="AQ184" s="1020">
        <v>0.58899999999999997</v>
      </c>
      <c r="AR184" s="2">
        <v>0</v>
      </c>
      <c r="AS184" s="2">
        <v>2.75</v>
      </c>
      <c r="AT184" s="2">
        <v>0</v>
      </c>
      <c r="AU184" s="2">
        <v>0</v>
      </c>
      <c r="AV184" s="2">
        <v>72298.2589500467</v>
      </c>
      <c r="AW184" s="2">
        <v>0</v>
      </c>
      <c r="AX184" s="2">
        <v>0</v>
      </c>
      <c r="AY184" s="2">
        <v>0</v>
      </c>
      <c r="AZ184" s="50">
        <v>0.6</v>
      </c>
      <c r="BA184" s="34">
        <v>1</v>
      </c>
      <c r="BB184" s="34">
        <v>0</v>
      </c>
      <c r="BC184" s="40">
        <v>0</v>
      </c>
      <c r="BD184" s="34">
        <v>1</v>
      </c>
      <c r="BE184" s="34">
        <v>0</v>
      </c>
      <c r="BF184" s="40">
        <v>0</v>
      </c>
      <c r="BG184" s="34">
        <v>0</v>
      </c>
      <c r="BH184" s="40">
        <v>1</v>
      </c>
      <c r="BI184" s="34">
        <v>0</v>
      </c>
      <c r="BJ184" s="34">
        <v>0</v>
      </c>
      <c r="BK184" s="40">
        <v>1</v>
      </c>
      <c r="BL184" s="958">
        <v>0.15</v>
      </c>
      <c r="BM184" s="958">
        <v>6</v>
      </c>
      <c r="BN184" s="32">
        <f t="shared" ca="1" si="242"/>
        <v>86.579499999999996</v>
      </c>
      <c r="BO184">
        <f t="shared" ca="1" si="243"/>
        <v>292.3576333333333</v>
      </c>
      <c r="BP184">
        <f t="shared" ca="1" si="244"/>
        <v>0</v>
      </c>
      <c r="BQ184">
        <f t="shared" ca="1" si="245"/>
        <v>40.706666666666663</v>
      </c>
      <c r="BR184">
        <f t="shared" ca="1" si="246"/>
        <v>0</v>
      </c>
      <c r="BS184">
        <f t="shared" ca="1" si="247"/>
        <v>15.99</v>
      </c>
      <c r="BT184">
        <f t="shared" ca="1" si="248"/>
        <v>0</v>
      </c>
      <c r="BU184">
        <v>0</v>
      </c>
      <c r="BV184">
        <f t="shared" ca="1" si="249"/>
        <v>0</v>
      </c>
      <c r="BW184">
        <f t="shared" ca="1" si="250"/>
        <v>21.755168951207999</v>
      </c>
      <c r="BX184">
        <f t="shared" ca="1" si="251"/>
        <v>0</v>
      </c>
      <c r="BY184">
        <f t="shared" ca="1" si="252"/>
        <v>43.97249997581514</v>
      </c>
      <c r="BZ184">
        <f t="shared" ca="1" si="253"/>
        <v>0</v>
      </c>
      <c r="CA184">
        <f t="shared" si="254"/>
        <v>0</v>
      </c>
      <c r="CB184" s="1018">
        <f t="shared" ca="1" si="260"/>
        <v>74.232168927023139</v>
      </c>
      <c r="CC184" s="1018">
        <f t="shared" ca="1" si="261"/>
        <v>13.821248902959452</v>
      </c>
      <c r="CD184">
        <f t="shared" ca="1" si="200"/>
        <v>2.6416025348994778</v>
      </c>
      <c r="CE184">
        <f t="shared" ca="1" si="201"/>
        <v>4398.1625565062341</v>
      </c>
    </row>
    <row r="185" spans="1:83" x14ac:dyDescent="0.25">
      <c r="B185" s="836"/>
      <c r="C185" s="831"/>
      <c r="D185" s="832"/>
      <c r="E185" s="831"/>
      <c r="F185" s="832"/>
      <c r="G185" s="831"/>
      <c r="H185" s="832"/>
      <c r="I185" s="836"/>
      <c r="J185" s="836"/>
      <c r="K185" s="836"/>
      <c r="L185" s="836">
        <v>8.9999999999999969E-2</v>
      </c>
      <c r="M185" s="836"/>
      <c r="N185" s="836"/>
      <c r="O185" s="840" t="s">
        <v>16</v>
      </c>
      <c r="P185" s="836">
        <v>0.63219999999999998</v>
      </c>
      <c r="Q185" s="832"/>
      <c r="R185" s="841">
        <v>9.5223249658357159E-4</v>
      </c>
      <c r="S185" s="876"/>
      <c r="T185" s="34">
        <f t="shared" si="255"/>
        <v>9.5223249658357159E-4</v>
      </c>
      <c r="U185" s="200">
        <f t="shared" si="256"/>
        <v>9.5223249658357159E-4</v>
      </c>
      <c r="V185" s="200">
        <f t="shared" si="257"/>
        <v>9.5223249658357159E-4</v>
      </c>
      <c r="W185" s="176">
        <f>V185/Calculation_sheet!M$67</f>
        <v>9.5225196633737935E-4</v>
      </c>
      <c r="X185" s="958">
        <f ca="1">IF(AL185&gt;0,W185*Calculation_sheet!C$87,0)</f>
        <v>0</v>
      </c>
      <c r="Y185" s="176">
        <f t="shared" ca="1" si="258"/>
        <v>9.5225196633737935E-4</v>
      </c>
      <c r="Z185" s="176">
        <f>IF(AN185&gt;0,Y185*Calculation_sheet!C$94,0)</f>
        <v>0</v>
      </c>
      <c r="AA185" s="958">
        <f t="shared" ca="1" si="241"/>
        <v>9.5225196633737935E-4</v>
      </c>
      <c r="AB185" s="176">
        <f ca="1">AA185*Calculation_sheet!C$99</f>
        <v>5.7135117980242761E-4</v>
      </c>
      <c r="AC185" s="958">
        <f t="shared" ca="1" si="241"/>
        <v>3.8090078653495174E-4</v>
      </c>
      <c r="AD185" s="176">
        <f t="shared" si="259"/>
        <v>9.5225196633737935E-4</v>
      </c>
      <c r="AE185" s="176">
        <f>AD185*User_sheet!B$77/100</f>
        <v>0</v>
      </c>
      <c r="AF185" s="309"/>
      <c r="AG185" s="27">
        <v>403</v>
      </c>
      <c r="AH185" s="985"/>
      <c r="AI185" s="956">
        <f t="shared" ca="1" si="199"/>
        <v>74.232168927023139</v>
      </c>
      <c r="AJ185" s="956">
        <f ca="1">AI185/'403'!I$24</f>
        <v>0.51817601689524495</v>
      </c>
      <c r="AK185" s="956">
        <f ca="1">0.8*(AI185*30+'403'!D$17*0.34*30*1)</f>
        <v>4372.0306942485549</v>
      </c>
      <c r="AL185" s="954">
        <f ca="1">IF(AK185&lt;User_sheet!B$50,W185,0)</f>
        <v>9.5225196633737935E-4</v>
      </c>
      <c r="AM185" s="954">
        <f ca="1">20-(User_sheet!B$57/(AI185+'403'!D$17*1*0.34))</f>
        <v>-11.289807772841485</v>
      </c>
      <c r="AN185" s="954"/>
      <c r="AO185" s="985"/>
      <c r="AP185" s="2">
        <v>0</v>
      </c>
      <c r="AQ185" s="1020">
        <v>0.58899999999999997</v>
      </c>
      <c r="AR185" s="2">
        <v>0</v>
      </c>
      <c r="AS185" s="2">
        <v>2.75</v>
      </c>
      <c r="AT185" s="2">
        <v>0</v>
      </c>
      <c r="AU185" s="2">
        <v>0</v>
      </c>
      <c r="AV185" s="2">
        <v>72298.2589500467</v>
      </c>
      <c r="AW185" s="2">
        <v>0</v>
      </c>
      <c r="AX185" s="2">
        <v>0</v>
      </c>
      <c r="AY185" s="2">
        <v>0</v>
      </c>
      <c r="AZ185" s="50">
        <v>0.6</v>
      </c>
      <c r="BA185" s="34">
        <v>1</v>
      </c>
      <c r="BB185" s="34">
        <v>0</v>
      </c>
      <c r="BC185" s="40">
        <v>0</v>
      </c>
      <c r="BD185" s="34">
        <v>0</v>
      </c>
      <c r="BE185" s="34">
        <v>1</v>
      </c>
      <c r="BF185" s="40">
        <v>0</v>
      </c>
      <c r="BG185" s="34">
        <v>1</v>
      </c>
      <c r="BH185" s="40">
        <v>0</v>
      </c>
      <c r="BI185" s="34">
        <v>1</v>
      </c>
      <c r="BJ185" s="34">
        <v>0</v>
      </c>
      <c r="BK185" s="40">
        <v>0</v>
      </c>
      <c r="BL185" s="958">
        <v>0.15</v>
      </c>
      <c r="BM185" s="958">
        <v>6</v>
      </c>
      <c r="BN185" s="32">
        <f t="shared" ca="1" si="242"/>
        <v>86.579499999999996</v>
      </c>
      <c r="BO185">
        <f t="shared" ca="1" si="243"/>
        <v>292.3576333333333</v>
      </c>
      <c r="BP185">
        <f t="shared" ca="1" si="244"/>
        <v>0</v>
      </c>
      <c r="BQ185">
        <f t="shared" ca="1" si="245"/>
        <v>40.706666666666663</v>
      </c>
      <c r="BR185">
        <f t="shared" ca="1" si="246"/>
        <v>0</v>
      </c>
      <c r="BS185">
        <f t="shared" ca="1" si="247"/>
        <v>15.99</v>
      </c>
      <c r="BT185">
        <f t="shared" ca="1" si="248"/>
        <v>0</v>
      </c>
      <c r="BU185">
        <v>0</v>
      </c>
      <c r="BV185">
        <f t="shared" ca="1" si="249"/>
        <v>0</v>
      </c>
      <c r="BW185">
        <f t="shared" ca="1" si="250"/>
        <v>21.755168951207999</v>
      </c>
      <c r="BX185">
        <f t="shared" ca="1" si="251"/>
        <v>0</v>
      </c>
      <c r="BY185">
        <f t="shared" ca="1" si="252"/>
        <v>43.97249997581514</v>
      </c>
      <c r="BZ185">
        <f t="shared" ca="1" si="253"/>
        <v>0</v>
      </c>
      <c r="CA185">
        <f t="shared" si="254"/>
        <v>0</v>
      </c>
      <c r="CB185" s="1018">
        <f t="shared" ca="1" si="260"/>
        <v>74.232168927023139</v>
      </c>
      <c r="CC185" s="1018">
        <f t="shared" ca="1" si="261"/>
        <v>13.821248902959452</v>
      </c>
      <c r="CD185">
        <f t="shared" ca="1" si="200"/>
        <v>2.6416025348994778</v>
      </c>
      <c r="CE185">
        <f t="shared" ca="1" si="201"/>
        <v>4398.1625565062341</v>
      </c>
    </row>
    <row r="186" spans="1:83" x14ac:dyDescent="0.25">
      <c r="B186" s="836"/>
      <c r="C186" s="831"/>
      <c r="D186" s="832"/>
      <c r="E186" s="831"/>
      <c r="F186" s="832"/>
      <c r="G186" s="831"/>
      <c r="H186" s="832"/>
      <c r="I186" s="836"/>
      <c r="J186" s="836"/>
      <c r="K186" s="836"/>
      <c r="L186" s="836"/>
      <c r="M186" s="836"/>
      <c r="N186" s="836"/>
      <c r="O186" s="840" t="s">
        <v>7</v>
      </c>
      <c r="P186" s="836">
        <v>0.36780000000000002</v>
      </c>
      <c r="Q186" s="832"/>
      <c r="R186" s="841">
        <v>5.5398783967642781E-4</v>
      </c>
      <c r="S186" s="876"/>
      <c r="T186" s="34">
        <f t="shared" si="255"/>
        <v>5.5398783967642781E-4</v>
      </c>
      <c r="U186" s="200">
        <f t="shared" si="256"/>
        <v>5.5398783967642781E-4</v>
      </c>
      <c r="V186" s="200">
        <f t="shared" si="257"/>
        <v>5.5398783967642781E-4</v>
      </c>
      <c r="W186" s="176">
        <f>V186/Calculation_sheet!M$67</f>
        <v>5.5399916674926945E-4</v>
      </c>
      <c r="X186" s="958">
        <f ca="1">IF(AL186&gt;0,W186*Calculation_sheet!C$87,0)</f>
        <v>0</v>
      </c>
      <c r="Y186" s="176">
        <f t="shared" ca="1" si="258"/>
        <v>5.5399916674926945E-4</v>
      </c>
      <c r="Z186" s="176">
        <f>IF(AN186&gt;0,Y186*Calculation_sheet!C$94,0)</f>
        <v>0</v>
      </c>
      <c r="AA186" s="958">
        <f t="shared" ca="1" si="241"/>
        <v>5.5399916674926945E-4</v>
      </c>
      <c r="AB186" s="176">
        <f ca="1">AA186*Calculation_sheet!C$99</f>
        <v>3.3239950004956164E-4</v>
      </c>
      <c r="AC186" s="958">
        <f t="shared" ca="1" si="241"/>
        <v>2.2159966669970781E-4</v>
      </c>
      <c r="AD186" s="176">
        <f t="shared" si="259"/>
        <v>5.5399916674926945E-4</v>
      </c>
      <c r="AE186" s="176">
        <f>AD186*User_sheet!B$77/100</f>
        <v>0</v>
      </c>
      <c r="AF186" s="309"/>
      <c r="AG186" s="27">
        <v>403</v>
      </c>
      <c r="AH186" s="985"/>
      <c r="AI186" s="956">
        <f t="shared" ca="1" si="199"/>
        <v>74.232168927023139</v>
      </c>
      <c r="AJ186" s="956">
        <f ca="1">AI186/'403'!I$24</f>
        <v>0.51817601689524495</v>
      </c>
      <c r="AK186" s="956">
        <f ca="1">0.8*(AI186*30+'403'!D$17*0.34*30*1)</f>
        <v>4372.0306942485549</v>
      </c>
      <c r="AL186" s="954">
        <f ca="1">IF(AK186&lt;User_sheet!B$50,W186,0)</f>
        <v>5.5399916674926945E-4</v>
      </c>
      <c r="AM186" s="954">
        <f ca="1">20-(User_sheet!B$57/(AI186+'403'!D$17*1*0.34))</f>
        <v>-11.289807772841485</v>
      </c>
      <c r="AN186" s="954"/>
      <c r="AO186" s="985"/>
      <c r="AP186" s="2">
        <v>0</v>
      </c>
      <c r="AQ186" s="1020">
        <v>0.58899999999999997</v>
      </c>
      <c r="AR186" s="2">
        <v>0</v>
      </c>
      <c r="AS186" s="2">
        <v>2.75</v>
      </c>
      <c r="AT186" s="2">
        <v>0</v>
      </c>
      <c r="AU186" s="2">
        <v>0</v>
      </c>
      <c r="AV186" s="2">
        <v>72298.2589500467</v>
      </c>
      <c r="AW186" s="2">
        <v>0</v>
      </c>
      <c r="AX186" s="2">
        <v>0</v>
      </c>
      <c r="AY186" s="2">
        <v>0</v>
      </c>
      <c r="AZ186" s="50">
        <v>0.6</v>
      </c>
      <c r="BA186" s="34">
        <v>1</v>
      </c>
      <c r="BB186" s="34">
        <v>0</v>
      </c>
      <c r="BC186" s="40">
        <v>0</v>
      </c>
      <c r="BD186" s="34">
        <v>0</v>
      </c>
      <c r="BE186" s="34">
        <v>1</v>
      </c>
      <c r="BF186" s="40">
        <v>0</v>
      </c>
      <c r="BG186" s="34">
        <v>1</v>
      </c>
      <c r="BH186" s="40">
        <v>0</v>
      </c>
      <c r="BI186" s="34">
        <v>0</v>
      </c>
      <c r="BJ186" s="34">
        <v>0</v>
      </c>
      <c r="BK186" s="40">
        <v>1</v>
      </c>
      <c r="BL186" s="958">
        <v>0.15</v>
      </c>
      <c r="BM186" s="958">
        <v>6</v>
      </c>
      <c r="BN186" s="32">
        <f t="shared" ca="1" si="242"/>
        <v>86.579499999999996</v>
      </c>
      <c r="BO186">
        <f t="shared" ca="1" si="243"/>
        <v>292.3576333333333</v>
      </c>
      <c r="BP186">
        <f t="shared" ca="1" si="244"/>
        <v>0</v>
      </c>
      <c r="BQ186">
        <f t="shared" ca="1" si="245"/>
        <v>40.706666666666663</v>
      </c>
      <c r="BR186">
        <f t="shared" ca="1" si="246"/>
        <v>0</v>
      </c>
      <c r="BS186">
        <f t="shared" ca="1" si="247"/>
        <v>15.99</v>
      </c>
      <c r="BT186">
        <f t="shared" ca="1" si="248"/>
        <v>0</v>
      </c>
      <c r="BU186">
        <v>0</v>
      </c>
      <c r="BV186">
        <f t="shared" ca="1" si="249"/>
        <v>0</v>
      </c>
      <c r="BW186">
        <f t="shared" ca="1" si="250"/>
        <v>21.755168951207999</v>
      </c>
      <c r="BX186">
        <f t="shared" ca="1" si="251"/>
        <v>0</v>
      </c>
      <c r="BY186">
        <f t="shared" ca="1" si="252"/>
        <v>43.97249997581514</v>
      </c>
      <c r="BZ186">
        <f t="shared" ca="1" si="253"/>
        <v>0</v>
      </c>
      <c r="CA186">
        <f t="shared" si="254"/>
        <v>0</v>
      </c>
      <c r="CB186" s="1018">
        <f t="shared" ca="1" si="260"/>
        <v>74.232168927023139</v>
      </c>
      <c r="CC186" s="1018">
        <f t="shared" ca="1" si="261"/>
        <v>13.821248902959452</v>
      </c>
      <c r="CD186">
        <f t="shared" ca="1" si="200"/>
        <v>2.6416025348994778</v>
      </c>
      <c r="CE186">
        <f t="shared" ca="1" si="201"/>
        <v>4398.1625565062341</v>
      </c>
    </row>
    <row r="187" spans="1:83" x14ac:dyDescent="0.25">
      <c r="B187" s="836"/>
      <c r="C187" s="831"/>
      <c r="D187" s="832"/>
      <c r="E187" s="831"/>
      <c r="F187" s="832"/>
      <c r="G187" s="831"/>
      <c r="H187" s="832"/>
      <c r="I187" s="836"/>
      <c r="J187" s="836"/>
      <c r="K187" s="836"/>
      <c r="L187" s="836"/>
      <c r="M187" s="836" t="s">
        <v>60</v>
      </c>
      <c r="N187" s="836">
        <v>0.32142857142857145</v>
      </c>
      <c r="O187" s="833" t="s">
        <v>57</v>
      </c>
      <c r="P187" s="836">
        <v>0.96530000000000005</v>
      </c>
      <c r="Q187" s="832"/>
      <c r="R187" s="841">
        <v>2.4628388225390071E-3</v>
      </c>
      <c r="S187" s="876"/>
      <c r="T187" s="34">
        <f t="shared" si="255"/>
        <v>2.4628388225390071E-3</v>
      </c>
      <c r="U187" s="200">
        <f t="shared" si="256"/>
        <v>2.4628388225390071E-3</v>
      </c>
      <c r="V187" s="200">
        <f t="shared" si="257"/>
        <v>2.4628388225390071E-3</v>
      </c>
      <c r="W187" s="176">
        <f>V187/Calculation_sheet!M$67</f>
        <v>2.4628891787972897E-3</v>
      </c>
      <c r="X187" s="958">
        <f ca="1">IF(AL187&gt;0,W187*Calculation_sheet!C$87,0)</f>
        <v>0</v>
      </c>
      <c r="Y187" s="176">
        <f t="shared" ca="1" si="258"/>
        <v>2.4628891787972897E-3</v>
      </c>
      <c r="Z187" s="176">
        <f>IF(AN187&gt;0,Y187*Calculation_sheet!C$94,0)</f>
        <v>0</v>
      </c>
      <c r="AA187" s="958">
        <f t="shared" ca="1" si="241"/>
        <v>2.4628891787972897E-3</v>
      </c>
      <c r="AB187" s="176">
        <f ca="1">AA187*Calculation_sheet!C$99</f>
        <v>1.4777335072783738E-3</v>
      </c>
      <c r="AC187" s="958">
        <f t="shared" ca="1" si="241"/>
        <v>9.8515567151891592E-4</v>
      </c>
      <c r="AD187" s="176">
        <f t="shared" si="259"/>
        <v>2.4628891787972897E-3</v>
      </c>
      <c r="AE187" s="176">
        <f>AD187*User_sheet!B$77/100</f>
        <v>0</v>
      </c>
      <c r="AF187" s="309"/>
      <c r="AG187" s="27">
        <v>403</v>
      </c>
      <c r="AH187" s="985"/>
      <c r="AI187" s="956">
        <f t="shared" ca="1" si="199"/>
        <v>74.232168927023139</v>
      </c>
      <c r="AJ187" s="956">
        <f ca="1">AI187/'403'!I$24</f>
        <v>0.51817601689524495</v>
      </c>
      <c r="AK187" s="956">
        <f ca="1">0.8*(AI187*30+'403'!D$17*0.34*30*1)</f>
        <v>4372.0306942485549</v>
      </c>
      <c r="AL187" s="954">
        <f ca="1">IF(AK187&lt;User_sheet!B$50,W187,0)</f>
        <v>2.4628891787972897E-3</v>
      </c>
      <c r="AM187" s="954">
        <f ca="1">20-(User_sheet!B$57/(AI187+'403'!D$17*1*0.34))</f>
        <v>-11.289807772841485</v>
      </c>
      <c r="AN187" s="954"/>
      <c r="AO187" s="985"/>
      <c r="AP187" s="2">
        <v>0</v>
      </c>
      <c r="AQ187" s="1020">
        <v>0.58899999999999997</v>
      </c>
      <c r="AR187" s="2">
        <v>0</v>
      </c>
      <c r="AS187" s="2">
        <v>2.75</v>
      </c>
      <c r="AT187" s="2">
        <v>0</v>
      </c>
      <c r="AU187" s="2">
        <v>0</v>
      </c>
      <c r="AV187" s="2">
        <v>72298.2589500467</v>
      </c>
      <c r="AW187" s="2">
        <v>0</v>
      </c>
      <c r="AX187" s="2">
        <v>0</v>
      </c>
      <c r="AY187" s="2">
        <v>0</v>
      </c>
      <c r="AZ187" s="50">
        <v>0.6</v>
      </c>
      <c r="BA187" s="34">
        <v>0</v>
      </c>
      <c r="BB187" s="34">
        <v>1</v>
      </c>
      <c r="BC187" s="40">
        <v>0</v>
      </c>
      <c r="BD187" s="34">
        <v>1</v>
      </c>
      <c r="BE187" s="34">
        <v>0</v>
      </c>
      <c r="BF187" s="40">
        <v>0</v>
      </c>
      <c r="BG187" s="34">
        <v>1</v>
      </c>
      <c r="BH187" s="40">
        <v>0</v>
      </c>
      <c r="BI187" s="34">
        <v>0</v>
      </c>
      <c r="BJ187" s="34">
        <v>1</v>
      </c>
      <c r="BK187" s="40">
        <v>0</v>
      </c>
      <c r="BL187" s="958">
        <v>0.15</v>
      </c>
      <c r="BM187" s="958">
        <v>6</v>
      </c>
      <c r="BN187" s="32">
        <f t="shared" ca="1" si="242"/>
        <v>86.579499999999996</v>
      </c>
      <c r="BO187">
        <f t="shared" ca="1" si="243"/>
        <v>292.3576333333333</v>
      </c>
      <c r="BP187">
        <f t="shared" ca="1" si="244"/>
        <v>0</v>
      </c>
      <c r="BQ187">
        <f t="shared" ca="1" si="245"/>
        <v>40.706666666666663</v>
      </c>
      <c r="BR187">
        <f t="shared" ca="1" si="246"/>
        <v>0</v>
      </c>
      <c r="BS187">
        <f t="shared" ca="1" si="247"/>
        <v>15.99</v>
      </c>
      <c r="BT187">
        <f t="shared" ca="1" si="248"/>
        <v>0</v>
      </c>
      <c r="BU187">
        <v>0</v>
      </c>
      <c r="BV187">
        <f t="shared" ca="1" si="249"/>
        <v>0</v>
      </c>
      <c r="BW187">
        <f t="shared" ca="1" si="250"/>
        <v>21.755168951207999</v>
      </c>
      <c r="BX187">
        <f t="shared" ca="1" si="251"/>
        <v>0</v>
      </c>
      <c r="BY187">
        <f t="shared" ca="1" si="252"/>
        <v>43.97249997581514</v>
      </c>
      <c r="BZ187">
        <f t="shared" ca="1" si="253"/>
        <v>0</v>
      </c>
      <c r="CA187">
        <f t="shared" si="254"/>
        <v>0</v>
      </c>
      <c r="CB187" s="1018">
        <f t="shared" ca="1" si="260"/>
        <v>74.232168927023139</v>
      </c>
      <c r="CC187" s="1018">
        <f t="shared" ca="1" si="261"/>
        <v>13.821248902959452</v>
      </c>
      <c r="CD187">
        <f t="shared" ca="1" si="200"/>
        <v>2.6416025348994778</v>
      </c>
      <c r="CE187">
        <f t="shared" ca="1" si="201"/>
        <v>4398.1625565062341</v>
      </c>
    </row>
    <row r="188" spans="1:83" x14ac:dyDescent="0.25">
      <c r="B188" s="836"/>
      <c r="C188" s="831"/>
      <c r="D188" s="832"/>
      <c r="E188" s="831"/>
      <c r="F188" s="832"/>
      <c r="G188" s="831"/>
      <c r="H188" s="832"/>
      <c r="I188" s="836"/>
      <c r="J188" s="836"/>
      <c r="K188" s="836"/>
      <c r="L188" s="836"/>
      <c r="M188" s="836"/>
      <c r="N188" s="836"/>
      <c r="O188" s="833" t="s">
        <v>7</v>
      </c>
      <c r="P188" s="836">
        <v>3.4699999999999953E-2</v>
      </c>
      <c r="Q188" s="832"/>
      <c r="R188" s="841">
        <v>8.8532587943751626E-5</v>
      </c>
      <c r="S188" s="876"/>
      <c r="T188" s="34">
        <f t="shared" si="255"/>
        <v>8.8532587943751626E-5</v>
      </c>
      <c r="U188" s="200">
        <f t="shared" si="256"/>
        <v>8.8532587943751626E-5</v>
      </c>
      <c r="V188" s="200">
        <f t="shared" si="257"/>
        <v>8.8532587943751626E-5</v>
      </c>
      <c r="W188" s="176">
        <f>V188/Calculation_sheet!M$67</f>
        <v>8.8534398118994982E-5</v>
      </c>
      <c r="X188" s="958">
        <f ca="1">IF(AL188&gt;0,W188*Calculation_sheet!C$87,0)</f>
        <v>0</v>
      </c>
      <c r="Y188" s="176">
        <f t="shared" ca="1" si="258"/>
        <v>8.8534398118994982E-5</v>
      </c>
      <c r="Z188" s="176">
        <f>IF(AN188&gt;0,Y188*Calculation_sheet!C$94,0)</f>
        <v>0</v>
      </c>
      <c r="AA188" s="958">
        <f t="shared" ca="1" si="241"/>
        <v>8.8534398118994982E-5</v>
      </c>
      <c r="AB188" s="176">
        <f ca="1">AA188*Calculation_sheet!C$99</f>
        <v>5.3120638871396988E-5</v>
      </c>
      <c r="AC188" s="958">
        <f t="shared" ca="1" si="241"/>
        <v>3.5413759247597994E-5</v>
      </c>
      <c r="AD188" s="176">
        <f t="shared" si="259"/>
        <v>8.8534398118994982E-5</v>
      </c>
      <c r="AE188" s="176">
        <f>AD188*User_sheet!B$77/100</f>
        <v>0</v>
      </c>
      <c r="AF188" s="309"/>
      <c r="AG188" s="27">
        <v>403</v>
      </c>
      <c r="AH188" s="985"/>
      <c r="AI188" s="956">
        <f t="shared" ca="1" si="199"/>
        <v>74.232168927023139</v>
      </c>
      <c r="AJ188" s="956">
        <f ca="1">AI188/'403'!I$24</f>
        <v>0.51817601689524495</v>
      </c>
      <c r="AK188" s="956">
        <f ca="1">0.8*(AI188*30+'403'!D$17*0.34*30*1)</f>
        <v>4372.0306942485549</v>
      </c>
      <c r="AL188" s="954">
        <f ca="1">IF(AK188&lt;User_sheet!B$50,W188,0)</f>
        <v>8.8534398118994982E-5</v>
      </c>
      <c r="AM188" s="954">
        <f ca="1">20-(User_sheet!B$57/(AI188+'403'!D$17*1*0.34))</f>
        <v>-11.289807772841485</v>
      </c>
      <c r="AN188" s="954"/>
      <c r="AO188" s="985"/>
      <c r="AP188" s="2">
        <v>0</v>
      </c>
      <c r="AQ188" s="1020">
        <v>0.58899999999999997</v>
      </c>
      <c r="AR188" s="2">
        <v>0</v>
      </c>
      <c r="AS188" s="2">
        <v>2.75</v>
      </c>
      <c r="AT188" s="2">
        <v>0</v>
      </c>
      <c r="AU188" s="2">
        <v>0</v>
      </c>
      <c r="AV188" s="2">
        <v>72298.2589500467</v>
      </c>
      <c r="AW188" s="2">
        <v>0</v>
      </c>
      <c r="AX188" s="2">
        <v>0</v>
      </c>
      <c r="AY188" s="2">
        <v>0</v>
      </c>
      <c r="AZ188" s="50">
        <v>0.6</v>
      </c>
      <c r="BA188" s="34">
        <v>0</v>
      </c>
      <c r="BB188" s="34">
        <v>1</v>
      </c>
      <c r="BC188" s="40">
        <v>0</v>
      </c>
      <c r="BD188" s="34">
        <v>1</v>
      </c>
      <c r="BE188" s="34">
        <v>0</v>
      </c>
      <c r="BF188" s="40">
        <v>0</v>
      </c>
      <c r="BG188" s="34">
        <v>1</v>
      </c>
      <c r="BH188" s="40">
        <v>0</v>
      </c>
      <c r="BI188" s="34">
        <v>0</v>
      </c>
      <c r="BJ188" s="34">
        <v>0</v>
      </c>
      <c r="BK188" s="40">
        <v>1</v>
      </c>
      <c r="BL188" s="958">
        <v>0.15</v>
      </c>
      <c r="BM188" s="958">
        <v>6</v>
      </c>
      <c r="BN188" s="32">
        <f t="shared" ca="1" si="242"/>
        <v>86.579499999999996</v>
      </c>
      <c r="BO188">
        <f t="shared" ca="1" si="243"/>
        <v>292.3576333333333</v>
      </c>
      <c r="BP188">
        <f t="shared" ca="1" si="244"/>
        <v>0</v>
      </c>
      <c r="BQ188">
        <f t="shared" ca="1" si="245"/>
        <v>40.706666666666663</v>
      </c>
      <c r="BR188">
        <f t="shared" ca="1" si="246"/>
        <v>0</v>
      </c>
      <c r="BS188">
        <f t="shared" ca="1" si="247"/>
        <v>15.99</v>
      </c>
      <c r="BT188">
        <f t="shared" ca="1" si="248"/>
        <v>0</v>
      </c>
      <c r="BU188">
        <v>0</v>
      </c>
      <c r="BV188">
        <f t="shared" ca="1" si="249"/>
        <v>0</v>
      </c>
      <c r="BW188">
        <f t="shared" ca="1" si="250"/>
        <v>21.755168951207999</v>
      </c>
      <c r="BX188">
        <f t="shared" ca="1" si="251"/>
        <v>0</v>
      </c>
      <c r="BY188">
        <f t="shared" ca="1" si="252"/>
        <v>43.97249997581514</v>
      </c>
      <c r="BZ188">
        <f t="shared" ca="1" si="253"/>
        <v>0</v>
      </c>
      <c r="CA188">
        <f t="shared" si="254"/>
        <v>0</v>
      </c>
      <c r="CB188" s="1018">
        <f t="shared" ca="1" si="260"/>
        <v>74.232168927023139</v>
      </c>
      <c r="CC188" s="1018">
        <f t="shared" ca="1" si="261"/>
        <v>13.821248902959452</v>
      </c>
      <c r="CD188">
        <f t="shared" ca="1" si="200"/>
        <v>2.6416025348994778</v>
      </c>
      <c r="CE188">
        <f t="shared" ca="1" si="201"/>
        <v>4398.1625565062341</v>
      </c>
    </row>
    <row r="189" spans="1:83" x14ac:dyDescent="0.25">
      <c r="B189" s="836"/>
      <c r="C189" s="831"/>
      <c r="D189" s="832"/>
      <c r="E189" s="831"/>
      <c r="F189" s="832"/>
      <c r="G189" s="831"/>
      <c r="H189" s="832"/>
      <c r="I189" s="836"/>
      <c r="J189" s="836"/>
      <c r="K189" s="836"/>
      <c r="L189" s="836">
        <v>0.96551724137931039</v>
      </c>
      <c r="M189" s="836" t="s">
        <v>61</v>
      </c>
      <c r="N189" s="836">
        <v>0.6785714285714286</v>
      </c>
      <c r="O189" s="833" t="s">
        <v>57</v>
      </c>
      <c r="P189" s="836">
        <v>0.96530000000000005</v>
      </c>
      <c r="Q189" s="832"/>
      <c r="R189" s="841">
        <v>5.1993264031379048E-3</v>
      </c>
      <c r="S189" s="876"/>
      <c r="T189" s="34">
        <f t="shared" si="255"/>
        <v>5.1993264031379048E-3</v>
      </c>
      <c r="U189" s="200">
        <f t="shared" si="256"/>
        <v>5.1993264031379048E-3</v>
      </c>
      <c r="V189" s="200">
        <f t="shared" si="257"/>
        <v>5.1993264031379048E-3</v>
      </c>
      <c r="W189" s="176">
        <f>V189/Calculation_sheet!M$67</f>
        <v>5.1994327107942788E-3</v>
      </c>
      <c r="X189" s="958">
        <f ca="1">IF(AL189&gt;0,W189*Calculation_sheet!C$87,0)</f>
        <v>0</v>
      </c>
      <c r="Y189" s="176">
        <f t="shared" ca="1" si="258"/>
        <v>5.1994327107942788E-3</v>
      </c>
      <c r="Z189" s="176">
        <f>IF(AN189&gt;0,Y189*Calculation_sheet!C$94,0)</f>
        <v>0</v>
      </c>
      <c r="AA189" s="958">
        <f t="shared" ca="1" si="241"/>
        <v>5.1994327107942788E-3</v>
      </c>
      <c r="AB189" s="176">
        <f ca="1">AA189*Calculation_sheet!C$99</f>
        <v>3.1196596264765671E-3</v>
      </c>
      <c r="AC189" s="958">
        <f t="shared" ca="1" si="241"/>
        <v>2.0797730843177117E-3</v>
      </c>
      <c r="AD189" s="176">
        <f t="shared" si="259"/>
        <v>5.1994327107942788E-3</v>
      </c>
      <c r="AE189" s="176">
        <f>AD189*User_sheet!B$77/100</f>
        <v>0</v>
      </c>
      <c r="AF189" s="309"/>
      <c r="AG189" s="27">
        <v>403</v>
      </c>
      <c r="AH189" s="985"/>
      <c r="AI189" s="956">
        <f t="shared" ca="1" si="199"/>
        <v>74.232168927023139</v>
      </c>
      <c r="AJ189" s="956">
        <f ca="1">AI189/'403'!I$24</f>
        <v>0.51817601689524495</v>
      </c>
      <c r="AK189" s="956">
        <f ca="1">0.8*(AI189*30+'403'!D$17*0.34*30*1)</f>
        <v>4372.0306942485549</v>
      </c>
      <c r="AL189" s="954">
        <f ca="1">IF(AK189&lt;User_sheet!B$50,W189,0)</f>
        <v>5.1994327107942788E-3</v>
      </c>
      <c r="AM189" s="954">
        <f ca="1">20-(User_sheet!B$57/(AI189+'403'!D$17*1*0.34))</f>
        <v>-11.289807772841485</v>
      </c>
      <c r="AN189" s="954"/>
      <c r="AO189" s="985"/>
      <c r="AP189" s="2">
        <v>0</v>
      </c>
      <c r="AQ189" s="1020">
        <v>0.58899999999999997</v>
      </c>
      <c r="AR189" s="2">
        <v>0</v>
      </c>
      <c r="AS189" s="2">
        <v>2.75</v>
      </c>
      <c r="AT189" s="2">
        <v>0</v>
      </c>
      <c r="AU189" s="2">
        <v>0</v>
      </c>
      <c r="AV189" s="2">
        <v>72298.2589500467</v>
      </c>
      <c r="AW189" s="2">
        <v>0</v>
      </c>
      <c r="AX189" s="2">
        <v>0</v>
      </c>
      <c r="AY189" s="2">
        <v>0</v>
      </c>
      <c r="AZ189" s="50">
        <v>0.6</v>
      </c>
      <c r="BA189" s="34">
        <v>0</v>
      </c>
      <c r="BB189" s="34">
        <v>1</v>
      </c>
      <c r="BC189" s="40">
        <v>0</v>
      </c>
      <c r="BD189" s="34">
        <v>1</v>
      </c>
      <c r="BE189" s="34">
        <v>0</v>
      </c>
      <c r="BF189" s="40">
        <v>0</v>
      </c>
      <c r="BG189" s="34">
        <v>0</v>
      </c>
      <c r="BH189" s="40">
        <v>1</v>
      </c>
      <c r="BI189" s="34">
        <v>0</v>
      </c>
      <c r="BJ189" s="34">
        <v>1</v>
      </c>
      <c r="BK189" s="40">
        <v>0</v>
      </c>
      <c r="BL189" s="958">
        <v>0.15</v>
      </c>
      <c r="BM189" s="958">
        <v>6</v>
      </c>
      <c r="BN189" s="32">
        <f t="shared" ca="1" si="242"/>
        <v>86.579499999999996</v>
      </c>
      <c r="BO189">
        <f t="shared" ca="1" si="243"/>
        <v>292.3576333333333</v>
      </c>
      <c r="BP189">
        <f t="shared" ca="1" si="244"/>
        <v>0</v>
      </c>
      <c r="BQ189">
        <f t="shared" ca="1" si="245"/>
        <v>40.706666666666663</v>
      </c>
      <c r="BR189">
        <f t="shared" ca="1" si="246"/>
        <v>0</v>
      </c>
      <c r="BS189">
        <f t="shared" ca="1" si="247"/>
        <v>15.99</v>
      </c>
      <c r="BT189">
        <f t="shared" ca="1" si="248"/>
        <v>0</v>
      </c>
      <c r="BU189">
        <v>0</v>
      </c>
      <c r="BV189">
        <f t="shared" ca="1" si="249"/>
        <v>0</v>
      </c>
      <c r="BW189">
        <f t="shared" ca="1" si="250"/>
        <v>21.755168951207999</v>
      </c>
      <c r="BX189">
        <f t="shared" ca="1" si="251"/>
        <v>0</v>
      </c>
      <c r="BY189">
        <f t="shared" ca="1" si="252"/>
        <v>43.97249997581514</v>
      </c>
      <c r="BZ189">
        <f t="shared" ca="1" si="253"/>
        <v>0</v>
      </c>
      <c r="CA189">
        <f t="shared" si="254"/>
        <v>0</v>
      </c>
      <c r="CB189" s="1018">
        <f t="shared" ca="1" si="260"/>
        <v>74.232168927023139</v>
      </c>
      <c r="CC189" s="1018">
        <f t="shared" ca="1" si="261"/>
        <v>13.821248902959452</v>
      </c>
      <c r="CD189">
        <f t="shared" ca="1" si="200"/>
        <v>2.6416025348994778</v>
      </c>
      <c r="CE189">
        <f t="shared" ca="1" si="201"/>
        <v>4398.1625565062341</v>
      </c>
    </row>
    <row r="190" spans="1:83" x14ac:dyDescent="0.25">
      <c r="B190" s="836"/>
      <c r="C190" s="831"/>
      <c r="D190" s="832"/>
      <c r="E190" s="831"/>
      <c r="F190" s="832"/>
      <c r="G190" s="831"/>
      <c r="H190" s="832"/>
      <c r="I190" s="836" t="s">
        <v>57</v>
      </c>
      <c r="J190" s="836">
        <v>0.28000000000000003</v>
      </c>
      <c r="K190" s="836"/>
      <c r="L190" s="836"/>
      <c r="M190" s="836"/>
      <c r="N190" s="836"/>
      <c r="O190" s="833" t="s">
        <v>7</v>
      </c>
      <c r="P190" s="836">
        <v>3.4700000000000002E-2</v>
      </c>
      <c r="Q190" s="832"/>
      <c r="R190" s="841">
        <v>1.8690213010347589E-4</v>
      </c>
      <c r="S190" s="876"/>
      <c r="T190" s="34">
        <f t="shared" si="255"/>
        <v>1.8690213010347589E-4</v>
      </c>
      <c r="U190" s="200">
        <f t="shared" si="256"/>
        <v>1.8690213010347589E-4</v>
      </c>
      <c r="V190" s="200">
        <f t="shared" si="257"/>
        <v>1.8690213010347589E-4</v>
      </c>
      <c r="W190" s="176">
        <f>V190/Calculation_sheet!M$67</f>
        <v>1.869059515845452E-4</v>
      </c>
      <c r="X190" s="958">
        <f ca="1">IF(AL190&gt;0,W190*Calculation_sheet!C$87,0)</f>
        <v>0</v>
      </c>
      <c r="Y190" s="176">
        <f t="shared" ca="1" si="258"/>
        <v>1.869059515845452E-4</v>
      </c>
      <c r="Z190" s="176">
        <f>IF(AN190&gt;0,Y190*Calculation_sheet!C$94,0)</f>
        <v>0</v>
      </c>
      <c r="AA190" s="958">
        <f t="shared" ca="1" si="241"/>
        <v>1.869059515845452E-4</v>
      </c>
      <c r="AB190" s="176">
        <f ca="1">AA190*Calculation_sheet!C$99</f>
        <v>1.1214357095072711E-4</v>
      </c>
      <c r="AC190" s="958">
        <f t="shared" ca="1" si="241"/>
        <v>7.4762380633818084E-5</v>
      </c>
      <c r="AD190" s="176">
        <f t="shared" si="259"/>
        <v>1.869059515845452E-4</v>
      </c>
      <c r="AE190" s="176">
        <f>AD190*User_sheet!B$77/100</f>
        <v>0</v>
      </c>
      <c r="AF190" s="309"/>
      <c r="AG190" s="27">
        <v>403</v>
      </c>
      <c r="AH190" s="985"/>
      <c r="AI190" s="956">
        <f t="shared" ca="1" si="199"/>
        <v>74.232168927023139</v>
      </c>
      <c r="AJ190" s="956">
        <f ca="1">AI190/'403'!I$24</f>
        <v>0.51817601689524495</v>
      </c>
      <c r="AK190" s="956">
        <f ca="1">0.8*(AI190*30+'403'!D$17*0.34*30*1)</f>
        <v>4372.0306942485549</v>
      </c>
      <c r="AL190" s="954">
        <f ca="1">IF(AK190&lt;User_sheet!B$50,W190,0)</f>
        <v>1.869059515845452E-4</v>
      </c>
      <c r="AM190" s="954">
        <f ca="1">20-(User_sheet!B$57/(AI190+'403'!D$17*1*0.34))</f>
        <v>-11.289807772841485</v>
      </c>
      <c r="AN190" s="954"/>
      <c r="AO190" s="985"/>
      <c r="AP190" s="2">
        <v>0</v>
      </c>
      <c r="AQ190" s="1020">
        <v>0.58899999999999997</v>
      </c>
      <c r="AR190" s="2">
        <v>0</v>
      </c>
      <c r="AS190" s="2">
        <v>2.75</v>
      </c>
      <c r="AT190" s="2">
        <v>0</v>
      </c>
      <c r="AU190" s="2">
        <v>0</v>
      </c>
      <c r="AV190" s="2">
        <v>72298.2589500467</v>
      </c>
      <c r="AW190" s="2">
        <v>0</v>
      </c>
      <c r="AX190" s="2">
        <v>0</v>
      </c>
      <c r="AY190" s="2">
        <v>0</v>
      </c>
      <c r="AZ190" s="50">
        <v>0.6</v>
      </c>
      <c r="BA190" s="34">
        <v>0</v>
      </c>
      <c r="BB190" s="34">
        <v>1</v>
      </c>
      <c r="BC190" s="40">
        <v>0</v>
      </c>
      <c r="BD190" s="34">
        <v>1</v>
      </c>
      <c r="BE190" s="34">
        <v>0</v>
      </c>
      <c r="BF190" s="40">
        <v>0</v>
      </c>
      <c r="BG190" s="34">
        <v>0</v>
      </c>
      <c r="BH190" s="40">
        <v>1</v>
      </c>
      <c r="BI190" s="34">
        <v>0</v>
      </c>
      <c r="BJ190" s="34">
        <v>0</v>
      </c>
      <c r="BK190" s="40">
        <v>1</v>
      </c>
      <c r="BL190" s="958">
        <v>0.15</v>
      </c>
      <c r="BM190" s="958">
        <v>6</v>
      </c>
      <c r="BN190" s="32">
        <f t="shared" ca="1" si="242"/>
        <v>86.579499999999996</v>
      </c>
      <c r="BO190">
        <f t="shared" ca="1" si="243"/>
        <v>292.3576333333333</v>
      </c>
      <c r="BP190">
        <f t="shared" ca="1" si="244"/>
        <v>0</v>
      </c>
      <c r="BQ190">
        <f t="shared" ca="1" si="245"/>
        <v>40.706666666666663</v>
      </c>
      <c r="BR190">
        <f t="shared" ca="1" si="246"/>
        <v>0</v>
      </c>
      <c r="BS190">
        <f t="shared" ca="1" si="247"/>
        <v>15.99</v>
      </c>
      <c r="BT190">
        <f t="shared" ca="1" si="248"/>
        <v>0</v>
      </c>
      <c r="BU190">
        <v>0</v>
      </c>
      <c r="BV190">
        <f t="shared" ca="1" si="249"/>
        <v>0</v>
      </c>
      <c r="BW190">
        <f t="shared" ca="1" si="250"/>
        <v>21.755168951207999</v>
      </c>
      <c r="BX190">
        <f t="shared" ca="1" si="251"/>
        <v>0</v>
      </c>
      <c r="BY190">
        <f t="shared" ca="1" si="252"/>
        <v>43.97249997581514</v>
      </c>
      <c r="BZ190">
        <f t="shared" ca="1" si="253"/>
        <v>0</v>
      </c>
      <c r="CA190">
        <f t="shared" si="254"/>
        <v>0</v>
      </c>
      <c r="CB190" s="1018">
        <f t="shared" ca="1" si="260"/>
        <v>74.232168927023139</v>
      </c>
      <c r="CC190" s="1018">
        <f t="shared" ca="1" si="261"/>
        <v>13.821248902959452</v>
      </c>
      <c r="CD190">
        <f t="shared" ca="1" si="200"/>
        <v>2.6416025348994778</v>
      </c>
      <c r="CE190">
        <f t="shared" ca="1" si="201"/>
        <v>4398.1625565062341</v>
      </c>
    </row>
    <row r="191" spans="1:83" x14ac:dyDescent="0.25">
      <c r="B191" s="831"/>
      <c r="C191" s="831"/>
      <c r="D191" s="832"/>
      <c r="E191" s="831"/>
      <c r="F191" s="832"/>
      <c r="G191" s="831"/>
      <c r="H191" s="832"/>
      <c r="I191" s="836"/>
      <c r="J191" s="836"/>
      <c r="K191" s="836"/>
      <c r="L191" s="836">
        <v>3.4482758620689655E-2</v>
      </c>
      <c r="M191" s="836"/>
      <c r="N191" s="836"/>
      <c r="O191" s="840" t="s">
        <v>57</v>
      </c>
      <c r="P191" s="836">
        <v>0.96530000000000005</v>
      </c>
      <c r="Q191" s="832"/>
      <c r="R191" s="841">
        <v>2.7364875805988969E-4</v>
      </c>
      <c r="S191" s="876"/>
      <c r="T191" s="34">
        <f t="shared" si="255"/>
        <v>2.7364875805988969E-4</v>
      </c>
      <c r="U191" s="200">
        <f t="shared" si="256"/>
        <v>2.7364875805988969E-4</v>
      </c>
      <c r="V191" s="200">
        <f t="shared" si="257"/>
        <v>2.7364875805988969E-4</v>
      </c>
      <c r="W191" s="176">
        <f>V191/Calculation_sheet!M$67</f>
        <v>2.7365435319969889E-4</v>
      </c>
      <c r="X191" s="958">
        <f ca="1">IF(AL191&gt;0,W191*Calculation_sheet!C$87,0)</f>
        <v>0</v>
      </c>
      <c r="Y191" s="176">
        <f t="shared" ca="1" si="258"/>
        <v>2.7365435319969889E-4</v>
      </c>
      <c r="Z191" s="176">
        <f>IF(AN191&gt;0,Y191*Calculation_sheet!C$94,0)</f>
        <v>0</v>
      </c>
      <c r="AA191" s="958">
        <f t="shared" ca="1" si="241"/>
        <v>2.7365435319969889E-4</v>
      </c>
      <c r="AB191" s="176">
        <f ca="1">AA191*Calculation_sheet!C$99</f>
        <v>1.6419261191981933E-4</v>
      </c>
      <c r="AC191" s="958">
        <f t="shared" ca="1" si="241"/>
        <v>1.0946174127987956E-4</v>
      </c>
      <c r="AD191" s="176">
        <f t="shared" si="259"/>
        <v>2.7365435319969889E-4</v>
      </c>
      <c r="AE191" s="176">
        <f>AD191*User_sheet!B$77/100</f>
        <v>0</v>
      </c>
      <c r="AF191" s="309"/>
      <c r="AG191" s="27">
        <v>403</v>
      </c>
      <c r="AH191" s="985"/>
      <c r="AI191" s="956">
        <f t="shared" ca="1" si="199"/>
        <v>74.232168927023139</v>
      </c>
      <c r="AJ191" s="956">
        <f ca="1">AI191/'403'!I$24</f>
        <v>0.51817601689524495</v>
      </c>
      <c r="AK191" s="956">
        <f ca="1">0.8*(AI191*30+'403'!D$17*0.34*30*1)</f>
        <v>4372.0306942485549</v>
      </c>
      <c r="AL191" s="954">
        <f ca="1">IF(AK191&lt;User_sheet!B$50,W191,0)</f>
        <v>2.7365435319969889E-4</v>
      </c>
      <c r="AM191" s="954">
        <f ca="1">20-(User_sheet!B$57/(AI191+'403'!D$17*1*0.34))</f>
        <v>-11.289807772841485</v>
      </c>
      <c r="AN191" s="954"/>
      <c r="AO191" s="985"/>
      <c r="AP191" s="2">
        <v>0</v>
      </c>
      <c r="AQ191" s="1020">
        <v>0.58899999999999997</v>
      </c>
      <c r="AR191" s="2">
        <v>0</v>
      </c>
      <c r="AS191" s="2">
        <v>2.75</v>
      </c>
      <c r="AT191" s="2">
        <v>0</v>
      </c>
      <c r="AU191" s="2">
        <v>0</v>
      </c>
      <c r="AV191" s="2">
        <v>72298.2589500467</v>
      </c>
      <c r="AW191" s="2">
        <v>0</v>
      </c>
      <c r="AX191" s="2">
        <v>0</v>
      </c>
      <c r="AY191" s="2">
        <v>0</v>
      </c>
      <c r="AZ191" s="50">
        <v>0.6</v>
      </c>
      <c r="BA191" s="34">
        <v>0</v>
      </c>
      <c r="BB191" s="34">
        <v>1</v>
      </c>
      <c r="BC191" s="40">
        <v>0</v>
      </c>
      <c r="BD191" s="34">
        <v>0</v>
      </c>
      <c r="BE191" s="34">
        <v>1</v>
      </c>
      <c r="BF191" s="40">
        <v>0</v>
      </c>
      <c r="BG191" s="34">
        <v>1</v>
      </c>
      <c r="BH191" s="40">
        <v>0</v>
      </c>
      <c r="BI191" s="34">
        <v>0</v>
      </c>
      <c r="BJ191" s="34">
        <v>1</v>
      </c>
      <c r="BK191" s="40">
        <v>0</v>
      </c>
      <c r="BL191" s="958">
        <v>0.15</v>
      </c>
      <c r="BM191" s="958">
        <v>6</v>
      </c>
      <c r="BN191" s="32">
        <f t="shared" ca="1" si="242"/>
        <v>86.579499999999996</v>
      </c>
      <c r="BO191">
        <f t="shared" ca="1" si="243"/>
        <v>292.3576333333333</v>
      </c>
      <c r="BP191">
        <f t="shared" ca="1" si="244"/>
        <v>0</v>
      </c>
      <c r="BQ191">
        <f t="shared" ca="1" si="245"/>
        <v>40.706666666666663</v>
      </c>
      <c r="BR191">
        <f t="shared" ca="1" si="246"/>
        <v>0</v>
      </c>
      <c r="BS191">
        <f t="shared" ca="1" si="247"/>
        <v>15.99</v>
      </c>
      <c r="BT191">
        <f t="shared" ca="1" si="248"/>
        <v>0</v>
      </c>
      <c r="BU191">
        <v>0</v>
      </c>
      <c r="BV191">
        <f t="shared" ca="1" si="249"/>
        <v>0</v>
      </c>
      <c r="BW191">
        <f t="shared" ca="1" si="250"/>
        <v>21.755168951207999</v>
      </c>
      <c r="BX191">
        <f t="shared" ca="1" si="251"/>
        <v>0</v>
      </c>
      <c r="BY191">
        <f t="shared" ca="1" si="252"/>
        <v>43.97249997581514</v>
      </c>
      <c r="BZ191">
        <f t="shared" ca="1" si="253"/>
        <v>0</v>
      </c>
      <c r="CA191">
        <f t="shared" si="254"/>
        <v>0</v>
      </c>
      <c r="CB191" s="1018">
        <f t="shared" ca="1" si="260"/>
        <v>74.232168927023139</v>
      </c>
      <c r="CC191" s="1018">
        <f t="shared" ca="1" si="261"/>
        <v>13.821248902959452</v>
      </c>
      <c r="CD191">
        <f t="shared" ca="1" si="200"/>
        <v>2.6416025348994778</v>
      </c>
      <c r="CE191">
        <f t="shared" ca="1" si="201"/>
        <v>4398.1625565062341</v>
      </c>
    </row>
    <row r="192" spans="1:83" x14ac:dyDescent="0.25">
      <c r="B192" s="831"/>
      <c r="C192" s="831"/>
      <c r="D192" s="832"/>
      <c r="E192" s="831"/>
      <c r="F192" s="832"/>
      <c r="G192" s="831"/>
      <c r="H192" s="832"/>
      <c r="I192" s="836"/>
      <c r="J192" s="836"/>
      <c r="K192" s="836"/>
      <c r="L192" s="836"/>
      <c r="M192" s="836"/>
      <c r="N192" s="836"/>
      <c r="O192" s="840" t="s">
        <v>7</v>
      </c>
      <c r="P192" s="836">
        <v>3.4700000000000002E-2</v>
      </c>
      <c r="Q192" s="832"/>
      <c r="R192" s="841">
        <v>9.8369542159724155E-6</v>
      </c>
      <c r="S192" s="876"/>
      <c r="T192" s="34">
        <f t="shared" si="255"/>
        <v>9.8369542159724155E-6</v>
      </c>
      <c r="U192" s="200">
        <f t="shared" si="256"/>
        <v>9.8369542159724155E-6</v>
      </c>
      <c r="V192" s="200">
        <f t="shared" si="257"/>
        <v>9.8369542159724155E-6</v>
      </c>
      <c r="W192" s="176">
        <f>V192/Calculation_sheet!M$67</f>
        <v>9.8371553465550108E-6</v>
      </c>
      <c r="X192" s="958">
        <f ca="1">IF(AL192&gt;0,W192*Calculation_sheet!C$87,0)</f>
        <v>0</v>
      </c>
      <c r="Y192" s="176">
        <f t="shared" ca="1" si="258"/>
        <v>9.8371553465550108E-6</v>
      </c>
      <c r="Z192" s="176">
        <f>IF(AN192&gt;0,Y192*Calculation_sheet!C$94,0)</f>
        <v>0</v>
      </c>
      <c r="AA192" s="958">
        <f t="shared" ca="1" si="241"/>
        <v>9.8371553465550108E-6</v>
      </c>
      <c r="AB192" s="176">
        <f ca="1">AA192*Calculation_sheet!C$99</f>
        <v>5.9022932079330066E-6</v>
      </c>
      <c r="AC192" s="958">
        <f t="shared" ca="1" si="241"/>
        <v>3.9348621386220041E-6</v>
      </c>
      <c r="AD192" s="176">
        <f t="shared" si="259"/>
        <v>9.8371553465550108E-6</v>
      </c>
      <c r="AE192" s="176">
        <f>AD192*User_sheet!B$77/100</f>
        <v>0</v>
      </c>
      <c r="AF192" s="309"/>
      <c r="AG192" s="27">
        <v>403</v>
      </c>
      <c r="AH192" s="985"/>
      <c r="AI192" s="956">
        <f t="shared" ca="1" si="199"/>
        <v>74.232168927023139</v>
      </c>
      <c r="AJ192" s="956">
        <f ca="1">AI192/'403'!I$24</f>
        <v>0.51817601689524495</v>
      </c>
      <c r="AK192" s="956">
        <f ca="1">0.8*(AI192*30+'403'!D$17*0.34*30*1)</f>
        <v>4372.0306942485549</v>
      </c>
      <c r="AL192" s="954">
        <f ca="1">IF(AK192&lt;User_sheet!B$50,W192,0)</f>
        <v>9.8371553465550108E-6</v>
      </c>
      <c r="AM192" s="954">
        <f ca="1">20-(User_sheet!B$57/(AI192+'403'!D$17*1*0.34))</f>
        <v>-11.289807772841485</v>
      </c>
      <c r="AN192" s="954"/>
      <c r="AO192" s="985"/>
      <c r="AP192" s="2">
        <v>0</v>
      </c>
      <c r="AQ192" s="1020">
        <v>0.58899999999999997</v>
      </c>
      <c r="AR192" s="2">
        <v>0</v>
      </c>
      <c r="AS192" s="2">
        <v>2.75</v>
      </c>
      <c r="AT192" s="2">
        <v>0</v>
      </c>
      <c r="AU192" s="2">
        <v>0</v>
      </c>
      <c r="AV192" s="2">
        <v>72298.2589500467</v>
      </c>
      <c r="AW192" s="2"/>
      <c r="AX192" s="2"/>
      <c r="AY192" s="2"/>
      <c r="AZ192" s="50">
        <v>0.6</v>
      </c>
      <c r="BA192" s="34">
        <v>0</v>
      </c>
      <c r="BB192" s="34">
        <v>1</v>
      </c>
      <c r="BC192" s="40">
        <v>0</v>
      </c>
      <c r="BD192" s="34">
        <v>0</v>
      </c>
      <c r="BE192" s="34">
        <v>1</v>
      </c>
      <c r="BF192" s="40">
        <v>0</v>
      </c>
      <c r="BG192" s="34">
        <v>1</v>
      </c>
      <c r="BH192" s="40">
        <v>0</v>
      </c>
      <c r="BI192" s="34">
        <v>0</v>
      </c>
      <c r="BJ192" s="34">
        <v>0</v>
      </c>
      <c r="BK192" s="40">
        <v>1</v>
      </c>
      <c r="BL192" s="958">
        <v>0.15</v>
      </c>
      <c r="BM192" s="958">
        <v>6</v>
      </c>
      <c r="BN192" s="32">
        <f t="shared" ca="1" si="242"/>
        <v>86.579499999999996</v>
      </c>
      <c r="BO192">
        <f t="shared" ca="1" si="243"/>
        <v>292.3576333333333</v>
      </c>
      <c r="BP192">
        <f t="shared" ca="1" si="244"/>
        <v>0</v>
      </c>
      <c r="BQ192">
        <f t="shared" ca="1" si="245"/>
        <v>40.706666666666663</v>
      </c>
      <c r="BR192">
        <f t="shared" ca="1" si="246"/>
        <v>0</v>
      </c>
      <c r="BS192">
        <f t="shared" ca="1" si="247"/>
        <v>15.99</v>
      </c>
      <c r="BT192">
        <f t="shared" ca="1" si="248"/>
        <v>0</v>
      </c>
      <c r="BU192">
        <v>0</v>
      </c>
      <c r="BV192">
        <f t="shared" ca="1" si="249"/>
        <v>0</v>
      </c>
      <c r="BW192">
        <f t="shared" ca="1" si="250"/>
        <v>21.755168951207999</v>
      </c>
      <c r="BX192">
        <f t="shared" ca="1" si="251"/>
        <v>0</v>
      </c>
      <c r="BY192">
        <f t="shared" ca="1" si="252"/>
        <v>43.97249997581514</v>
      </c>
      <c r="BZ192">
        <f t="shared" ca="1" si="253"/>
        <v>0</v>
      </c>
      <c r="CA192">
        <f t="shared" si="254"/>
        <v>0</v>
      </c>
      <c r="CB192" s="1018">
        <f t="shared" ca="1" si="260"/>
        <v>74.232168927023139</v>
      </c>
      <c r="CC192" s="1018">
        <f t="shared" ca="1" si="261"/>
        <v>13.821248902959452</v>
      </c>
      <c r="CD192">
        <f t="shared" ca="1" si="200"/>
        <v>2.6416025348994778</v>
      </c>
      <c r="CE192">
        <f t="shared" ca="1" si="201"/>
        <v>4398.1625565062341</v>
      </c>
    </row>
    <row r="193" spans="2:83" x14ac:dyDescent="0.25">
      <c r="B193" s="831"/>
      <c r="C193" s="831"/>
      <c r="D193" s="832"/>
      <c r="E193" s="831" t="s">
        <v>4</v>
      </c>
      <c r="F193" s="835">
        <v>0.61</v>
      </c>
      <c r="G193" s="831" t="s">
        <v>5</v>
      </c>
      <c r="H193" s="835">
        <v>1</v>
      </c>
      <c r="I193" s="836" t="s">
        <v>7</v>
      </c>
      <c r="J193" s="836">
        <v>0.15000000000000002</v>
      </c>
      <c r="K193" s="836"/>
      <c r="L193" s="836">
        <v>1</v>
      </c>
      <c r="M193" s="836"/>
      <c r="N193" s="836">
        <v>1</v>
      </c>
      <c r="O193" s="840" t="s">
        <v>7</v>
      </c>
      <c r="P193" s="836">
        <v>1</v>
      </c>
      <c r="Q193" s="832"/>
      <c r="R193" s="841">
        <v>4.4041530300000008E-3</v>
      </c>
      <c r="S193" s="876"/>
      <c r="T193" s="34">
        <f t="shared" si="255"/>
        <v>4.4041530300000008E-3</v>
      </c>
      <c r="U193" s="200">
        <f t="shared" si="256"/>
        <v>4.4041530300000008E-3</v>
      </c>
      <c r="V193" s="200">
        <f t="shared" si="257"/>
        <v>4.4041530300000008E-3</v>
      </c>
      <c r="W193" s="176">
        <f>V193/Calculation_sheet!M$67</f>
        <v>4.4042430792007306E-3</v>
      </c>
      <c r="X193" s="958">
        <f ca="1">IF(AL193&gt;0,W193*Calculation_sheet!C$87,0)</f>
        <v>0</v>
      </c>
      <c r="Y193" s="176">
        <f t="shared" ca="1" si="258"/>
        <v>4.4042430792007306E-3</v>
      </c>
      <c r="Z193" s="176">
        <f>IF(AN193&gt;0,Y193*Calculation_sheet!C$94,0)</f>
        <v>0</v>
      </c>
      <c r="AA193" s="958">
        <f t="shared" ca="1" si="241"/>
        <v>4.4042430792007306E-3</v>
      </c>
      <c r="AB193" s="176">
        <f ca="1">AA193*Calculation_sheet!C$99</f>
        <v>2.6425458475204384E-3</v>
      </c>
      <c r="AC193" s="958">
        <f t="shared" ca="1" si="241"/>
        <v>1.7616972316802921E-3</v>
      </c>
      <c r="AD193" s="176">
        <f t="shared" si="259"/>
        <v>4.4042430792007306E-3</v>
      </c>
      <c r="AE193" s="176">
        <f>AD193*User_sheet!B$77/100</f>
        <v>0</v>
      </c>
      <c r="AF193" s="309"/>
      <c r="AG193" s="27">
        <v>403</v>
      </c>
      <c r="AH193" s="985"/>
      <c r="AI193" s="956">
        <f t="shared" ca="1" si="199"/>
        <v>74.232168927023139</v>
      </c>
      <c r="AJ193" s="956">
        <f ca="1">AI193/'403'!I$24</f>
        <v>0.51817601689524495</v>
      </c>
      <c r="AK193" s="956">
        <f ca="1">0.8*(AI193*30+'403'!D$17*0.34*30*1)</f>
        <v>4372.0306942485549</v>
      </c>
      <c r="AL193" s="954">
        <f ca="1">IF(AK193&lt;User_sheet!B$50,W193,0)</f>
        <v>4.4042430792007306E-3</v>
      </c>
      <c r="AM193" s="954">
        <f ca="1">20-(User_sheet!B$57/(AI193+'403'!D$17*1*0.34))</f>
        <v>-11.289807772841485</v>
      </c>
      <c r="AN193" s="954"/>
      <c r="AO193" s="985"/>
      <c r="AP193" s="2">
        <v>0</v>
      </c>
      <c r="AQ193" s="1020">
        <v>0.58899999999999997</v>
      </c>
      <c r="AR193" s="2">
        <v>0</v>
      </c>
      <c r="AS193" s="2">
        <v>2.75</v>
      </c>
      <c r="AT193" s="2">
        <v>0</v>
      </c>
      <c r="AU193" s="2">
        <v>0</v>
      </c>
      <c r="AV193" s="2">
        <v>72298.2589500467</v>
      </c>
      <c r="AW193" s="2">
        <v>0</v>
      </c>
      <c r="AX193" s="2">
        <v>0</v>
      </c>
      <c r="AY193" s="2">
        <v>0</v>
      </c>
      <c r="AZ193" s="50">
        <v>0.6</v>
      </c>
      <c r="BA193" s="34">
        <v>0</v>
      </c>
      <c r="BB193" s="34">
        <v>0</v>
      </c>
      <c r="BC193" s="40">
        <v>1</v>
      </c>
      <c r="BD193" s="34">
        <v>0</v>
      </c>
      <c r="BE193" s="34">
        <v>0</v>
      </c>
      <c r="BF193" s="40">
        <v>1</v>
      </c>
      <c r="BG193" s="34">
        <v>1</v>
      </c>
      <c r="BH193" s="40">
        <v>0</v>
      </c>
      <c r="BI193" s="34">
        <v>0</v>
      </c>
      <c r="BJ193" s="34">
        <v>0</v>
      </c>
      <c r="BK193" s="40">
        <v>1</v>
      </c>
      <c r="BL193" s="958">
        <v>0.15</v>
      </c>
      <c r="BM193" s="958">
        <v>6</v>
      </c>
      <c r="BN193" s="32">
        <f t="shared" ca="1" si="242"/>
        <v>86.579499999999996</v>
      </c>
      <c r="BO193">
        <f t="shared" ca="1" si="243"/>
        <v>292.3576333333333</v>
      </c>
      <c r="BP193">
        <f t="shared" ca="1" si="244"/>
        <v>0</v>
      </c>
      <c r="BQ193">
        <f t="shared" ca="1" si="245"/>
        <v>40.706666666666663</v>
      </c>
      <c r="BR193">
        <f t="shared" ca="1" si="246"/>
        <v>0</v>
      </c>
      <c r="BS193">
        <f t="shared" ca="1" si="247"/>
        <v>15.99</v>
      </c>
      <c r="BT193">
        <f t="shared" ca="1" si="248"/>
        <v>0</v>
      </c>
      <c r="BU193">
        <v>0</v>
      </c>
      <c r="BV193">
        <f t="shared" ca="1" si="249"/>
        <v>0</v>
      </c>
      <c r="BW193">
        <f t="shared" ca="1" si="250"/>
        <v>21.755168951207999</v>
      </c>
      <c r="BX193">
        <f t="shared" ca="1" si="251"/>
        <v>0</v>
      </c>
      <c r="BY193">
        <f t="shared" ca="1" si="252"/>
        <v>43.97249997581514</v>
      </c>
      <c r="BZ193">
        <f t="shared" ca="1" si="253"/>
        <v>0</v>
      </c>
      <c r="CA193">
        <f t="shared" si="254"/>
        <v>0</v>
      </c>
      <c r="CB193" s="1018">
        <f t="shared" ca="1" si="260"/>
        <v>74.232168927023139</v>
      </c>
      <c r="CC193" s="1018">
        <f t="shared" ca="1" si="261"/>
        <v>13.821248902959452</v>
      </c>
      <c r="CD193">
        <f t="shared" ca="1" si="200"/>
        <v>2.6416025348994778</v>
      </c>
      <c r="CE193">
        <f t="shared" ca="1" si="201"/>
        <v>4398.1625565062341</v>
      </c>
    </row>
    <row r="194" spans="2:83" s="14" customFormat="1" x14ac:dyDescent="0.25">
      <c r="B194" s="837"/>
      <c r="C194" s="837"/>
      <c r="D194" s="838"/>
      <c r="E194" s="837"/>
      <c r="F194" s="838"/>
      <c r="G194" s="837"/>
      <c r="H194" s="838"/>
      <c r="I194" s="838"/>
      <c r="J194" s="838"/>
      <c r="K194" s="838"/>
      <c r="L194" s="838"/>
      <c r="M194" s="838"/>
      <c r="N194" s="838"/>
      <c r="O194" s="839"/>
      <c r="P194" s="838"/>
      <c r="Q194" s="838"/>
      <c r="R194" s="842"/>
      <c r="S194" s="879"/>
      <c r="T194" s="277"/>
      <c r="U194" s="292"/>
      <c r="V194" s="292"/>
      <c r="W194" s="292"/>
      <c r="X194" s="277"/>
      <c r="Y194" s="292"/>
      <c r="Z194" s="292"/>
      <c r="AA194" s="277"/>
      <c r="AB194" s="292"/>
      <c r="AC194" s="277"/>
      <c r="AD194" s="292"/>
      <c r="AE194" s="292"/>
      <c r="AF194" s="309"/>
      <c r="AG194" s="28"/>
      <c r="AH194" s="985"/>
      <c r="AI194" s="956">
        <f t="shared" si="199"/>
        <v>0</v>
      </c>
      <c r="AJ194" s="941"/>
      <c r="AK194" s="941"/>
      <c r="AL194" s="941"/>
      <c r="AM194" s="941"/>
      <c r="AN194" s="941"/>
      <c r="AO194" s="985"/>
      <c r="AP194" s="28"/>
      <c r="AQ194" s="28"/>
      <c r="AR194" s="28"/>
      <c r="AS194" s="28"/>
      <c r="AT194" s="28"/>
      <c r="AU194" s="28"/>
      <c r="AV194" s="28"/>
      <c r="AW194" s="28"/>
      <c r="AX194" s="28"/>
      <c r="AY194" s="28"/>
      <c r="AZ194" s="49"/>
      <c r="BA194" s="277"/>
      <c r="BB194" s="28"/>
      <c r="BC194" s="49"/>
      <c r="BD194" s="277"/>
      <c r="BE194" s="28"/>
      <c r="BF194" s="49"/>
      <c r="BG194" s="277"/>
      <c r="BH194" s="49"/>
      <c r="BI194" s="277"/>
      <c r="BJ194" s="28"/>
      <c r="BK194" s="49"/>
      <c r="BL194" s="277"/>
      <c r="BM194" s="277"/>
      <c r="BN194" s="36"/>
    </row>
    <row r="195" spans="2:83" x14ac:dyDescent="0.25">
      <c r="B195" s="831"/>
      <c r="C195" s="831" t="s">
        <v>3</v>
      </c>
      <c r="D195" s="834">
        <v>0.1847</v>
      </c>
      <c r="E195" s="831"/>
      <c r="F195" s="832"/>
      <c r="G195" s="831"/>
      <c r="H195" s="832"/>
      <c r="I195" s="836"/>
      <c r="J195" s="836"/>
      <c r="K195" s="836"/>
      <c r="L195" s="836"/>
      <c r="M195" s="836" t="s">
        <v>60</v>
      </c>
      <c r="N195" s="836">
        <v>0.74576271186440679</v>
      </c>
      <c r="O195" s="833" t="s">
        <v>16</v>
      </c>
      <c r="P195" s="836">
        <v>0.63219999999999998</v>
      </c>
      <c r="Q195" s="832"/>
      <c r="R195" s="841">
        <v>2.9499729887153114E-3</v>
      </c>
      <c r="T195" s="34">
        <f>R195</f>
        <v>2.9499729887153114E-3</v>
      </c>
      <c r="U195" s="200">
        <f>T195-T195*Calculation_sheet!J$68/4</f>
        <v>2.9499729887153114E-3</v>
      </c>
      <c r="V195" s="200">
        <f>U195-U195*(Calculation_sheet!O$78+Calculation_sheet!J78)/4</f>
        <v>2.9499729887153114E-3</v>
      </c>
      <c r="W195" s="176">
        <f>V195/Calculation_sheet!M$67</f>
        <v>2.9500333051275698E-3</v>
      </c>
      <c r="X195" s="958">
        <f ca="1">IF(AL195&gt;0,W195*Calculation_sheet!C$87,0)</f>
        <v>0</v>
      </c>
      <c r="Y195" s="176">
        <f ca="1">W195-X195</f>
        <v>2.9500333051275698E-3</v>
      </c>
      <c r="Z195" s="176">
        <f>IF(AN195&gt;0,Y195*Calculation_sheet!C$94,0)</f>
        <v>0</v>
      </c>
      <c r="AA195" s="958">
        <f t="shared" ref="AA195:AC207" ca="1" si="262">Y195-Z195</f>
        <v>2.9500333051275698E-3</v>
      </c>
      <c r="AB195" s="176">
        <f ca="1">AA195*Calculation_sheet!C$99</f>
        <v>1.7700199830765419E-3</v>
      </c>
      <c r="AC195" s="958">
        <f t="shared" ca="1" si="262"/>
        <v>1.1800133220510279E-3</v>
      </c>
      <c r="AD195" s="176">
        <f>W195-Z195</f>
        <v>2.9500333051275698E-3</v>
      </c>
      <c r="AE195" s="176">
        <f>AD195*User_sheet!B$77/100</f>
        <v>0</v>
      </c>
      <c r="AF195" s="309"/>
      <c r="AG195" s="27">
        <v>403</v>
      </c>
      <c r="AH195" s="985"/>
      <c r="AI195" s="956">
        <f t="shared" ca="1" si="199"/>
        <v>121.67412214265423</v>
      </c>
      <c r="AJ195" s="956">
        <f ca="1">AI195/'403'!I$24</f>
        <v>0.8493435242756886</v>
      </c>
      <c r="AK195" s="956">
        <f ca="1">0.8*(AI195*30+'403'!D$17*0.34*30*1)</f>
        <v>5510.637571423702</v>
      </c>
      <c r="AL195" s="954">
        <f ca="1">IF(AK195&lt;User_sheet!B$50,W195,0)</f>
        <v>2.9500333051275698E-3</v>
      </c>
      <c r="AM195" s="954">
        <f ca="1">20-(User_sheet!B$57/(AI195+'403'!D$17*1*0.34))</f>
        <v>-4.824713697267704</v>
      </c>
      <c r="AN195" s="954"/>
      <c r="AO195" s="985"/>
      <c r="AP195" s="2">
        <v>0</v>
      </c>
      <c r="AQ195" s="2">
        <v>2.41</v>
      </c>
      <c r="AR195" s="2">
        <v>0</v>
      </c>
      <c r="AS195" s="2">
        <v>2.75</v>
      </c>
      <c r="AT195" s="2">
        <v>0</v>
      </c>
      <c r="AU195" s="2">
        <v>0</v>
      </c>
      <c r="AV195" s="2">
        <v>75945.51234133933</v>
      </c>
      <c r="AW195" s="2">
        <v>0</v>
      </c>
      <c r="AX195" s="2">
        <v>0</v>
      </c>
      <c r="AY195" s="2">
        <v>0</v>
      </c>
      <c r="AZ195" s="50">
        <v>0.6</v>
      </c>
      <c r="BA195" s="34">
        <v>1</v>
      </c>
      <c r="BB195" s="34">
        <v>0</v>
      </c>
      <c r="BC195" s="40">
        <v>0</v>
      </c>
      <c r="BD195" s="34">
        <v>1</v>
      </c>
      <c r="BE195" s="34">
        <v>0</v>
      </c>
      <c r="BF195" s="40">
        <v>0</v>
      </c>
      <c r="BG195" s="34">
        <v>1</v>
      </c>
      <c r="BH195" s="40">
        <v>0</v>
      </c>
      <c r="BI195" s="34">
        <v>1</v>
      </c>
      <c r="BJ195" s="34">
        <v>0</v>
      </c>
      <c r="BK195" s="40">
        <v>0</v>
      </c>
      <c r="BL195" s="958">
        <v>0.15</v>
      </c>
      <c r="BM195" s="958">
        <v>10</v>
      </c>
      <c r="BN195" s="32">
        <f t="shared" ref="BN195:BN207" ca="1" si="263">INDIRECT("'"&amp;AG195&amp;"'!"&amp;"B2")</f>
        <v>86.579499999999996</v>
      </c>
      <c r="BO195">
        <f t="shared" ref="BO195:BO207" ca="1" si="264">INDIRECT("'"&amp;AG195&amp;"'!"&amp;"C12")+INDIRECT("'"&amp;AG195&amp;"'!"&amp;"C13")+INDIRECT("'"&amp;AG195&amp;"'!"&amp;"C14")+INDIRECT("'"&amp;AG195&amp;"'!"&amp;"C15")+INDIRECT("'"&amp;AG195&amp;"'!"&amp;"C17")</f>
        <v>292.3576333333333</v>
      </c>
      <c r="BP195">
        <f t="shared" ref="BP195:BP207" ca="1" si="265">INDIRECT("'"&amp;AG195&amp;"'!"&amp;"G5")</f>
        <v>0</v>
      </c>
      <c r="BQ195">
        <f t="shared" ref="BQ195:BQ207" ca="1" si="266">INDIRECT("'"&amp;AG195&amp;"'!"&amp;"G4")</f>
        <v>40.706666666666663</v>
      </c>
      <c r="BR195">
        <f t="shared" ref="BR195:BR207" ca="1" si="267">INDIRECT("'"&amp;AG195&amp;"'!"&amp;"G6")</f>
        <v>0</v>
      </c>
      <c r="BS195">
        <f t="shared" ref="BS195:BS207" ca="1" si="268">INDIRECT("'"&amp;AG195&amp;"'!"&amp;"G2")</f>
        <v>15.99</v>
      </c>
      <c r="BT195">
        <f t="shared" ref="BT195:BT207" ca="1" si="269">INDIRECT("'"&amp;AG195&amp;"'!"&amp;"G3")</f>
        <v>0</v>
      </c>
      <c r="BU195">
        <v>0</v>
      </c>
      <c r="BV195">
        <f t="shared" ref="BV195:BV207" ca="1" si="270">IF(OR(BP195=0,AP195=0),0,1/(1/(BP195*$BW$3)+1/(BP195*AP195)+1/(BP195*$BW$4)))</f>
        <v>0</v>
      </c>
      <c r="BW195">
        <f t="shared" ref="BW195:BW207" ca="1" si="271">IF(OR(BQ195=0,AQ195=0),0,1/(1/(BQ195*$BW$3)+1/(BQ195*AQ195)+1/(BQ195*$BW$4)))</f>
        <v>69.19712216683908</v>
      </c>
      <c r="BX195">
        <f t="shared" ref="BX195:BX207" ca="1" si="272">IF(OR(BR195=0,AR195=0),0,1/(1/(BR195*$BW$3)+1/(BR195*AR195)+1/(BR195*$BW$4)))</f>
        <v>0</v>
      </c>
      <c r="BY195">
        <f t="shared" ref="BY195:BY207" ca="1" si="273">IF(OR(BS195=0,AS195=0),0,1/(1/(BS195*$BW$5)+1/(BS195*AS195)+1/(BS195*$BW$6)))</f>
        <v>43.97249997581514</v>
      </c>
      <c r="BZ195">
        <f t="shared" ref="BZ195:BZ207" ca="1" si="274">IF(OR(BT195=0,AT195=0),0,1/(1/(BT195*$BW$3)+1/(BT195*AT195)+1/(BT195*$BW$4)))</f>
        <v>0</v>
      </c>
      <c r="CA195">
        <f t="shared" ref="CA195:CA207" si="275">IF(OR(BU195=0,AU195=0),0,1/(1/(BU195*$BW$3)+1/(BU195*AU195)+1/(BU195*$BW$4)))</f>
        <v>0</v>
      </c>
      <c r="CB195" s="1018">
        <f ca="1">SUM(BV195:CA195)+(BP195+BQ195+BR195+BS195+BT195)*BL195</f>
        <v>121.67412214265423</v>
      </c>
      <c r="CC195" s="1018">
        <f ca="1">0.34*BM195*(1/25)^0.66*(BQ195+BS195+BT195)</f>
        <v>23.035414838265758</v>
      </c>
      <c r="CD195">
        <f t="shared" ca="1" si="200"/>
        <v>4.3412861094275996</v>
      </c>
      <c r="CE195">
        <f t="shared" ca="1" si="201"/>
        <v>7228.0677207525741</v>
      </c>
    </row>
    <row r="196" spans="2:83" x14ac:dyDescent="0.25">
      <c r="B196" s="831"/>
      <c r="C196" s="831"/>
      <c r="D196" s="832"/>
      <c r="E196" s="831"/>
      <c r="F196" s="832"/>
      <c r="G196" s="831"/>
      <c r="H196" s="832"/>
      <c r="I196" s="836"/>
      <c r="J196" s="836"/>
      <c r="K196" s="836"/>
      <c r="L196" s="836"/>
      <c r="M196" s="836"/>
      <c r="N196" s="836"/>
      <c r="O196" s="833" t="s">
        <v>7</v>
      </c>
      <c r="P196" s="836">
        <v>0.36780000000000002</v>
      </c>
      <c r="Q196" s="832"/>
      <c r="R196" s="841">
        <v>1.7162291446527864E-3</v>
      </c>
      <c r="T196" s="34">
        <f t="shared" ref="T196:T207" si="276">R196</f>
        <v>1.7162291446527864E-3</v>
      </c>
      <c r="U196" s="200">
        <f>T196-T196*Calculation_sheet!J$68/4</f>
        <v>1.7162291446527864E-3</v>
      </c>
      <c r="V196" s="200">
        <f>U196-U196*(Calculation_sheet!O$78+Calculation_sheet!J79)/4</f>
        <v>1.7162291446527864E-3</v>
      </c>
      <c r="W196" s="176">
        <f>V196/Calculation_sheet!M$67</f>
        <v>1.7162642354095544E-3</v>
      </c>
      <c r="X196" s="958">
        <f ca="1">IF(AL196&gt;0,W196*Calculation_sheet!C$87,0)</f>
        <v>0</v>
      </c>
      <c r="Y196" s="176">
        <f t="shared" ref="Y196:Y207" ca="1" si="277">W196-X196</f>
        <v>1.7162642354095544E-3</v>
      </c>
      <c r="Z196" s="176">
        <f>IF(AN196&gt;0,Y196*Calculation_sheet!C$94,0)</f>
        <v>0</v>
      </c>
      <c r="AA196" s="958">
        <f t="shared" ca="1" si="262"/>
        <v>1.7162642354095544E-3</v>
      </c>
      <c r="AB196" s="176">
        <f ca="1">AA196*Calculation_sheet!C$99</f>
        <v>1.0297585412457327E-3</v>
      </c>
      <c r="AC196" s="958">
        <f t="shared" ca="1" si="262"/>
        <v>6.8650569416382171E-4</v>
      </c>
      <c r="AD196" s="176">
        <f t="shared" ref="AD196:AD207" si="278">W196-Z196</f>
        <v>1.7162642354095544E-3</v>
      </c>
      <c r="AE196" s="176">
        <f>AD196*User_sheet!B$77/100</f>
        <v>0</v>
      </c>
      <c r="AF196" s="309"/>
      <c r="AG196" s="27">
        <v>403</v>
      </c>
      <c r="AH196" s="985"/>
      <c r="AI196" s="956">
        <f t="shared" ca="1" si="199"/>
        <v>121.67412214265423</v>
      </c>
      <c r="AJ196" s="956">
        <f ca="1">AI196/'403'!I$24</f>
        <v>0.8493435242756886</v>
      </c>
      <c r="AK196" s="956">
        <f ca="1">0.8*(AI196*30+'403'!D$17*0.34*30*1)</f>
        <v>5510.637571423702</v>
      </c>
      <c r="AL196" s="954">
        <f ca="1">IF(AK196&lt;User_sheet!B$50,W196,0)</f>
        <v>1.7162642354095544E-3</v>
      </c>
      <c r="AM196" s="954">
        <f ca="1">20-(User_sheet!B$57/(AI196+'403'!D$17*1*0.34))</f>
        <v>-4.824713697267704</v>
      </c>
      <c r="AN196" s="954"/>
      <c r="AO196" s="985"/>
      <c r="AP196" s="2">
        <v>0</v>
      </c>
      <c r="AQ196" s="1020">
        <v>2.41</v>
      </c>
      <c r="AR196" s="2">
        <v>0</v>
      </c>
      <c r="AS196" s="2">
        <v>2.75</v>
      </c>
      <c r="AT196" s="2">
        <v>0</v>
      </c>
      <c r="AU196" s="2">
        <v>0</v>
      </c>
      <c r="AV196" s="2">
        <v>75945.51234133933</v>
      </c>
      <c r="AW196" s="2">
        <v>0</v>
      </c>
      <c r="AX196" s="2">
        <v>0</v>
      </c>
      <c r="AY196" s="2">
        <v>0</v>
      </c>
      <c r="AZ196" s="50">
        <v>0.6</v>
      </c>
      <c r="BA196" s="34">
        <v>1</v>
      </c>
      <c r="BB196" s="34">
        <v>0</v>
      </c>
      <c r="BC196" s="40">
        <v>0</v>
      </c>
      <c r="BD196" s="34">
        <v>1</v>
      </c>
      <c r="BE196" s="34">
        <v>0</v>
      </c>
      <c r="BF196" s="40">
        <v>0</v>
      </c>
      <c r="BG196" s="34">
        <v>1</v>
      </c>
      <c r="BH196" s="40">
        <v>0</v>
      </c>
      <c r="BI196" s="34">
        <v>0</v>
      </c>
      <c r="BJ196" s="34">
        <v>0</v>
      </c>
      <c r="BK196" s="40">
        <v>1</v>
      </c>
      <c r="BL196" s="958">
        <v>0.15</v>
      </c>
      <c r="BM196" s="958">
        <v>10</v>
      </c>
      <c r="BN196" s="32">
        <f t="shared" ca="1" si="263"/>
        <v>86.579499999999996</v>
      </c>
      <c r="BO196">
        <f t="shared" ca="1" si="264"/>
        <v>292.3576333333333</v>
      </c>
      <c r="BP196">
        <f t="shared" ca="1" si="265"/>
        <v>0</v>
      </c>
      <c r="BQ196">
        <f t="shared" ca="1" si="266"/>
        <v>40.706666666666663</v>
      </c>
      <c r="BR196">
        <f t="shared" ca="1" si="267"/>
        <v>0</v>
      </c>
      <c r="BS196">
        <f t="shared" ca="1" si="268"/>
        <v>15.99</v>
      </c>
      <c r="BT196">
        <f t="shared" ca="1" si="269"/>
        <v>0</v>
      </c>
      <c r="BU196">
        <v>0</v>
      </c>
      <c r="BV196">
        <f t="shared" ca="1" si="270"/>
        <v>0</v>
      </c>
      <c r="BW196">
        <f t="shared" ca="1" si="271"/>
        <v>69.19712216683908</v>
      </c>
      <c r="BX196">
        <f t="shared" ca="1" si="272"/>
        <v>0</v>
      </c>
      <c r="BY196">
        <f t="shared" ca="1" si="273"/>
        <v>43.97249997581514</v>
      </c>
      <c r="BZ196">
        <f t="shared" ca="1" si="274"/>
        <v>0</v>
      </c>
      <c r="CA196">
        <f t="shared" si="275"/>
        <v>0</v>
      </c>
      <c r="CB196" s="1018">
        <f t="shared" ref="CB196:CB207" ca="1" si="279">SUM(BV196:CA196)+(BP196+BQ196+BR196+BS196+BT196)*BL196</f>
        <v>121.67412214265423</v>
      </c>
      <c r="CC196" s="1018">
        <f t="shared" ref="CC196:CC207" ca="1" si="280">0.34*BM196*(1/25)^0.66*(BQ196+BS196+BT196)</f>
        <v>23.035414838265758</v>
      </c>
      <c r="CD196">
        <f t="shared" ca="1" si="200"/>
        <v>4.3412861094275996</v>
      </c>
      <c r="CE196">
        <f t="shared" ca="1" si="201"/>
        <v>7228.0677207525741</v>
      </c>
    </row>
    <row r="197" spans="2:83" x14ac:dyDescent="0.25">
      <c r="D197" s="832"/>
      <c r="E197" s="831"/>
      <c r="F197" s="832"/>
      <c r="G197" s="831"/>
      <c r="H197" s="832"/>
      <c r="I197" s="836"/>
      <c r="J197" s="836"/>
      <c r="K197" s="836"/>
      <c r="L197" s="836">
        <v>0.91</v>
      </c>
      <c r="M197" s="836" t="s">
        <v>61</v>
      </c>
      <c r="N197" s="836">
        <v>0.25423728813559321</v>
      </c>
      <c r="O197" s="833" t="s">
        <v>16</v>
      </c>
      <c r="P197" s="836">
        <v>0.63219999999999998</v>
      </c>
      <c r="Q197" s="832"/>
      <c r="R197" s="841">
        <v>1.0056726097893108E-3</v>
      </c>
      <c r="T197" s="34">
        <f t="shared" si="276"/>
        <v>1.0056726097893108E-3</v>
      </c>
      <c r="U197" s="200">
        <f>T197-T197*Calculation_sheet!J$68/4</f>
        <v>1.0056726097893108E-3</v>
      </c>
      <c r="V197" s="200">
        <f>U197-U197*(Calculation_sheet!O$78+Calculation_sheet!J80)/4</f>
        <v>1.0056726097893108E-3</v>
      </c>
      <c r="W197" s="176">
        <f>V197/Calculation_sheet!M$67</f>
        <v>1.0056931722025807E-3</v>
      </c>
      <c r="X197" s="958">
        <f ca="1">IF(AL197&gt;0,W197*Calculation_sheet!C$87,0)</f>
        <v>0</v>
      </c>
      <c r="Y197" s="176">
        <f t="shared" ca="1" si="277"/>
        <v>1.0056931722025807E-3</v>
      </c>
      <c r="Z197" s="176">
        <f>IF(AN197&gt;0,Y197*Calculation_sheet!C$94,0)</f>
        <v>0</v>
      </c>
      <c r="AA197" s="958">
        <f t="shared" ca="1" si="262"/>
        <v>1.0056931722025807E-3</v>
      </c>
      <c r="AB197" s="176">
        <f ca="1">AA197*Calculation_sheet!C$99</f>
        <v>6.0341590332154847E-4</v>
      </c>
      <c r="AC197" s="958">
        <f t="shared" ca="1" si="262"/>
        <v>4.0227726888103228E-4</v>
      </c>
      <c r="AD197" s="176">
        <f t="shared" si="278"/>
        <v>1.0056931722025807E-3</v>
      </c>
      <c r="AE197" s="176">
        <f>AD197*User_sheet!B$77/100</f>
        <v>0</v>
      </c>
      <c r="AF197" s="309"/>
      <c r="AG197" s="27">
        <v>403</v>
      </c>
      <c r="AH197" s="985"/>
      <c r="AI197" s="956">
        <f t="shared" ca="1" si="199"/>
        <v>121.67412214265423</v>
      </c>
      <c r="AJ197" s="956">
        <f ca="1">AI197/'403'!I$24</f>
        <v>0.8493435242756886</v>
      </c>
      <c r="AK197" s="956">
        <f ca="1">0.8*(AI197*30+'403'!D$17*0.34*30*1)</f>
        <v>5510.637571423702</v>
      </c>
      <c r="AL197" s="954">
        <f ca="1">IF(AK197&lt;User_sheet!B$50,W197,0)</f>
        <v>1.0056931722025807E-3</v>
      </c>
      <c r="AM197" s="954">
        <f ca="1">20-(User_sheet!B$57/(AI197+'403'!D$17*1*0.34))</f>
        <v>-4.824713697267704</v>
      </c>
      <c r="AN197" s="954"/>
      <c r="AO197" s="985"/>
      <c r="AP197" s="2">
        <v>0</v>
      </c>
      <c r="AQ197" s="1020">
        <v>2.41</v>
      </c>
      <c r="AR197" s="2">
        <v>0</v>
      </c>
      <c r="AS197" s="2">
        <v>2.75</v>
      </c>
      <c r="AT197" s="2">
        <v>0</v>
      </c>
      <c r="AU197" s="2">
        <v>0</v>
      </c>
      <c r="AV197" s="2">
        <v>75945.51234133933</v>
      </c>
      <c r="AW197" s="2">
        <v>0</v>
      </c>
      <c r="AX197" s="2">
        <v>0</v>
      </c>
      <c r="AY197" s="2">
        <v>0</v>
      </c>
      <c r="AZ197" s="50">
        <v>0.6</v>
      </c>
      <c r="BA197" s="34">
        <v>1</v>
      </c>
      <c r="BB197" s="34">
        <v>0</v>
      </c>
      <c r="BC197" s="40">
        <v>0</v>
      </c>
      <c r="BD197" s="34">
        <v>1</v>
      </c>
      <c r="BE197" s="34">
        <v>0</v>
      </c>
      <c r="BF197" s="40">
        <v>0</v>
      </c>
      <c r="BG197" s="34">
        <v>0</v>
      </c>
      <c r="BH197" s="40">
        <v>1</v>
      </c>
      <c r="BI197" s="34">
        <v>1</v>
      </c>
      <c r="BJ197" s="34">
        <v>0</v>
      </c>
      <c r="BK197" s="40">
        <v>0</v>
      </c>
      <c r="BL197" s="958">
        <v>0.15</v>
      </c>
      <c r="BM197" s="958">
        <v>10</v>
      </c>
      <c r="BN197" s="32">
        <f t="shared" ca="1" si="263"/>
        <v>86.579499999999996</v>
      </c>
      <c r="BO197">
        <f t="shared" ca="1" si="264"/>
        <v>292.3576333333333</v>
      </c>
      <c r="BP197">
        <f t="shared" ca="1" si="265"/>
        <v>0</v>
      </c>
      <c r="BQ197">
        <f t="shared" ca="1" si="266"/>
        <v>40.706666666666663</v>
      </c>
      <c r="BR197">
        <f t="shared" ca="1" si="267"/>
        <v>0</v>
      </c>
      <c r="BS197">
        <f t="shared" ca="1" si="268"/>
        <v>15.99</v>
      </c>
      <c r="BT197">
        <f t="shared" ca="1" si="269"/>
        <v>0</v>
      </c>
      <c r="BU197">
        <v>0</v>
      </c>
      <c r="BV197">
        <f t="shared" ca="1" si="270"/>
        <v>0</v>
      </c>
      <c r="BW197">
        <f t="shared" ca="1" si="271"/>
        <v>69.19712216683908</v>
      </c>
      <c r="BX197">
        <f t="shared" ca="1" si="272"/>
        <v>0</v>
      </c>
      <c r="BY197">
        <f t="shared" ca="1" si="273"/>
        <v>43.97249997581514</v>
      </c>
      <c r="BZ197">
        <f t="shared" ca="1" si="274"/>
        <v>0</v>
      </c>
      <c r="CA197">
        <f t="shared" si="275"/>
        <v>0</v>
      </c>
      <c r="CB197" s="1018">
        <f t="shared" ca="1" si="279"/>
        <v>121.67412214265423</v>
      </c>
      <c r="CC197" s="1018">
        <f t="shared" ca="1" si="280"/>
        <v>23.035414838265758</v>
      </c>
      <c r="CD197">
        <f t="shared" ca="1" si="200"/>
        <v>4.3412861094275996</v>
      </c>
      <c r="CE197">
        <f t="shared" ca="1" si="201"/>
        <v>7228.0677207525741</v>
      </c>
    </row>
    <row r="198" spans="2:83" x14ac:dyDescent="0.25">
      <c r="D198" s="832"/>
      <c r="E198" s="831"/>
      <c r="F198" s="832"/>
      <c r="G198" s="831"/>
      <c r="H198" s="832"/>
      <c r="I198" s="836" t="s">
        <v>16</v>
      </c>
      <c r="J198" s="836">
        <v>0.56999999999999995</v>
      </c>
      <c r="K198" s="836"/>
      <c r="L198" s="836"/>
      <c r="M198" s="836"/>
      <c r="N198" s="836"/>
      <c r="O198" s="833" t="s">
        <v>7</v>
      </c>
      <c r="P198" s="836">
        <v>0.36780000000000002</v>
      </c>
      <c r="Q198" s="832"/>
      <c r="R198" s="841">
        <v>5.8507811749526812E-4</v>
      </c>
      <c r="T198" s="34">
        <f t="shared" si="276"/>
        <v>5.8507811749526812E-4</v>
      </c>
      <c r="U198" s="200">
        <f>T198-T198*Calculation_sheet!J$68/4</f>
        <v>5.8507811749526812E-4</v>
      </c>
      <c r="V198" s="200">
        <f>U198-U198*(Calculation_sheet!O$78+Calculation_sheet!J81)/4</f>
        <v>5.8507811749526812E-4</v>
      </c>
      <c r="W198" s="176">
        <f>V198/Calculation_sheet!M$67</f>
        <v>5.8509008025325719E-4</v>
      </c>
      <c r="X198" s="958">
        <f ca="1">IF(AL198&gt;0,W198*Calculation_sheet!C$87,0)</f>
        <v>0</v>
      </c>
      <c r="Y198" s="176">
        <f t="shared" ca="1" si="277"/>
        <v>5.8509008025325719E-4</v>
      </c>
      <c r="Z198" s="176">
        <f>IF(AN198&gt;0,Y198*Calculation_sheet!C$94,0)</f>
        <v>0</v>
      </c>
      <c r="AA198" s="958">
        <f t="shared" ca="1" si="262"/>
        <v>5.8509008025325719E-4</v>
      </c>
      <c r="AB198" s="176">
        <f ca="1">AA198*Calculation_sheet!C$99</f>
        <v>3.5105404815195432E-4</v>
      </c>
      <c r="AC198" s="958">
        <f t="shared" ca="1" si="262"/>
        <v>2.3403603210130286E-4</v>
      </c>
      <c r="AD198" s="176">
        <f t="shared" si="278"/>
        <v>5.8509008025325719E-4</v>
      </c>
      <c r="AE198" s="176">
        <f>AD198*User_sheet!B$77/100</f>
        <v>0</v>
      </c>
      <c r="AF198" s="309"/>
      <c r="AG198" s="27">
        <v>403</v>
      </c>
      <c r="AH198" s="985"/>
      <c r="AI198" s="956">
        <f t="shared" ca="1" si="199"/>
        <v>121.67412214265423</v>
      </c>
      <c r="AJ198" s="956">
        <f ca="1">AI198/'403'!I$24</f>
        <v>0.8493435242756886</v>
      </c>
      <c r="AK198" s="956">
        <f ca="1">0.8*(AI198*30+'403'!D$17*0.34*30*1)</f>
        <v>5510.637571423702</v>
      </c>
      <c r="AL198" s="954">
        <f ca="1">IF(AK198&lt;User_sheet!B$50,W198,0)</f>
        <v>5.8509008025325719E-4</v>
      </c>
      <c r="AM198" s="954">
        <f ca="1">20-(User_sheet!B$57/(AI198+'403'!D$17*1*0.34))</f>
        <v>-4.824713697267704</v>
      </c>
      <c r="AN198" s="954"/>
      <c r="AO198" s="985"/>
      <c r="AP198" s="2">
        <v>0</v>
      </c>
      <c r="AQ198" s="1020">
        <v>2.41</v>
      </c>
      <c r="AR198" s="2">
        <v>0</v>
      </c>
      <c r="AS198" s="2">
        <v>2.75</v>
      </c>
      <c r="AT198" s="2">
        <v>0</v>
      </c>
      <c r="AU198" s="2">
        <v>0</v>
      </c>
      <c r="AV198" s="2">
        <v>75945.51234133933</v>
      </c>
      <c r="AW198" s="2">
        <v>0</v>
      </c>
      <c r="AX198" s="2">
        <v>0</v>
      </c>
      <c r="AY198" s="2">
        <v>0</v>
      </c>
      <c r="AZ198" s="50">
        <v>0.6</v>
      </c>
      <c r="BA198" s="34">
        <v>1</v>
      </c>
      <c r="BB198" s="34">
        <v>0</v>
      </c>
      <c r="BC198" s="40">
        <v>0</v>
      </c>
      <c r="BD198" s="34">
        <v>1</v>
      </c>
      <c r="BE198" s="34">
        <v>0</v>
      </c>
      <c r="BF198" s="40">
        <v>0</v>
      </c>
      <c r="BG198" s="34">
        <v>0</v>
      </c>
      <c r="BH198" s="40">
        <v>1</v>
      </c>
      <c r="BI198" s="34">
        <v>0</v>
      </c>
      <c r="BJ198" s="34">
        <v>0</v>
      </c>
      <c r="BK198" s="40">
        <v>1</v>
      </c>
      <c r="BL198" s="958">
        <v>0.15</v>
      </c>
      <c r="BM198" s="958">
        <v>10</v>
      </c>
      <c r="BN198" s="32">
        <f t="shared" ca="1" si="263"/>
        <v>86.579499999999996</v>
      </c>
      <c r="BO198">
        <f t="shared" ca="1" si="264"/>
        <v>292.3576333333333</v>
      </c>
      <c r="BP198">
        <f t="shared" ca="1" si="265"/>
        <v>0</v>
      </c>
      <c r="BQ198">
        <f t="shared" ca="1" si="266"/>
        <v>40.706666666666663</v>
      </c>
      <c r="BR198">
        <f t="shared" ca="1" si="267"/>
        <v>0</v>
      </c>
      <c r="BS198">
        <f t="shared" ca="1" si="268"/>
        <v>15.99</v>
      </c>
      <c r="BT198">
        <f t="shared" ca="1" si="269"/>
        <v>0</v>
      </c>
      <c r="BU198">
        <v>0</v>
      </c>
      <c r="BV198">
        <f t="shared" ca="1" si="270"/>
        <v>0</v>
      </c>
      <c r="BW198">
        <f t="shared" ca="1" si="271"/>
        <v>69.19712216683908</v>
      </c>
      <c r="BX198">
        <f t="shared" ca="1" si="272"/>
        <v>0</v>
      </c>
      <c r="BY198">
        <f t="shared" ca="1" si="273"/>
        <v>43.97249997581514</v>
      </c>
      <c r="BZ198">
        <f t="shared" ca="1" si="274"/>
        <v>0</v>
      </c>
      <c r="CA198">
        <f t="shared" si="275"/>
        <v>0</v>
      </c>
      <c r="CB198" s="1018">
        <f t="shared" ca="1" si="279"/>
        <v>121.67412214265423</v>
      </c>
      <c r="CC198" s="1018">
        <f t="shared" ca="1" si="280"/>
        <v>23.035414838265758</v>
      </c>
      <c r="CD198">
        <f t="shared" ca="1" si="200"/>
        <v>4.3412861094275996</v>
      </c>
      <c r="CE198">
        <f t="shared" ca="1" si="201"/>
        <v>7228.0677207525741</v>
      </c>
    </row>
    <row r="199" spans="2:83" x14ac:dyDescent="0.25">
      <c r="D199" s="832"/>
      <c r="E199" s="831"/>
      <c r="F199" s="832"/>
      <c r="G199" s="831"/>
      <c r="H199" s="832"/>
      <c r="I199" s="836"/>
      <c r="J199" s="836"/>
      <c r="K199" s="836"/>
      <c r="L199" s="836">
        <v>8.9999999999999969E-2</v>
      </c>
      <c r="M199" s="836"/>
      <c r="N199" s="836"/>
      <c r="O199" s="840" t="s">
        <v>16</v>
      </c>
      <c r="P199" s="836">
        <v>0.63219999999999998</v>
      </c>
      <c r="Q199" s="832"/>
      <c r="R199" s="841">
        <v>3.9121769655540203E-4</v>
      </c>
      <c r="T199" s="34">
        <f t="shared" si="276"/>
        <v>3.9121769655540203E-4</v>
      </c>
      <c r="U199" s="200">
        <f>T199-T199*Calculation_sheet!J$68/4</f>
        <v>3.9121769655540203E-4</v>
      </c>
      <c r="V199" s="200">
        <f>U199-U199*(Calculation_sheet!O$78+Calculation_sheet!J82)/4</f>
        <v>3.9121769655540203E-4</v>
      </c>
      <c r="W199" s="176">
        <f>V199/Calculation_sheet!M$67</f>
        <v>3.9122569556012462E-4</v>
      </c>
      <c r="X199" s="958">
        <f ca="1">IF(AL199&gt;0,W199*Calculation_sheet!C$87,0)</f>
        <v>0</v>
      </c>
      <c r="Y199" s="176">
        <f t="shared" ca="1" si="277"/>
        <v>3.9122569556012462E-4</v>
      </c>
      <c r="Z199" s="176">
        <f>IF(AN199&gt;0,Y199*Calculation_sheet!C$94,0)</f>
        <v>0</v>
      </c>
      <c r="AA199" s="958">
        <f t="shared" ca="1" si="262"/>
        <v>3.9122569556012462E-4</v>
      </c>
      <c r="AB199" s="176">
        <f ca="1">AA199*Calculation_sheet!C$99</f>
        <v>2.3473541733607476E-4</v>
      </c>
      <c r="AC199" s="958">
        <f t="shared" ca="1" si="262"/>
        <v>1.5649027822404985E-4</v>
      </c>
      <c r="AD199" s="176">
        <f t="shared" si="278"/>
        <v>3.9122569556012462E-4</v>
      </c>
      <c r="AE199" s="176">
        <f>AD199*User_sheet!B$77/100</f>
        <v>0</v>
      </c>
      <c r="AF199" s="309"/>
      <c r="AG199" s="27">
        <v>403</v>
      </c>
      <c r="AH199" s="985"/>
      <c r="AI199" s="956">
        <f t="shared" ca="1" si="199"/>
        <v>121.67412214265423</v>
      </c>
      <c r="AJ199" s="956">
        <f ca="1">AI199/'403'!I$24</f>
        <v>0.8493435242756886</v>
      </c>
      <c r="AK199" s="956">
        <f ca="1">0.8*(AI199*30+'403'!D$17*0.34*30*1)</f>
        <v>5510.637571423702</v>
      </c>
      <c r="AL199" s="954">
        <f ca="1">IF(AK199&lt;User_sheet!B$50,W199,0)</f>
        <v>3.9122569556012462E-4</v>
      </c>
      <c r="AM199" s="954">
        <f ca="1">20-(User_sheet!B$57/(AI199+'403'!D$17*1*0.34))</f>
        <v>-4.824713697267704</v>
      </c>
      <c r="AN199" s="954"/>
      <c r="AO199" s="985"/>
      <c r="AP199" s="2">
        <v>0</v>
      </c>
      <c r="AQ199" s="1020">
        <v>2.41</v>
      </c>
      <c r="AR199" s="2">
        <v>0</v>
      </c>
      <c r="AS199" s="2">
        <v>2.75</v>
      </c>
      <c r="AT199" s="2">
        <v>0</v>
      </c>
      <c r="AU199" s="2">
        <v>0</v>
      </c>
      <c r="AV199" s="2">
        <v>75945.51234133933</v>
      </c>
      <c r="AW199" s="2">
        <v>0</v>
      </c>
      <c r="AX199" s="2">
        <v>0</v>
      </c>
      <c r="AY199" s="2">
        <v>0</v>
      </c>
      <c r="AZ199" s="50">
        <v>0.6</v>
      </c>
      <c r="BA199" s="34">
        <v>1</v>
      </c>
      <c r="BB199" s="34">
        <v>0</v>
      </c>
      <c r="BC199" s="40">
        <v>0</v>
      </c>
      <c r="BD199" s="34">
        <v>0</v>
      </c>
      <c r="BE199" s="34">
        <v>1</v>
      </c>
      <c r="BF199" s="40">
        <v>0</v>
      </c>
      <c r="BG199" s="34">
        <v>1</v>
      </c>
      <c r="BH199" s="40">
        <v>0</v>
      </c>
      <c r="BI199" s="34">
        <v>1</v>
      </c>
      <c r="BJ199" s="34">
        <v>0</v>
      </c>
      <c r="BK199" s="40">
        <v>0</v>
      </c>
      <c r="BL199" s="958">
        <v>0.15</v>
      </c>
      <c r="BM199" s="958">
        <v>10</v>
      </c>
      <c r="BN199" s="32">
        <f t="shared" ca="1" si="263"/>
        <v>86.579499999999996</v>
      </c>
      <c r="BO199">
        <f t="shared" ca="1" si="264"/>
        <v>292.3576333333333</v>
      </c>
      <c r="BP199">
        <f t="shared" ca="1" si="265"/>
        <v>0</v>
      </c>
      <c r="BQ199">
        <f t="shared" ca="1" si="266"/>
        <v>40.706666666666663</v>
      </c>
      <c r="BR199">
        <f t="shared" ca="1" si="267"/>
        <v>0</v>
      </c>
      <c r="BS199">
        <f t="shared" ca="1" si="268"/>
        <v>15.99</v>
      </c>
      <c r="BT199">
        <f t="shared" ca="1" si="269"/>
        <v>0</v>
      </c>
      <c r="BU199">
        <v>0</v>
      </c>
      <c r="BV199">
        <f t="shared" ca="1" si="270"/>
        <v>0</v>
      </c>
      <c r="BW199">
        <f t="shared" ca="1" si="271"/>
        <v>69.19712216683908</v>
      </c>
      <c r="BX199">
        <f t="shared" ca="1" si="272"/>
        <v>0</v>
      </c>
      <c r="BY199">
        <f t="shared" ca="1" si="273"/>
        <v>43.97249997581514</v>
      </c>
      <c r="BZ199">
        <f t="shared" ca="1" si="274"/>
        <v>0</v>
      </c>
      <c r="CA199">
        <f t="shared" si="275"/>
        <v>0</v>
      </c>
      <c r="CB199" s="1018">
        <f t="shared" ca="1" si="279"/>
        <v>121.67412214265423</v>
      </c>
      <c r="CC199" s="1018">
        <f t="shared" ca="1" si="280"/>
        <v>23.035414838265758</v>
      </c>
      <c r="CD199">
        <f t="shared" ca="1" si="200"/>
        <v>4.3412861094275996</v>
      </c>
      <c r="CE199">
        <f t="shared" ca="1" si="201"/>
        <v>7228.0677207525741</v>
      </c>
    </row>
    <row r="200" spans="2:83" x14ac:dyDescent="0.25">
      <c r="D200" s="832"/>
      <c r="E200" s="831"/>
      <c r="F200" s="832"/>
      <c r="G200" s="831"/>
      <c r="H200" s="832"/>
      <c r="I200" s="836"/>
      <c r="J200" s="836"/>
      <c r="K200" s="836"/>
      <c r="L200" s="836"/>
      <c r="M200" s="836"/>
      <c r="N200" s="836"/>
      <c r="O200" s="840" t="s">
        <v>7</v>
      </c>
      <c r="P200" s="836">
        <v>0.36780000000000002</v>
      </c>
      <c r="Q200" s="832"/>
      <c r="R200" s="841">
        <v>2.2760181713552181E-4</v>
      </c>
      <c r="T200" s="34">
        <f t="shared" si="276"/>
        <v>2.2760181713552181E-4</v>
      </c>
      <c r="U200" s="200">
        <f>T200-T200*Calculation_sheet!J$68/4</f>
        <v>2.2760181713552181E-4</v>
      </c>
      <c r="V200" s="200">
        <f>U200-U200*(Calculation_sheet!O$78+Calculation_sheet!J83)/4</f>
        <v>2.2760181713552181E-4</v>
      </c>
      <c r="W200" s="176">
        <f>V200/Calculation_sheet!M$67</f>
        <v>2.2760647077983844E-4</v>
      </c>
      <c r="X200" s="958">
        <f ca="1">IF(AL200&gt;0,W200*Calculation_sheet!C$87,0)</f>
        <v>0</v>
      </c>
      <c r="Y200" s="176">
        <f t="shared" ca="1" si="277"/>
        <v>2.2760647077983844E-4</v>
      </c>
      <c r="Z200" s="176">
        <f>IF(AN200&gt;0,Y200*Calculation_sheet!C$94,0)</f>
        <v>0</v>
      </c>
      <c r="AA200" s="958">
        <f t="shared" ca="1" si="262"/>
        <v>2.2760647077983844E-4</v>
      </c>
      <c r="AB200" s="176">
        <f ca="1">AA200*Calculation_sheet!C$99</f>
        <v>1.3656388246790306E-4</v>
      </c>
      <c r="AC200" s="958">
        <f t="shared" ca="1" si="262"/>
        <v>9.1042588311935382E-5</v>
      </c>
      <c r="AD200" s="176">
        <f t="shared" si="278"/>
        <v>2.2760647077983844E-4</v>
      </c>
      <c r="AE200" s="176">
        <f>AD200*User_sheet!B$77/100</f>
        <v>0</v>
      </c>
      <c r="AF200" s="309"/>
      <c r="AG200" s="27">
        <v>403</v>
      </c>
      <c r="AH200" s="985"/>
      <c r="AI200" s="956">
        <f t="shared" ca="1" si="199"/>
        <v>121.67412214265423</v>
      </c>
      <c r="AJ200" s="956">
        <f ca="1">AI200/'403'!I$24</f>
        <v>0.8493435242756886</v>
      </c>
      <c r="AK200" s="956">
        <f ca="1">0.8*(AI200*30+'403'!D$17*0.34*30*1)</f>
        <v>5510.637571423702</v>
      </c>
      <c r="AL200" s="954">
        <f ca="1">IF(AK200&lt;User_sheet!B$50,W200,0)</f>
        <v>2.2760647077983844E-4</v>
      </c>
      <c r="AM200" s="954">
        <f ca="1">20-(User_sheet!B$57/(AI200+'403'!D$17*1*0.34))</f>
        <v>-4.824713697267704</v>
      </c>
      <c r="AN200" s="954"/>
      <c r="AO200" s="985"/>
      <c r="AP200" s="2">
        <v>0</v>
      </c>
      <c r="AQ200" s="1020">
        <v>2.41</v>
      </c>
      <c r="AR200" s="2">
        <v>0</v>
      </c>
      <c r="AS200" s="2">
        <v>2.75</v>
      </c>
      <c r="AT200" s="2">
        <v>0</v>
      </c>
      <c r="AU200" s="2">
        <v>0</v>
      </c>
      <c r="AV200" s="2">
        <v>75945.51234133933</v>
      </c>
      <c r="AW200" s="2">
        <v>0</v>
      </c>
      <c r="AX200" s="2">
        <v>0</v>
      </c>
      <c r="AY200" s="2">
        <v>0</v>
      </c>
      <c r="AZ200" s="50">
        <v>0.6</v>
      </c>
      <c r="BA200" s="34">
        <v>1</v>
      </c>
      <c r="BB200" s="34">
        <v>0</v>
      </c>
      <c r="BC200" s="40">
        <v>0</v>
      </c>
      <c r="BD200" s="34">
        <v>0</v>
      </c>
      <c r="BE200" s="34">
        <v>1</v>
      </c>
      <c r="BF200" s="40">
        <v>0</v>
      </c>
      <c r="BG200" s="34">
        <v>1</v>
      </c>
      <c r="BH200" s="40">
        <v>0</v>
      </c>
      <c r="BI200" s="34">
        <v>0</v>
      </c>
      <c r="BJ200" s="34">
        <v>0</v>
      </c>
      <c r="BK200" s="40">
        <v>1</v>
      </c>
      <c r="BL200" s="958">
        <v>0.15</v>
      </c>
      <c r="BM200" s="958">
        <v>10</v>
      </c>
      <c r="BN200" s="32">
        <f t="shared" ca="1" si="263"/>
        <v>86.579499999999996</v>
      </c>
      <c r="BO200">
        <f t="shared" ca="1" si="264"/>
        <v>292.3576333333333</v>
      </c>
      <c r="BP200">
        <f t="shared" ca="1" si="265"/>
        <v>0</v>
      </c>
      <c r="BQ200">
        <f t="shared" ca="1" si="266"/>
        <v>40.706666666666663</v>
      </c>
      <c r="BR200">
        <f t="shared" ca="1" si="267"/>
        <v>0</v>
      </c>
      <c r="BS200">
        <f t="shared" ca="1" si="268"/>
        <v>15.99</v>
      </c>
      <c r="BT200">
        <f t="shared" ca="1" si="269"/>
        <v>0</v>
      </c>
      <c r="BU200">
        <v>0</v>
      </c>
      <c r="BV200">
        <f t="shared" ca="1" si="270"/>
        <v>0</v>
      </c>
      <c r="BW200">
        <f t="shared" ca="1" si="271"/>
        <v>69.19712216683908</v>
      </c>
      <c r="BX200">
        <f t="shared" ca="1" si="272"/>
        <v>0</v>
      </c>
      <c r="BY200">
        <f t="shared" ca="1" si="273"/>
        <v>43.97249997581514</v>
      </c>
      <c r="BZ200">
        <f t="shared" ca="1" si="274"/>
        <v>0</v>
      </c>
      <c r="CA200">
        <f t="shared" si="275"/>
        <v>0</v>
      </c>
      <c r="CB200" s="1018">
        <f t="shared" ca="1" si="279"/>
        <v>121.67412214265423</v>
      </c>
      <c r="CC200" s="1018">
        <f t="shared" ca="1" si="280"/>
        <v>23.035414838265758</v>
      </c>
      <c r="CD200">
        <f t="shared" ca="1" si="200"/>
        <v>4.3412861094275996</v>
      </c>
      <c r="CE200">
        <f t="shared" ca="1" si="201"/>
        <v>7228.0677207525741</v>
      </c>
    </row>
    <row r="201" spans="2:83" x14ac:dyDescent="0.25">
      <c r="D201" s="832"/>
      <c r="E201" s="831"/>
      <c r="F201" s="832"/>
      <c r="G201" s="831"/>
      <c r="H201" s="832"/>
      <c r="I201" s="836"/>
      <c r="J201" s="836"/>
      <c r="K201" s="836"/>
      <c r="L201" s="836"/>
      <c r="M201" s="836" t="s">
        <v>60</v>
      </c>
      <c r="N201" s="836">
        <v>0.32142857142857145</v>
      </c>
      <c r="O201" s="833" t="s">
        <v>57</v>
      </c>
      <c r="P201" s="836">
        <v>0.96530000000000005</v>
      </c>
      <c r="Q201" s="832"/>
      <c r="R201" s="841">
        <v>1.0118391617570343E-3</v>
      </c>
      <c r="T201" s="34">
        <f t="shared" si="276"/>
        <v>1.0118391617570343E-3</v>
      </c>
      <c r="U201" s="200">
        <f>T201-T201*Calculation_sheet!J$68/4</f>
        <v>1.0118391617570343E-3</v>
      </c>
      <c r="V201" s="200">
        <f>U201-U201*(Calculation_sheet!O$78+Calculation_sheet!J84)/4</f>
        <v>1.0118391617570343E-3</v>
      </c>
      <c r="W201" s="176">
        <f>V201/Calculation_sheet!M$67</f>
        <v>1.0118598502542691E-3</v>
      </c>
      <c r="X201" s="958">
        <f ca="1">IF(AL201&gt;0,W201*Calculation_sheet!C$87,0)</f>
        <v>0</v>
      </c>
      <c r="Y201" s="176">
        <f t="shared" ca="1" si="277"/>
        <v>1.0118598502542691E-3</v>
      </c>
      <c r="Z201" s="176">
        <f>IF(AN201&gt;0,Y201*Calculation_sheet!C$94,0)</f>
        <v>0</v>
      </c>
      <c r="AA201" s="958">
        <f t="shared" ca="1" si="262"/>
        <v>1.0118598502542691E-3</v>
      </c>
      <c r="AB201" s="176">
        <f ca="1">AA201*Calculation_sheet!C$99</f>
        <v>6.0711591015256137E-4</v>
      </c>
      <c r="AC201" s="958">
        <f t="shared" ca="1" si="262"/>
        <v>4.0474394010170769E-4</v>
      </c>
      <c r="AD201" s="176">
        <f t="shared" si="278"/>
        <v>1.0118598502542691E-3</v>
      </c>
      <c r="AE201" s="176">
        <f>AD201*User_sheet!B$77/100</f>
        <v>0</v>
      </c>
      <c r="AF201" s="309"/>
      <c r="AG201" s="27">
        <v>403</v>
      </c>
      <c r="AH201" s="985"/>
      <c r="AI201" s="956">
        <f t="shared" ca="1" si="199"/>
        <v>121.67412214265423</v>
      </c>
      <c r="AJ201" s="956">
        <f ca="1">AI201/'403'!I$24</f>
        <v>0.8493435242756886</v>
      </c>
      <c r="AK201" s="956">
        <f ca="1">0.8*(AI201*30+'403'!D$17*0.34*30*1)</f>
        <v>5510.637571423702</v>
      </c>
      <c r="AL201" s="954">
        <f ca="1">IF(AK201&lt;User_sheet!B$50,W201,0)</f>
        <v>1.0118598502542691E-3</v>
      </c>
      <c r="AM201" s="954">
        <f ca="1">20-(User_sheet!B$57/(AI201+'403'!D$17*1*0.34))</f>
        <v>-4.824713697267704</v>
      </c>
      <c r="AN201" s="954"/>
      <c r="AO201" s="985"/>
      <c r="AP201" s="2">
        <v>0</v>
      </c>
      <c r="AQ201" s="1020">
        <v>2.41</v>
      </c>
      <c r="AR201" s="2">
        <v>0</v>
      </c>
      <c r="AS201" s="2">
        <v>2.75</v>
      </c>
      <c r="AT201" s="2">
        <v>0</v>
      </c>
      <c r="AU201" s="2">
        <v>0</v>
      </c>
      <c r="AV201" s="2">
        <v>75945.51234133933</v>
      </c>
      <c r="AW201" s="2">
        <v>0</v>
      </c>
      <c r="AX201" s="2">
        <v>0</v>
      </c>
      <c r="AY201" s="2">
        <v>0</v>
      </c>
      <c r="AZ201" s="50">
        <v>0.6</v>
      </c>
      <c r="BA201" s="34">
        <v>0</v>
      </c>
      <c r="BB201" s="34">
        <v>1</v>
      </c>
      <c r="BC201" s="40">
        <v>0</v>
      </c>
      <c r="BD201" s="34">
        <v>1</v>
      </c>
      <c r="BE201" s="34">
        <v>0</v>
      </c>
      <c r="BF201" s="40">
        <v>0</v>
      </c>
      <c r="BG201" s="34">
        <v>1</v>
      </c>
      <c r="BH201" s="40">
        <v>0</v>
      </c>
      <c r="BI201" s="34">
        <v>0</v>
      </c>
      <c r="BJ201" s="34">
        <v>1</v>
      </c>
      <c r="BK201" s="40">
        <v>0</v>
      </c>
      <c r="BL201" s="958">
        <v>0.15</v>
      </c>
      <c r="BM201" s="958">
        <v>10</v>
      </c>
      <c r="BN201" s="32">
        <f t="shared" ca="1" si="263"/>
        <v>86.579499999999996</v>
      </c>
      <c r="BO201">
        <f t="shared" ca="1" si="264"/>
        <v>292.3576333333333</v>
      </c>
      <c r="BP201">
        <f t="shared" ca="1" si="265"/>
        <v>0</v>
      </c>
      <c r="BQ201">
        <f t="shared" ca="1" si="266"/>
        <v>40.706666666666663</v>
      </c>
      <c r="BR201">
        <f t="shared" ca="1" si="267"/>
        <v>0</v>
      </c>
      <c r="BS201">
        <f t="shared" ca="1" si="268"/>
        <v>15.99</v>
      </c>
      <c r="BT201">
        <f t="shared" ca="1" si="269"/>
        <v>0</v>
      </c>
      <c r="BU201">
        <v>0</v>
      </c>
      <c r="BV201">
        <f t="shared" ca="1" si="270"/>
        <v>0</v>
      </c>
      <c r="BW201">
        <f t="shared" ca="1" si="271"/>
        <v>69.19712216683908</v>
      </c>
      <c r="BX201">
        <f t="shared" ca="1" si="272"/>
        <v>0</v>
      </c>
      <c r="BY201">
        <f t="shared" ca="1" si="273"/>
        <v>43.97249997581514</v>
      </c>
      <c r="BZ201">
        <f t="shared" ca="1" si="274"/>
        <v>0</v>
      </c>
      <c r="CA201">
        <f t="shared" si="275"/>
        <v>0</v>
      </c>
      <c r="CB201" s="1018">
        <f t="shared" ca="1" si="279"/>
        <v>121.67412214265423</v>
      </c>
      <c r="CC201" s="1018">
        <f t="shared" ca="1" si="280"/>
        <v>23.035414838265758</v>
      </c>
      <c r="CD201">
        <f t="shared" ca="1" si="200"/>
        <v>4.3412861094275996</v>
      </c>
      <c r="CE201">
        <f t="shared" ca="1" si="201"/>
        <v>7228.0677207525741</v>
      </c>
    </row>
    <row r="202" spans="2:83" x14ac:dyDescent="0.25">
      <c r="D202" s="832"/>
      <c r="E202" s="831"/>
      <c r="F202" s="832"/>
      <c r="G202" s="831"/>
      <c r="H202" s="832"/>
      <c r="I202" s="836"/>
      <c r="J202" s="836"/>
      <c r="K202" s="836"/>
      <c r="L202" s="836"/>
      <c r="M202" s="836"/>
      <c r="N202" s="836"/>
      <c r="O202" s="833" t="s">
        <v>7</v>
      </c>
      <c r="P202" s="836">
        <v>3.4700000000000002E-2</v>
      </c>
      <c r="Q202" s="832"/>
      <c r="R202" s="841">
        <v>3.6372960647435084E-5</v>
      </c>
      <c r="T202" s="34">
        <f t="shared" si="276"/>
        <v>3.6372960647435084E-5</v>
      </c>
      <c r="U202" s="200">
        <f>T202-T202*Calculation_sheet!J$68/4</f>
        <v>3.6372960647435084E-5</v>
      </c>
      <c r="V202" s="200">
        <f>U202-U202*(Calculation_sheet!O$78+Calculation_sheet!J85)/4</f>
        <v>3.6372960647435084E-5</v>
      </c>
      <c r="W202" s="176">
        <f>V202/Calculation_sheet!M$67</f>
        <v>3.6373704344580062E-5</v>
      </c>
      <c r="X202" s="958">
        <f ca="1">IF(AL202&gt;0,W202*Calculation_sheet!C$87,0)</f>
        <v>0</v>
      </c>
      <c r="Y202" s="176">
        <f t="shared" ca="1" si="277"/>
        <v>3.6373704344580062E-5</v>
      </c>
      <c r="Z202" s="176">
        <f>IF(AN202&gt;0,Y202*Calculation_sheet!C$94,0)</f>
        <v>0</v>
      </c>
      <c r="AA202" s="958">
        <f t="shared" ca="1" si="262"/>
        <v>3.6373704344580062E-5</v>
      </c>
      <c r="AB202" s="176">
        <f ca="1">AA202*Calculation_sheet!C$99</f>
        <v>2.1824222606748037E-5</v>
      </c>
      <c r="AC202" s="958">
        <f t="shared" ca="1" si="262"/>
        <v>1.4549481737832025E-5</v>
      </c>
      <c r="AD202" s="176">
        <f t="shared" si="278"/>
        <v>3.6373704344580062E-5</v>
      </c>
      <c r="AE202" s="176">
        <f>AD202*User_sheet!B$77/100</f>
        <v>0</v>
      </c>
      <c r="AF202" s="309"/>
      <c r="AG202" s="27">
        <v>403</v>
      </c>
      <c r="AH202" s="985"/>
      <c r="AI202" s="956">
        <f t="shared" ca="1" si="199"/>
        <v>121.67412214265423</v>
      </c>
      <c r="AJ202" s="956">
        <f ca="1">AI202/'403'!I$24</f>
        <v>0.8493435242756886</v>
      </c>
      <c r="AK202" s="956">
        <f ca="1">0.8*(AI202*30+'403'!D$17*0.34*30*1)</f>
        <v>5510.637571423702</v>
      </c>
      <c r="AL202" s="954">
        <f ca="1">IF(AK202&lt;User_sheet!B$50,W202,0)</f>
        <v>3.6373704344580062E-5</v>
      </c>
      <c r="AM202" s="954">
        <f ca="1">20-(User_sheet!B$57/(AI202+'403'!D$17*1*0.34))</f>
        <v>-4.824713697267704</v>
      </c>
      <c r="AN202" s="954"/>
      <c r="AO202" s="985"/>
      <c r="AP202" s="2">
        <v>0</v>
      </c>
      <c r="AQ202" s="1020">
        <v>2.41</v>
      </c>
      <c r="AR202" s="2">
        <v>0</v>
      </c>
      <c r="AS202" s="2">
        <v>2.75</v>
      </c>
      <c r="AT202" s="2">
        <v>0</v>
      </c>
      <c r="AU202" s="2">
        <v>0</v>
      </c>
      <c r="AV202" s="2">
        <v>75945.51234133933</v>
      </c>
      <c r="AW202" s="2">
        <v>0</v>
      </c>
      <c r="AX202" s="2">
        <v>0</v>
      </c>
      <c r="AY202" s="2">
        <v>0</v>
      </c>
      <c r="AZ202" s="50">
        <v>0.6</v>
      </c>
      <c r="BA202" s="34">
        <v>0</v>
      </c>
      <c r="BB202" s="34">
        <v>1</v>
      </c>
      <c r="BC202" s="40">
        <v>0</v>
      </c>
      <c r="BD202" s="34">
        <v>1</v>
      </c>
      <c r="BE202" s="34">
        <v>0</v>
      </c>
      <c r="BF202" s="40">
        <v>0</v>
      </c>
      <c r="BG202" s="34">
        <v>1</v>
      </c>
      <c r="BH202" s="40">
        <v>0</v>
      </c>
      <c r="BI202" s="34">
        <v>0</v>
      </c>
      <c r="BJ202" s="34">
        <v>0</v>
      </c>
      <c r="BK202" s="40">
        <v>1</v>
      </c>
      <c r="BL202" s="958">
        <v>0.15</v>
      </c>
      <c r="BM202" s="958">
        <v>10</v>
      </c>
      <c r="BN202" s="32">
        <f t="shared" ca="1" si="263"/>
        <v>86.579499999999996</v>
      </c>
      <c r="BO202">
        <f t="shared" ca="1" si="264"/>
        <v>292.3576333333333</v>
      </c>
      <c r="BP202">
        <f t="shared" ca="1" si="265"/>
        <v>0</v>
      </c>
      <c r="BQ202">
        <f t="shared" ca="1" si="266"/>
        <v>40.706666666666663</v>
      </c>
      <c r="BR202">
        <f t="shared" ca="1" si="267"/>
        <v>0</v>
      </c>
      <c r="BS202">
        <f t="shared" ca="1" si="268"/>
        <v>15.99</v>
      </c>
      <c r="BT202">
        <f t="shared" ca="1" si="269"/>
        <v>0</v>
      </c>
      <c r="BU202">
        <v>0</v>
      </c>
      <c r="BV202">
        <f t="shared" ca="1" si="270"/>
        <v>0</v>
      </c>
      <c r="BW202">
        <f t="shared" ca="1" si="271"/>
        <v>69.19712216683908</v>
      </c>
      <c r="BX202">
        <f t="shared" ca="1" si="272"/>
        <v>0</v>
      </c>
      <c r="BY202">
        <f t="shared" ca="1" si="273"/>
        <v>43.97249997581514</v>
      </c>
      <c r="BZ202">
        <f t="shared" ca="1" si="274"/>
        <v>0</v>
      </c>
      <c r="CA202">
        <f t="shared" si="275"/>
        <v>0</v>
      </c>
      <c r="CB202" s="1018">
        <f t="shared" ca="1" si="279"/>
        <v>121.67412214265423</v>
      </c>
      <c r="CC202" s="1018">
        <f t="shared" ca="1" si="280"/>
        <v>23.035414838265758</v>
      </c>
      <c r="CD202">
        <f t="shared" ca="1" si="200"/>
        <v>4.3412861094275996</v>
      </c>
      <c r="CE202">
        <f t="shared" ca="1" si="201"/>
        <v>7228.0677207525741</v>
      </c>
    </row>
    <row r="203" spans="2:83" x14ac:dyDescent="0.25">
      <c r="D203" s="832"/>
      <c r="E203" s="831"/>
      <c r="F203" s="832"/>
      <c r="G203" s="831"/>
      <c r="H203" s="832"/>
      <c r="I203" s="836"/>
      <c r="J203" s="836"/>
      <c r="K203" s="836"/>
      <c r="L203" s="836">
        <v>0.96551724137931039</v>
      </c>
      <c r="M203" s="836" t="s">
        <v>61</v>
      </c>
      <c r="N203" s="836">
        <v>0.6785714285714286</v>
      </c>
      <c r="O203" s="833" t="s">
        <v>57</v>
      </c>
      <c r="P203" s="836">
        <v>0.96530000000000005</v>
      </c>
      <c r="Q203" s="832"/>
      <c r="R203" s="841">
        <v>2.1361048970426283E-3</v>
      </c>
      <c r="T203" s="34">
        <f t="shared" si="276"/>
        <v>2.1361048970426283E-3</v>
      </c>
      <c r="U203" s="200">
        <f>T203-T203*Calculation_sheet!J$68/4</f>
        <v>2.1361048970426283E-3</v>
      </c>
      <c r="V203" s="200">
        <f>U203-U203*(Calculation_sheet!O$78+Calculation_sheet!J86)/4</f>
        <v>2.1361048970426283E-3</v>
      </c>
      <c r="W203" s="176">
        <f>V203/Calculation_sheet!M$67</f>
        <v>2.136148572759013E-3</v>
      </c>
      <c r="X203" s="958">
        <f ca="1">IF(AL203&gt;0,W203*Calculation_sheet!C$87,0)</f>
        <v>0</v>
      </c>
      <c r="Y203" s="176">
        <f t="shared" ca="1" si="277"/>
        <v>2.136148572759013E-3</v>
      </c>
      <c r="Z203" s="176">
        <f>IF(AN203&gt;0,Y203*Calculation_sheet!C$94,0)</f>
        <v>0</v>
      </c>
      <c r="AA203" s="958">
        <f t="shared" ca="1" si="262"/>
        <v>2.136148572759013E-3</v>
      </c>
      <c r="AB203" s="176">
        <f ca="1">AA203*Calculation_sheet!C$99</f>
        <v>1.2816891436554078E-3</v>
      </c>
      <c r="AC203" s="958">
        <f t="shared" ca="1" si="262"/>
        <v>8.544594291036052E-4</v>
      </c>
      <c r="AD203" s="176">
        <f t="shared" si="278"/>
        <v>2.136148572759013E-3</v>
      </c>
      <c r="AE203" s="176">
        <f>AD203*User_sheet!B$77/100</f>
        <v>0</v>
      </c>
      <c r="AF203" s="309"/>
      <c r="AG203" s="27">
        <v>403</v>
      </c>
      <c r="AH203" s="985"/>
      <c r="AI203" s="956">
        <f t="shared" ca="1" si="199"/>
        <v>121.67412214265423</v>
      </c>
      <c r="AJ203" s="956">
        <f ca="1">AI203/'403'!I$24</f>
        <v>0.8493435242756886</v>
      </c>
      <c r="AK203" s="956">
        <f ca="1">0.8*(AI203*30+'403'!D$17*0.34*30*1)</f>
        <v>5510.637571423702</v>
      </c>
      <c r="AL203" s="954">
        <f ca="1">IF(AK203&lt;User_sheet!B$50,W203,0)</f>
        <v>2.136148572759013E-3</v>
      </c>
      <c r="AM203" s="954">
        <f ca="1">20-(User_sheet!B$57/(AI203+'403'!D$17*1*0.34))</f>
        <v>-4.824713697267704</v>
      </c>
      <c r="AN203" s="954"/>
      <c r="AO203" s="985"/>
      <c r="AP203" s="2">
        <v>0</v>
      </c>
      <c r="AQ203" s="1020">
        <v>2.41</v>
      </c>
      <c r="AR203" s="2">
        <v>0</v>
      </c>
      <c r="AS203" s="2">
        <v>2.75</v>
      </c>
      <c r="AT203" s="2">
        <v>0</v>
      </c>
      <c r="AU203" s="2">
        <v>0</v>
      </c>
      <c r="AV203" s="2">
        <v>75945.51234133933</v>
      </c>
      <c r="AW203" s="2">
        <v>0</v>
      </c>
      <c r="AX203" s="2">
        <v>0</v>
      </c>
      <c r="AY203" s="2">
        <v>0</v>
      </c>
      <c r="AZ203" s="50">
        <v>0.6</v>
      </c>
      <c r="BA203" s="34">
        <v>0</v>
      </c>
      <c r="BB203" s="34">
        <v>1</v>
      </c>
      <c r="BC203" s="40">
        <v>0</v>
      </c>
      <c r="BD203" s="34">
        <v>1</v>
      </c>
      <c r="BE203" s="34">
        <v>0</v>
      </c>
      <c r="BF203" s="40">
        <v>0</v>
      </c>
      <c r="BG203" s="34">
        <v>0</v>
      </c>
      <c r="BH203" s="40">
        <v>1</v>
      </c>
      <c r="BI203" s="34">
        <v>0</v>
      </c>
      <c r="BJ203" s="34">
        <v>1</v>
      </c>
      <c r="BK203" s="40">
        <v>0</v>
      </c>
      <c r="BL203" s="958">
        <v>0.15</v>
      </c>
      <c r="BM203" s="958">
        <v>10</v>
      </c>
      <c r="BN203" s="32">
        <f t="shared" ca="1" si="263"/>
        <v>86.579499999999996</v>
      </c>
      <c r="BO203">
        <f t="shared" ca="1" si="264"/>
        <v>292.3576333333333</v>
      </c>
      <c r="BP203">
        <f t="shared" ca="1" si="265"/>
        <v>0</v>
      </c>
      <c r="BQ203">
        <f t="shared" ca="1" si="266"/>
        <v>40.706666666666663</v>
      </c>
      <c r="BR203">
        <f t="shared" ca="1" si="267"/>
        <v>0</v>
      </c>
      <c r="BS203">
        <f t="shared" ca="1" si="268"/>
        <v>15.99</v>
      </c>
      <c r="BT203">
        <f t="shared" ca="1" si="269"/>
        <v>0</v>
      </c>
      <c r="BU203">
        <v>0</v>
      </c>
      <c r="BV203">
        <f t="shared" ca="1" si="270"/>
        <v>0</v>
      </c>
      <c r="BW203">
        <f t="shared" ca="1" si="271"/>
        <v>69.19712216683908</v>
      </c>
      <c r="BX203">
        <f t="shared" ca="1" si="272"/>
        <v>0</v>
      </c>
      <c r="BY203">
        <f t="shared" ca="1" si="273"/>
        <v>43.97249997581514</v>
      </c>
      <c r="BZ203">
        <f t="shared" ca="1" si="274"/>
        <v>0</v>
      </c>
      <c r="CA203">
        <f t="shared" si="275"/>
        <v>0</v>
      </c>
      <c r="CB203" s="1018">
        <f t="shared" ca="1" si="279"/>
        <v>121.67412214265423</v>
      </c>
      <c r="CC203" s="1018">
        <f t="shared" ca="1" si="280"/>
        <v>23.035414838265758</v>
      </c>
      <c r="CD203">
        <f t="shared" ca="1" si="200"/>
        <v>4.3412861094275996</v>
      </c>
      <c r="CE203">
        <f t="shared" ca="1" si="201"/>
        <v>7228.0677207525741</v>
      </c>
    </row>
    <row r="204" spans="2:83" x14ac:dyDescent="0.25">
      <c r="D204" s="832"/>
      <c r="E204" s="831"/>
      <c r="F204" s="832"/>
      <c r="G204" s="831"/>
      <c r="H204" s="832"/>
      <c r="I204" s="836" t="s">
        <v>57</v>
      </c>
      <c r="J204" s="836">
        <v>0.28000000000000003</v>
      </c>
      <c r="K204" s="836"/>
      <c r="L204" s="836"/>
      <c r="M204" s="836"/>
      <c r="N204" s="836"/>
      <c r="O204" s="833" t="s">
        <v>7</v>
      </c>
      <c r="P204" s="836">
        <v>3.4700000000000002E-2</v>
      </c>
      <c r="Q204" s="832"/>
      <c r="R204" s="841">
        <v>7.6787361366807404E-5</v>
      </c>
      <c r="T204" s="34">
        <f t="shared" si="276"/>
        <v>7.6787361366807404E-5</v>
      </c>
      <c r="U204" s="200">
        <f>T204-T204*Calculation_sheet!J$68/4</f>
        <v>7.6787361366807404E-5</v>
      </c>
      <c r="V204" s="200">
        <f>U204-U204*(Calculation_sheet!O$78+Calculation_sheet!J87)/4</f>
        <v>7.6787361366807404E-5</v>
      </c>
      <c r="W204" s="176">
        <f>V204/Calculation_sheet!M$67</f>
        <v>7.6788931394113471E-5</v>
      </c>
      <c r="X204" s="958">
        <f ca="1">IF(AL204&gt;0,W204*Calculation_sheet!C$87,0)</f>
        <v>0</v>
      </c>
      <c r="Y204" s="176">
        <f t="shared" ca="1" si="277"/>
        <v>7.6788931394113471E-5</v>
      </c>
      <c r="Z204" s="176">
        <f>IF(AN204&gt;0,Y204*Calculation_sheet!C$94,0)</f>
        <v>0</v>
      </c>
      <c r="AA204" s="958">
        <f t="shared" ca="1" si="262"/>
        <v>7.6788931394113471E-5</v>
      </c>
      <c r="AB204" s="176">
        <f ca="1">AA204*Calculation_sheet!C$99</f>
        <v>4.6073358836468078E-5</v>
      </c>
      <c r="AC204" s="958">
        <f t="shared" ca="1" si="262"/>
        <v>3.0715572557645392E-5</v>
      </c>
      <c r="AD204" s="176">
        <f t="shared" si="278"/>
        <v>7.6788931394113471E-5</v>
      </c>
      <c r="AE204" s="176">
        <f>AD204*User_sheet!B$77/100</f>
        <v>0</v>
      </c>
      <c r="AF204" s="309"/>
      <c r="AG204" s="27">
        <v>403</v>
      </c>
      <c r="AH204" s="985"/>
      <c r="AI204" s="956">
        <f t="shared" ca="1" si="199"/>
        <v>121.67412214265423</v>
      </c>
      <c r="AJ204" s="956">
        <f ca="1">AI204/'403'!I$24</f>
        <v>0.8493435242756886</v>
      </c>
      <c r="AK204" s="956">
        <f ca="1">0.8*(AI204*30+'403'!D$17*0.34*30*1)</f>
        <v>5510.637571423702</v>
      </c>
      <c r="AL204" s="954">
        <f ca="1">IF(AK204&lt;User_sheet!B$50,W204,0)</f>
        <v>7.6788931394113471E-5</v>
      </c>
      <c r="AM204" s="954">
        <f ca="1">20-(User_sheet!B$57/(AI204+'403'!D$17*1*0.34))</f>
        <v>-4.824713697267704</v>
      </c>
      <c r="AN204" s="954"/>
      <c r="AO204" s="985"/>
      <c r="AP204" s="2">
        <v>0</v>
      </c>
      <c r="AQ204" s="1020">
        <v>2.41</v>
      </c>
      <c r="AR204" s="2">
        <v>0</v>
      </c>
      <c r="AS204" s="2">
        <v>2.75</v>
      </c>
      <c r="AT204" s="2">
        <v>0</v>
      </c>
      <c r="AU204" s="2">
        <v>0</v>
      </c>
      <c r="AV204" s="2">
        <v>75945.512341339301</v>
      </c>
      <c r="AW204" s="2">
        <v>0</v>
      </c>
      <c r="AX204" s="2">
        <v>0</v>
      </c>
      <c r="AY204" s="2">
        <v>0</v>
      </c>
      <c r="AZ204" s="50">
        <v>0.6</v>
      </c>
      <c r="BA204" s="34">
        <v>0</v>
      </c>
      <c r="BB204" s="34">
        <v>1</v>
      </c>
      <c r="BC204" s="40">
        <v>0</v>
      </c>
      <c r="BD204" s="34">
        <v>1</v>
      </c>
      <c r="BE204" s="34">
        <v>0</v>
      </c>
      <c r="BF204" s="40">
        <v>0</v>
      </c>
      <c r="BG204" s="34">
        <v>0</v>
      </c>
      <c r="BH204" s="40">
        <v>1</v>
      </c>
      <c r="BI204" s="34">
        <v>0</v>
      </c>
      <c r="BJ204" s="34">
        <v>0</v>
      </c>
      <c r="BK204" s="40">
        <v>1</v>
      </c>
      <c r="BL204" s="958">
        <v>0.15</v>
      </c>
      <c r="BM204" s="958">
        <v>10</v>
      </c>
      <c r="BN204" s="32">
        <f t="shared" ca="1" si="263"/>
        <v>86.579499999999996</v>
      </c>
      <c r="BO204">
        <f t="shared" ca="1" si="264"/>
        <v>292.3576333333333</v>
      </c>
      <c r="BP204">
        <f t="shared" ca="1" si="265"/>
        <v>0</v>
      </c>
      <c r="BQ204">
        <f t="shared" ca="1" si="266"/>
        <v>40.706666666666663</v>
      </c>
      <c r="BR204">
        <f t="shared" ca="1" si="267"/>
        <v>0</v>
      </c>
      <c r="BS204">
        <f t="shared" ca="1" si="268"/>
        <v>15.99</v>
      </c>
      <c r="BT204">
        <f t="shared" ca="1" si="269"/>
        <v>0</v>
      </c>
      <c r="BU204">
        <v>0</v>
      </c>
      <c r="BV204">
        <f t="shared" ca="1" si="270"/>
        <v>0</v>
      </c>
      <c r="BW204">
        <f t="shared" ca="1" si="271"/>
        <v>69.19712216683908</v>
      </c>
      <c r="BX204">
        <f t="shared" ca="1" si="272"/>
        <v>0</v>
      </c>
      <c r="BY204">
        <f t="shared" ca="1" si="273"/>
        <v>43.97249997581514</v>
      </c>
      <c r="BZ204">
        <f t="shared" ca="1" si="274"/>
        <v>0</v>
      </c>
      <c r="CA204">
        <f t="shared" si="275"/>
        <v>0</v>
      </c>
      <c r="CB204" s="1018">
        <f t="shared" ca="1" si="279"/>
        <v>121.67412214265423</v>
      </c>
      <c r="CC204" s="1018">
        <f t="shared" ca="1" si="280"/>
        <v>23.035414838265758</v>
      </c>
      <c r="CD204">
        <f t="shared" ca="1" si="200"/>
        <v>4.3412861094275996</v>
      </c>
      <c r="CE204">
        <f t="shared" ca="1" si="201"/>
        <v>7228.0677207525741</v>
      </c>
    </row>
    <row r="205" spans="2:83" x14ac:dyDescent="0.25">
      <c r="D205" s="832"/>
      <c r="E205" s="831"/>
      <c r="F205" s="832"/>
      <c r="G205" s="831"/>
      <c r="H205" s="832"/>
      <c r="I205" s="836"/>
      <c r="J205" s="836"/>
      <c r="K205" s="836"/>
      <c r="L205" s="836">
        <v>3.4482758620689655E-2</v>
      </c>
      <c r="M205" s="836"/>
      <c r="N205" s="836"/>
      <c r="O205" s="840" t="s">
        <v>57</v>
      </c>
      <c r="P205" s="836">
        <v>0.96530000000000005</v>
      </c>
      <c r="Q205" s="832"/>
      <c r="R205" s="841">
        <v>1.1242657352855936E-4</v>
      </c>
      <c r="T205" s="34">
        <f t="shared" si="276"/>
        <v>1.1242657352855936E-4</v>
      </c>
      <c r="U205" s="200">
        <f>T205-T205*Calculation_sheet!J$68/4</f>
        <v>1.1242657352855936E-4</v>
      </c>
      <c r="V205" s="200">
        <f>U205-U205*(Calculation_sheet!O$78+Calculation_sheet!J88)/4</f>
        <v>1.1242657352855936E-4</v>
      </c>
      <c r="W205" s="176">
        <f>V205/Calculation_sheet!M$67</f>
        <v>1.1242887225047434E-4</v>
      </c>
      <c r="X205" s="958">
        <f ca="1">IF(AL205&gt;0,W205*Calculation_sheet!C$87,0)</f>
        <v>0</v>
      </c>
      <c r="Y205" s="176">
        <f t="shared" ca="1" si="277"/>
        <v>1.1242887225047434E-4</v>
      </c>
      <c r="Z205" s="176">
        <f>IF(AN205&gt;0,Y205*Calculation_sheet!C$94,0)</f>
        <v>0</v>
      </c>
      <c r="AA205" s="958">
        <f t="shared" ca="1" si="262"/>
        <v>1.1242887225047434E-4</v>
      </c>
      <c r="AB205" s="176">
        <f ca="1">AA205*Calculation_sheet!C$99</f>
        <v>6.7457323350284605E-5</v>
      </c>
      <c r="AC205" s="958">
        <f t="shared" ca="1" si="262"/>
        <v>4.4971548900189732E-5</v>
      </c>
      <c r="AD205" s="176">
        <f t="shared" si="278"/>
        <v>1.1242887225047434E-4</v>
      </c>
      <c r="AE205" s="176">
        <f>AD205*User_sheet!B$77/100</f>
        <v>0</v>
      </c>
      <c r="AF205" s="309"/>
      <c r="AG205" s="27">
        <v>403</v>
      </c>
      <c r="AH205" s="985"/>
      <c r="AI205" s="956">
        <f t="shared" ca="1" si="199"/>
        <v>121.67412214265423</v>
      </c>
      <c r="AJ205" s="956">
        <f ca="1">AI205/'403'!I$24</f>
        <v>0.8493435242756886</v>
      </c>
      <c r="AK205" s="956">
        <f ca="1">0.8*(AI205*30+'403'!D$17*0.34*30*1)</f>
        <v>5510.637571423702</v>
      </c>
      <c r="AL205" s="954">
        <f ca="1">IF(AK205&lt;User_sheet!B$50,W205,0)</f>
        <v>1.1242887225047434E-4</v>
      </c>
      <c r="AM205" s="954">
        <f ca="1">20-(User_sheet!B$57/(AI205+'403'!D$17*1*0.34))</f>
        <v>-4.824713697267704</v>
      </c>
      <c r="AN205" s="954"/>
      <c r="AO205" s="985"/>
      <c r="AP205" s="2">
        <v>0</v>
      </c>
      <c r="AQ205" s="1020">
        <v>2.41</v>
      </c>
      <c r="AR205" s="2">
        <v>0</v>
      </c>
      <c r="AS205" s="2">
        <v>2.75</v>
      </c>
      <c r="AT205" s="2">
        <v>0</v>
      </c>
      <c r="AU205" s="2">
        <v>0</v>
      </c>
      <c r="AV205" s="2">
        <v>75945.512341339301</v>
      </c>
      <c r="AW205" s="2">
        <v>0</v>
      </c>
      <c r="AX205" s="2">
        <v>0</v>
      </c>
      <c r="AY205" s="2">
        <v>0</v>
      </c>
      <c r="AZ205" s="50">
        <v>0.6</v>
      </c>
      <c r="BA205" s="34">
        <v>0</v>
      </c>
      <c r="BB205" s="34">
        <v>1</v>
      </c>
      <c r="BC205" s="40">
        <v>0</v>
      </c>
      <c r="BD205" s="34">
        <v>0</v>
      </c>
      <c r="BE205" s="34">
        <v>1</v>
      </c>
      <c r="BF205" s="40">
        <v>0</v>
      </c>
      <c r="BG205" s="34">
        <v>1</v>
      </c>
      <c r="BH205" s="40">
        <v>0</v>
      </c>
      <c r="BI205" s="34">
        <v>0</v>
      </c>
      <c r="BJ205" s="34">
        <v>1</v>
      </c>
      <c r="BK205" s="40">
        <v>0</v>
      </c>
      <c r="BL205" s="958">
        <v>0.15</v>
      </c>
      <c r="BM205" s="958">
        <v>10</v>
      </c>
      <c r="BN205" s="32">
        <f t="shared" ca="1" si="263"/>
        <v>86.579499999999996</v>
      </c>
      <c r="BO205">
        <f t="shared" ca="1" si="264"/>
        <v>292.3576333333333</v>
      </c>
      <c r="BP205">
        <f t="shared" ca="1" si="265"/>
        <v>0</v>
      </c>
      <c r="BQ205">
        <f t="shared" ca="1" si="266"/>
        <v>40.706666666666663</v>
      </c>
      <c r="BR205">
        <f t="shared" ca="1" si="267"/>
        <v>0</v>
      </c>
      <c r="BS205">
        <f t="shared" ca="1" si="268"/>
        <v>15.99</v>
      </c>
      <c r="BT205">
        <f t="shared" ca="1" si="269"/>
        <v>0</v>
      </c>
      <c r="BU205">
        <v>0</v>
      </c>
      <c r="BV205">
        <f t="shared" ca="1" si="270"/>
        <v>0</v>
      </c>
      <c r="BW205">
        <f t="shared" ca="1" si="271"/>
        <v>69.19712216683908</v>
      </c>
      <c r="BX205">
        <f t="shared" ca="1" si="272"/>
        <v>0</v>
      </c>
      <c r="BY205">
        <f t="shared" ca="1" si="273"/>
        <v>43.97249997581514</v>
      </c>
      <c r="BZ205">
        <f t="shared" ca="1" si="274"/>
        <v>0</v>
      </c>
      <c r="CA205">
        <f t="shared" si="275"/>
        <v>0</v>
      </c>
      <c r="CB205" s="1018">
        <f t="shared" ca="1" si="279"/>
        <v>121.67412214265423</v>
      </c>
      <c r="CC205" s="1018">
        <f t="shared" ca="1" si="280"/>
        <v>23.035414838265758</v>
      </c>
      <c r="CD205">
        <f t="shared" ca="1" si="200"/>
        <v>4.3412861094275996</v>
      </c>
      <c r="CE205">
        <f t="shared" ca="1" si="201"/>
        <v>7228.0677207525741</v>
      </c>
    </row>
    <row r="206" spans="2:83" x14ac:dyDescent="0.25">
      <c r="D206" s="831"/>
      <c r="E206" s="831"/>
      <c r="F206" s="832"/>
      <c r="G206" s="831"/>
      <c r="H206" s="832"/>
      <c r="I206" s="836"/>
      <c r="J206" s="836"/>
      <c r="K206" s="836"/>
      <c r="L206" s="836"/>
      <c r="M206" s="836"/>
      <c r="N206" s="836"/>
      <c r="O206" s="840" t="s">
        <v>7</v>
      </c>
      <c r="P206" s="836">
        <v>3.4700000000000002E-2</v>
      </c>
      <c r="Q206" s="832"/>
      <c r="R206" s="841">
        <v>4.041440071937232E-6</v>
      </c>
      <c r="T206" s="34">
        <f t="shared" si="276"/>
        <v>4.041440071937232E-6</v>
      </c>
      <c r="U206" s="200">
        <f>T206-T206*Calculation_sheet!J$68/4</f>
        <v>4.041440071937232E-6</v>
      </c>
      <c r="V206" s="200">
        <f>U206-U206*(Calculation_sheet!O$78+Calculation_sheet!J89)/4</f>
        <v>4.041440071937232E-6</v>
      </c>
      <c r="W206" s="176">
        <f>V206/Calculation_sheet!M$67</f>
        <v>4.041522704953341E-6</v>
      </c>
      <c r="X206" s="958">
        <f ca="1">IF(AL206&gt;0,W206*Calculation_sheet!C$87,0)</f>
        <v>0</v>
      </c>
      <c r="Y206" s="176">
        <f t="shared" ca="1" si="277"/>
        <v>4.041522704953341E-6</v>
      </c>
      <c r="Z206" s="176">
        <f>IF(AN206&gt;0,Y206*Calculation_sheet!C$94,0)</f>
        <v>0</v>
      </c>
      <c r="AA206" s="958">
        <f t="shared" ca="1" si="262"/>
        <v>4.041522704953341E-6</v>
      </c>
      <c r="AB206" s="176">
        <f ca="1">AA206*Calculation_sheet!C$99</f>
        <v>2.4249136229720045E-6</v>
      </c>
      <c r="AC206" s="958">
        <f t="shared" ca="1" si="262"/>
        <v>1.6166090819813365E-6</v>
      </c>
      <c r="AD206" s="176">
        <f t="shared" si="278"/>
        <v>4.041522704953341E-6</v>
      </c>
      <c r="AE206" s="176">
        <f>AD206*User_sheet!B$77/100</f>
        <v>0</v>
      </c>
      <c r="AF206" s="309"/>
      <c r="AG206" s="27">
        <v>403</v>
      </c>
      <c r="AH206" s="985"/>
      <c r="AI206" s="956">
        <f t="shared" ref="AI206:AI269" ca="1" si="281">CB206</f>
        <v>121.67412214265423</v>
      </c>
      <c r="AJ206" s="956">
        <f ca="1">AI206/'403'!I$24</f>
        <v>0.8493435242756886</v>
      </c>
      <c r="AK206" s="956">
        <f ca="1">0.8*(AI206*30+'403'!D$17*0.34*30*1)</f>
        <v>5510.637571423702</v>
      </c>
      <c r="AL206" s="954">
        <f ca="1">IF(AK206&lt;User_sheet!B$50,W206,0)</f>
        <v>4.041522704953341E-6</v>
      </c>
      <c r="AM206" s="954">
        <f ca="1">20-(User_sheet!B$57/(AI206+'403'!D$17*1*0.34))</f>
        <v>-4.824713697267704</v>
      </c>
      <c r="AN206" s="954"/>
      <c r="AO206" s="985"/>
      <c r="AP206" s="2">
        <v>0</v>
      </c>
      <c r="AQ206" s="1020">
        <v>2.41</v>
      </c>
      <c r="AR206" s="2">
        <v>0</v>
      </c>
      <c r="AS206" s="2">
        <v>2.75</v>
      </c>
      <c r="AT206" s="2">
        <v>0</v>
      </c>
      <c r="AU206" s="2">
        <v>0</v>
      </c>
      <c r="AV206" s="2">
        <v>75945.512341339301</v>
      </c>
      <c r="AW206" s="2">
        <v>0</v>
      </c>
      <c r="AX206" s="2">
        <v>0</v>
      </c>
      <c r="AY206" s="2">
        <v>0</v>
      </c>
      <c r="AZ206" s="50">
        <v>0.6</v>
      </c>
      <c r="BA206" s="34">
        <v>0</v>
      </c>
      <c r="BB206" s="34">
        <v>1</v>
      </c>
      <c r="BC206" s="40">
        <v>0</v>
      </c>
      <c r="BD206" s="34">
        <v>0</v>
      </c>
      <c r="BE206" s="34">
        <v>1</v>
      </c>
      <c r="BF206" s="40">
        <v>0</v>
      </c>
      <c r="BG206" s="34">
        <v>1</v>
      </c>
      <c r="BH206" s="40">
        <v>0</v>
      </c>
      <c r="BI206" s="34">
        <v>0</v>
      </c>
      <c r="BJ206" s="34">
        <v>0</v>
      </c>
      <c r="BK206" s="40">
        <v>1</v>
      </c>
      <c r="BL206" s="958">
        <v>0.15</v>
      </c>
      <c r="BM206" s="958">
        <v>10</v>
      </c>
      <c r="BN206" s="32">
        <f t="shared" ca="1" si="263"/>
        <v>86.579499999999996</v>
      </c>
      <c r="BO206">
        <f t="shared" ca="1" si="264"/>
        <v>292.3576333333333</v>
      </c>
      <c r="BP206">
        <f t="shared" ca="1" si="265"/>
        <v>0</v>
      </c>
      <c r="BQ206">
        <f t="shared" ca="1" si="266"/>
        <v>40.706666666666663</v>
      </c>
      <c r="BR206">
        <f t="shared" ca="1" si="267"/>
        <v>0</v>
      </c>
      <c r="BS206">
        <f t="shared" ca="1" si="268"/>
        <v>15.99</v>
      </c>
      <c r="BT206">
        <f t="shared" ca="1" si="269"/>
        <v>0</v>
      </c>
      <c r="BU206">
        <v>0</v>
      </c>
      <c r="BV206">
        <f t="shared" ca="1" si="270"/>
        <v>0</v>
      </c>
      <c r="BW206">
        <f t="shared" ca="1" si="271"/>
        <v>69.19712216683908</v>
      </c>
      <c r="BX206">
        <f t="shared" ca="1" si="272"/>
        <v>0</v>
      </c>
      <c r="BY206">
        <f t="shared" ca="1" si="273"/>
        <v>43.97249997581514</v>
      </c>
      <c r="BZ206">
        <f t="shared" ca="1" si="274"/>
        <v>0</v>
      </c>
      <c r="CA206">
        <f t="shared" si="275"/>
        <v>0</v>
      </c>
      <c r="CB206" s="1018">
        <f t="shared" ca="1" si="279"/>
        <v>121.67412214265423</v>
      </c>
      <c r="CC206" s="1018">
        <f t="shared" ca="1" si="280"/>
        <v>23.035414838265758</v>
      </c>
      <c r="CD206">
        <f t="shared" ref="CD206:CD269" ca="1" si="282">(CB206+CC206)*($BW$7-$BT$5)/1000</f>
        <v>4.3412861094275996</v>
      </c>
      <c r="CE206">
        <f t="shared" ref="CE206:CE269" ca="1" si="283">$BT$8*(CB206+CC206)*($BW$10-$BT$7)*24/1000</f>
        <v>7228.0677207525741</v>
      </c>
    </row>
    <row r="207" spans="2:83" x14ac:dyDescent="0.25">
      <c r="D207" s="832"/>
      <c r="E207" s="831" t="s">
        <v>8</v>
      </c>
      <c r="F207" s="835">
        <v>0.39</v>
      </c>
      <c r="G207" s="831" t="s">
        <v>9</v>
      </c>
      <c r="H207" s="835">
        <v>0.64260000000000006</v>
      </c>
      <c r="I207" s="836" t="s">
        <v>7</v>
      </c>
      <c r="J207" s="836">
        <v>0.15000000000000002</v>
      </c>
      <c r="K207" s="836"/>
      <c r="L207" s="836">
        <v>1</v>
      </c>
      <c r="M207" s="836"/>
      <c r="N207" s="836">
        <v>1</v>
      </c>
      <c r="O207" s="840" t="s">
        <v>7</v>
      </c>
      <c r="P207" s="836">
        <v>1</v>
      </c>
      <c r="Q207" s="832"/>
      <c r="R207" s="841">
        <v>1.8094137827220007E-3</v>
      </c>
      <c r="T207" s="34">
        <f t="shared" si="276"/>
        <v>1.8094137827220007E-3</v>
      </c>
      <c r="U207" s="200">
        <f>T207-T207*Calculation_sheet!J$68/4</f>
        <v>1.8094137827220007E-3</v>
      </c>
      <c r="V207" s="200">
        <f>U207-U207*(Calculation_sheet!O$78+Calculation_sheet!J90)/4</f>
        <v>1.8094137827220007E-3</v>
      </c>
      <c r="W207" s="176">
        <f>V207/Calculation_sheet!M$67</f>
        <v>1.8094507787718228E-3</v>
      </c>
      <c r="X207" s="958">
        <f ca="1">IF(AL207&gt;0,W207*Calculation_sheet!C$87,0)</f>
        <v>0</v>
      </c>
      <c r="Y207" s="176">
        <f t="shared" ca="1" si="277"/>
        <v>1.8094507787718228E-3</v>
      </c>
      <c r="Z207" s="176">
        <f>IF(AN207&gt;0,Y207*Calculation_sheet!C$94,0)</f>
        <v>0</v>
      </c>
      <c r="AA207" s="958">
        <f t="shared" ca="1" si="262"/>
        <v>1.8094507787718228E-3</v>
      </c>
      <c r="AB207" s="176">
        <f ca="1">AA207*Calculation_sheet!C$99</f>
        <v>1.0856704672630936E-3</v>
      </c>
      <c r="AC207" s="958">
        <f t="shared" ca="1" si="262"/>
        <v>7.2378031150872922E-4</v>
      </c>
      <c r="AD207" s="176">
        <f t="shared" si="278"/>
        <v>1.8094507787718228E-3</v>
      </c>
      <c r="AE207" s="176">
        <f>AD207*User_sheet!B$77/100</f>
        <v>0</v>
      </c>
      <c r="AF207" s="309"/>
      <c r="AG207" s="27">
        <v>403</v>
      </c>
      <c r="AH207" s="985"/>
      <c r="AI207" s="956">
        <f t="shared" ca="1" si="281"/>
        <v>121.67412214265423</v>
      </c>
      <c r="AJ207" s="956">
        <f ca="1">AI207/'403'!I$24</f>
        <v>0.8493435242756886</v>
      </c>
      <c r="AK207" s="956">
        <f ca="1">0.8*(AI207*30+'403'!D$17*0.34*30*1)</f>
        <v>5510.637571423702</v>
      </c>
      <c r="AL207" s="954">
        <f ca="1">IF(AK207&lt;User_sheet!B$50,W207,0)</f>
        <v>1.8094507787718228E-3</v>
      </c>
      <c r="AM207" s="954">
        <f ca="1">20-(User_sheet!B$57/(AI207+'403'!D$17*1*0.34))</f>
        <v>-4.824713697267704</v>
      </c>
      <c r="AN207" s="954"/>
      <c r="AO207" s="985"/>
      <c r="AP207" s="2">
        <v>0</v>
      </c>
      <c r="AQ207" s="1020">
        <v>2.41</v>
      </c>
      <c r="AR207" s="2">
        <v>0</v>
      </c>
      <c r="AS207" s="2">
        <v>2.75</v>
      </c>
      <c r="AT207" s="2">
        <v>0</v>
      </c>
      <c r="AU207" s="2">
        <v>0</v>
      </c>
      <c r="AV207" s="2">
        <v>75945.512341339301</v>
      </c>
      <c r="AW207" s="2">
        <v>0</v>
      </c>
      <c r="AX207" s="2">
        <v>0</v>
      </c>
      <c r="AY207" s="2">
        <v>0</v>
      </c>
      <c r="AZ207" s="50">
        <v>0.6</v>
      </c>
      <c r="BA207" s="34">
        <v>0</v>
      </c>
      <c r="BB207" s="34">
        <v>0</v>
      </c>
      <c r="BC207" s="40">
        <v>1</v>
      </c>
      <c r="BD207" s="34">
        <v>0</v>
      </c>
      <c r="BE207" s="34">
        <v>0</v>
      </c>
      <c r="BF207" s="40">
        <v>1</v>
      </c>
      <c r="BG207" s="34">
        <v>1</v>
      </c>
      <c r="BH207" s="40">
        <v>0</v>
      </c>
      <c r="BI207" s="34">
        <v>0</v>
      </c>
      <c r="BJ207" s="34">
        <v>0</v>
      </c>
      <c r="BK207" s="40">
        <v>1</v>
      </c>
      <c r="BL207" s="958">
        <v>0.15</v>
      </c>
      <c r="BM207" s="958">
        <v>10</v>
      </c>
      <c r="BN207" s="32">
        <f t="shared" ca="1" si="263"/>
        <v>86.579499999999996</v>
      </c>
      <c r="BO207">
        <f t="shared" ca="1" si="264"/>
        <v>292.3576333333333</v>
      </c>
      <c r="BP207">
        <f t="shared" ca="1" si="265"/>
        <v>0</v>
      </c>
      <c r="BQ207">
        <f t="shared" ca="1" si="266"/>
        <v>40.706666666666663</v>
      </c>
      <c r="BR207">
        <f t="shared" ca="1" si="267"/>
        <v>0</v>
      </c>
      <c r="BS207">
        <f t="shared" ca="1" si="268"/>
        <v>15.99</v>
      </c>
      <c r="BT207">
        <f t="shared" ca="1" si="269"/>
        <v>0</v>
      </c>
      <c r="BU207">
        <v>0</v>
      </c>
      <c r="BV207">
        <f t="shared" ca="1" si="270"/>
        <v>0</v>
      </c>
      <c r="BW207">
        <f t="shared" ca="1" si="271"/>
        <v>69.19712216683908</v>
      </c>
      <c r="BX207">
        <f t="shared" ca="1" si="272"/>
        <v>0</v>
      </c>
      <c r="BY207">
        <f t="shared" ca="1" si="273"/>
        <v>43.97249997581514</v>
      </c>
      <c r="BZ207">
        <f t="shared" ca="1" si="274"/>
        <v>0</v>
      </c>
      <c r="CA207">
        <f t="shared" si="275"/>
        <v>0</v>
      </c>
      <c r="CB207" s="1018">
        <f t="shared" ca="1" si="279"/>
        <v>121.67412214265423</v>
      </c>
      <c r="CC207" s="1018">
        <f t="shared" ca="1" si="280"/>
        <v>23.035414838265758</v>
      </c>
      <c r="CD207">
        <f t="shared" ca="1" si="282"/>
        <v>4.3412861094275996</v>
      </c>
      <c r="CE207">
        <f t="shared" ca="1" si="283"/>
        <v>7228.0677207525741</v>
      </c>
    </row>
    <row r="208" spans="2:83" s="14" customFormat="1" x14ac:dyDescent="0.25">
      <c r="D208" s="838"/>
      <c r="E208" s="837"/>
      <c r="F208" s="838"/>
      <c r="G208" s="837"/>
      <c r="H208" s="838"/>
      <c r="I208" s="838"/>
      <c r="J208" s="838"/>
      <c r="K208" s="838"/>
      <c r="L208" s="838"/>
      <c r="M208" s="838"/>
      <c r="N208" s="838"/>
      <c r="O208" s="839"/>
      <c r="P208" s="838"/>
      <c r="Q208" s="838"/>
      <c r="R208" s="842"/>
      <c r="S208" s="289"/>
      <c r="T208" s="277"/>
      <c r="U208" s="292"/>
      <c r="V208" s="292"/>
      <c r="W208" s="292"/>
      <c r="X208" s="277"/>
      <c r="Y208" s="292"/>
      <c r="Z208" s="292"/>
      <c r="AA208" s="277"/>
      <c r="AB208" s="292"/>
      <c r="AC208" s="277"/>
      <c r="AD208" s="292"/>
      <c r="AE208" s="292"/>
      <c r="AF208" s="309"/>
      <c r="AG208" s="28"/>
      <c r="AH208" s="985"/>
      <c r="AI208" s="956">
        <f t="shared" si="281"/>
        <v>0</v>
      </c>
      <c r="AJ208" s="941"/>
      <c r="AK208" s="941"/>
      <c r="AL208" s="941"/>
      <c r="AM208" s="941"/>
      <c r="AN208" s="941"/>
      <c r="AO208" s="985"/>
      <c r="AP208" s="28"/>
      <c r="AQ208" s="28"/>
      <c r="AR208" s="28"/>
      <c r="AS208" s="28"/>
      <c r="AT208" s="28"/>
      <c r="AU208" s="28"/>
      <c r="AV208" s="28"/>
      <c r="AW208" s="28"/>
      <c r="AX208" s="28"/>
      <c r="AY208" s="28"/>
      <c r="AZ208" s="49"/>
      <c r="BA208" s="277"/>
      <c r="BB208" s="277"/>
      <c r="BC208" s="49"/>
      <c r="BD208" s="277"/>
      <c r="BE208" s="277"/>
      <c r="BF208" s="49"/>
      <c r="BG208" s="277"/>
      <c r="BH208" s="49"/>
      <c r="BI208" s="277"/>
      <c r="BJ208" s="277"/>
      <c r="BK208" s="49"/>
      <c r="BL208" s="277"/>
      <c r="BM208" s="277"/>
      <c r="BN208" s="36"/>
    </row>
    <row r="209" spans="4:83" s="3" customFormat="1" x14ac:dyDescent="0.25">
      <c r="D209" s="6"/>
      <c r="F209" s="6"/>
      <c r="G209" s="6"/>
      <c r="H209" s="8"/>
      <c r="I209" s="6"/>
      <c r="J209" s="6"/>
      <c r="K209" s="6"/>
      <c r="L209" s="6"/>
      <c r="M209" s="6" t="s">
        <v>60</v>
      </c>
      <c r="N209" s="4"/>
      <c r="O209" s="2" t="s">
        <v>16</v>
      </c>
      <c r="P209" s="4"/>
      <c r="Q209" s="6"/>
      <c r="R209" s="79"/>
      <c r="S209" s="274"/>
      <c r="T209" s="199"/>
      <c r="U209" s="200"/>
      <c r="V209" s="176">
        <f>U195-V195</f>
        <v>0</v>
      </c>
      <c r="W209" s="176">
        <f>V209/Calculation_sheet!M$67</f>
        <v>0</v>
      </c>
      <c r="X209" s="958">
        <f ca="1">IF(AL209&gt;0,W209*Calculation_sheet!C$87,0)</f>
        <v>0</v>
      </c>
      <c r="Y209" s="176">
        <f ca="1">W209-X209</f>
        <v>0</v>
      </c>
      <c r="Z209" s="176">
        <f>IF(AN209&gt;0,Y209*Calculation_sheet!C$94,0)</f>
        <v>0</v>
      </c>
      <c r="AA209" s="958">
        <f t="shared" ref="AA209:AC221" ca="1" si="284">Y209-Z209</f>
        <v>0</v>
      </c>
      <c r="AB209" s="176">
        <f ca="1">AA209*Calculation_sheet!C$99</f>
        <v>0</v>
      </c>
      <c r="AC209" s="958">
        <f t="shared" ca="1" si="284"/>
        <v>0</v>
      </c>
      <c r="AD209" s="176">
        <f>W209-Z209</f>
        <v>0</v>
      </c>
      <c r="AE209" s="176">
        <f>AD209*User_sheet!B$77/100</f>
        <v>0</v>
      </c>
      <c r="AF209" s="309"/>
      <c r="AG209" s="27">
        <v>403</v>
      </c>
      <c r="AH209" s="985"/>
      <c r="AI209" s="956">
        <f t="shared" ca="1" si="281"/>
        <v>109.68162215404709</v>
      </c>
      <c r="AJ209" s="956">
        <f ca="1">AI209/'403'!I$24</f>
        <v>0.7656301427790243</v>
      </c>
      <c r="AK209" s="956">
        <f ca="1">0.8*(AI209*30+'403'!D$17*0.34*30*1)</f>
        <v>5222.81757169713</v>
      </c>
      <c r="AL209" s="954">
        <f ca="1">IF(AK209&lt;User_sheet!B$50,W209,0)</f>
        <v>0</v>
      </c>
      <c r="AM209" s="954">
        <f ca="1">20-(User_sheet!B$57/(AI209+'403'!D$17*1*0.34))</f>
        <v>-6.1927586254075315</v>
      </c>
      <c r="AN209" s="954"/>
      <c r="AO209" s="985"/>
      <c r="AP209" s="2">
        <v>0</v>
      </c>
      <c r="AQ209" s="1020">
        <v>2.41</v>
      </c>
      <c r="AR209" s="27">
        <v>0</v>
      </c>
      <c r="AS209" s="27">
        <v>2</v>
      </c>
      <c r="AT209" s="2">
        <v>0</v>
      </c>
      <c r="AU209" s="2">
        <v>0</v>
      </c>
      <c r="AV209" s="2">
        <v>74715.401027665983</v>
      </c>
      <c r="AW209" s="2">
        <v>0</v>
      </c>
      <c r="AX209" s="2">
        <v>0</v>
      </c>
      <c r="AY209" s="2">
        <v>0</v>
      </c>
      <c r="AZ209" s="50">
        <v>0.6</v>
      </c>
      <c r="BA209" s="34">
        <v>1</v>
      </c>
      <c r="BB209" s="34">
        <v>0</v>
      </c>
      <c r="BC209" s="40">
        <v>0</v>
      </c>
      <c r="BD209" s="34">
        <v>1</v>
      </c>
      <c r="BE209" s="34">
        <v>0</v>
      </c>
      <c r="BF209" s="40">
        <v>0</v>
      </c>
      <c r="BG209" s="34">
        <v>1</v>
      </c>
      <c r="BH209" s="40">
        <v>0</v>
      </c>
      <c r="BI209" s="34">
        <v>1</v>
      </c>
      <c r="BJ209" s="34">
        <v>0</v>
      </c>
      <c r="BK209" s="40">
        <v>0</v>
      </c>
      <c r="BL209" s="958">
        <v>0.15</v>
      </c>
      <c r="BM209" s="958">
        <v>10</v>
      </c>
      <c r="BN209" s="37">
        <f t="shared" ref="BN209:BN221" ca="1" si="285">INDIRECT("'"&amp;AG209&amp;"'!"&amp;"B2")</f>
        <v>86.579499999999996</v>
      </c>
      <c r="BO209" s="3">
        <f t="shared" ref="BO209:BO221" ca="1" si="286">INDIRECT("'"&amp;AG209&amp;"'!"&amp;"C12")+INDIRECT("'"&amp;AG209&amp;"'!"&amp;"C13")+INDIRECT("'"&amp;AG209&amp;"'!"&amp;"C14")+INDIRECT("'"&amp;AG209&amp;"'!"&amp;"C15")+INDIRECT("'"&amp;AG209&amp;"'!"&amp;"C17")</f>
        <v>292.3576333333333</v>
      </c>
      <c r="BP209" s="3">
        <f t="shared" ref="BP209:BP221" ca="1" si="287">INDIRECT("'"&amp;AG209&amp;"'!"&amp;"G5")</f>
        <v>0</v>
      </c>
      <c r="BQ209" s="3">
        <f t="shared" ref="BQ209:BQ221" ca="1" si="288">INDIRECT("'"&amp;AG209&amp;"'!"&amp;"G4")</f>
        <v>40.706666666666663</v>
      </c>
      <c r="BR209" s="3">
        <f t="shared" ref="BR209:BR221" ca="1" si="289">INDIRECT("'"&amp;AG209&amp;"'!"&amp;"G6")</f>
        <v>0</v>
      </c>
      <c r="BS209" s="3">
        <f t="shared" ref="BS209:BS221" ca="1" si="290">INDIRECT("'"&amp;AG209&amp;"'!"&amp;"G2")</f>
        <v>15.99</v>
      </c>
      <c r="BT209" s="3">
        <f t="shared" ref="BT209:BT221" ca="1" si="291">INDIRECT("'"&amp;AG209&amp;"'!"&amp;"G3")</f>
        <v>0</v>
      </c>
      <c r="BU209" s="3">
        <v>0</v>
      </c>
      <c r="BV209" s="3">
        <f t="shared" ref="BV209:BV221" ca="1" si="292">IF(OR(BP209=0,AP209=0),0,1/(1/(BP209*$BW$3)+1/(BP209*AP209)+1/(BP209*$BW$4)))</f>
        <v>0</v>
      </c>
      <c r="BW209" s="3">
        <f t="shared" ref="BW209:BW221" ca="1" si="293">IF(OR(BQ209=0,AQ209=0),0,1/(1/(BQ209*$BW$3)+1/(BQ209*AQ209)+1/(BQ209*$BW$4)))</f>
        <v>69.19712216683908</v>
      </c>
      <c r="BX209" s="3">
        <f t="shared" ref="BX209:BX221" ca="1" si="294">IF(OR(BR209=0,AR209=0),0,1/(1/(BR209*$BW$3)+1/(BR209*AR209)+1/(BR209*$BW$4)))</f>
        <v>0</v>
      </c>
      <c r="BY209" s="3">
        <f t="shared" ref="BY209:BY221" ca="1" si="295">IF(OR(BS209=0,AS209=0),0,1/(1/(BS209*$BW$5)+1/(BS209*AS209)+1/(BS209*$BW$6)))</f>
        <v>31.979999987208004</v>
      </c>
      <c r="BZ209" s="3">
        <f t="shared" ref="BZ209:BZ221" ca="1" si="296">IF(OR(BT209=0,AT209=0),0,1/(1/(BT209*$BW$3)+1/(BT209*AT209)+1/(BT209*$BW$4)))</f>
        <v>0</v>
      </c>
      <c r="CA209" s="3">
        <f t="shared" ref="CA209:CA221" si="297">IF(OR(BU209=0,AU209=0),0,1/(1/(BU209*$BW$3)+1/(BU209*AU209)+1/(BU209*$BW$4)))</f>
        <v>0</v>
      </c>
      <c r="CB209" s="1018">
        <f ca="1">SUM(BV209:CA209)+(BP209+BQ209+BR209+BS209+BT209)*BL209</f>
        <v>109.68162215404709</v>
      </c>
      <c r="CC209" s="1018">
        <f ca="1">0.34*BM209*(1/25)^0.66*(BQ209+BS209+BT209)</f>
        <v>23.035414838265758</v>
      </c>
      <c r="CD209" s="3">
        <f t="shared" ca="1" si="282"/>
        <v>3.9815111097693854</v>
      </c>
      <c r="CE209" s="3">
        <f t="shared" ca="1" si="283"/>
        <v>6629.0567373216354</v>
      </c>
    </row>
    <row r="210" spans="4:83" s="3" customFormat="1" x14ac:dyDescent="0.25">
      <c r="D210" s="6"/>
      <c r="F210" s="6"/>
      <c r="G210" s="6"/>
      <c r="H210" s="8"/>
      <c r="I210" s="6"/>
      <c r="J210" s="6"/>
      <c r="K210" s="6"/>
      <c r="L210" s="6"/>
      <c r="M210" s="6"/>
      <c r="N210" s="6"/>
      <c r="O210" s="2" t="s">
        <v>7</v>
      </c>
      <c r="P210" s="4"/>
      <c r="Q210" s="6"/>
      <c r="R210" s="79"/>
      <c r="S210" s="274"/>
      <c r="T210" s="199"/>
      <c r="U210" s="200"/>
      <c r="V210" s="176">
        <f t="shared" ref="V210:V221" si="298">U196-V196</f>
        <v>0</v>
      </c>
      <c r="W210" s="176">
        <f>V210/Calculation_sheet!M$67</f>
        <v>0</v>
      </c>
      <c r="X210" s="958">
        <f ca="1">IF(AL210&gt;0,W210*Calculation_sheet!C$87,0)</f>
        <v>0</v>
      </c>
      <c r="Y210" s="176">
        <f t="shared" ref="Y210:Y221" ca="1" si="299">W210-X210</f>
        <v>0</v>
      </c>
      <c r="Z210" s="176">
        <f>IF(AN210&gt;0,Y210*Calculation_sheet!C$94,0)</f>
        <v>0</v>
      </c>
      <c r="AA210" s="958">
        <f t="shared" ca="1" si="284"/>
        <v>0</v>
      </c>
      <c r="AB210" s="176">
        <f ca="1">AA210*Calculation_sheet!C$99</f>
        <v>0</v>
      </c>
      <c r="AC210" s="958">
        <f t="shared" ca="1" si="284"/>
        <v>0</v>
      </c>
      <c r="AD210" s="176">
        <f t="shared" ref="AD210:AD221" si="300">W210-Z210</f>
        <v>0</v>
      </c>
      <c r="AE210" s="176">
        <f>AD210*User_sheet!B$77/100</f>
        <v>0</v>
      </c>
      <c r="AF210" s="309"/>
      <c r="AG210" s="27">
        <v>403</v>
      </c>
      <c r="AH210" s="985"/>
      <c r="AI210" s="956">
        <f t="shared" ca="1" si="281"/>
        <v>109.68162215404709</v>
      </c>
      <c r="AJ210" s="956">
        <f ca="1">AI210/'403'!I$24</f>
        <v>0.7656301427790243</v>
      </c>
      <c r="AK210" s="956">
        <f ca="1">0.8*(AI210*30+'403'!D$17*0.34*30*1)</f>
        <v>5222.81757169713</v>
      </c>
      <c r="AL210" s="954">
        <f ca="1">IF(AK210&lt;User_sheet!B$50,W210,0)</f>
        <v>0</v>
      </c>
      <c r="AM210" s="954">
        <f ca="1">20-(User_sheet!B$57/(AI210+'403'!D$17*1*0.34))</f>
        <v>-6.1927586254075315</v>
      </c>
      <c r="AN210" s="954"/>
      <c r="AO210" s="985"/>
      <c r="AP210" s="2">
        <v>0</v>
      </c>
      <c r="AQ210" s="1020">
        <v>2.41</v>
      </c>
      <c r="AR210" s="27">
        <v>0</v>
      </c>
      <c r="AS210" s="27">
        <v>2</v>
      </c>
      <c r="AT210" s="2">
        <v>0</v>
      </c>
      <c r="AU210" s="2">
        <v>0</v>
      </c>
      <c r="AV210" s="2">
        <v>74715.401027665983</v>
      </c>
      <c r="AW210" s="2">
        <v>0</v>
      </c>
      <c r="AX210" s="2">
        <v>0</v>
      </c>
      <c r="AY210" s="2">
        <v>0</v>
      </c>
      <c r="AZ210" s="50">
        <v>0.6</v>
      </c>
      <c r="BA210" s="34">
        <v>1</v>
      </c>
      <c r="BB210" s="34">
        <v>0</v>
      </c>
      <c r="BC210" s="40">
        <v>0</v>
      </c>
      <c r="BD210" s="34">
        <v>1</v>
      </c>
      <c r="BE210" s="34">
        <v>0</v>
      </c>
      <c r="BF210" s="40">
        <v>0</v>
      </c>
      <c r="BG210" s="34">
        <v>1</v>
      </c>
      <c r="BH210" s="40">
        <v>0</v>
      </c>
      <c r="BI210" s="34">
        <v>0</v>
      </c>
      <c r="BJ210" s="34">
        <v>0</v>
      </c>
      <c r="BK210" s="40">
        <v>1</v>
      </c>
      <c r="BL210" s="958">
        <v>0.15</v>
      </c>
      <c r="BM210" s="958">
        <v>10</v>
      </c>
      <c r="BN210" s="37">
        <f t="shared" ca="1" si="285"/>
        <v>86.579499999999996</v>
      </c>
      <c r="BO210" s="3">
        <f t="shared" ca="1" si="286"/>
        <v>292.3576333333333</v>
      </c>
      <c r="BP210" s="3">
        <f t="shared" ca="1" si="287"/>
        <v>0</v>
      </c>
      <c r="BQ210" s="3">
        <f t="shared" ca="1" si="288"/>
        <v>40.706666666666663</v>
      </c>
      <c r="BR210" s="3">
        <f t="shared" ca="1" si="289"/>
        <v>0</v>
      </c>
      <c r="BS210" s="3">
        <f t="shared" ca="1" si="290"/>
        <v>15.99</v>
      </c>
      <c r="BT210" s="3">
        <f t="shared" ca="1" si="291"/>
        <v>0</v>
      </c>
      <c r="BU210" s="3">
        <v>0</v>
      </c>
      <c r="BV210" s="3">
        <f t="shared" ca="1" si="292"/>
        <v>0</v>
      </c>
      <c r="BW210" s="3">
        <f t="shared" ca="1" si="293"/>
        <v>69.19712216683908</v>
      </c>
      <c r="BX210" s="3">
        <f t="shared" ca="1" si="294"/>
        <v>0</v>
      </c>
      <c r="BY210" s="3">
        <f t="shared" ca="1" si="295"/>
        <v>31.979999987208004</v>
      </c>
      <c r="BZ210" s="3">
        <f t="shared" ca="1" si="296"/>
        <v>0</v>
      </c>
      <c r="CA210" s="3">
        <f t="shared" si="297"/>
        <v>0</v>
      </c>
      <c r="CB210" s="1018">
        <f t="shared" ref="CB210:CB221" ca="1" si="301">SUM(BV210:CA210)+(BP210+BQ210+BR210+BS210+BT210)*BL210</f>
        <v>109.68162215404709</v>
      </c>
      <c r="CC210" s="1018">
        <f t="shared" ref="CC210:CC221" ca="1" si="302">0.34*BM210*(1/25)^0.66*(BQ210+BS210+BT210)</f>
        <v>23.035414838265758</v>
      </c>
      <c r="CD210" s="3">
        <f t="shared" ca="1" si="282"/>
        <v>3.9815111097693854</v>
      </c>
      <c r="CE210" s="3">
        <f t="shared" ca="1" si="283"/>
        <v>6629.0567373216354</v>
      </c>
    </row>
    <row r="211" spans="4:83" s="3" customFormat="1" x14ac:dyDescent="0.25">
      <c r="D211" s="6"/>
      <c r="F211" s="6"/>
      <c r="G211" s="6"/>
      <c r="H211" s="8"/>
      <c r="I211" s="6"/>
      <c r="J211" s="6"/>
      <c r="K211" s="6" t="s">
        <v>58</v>
      </c>
      <c r="L211" s="4"/>
      <c r="M211" s="6" t="s">
        <v>61</v>
      </c>
      <c r="N211" s="4"/>
      <c r="O211" s="2" t="s">
        <v>16</v>
      </c>
      <c r="P211" s="4"/>
      <c r="Q211" s="6"/>
      <c r="R211" s="79"/>
      <c r="S211" s="274"/>
      <c r="T211" s="199"/>
      <c r="U211" s="200"/>
      <c r="V211" s="176">
        <f t="shared" si="298"/>
        <v>0</v>
      </c>
      <c r="W211" s="176">
        <f>V211/Calculation_sheet!M$67</f>
        <v>0</v>
      </c>
      <c r="X211" s="958">
        <f ca="1">IF(AL211&gt;0,W211*Calculation_sheet!C$87,0)</f>
        <v>0</v>
      </c>
      <c r="Y211" s="176">
        <f t="shared" ca="1" si="299"/>
        <v>0</v>
      </c>
      <c r="Z211" s="176">
        <f>IF(AN211&gt;0,Y211*Calculation_sheet!C$94,0)</f>
        <v>0</v>
      </c>
      <c r="AA211" s="958">
        <f t="shared" ca="1" si="284"/>
        <v>0</v>
      </c>
      <c r="AB211" s="176">
        <f ca="1">AA211*Calculation_sheet!C$99</f>
        <v>0</v>
      </c>
      <c r="AC211" s="958">
        <f t="shared" ca="1" si="284"/>
        <v>0</v>
      </c>
      <c r="AD211" s="176">
        <f t="shared" si="300"/>
        <v>0</v>
      </c>
      <c r="AE211" s="176">
        <f>AD211*User_sheet!B$77/100</f>
        <v>0</v>
      </c>
      <c r="AF211" s="309"/>
      <c r="AG211" s="27">
        <v>403</v>
      </c>
      <c r="AH211" s="985"/>
      <c r="AI211" s="956">
        <f t="shared" ca="1" si="281"/>
        <v>109.68162215404709</v>
      </c>
      <c r="AJ211" s="956">
        <f ca="1">AI211/'403'!I$24</f>
        <v>0.7656301427790243</v>
      </c>
      <c r="AK211" s="956">
        <f ca="1">0.8*(AI211*30+'403'!D$17*0.34*30*1)</f>
        <v>5222.81757169713</v>
      </c>
      <c r="AL211" s="954">
        <f ca="1">IF(AK211&lt;User_sheet!B$50,W211,0)</f>
        <v>0</v>
      </c>
      <c r="AM211" s="954">
        <f ca="1">20-(User_sheet!B$57/(AI211+'403'!D$17*1*0.34))</f>
        <v>-6.1927586254075315</v>
      </c>
      <c r="AN211" s="954"/>
      <c r="AO211" s="985"/>
      <c r="AP211" s="2">
        <v>0</v>
      </c>
      <c r="AQ211" s="1020">
        <v>2.41</v>
      </c>
      <c r="AR211" s="27">
        <v>0</v>
      </c>
      <c r="AS211" s="27">
        <v>2</v>
      </c>
      <c r="AT211" s="2">
        <v>0</v>
      </c>
      <c r="AU211" s="2">
        <v>0</v>
      </c>
      <c r="AV211" s="2">
        <v>74715.401027665983</v>
      </c>
      <c r="AW211" s="2">
        <v>0</v>
      </c>
      <c r="AX211" s="2">
        <v>0</v>
      </c>
      <c r="AY211" s="2">
        <v>0</v>
      </c>
      <c r="AZ211" s="50">
        <v>0.6</v>
      </c>
      <c r="BA211" s="34">
        <v>1</v>
      </c>
      <c r="BB211" s="34">
        <v>0</v>
      </c>
      <c r="BC211" s="40">
        <v>0</v>
      </c>
      <c r="BD211" s="34">
        <v>1</v>
      </c>
      <c r="BE211" s="34">
        <v>0</v>
      </c>
      <c r="BF211" s="40">
        <v>0</v>
      </c>
      <c r="BG211" s="34">
        <v>0</v>
      </c>
      <c r="BH211" s="40">
        <v>1</v>
      </c>
      <c r="BI211" s="34">
        <v>1</v>
      </c>
      <c r="BJ211" s="34">
        <v>0</v>
      </c>
      <c r="BK211" s="40">
        <v>0</v>
      </c>
      <c r="BL211" s="958">
        <v>0.15</v>
      </c>
      <c r="BM211" s="958">
        <v>10</v>
      </c>
      <c r="BN211" s="37">
        <f t="shared" ca="1" si="285"/>
        <v>86.579499999999996</v>
      </c>
      <c r="BO211" s="3">
        <f t="shared" ca="1" si="286"/>
        <v>292.3576333333333</v>
      </c>
      <c r="BP211" s="3">
        <f t="shared" ca="1" si="287"/>
        <v>0</v>
      </c>
      <c r="BQ211" s="3">
        <f t="shared" ca="1" si="288"/>
        <v>40.706666666666663</v>
      </c>
      <c r="BR211" s="3">
        <f t="shared" ca="1" si="289"/>
        <v>0</v>
      </c>
      <c r="BS211" s="3">
        <f t="shared" ca="1" si="290"/>
        <v>15.99</v>
      </c>
      <c r="BT211" s="3">
        <f t="shared" ca="1" si="291"/>
        <v>0</v>
      </c>
      <c r="BU211" s="3">
        <v>0</v>
      </c>
      <c r="BV211" s="3">
        <f t="shared" ca="1" si="292"/>
        <v>0</v>
      </c>
      <c r="BW211" s="3">
        <f t="shared" ca="1" si="293"/>
        <v>69.19712216683908</v>
      </c>
      <c r="BX211" s="3">
        <f t="shared" ca="1" si="294"/>
        <v>0</v>
      </c>
      <c r="BY211" s="3">
        <f t="shared" ca="1" si="295"/>
        <v>31.979999987208004</v>
      </c>
      <c r="BZ211" s="3">
        <f t="shared" ca="1" si="296"/>
        <v>0</v>
      </c>
      <c r="CA211" s="3">
        <f t="shared" si="297"/>
        <v>0</v>
      </c>
      <c r="CB211" s="1018">
        <f t="shared" ca="1" si="301"/>
        <v>109.68162215404709</v>
      </c>
      <c r="CC211" s="1018">
        <f t="shared" ca="1" si="302"/>
        <v>23.035414838265758</v>
      </c>
      <c r="CD211" s="3">
        <f t="shared" ca="1" si="282"/>
        <v>3.9815111097693854</v>
      </c>
      <c r="CE211" s="3">
        <f t="shared" ca="1" si="283"/>
        <v>6629.0567373216354</v>
      </c>
    </row>
    <row r="212" spans="4:83" s="3" customFormat="1" x14ac:dyDescent="0.25">
      <c r="D212" s="6"/>
      <c r="F212" s="1"/>
      <c r="G212"/>
      <c r="H212" s="8"/>
      <c r="I212" s="6" t="s">
        <v>16</v>
      </c>
      <c r="J212" s="4"/>
      <c r="K212" s="6"/>
      <c r="L212" s="6"/>
      <c r="M212" s="6"/>
      <c r="N212" s="6"/>
      <c r="O212" s="2" t="s">
        <v>7</v>
      </c>
      <c r="P212" s="4"/>
      <c r="Q212" s="6"/>
      <c r="R212" s="79"/>
      <c r="S212" s="274"/>
      <c r="T212" s="199"/>
      <c r="U212" s="200"/>
      <c r="V212" s="176">
        <f t="shared" si="298"/>
        <v>0</v>
      </c>
      <c r="W212" s="176">
        <f>V212/Calculation_sheet!M$67</f>
        <v>0</v>
      </c>
      <c r="X212" s="958">
        <f ca="1">IF(AL212&gt;0,W212*Calculation_sheet!C$87,0)</f>
        <v>0</v>
      </c>
      <c r="Y212" s="176">
        <f t="shared" ca="1" si="299"/>
        <v>0</v>
      </c>
      <c r="Z212" s="176">
        <f>IF(AN212&gt;0,Y212*Calculation_sheet!C$94,0)</f>
        <v>0</v>
      </c>
      <c r="AA212" s="958">
        <f t="shared" ca="1" si="284"/>
        <v>0</v>
      </c>
      <c r="AB212" s="176">
        <f ca="1">AA212*Calculation_sheet!C$99</f>
        <v>0</v>
      </c>
      <c r="AC212" s="958">
        <f t="shared" ca="1" si="284"/>
        <v>0</v>
      </c>
      <c r="AD212" s="176">
        <f t="shared" si="300"/>
        <v>0</v>
      </c>
      <c r="AE212" s="176">
        <f>AD212*User_sheet!B$77/100</f>
        <v>0</v>
      </c>
      <c r="AF212" s="309"/>
      <c r="AG212" s="27">
        <v>403</v>
      </c>
      <c r="AH212" s="985"/>
      <c r="AI212" s="956">
        <f t="shared" ca="1" si="281"/>
        <v>109.68162215404709</v>
      </c>
      <c r="AJ212" s="956">
        <f ca="1">AI212/'403'!I$24</f>
        <v>0.7656301427790243</v>
      </c>
      <c r="AK212" s="956">
        <f ca="1">0.8*(AI212*30+'403'!D$17*0.34*30*1)</f>
        <v>5222.81757169713</v>
      </c>
      <c r="AL212" s="954">
        <f ca="1">IF(AK212&lt;User_sheet!B$50,W212,0)</f>
        <v>0</v>
      </c>
      <c r="AM212" s="954">
        <f ca="1">20-(User_sheet!B$57/(AI212+'403'!D$17*1*0.34))</f>
        <v>-6.1927586254075315</v>
      </c>
      <c r="AN212" s="954"/>
      <c r="AO212" s="985"/>
      <c r="AP212" s="2">
        <v>0</v>
      </c>
      <c r="AQ212" s="1020">
        <v>2.41</v>
      </c>
      <c r="AR212" s="27">
        <v>0</v>
      </c>
      <c r="AS212" s="27">
        <v>2</v>
      </c>
      <c r="AT212" s="2">
        <v>0</v>
      </c>
      <c r="AU212" s="2">
        <v>0</v>
      </c>
      <c r="AV212" s="2">
        <v>74715.401027665983</v>
      </c>
      <c r="AW212" s="2">
        <v>0</v>
      </c>
      <c r="AX212" s="2">
        <v>0</v>
      </c>
      <c r="AY212" s="2">
        <v>0</v>
      </c>
      <c r="AZ212" s="50">
        <v>0.6</v>
      </c>
      <c r="BA212" s="34">
        <v>1</v>
      </c>
      <c r="BB212" s="34">
        <v>0</v>
      </c>
      <c r="BC212" s="40">
        <v>0</v>
      </c>
      <c r="BD212" s="34">
        <v>1</v>
      </c>
      <c r="BE212" s="34">
        <v>0</v>
      </c>
      <c r="BF212" s="40">
        <v>0</v>
      </c>
      <c r="BG212" s="34">
        <v>0</v>
      </c>
      <c r="BH212" s="40">
        <v>1</v>
      </c>
      <c r="BI212" s="34">
        <v>0</v>
      </c>
      <c r="BJ212" s="34">
        <v>0</v>
      </c>
      <c r="BK212" s="40">
        <v>1</v>
      </c>
      <c r="BL212" s="958">
        <v>0.15</v>
      </c>
      <c r="BM212" s="958">
        <v>10</v>
      </c>
      <c r="BN212" s="37">
        <f t="shared" ca="1" si="285"/>
        <v>86.579499999999996</v>
      </c>
      <c r="BO212" s="3">
        <f t="shared" ca="1" si="286"/>
        <v>292.3576333333333</v>
      </c>
      <c r="BP212" s="3">
        <f t="shared" ca="1" si="287"/>
        <v>0</v>
      </c>
      <c r="BQ212" s="3">
        <f t="shared" ca="1" si="288"/>
        <v>40.706666666666663</v>
      </c>
      <c r="BR212" s="3">
        <f t="shared" ca="1" si="289"/>
        <v>0</v>
      </c>
      <c r="BS212" s="3">
        <f t="shared" ca="1" si="290"/>
        <v>15.99</v>
      </c>
      <c r="BT212" s="3">
        <f t="shared" ca="1" si="291"/>
        <v>0</v>
      </c>
      <c r="BU212" s="3">
        <v>0</v>
      </c>
      <c r="BV212" s="3">
        <f t="shared" ca="1" si="292"/>
        <v>0</v>
      </c>
      <c r="BW212" s="3">
        <f t="shared" ca="1" si="293"/>
        <v>69.19712216683908</v>
      </c>
      <c r="BX212" s="3">
        <f t="shared" ca="1" si="294"/>
        <v>0</v>
      </c>
      <c r="BY212" s="3">
        <f t="shared" ca="1" si="295"/>
        <v>31.979999987208004</v>
      </c>
      <c r="BZ212" s="3">
        <f t="shared" ca="1" si="296"/>
        <v>0</v>
      </c>
      <c r="CA212" s="3">
        <f t="shared" si="297"/>
        <v>0</v>
      </c>
      <c r="CB212" s="1018">
        <f t="shared" ca="1" si="301"/>
        <v>109.68162215404709</v>
      </c>
      <c r="CC212" s="1018">
        <f t="shared" ca="1" si="302"/>
        <v>23.035414838265758</v>
      </c>
      <c r="CD212" s="3">
        <f t="shared" ca="1" si="282"/>
        <v>3.9815111097693854</v>
      </c>
      <c r="CE212" s="3">
        <f t="shared" ca="1" si="283"/>
        <v>6629.0567373216354</v>
      </c>
    </row>
    <row r="213" spans="4:83" s="3" customFormat="1" x14ac:dyDescent="0.25">
      <c r="D213" s="6"/>
      <c r="F213" s="1"/>
      <c r="G213"/>
      <c r="H213" s="8"/>
      <c r="I213" s="6"/>
      <c r="J213" s="6"/>
      <c r="K213" s="6" t="s">
        <v>59</v>
      </c>
      <c r="L213" s="4"/>
      <c r="M213" s="6"/>
      <c r="N213" s="6"/>
      <c r="O213" s="27" t="s">
        <v>16</v>
      </c>
      <c r="P213" s="4"/>
      <c r="Q213" s="6"/>
      <c r="R213" s="79"/>
      <c r="S213" s="274"/>
      <c r="T213" s="199"/>
      <c r="U213" s="200"/>
      <c r="V213" s="176">
        <f t="shared" si="298"/>
        <v>0</v>
      </c>
      <c r="W213" s="176">
        <f>V213/Calculation_sheet!M$67</f>
        <v>0</v>
      </c>
      <c r="X213" s="958">
        <f ca="1">IF(AL213&gt;0,W213*Calculation_sheet!C$87,0)</f>
        <v>0</v>
      </c>
      <c r="Y213" s="176">
        <f t="shared" ca="1" si="299"/>
        <v>0</v>
      </c>
      <c r="Z213" s="176">
        <f>IF(AN213&gt;0,Y213*Calculation_sheet!C$94,0)</f>
        <v>0</v>
      </c>
      <c r="AA213" s="958">
        <f t="shared" ca="1" si="284"/>
        <v>0</v>
      </c>
      <c r="AB213" s="176">
        <f ca="1">AA213*Calculation_sheet!C$99</f>
        <v>0</v>
      </c>
      <c r="AC213" s="958">
        <f t="shared" ca="1" si="284"/>
        <v>0</v>
      </c>
      <c r="AD213" s="176">
        <f t="shared" si="300"/>
        <v>0</v>
      </c>
      <c r="AE213" s="176">
        <f>AD213*User_sheet!B$77/100</f>
        <v>0</v>
      </c>
      <c r="AF213" s="309"/>
      <c r="AG213" s="27">
        <v>403</v>
      </c>
      <c r="AH213" s="985"/>
      <c r="AI213" s="956">
        <f t="shared" ca="1" si="281"/>
        <v>109.68162215404709</v>
      </c>
      <c r="AJ213" s="956">
        <f ca="1">AI213/'403'!I$24</f>
        <v>0.7656301427790243</v>
      </c>
      <c r="AK213" s="956">
        <f ca="1">0.8*(AI213*30+'403'!D$17*0.34*30*1)</f>
        <v>5222.81757169713</v>
      </c>
      <c r="AL213" s="954">
        <f ca="1">IF(AK213&lt;User_sheet!B$50,W213,0)</f>
        <v>0</v>
      </c>
      <c r="AM213" s="954">
        <f ca="1">20-(User_sheet!B$57/(AI213+'403'!D$17*1*0.34))</f>
        <v>-6.1927586254075315</v>
      </c>
      <c r="AN213" s="954"/>
      <c r="AO213" s="985"/>
      <c r="AP213" s="2">
        <v>0</v>
      </c>
      <c r="AQ213" s="1020">
        <v>2.41</v>
      </c>
      <c r="AR213" s="27">
        <v>0</v>
      </c>
      <c r="AS213" s="27">
        <v>2</v>
      </c>
      <c r="AT213" s="2">
        <v>0</v>
      </c>
      <c r="AU213" s="2">
        <v>0</v>
      </c>
      <c r="AV213" s="2">
        <v>74715.401027665983</v>
      </c>
      <c r="AW213" s="2">
        <v>0</v>
      </c>
      <c r="AX213" s="2">
        <v>0</v>
      </c>
      <c r="AY213" s="2">
        <v>0</v>
      </c>
      <c r="AZ213" s="50">
        <v>0.6</v>
      </c>
      <c r="BA213" s="34">
        <v>1</v>
      </c>
      <c r="BB213" s="34">
        <v>0</v>
      </c>
      <c r="BC213" s="40">
        <v>0</v>
      </c>
      <c r="BD213" s="34">
        <v>0</v>
      </c>
      <c r="BE213" s="34">
        <v>1</v>
      </c>
      <c r="BF213" s="40">
        <v>0</v>
      </c>
      <c r="BG213" s="34">
        <v>1</v>
      </c>
      <c r="BH213" s="40">
        <v>0</v>
      </c>
      <c r="BI213" s="34">
        <v>1</v>
      </c>
      <c r="BJ213" s="34">
        <v>0</v>
      </c>
      <c r="BK213" s="40">
        <v>0</v>
      </c>
      <c r="BL213" s="958">
        <v>0.15</v>
      </c>
      <c r="BM213" s="958">
        <v>10</v>
      </c>
      <c r="BN213" s="37">
        <f t="shared" ca="1" si="285"/>
        <v>86.579499999999996</v>
      </c>
      <c r="BO213" s="3">
        <f t="shared" ca="1" si="286"/>
        <v>292.3576333333333</v>
      </c>
      <c r="BP213" s="3">
        <f t="shared" ca="1" si="287"/>
        <v>0</v>
      </c>
      <c r="BQ213" s="3">
        <f t="shared" ca="1" si="288"/>
        <v>40.706666666666663</v>
      </c>
      <c r="BR213" s="3">
        <f t="shared" ca="1" si="289"/>
        <v>0</v>
      </c>
      <c r="BS213" s="3">
        <f t="shared" ca="1" si="290"/>
        <v>15.99</v>
      </c>
      <c r="BT213" s="3">
        <f t="shared" ca="1" si="291"/>
        <v>0</v>
      </c>
      <c r="BU213" s="3">
        <v>0</v>
      </c>
      <c r="BV213" s="3">
        <f t="shared" ca="1" si="292"/>
        <v>0</v>
      </c>
      <c r="BW213" s="3">
        <f t="shared" ca="1" si="293"/>
        <v>69.19712216683908</v>
      </c>
      <c r="BX213" s="3">
        <f t="shared" ca="1" si="294"/>
        <v>0</v>
      </c>
      <c r="BY213" s="3">
        <f t="shared" ca="1" si="295"/>
        <v>31.979999987208004</v>
      </c>
      <c r="BZ213" s="3">
        <f t="shared" ca="1" si="296"/>
        <v>0</v>
      </c>
      <c r="CA213" s="3">
        <f t="shared" si="297"/>
        <v>0</v>
      </c>
      <c r="CB213" s="1018">
        <f t="shared" ca="1" si="301"/>
        <v>109.68162215404709</v>
      </c>
      <c r="CC213" s="1018">
        <f t="shared" ca="1" si="302"/>
        <v>23.035414838265758</v>
      </c>
      <c r="CD213" s="3">
        <f t="shared" ca="1" si="282"/>
        <v>3.9815111097693854</v>
      </c>
      <c r="CE213" s="3">
        <f t="shared" ca="1" si="283"/>
        <v>6629.0567373216354</v>
      </c>
    </row>
    <row r="214" spans="4:83" s="3" customFormat="1" x14ac:dyDescent="0.25">
      <c r="D214" s="6"/>
      <c r="F214" s="3" t="s">
        <v>144</v>
      </c>
      <c r="G214"/>
      <c r="H214" s="8"/>
      <c r="I214" s="6"/>
      <c r="J214" s="6"/>
      <c r="K214" s="6"/>
      <c r="L214" s="6"/>
      <c r="M214" s="6"/>
      <c r="N214" s="6"/>
      <c r="O214" s="27" t="s">
        <v>7</v>
      </c>
      <c r="P214" s="4"/>
      <c r="Q214" s="6"/>
      <c r="R214" s="79"/>
      <c r="S214" s="274"/>
      <c r="T214" s="199"/>
      <c r="U214" s="200"/>
      <c r="V214" s="176">
        <f t="shared" si="298"/>
        <v>0</v>
      </c>
      <c r="W214" s="176">
        <f>V214/Calculation_sheet!M$67</f>
        <v>0</v>
      </c>
      <c r="X214" s="958">
        <f ca="1">IF(AL214&gt;0,W214*Calculation_sheet!C$87,0)</f>
        <v>0</v>
      </c>
      <c r="Y214" s="176">
        <f t="shared" ca="1" si="299"/>
        <v>0</v>
      </c>
      <c r="Z214" s="176">
        <f>IF(AN214&gt;0,Y214*Calculation_sheet!C$94,0)</f>
        <v>0</v>
      </c>
      <c r="AA214" s="958">
        <f t="shared" ca="1" si="284"/>
        <v>0</v>
      </c>
      <c r="AB214" s="176">
        <f ca="1">AA214*Calculation_sheet!C$99</f>
        <v>0</v>
      </c>
      <c r="AC214" s="958">
        <f t="shared" ca="1" si="284"/>
        <v>0</v>
      </c>
      <c r="AD214" s="176">
        <f t="shared" si="300"/>
        <v>0</v>
      </c>
      <c r="AE214" s="176">
        <f>AD214*User_sheet!B$77/100</f>
        <v>0</v>
      </c>
      <c r="AF214" s="309"/>
      <c r="AG214" s="27">
        <v>403</v>
      </c>
      <c r="AH214" s="985"/>
      <c r="AI214" s="956">
        <f t="shared" ca="1" si="281"/>
        <v>109.68162215404709</v>
      </c>
      <c r="AJ214" s="956">
        <f ca="1">AI214/'403'!I$24</f>
        <v>0.7656301427790243</v>
      </c>
      <c r="AK214" s="956">
        <f ca="1">0.8*(AI214*30+'403'!D$17*0.34*30*1)</f>
        <v>5222.81757169713</v>
      </c>
      <c r="AL214" s="954">
        <f ca="1">IF(AK214&lt;User_sheet!B$50,W214,0)</f>
        <v>0</v>
      </c>
      <c r="AM214" s="954">
        <f ca="1">20-(User_sheet!B$57/(AI214+'403'!D$17*1*0.34))</f>
        <v>-6.1927586254075315</v>
      </c>
      <c r="AN214" s="954"/>
      <c r="AO214" s="985"/>
      <c r="AP214" s="2">
        <v>0</v>
      </c>
      <c r="AQ214" s="1020">
        <v>2.41</v>
      </c>
      <c r="AR214" s="27">
        <v>0</v>
      </c>
      <c r="AS214" s="27">
        <v>2</v>
      </c>
      <c r="AT214" s="2">
        <v>0</v>
      </c>
      <c r="AU214" s="2">
        <v>0</v>
      </c>
      <c r="AV214" s="2">
        <v>74715.401027665983</v>
      </c>
      <c r="AW214" s="2">
        <v>0</v>
      </c>
      <c r="AX214" s="2">
        <v>0</v>
      </c>
      <c r="AY214" s="2">
        <v>0</v>
      </c>
      <c r="AZ214" s="50">
        <v>0.6</v>
      </c>
      <c r="BA214" s="34">
        <v>1</v>
      </c>
      <c r="BB214" s="34">
        <v>0</v>
      </c>
      <c r="BC214" s="40">
        <v>0</v>
      </c>
      <c r="BD214" s="34">
        <v>0</v>
      </c>
      <c r="BE214" s="34">
        <v>1</v>
      </c>
      <c r="BF214" s="40">
        <v>0</v>
      </c>
      <c r="BG214" s="34">
        <v>1</v>
      </c>
      <c r="BH214" s="40">
        <v>0</v>
      </c>
      <c r="BI214" s="34">
        <v>0</v>
      </c>
      <c r="BJ214" s="34">
        <v>0</v>
      </c>
      <c r="BK214" s="40">
        <v>1</v>
      </c>
      <c r="BL214" s="958">
        <v>0.15</v>
      </c>
      <c r="BM214" s="958">
        <v>10</v>
      </c>
      <c r="BN214" s="37">
        <f t="shared" ca="1" si="285"/>
        <v>86.579499999999996</v>
      </c>
      <c r="BO214" s="3">
        <f t="shared" ca="1" si="286"/>
        <v>292.3576333333333</v>
      </c>
      <c r="BP214" s="3">
        <f t="shared" ca="1" si="287"/>
        <v>0</v>
      </c>
      <c r="BQ214" s="3">
        <f t="shared" ca="1" si="288"/>
        <v>40.706666666666663</v>
      </c>
      <c r="BR214" s="3">
        <f t="shared" ca="1" si="289"/>
        <v>0</v>
      </c>
      <c r="BS214" s="3">
        <f t="shared" ca="1" si="290"/>
        <v>15.99</v>
      </c>
      <c r="BT214" s="3">
        <f t="shared" ca="1" si="291"/>
        <v>0</v>
      </c>
      <c r="BU214" s="3">
        <v>0</v>
      </c>
      <c r="BV214" s="3">
        <f t="shared" ca="1" si="292"/>
        <v>0</v>
      </c>
      <c r="BW214" s="3">
        <f t="shared" ca="1" si="293"/>
        <v>69.19712216683908</v>
      </c>
      <c r="BX214" s="3">
        <f t="shared" ca="1" si="294"/>
        <v>0</v>
      </c>
      <c r="BY214" s="3">
        <f t="shared" ca="1" si="295"/>
        <v>31.979999987208004</v>
      </c>
      <c r="BZ214" s="3">
        <f t="shared" ca="1" si="296"/>
        <v>0</v>
      </c>
      <c r="CA214" s="3">
        <f t="shared" si="297"/>
        <v>0</v>
      </c>
      <c r="CB214" s="1018">
        <f t="shared" ca="1" si="301"/>
        <v>109.68162215404709</v>
      </c>
      <c r="CC214" s="1018">
        <f t="shared" ca="1" si="302"/>
        <v>23.035414838265758</v>
      </c>
      <c r="CD214" s="3">
        <f t="shared" ca="1" si="282"/>
        <v>3.9815111097693854</v>
      </c>
      <c r="CE214" s="3">
        <f t="shared" ca="1" si="283"/>
        <v>6629.0567373216354</v>
      </c>
    </row>
    <row r="215" spans="4:83" s="3" customFormat="1" x14ac:dyDescent="0.25">
      <c r="D215" s="6"/>
      <c r="F215" s="6" t="s">
        <v>190</v>
      </c>
      <c r="G215"/>
      <c r="H215" s="8"/>
      <c r="I215" s="6"/>
      <c r="J215" s="6"/>
      <c r="K215" s="6"/>
      <c r="L215" s="6"/>
      <c r="M215" s="6" t="s">
        <v>60</v>
      </c>
      <c r="N215" s="4"/>
      <c r="O215" s="2" t="s">
        <v>57</v>
      </c>
      <c r="P215" s="4"/>
      <c r="Q215" s="6"/>
      <c r="R215" s="79"/>
      <c r="S215" s="274"/>
      <c r="T215" s="199"/>
      <c r="U215" s="200"/>
      <c r="V215" s="176">
        <f t="shared" si="298"/>
        <v>0</v>
      </c>
      <c r="W215" s="176">
        <f>V215/Calculation_sheet!M$67</f>
        <v>0</v>
      </c>
      <c r="X215" s="958">
        <f ca="1">IF(AL215&gt;0,W215*Calculation_sheet!C$87,0)</f>
        <v>0</v>
      </c>
      <c r="Y215" s="176">
        <f t="shared" ca="1" si="299"/>
        <v>0</v>
      </c>
      <c r="Z215" s="176">
        <f>IF(AN215&gt;0,Y215*Calculation_sheet!C$94,0)</f>
        <v>0</v>
      </c>
      <c r="AA215" s="958">
        <f t="shared" ca="1" si="284"/>
        <v>0</v>
      </c>
      <c r="AB215" s="176">
        <f ca="1">AA215*Calculation_sheet!C$99</f>
        <v>0</v>
      </c>
      <c r="AC215" s="958">
        <f t="shared" ca="1" si="284"/>
        <v>0</v>
      </c>
      <c r="AD215" s="176">
        <f t="shared" si="300"/>
        <v>0</v>
      </c>
      <c r="AE215" s="176">
        <f>AD215*User_sheet!B$77/100</f>
        <v>0</v>
      </c>
      <c r="AF215" s="309"/>
      <c r="AG215" s="27">
        <v>403</v>
      </c>
      <c r="AH215" s="985"/>
      <c r="AI215" s="956">
        <f t="shared" ca="1" si="281"/>
        <v>109.68162215404709</v>
      </c>
      <c r="AJ215" s="956">
        <f ca="1">AI215/'403'!I$24</f>
        <v>0.7656301427790243</v>
      </c>
      <c r="AK215" s="956">
        <f ca="1">0.8*(AI215*30+'403'!D$17*0.34*30*1)</f>
        <v>5222.81757169713</v>
      </c>
      <c r="AL215" s="954">
        <f ca="1">IF(AK215&lt;User_sheet!B$50,W215,0)</f>
        <v>0</v>
      </c>
      <c r="AM215" s="954">
        <f ca="1">20-(User_sheet!B$57/(AI215+'403'!D$17*1*0.34))</f>
        <v>-6.1927586254075315</v>
      </c>
      <c r="AN215" s="954"/>
      <c r="AO215" s="985"/>
      <c r="AP215" s="2">
        <v>0</v>
      </c>
      <c r="AQ215" s="1020">
        <v>2.41</v>
      </c>
      <c r="AR215" s="27">
        <v>0</v>
      </c>
      <c r="AS215" s="27">
        <v>2</v>
      </c>
      <c r="AT215" s="2">
        <v>0</v>
      </c>
      <c r="AU215" s="2">
        <v>0</v>
      </c>
      <c r="AV215" s="2">
        <v>74715.401027665983</v>
      </c>
      <c r="AW215" s="2">
        <v>0</v>
      </c>
      <c r="AX215" s="2">
        <v>0</v>
      </c>
      <c r="AY215" s="2">
        <v>0</v>
      </c>
      <c r="AZ215" s="50">
        <v>0.6</v>
      </c>
      <c r="BA215" s="34">
        <v>0</v>
      </c>
      <c r="BB215" s="34">
        <v>1</v>
      </c>
      <c r="BC215" s="40">
        <v>0</v>
      </c>
      <c r="BD215" s="34">
        <v>1</v>
      </c>
      <c r="BE215" s="34">
        <v>0</v>
      </c>
      <c r="BF215" s="40">
        <v>0</v>
      </c>
      <c r="BG215" s="34">
        <v>1</v>
      </c>
      <c r="BH215" s="40">
        <v>0</v>
      </c>
      <c r="BI215" s="34">
        <v>0</v>
      </c>
      <c r="BJ215" s="34">
        <v>1</v>
      </c>
      <c r="BK215" s="40">
        <v>0</v>
      </c>
      <c r="BL215" s="958">
        <v>0.15</v>
      </c>
      <c r="BM215" s="958">
        <v>10</v>
      </c>
      <c r="BN215" s="37">
        <f t="shared" ca="1" si="285"/>
        <v>86.579499999999996</v>
      </c>
      <c r="BO215" s="3">
        <f t="shared" ca="1" si="286"/>
        <v>292.3576333333333</v>
      </c>
      <c r="BP215" s="3">
        <f t="shared" ca="1" si="287"/>
        <v>0</v>
      </c>
      <c r="BQ215" s="3">
        <f t="shared" ca="1" si="288"/>
        <v>40.706666666666663</v>
      </c>
      <c r="BR215" s="3">
        <f t="shared" ca="1" si="289"/>
        <v>0</v>
      </c>
      <c r="BS215" s="3">
        <f t="shared" ca="1" si="290"/>
        <v>15.99</v>
      </c>
      <c r="BT215" s="3">
        <f t="shared" ca="1" si="291"/>
        <v>0</v>
      </c>
      <c r="BU215" s="3">
        <v>0</v>
      </c>
      <c r="BV215" s="3">
        <f t="shared" ca="1" si="292"/>
        <v>0</v>
      </c>
      <c r="BW215" s="3">
        <f t="shared" ca="1" si="293"/>
        <v>69.19712216683908</v>
      </c>
      <c r="BX215" s="3">
        <f t="shared" ca="1" si="294"/>
        <v>0</v>
      </c>
      <c r="BY215" s="3">
        <f t="shared" ca="1" si="295"/>
        <v>31.979999987208004</v>
      </c>
      <c r="BZ215" s="3">
        <f t="shared" ca="1" si="296"/>
        <v>0</v>
      </c>
      <c r="CA215" s="3">
        <f t="shared" si="297"/>
        <v>0</v>
      </c>
      <c r="CB215" s="1018">
        <f t="shared" ca="1" si="301"/>
        <v>109.68162215404709</v>
      </c>
      <c r="CC215" s="1018">
        <f t="shared" ca="1" si="302"/>
        <v>23.035414838265758</v>
      </c>
      <c r="CD215" s="3">
        <f t="shared" ca="1" si="282"/>
        <v>3.9815111097693854</v>
      </c>
      <c r="CE215" s="3">
        <f t="shared" ca="1" si="283"/>
        <v>6629.0567373216354</v>
      </c>
    </row>
    <row r="216" spans="4:83" s="3" customFormat="1" x14ac:dyDescent="0.25">
      <c r="D216" s="6"/>
      <c r="F216" s="1"/>
      <c r="G216" s="6"/>
      <c r="H216" s="8"/>
      <c r="I216" s="6"/>
      <c r="J216" s="6"/>
      <c r="K216" s="6"/>
      <c r="L216" s="6"/>
      <c r="M216" s="6"/>
      <c r="N216" s="6"/>
      <c r="O216" s="2" t="s">
        <v>7</v>
      </c>
      <c r="P216" s="4"/>
      <c r="Q216" s="6"/>
      <c r="R216" s="79"/>
      <c r="S216" s="274"/>
      <c r="T216" s="199"/>
      <c r="U216" s="200"/>
      <c r="V216" s="176">
        <f t="shared" si="298"/>
        <v>0</v>
      </c>
      <c r="W216" s="176">
        <f>V216/Calculation_sheet!M$67</f>
        <v>0</v>
      </c>
      <c r="X216" s="958">
        <f ca="1">IF(AL216&gt;0,W216*Calculation_sheet!C$87,0)</f>
        <v>0</v>
      </c>
      <c r="Y216" s="176">
        <f t="shared" ca="1" si="299"/>
        <v>0</v>
      </c>
      <c r="Z216" s="176">
        <f>IF(AN216&gt;0,Y216*Calculation_sheet!C$94,0)</f>
        <v>0</v>
      </c>
      <c r="AA216" s="958">
        <f t="shared" ca="1" si="284"/>
        <v>0</v>
      </c>
      <c r="AB216" s="176">
        <f ca="1">AA216*Calculation_sheet!C$99</f>
        <v>0</v>
      </c>
      <c r="AC216" s="958">
        <f t="shared" ca="1" si="284"/>
        <v>0</v>
      </c>
      <c r="AD216" s="176">
        <f t="shared" si="300"/>
        <v>0</v>
      </c>
      <c r="AE216" s="176">
        <f>AD216*User_sheet!B$77/100</f>
        <v>0</v>
      </c>
      <c r="AF216" s="309"/>
      <c r="AG216" s="27">
        <v>403</v>
      </c>
      <c r="AH216" s="985"/>
      <c r="AI216" s="956">
        <f t="shared" ca="1" si="281"/>
        <v>109.68162215404709</v>
      </c>
      <c r="AJ216" s="956">
        <f ca="1">AI216/'403'!I$24</f>
        <v>0.7656301427790243</v>
      </c>
      <c r="AK216" s="956">
        <f ca="1">0.8*(AI216*30+'403'!D$17*0.34*30*1)</f>
        <v>5222.81757169713</v>
      </c>
      <c r="AL216" s="954">
        <f ca="1">IF(AK216&lt;User_sheet!B$50,W216,0)</f>
        <v>0</v>
      </c>
      <c r="AM216" s="954">
        <f ca="1">20-(User_sheet!B$57/(AI216+'403'!D$17*1*0.34))</f>
        <v>-6.1927586254075315</v>
      </c>
      <c r="AN216" s="954"/>
      <c r="AO216" s="985"/>
      <c r="AP216" s="2">
        <v>0</v>
      </c>
      <c r="AQ216" s="1020">
        <v>2.41</v>
      </c>
      <c r="AR216" s="27">
        <v>0</v>
      </c>
      <c r="AS216" s="27">
        <v>2</v>
      </c>
      <c r="AT216" s="2">
        <v>0</v>
      </c>
      <c r="AU216" s="2">
        <v>0</v>
      </c>
      <c r="AV216" s="2">
        <v>74715.401027665983</v>
      </c>
      <c r="AW216" s="2">
        <v>0</v>
      </c>
      <c r="AX216" s="2">
        <v>0</v>
      </c>
      <c r="AY216" s="2">
        <v>0</v>
      </c>
      <c r="AZ216" s="50">
        <v>0.6</v>
      </c>
      <c r="BA216" s="34">
        <v>0</v>
      </c>
      <c r="BB216" s="34">
        <v>1</v>
      </c>
      <c r="BC216" s="40">
        <v>0</v>
      </c>
      <c r="BD216" s="34">
        <v>1</v>
      </c>
      <c r="BE216" s="34">
        <v>0</v>
      </c>
      <c r="BF216" s="40">
        <v>0</v>
      </c>
      <c r="BG216" s="34">
        <v>1</v>
      </c>
      <c r="BH216" s="40">
        <v>0</v>
      </c>
      <c r="BI216" s="34">
        <v>0</v>
      </c>
      <c r="BJ216" s="34">
        <v>0</v>
      </c>
      <c r="BK216" s="40">
        <v>1</v>
      </c>
      <c r="BL216" s="958">
        <v>0.15</v>
      </c>
      <c r="BM216" s="958">
        <v>10</v>
      </c>
      <c r="BN216" s="37">
        <f t="shared" ca="1" si="285"/>
        <v>86.579499999999996</v>
      </c>
      <c r="BO216" s="3">
        <f t="shared" ca="1" si="286"/>
        <v>292.3576333333333</v>
      </c>
      <c r="BP216" s="3">
        <f t="shared" ca="1" si="287"/>
        <v>0</v>
      </c>
      <c r="BQ216" s="3">
        <f t="shared" ca="1" si="288"/>
        <v>40.706666666666663</v>
      </c>
      <c r="BR216" s="3">
        <f t="shared" ca="1" si="289"/>
        <v>0</v>
      </c>
      <c r="BS216" s="3">
        <f t="shared" ca="1" si="290"/>
        <v>15.99</v>
      </c>
      <c r="BT216" s="3">
        <f t="shared" ca="1" si="291"/>
        <v>0</v>
      </c>
      <c r="BU216" s="3">
        <v>0</v>
      </c>
      <c r="BV216" s="3">
        <f t="shared" ca="1" si="292"/>
        <v>0</v>
      </c>
      <c r="BW216" s="3">
        <f t="shared" ca="1" si="293"/>
        <v>69.19712216683908</v>
      </c>
      <c r="BX216" s="3">
        <f t="shared" ca="1" si="294"/>
        <v>0</v>
      </c>
      <c r="BY216" s="3">
        <f t="shared" ca="1" si="295"/>
        <v>31.979999987208004</v>
      </c>
      <c r="BZ216" s="3">
        <f t="shared" ca="1" si="296"/>
        <v>0</v>
      </c>
      <c r="CA216" s="3">
        <f t="shared" si="297"/>
        <v>0</v>
      </c>
      <c r="CB216" s="1018">
        <f t="shared" ca="1" si="301"/>
        <v>109.68162215404709</v>
      </c>
      <c r="CC216" s="1018">
        <f t="shared" ca="1" si="302"/>
        <v>23.035414838265758</v>
      </c>
      <c r="CD216" s="3">
        <f t="shared" ca="1" si="282"/>
        <v>3.9815111097693854</v>
      </c>
      <c r="CE216" s="3">
        <f t="shared" ca="1" si="283"/>
        <v>6629.0567373216354</v>
      </c>
    </row>
    <row r="217" spans="4:83" x14ac:dyDescent="0.25">
      <c r="D217" s="1"/>
      <c r="F217" s="1"/>
      <c r="G217" s="6"/>
      <c r="H217" s="8"/>
      <c r="I217" s="6"/>
      <c r="J217" s="6"/>
      <c r="K217" s="6" t="s">
        <v>58</v>
      </c>
      <c r="L217" s="4"/>
      <c r="M217" s="6" t="s">
        <v>61</v>
      </c>
      <c r="N217" s="4"/>
      <c r="O217" s="2" t="s">
        <v>57</v>
      </c>
      <c r="P217" s="4"/>
      <c r="Q217" s="1"/>
      <c r="R217" s="79"/>
      <c r="T217" s="199"/>
      <c r="U217" s="200"/>
      <c r="V217" s="176">
        <f t="shared" si="298"/>
        <v>0</v>
      </c>
      <c r="W217" s="176">
        <f>V217/Calculation_sheet!M$67</f>
        <v>0</v>
      </c>
      <c r="X217" s="958">
        <f ca="1">IF(AL217&gt;0,W217*Calculation_sheet!C$87,0)</f>
        <v>0</v>
      </c>
      <c r="Y217" s="176">
        <f t="shared" ca="1" si="299"/>
        <v>0</v>
      </c>
      <c r="Z217" s="176">
        <f>IF(AN217&gt;0,Y217*Calculation_sheet!C$94,0)</f>
        <v>0</v>
      </c>
      <c r="AA217" s="958">
        <f t="shared" ca="1" si="284"/>
        <v>0</v>
      </c>
      <c r="AB217" s="176">
        <f ca="1">AA217*Calculation_sheet!C$99</f>
        <v>0</v>
      </c>
      <c r="AC217" s="958">
        <f t="shared" ca="1" si="284"/>
        <v>0</v>
      </c>
      <c r="AD217" s="176">
        <f t="shared" si="300"/>
        <v>0</v>
      </c>
      <c r="AE217" s="176">
        <f>AD217*User_sheet!B$77/100</f>
        <v>0</v>
      </c>
      <c r="AF217" s="309"/>
      <c r="AG217" s="27">
        <v>403</v>
      </c>
      <c r="AH217" s="985"/>
      <c r="AI217" s="956">
        <f t="shared" ca="1" si="281"/>
        <v>109.68162215404709</v>
      </c>
      <c r="AJ217" s="956">
        <f ca="1">AI217/'403'!I$24</f>
        <v>0.7656301427790243</v>
      </c>
      <c r="AK217" s="956">
        <f ca="1">0.8*(AI217*30+'403'!D$17*0.34*30*1)</f>
        <v>5222.81757169713</v>
      </c>
      <c r="AL217" s="954">
        <f ca="1">IF(AK217&lt;User_sheet!B$50,W217,0)</f>
        <v>0</v>
      </c>
      <c r="AM217" s="954">
        <f ca="1">20-(User_sheet!B$57/(AI217+'403'!D$17*1*0.34))</f>
        <v>-6.1927586254075315</v>
      </c>
      <c r="AN217" s="954"/>
      <c r="AO217" s="985"/>
      <c r="AP217" s="2">
        <v>0</v>
      </c>
      <c r="AQ217" s="1020">
        <v>2.41</v>
      </c>
      <c r="AR217" s="27">
        <v>0</v>
      </c>
      <c r="AS217" s="27">
        <v>2</v>
      </c>
      <c r="AT217" s="2">
        <v>0</v>
      </c>
      <c r="AU217" s="2">
        <v>0</v>
      </c>
      <c r="AV217" s="2">
        <v>74715.401027665983</v>
      </c>
      <c r="AW217" s="2">
        <v>0</v>
      </c>
      <c r="AX217" s="2">
        <v>0</v>
      </c>
      <c r="AY217" s="2">
        <v>0</v>
      </c>
      <c r="AZ217" s="50">
        <v>0.6</v>
      </c>
      <c r="BA217" s="34">
        <v>0</v>
      </c>
      <c r="BB217" s="34">
        <v>1</v>
      </c>
      <c r="BC217" s="40">
        <v>0</v>
      </c>
      <c r="BD217" s="34">
        <v>1</v>
      </c>
      <c r="BE217" s="34">
        <v>0</v>
      </c>
      <c r="BF217" s="40">
        <v>0</v>
      </c>
      <c r="BG217" s="34">
        <v>0</v>
      </c>
      <c r="BH217" s="40">
        <v>1</v>
      </c>
      <c r="BI217" s="34">
        <v>0</v>
      </c>
      <c r="BJ217" s="34">
        <v>1</v>
      </c>
      <c r="BK217" s="40">
        <v>0</v>
      </c>
      <c r="BL217" s="958">
        <v>0.15</v>
      </c>
      <c r="BM217" s="958">
        <v>10</v>
      </c>
      <c r="BN217" s="32">
        <f t="shared" ca="1" si="285"/>
        <v>86.579499999999996</v>
      </c>
      <c r="BO217">
        <f t="shared" ca="1" si="286"/>
        <v>292.3576333333333</v>
      </c>
      <c r="BP217">
        <f t="shared" ca="1" si="287"/>
        <v>0</v>
      </c>
      <c r="BQ217">
        <f t="shared" ca="1" si="288"/>
        <v>40.706666666666663</v>
      </c>
      <c r="BR217">
        <f t="shared" ca="1" si="289"/>
        <v>0</v>
      </c>
      <c r="BS217">
        <f t="shared" ca="1" si="290"/>
        <v>15.99</v>
      </c>
      <c r="BT217">
        <f t="shared" ca="1" si="291"/>
        <v>0</v>
      </c>
      <c r="BU217">
        <v>0</v>
      </c>
      <c r="BV217">
        <f t="shared" ca="1" si="292"/>
        <v>0</v>
      </c>
      <c r="BW217">
        <f t="shared" ca="1" si="293"/>
        <v>69.19712216683908</v>
      </c>
      <c r="BX217">
        <f t="shared" ca="1" si="294"/>
        <v>0</v>
      </c>
      <c r="BY217">
        <f t="shared" ca="1" si="295"/>
        <v>31.979999987208004</v>
      </c>
      <c r="BZ217">
        <f t="shared" ca="1" si="296"/>
        <v>0</v>
      </c>
      <c r="CA217">
        <f t="shared" si="297"/>
        <v>0</v>
      </c>
      <c r="CB217" s="1018">
        <f t="shared" ca="1" si="301"/>
        <v>109.68162215404709</v>
      </c>
      <c r="CC217" s="1018">
        <f t="shared" ca="1" si="302"/>
        <v>23.035414838265758</v>
      </c>
      <c r="CD217">
        <f t="shared" ca="1" si="282"/>
        <v>3.9815111097693854</v>
      </c>
      <c r="CE217">
        <f t="shared" ca="1" si="283"/>
        <v>6629.0567373216354</v>
      </c>
    </row>
    <row r="218" spans="4:83" x14ac:dyDescent="0.25">
      <c r="D218" s="1"/>
      <c r="F218" s="1"/>
      <c r="H218" s="1"/>
      <c r="I218" s="6" t="s">
        <v>57</v>
      </c>
      <c r="J218" s="4"/>
      <c r="K218" s="6"/>
      <c r="L218" s="6"/>
      <c r="M218" s="6"/>
      <c r="N218" s="6"/>
      <c r="O218" s="2" t="s">
        <v>7</v>
      </c>
      <c r="P218" s="4"/>
      <c r="Q218" s="1"/>
      <c r="R218" s="79"/>
      <c r="T218" s="199"/>
      <c r="U218" s="200"/>
      <c r="V218" s="176">
        <f t="shared" si="298"/>
        <v>0</v>
      </c>
      <c r="W218" s="176">
        <f>V218/Calculation_sheet!M$67</f>
        <v>0</v>
      </c>
      <c r="X218" s="958">
        <f ca="1">IF(AL218&gt;0,W218*Calculation_sheet!C$87,0)</f>
        <v>0</v>
      </c>
      <c r="Y218" s="176">
        <f t="shared" ca="1" si="299"/>
        <v>0</v>
      </c>
      <c r="Z218" s="176">
        <f>IF(AN218&gt;0,Y218*Calculation_sheet!C$94,0)</f>
        <v>0</v>
      </c>
      <c r="AA218" s="958">
        <f t="shared" ca="1" si="284"/>
        <v>0</v>
      </c>
      <c r="AB218" s="176">
        <f ca="1">AA218*Calculation_sheet!C$99</f>
        <v>0</v>
      </c>
      <c r="AC218" s="958">
        <f t="shared" ca="1" si="284"/>
        <v>0</v>
      </c>
      <c r="AD218" s="176">
        <f t="shared" si="300"/>
        <v>0</v>
      </c>
      <c r="AE218" s="176">
        <f>AD218*User_sheet!B$77/100</f>
        <v>0</v>
      </c>
      <c r="AF218" s="309"/>
      <c r="AG218" s="27">
        <v>403</v>
      </c>
      <c r="AH218" s="985"/>
      <c r="AI218" s="956">
        <f t="shared" ca="1" si="281"/>
        <v>109.68162215404709</v>
      </c>
      <c r="AJ218" s="956">
        <f ca="1">AI218/'403'!I$24</f>
        <v>0.7656301427790243</v>
      </c>
      <c r="AK218" s="956">
        <f ca="1">0.8*(AI218*30+'403'!D$17*0.34*30*1)</f>
        <v>5222.81757169713</v>
      </c>
      <c r="AL218" s="954">
        <f ca="1">IF(AK218&lt;User_sheet!B$50,W218,0)</f>
        <v>0</v>
      </c>
      <c r="AM218" s="954">
        <f ca="1">20-(User_sheet!B$57/(AI218+'403'!D$17*1*0.34))</f>
        <v>-6.1927586254075315</v>
      </c>
      <c r="AN218" s="954"/>
      <c r="AO218" s="985"/>
      <c r="AP218" s="2">
        <v>0</v>
      </c>
      <c r="AQ218" s="1020">
        <v>2.41</v>
      </c>
      <c r="AR218" s="27">
        <v>0</v>
      </c>
      <c r="AS218" s="27">
        <v>2</v>
      </c>
      <c r="AT218" s="2">
        <v>0</v>
      </c>
      <c r="AU218" s="2">
        <v>0</v>
      </c>
      <c r="AV218" s="2">
        <v>74715.401027665983</v>
      </c>
      <c r="AW218" s="2">
        <v>0</v>
      </c>
      <c r="AX218" s="2">
        <v>0</v>
      </c>
      <c r="AY218" s="2">
        <v>0</v>
      </c>
      <c r="AZ218" s="50">
        <v>0.6</v>
      </c>
      <c r="BA218" s="34">
        <v>0</v>
      </c>
      <c r="BB218" s="34">
        <v>1</v>
      </c>
      <c r="BC218" s="40">
        <v>0</v>
      </c>
      <c r="BD218" s="34">
        <v>1</v>
      </c>
      <c r="BE218" s="34">
        <v>0</v>
      </c>
      <c r="BF218" s="40">
        <v>0</v>
      </c>
      <c r="BG218" s="34">
        <v>0</v>
      </c>
      <c r="BH218" s="40">
        <v>1</v>
      </c>
      <c r="BI218" s="34">
        <v>0</v>
      </c>
      <c r="BJ218" s="34">
        <v>0</v>
      </c>
      <c r="BK218" s="40">
        <v>1</v>
      </c>
      <c r="BL218" s="958">
        <v>0.15</v>
      </c>
      <c r="BM218" s="958">
        <v>10</v>
      </c>
      <c r="BN218" s="32">
        <f t="shared" ca="1" si="285"/>
        <v>86.579499999999996</v>
      </c>
      <c r="BO218">
        <f t="shared" ca="1" si="286"/>
        <v>292.3576333333333</v>
      </c>
      <c r="BP218">
        <f t="shared" ca="1" si="287"/>
        <v>0</v>
      </c>
      <c r="BQ218">
        <f t="shared" ca="1" si="288"/>
        <v>40.706666666666663</v>
      </c>
      <c r="BR218">
        <f t="shared" ca="1" si="289"/>
        <v>0</v>
      </c>
      <c r="BS218">
        <f t="shared" ca="1" si="290"/>
        <v>15.99</v>
      </c>
      <c r="BT218">
        <f t="shared" ca="1" si="291"/>
        <v>0</v>
      </c>
      <c r="BU218">
        <v>0</v>
      </c>
      <c r="BV218">
        <f t="shared" ca="1" si="292"/>
        <v>0</v>
      </c>
      <c r="BW218">
        <f t="shared" ca="1" si="293"/>
        <v>69.19712216683908</v>
      </c>
      <c r="BX218">
        <f t="shared" ca="1" si="294"/>
        <v>0</v>
      </c>
      <c r="BY218">
        <f t="shared" ca="1" si="295"/>
        <v>31.979999987208004</v>
      </c>
      <c r="BZ218">
        <f t="shared" ca="1" si="296"/>
        <v>0</v>
      </c>
      <c r="CA218">
        <f t="shared" si="297"/>
        <v>0</v>
      </c>
      <c r="CB218" s="1018">
        <f t="shared" ca="1" si="301"/>
        <v>109.68162215404709</v>
      </c>
      <c r="CC218" s="1018">
        <f t="shared" ca="1" si="302"/>
        <v>23.035414838265758</v>
      </c>
      <c r="CD218">
        <f t="shared" ca="1" si="282"/>
        <v>3.9815111097693854</v>
      </c>
      <c r="CE218">
        <f t="shared" ca="1" si="283"/>
        <v>6629.0567373216354</v>
      </c>
    </row>
    <row r="219" spans="4:83" x14ac:dyDescent="0.25">
      <c r="D219" s="1"/>
      <c r="F219" s="1"/>
      <c r="H219" s="1"/>
      <c r="I219" s="6"/>
      <c r="J219" s="6"/>
      <c r="K219" s="6" t="s">
        <v>59</v>
      </c>
      <c r="L219" s="4"/>
      <c r="M219" s="6"/>
      <c r="N219" s="6"/>
      <c r="O219" s="27" t="s">
        <v>57</v>
      </c>
      <c r="P219" s="4"/>
      <c r="Q219" s="1"/>
      <c r="R219" s="79"/>
      <c r="T219" s="199"/>
      <c r="U219" s="200"/>
      <c r="V219" s="176">
        <f t="shared" si="298"/>
        <v>0</v>
      </c>
      <c r="W219" s="176">
        <f>V219/Calculation_sheet!M$67</f>
        <v>0</v>
      </c>
      <c r="X219" s="958">
        <f ca="1">IF(AL219&gt;0,W219*Calculation_sheet!C$87,0)</f>
        <v>0</v>
      </c>
      <c r="Y219" s="176">
        <f t="shared" ca="1" si="299"/>
        <v>0</v>
      </c>
      <c r="Z219" s="176">
        <f>IF(AN219&gt;0,Y219*Calculation_sheet!C$94,0)</f>
        <v>0</v>
      </c>
      <c r="AA219" s="958">
        <f t="shared" ca="1" si="284"/>
        <v>0</v>
      </c>
      <c r="AB219" s="176">
        <f ca="1">AA219*Calculation_sheet!C$99</f>
        <v>0</v>
      </c>
      <c r="AC219" s="958">
        <f t="shared" ca="1" si="284"/>
        <v>0</v>
      </c>
      <c r="AD219" s="176">
        <f t="shared" si="300"/>
        <v>0</v>
      </c>
      <c r="AE219" s="176">
        <f>AD219*User_sheet!B$77/100</f>
        <v>0</v>
      </c>
      <c r="AF219" s="309"/>
      <c r="AG219" s="27">
        <v>403</v>
      </c>
      <c r="AH219" s="985"/>
      <c r="AI219" s="956">
        <f t="shared" ca="1" si="281"/>
        <v>109.68162215404709</v>
      </c>
      <c r="AJ219" s="956">
        <f ca="1">AI219/'403'!I$24</f>
        <v>0.7656301427790243</v>
      </c>
      <c r="AK219" s="956">
        <f ca="1">0.8*(AI219*30+'403'!D$17*0.34*30*1)</f>
        <v>5222.81757169713</v>
      </c>
      <c r="AL219" s="954">
        <f ca="1">IF(AK219&lt;User_sheet!B$50,W219,0)</f>
        <v>0</v>
      </c>
      <c r="AM219" s="954">
        <f ca="1">20-(User_sheet!B$57/(AI219+'403'!D$17*1*0.34))</f>
        <v>-6.1927586254075315</v>
      </c>
      <c r="AN219" s="954"/>
      <c r="AO219" s="985"/>
      <c r="AP219" s="2">
        <v>0</v>
      </c>
      <c r="AQ219" s="1020">
        <v>2.41</v>
      </c>
      <c r="AR219" s="27">
        <v>0</v>
      </c>
      <c r="AS219" s="27">
        <v>2</v>
      </c>
      <c r="AT219" s="2">
        <v>0</v>
      </c>
      <c r="AU219" s="2">
        <v>0</v>
      </c>
      <c r="AV219" s="2">
        <v>74715.401027665983</v>
      </c>
      <c r="AW219" s="2">
        <v>0</v>
      </c>
      <c r="AX219" s="2">
        <v>0</v>
      </c>
      <c r="AY219" s="2">
        <v>0</v>
      </c>
      <c r="AZ219" s="50">
        <v>0.6</v>
      </c>
      <c r="BA219" s="34">
        <v>0</v>
      </c>
      <c r="BB219" s="34">
        <v>1</v>
      </c>
      <c r="BC219" s="40">
        <v>0</v>
      </c>
      <c r="BD219" s="34">
        <v>0</v>
      </c>
      <c r="BE219" s="34">
        <v>1</v>
      </c>
      <c r="BF219" s="40">
        <v>0</v>
      </c>
      <c r="BG219" s="34">
        <v>1</v>
      </c>
      <c r="BH219" s="40">
        <v>0</v>
      </c>
      <c r="BI219" s="34">
        <v>0</v>
      </c>
      <c r="BJ219" s="34">
        <v>1</v>
      </c>
      <c r="BK219" s="40">
        <v>0</v>
      </c>
      <c r="BL219" s="958">
        <v>0.15</v>
      </c>
      <c r="BM219" s="958">
        <v>10</v>
      </c>
      <c r="BN219" s="32">
        <f t="shared" ca="1" si="285"/>
        <v>86.579499999999996</v>
      </c>
      <c r="BO219">
        <f t="shared" ca="1" si="286"/>
        <v>292.3576333333333</v>
      </c>
      <c r="BP219">
        <f t="shared" ca="1" si="287"/>
        <v>0</v>
      </c>
      <c r="BQ219">
        <f t="shared" ca="1" si="288"/>
        <v>40.706666666666663</v>
      </c>
      <c r="BR219">
        <f t="shared" ca="1" si="289"/>
        <v>0</v>
      </c>
      <c r="BS219">
        <f t="shared" ca="1" si="290"/>
        <v>15.99</v>
      </c>
      <c r="BT219">
        <f t="shared" ca="1" si="291"/>
        <v>0</v>
      </c>
      <c r="BU219">
        <v>0</v>
      </c>
      <c r="BV219">
        <f t="shared" ca="1" si="292"/>
        <v>0</v>
      </c>
      <c r="BW219">
        <f t="shared" ca="1" si="293"/>
        <v>69.19712216683908</v>
      </c>
      <c r="BX219">
        <f t="shared" ca="1" si="294"/>
        <v>0</v>
      </c>
      <c r="BY219">
        <f t="shared" ca="1" si="295"/>
        <v>31.979999987208004</v>
      </c>
      <c r="BZ219">
        <f t="shared" ca="1" si="296"/>
        <v>0</v>
      </c>
      <c r="CA219">
        <f t="shared" si="297"/>
        <v>0</v>
      </c>
      <c r="CB219" s="1018">
        <f t="shared" ca="1" si="301"/>
        <v>109.68162215404709</v>
      </c>
      <c r="CC219" s="1018">
        <f t="shared" ca="1" si="302"/>
        <v>23.035414838265758</v>
      </c>
      <c r="CD219">
        <f t="shared" ca="1" si="282"/>
        <v>3.9815111097693854</v>
      </c>
      <c r="CE219">
        <f t="shared" ca="1" si="283"/>
        <v>6629.0567373216354</v>
      </c>
    </row>
    <row r="220" spans="4:83" x14ac:dyDescent="0.25">
      <c r="D220" s="1"/>
      <c r="F220" s="1"/>
      <c r="H220" s="1"/>
      <c r="I220" s="6"/>
      <c r="J220" s="6"/>
      <c r="K220" s="6"/>
      <c r="L220" s="6"/>
      <c r="M220" s="6"/>
      <c r="N220" s="6"/>
      <c r="O220" s="27" t="s">
        <v>7</v>
      </c>
      <c r="P220" s="4"/>
      <c r="Q220" s="1"/>
      <c r="R220" s="79"/>
      <c r="T220" s="199"/>
      <c r="U220" s="200"/>
      <c r="V220" s="176">
        <f t="shared" si="298"/>
        <v>0</v>
      </c>
      <c r="W220" s="176">
        <f>V220/Calculation_sheet!M$67</f>
        <v>0</v>
      </c>
      <c r="X220" s="958">
        <f ca="1">IF(AL220&gt;0,W220*Calculation_sheet!C$87,0)</f>
        <v>0</v>
      </c>
      <c r="Y220" s="176">
        <f t="shared" ca="1" si="299"/>
        <v>0</v>
      </c>
      <c r="Z220" s="176">
        <f>IF(AN220&gt;0,Y220*Calculation_sheet!C$94,0)</f>
        <v>0</v>
      </c>
      <c r="AA220" s="958">
        <f t="shared" ca="1" si="284"/>
        <v>0</v>
      </c>
      <c r="AB220" s="176">
        <f ca="1">AA220*Calculation_sheet!C$99</f>
        <v>0</v>
      </c>
      <c r="AC220" s="958">
        <f t="shared" ca="1" si="284"/>
        <v>0</v>
      </c>
      <c r="AD220" s="176">
        <f t="shared" si="300"/>
        <v>0</v>
      </c>
      <c r="AE220" s="176">
        <f>AD220*User_sheet!B$77/100</f>
        <v>0</v>
      </c>
      <c r="AF220" s="309"/>
      <c r="AG220" s="27">
        <v>403</v>
      </c>
      <c r="AH220" s="985"/>
      <c r="AI220" s="956">
        <f t="shared" ca="1" si="281"/>
        <v>109.68162215404709</v>
      </c>
      <c r="AJ220" s="956">
        <f ca="1">AI220/'403'!I$24</f>
        <v>0.7656301427790243</v>
      </c>
      <c r="AK220" s="956">
        <f ca="1">0.8*(AI220*30+'403'!D$17*0.34*30*1)</f>
        <v>5222.81757169713</v>
      </c>
      <c r="AL220" s="954">
        <f ca="1">IF(AK220&lt;User_sheet!B$50,W220,0)</f>
        <v>0</v>
      </c>
      <c r="AM220" s="954">
        <f ca="1">20-(User_sheet!B$57/(AI220+'403'!D$17*1*0.34))</f>
        <v>-6.1927586254075315</v>
      </c>
      <c r="AN220" s="954"/>
      <c r="AO220" s="985"/>
      <c r="AP220" s="2">
        <v>0</v>
      </c>
      <c r="AQ220" s="1020">
        <v>2.41</v>
      </c>
      <c r="AR220" s="27">
        <v>0</v>
      </c>
      <c r="AS220" s="27">
        <v>2</v>
      </c>
      <c r="AT220" s="2">
        <v>0</v>
      </c>
      <c r="AU220" s="2">
        <v>0</v>
      </c>
      <c r="AV220" s="2">
        <v>74715.401027665997</v>
      </c>
      <c r="AW220" s="2">
        <v>0</v>
      </c>
      <c r="AX220" s="2">
        <v>0</v>
      </c>
      <c r="AY220" s="2">
        <v>0</v>
      </c>
      <c r="AZ220" s="50">
        <v>0.6</v>
      </c>
      <c r="BA220" s="34">
        <v>0</v>
      </c>
      <c r="BB220" s="34">
        <v>1</v>
      </c>
      <c r="BC220" s="40">
        <v>0</v>
      </c>
      <c r="BD220" s="34">
        <v>0</v>
      </c>
      <c r="BE220" s="34">
        <v>1</v>
      </c>
      <c r="BF220" s="40">
        <v>0</v>
      </c>
      <c r="BG220" s="34">
        <v>1</v>
      </c>
      <c r="BH220" s="40">
        <v>0</v>
      </c>
      <c r="BI220" s="34">
        <v>0</v>
      </c>
      <c r="BJ220" s="34">
        <v>0</v>
      </c>
      <c r="BK220" s="40">
        <v>1</v>
      </c>
      <c r="BL220" s="958">
        <v>0.15</v>
      </c>
      <c r="BM220" s="958">
        <v>10</v>
      </c>
      <c r="BN220" s="32">
        <f t="shared" ca="1" si="285"/>
        <v>86.579499999999996</v>
      </c>
      <c r="BO220">
        <f t="shared" ca="1" si="286"/>
        <v>292.3576333333333</v>
      </c>
      <c r="BP220">
        <f t="shared" ca="1" si="287"/>
        <v>0</v>
      </c>
      <c r="BQ220">
        <f t="shared" ca="1" si="288"/>
        <v>40.706666666666663</v>
      </c>
      <c r="BR220">
        <f t="shared" ca="1" si="289"/>
        <v>0</v>
      </c>
      <c r="BS220">
        <f t="shared" ca="1" si="290"/>
        <v>15.99</v>
      </c>
      <c r="BT220">
        <f t="shared" ca="1" si="291"/>
        <v>0</v>
      </c>
      <c r="BU220">
        <v>0</v>
      </c>
      <c r="BV220">
        <f t="shared" ca="1" si="292"/>
        <v>0</v>
      </c>
      <c r="BW220">
        <f t="shared" ca="1" si="293"/>
        <v>69.19712216683908</v>
      </c>
      <c r="BX220">
        <f t="shared" ca="1" si="294"/>
        <v>0</v>
      </c>
      <c r="BY220">
        <f t="shared" ca="1" si="295"/>
        <v>31.979999987208004</v>
      </c>
      <c r="BZ220">
        <f t="shared" ca="1" si="296"/>
        <v>0</v>
      </c>
      <c r="CA220">
        <f t="shared" si="297"/>
        <v>0</v>
      </c>
      <c r="CB220" s="1018">
        <f t="shared" ca="1" si="301"/>
        <v>109.68162215404709</v>
      </c>
      <c r="CC220" s="1018">
        <f t="shared" ca="1" si="302"/>
        <v>23.035414838265758</v>
      </c>
      <c r="CD220">
        <f t="shared" ca="1" si="282"/>
        <v>3.9815111097693854</v>
      </c>
      <c r="CE220">
        <f t="shared" ca="1" si="283"/>
        <v>6629.0567373216354</v>
      </c>
    </row>
    <row r="221" spans="4:83" x14ac:dyDescent="0.25">
      <c r="D221" s="1"/>
      <c r="F221" s="1"/>
      <c r="H221" s="6"/>
      <c r="I221" s="6" t="s">
        <v>7</v>
      </c>
      <c r="J221" s="4"/>
      <c r="K221" s="6" t="s">
        <v>23</v>
      </c>
      <c r="L221" s="4"/>
      <c r="M221" s="6"/>
      <c r="N221" s="4"/>
      <c r="O221" s="27" t="s">
        <v>7</v>
      </c>
      <c r="P221" s="4"/>
      <c r="Q221" s="1"/>
      <c r="R221" s="79"/>
      <c r="T221" s="199"/>
      <c r="U221" s="200"/>
      <c r="V221" s="176">
        <f t="shared" si="298"/>
        <v>0</v>
      </c>
      <c r="W221" s="176">
        <f>V221/Calculation_sheet!M$67</f>
        <v>0</v>
      </c>
      <c r="X221" s="958">
        <f ca="1">IF(AL221&gt;0,W221*Calculation_sheet!C$87,0)</f>
        <v>0</v>
      </c>
      <c r="Y221" s="176">
        <f t="shared" ca="1" si="299"/>
        <v>0</v>
      </c>
      <c r="Z221" s="176">
        <f>IF(AN221&gt;0,Y221*Calculation_sheet!C$94,0)</f>
        <v>0</v>
      </c>
      <c r="AA221" s="958">
        <f t="shared" ca="1" si="284"/>
        <v>0</v>
      </c>
      <c r="AB221" s="176">
        <f ca="1">AA221*Calculation_sheet!C$99</f>
        <v>0</v>
      </c>
      <c r="AC221" s="958">
        <f t="shared" ca="1" si="284"/>
        <v>0</v>
      </c>
      <c r="AD221" s="176">
        <f t="shared" si="300"/>
        <v>0</v>
      </c>
      <c r="AE221" s="176">
        <f>AD221*User_sheet!B$77/100</f>
        <v>0</v>
      </c>
      <c r="AF221" s="309"/>
      <c r="AG221" s="27">
        <v>403</v>
      </c>
      <c r="AH221" s="985"/>
      <c r="AI221" s="956">
        <f t="shared" ca="1" si="281"/>
        <v>109.68162215404709</v>
      </c>
      <c r="AJ221" s="956">
        <f ca="1">AI221/'403'!I$24</f>
        <v>0.7656301427790243</v>
      </c>
      <c r="AK221" s="956">
        <f ca="1">0.8*(AI221*30+'403'!D$17*0.34*30*1)</f>
        <v>5222.81757169713</v>
      </c>
      <c r="AL221" s="954">
        <f ca="1">IF(AK221&lt;User_sheet!B$50,W221,0)</f>
        <v>0</v>
      </c>
      <c r="AM221" s="954">
        <f ca="1">20-(User_sheet!B$57/(AI221+'403'!D$17*1*0.34))</f>
        <v>-6.1927586254075315</v>
      </c>
      <c r="AN221" s="954"/>
      <c r="AO221" s="985"/>
      <c r="AP221" s="2">
        <v>0</v>
      </c>
      <c r="AQ221" s="1020">
        <v>2.41</v>
      </c>
      <c r="AR221" s="27">
        <v>0</v>
      </c>
      <c r="AS221" s="27">
        <v>2</v>
      </c>
      <c r="AT221" s="2">
        <v>0</v>
      </c>
      <c r="AU221" s="2">
        <v>0</v>
      </c>
      <c r="AV221" s="2">
        <v>74715.401027665997</v>
      </c>
      <c r="AW221" s="2">
        <v>0</v>
      </c>
      <c r="AX221" s="2">
        <v>0</v>
      </c>
      <c r="AY221" s="2">
        <v>0</v>
      </c>
      <c r="AZ221" s="50">
        <v>0.6</v>
      </c>
      <c r="BA221" s="34">
        <v>0</v>
      </c>
      <c r="BB221" s="34">
        <v>0</v>
      </c>
      <c r="BC221" s="40">
        <v>1</v>
      </c>
      <c r="BD221" s="34">
        <v>0</v>
      </c>
      <c r="BE221" s="34">
        <v>0</v>
      </c>
      <c r="BF221" s="40">
        <v>1</v>
      </c>
      <c r="BG221" s="34">
        <v>1</v>
      </c>
      <c r="BH221" s="40">
        <v>0</v>
      </c>
      <c r="BI221" s="34">
        <v>0</v>
      </c>
      <c r="BJ221" s="34">
        <v>0</v>
      </c>
      <c r="BK221" s="40">
        <v>1</v>
      </c>
      <c r="BL221" s="958">
        <v>0.15</v>
      </c>
      <c r="BM221" s="958">
        <v>10</v>
      </c>
      <c r="BN221" s="32">
        <f t="shared" ca="1" si="285"/>
        <v>86.579499999999996</v>
      </c>
      <c r="BO221">
        <f t="shared" ca="1" si="286"/>
        <v>292.3576333333333</v>
      </c>
      <c r="BP221">
        <f t="shared" ca="1" si="287"/>
        <v>0</v>
      </c>
      <c r="BQ221">
        <f t="shared" ca="1" si="288"/>
        <v>40.706666666666663</v>
      </c>
      <c r="BR221">
        <f t="shared" ca="1" si="289"/>
        <v>0</v>
      </c>
      <c r="BS221">
        <f t="shared" ca="1" si="290"/>
        <v>15.99</v>
      </c>
      <c r="BT221">
        <f t="shared" ca="1" si="291"/>
        <v>0</v>
      </c>
      <c r="BU221">
        <v>0</v>
      </c>
      <c r="BV221">
        <f t="shared" ca="1" si="292"/>
        <v>0</v>
      </c>
      <c r="BW221">
        <f t="shared" ca="1" si="293"/>
        <v>69.19712216683908</v>
      </c>
      <c r="BX221">
        <f t="shared" ca="1" si="294"/>
        <v>0</v>
      </c>
      <c r="BY221">
        <f t="shared" ca="1" si="295"/>
        <v>31.979999987208004</v>
      </c>
      <c r="BZ221">
        <f t="shared" ca="1" si="296"/>
        <v>0</v>
      </c>
      <c r="CA221">
        <f t="shared" si="297"/>
        <v>0</v>
      </c>
      <c r="CB221" s="1018">
        <f t="shared" ca="1" si="301"/>
        <v>109.68162215404709</v>
      </c>
      <c r="CC221" s="1018">
        <f t="shared" ca="1" si="302"/>
        <v>23.035414838265758</v>
      </c>
      <c r="CD221">
        <f t="shared" ca="1" si="282"/>
        <v>3.9815111097693854</v>
      </c>
      <c r="CE221">
        <f t="shared" ca="1" si="283"/>
        <v>6629.0567373216354</v>
      </c>
    </row>
    <row r="222" spans="4:83" s="14" customFormat="1" x14ac:dyDescent="0.25">
      <c r="D222" s="15"/>
      <c r="F222" s="15"/>
      <c r="H222" s="15"/>
      <c r="I222" s="15"/>
      <c r="J222" s="15"/>
      <c r="K222" s="15"/>
      <c r="L222" s="15"/>
      <c r="M222" s="15"/>
      <c r="N222" s="15"/>
      <c r="O222" s="28"/>
      <c r="P222" s="15"/>
      <c r="Q222" s="15"/>
      <c r="R222" s="80"/>
      <c r="S222" s="273"/>
      <c r="T222" s="277"/>
      <c r="U222" s="292"/>
      <c r="V222" s="292"/>
      <c r="W222" s="292"/>
      <c r="X222" s="277"/>
      <c r="Y222" s="292"/>
      <c r="Z222" s="292"/>
      <c r="AA222" s="277"/>
      <c r="AB222" s="292"/>
      <c r="AC222" s="277"/>
      <c r="AD222" s="292"/>
      <c r="AE222" s="292"/>
      <c r="AF222" s="309"/>
      <c r="AG222" s="28"/>
      <c r="AH222" s="985"/>
      <c r="AI222" s="956">
        <f t="shared" si="281"/>
        <v>0</v>
      </c>
      <c r="AJ222" s="941"/>
      <c r="AK222" s="941"/>
      <c r="AL222" s="941"/>
      <c r="AM222" s="941"/>
      <c r="AN222" s="941"/>
      <c r="AO222" s="985"/>
      <c r="AP222" s="28"/>
      <c r="AQ222" s="28"/>
      <c r="AR222" s="28"/>
      <c r="AS222" s="28"/>
      <c r="AT222" s="28"/>
      <c r="AU222" s="28"/>
      <c r="AV222" s="28"/>
      <c r="AW222" s="28"/>
      <c r="AX222" s="28"/>
      <c r="AY222" s="28"/>
      <c r="AZ222" s="49"/>
      <c r="BA222" s="277"/>
      <c r="BB222" s="28"/>
      <c r="BC222" s="49"/>
      <c r="BD222" s="277"/>
      <c r="BE222" s="28"/>
      <c r="BF222" s="49"/>
      <c r="BG222" s="277"/>
      <c r="BH222" s="49"/>
      <c r="BI222" s="277"/>
      <c r="BJ222" s="28"/>
      <c r="BK222" s="49"/>
      <c r="BL222" s="277"/>
      <c r="BM222" s="277"/>
      <c r="BN222" s="36"/>
    </row>
    <row r="223" spans="4:83" x14ac:dyDescent="0.25">
      <c r="D223" s="844"/>
      <c r="E223" s="843"/>
      <c r="F223" s="844"/>
      <c r="G223" s="843"/>
      <c r="H223" s="847"/>
      <c r="I223" s="847"/>
      <c r="J223" s="847"/>
      <c r="K223" s="847"/>
      <c r="L223" s="847"/>
      <c r="M223" s="847" t="s">
        <v>60</v>
      </c>
      <c r="N223" s="847">
        <v>0.74576271186440679</v>
      </c>
      <c r="O223" s="845" t="s">
        <v>16</v>
      </c>
      <c r="P223" s="847">
        <v>0.63219999999999998</v>
      </c>
      <c r="Q223" s="844"/>
      <c r="R223" s="853">
        <v>1.6407101558774543E-3</v>
      </c>
      <c r="T223" s="199">
        <f>R223-R223*Calculation_sheet!F$60</f>
        <v>1.6407101558774543E-3</v>
      </c>
      <c r="U223" s="176">
        <f>T223-T223*Calculation_sheet!E$68</f>
        <v>1.6407101558774543E-3</v>
      </c>
      <c r="V223" s="176">
        <f>U223-U223*Calculation_sheet!E$78</f>
        <v>1.6407101558774543E-3</v>
      </c>
      <c r="W223" s="176">
        <f>V223/Calculation_sheet!M$67</f>
        <v>1.6407437025406058E-3</v>
      </c>
      <c r="X223" s="958">
        <f ca="1">IF(AL223&gt;0,W223*Calculation_sheet!C$87,0)</f>
        <v>0</v>
      </c>
      <c r="Y223" s="176">
        <f ca="1">W223-X223</f>
        <v>1.6407437025406058E-3</v>
      </c>
      <c r="Z223" s="176">
        <f>IF(AN223&gt;0,Y223*Calculation_sheet!C$94,0)</f>
        <v>0</v>
      </c>
      <c r="AA223" s="958">
        <f t="shared" ref="AA223:AC235" ca="1" si="303">Y223-Z223</f>
        <v>1.6407437025406058E-3</v>
      </c>
      <c r="AB223" s="176">
        <f ca="1">AA223*Calculation_sheet!C$99</f>
        <v>9.8444622152436346E-4</v>
      </c>
      <c r="AC223" s="958">
        <f t="shared" ca="1" si="303"/>
        <v>6.5629748101624238E-4</v>
      </c>
      <c r="AD223" s="176">
        <f>W223-Z223</f>
        <v>1.6407437025406058E-3</v>
      </c>
      <c r="AE223" s="176">
        <f>AD223*User_sheet!B$77/100</f>
        <v>0</v>
      </c>
      <c r="AF223" s="309"/>
      <c r="AG223" s="27">
        <v>403</v>
      </c>
      <c r="AH223" s="985"/>
      <c r="AI223" s="956">
        <f t="shared" ca="1" si="281"/>
        <v>133.6666221276636</v>
      </c>
      <c r="AJ223" s="956">
        <f ca="1">AI223/'403'!I$24</f>
        <v>0.93305690574723876</v>
      </c>
      <c r="AK223" s="956">
        <f ca="1">0.8*(AI223*30+'403'!D$17*0.34*30*1)</f>
        <v>5798.4575710639256</v>
      </c>
      <c r="AL223" s="954">
        <f ca="1">IF(AK223&lt;User_sheet!B$50,W223,0)</f>
        <v>1.6407437025406058E-3</v>
      </c>
      <c r="AM223" s="954">
        <f ca="1">20-(User_sheet!B$57/(AI223+'403'!D$17*1*0.34))</f>
        <v>-3.5924809871290186</v>
      </c>
      <c r="AN223" s="954"/>
      <c r="AO223" s="985"/>
      <c r="AP223" s="2">
        <v>0</v>
      </c>
      <c r="AQ223" s="1020">
        <v>2.41</v>
      </c>
      <c r="AR223" s="2">
        <v>0</v>
      </c>
      <c r="AS223" s="2">
        <v>3.5</v>
      </c>
      <c r="AT223" s="2">
        <v>0</v>
      </c>
      <c r="AU223" s="2">
        <v>0</v>
      </c>
      <c r="AV223" s="2">
        <v>75945.51234133933</v>
      </c>
      <c r="AW223" s="2">
        <v>0</v>
      </c>
      <c r="AX223" s="2">
        <v>0</v>
      </c>
      <c r="AY223" s="2">
        <v>0</v>
      </c>
      <c r="AZ223" s="40">
        <v>0.75</v>
      </c>
      <c r="BA223" s="34">
        <v>1</v>
      </c>
      <c r="BB223" s="34">
        <v>0</v>
      </c>
      <c r="BC223" s="40">
        <v>0</v>
      </c>
      <c r="BD223" s="34">
        <v>1</v>
      </c>
      <c r="BE223" s="34">
        <v>0</v>
      </c>
      <c r="BF223" s="40">
        <v>0</v>
      </c>
      <c r="BG223" s="34">
        <v>1</v>
      </c>
      <c r="BH223" s="40">
        <v>0</v>
      </c>
      <c r="BI223" s="34">
        <v>1</v>
      </c>
      <c r="BJ223" s="34">
        <v>0</v>
      </c>
      <c r="BK223" s="40">
        <v>0</v>
      </c>
      <c r="BL223" s="958">
        <v>0.15</v>
      </c>
      <c r="BM223" s="958">
        <v>10</v>
      </c>
      <c r="BN223" s="32">
        <f t="shared" ref="BN223:BN235" ca="1" si="304">INDIRECT("'"&amp;AG223&amp;"'!"&amp;"B2")</f>
        <v>86.579499999999996</v>
      </c>
      <c r="BO223">
        <f t="shared" ref="BO223:BO235" ca="1" si="305">INDIRECT("'"&amp;AG223&amp;"'!"&amp;"C12")+INDIRECT("'"&amp;AG223&amp;"'!"&amp;"C13")+INDIRECT("'"&amp;AG223&amp;"'!"&amp;"C14")+INDIRECT("'"&amp;AG223&amp;"'!"&amp;"C15")+INDIRECT("'"&amp;AG223&amp;"'!"&amp;"C17")</f>
        <v>292.3576333333333</v>
      </c>
      <c r="BP223">
        <f t="shared" ref="BP223:BP235" ca="1" si="306">INDIRECT("'"&amp;AG223&amp;"'!"&amp;"G5")</f>
        <v>0</v>
      </c>
      <c r="BQ223">
        <f t="shared" ref="BQ223:BQ235" ca="1" si="307">INDIRECT("'"&amp;AG223&amp;"'!"&amp;"G4")</f>
        <v>40.706666666666663</v>
      </c>
      <c r="BR223">
        <f t="shared" ref="BR223:BR235" ca="1" si="308">INDIRECT("'"&amp;AG223&amp;"'!"&amp;"G6")</f>
        <v>0</v>
      </c>
      <c r="BS223">
        <f t="shared" ref="BS223:BS235" ca="1" si="309">INDIRECT("'"&amp;AG223&amp;"'!"&amp;"G2")</f>
        <v>15.99</v>
      </c>
      <c r="BT223">
        <f t="shared" ref="BT223:BT235" ca="1" si="310">INDIRECT("'"&amp;AG223&amp;"'!"&amp;"G3")</f>
        <v>0</v>
      </c>
      <c r="BU223">
        <v>0</v>
      </c>
      <c r="BV223">
        <f t="shared" ref="BV223:BV235" ca="1" si="311">IF(OR(BP223=0,AP223=0),0,1/(1/(BP223*$BW$3)+1/(BP223*AP223)+1/(BP223*$BW$4)))</f>
        <v>0</v>
      </c>
      <c r="BW223">
        <f t="shared" ref="BW223:BW235" ca="1" si="312">IF(OR(BQ223=0,AQ223=0),0,1/(1/(BQ223*$BW$3)+1/(BQ223*AQ223)+1/(BQ223*$BW$4)))</f>
        <v>69.19712216683908</v>
      </c>
      <c r="BX223">
        <f t="shared" ref="BX223:BX235" ca="1" si="313">IF(OR(BR223=0,AR223=0),0,1/(1/(BR223*$BW$3)+1/(BR223*AR223)+1/(BR223*$BW$4)))</f>
        <v>0</v>
      </c>
      <c r="BY223">
        <f t="shared" ref="BY223:BY235" ca="1" si="314">IF(OR(BS223=0,AS223=0),0,1/(1/(BS223*$BW$5)+1/(BS223*AS223)+1/(BS223*$BW$6)))</f>
        <v>55.964999960824507</v>
      </c>
      <c r="BZ223">
        <f t="shared" ref="BZ223:BZ235" ca="1" si="315">IF(OR(BT223=0,AT223=0),0,1/(1/(BT223*$BW$3)+1/(BT223*AT223)+1/(BT223*$BW$4)))</f>
        <v>0</v>
      </c>
      <c r="CA223">
        <f t="shared" ref="CA223:CA235" si="316">IF(OR(BU223=0,AU223=0),0,1/(1/(BU223*$BW$3)+1/(BU223*AU223)+1/(BU223*$BW$4)))</f>
        <v>0</v>
      </c>
      <c r="CB223" s="1018">
        <f ca="1">SUM(BV223:CA223)+(BP223+BQ223+BR223+BS223+BT223)*BL223</f>
        <v>133.6666221276636</v>
      </c>
      <c r="CC223" s="1018">
        <f ca="1">0.34*BM223*(1/25)^0.66*(BQ223+BS223+BT223)</f>
        <v>23.035414838265758</v>
      </c>
      <c r="CD223">
        <f t="shared" ca="1" si="282"/>
        <v>4.7010611089778802</v>
      </c>
      <c r="CE223">
        <f t="shared" ca="1" si="283"/>
        <v>7827.0787040038122</v>
      </c>
    </row>
    <row r="224" spans="4:83" x14ac:dyDescent="0.25">
      <c r="D224" s="844"/>
      <c r="E224" s="843"/>
      <c r="F224" s="844"/>
      <c r="G224" s="843"/>
      <c r="H224" s="847"/>
      <c r="I224" s="847"/>
      <c r="J224" s="847"/>
      <c r="K224" s="847"/>
      <c r="L224" s="847"/>
      <c r="M224" s="847"/>
      <c r="N224" s="847"/>
      <c r="O224" s="845" t="s">
        <v>7</v>
      </c>
      <c r="P224" s="847">
        <v>0.36780000000000002</v>
      </c>
      <c r="Q224" s="844"/>
      <c r="R224" s="853">
        <v>9.5452893915173647E-4</v>
      </c>
      <c r="T224" s="199">
        <f>R224-R224*Calculation_sheet!F$60</f>
        <v>9.5452893915173647E-4</v>
      </c>
      <c r="U224" s="176">
        <f>T224-T224*Calculation_sheet!E$68</f>
        <v>9.5452893915173647E-4</v>
      </c>
      <c r="V224" s="176">
        <f>U224-U224*Calculation_sheet!E$78</f>
        <v>9.5452893915173647E-4</v>
      </c>
      <c r="W224" s="176">
        <f>V224/Calculation_sheet!M$67</f>
        <v>9.545484558595934E-4</v>
      </c>
      <c r="X224" s="958">
        <f ca="1">IF(AL224&gt;0,W224*Calculation_sheet!C$87,0)</f>
        <v>0</v>
      </c>
      <c r="Y224" s="176">
        <f t="shared" ref="Y224:Y235" ca="1" si="317">W224-X224</f>
        <v>9.545484558595934E-4</v>
      </c>
      <c r="Z224" s="176">
        <f>IF(AN224&gt;0,Y224*Calculation_sheet!C$94,0)</f>
        <v>0</v>
      </c>
      <c r="AA224" s="958">
        <f t="shared" ca="1" si="303"/>
        <v>9.545484558595934E-4</v>
      </c>
      <c r="AB224" s="176">
        <f ca="1">AA224*Calculation_sheet!C$99</f>
        <v>5.7272907351575599E-4</v>
      </c>
      <c r="AC224" s="958">
        <f t="shared" ca="1" si="303"/>
        <v>3.818193823438374E-4</v>
      </c>
      <c r="AD224" s="176">
        <f t="shared" ref="AD224:AD235" si="318">W224-Z224</f>
        <v>9.545484558595934E-4</v>
      </c>
      <c r="AE224" s="176">
        <f>AD224*User_sheet!B$77/100</f>
        <v>0</v>
      </c>
      <c r="AF224" s="309"/>
      <c r="AG224" s="27">
        <v>403</v>
      </c>
      <c r="AH224" s="985"/>
      <c r="AI224" s="956">
        <f t="shared" ca="1" si="281"/>
        <v>133.6666221276636</v>
      </c>
      <c r="AJ224" s="956">
        <f ca="1">AI224/'403'!I$24</f>
        <v>0.93305690574723876</v>
      </c>
      <c r="AK224" s="956">
        <f ca="1">0.8*(AI224*30+'403'!D$17*0.34*30*1)</f>
        <v>5798.4575710639256</v>
      </c>
      <c r="AL224" s="954">
        <f ca="1">IF(AK224&lt;User_sheet!B$50,W224,0)</f>
        <v>9.545484558595934E-4</v>
      </c>
      <c r="AM224" s="954">
        <f ca="1">20-(User_sheet!B$57/(AI224+'403'!D$17*1*0.34))</f>
        <v>-3.5924809871290186</v>
      </c>
      <c r="AN224" s="954"/>
      <c r="AO224" s="985"/>
      <c r="AP224" s="2">
        <v>0</v>
      </c>
      <c r="AQ224" s="1020">
        <v>2.41</v>
      </c>
      <c r="AR224" s="2">
        <v>0</v>
      </c>
      <c r="AS224" s="2">
        <v>3.5</v>
      </c>
      <c r="AT224" s="2">
        <v>0</v>
      </c>
      <c r="AU224" s="2">
        <v>0</v>
      </c>
      <c r="AV224" s="2">
        <v>75945.51234133933</v>
      </c>
      <c r="AW224" s="2">
        <v>0</v>
      </c>
      <c r="AX224" s="2">
        <v>0</v>
      </c>
      <c r="AY224" s="2">
        <v>0</v>
      </c>
      <c r="AZ224" s="40">
        <v>0.75</v>
      </c>
      <c r="BA224" s="34">
        <v>1</v>
      </c>
      <c r="BB224" s="34">
        <v>0</v>
      </c>
      <c r="BC224" s="40">
        <v>0</v>
      </c>
      <c r="BD224" s="34">
        <v>1</v>
      </c>
      <c r="BE224" s="34">
        <v>0</v>
      </c>
      <c r="BF224" s="40">
        <v>0</v>
      </c>
      <c r="BG224" s="34">
        <v>1</v>
      </c>
      <c r="BH224" s="40">
        <v>0</v>
      </c>
      <c r="BI224" s="34">
        <v>0</v>
      </c>
      <c r="BJ224" s="34">
        <v>0</v>
      </c>
      <c r="BK224" s="40">
        <v>1</v>
      </c>
      <c r="BL224" s="958">
        <v>0.15</v>
      </c>
      <c r="BM224" s="958">
        <v>10</v>
      </c>
      <c r="BN224" s="32">
        <f t="shared" ca="1" si="304"/>
        <v>86.579499999999996</v>
      </c>
      <c r="BO224">
        <f t="shared" ca="1" si="305"/>
        <v>292.3576333333333</v>
      </c>
      <c r="BP224">
        <f t="shared" ca="1" si="306"/>
        <v>0</v>
      </c>
      <c r="BQ224">
        <f t="shared" ca="1" si="307"/>
        <v>40.706666666666663</v>
      </c>
      <c r="BR224">
        <f t="shared" ca="1" si="308"/>
        <v>0</v>
      </c>
      <c r="BS224">
        <f t="shared" ca="1" si="309"/>
        <v>15.99</v>
      </c>
      <c r="BT224">
        <f t="shared" ca="1" si="310"/>
        <v>0</v>
      </c>
      <c r="BU224">
        <v>0</v>
      </c>
      <c r="BV224">
        <f t="shared" ca="1" si="311"/>
        <v>0</v>
      </c>
      <c r="BW224">
        <f t="shared" ca="1" si="312"/>
        <v>69.19712216683908</v>
      </c>
      <c r="BX224">
        <f t="shared" ca="1" si="313"/>
        <v>0</v>
      </c>
      <c r="BY224">
        <f t="shared" ca="1" si="314"/>
        <v>55.964999960824507</v>
      </c>
      <c r="BZ224">
        <f t="shared" ca="1" si="315"/>
        <v>0</v>
      </c>
      <c r="CA224">
        <f t="shared" si="316"/>
        <v>0</v>
      </c>
      <c r="CB224" s="1018">
        <f t="shared" ref="CB224:CB235" ca="1" si="319">SUM(BV224:CA224)+(BP224+BQ224+BR224+BS224+BT224)*BL224</f>
        <v>133.6666221276636</v>
      </c>
      <c r="CC224" s="1018">
        <f t="shared" ref="CC224:CC235" ca="1" si="320">0.34*BM224*(1/25)^0.66*(BQ224+BS224+BT224)</f>
        <v>23.035414838265758</v>
      </c>
      <c r="CD224">
        <f t="shared" ca="1" si="282"/>
        <v>4.7010611089778802</v>
      </c>
      <c r="CE224">
        <f t="shared" ca="1" si="283"/>
        <v>7827.0787040038122</v>
      </c>
    </row>
    <row r="225" spans="4:83" x14ac:dyDescent="0.25">
      <c r="D225" s="844"/>
      <c r="E225" s="843"/>
      <c r="F225" s="844"/>
      <c r="G225" s="843"/>
      <c r="H225" s="847"/>
      <c r="I225" s="847"/>
      <c r="J225" s="847"/>
      <c r="K225" s="847"/>
      <c r="L225" s="847">
        <v>0.91</v>
      </c>
      <c r="M225" s="847" t="s">
        <v>61</v>
      </c>
      <c r="N225" s="847">
        <v>0.25423728813559321</v>
      </c>
      <c r="O225" s="845" t="s">
        <v>16</v>
      </c>
      <c r="P225" s="847">
        <v>0.63219999999999998</v>
      </c>
      <c r="Q225" s="844"/>
      <c r="R225" s="853">
        <v>5.5933300768549576E-4</v>
      </c>
      <c r="T225" s="199">
        <f>R225-R225*Calculation_sheet!F$60</f>
        <v>5.5933300768549576E-4</v>
      </c>
      <c r="U225" s="176">
        <f>T225-T225*Calculation_sheet!E$68</f>
        <v>5.5933300768549576E-4</v>
      </c>
      <c r="V225" s="176">
        <f>U225-U225*Calculation_sheet!E$78</f>
        <v>5.5933300768549576E-4</v>
      </c>
      <c r="W225" s="176">
        <f>V225/Calculation_sheet!M$67</f>
        <v>5.5934444404793376E-4</v>
      </c>
      <c r="X225" s="958">
        <f ca="1">IF(AL225&gt;0,W225*Calculation_sheet!C$87,0)</f>
        <v>0</v>
      </c>
      <c r="Y225" s="176">
        <f t="shared" ca="1" si="317"/>
        <v>5.5934444404793376E-4</v>
      </c>
      <c r="Z225" s="176">
        <f>IF(AN225&gt;0,Y225*Calculation_sheet!C$94,0)</f>
        <v>0</v>
      </c>
      <c r="AA225" s="958">
        <f t="shared" ca="1" si="303"/>
        <v>5.5934444404793376E-4</v>
      </c>
      <c r="AB225" s="176">
        <f ca="1">AA225*Calculation_sheet!C$99</f>
        <v>3.3560666642876022E-4</v>
      </c>
      <c r="AC225" s="958">
        <f t="shared" ca="1" si="303"/>
        <v>2.2373777761917354E-4</v>
      </c>
      <c r="AD225" s="176">
        <f t="shared" si="318"/>
        <v>5.5934444404793376E-4</v>
      </c>
      <c r="AE225" s="176">
        <f>AD225*User_sheet!B$77/100</f>
        <v>0</v>
      </c>
      <c r="AF225" s="309"/>
      <c r="AG225" s="27">
        <v>403</v>
      </c>
      <c r="AH225" s="985"/>
      <c r="AI225" s="956">
        <f t="shared" ca="1" si="281"/>
        <v>133.6666221276636</v>
      </c>
      <c r="AJ225" s="956">
        <f ca="1">AI225/'403'!I$24</f>
        <v>0.93305690574723876</v>
      </c>
      <c r="AK225" s="956">
        <f ca="1">0.8*(AI225*30+'403'!D$17*0.34*30*1)</f>
        <v>5798.4575710639256</v>
      </c>
      <c r="AL225" s="954">
        <f ca="1">IF(AK225&lt;User_sheet!B$50,W225,0)</f>
        <v>5.5934444404793376E-4</v>
      </c>
      <c r="AM225" s="954">
        <f ca="1">20-(User_sheet!B$57/(AI225+'403'!D$17*1*0.34))</f>
        <v>-3.5924809871290186</v>
      </c>
      <c r="AN225" s="954"/>
      <c r="AO225" s="985"/>
      <c r="AP225" s="2">
        <v>0</v>
      </c>
      <c r="AQ225" s="1020">
        <v>2.41</v>
      </c>
      <c r="AR225" s="2">
        <v>0</v>
      </c>
      <c r="AS225" s="2">
        <v>3.5</v>
      </c>
      <c r="AT225" s="2">
        <v>0</v>
      </c>
      <c r="AU225" s="2">
        <v>0</v>
      </c>
      <c r="AV225" s="2">
        <v>75945.51234133933</v>
      </c>
      <c r="AW225" s="2">
        <v>0</v>
      </c>
      <c r="AX225" s="2">
        <v>0</v>
      </c>
      <c r="AY225" s="2">
        <v>0</v>
      </c>
      <c r="AZ225" s="40">
        <v>0.75</v>
      </c>
      <c r="BA225" s="34">
        <v>1</v>
      </c>
      <c r="BB225" s="34">
        <v>0</v>
      </c>
      <c r="BC225" s="40">
        <v>0</v>
      </c>
      <c r="BD225" s="34">
        <v>1</v>
      </c>
      <c r="BE225" s="34">
        <v>0</v>
      </c>
      <c r="BF225" s="40">
        <v>0</v>
      </c>
      <c r="BG225" s="34">
        <v>0</v>
      </c>
      <c r="BH225" s="40">
        <v>1</v>
      </c>
      <c r="BI225" s="34">
        <v>1</v>
      </c>
      <c r="BJ225" s="34">
        <v>0</v>
      </c>
      <c r="BK225" s="40">
        <v>0</v>
      </c>
      <c r="BL225" s="958">
        <v>0.15</v>
      </c>
      <c r="BM225" s="958">
        <v>10</v>
      </c>
      <c r="BN225" s="32">
        <f t="shared" ca="1" si="304"/>
        <v>86.579499999999996</v>
      </c>
      <c r="BO225">
        <f t="shared" ca="1" si="305"/>
        <v>292.3576333333333</v>
      </c>
      <c r="BP225">
        <f t="shared" ca="1" si="306"/>
        <v>0</v>
      </c>
      <c r="BQ225">
        <f t="shared" ca="1" si="307"/>
        <v>40.706666666666663</v>
      </c>
      <c r="BR225">
        <f t="shared" ca="1" si="308"/>
        <v>0</v>
      </c>
      <c r="BS225">
        <f t="shared" ca="1" si="309"/>
        <v>15.99</v>
      </c>
      <c r="BT225">
        <f t="shared" ca="1" si="310"/>
        <v>0</v>
      </c>
      <c r="BU225">
        <v>0</v>
      </c>
      <c r="BV225">
        <f t="shared" ca="1" si="311"/>
        <v>0</v>
      </c>
      <c r="BW225">
        <f t="shared" ca="1" si="312"/>
        <v>69.19712216683908</v>
      </c>
      <c r="BX225">
        <f t="shared" ca="1" si="313"/>
        <v>0</v>
      </c>
      <c r="BY225">
        <f t="shared" ca="1" si="314"/>
        <v>55.964999960824507</v>
      </c>
      <c r="BZ225">
        <f t="shared" ca="1" si="315"/>
        <v>0</v>
      </c>
      <c r="CA225">
        <f t="shared" si="316"/>
        <v>0</v>
      </c>
      <c r="CB225" s="1018">
        <f t="shared" ca="1" si="319"/>
        <v>133.6666221276636</v>
      </c>
      <c r="CC225" s="1018">
        <f t="shared" ca="1" si="320"/>
        <v>23.035414838265758</v>
      </c>
      <c r="CD225">
        <f t="shared" ca="1" si="282"/>
        <v>4.7010611089778802</v>
      </c>
      <c r="CE225">
        <f t="shared" ca="1" si="283"/>
        <v>7827.0787040038122</v>
      </c>
    </row>
    <row r="226" spans="4:83" x14ac:dyDescent="0.25">
      <c r="D226" s="844"/>
      <c r="E226" s="843"/>
      <c r="F226" s="844"/>
      <c r="G226" s="843"/>
      <c r="H226" s="847"/>
      <c r="I226" s="847" t="s">
        <v>16</v>
      </c>
      <c r="J226" s="847">
        <v>0.56999999999999995</v>
      </c>
      <c r="K226" s="847"/>
      <c r="L226" s="847"/>
      <c r="M226" s="847"/>
      <c r="N226" s="847"/>
      <c r="O226" s="845" t="s">
        <v>7</v>
      </c>
      <c r="P226" s="847">
        <v>0.36780000000000002</v>
      </c>
      <c r="Q226" s="844"/>
      <c r="R226" s="853">
        <v>3.2540759289263733E-4</v>
      </c>
      <c r="T226" s="199">
        <f>R226-R226*Calculation_sheet!F$60</f>
        <v>3.2540759289263733E-4</v>
      </c>
      <c r="U226" s="176">
        <f>T226-T226*Calculation_sheet!E$68</f>
        <v>3.2540759289263733E-4</v>
      </c>
      <c r="V226" s="176">
        <f>U226-U226*Calculation_sheet!E$78</f>
        <v>3.2540759289263733E-4</v>
      </c>
      <c r="W226" s="176">
        <f>V226/Calculation_sheet!M$67</f>
        <v>3.2541424631577035E-4</v>
      </c>
      <c r="X226" s="958">
        <f ca="1">IF(AL226&gt;0,W226*Calculation_sheet!C$87,0)</f>
        <v>0</v>
      </c>
      <c r="Y226" s="176">
        <f t="shared" ca="1" si="317"/>
        <v>3.2541424631577035E-4</v>
      </c>
      <c r="Z226" s="176">
        <f>IF(AN226&gt;0,Y226*Calculation_sheet!C$94,0)</f>
        <v>0</v>
      </c>
      <c r="AA226" s="958">
        <f t="shared" ca="1" si="303"/>
        <v>3.2541424631577035E-4</v>
      </c>
      <c r="AB226" s="176">
        <f ca="1">AA226*Calculation_sheet!C$99</f>
        <v>1.952485477894622E-4</v>
      </c>
      <c r="AC226" s="958">
        <f t="shared" ca="1" si="303"/>
        <v>1.3016569852630815E-4</v>
      </c>
      <c r="AD226" s="176">
        <f t="shared" si="318"/>
        <v>3.2541424631577035E-4</v>
      </c>
      <c r="AE226" s="176">
        <f>AD226*User_sheet!B$77/100</f>
        <v>0</v>
      </c>
      <c r="AF226" s="309"/>
      <c r="AG226" s="27">
        <v>403</v>
      </c>
      <c r="AH226" s="985"/>
      <c r="AI226" s="956">
        <f t="shared" ca="1" si="281"/>
        <v>133.6666221276636</v>
      </c>
      <c r="AJ226" s="956">
        <f ca="1">AI226/'403'!I$24</f>
        <v>0.93305690574723876</v>
      </c>
      <c r="AK226" s="956">
        <f ca="1">0.8*(AI226*30+'403'!D$17*0.34*30*1)</f>
        <v>5798.4575710639256</v>
      </c>
      <c r="AL226" s="954">
        <f ca="1">IF(AK226&lt;User_sheet!B$50,W226,0)</f>
        <v>3.2541424631577035E-4</v>
      </c>
      <c r="AM226" s="954">
        <f ca="1">20-(User_sheet!B$57/(AI226+'403'!D$17*1*0.34))</f>
        <v>-3.5924809871290186</v>
      </c>
      <c r="AN226" s="954"/>
      <c r="AO226" s="985"/>
      <c r="AP226" s="2">
        <v>0</v>
      </c>
      <c r="AQ226" s="1020">
        <v>2.41</v>
      </c>
      <c r="AR226" s="2">
        <v>0</v>
      </c>
      <c r="AS226" s="2">
        <v>3.5</v>
      </c>
      <c r="AT226" s="2">
        <v>0</v>
      </c>
      <c r="AU226" s="2">
        <v>0</v>
      </c>
      <c r="AV226" s="2">
        <v>75945.51234133933</v>
      </c>
      <c r="AW226" s="2">
        <v>0</v>
      </c>
      <c r="AX226" s="2">
        <v>0</v>
      </c>
      <c r="AY226" s="2">
        <v>0</v>
      </c>
      <c r="AZ226" s="40">
        <v>0.75</v>
      </c>
      <c r="BA226" s="34">
        <v>1</v>
      </c>
      <c r="BB226" s="34">
        <v>0</v>
      </c>
      <c r="BC226" s="40">
        <v>0</v>
      </c>
      <c r="BD226" s="34">
        <v>1</v>
      </c>
      <c r="BE226" s="34">
        <v>0</v>
      </c>
      <c r="BF226" s="40">
        <v>0</v>
      </c>
      <c r="BG226" s="34">
        <v>0</v>
      </c>
      <c r="BH226" s="40">
        <v>1</v>
      </c>
      <c r="BI226" s="34">
        <v>0</v>
      </c>
      <c r="BJ226" s="34">
        <v>0</v>
      </c>
      <c r="BK226" s="40">
        <v>1</v>
      </c>
      <c r="BL226" s="958">
        <v>0.15</v>
      </c>
      <c r="BM226" s="958">
        <v>10</v>
      </c>
      <c r="BN226" s="32">
        <f t="shared" ca="1" si="304"/>
        <v>86.579499999999996</v>
      </c>
      <c r="BO226">
        <f t="shared" ca="1" si="305"/>
        <v>292.3576333333333</v>
      </c>
      <c r="BP226">
        <f t="shared" ca="1" si="306"/>
        <v>0</v>
      </c>
      <c r="BQ226">
        <f t="shared" ca="1" si="307"/>
        <v>40.706666666666663</v>
      </c>
      <c r="BR226">
        <f t="shared" ca="1" si="308"/>
        <v>0</v>
      </c>
      <c r="BS226">
        <f t="shared" ca="1" si="309"/>
        <v>15.99</v>
      </c>
      <c r="BT226">
        <f t="shared" ca="1" si="310"/>
        <v>0</v>
      </c>
      <c r="BU226">
        <v>0</v>
      </c>
      <c r="BV226">
        <f t="shared" ca="1" si="311"/>
        <v>0</v>
      </c>
      <c r="BW226">
        <f t="shared" ca="1" si="312"/>
        <v>69.19712216683908</v>
      </c>
      <c r="BX226">
        <f t="shared" ca="1" si="313"/>
        <v>0</v>
      </c>
      <c r="BY226">
        <f t="shared" ca="1" si="314"/>
        <v>55.964999960824507</v>
      </c>
      <c r="BZ226">
        <f t="shared" ca="1" si="315"/>
        <v>0</v>
      </c>
      <c r="CA226">
        <f t="shared" si="316"/>
        <v>0</v>
      </c>
      <c r="CB226" s="1018">
        <f t="shared" ca="1" si="319"/>
        <v>133.6666221276636</v>
      </c>
      <c r="CC226" s="1018">
        <f t="shared" ca="1" si="320"/>
        <v>23.035414838265758</v>
      </c>
      <c r="CD226">
        <f t="shared" ca="1" si="282"/>
        <v>4.7010611089778802</v>
      </c>
      <c r="CE226">
        <f t="shared" ca="1" si="283"/>
        <v>7827.0787040038122</v>
      </c>
    </row>
    <row r="227" spans="4:83" x14ac:dyDescent="0.25">
      <c r="D227" s="844"/>
      <c r="E227" s="843"/>
      <c r="F227" s="844"/>
      <c r="G227" s="843"/>
      <c r="H227" s="847"/>
      <c r="I227" s="847"/>
      <c r="J227" s="847"/>
      <c r="K227" s="847"/>
      <c r="L227" s="847">
        <v>8.9999999999999969E-2</v>
      </c>
      <c r="M227" s="847"/>
      <c r="N227" s="847"/>
      <c r="O227" s="850" t="s">
        <v>16</v>
      </c>
      <c r="P227" s="847">
        <v>0.63219999999999998</v>
      </c>
      <c r="Q227" s="844"/>
      <c r="R227" s="853">
        <v>2.1758668650622578E-4</v>
      </c>
      <c r="T227" s="199">
        <f>R227-R227*Calculation_sheet!F$60</f>
        <v>2.1758668650622578E-4</v>
      </c>
      <c r="U227" s="176">
        <f>T227-T227*Calculation_sheet!E$68</f>
        <v>2.1758668650622578E-4</v>
      </c>
      <c r="V227" s="176">
        <f>U227-U227*Calculation_sheet!E$78</f>
        <v>2.1758668650622578E-4</v>
      </c>
      <c r="W227" s="176">
        <f>V227/Calculation_sheet!M$67</f>
        <v>2.1759113537688849E-4</v>
      </c>
      <c r="X227" s="958">
        <f ca="1">IF(AL227&gt;0,W227*Calculation_sheet!C$87,0)</f>
        <v>0</v>
      </c>
      <c r="Y227" s="176">
        <f t="shared" ca="1" si="317"/>
        <v>2.1759113537688849E-4</v>
      </c>
      <c r="Z227" s="176">
        <f>IF(AN227&gt;0,Y227*Calculation_sheet!C$94,0)</f>
        <v>0</v>
      </c>
      <c r="AA227" s="958">
        <f t="shared" ca="1" si="303"/>
        <v>2.1759113537688849E-4</v>
      </c>
      <c r="AB227" s="176">
        <f ca="1">AA227*Calculation_sheet!C$99</f>
        <v>1.3055468122613308E-4</v>
      </c>
      <c r="AC227" s="958">
        <f t="shared" ca="1" si="303"/>
        <v>8.7036454150755412E-5</v>
      </c>
      <c r="AD227" s="176">
        <f t="shared" si="318"/>
        <v>2.1759113537688849E-4</v>
      </c>
      <c r="AE227" s="176">
        <f>AD227*User_sheet!B$77/100</f>
        <v>0</v>
      </c>
      <c r="AF227" s="309"/>
      <c r="AG227" s="27">
        <v>403</v>
      </c>
      <c r="AH227" s="985"/>
      <c r="AI227" s="956">
        <f t="shared" ca="1" si="281"/>
        <v>133.6666221276636</v>
      </c>
      <c r="AJ227" s="956">
        <f ca="1">AI227/'403'!I$24</f>
        <v>0.93305690574723876</v>
      </c>
      <c r="AK227" s="956">
        <f ca="1">0.8*(AI227*30+'403'!D$17*0.34*30*1)</f>
        <v>5798.4575710639256</v>
      </c>
      <c r="AL227" s="954">
        <f ca="1">IF(AK227&lt;User_sheet!B$50,W227,0)</f>
        <v>2.1759113537688849E-4</v>
      </c>
      <c r="AM227" s="954">
        <f ca="1">20-(User_sheet!B$57/(AI227+'403'!D$17*1*0.34))</f>
        <v>-3.5924809871290186</v>
      </c>
      <c r="AN227" s="954"/>
      <c r="AO227" s="985"/>
      <c r="AP227" s="2">
        <v>0</v>
      </c>
      <c r="AQ227" s="1020">
        <v>2.41</v>
      </c>
      <c r="AR227" s="2">
        <v>0</v>
      </c>
      <c r="AS227" s="2">
        <v>3.5</v>
      </c>
      <c r="AT227" s="2">
        <v>0</v>
      </c>
      <c r="AU227" s="2">
        <v>0</v>
      </c>
      <c r="AV227" s="2">
        <v>75945.51234133933</v>
      </c>
      <c r="AW227" s="2">
        <v>0</v>
      </c>
      <c r="AX227" s="2">
        <v>0</v>
      </c>
      <c r="AY227" s="2">
        <v>0</v>
      </c>
      <c r="AZ227" s="40">
        <v>0.75</v>
      </c>
      <c r="BA227" s="34">
        <v>1</v>
      </c>
      <c r="BB227" s="34">
        <v>0</v>
      </c>
      <c r="BC227" s="40">
        <v>0</v>
      </c>
      <c r="BD227" s="34">
        <v>0</v>
      </c>
      <c r="BE227" s="34">
        <v>1</v>
      </c>
      <c r="BF227" s="40">
        <v>0</v>
      </c>
      <c r="BG227" s="34">
        <v>1</v>
      </c>
      <c r="BH227" s="40">
        <v>0</v>
      </c>
      <c r="BI227" s="34">
        <v>1</v>
      </c>
      <c r="BJ227" s="34">
        <v>0</v>
      </c>
      <c r="BK227" s="40">
        <v>0</v>
      </c>
      <c r="BL227" s="958">
        <v>0.15</v>
      </c>
      <c r="BM227" s="958">
        <v>10</v>
      </c>
      <c r="BN227" s="32">
        <f t="shared" ca="1" si="304"/>
        <v>86.579499999999996</v>
      </c>
      <c r="BO227">
        <f t="shared" ca="1" si="305"/>
        <v>292.3576333333333</v>
      </c>
      <c r="BP227">
        <f t="shared" ca="1" si="306"/>
        <v>0</v>
      </c>
      <c r="BQ227">
        <f t="shared" ca="1" si="307"/>
        <v>40.706666666666663</v>
      </c>
      <c r="BR227">
        <f t="shared" ca="1" si="308"/>
        <v>0</v>
      </c>
      <c r="BS227">
        <f t="shared" ca="1" si="309"/>
        <v>15.99</v>
      </c>
      <c r="BT227">
        <f t="shared" ca="1" si="310"/>
        <v>0</v>
      </c>
      <c r="BU227">
        <v>0</v>
      </c>
      <c r="BV227">
        <f t="shared" ca="1" si="311"/>
        <v>0</v>
      </c>
      <c r="BW227">
        <f t="shared" ca="1" si="312"/>
        <v>69.19712216683908</v>
      </c>
      <c r="BX227">
        <f t="shared" ca="1" si="313"/>
        <v>0</v>
      </c>
      <c r="BY227">
        <f t="shared" ca="1" si="314"/>
        <v>55.964999960824507</v>
      </c>
      <c r="BZ227">
        <f t="shared" ca="1" si="315"/>
        <v>0</v>
      </c>
      <c r="CA227">
        <f t="shared" si="316"/>
        <v>0</v>
      </c>
      <c r="CB227" s="1018">
        <f t="shared" ca="1" si="319"/>
        <v>133.6666221276636</v>
      </c>
      <c r="CC227" s="1018">
        <f t="shared" ca="1" si="320"/>
        <v>23.035414838265758</v>
      </c>
      <c r="CD227">
        <f t="shared" ca="1" si="282"/>
        <v>4.7010611089778802</v>
      </c>
      <c r="CE227">
        <f t="shared" ca="1" si="283"/>
        <v>7827.0787040038122</v>
      </c>
    </row>
    <row r="228" spans="4:83" x14ac:dyDescent="0.25">
      <c r="D228" s="844"/>
      <c r="E228" s="843"/>
      <c r="F228" s="844"/>
      <c r="G228" s="843"/>
      <c r="H228" s="847"/>
      <c r="I228" s="847"/>
      <c r="J228" s="847"/>
      <c r="K228" s="847"/>
      <c r="L228" s="847"/>
      <c r="M228" s="847"/>
      <c r="N228" s="847"/>
      <c r="O228" s="850" t="s">
        <v>7</v>
      </c>
      <c r="P228" s="847">
        <v>0.36780000000000002</v>
      </c>
      <c r="Q228" s="844"/>
      <c r="R228" s="853">
        <v>1.2658712954285013E-4</v>
      </c>
      <c r="T228" s="199">
        <f>R228-R228*Calculation_sheet!F$60</f>
        <v>1.2658712954285013E-4</v>
      </c>
      <c r="U228" s="176">
        <f>T228-T228*Calculation_sheet!E$68</f>
        <v>1.2658712954285013E-4</v>
      </c>
      <c r="V228" s="176">
        <f>U228-U228*Calculation_sheet!E$78</f>
        <v>1.2658712954285013E-4</v>
      </c>
      <c r="W228" s="176">
        <f>V228/Calculation_sheet!M$67</f>
        <v>1.2658971779756342E-4</v>
      </c>
      <c r="X228" s="958">
        <f ca="1">IF(AL228&gt;0,W228*Calculation_sheet!C$87,0)</f>
        <v>0</v>
      </c>
      <c r="Y228" s="176">
        <f t="shared" ca="1" si="317"/>
        <v>1.2658971779756342E-4</v>
      </c>
      <c r="Z228" s="176">
        <f>IF(AN228&gt;0,Y228*Calculation_sheet!C$94,0)</f>
        <v>0</v>
      </c>
      <c r="AA228" s="958">
        <f t="shared" ca="1" si="303"/>
        <v>1.2658971779756342E-4</v>
      </c>
      <c r="AB228" s="176">
        <f ca="1">AA228*Calculation_sheet!C$99</f>
        <v>7.595383067853805E-5</v>
      </c>
      <c r="AC228" s="958">
        <f t="shared" ca="1" si="303"/>
        <v>5.0635887119025366E-5</v>
      </c>
      <c r="AD228" s="176">
        <f t="shared" si="318"/>
        <v>1.2658971779756342E-4</v>
      </c>
      <c r="AE228" s="176">
        <f>AD228*User_sheet!B$77/100</f>
        <v>0</v>
      </c>
      <c r="AF228" s="309"/>
      <c r="AG228" s="27">
        <v>403</v>
      </c>
      <c r="AH228" s="985"/>
      <c r="AI228" s="956">
        <f t="shared" ca="1" si="281"/>
        <v>133.6666221276636</v>
      </c>
      <c r="AJ228" s="956">
        <f ca="1">AI228/'403'!I$24</f>
        <v>0.93305690574723876</v>
      </c>
      <c r="AK228" s="956">
        <f ca="1">0.8*(AI228*30+'403'!D$17*0.34*30*1)</f>
        <v>5798.4575710639256</v>
      </c>
      <c r="AL228" s="954">
        <f ca="1">IF(AK228&lt;User_sheet!B$50,W228,0)</f>
        <v>1.2658971779756342E-4</v>
      </c>
      <c r="AM228" s="954">
        <f ca="1">20-(User_sheet!B$57/(AI228+'403'!D$17*1*0.34))</f>
        <v>-3.5924809871290186</v>
      </c>
      <c r="AN228" s="954"/>
      <c r="AO228" s="985"/>
      <c r="AP228" s="2">
        <v>0</v>
      </c>
      <c r="AQ228" s="1020">
        <v>2.41</v>
      </c>
      <c r="AR228" s="2">
        <v>0</v>
      </c>
      <c r="AS228" s="2">
        <v>3.5</v>
      </c>
      <c r="AT228" s="2">
        <v>0</v>
      </c>
      <c r="AU228" s="2">
        <v>0</v>
      </c>
      <c r="AV228" s="2">
        <v>75945.51234133933</v>
      </c>
      <c r="AW228" s="2">
        <v>0</v>
      </c>
      <c r="AX228" s="2">
        <v>0</v>
      </c>
      <c r="AY228" s="2">
        <v>0</v>
      </c>
      <c r="AZ228" s="40">
        <v>0.75</v>
      </c>
      <c r="BA228" s="34">
        <v>1</v>
      </c>
      <c r="BB228" s="34">
        <v>0</v>
      </c>
      <c r="BC228" s="40">
        <v>0</v>
      </c>
      <c r="BD228" s="34">
        <v>0</v>
      </c>
      <c r="BE228" s="34">
        <v>1</v>
      </c>
      <c r="BF228" s="40">
        <v>0</v>
      </c>
      <c r="BG228" s="34">
        <v>1</v>
      </c>
      <c r="BH228" s="40">
        <v>0</v>
      </c>
      <c r="BI228" s="34">
        <v>0</v>
      </c>
      <c r="BJ228" s="34">
        <v>0</v>
      </c>
      <c r="BK228" s="40">
        <v>1</v>
      </c>
      <c r="BL228" s="958">
        <v>0.15</v>
      </c>
      <c r="BM228" s="958">
        <v>10</v>
      </c>
      <c r="BN228" s="32">
        <f t="shared" ca="1" si="304"/>
        <v>86.579499999999996</v>
      </c>
      <c r="BO228">
        <f t="shared" ca="1" si="305"/>
        <v>292.3576333333333</v>
      </c>
      <c r="BP228">
        <f t="shared" ca="1" si="306"/>
        <v>0</v>
      </c>
      <c r="BQ228">
        <f t="shared" ca="1" si="307"/>
        <v>40.706666666666663</v>
      </c>
      <c r="BR228">
        <f t="shared" ca="1" si="308"/>
        <v>0</v>
      </c>
      <c r="BS228">
        <f t="shared" ca="1" si="309"/>
        <v>15.99</v>
      </c>
      <c r="BT228">
        <f t="shared" ca="1" si="310"/>
        <v>0</v>
      </c>
      <c r="BU228">
        <v>0</v>
      </c>
      <c r="BV228">
        <f t="shared" ca="1" si="311"/>
        <v>0</v>
      </c>
      <c r="BW228">
        <f t="shared" ca="1" si="312"/>
        <v>69.19712216683908</v>
      </c>
      <c r="BX228">
        <f t="shared" ca="1" si="313"/>
        <v>0</v>
      </c>
      <c r="BY228">
        <f t="shared" ca="1" si="314"/>
        <v>55.964999960824507</v>
      </c>
      <c r="BZ228">
        <f t="shared" ca="1" si="315"/>
        <v>0</v>
      </c>
      <c r="CA228">
        <f t="shared" si="316"/>
        <v>0</v>
      </c>
      <c r="CB228" s="1018">
        <f t="shared" ca="1" si="319"/>
        <v>133.6666221276636</v>
      </c>
      <c r="CC228" s="1018">
        <f t="shared" ca="1" si="320"/>
        <v>23.035414838265758</v>
      </c>
      <c r="CD228">
        <f t="shared" ca="1" si="282"/>
        <v>4.7010611089778802</v>
      </c>
      <c r="CE228">
        <f t="shared" ca="1" si="283"/>
        <v>7827.0787040038122</v>
      </c>
    </row>
    <row r="229" spans="4:83" x14ac:dyDescent="0.25">
      <c r="D229" s="844"/>
      <c r="E229" s="843"/>
      <c r="F229" s="844"/>
      <c r="G229" s="843"/>
      <c r="H229" s="847"/>
      <c r="I229" s="847"/>
      <c r="J229" s="847"/>
      <c r="K229" s="847"/>
      <c r="L229" s="847"/>
      <c r="M229" s="847" t="s">
        <v>60</v>
      </c>
      <c r="N229" s="847">
        <v>0.32142857142857145</v>
      </c>
      <c r="O229" s="845" t="s">
        <v>57</v>
      </c>
      <c r="P229" s="847">
        <v>0.96530000000000005</v>
      </c>
      <c r="Q229" s="844"/>
      <c r="R229" s="853">
        <v>5.6276270839085581E-4</v>
      </c>
      <c r="T229" s="199">
        <f>R229-R229*Calculation_sheet!F$60</f>
        <v>5.6276270839085581E-4</v>
      </c>
      <c r="U229" s="176">
        <f>T229-T229*Calculation_sheet!E$68</f>
        <v>5.6276270839085581E-4</v>
      </c>
      <c r="V229" s="176">
        <f>U229-U229*Calculation_sheet!E$78</f>
        <v>5.6276270839085581E-4</v>
      </c>
      <c r="W229" s="176">
        <f>V229/Calculation_sheet!M$67</f>
        <v>5.6277421487842467E-4</v>
      </c>
      <c r="X229" s="958">
        <f ca="1">IF(AL229&gt;0,W229*Calculation_sheet!C$87,0)</f>
        <v>0</v>
      </c>
      <c r="Y229" s="176">
        <f t="shared" ca="1" si="317"/>
        <v>5.6277421487842467E-4</v>
      </c>
      <c r="Z229" s="176">
        <f>IF(AN229&gt;0,Y229*Calculation_sheet!C$94,0)</f>
        <v>0</v>
      </c>
      <c r="AA229" s="958">
        <f t="shared" ca="1" si="303"/>
        <v>5.6277421487842467E-4</v>
      </c>
      <c r="AB229" s="176">
        <f ca="1">AA229*Calculation_sheet!C$99</f>
        <v>3.3766452892705477E-4</v>
      </c>
      <c r="AC229" s="958">
        <f t="shared" ca="1" si="303"/>
        <v>2.251096859513699E-4</v>
      </c>
      <c r="AD229" s="176">
        <f t="shared" si="318"/>
        <v>5.6277421487842467E-4</v>
      </c>
      <c r="AE229" s="176">
        <f>AD229*User_sheet!B$77/100</f>
        <v>0</v>
      </c>
      <c r="AF229" s="309"/>
      <c r="AG229" s="27">
        <v>403</v>
      </c>
      <c r="AH229" s="985"/>
      <c r="AI229" s="956">
        <f t="shared" ca="1" si="281"/>
        <v>133.6666221276636</v>
      </c>
      <c r="AJ229" s="956">
        <f ca="1">AI229/'403'!I$24</f>
        <v>0.93305690574723876</v>
      </c>
      <c r="AK229" s="956">
        <f ca="1">0.8*(AI229*30+'403'!D$17*0.34*30*1)</f>
        <v>5798.4575710639256</v>
      </c>
      <c r="AL229" s="954">
        <f ca="1">IF(AK229&lt;User_sheet!B$50,W229,0)</f>
        <v>5.6277421487842467E-4</v>
      </c>
      <c r="AM229" s="954">
        <f ca="1">20-(User_sheet!B$57/(AI229+'403'!D$17*1*0.34))</f>
        <v>-3.5924809871290186</v>
      </c>
      <c r="AN229" s="954"/>
      <c r="AO229" s="985"/>
      <c r="AP229" s="2">
        <v>0</v>
      </c>
      <c r="AQ229" s="1020">
        <v>2.41</v>
      </c>
      <c r="AR229" s="2">
        <v>0</v>
      </c>
      <c r="AS229" s="2">
        <v>3.5</v>
      </c>
      <c r="AT229" s="2">
        <v>0</v>
      </c>
      <c r="AU229" s="2">
        <v>0</v>
      </c>
      <c r="AV229" s="2">
        <v>75945.51234133933</v>
      </c>
      <c r="AW229" s="2">
        <v>0</v>
      </c>
      <c r="AX229" s="2">
        <v>0</v>
      </c>
      <c r="AY229" s="2">
        <v>0</v>
      </c>
      <c r="AZ229" s="40">
        <v>0.75</v>
      </c>
      <c r="BA229" s="34">
        <v>0</v>
      </c>
      <c r="BB229" s="34">
        <v>1</v>
      </c>
      <c r="BC229" s="40">
        <v>0</v>
      </c>
      <c r="BD229" s="34">
        <v>1</v>
      </c>
      <c r="BE229" s="34">
        <v>0</v>
      </c>
      <c r="BF229" s="40">
        <v>0</v>
      </c>
      <c r="BG229" s="34">
        <v>1</v>
      </c>
      <c r="BH229" s="40">
        <v>0</v>
      </c>
      <c r="BI229" s="34">
        <v>0</v>
      </c>
      <c r="BJ229" s="34">
        <v>1</v>
      </c>
      <c r="BK229" s="40">
        <v>0</v>
      </c>
      <c r="BL229" s="958">
        <v>0.15</v>
      </c>
      <c r="BM229" s="958">
        <v>10</v>
      </c>
      <c r="BN229" s="32">
        <f t="shared" ca="1" si="304"/>
        <v>86.579499999999996</v>
      </c>
      <c r="BO229">
        <f t="shared" ca="1" si="305"/>
        <v>292.3576333333333</v>
      </c>
      <c r="BP229">
        <f t="shared" ca="1" si="306"/>
        <v>0</v>
      </c>
      <c r="BQ229">
        <f t="shared" ca="1" si="307"/>
        <v>40.706666666666663</v>
      </c>
      <c r="BR229">
        <f t="shared" ca="1" si="308"/>
        <v>0</v>
      </c>
      <c r="BS229">
        <f t="shared" ca="1" si="309"/>
        <v>15.99</v>
      </c>
      <c r="BT229">
        <f t="shared" ca="1" si="310"/>
        <v>0</v>
      </c>
      <c r="BU229">
        <v>0</v>
      </c>
      <c r="BV229">
        <f t="shared" ca="1" si="311"/>
        <v>0</v>
      </c>
      <c r="BW229">
        <f t="shared" ca="1" si="312"/>
        <v>69.19712216683908</v>
      </c>
      <c r="BX229">
        <f t="shared" ca="1" si="313"/>
        <v>0</v>
      </c>
      <c r="BY229">
        <f t="shared" ca="1" si="314"/>
        <v>55.964999960824507</v>
      </c>
      <c r="BZ229">
        <f t="shared" ca="1" si="315"/>
        <v>0</v>
      </c>
      <c r="CA229">
        <f t="shared" si="316"/>
        <v>0</v>
      </c>
      <c r="CB229" s="1018">
        <f t="shared" ca="1" si="319"/>
        <v>133.6666221276636</v>
      </c>
      <c r="CC229" s="1018">
        <f t="shared" ca="1" si="320"/>
        <v>23.035414838265758</v>
      </c>
      <c r="CD229">
        <f t="shared" ca="1" si="282"/>
        <v>4.7010611089778802</v>
      </c>
      <c r="CE229">
        <f t="shared" ca="1" si="283"/>
        <v>7827.0787040038122</v>
      </c>
    </row>
    <row r="230" spans="4:83" x14ac:dyDescent="0.25">
      <c r="D230" s="844"/>
      <c r="E230" s="843"/>
      <c r="F230" s="844"/>
      <c r="G230" s="843"/>
      <c r="H230" s="847"/>
      <c r="I230" s="847"/>
      <c r="J230" s="847"/>
      <c r="K230" s="847"/>
      <c r="L230" s="847"/>
      <c r="M230" s="847"/>
      <c r="N230" s="847"/>
      <c r="O230" s="845" t="s">
        <v>7</v>
      </c>
      <c r="P230" s="847">
        <v>3.4700000000000002E-2</v>
      </c>
      <c r="Q230" s="844"/>
      <c r="R230" s="853">
        <v>2.0229841480537342E-5</v>
      </c>
      <c r="T230" s="199">
        <f>R230-R230*Calculation_sheet!F$60</f>
        <v>2.0229841480537342E-5</v>
      </c>
      <c r="U230" s="176">
        <f>T230-T230*Calculation_sheet!E$68</f>
        <v>2.0229841480537342E-5</v>
      </c>
      <c r="V230" s="176">
        <f>U230-U230*Calculation_sheet!E$78</f>
        <v>2.0229841480537342E-5</v>
      </c>
      <c r="W230" s="176">
        <f>V230/Calculation_sheet!M$67</f>
        <v>2.0230255108547948E-5</v>
      </c>
      <c r="X230" s="958">
        <f ca="1">IF(AL230&gt;0,W230*Calculation_sheet!C$87,0)</f>
        <v>0</v>
      </c>
      <c r="Y230" s="176">
        <f t="shared" ca="1" si="317"/>
        <v>2.0230255108547948E-5</v>
      </c>
      <c r="Z230" s="176">
        <f>IF(AN230&gt;0,Y230*Calculation_sheet!C$94,0)</f>
        <v>0</v>
      </c>
      <c r="AA230" s="958">
        <f t="shared" ca="1" si="303"/>
        <v>2.0230255108547948E-5</v>
      </c>
      <c r="AB230" s="176">
        <f ca="1">AA230*Calculation_sheet!C$99</f>
        <v>1.2138153065128768E-5</v>
      </c>
      <c r="AC230" s="958">
        <f t="shared" ca="1" si="303"/>
        <v>8.0921020434191804E-6</v>
      </c>
      <c r="AD230" s="176">
        <f t="shared" si="318"/>
        <v>2.0230255108547948E-5</v>
      </c>
      <c r="AE230" s="176">
        <f>AD230*User_sheet!B$77/100</f>
        <v>0</v>
      </c>
      <c r="AF230" s="309"/>
      <c r="AG230" s="27">
        <v>403</v>
      </c>
      <c r="AH230" s="985"/>
      <c r="AI230" s="956">
        <f t="shared" ca="1" si="281"/>
        <v>133.6666221276636</v>
      </c>
      <c r="AJ230" s="956">
        <f ca="1">AI230/'403'!I$24</f>
        <v>0.93305690574723876</v>
      </c>
      <c r="AK230" s="956">
        <f ca="1">0.8*(AI230*30+'403'!D$17*0.34*30*1)</f>
        <v>5798.4575710639256</v>
      </c>
      <c r="AL230" s="954">
        <f ca="1">IF(AK230&lt;User_sheet!B$50,W230,0)</f>
        <v>2.0230255108547948E-5</v>
      </c>
      <c r="AM230" s="954">
        <f ca="1">20-(User_sheet!B$57/(AI230+'403'!D$17*1*0.34))</f>
        <v>-3.5924809871290186</v>
      </c>
      <c r="AN230" s="954"/>
      <c r="AO230" s="985"/>
      <c r="AP230" s="2">
        <v>0</v>
      </c>
      <c r="AQ230" s="1020">
        <v>2.41</v>
      </c>
      <c r="AR230" s="2">
        <v>0</v>
      </c>
      <c r="AS230" s="2">
        <v>3.5</v>
      </c>
      <c r="AT230" s="2">
        <v>0</v>
      </c>
      <c r="AU230" s="2">
        <v>0</v>
      </c>
      <c r="AV230" s="2">
        <v>75945.51234133933</v>
      </c>
      <c r="AW230" s="2"/>
      <c r="AX230" s="2"/>
      <c r="AY230" s="2"/>
      <c r="AZ230" s="40">
        <v>0.75</v>
      </c>
      <c r="BA230" s="34">
        <v>0</v>
      </c>
      <c r="BB230" s="34">
        <v>1</v>
      </c>
      <c r="BC230" s="40">
        <v>0</v>
      </c>
      <c r="BD230" s="34">
        <v>1</v>
      </c>
      <c r="BE230" s="34">
        <v>0</v>
      </c>
      <c r="BF230" s="40">
        <v>0</v>
      </c>
      <c r="BG230" s="34">
        <v>1</v>
      </c>
      <c r="BH230" s="40">
        <v>0</v>
      </c>
      <c r="BI230" s="34">
        <v>0</v>
      </c>
      <c r="BJ230" s="34">
        <v>0</v>
      </c>
      <c r="BK230" s="40">
        <v>1</v>
      </c>
      <c r="BL230" s="958">
        <v>0.15</v>
      </c>
      <c r="BM230" s="958">
        <v>10</v>
      </c>
      <c r="BN230" s="32">
        <f t="shared" ca="1" si="304"/>
        <v>86.579499999999996</v>
      </c>
      <c r="BO230">
        <f t="shared" ca="1" si="305"/>
        <v>292.3576333333333</v>
      </c>
      <c r="BP230">
        <f t="shared" ca="1" si="306"/>
        <v>0</v>
      </c>
      <c r="BQ230">
        <f t="shared" ca="1" si="307"/>
        <v>40.706666666666663</v>
      </c>
      <c r="BR230">
        <f t="shared" ca="1" si="308"/>
        <v>0</v>
      </c>
      <c r="BS230">
        <f t="shared" ca="1" si="309"/>
        <v>15.99</v>
      </c>
      <c r="BT230">
        <f t="shared" ca="1" si="310"/>
        <v>0</v>
      </c>
      <c r="BU230">
        <v>0</v>
      </c>
      <c r="BV230">
        <f t="shared" ca="1" si="311"/>
        <v>0</v>
      </c>
      <c r="BW230">
        <f t="shared" ca="1" si="312"/>
        <v>69.19712216683908</v>
      </c>
      <c r="BX230">
        <f t="shared" ca="1" si="313"/>
        <v>0</v>
      </c>
      <c r="BY230">
        <f t="shared" ca="1" si="314"/>
        <v>55.964999960824507</v>
      </c>
      <c r="BZ230">
        <f t="shared" ca="1" si="315"/>
        <v>0</v>
      </c>
      <c r="CA230">
        <f t="shared" si="316"/>
        <v>0</v>
      </c>
      <c r="CB230" s="1018">
        <f t="shared" ca="1" si="319"/>
        <v>133.6666221276636</v>
      </c>
      <c r="CC230" s="1018">
        <f t="shared" ca="1" si="320"/>
        <v>23.035414838265758</v>
      </c>
      <c r="CD230">
        <f t="shared" ca="1" si="282"/>
        <v>4.7010611089778802</v>
      </c>
      <c r="CE230">
        <f t="shared" ca="1" si="283"/>
        <v>7827.0787040038122</v>
      </c>
    </row>
    <row r="231" spans="4:83" x14ac:dyDescent="0.25">
      <c r="D231" s="844"/>
      <c r="E231" s="843"/>
      <c r="F231" s="844"/>
      <c r="G231" s="843"/>
      <c r="H231" s="847"/>
      <c r="I231" s="847"/>
      <c r="J231" s="847"/>
      <c r="K231" s="847"/>
      <c r="L231" s="847">
        <v>0.96551724137931039</v>
      </c>
      <c r="M231" s="847" t="s">
        <v>61</v>
      </c>
      <c r="N231" s="847">
        <v>0.6785714285714286</v>
      </c>
      <c r="O231" s="845" t="s">
        <v>57</v>
      </c>
      <c r="P231" s="847">
        <v>0.96530000000000005</v>
      </c>
      <c r="Q231" s="844"/>
      <c r="R231" s="853">
        <v>1.1880546066029181E-3</v>
      </c>
      <c r="T231" s="199">
        <f>R231-R231*Calculation_sheet!F$60</f>
        <v>1.1880546066029181E-3</v>
      </c>
      <c r="U231" s="176">
        <f>T231-T231*Calculation_sheet!E$68</f>
        <v>1.1880546066029181E-3</v>
      </c>
      <c r="V231" s="176">
        <f>U231-U231*Calculation_sheet!E$78</f>
        <v>1.1880546066029181E-3</v>
      </c>
      <c r="W231" s="176">
        <f>V231/Calculation_sheet!M$67</f>
        <v>1.1880788980766744E-3</v>
      </c>
      <c r="X231" s="958">
        <f ca="1">IF(AL231&gt;0,W231*Calculation_sheet!C$87,0)</f>
        <v>0</v>
      </c>
      <c r="Y231" s="176">
        <f t="shared" ca="1" si="317"/>
        <v>1.1880788980766744E-3</v>
      </c>
      <c r="Z231" s="176">
        <f>IF(AN231&gt;0,Y231*Calculation_sheet!C$94,0)</f>
        <v>0</v>
      </c>
      <c r="AA231" s="958">
        <f t="shared" ca="1" si="303"/>
        <v>1.1880788980766744E-3</v>
      </c>
      <c r="AB231" s="176">
        <f ca="1">AA231*Calculation_sheet!C$99</f>
        <v>7.128473388460046E-4</v>
      </c>
      <c r="AC231" s="958">
        <f t="shared" ca="1" si="303"/>
        <v>4.7523155923066981E-4</v>
      </c>
      <c r="AD231" s="176">
        <f t="shared" si="318"/>
        <v>1.1880788980766744E-3</v>
      </c>
      <c r="AE231" s="176">
        <f>AD231*User_sheet!B$77/100</f>
        <v>0</v>
      </c>
      <c r="AF231" s="309"/>
      <c r="AG231" s="27">
        <v>403</v>
      </c>
      <c r="AH231" s="985"/>
      <c r="AI231" s="956">
        <f t="shared" ca="1" si="281"/>
        <v>133.6666221276636</v>
      </c>
      <c r="AJ231" s="956">
        <f ca="1">AI231/'403'!I$24</f>
        <v>0.93305690574723876</v>
      </c>
      <c r="AK231" s="956">
        <f ca="1">0.8*(AI231*30+'403'!D$17*0.34*30*1)</f>
        <v>5798.4575710639256</v>
      </c>
      <c r="AL231" s="954">
        <f ca="1">IF(AK231&lt;User_sheet!B$50,W231,0)</f>
        <v>1.1880788980766744E-3</v>
      </c>
      <c r="AM231" s="954">
        <f ca="1">20-(User_sheet!B$57/(AI231+'403'!D$17*1*0.34))</f>
        <v>-3.5924809871290186</v>
      </c>
      <c r="AN231" s="954"/>
      <c r="AO231" s="985"/>
      <c r="AP231" s="2">
        <v>0</v>
      </c>
      <c r="AQ231" s="1020">
        <v>2.41</v>
      </c>
      <c r="AR231" s="2">
        <v>0</v>
      </c>
      <c r="AS231" s="2">
        <v>3.5</v>
      </c>
      <c r="AT231" s="2">
        <v>0</v>
      </c>
      <c r="AU231" s="2">
        <v>0</v>
      </c>
      <c r="AV231" s="2">
        <v>75945.51234133933</v>
      </c>
      <c r="AW231" s="2">
        <v>0</v>
      </c>
      <c r="AX231" s="2">
        <v>0</v>
      </c>
      <c r="AY231" s="2">
        <v>0</v>
      </c>
      <c r="AZ231" s="40">
        <v>0.75</v>
      </c>
      <c r="BA231" s="34">
        <v>0</v>
      </c>
      <c r="BB231" s="34">
        <v>1</v>
      </c>
      <c r="BC231" s="40">
        <v>0</v>
      </c>
      <c r="BD231" s="34">
        <v>1</v>
      </c>
      <c r="BE231" s="34">
        <v>0</v>
      </c>
      <c r="BF231" s="40">
        <v>0</v>
      </c>
      <c r="BG231" s="34">
        <v>0</v>
      </c>
      <c r="BH231" s="40">
        <v>1</v>
      </c>
      <c r="BI231" s="34">
        <v>0</v>
      </c>
      <c r="BJ231" s="34">
        <v>1</v>
      </c>
      <c r="BK231" s="40">
        <v>0</v>
      </c>
      <c r="BL231" s="958">
        <v>0.15</v>
      </c>
      <c r="BM231" s="958">
        <v>10</v>
      </c>
      <c r="BN231" s="32">
        <f t="shared" ca="1" si="304"/>
        <v>86.579499999999996</v>
      </c>
      <c r="BO231">
        <f t="shared" ca="1" si="305"/>
        <v>292.3576333333333</v>
      </c>
      <c r="BP231">
        <f t="shared" ca="1" si="306"/>
        <v>0</v>
      </c>
      <c r="BQ231">
        <f t="shared" ca="1" si="307"/>
        <v>40.706666666666663</v>
      </c>
      <c r="BR231">
        <f t="shared" ca="1" si="308"/>
        <v>0</v>
      </c>
      <c r="BS231">
        <f t="shared" ca="1" si="309"/>
        <v>15.99</v>
      </c>
      <c r="BT231">
        <f t="shared" ca="1" si="310"/>
        <v>0</v>
      </c>
      <c r="BU231">
        <v>0</v>
      </c>
      <c r="BV231">
        <f t="shared" ca="1" si="311"/>
        <v>0</v>
      </c>
      <c r="BW231">
        <f t="shared" ca="1" si="312"/>
        <v>69.19712216683908</v>
      </c>
      <c r="BX231">
        <f t="shared" ca="1" si="313"/>
        <v>0</v>
      </c>
      <c r="BY231">
        <f t="shared" ca="1" si="314"/>
        <v>55.964999960824507</v>
      </c>
      <c r="BZ231">
        <f t="shared" ca="1" si="315"/>
        <v>0</v>
      </c>
      <c r="CA231">
        <f t="shared" si="316"/>
        <v>0</v>
      </c>
      <c r="CB231" s="1018">
        <f t="shared" ca="1" si="319"/>
        <v>133.6666221276636</v>
      </c>
      <c r="CC231" s="1018">
        <f t="shared" ca="1" si="320"/>
        <v>23.035414838265758</v>
      </c>
      <c r="CD231">
        <f t="shared" ca="1" si="282"/>
        <v>4.7010611089778802</v>
      </c>
      <c r="CE231">
        <f t="shared" ca="1" si="283"/>
        <v>7827.0787040038122</v>
      </c>
    </row>
    <row r="232" spans="4:83" x14ac:dyDescent="0.25">
      <c r="D232" s="844"/>
      <c r="E232" s="843"/>
      <c r="F232" s="844"/>
      <c r="G232" s="843"/>
      <c r="H232" s="844"/>
      <c r="I232" s="847" t="s">
        <v>57</v>
      </c>
      <c r="J232" s="847">
        <v>0.28000000000000003</v>
      </c>
      <c r="K232" s="847"/>
      <c r="L232" s="847"/>
      <c r="M232" s="847"/>
      <c r="N232" s="847"/>
      <c r="O232" s="845" t="s">
        <v>7</v>
      </c>
      <c r="P232" s="847">
        <v>3.4700000000000002E-2</v>
      </c>
      <c r="Q232" s="844"/>
      <c r="R232" s="853">
        <v>4.2707443125578836E-5</v>
      </c>
      <c r="T232" s="199">
        <f>R232-R232*Calculation_sheet!F$60</f>
        <v>4.2707443125578836E-5</v>
      </c>
      <c r="U232" s="176">
        <f>T232-T232*Calculation_sheet!E$68</f>
        <v>4.2707443125578836E-5</v>
      </c>
      <c r="V232" s="176">
        <f>U232-U232*Calculation_sheet!E$78</f>
        <v>4.2707443125578836E-5</v>
      </c>
      <c r="W232" s="176">
        <f>V232/Calculation_sheet!M$67</f>
        <v>4.2708316340267896E-5</v>
      </c>
      <c r="X232" s="958">
        <f ca="1">IF(AL232&gt;0,W232*Calculation_sheet!C$87,0)</f>
        <v>0</v>
      </c>
      <c r="Y232" s="176">
        <f t="shared" ca="1" si="317"/>
        <v>4.2708316340267896E-5</v>
      </c>
      <c r="Z232" s="176">
        <f>IF(AN232&gt;0,Y232*Calculation_sheet!C$94,0)</f>
        <v>0</v>
      </c>
      <c r="AA232" s="958">
        <f t="shared" ca="1" si="303"/>
        <v>4.2708316340267896E-5</v>
      </c>
      <c r="AB232" s="176">
        <f ca="1">AA232*Calculation_sheet!C$99</f>
        <v>2.5624989804160737E-5</v>
      </c>
      <c r="AC232" s="958">
        <f t="shared" ca="1" si="303"/>
        <v>1.708332653610716E-5</v>
      </c>
      <c r="AD232" s="176">
        <f t="shared" si="318"/>
        <v>4.2708316340267896E-5</v>
      </c>
      <c r="AE232" s="176">
        <f>AD232*User_sheet!B$77/100</f>
        <v>0</v>
      </c>
      <c r="AF232" s="309"/>
      <c r="AG232" s="27">
        <v>403</v>
      </c>
      <c r="AH232" s="985"/>
      <c r="AI232" s="956">
        <f t="shared" ca="1" si="281"/>
        <v>133.6666221276636</v>
      </c>
      <c r="AJ232" s="956">
        <f ca="1">AI232/'403'!I$24</f>
        <v>0.93305690574723876</v>
      </c>
      <c r="AK232" s="956">
        <f ca="1">0.8*(AI232*30+'403'!D$17*0.34*30*1)</f>
        <v>5798.4575710639256</v>
      </c>
      <c r="AL232" s="954">
        <f ca="1">IF(AK232&lt;User_sheet!B$50,W232,0)</f>
        <v>4.2708316340267896E-5</v>
      </c>
      <c r="AM232" s="954">
        <f ca="1">20-(User_sheet!B$57/(AI232+'403'!D$17*1*0.34))</f>
        <v>-3.5924809871290186</v>
      </c>
      <c r="AN232" s="954"/>
      <c r="AO232" s="985"/>
      <c r="AP232" s="2">
        <v>0</v>
      </c>
      <c r="AQ232" s="1020">
        <v>2.41</v>
      </c>
      <c r="AR232" s="2">
        <v>0</v>
      </c>
      <c r="AS232" s="2">
        <v>3.5</v>
      </c>
      <c r="AT232" s="2">
        <v>0</v>
      </c>
      <c r="AU232" s="2">
        <v>0</v>
      </c>
      <c r="AV232" s="2">
        <v>75945.512341339301</v>
      </c>
      <c r="AW232" s="2">
        <v>0</v>
      </c>
      <c r="AX232" s="2">
        <v>0</v>
      </c>
      <c r="AY232" s="2">
        <v>0</v>
      </c>
      <c r="AZ232" s="40">
        <v>0.75</v>
      </c>
      <c r="BA232" s="34">
        <v>0</v>
      </c>
      <c r="BB232" s="34">
        <v>1</v>
      </c>
      <c r="BC232" s="40">
        <v>0</v>
      </c>
      <c r="BD232" s="34">
        <v>1</v>
      </c>
      <c r="BE232" s="34">
        <v>0</v>
      </c>
      <c r="BF232" s="40">
        <v>0</v>
      </c>
      <c r="BG232" s="34">
        <v>0</v>
      </c>
      <c r="BH232" s="40">
        <v>1</v>
      </c>
      <c r="BI232" s="34">
        <v>0</v>
      </c>
      <c r="BJ232" s="34">
        <v>0</v>
      </c>
      <c r="BK232" s="40">
        <v>1</v>
      </c>
      <c r="BL232" s="958">
        <v>0.15</v>
      </c>
      <c r="BM232" s="958">
        <v>10</v>
      </c>
      <c r="BN232" s="32">
        <f t="shared" ca="1" si="304"/>
        <v>86.579499999999996</v>
      </c>
      <c r="BO232">
        <f t="shared" ca="1" si="305"/>
        <v>292.3576333333333</v>
      </c>
      <c r="BP232">
        <f t="shared" ca="1" si="306"/>
        <v>0</v>
      </c>
      <c r="BQ232">
        <f t="shared" ca="1" si="307"/>
        <v>40.706666666666663</v>
      </c>
      <c r="BR232">
        <f t="shared" ca="1" si="308"/>
        <v>0</v>
      </c>
      <c r="BS232">
        <f t="shared" ca="1" si="309"/>
        <v>15.99</v>
      </c>
      <c r="BT232">
        <f t="shared" ca="1" si="310"/>
        <v>0</v>
      </c>
      <c r="BU232">
        <v>0</v>
      </c>
      <c r="BV232">
        <f t="shared" ca="1" si="311"/>
        <v>0</v>
      </c>
      <c r="BW232">
        <f t="shared" ca="1" si="312"/>
        <v>69.19712216683908</v>
      </c>
      <c r="BX232">
        <f t="shared" ca="1" si="313"/>
        <v>0</v>
      </c>
      <c r="BY232">
        <f t="shared" ca="1" si="314"/>
        <v>55.964999960824507</v>
      </c>
      <c r="BZ232">
        <f t="shared" ca="1" si="315"/>
        <v>0</v>
      </c>
      <c r="CA232">
        <f t="shared" si="316"/>
        <v>0</v>
      </c>
      <c r="CB232" s="1018">
        <f t="shared" ca="1" si="319"/>
        <v>133.6666221276636</v>
      </c>
      <c r="CC232" s="1018">
        <f t="shared" ca="1" si="320"/>
        <v>23.035414838265758</v>
      </c>
      <c r="CD232">
        <f t="shared" ca="1" si="282"/>
        <v>4.7010611089778802</v>
      </c>
      <c r="CE232">
        <f t="shared" ca="1" si="283"/>
        <v>7827.0787040038122</v>
      </c>
    </row>
    <row r="233" spans="4:83" x14ac:dyDescent="0.25">
      <c r="D233" s="844"/>
      <c r="E233" s="843"/>
      <c r="F233" s="843"/>
      <c r="G233" s="843"/>
      <c r="H233" s="844"/>
      <c r="I233" s="847"/>
      <c r="J233" s="847"/>
      <c r="K233" s="847"/>
      <c r="L233" s="847">
        <v>3.4482758620689655E-2</v>
      </c>
      <c r="M233" s="847"/>
      <c r="N233" s="847"/>
      <c r="O233" s="850" t="s">
        <v>57</v>
      </c>
      <c r="P233" s="847">
        <v>0.96530000000000005</v>
      </c>
      <c r="Q233" s="844"/>
      <c r="R233" s="853">
        <v>6.2529189821206222E-5</v>
      </c>
      <c r="T233" s="199">
        <f>R233-R233*Calculation_sheet!F$60</f>
        <v>6.2529189821206222E-5</v>
      </c>
      <c r="U233" s="176">
        <f>T233-T233*Calculation_sheet!E$68</f>
        <v>6.2529189821206222E-5</v>
      </c>
      <c r="V233" s="176">
        <f>U233-U233*Calculation_sheet!E$78</f>
        <v>6.2529189821206222E-5</v>
      </c>
      <c r="W233" s="176">
        <f>V233/Calculation_sheet!M$67</f>
        <v>6.2530468319824977E-5</v>
      </c>
      <c r="X233" s="958">
        <f ca="1">IF(AL233&gt;0,W233*Calculation_sheet!C$87,0)</f>
        <v>0</v>
      </c>
      <c r="Y233" s="176">
        <f t="shared" ca="1" si="317"/>
        <v>6.2530468319824977E-5</v>
      </c>
      <c r="Z233" s="176">
        <f>IF(AN233&gt;0,Y233*Calculation_sheet!C$94,0)</f>
        <v>0</v>
      </c>
      <c r="AA233" s="958">
        <f t="shared" ca="1" si="303"/>
        <v>6.2530468319824977E-5</v>
      </c>
      <c r="AB233" s="176">
        <f ca="1">AA233*Calculation_sheet!C$99</f>
        <v>3.7518280991894983E-5</v>
      </c>
      <c r="AC233" s="958">
        <f t="shared" ca="1" si="303"/>
        <v>2.5012187327929993E-5</v>
      </c>
      <c r="AD233" s="176">
        <f t="shared" si="318"/>
        <v>6.2530468319824977E-5</v>
      </c>
      <c r="AE233" s="176">
        <f>AD233*User_sheet!B$77/100</f>
        <v>0</v>
      </c>
      <c r="AF233" s="309"/>
      <c r="AG233" s="27">
        <v>403</v>
      </c>
      <c r="AH233" s="985"/>
      <c r="AI233" s="956">
        <f t="shared" ca="1" si="281"/>
        <v>133.6666221276636</v>
      </c>
      <c r="AJ233" s="956">
        <f ca="1">AI233/'403'!I$24</f>
        <v>0.93305690574723876</v>
      </c>
      <c r="AK233" s="956">
        <f ca="1">0.8*(AI233*30+'403'!D$17*0.34*30*1)</f>
        <v>5798.4575710639256</v>
      </c>
      <c r="AL233" s="954">
        <f ca="1">IF(AK233&lt;User_sheet!B$50,W233,0)</f>
        <v>6.2530468319824977E-5</v>
      </c>
      <c r="AM233" s="954">
        <f ca="1">20-(User_sheet!B$57/(AI233+'403'!D$17*1*0.34))</f>
        <v>-3.5924809871290186</v>
      </c>
      <c r="AN233" s="954"/>
      <c r="AO233" s="985"/>
      <c r="AP233" s="2">
        <v>0</v>
      </c>
      <c r="AQ233" s="1020">
        <v>2.41</v>
      </c>
      <c r="AR233" s="2">
        <v>0</v>
      </c>
      <c r="AS233" s="2">
        <v>3.5</v>
      </c>
      <c r="AT233" s="2">
        <v>0</v>
      </c>
      <c r="AU233" s="2">
        <v>0</v>
      </c>
      <c r="AV233" s="2">
        <v>75945.512341339301</v>
      </c>
      <c r="AW233" s="2">
        <v>0</v>
      </c>
      <c r="AX233" s="2">
        <v>0</v>
      </c>
      <c r="AY233" s="2">
        <v>0</v>
      </c>
      <c r="AZ233" s="40">
        <v>0.75</v>
      </c>
      <c r="BA233" s="34">
        <v>0</v>
      </c>
      <c r="BB233" s="34">
        <v>1</v>
      </c>
      <c r="BC233" s="40">
        <v>0</v>
      </c>
      <c r="BD233" s="34">
        <v>0</v>
      </c>
      <c r="BE233" s="34">
        <v>1</v>
      </c>
      <c r="BF233" s="40">
        <v>0</v>
      </c>
      <c r="BG233" s="34">
        <v>1</v>
      </c>
      <c r="BH233" s="40">
        <v>0</v>
      </c>
      <c r="BI233" s="34">
        <v>0</v>
      </c>
      <c r="BJ233" s="34">
        <v>1</v>
      </c>
      <c r="BK233" s="40">
        <v>0</v>
      </c>
      <c r="BL233" s="958">
        <v>0.15</v>
      </c>
      <c r="BM233" s="958">
        <v>10</v>
      </c>
      <c r="BN233" s="32">
        <f t="shared" ca="1" si="304"/>
        <v>86.579499999999996</v>
      </c>
      <c r="BO233">
        <f t="shared" ca="1" si="305"/>
        <v>292.3576333333333</v>
      </c>
      <c r="BP233">
        <f t="shared" ca="1" si="306"/>
        <v>0</v>
      </c>
      <c r="BQ233">
        <f t="shared" ca="1" si="307"/>
        <v>40.706666666666663</v>
      </c>
      <c r="BR233">
        <f t="shared" ca="1" si="308"/>
        <v>0</v>
      </c>
      <c r="BS233">
        <f t="shared" ca="1" si="309"/>
        <v>15.99</v>
      </c>
      <c r="BT233">
        <f t="shared" ca="1" si="310"/>
        <v>0</v>
      </c>
      <c r="BU233">
        <v>0</v>
      </c>
      <c r="BV233">
        <f t="shared" ca="1" si="311"/>
        <v>0</v>
      </c>
      <c r="BW233">
        <f t="shared" ca="1" si="312"/>
        <v>69.19712216683908</v>
      </c>
      <c r="BX233">
        <f t="shared" ca="1" si="313"/>
        <v>0</v>
      </c>
      <c r="BY233">
        <f t="shared" ca="1" si="314"/>
        <v>55.964999960824507</v>
      </c>
      <c r="BZ233">
        <f t="shared" ca="1" si="315"/>
        <v>0</v>
      </c>
      <c r="CA233">
        <f t="shared" si="316"/>
        <v>0</v>
      </c>
      <c r="CB233" s="1018">
        <f t="shared" ca="1" si="319"/>
        <v>133.6666221276636</v>
      </c>
      <c r="CC233" s="1018">
        <f t="shared" ca="1" si="320"/>
        <v>23.035414838265758</v>
      </c>
      <c r="CD233">
        <f t="shared" ca="1" si="282"/>
        <v>4.7010611089778802</v>
      </c>
      <c r="CE233">
        <f t="shared" ca="1" si="283"/>
        <v>7827.0787040038122</v>
      </c>
    </row>
    <row r="234" spans="4:83" x14ac:dyDescent="0.25">
      <c r="D234" s="844"/>
      <c r="E234" s="843"/>
      <c r="F234" s="844"/>
      <c r="G234" s="843"/>
      <c r="H234" s="844"/>
      <c r="I234" s="847"/>
      <c r="J234" s="847"/>
      <c r="K234" s="847"/>
      <c r="L234" s="847"/>
      <c r="M234" s="847"/>
      <c r="N234" s="847"/>
      <c r="O234" s="850" t="s">
        <v>7</v>
      </c>
      <c r="P234" s="847">
        <v>3.4700000000000002E-2</v>
      </c>
      <c r="Q234" s="844"/>
      <c r="R234" s="853">
        <v>2.2477601645041496E-6</v>
      </c>
      <c r="T234" s="199">
        <f>R234-R234*Calculation_sheet!F$60</f>
        <v>2.2477601645041496E-6</v>
      </c>
      <c r="U234" s="176">
        <f>T234-T234*Calculation_sheet!E$68</f>
        <v>2.2477601645041496E-6</v>
      </c>
      <c r="V234" s="176">
        <f>U234-U234*Calculation_sheet!E$78</f>
        <v>2.2477601645041496E-6</v>
      </c>
      <c r="W234" s="176">
        <f>V234/Calculation_sheet!M$67</f>
        <v>2.2478061231719949E-6</v>
      </c>
      <c r="X234" s="958">
        <f ca="1">IF(AL234&gt;0,W234*Calculation_sheet!C$87,0)</f>
        <v>0</v>
      </c>
      <c r="Y234" s="176">
        <f t="shared" ca="1" si="317"/>
        <v>2.2478061231719949E-6</v>
      </c>
      <c r="Z234" s="176">
        <f>IF(AN234&gt;0,Y234*Calculation_sheet!C$94,0)</f>
        <v>0</v>
      </c>
      <c r="AA234" s="958">
        <f t="shared" ca="1" si="303"/>
        <v>2.2478061231719949E-6</v>
      </c>
      <c r="AB234" s="176">
        <f ca="1">AA234*Calculation_sheet!C$99</f>
        <v>1.3486836739031968E-6</v>
      </c>
      <c r="AC234" s="958">
        <f t="shared" ca="1" si="303"/>
        <v>8.9912244926879808E-7</v>
      </c>
      <c r="AD234" s="176">
        <f t="shared" si="318"/>
        <v>2.2478061231719949E-6</v>
      </c>
      <c r="AE234" s="176">
        <f>AD234*User_sheet!B$77/100</f>
        <v>0</v>
      </c>
      <c r="AF234" s="309"/>
      <c r="AG234" s="27">
        <v>403</v>
      </c>
      <c r="AH234" s="985"/>
      <c r="AI234" s="956">
        <f t="shared" ca="1" si="281"/>
        <v>133.6666221276636</v>
      </c>
      <c r="AJ234" s="956">
        <f ca="1">AI234/'403'!I$24</f>
        <v>0.93305690574723876</v>
      </c>
      <c r="AK234" s="956">
        <f ca="1">0.8*(AI234*30+'403'!D$17*0.34*30*1)</f>
        <v>5798.4575710639256</v>
      </c>
      <c r="AL234" s="954">
        <f ca="1">IF(AK234&lt;User_sheet!B$50,W234,0)</f>
        <v>2.2478061231719949E-6</v>
      </c>
      <c r="AM234" s="954">
        <f ca="1">20-(User_sheet!B$57/(AI234+'403'!D$17*1*0.34))</f>
        <v>-3.5924809871290186</v>
      </c>
      <c r="AN234" s="954"/>
      <c r="AO234" s="985"/>
      <c r="AP234" s="2">
        <v>0</v>
      </c>
      <c r="AQ234" s="1020">
        <v>2.41</v>
      </c>
      <c r="AR234" s="2">
        <v>0</v>
      </c>
      <c r="AS234" s="2">
        <v>3.5</v>
      </c>
      <c r="AT234" s="2">
        <v>0</v>
      </c>
      <c r="AU234" s="2">
        <v>0</v>
      </c>
      <c r="AV234" s="2">
        <v>75945.512341339301</v>
      </c>
      <c r="AW234" s="2">
        <v>0</v>
      </c>
      <c r="AX234" s="2">
        <v>0</v>
      </c>
      <c r="AY234" s="2">
        <v>0</v>
      </c>
      <c r="AZ234" s="40">
        <v>0.75</v>
      </c>
      <c r="BA234" s="34">
        <v>0</v>
      </c>
      <c r="BB234" s="34">
        <v>1</v>
      </c>
      <c r="BC234" s="40">
        <v>0</v>
      </c>
      <c r="BD234" s="34">
        <v>0</v>
      </c>
      <c r="BE234" s="34">
        <v>1</v>
      </c>
      <c r="BF234" s="40">
        <v>0</v>
      </c>
      <c r="BG234" s="34">
        <v>1</v>
      </c>
      <c r="BH234" s="40">
        <v>0</v>
      </c>
      <c r="BI234" s="34">
        <v>0</v>
      </c>
      <c r="BJ234" s="34">
        <v>0</v>
      </c>
      <c r="BK234" s="40">
        <v>1</v>
      </c>
      <c r="BL234" s="958">
        <v>0.15</v>
      </c>
      <c r="BM234" s="958">
        <v>10</v>
      </c>
      <c r="BN234" s="32">
        <f t="shared" ca="1" si="304"/>
        <v>86.579499999999996</v>
      </c>
      <c r="BO234">
        <f t="shared" ca="1" si="305"/>
        <v>292.3576333333333</v>
      </c>
      <c r="BP234">
        <f t="shared" ca="1" si="306"/>
        <v>0</v>
      </c>
      <c r="BQ234">
        <f t="shared" ca="1" si="307"/>
        <v>40.706666666666663</v>
      </c>
      <c r="BR234">
        <f t="shared" ca="1" si="308"/>
        <v>0</v>
      </c>
      <c r="BS234">
        <f t="shared" ca="1" si="309"/>
        <v>15.99</v>
      </c>
      <c r="BT234">
        <f t="shared" ca="1" si="310"/>
        <v>0</v>
      </c>
      <c r="BU234">
        <v>0</v>
      </c>
      <c r="BV234">
        <f t="shared" ca="1" si="311"/>
        <v>0</v>
      </c>
      <c r="BW234">
        <f t="shared" ca="1" si="312"/>
        <v>69.19712216683908</v>
      </c>
      <c r="BX234">
        <f t="shared" ca="1" si="313"/>
        <v>0</v>
      </c>
      <c r="BY234">
        <f t="shared" ca="1" si="314"/>
        <v>55.964999960824507</v>
      </c>
      <c r="BZ234">
        <f t="shared" ca="1" si="315"/>
        <v>0</v>
      </c>
      <c r="CA234">
        <f t="shared" si="316"/>
        <v>0</v>
      </c>
      <c r="CB234" s="1018">
        <f t="shared" ca="1" si="319"/>
        <v>133.6666221276636</v>
      </c>
      <c r="CC234" s="1018">
        <f t="shared" ca="1" si="320"/>
        <v>23.035414838265758</v>
      </c>
      <c r="CD234">
        <f t="shared" ca="1" si="282"/>
        <v>4.7010611089778802</v>
      </c>
      <c r="CE234">
        <f t="shared" ca="1" si="283"/>
        <v>7827.0787040038122</v>
      </c>
    </row>
    <row r="235" spans="4:83" x14ac:dyDescent="0.25">
      <c r="D235" s="844"/>
      <c r="E235" s="843"/>
      <c r="F235" s="844"/>
      <c r="G235" s="843" t="s">
        <v>11</v>
      </c>
      <c r="H235" s="846">
        <v>0.3574</v>
      </c>
      <c r="I235" s="847" t="s">
        <v>7</v>
      </c>
      <c r="J235" s="847">
        <v>0.15000000000000002</v>
      </c>
      <c r="K235" s="847"/>
      <c r="L235" s="847">
        <v>1</v>
      </c>
      <c r="M235" s="847"/>
      <c r="N235" s="847">
        <v>1</v>
      </c>
      <c r="O235" s="850" t="s">
        <v>7</v>
      </c>
      <c r="P235" s="847">
        <v>1</v>
      </c>
      <c r="Q235" s="844"/>
      <c r="R235" s="853">
        <v>1.0063561872780001E-3</v>
      </c>
      <c r="T235" s="199">
        <f>R235-R235*Calculation_sheet!F$60</f>
        <v>1.0063561872780001E-3</v>
      </c>
      <c r="U235" s="176">
        <f>T235-T235*Calculation_sheet!E$68</f>
        <v>1.0063561872780001E-3</v>
      </c>
      <c r="V235" s="176">
        <f>U235-U235*Calculation_sheet!E$78</f>
        <v>1.0063561872780001E-3</v>
      </c>
      <c r="W235" s="176">
        <f>V235/Calculation_sheet!M$67</f>
        <v>1.0063767636679885E-3</v>
      </c>
      <c r="X235" s="958">
        <f ca="1">IF(AL235&gt;0,W235*Calculation_sheet!C$87,0)</f>
        <v>0</v>
      </c>
      <c r="Y235" s="176">
        <f t="shared" ca="1" si="317"/>
        <v>1.0063767636679885E-3</v>
      </c>
      <c r="Z235" s="176">
        <f>IF(AN235&gt;0,Y235*Calculation_sheet!C$94,0)</f>
        <v>0</v>
      </c>
      <c r="AA235" s="958">
        <f t="shared" ca="1" si="303"/>
        <v>1.0063767636679885E-3</v>
      </c>
      <c r="AB235" s="176">
        <f ca="1">AA235*Calculation_sheet!C$99</f>
        <v>6.0382605820079305E-4</v>
      </c>
      <c r="AC235" s="958">
        <f t="shared" ca="1" si="303"/>
        <v>4.025507054671954E-4</v>
      </c>
      <c r="AD235" s="176">
        <f t="shared" si="318"/>
        <v>1.0063767636679885E-3</v>
      </c>
      <c r="AE235" s="176">
        <f>AD235*User_sheet!B$77/100</f>
        <v>0</v>
      </c>
      <c r="AF235" s="309"/>
      <c r="AG235" s="27">
        <v>403</v>
      </c>
      <c r="AH235" s="985"/>
      <c r="AI235" s="956">
        <f t="shared" ca="1" si="281"/>
        <v>133.6666221276636</v>
      </c>
      <c r="AJ235" s="956">
        <f ca="1">AI235/'403'!I$24</f>
        <v>0.93305690574723876</v>
      </c>
      <c r="AK235" s="956">
        <f ca="1">0.8*(AI235*30+'403'!D$17*0.34*30*1)</f>
        <v>5798.4575710639256</v>
      </c>
      <c r="AL235" s="954">
        <f ca="1">IF(AK235&lt;User_sheet!B$50,W235,0)</f>
        <v>1.0063767636679885E-3</v>
      </c>
      <c r="AM235" s="954">
        <f ca="1">20-(User_sheet!B$57/(AI235+'403'!D$17*1*0.34))</f>
        <v>-3.5924809871290186</v>
      </c>
      <c r="AN235" s="954"/>
      <c r="AO235" s="985"/>
      <c r="AP235" s="2">
        <v>0</v>
      </c>
      <c r="AQ235" s="1020">
        <v>2.41</v>
      </c>
      <c r="AR235" s="2">
        <v>0</v>
      </c>
      <c r="AS235" s="2">
        <v>3.5</v>
      </c>
      <c r="AT235" s="2">
        <v>0</v>
      </c>
      <c r="AU235" s="2">
        <v>0</v>
      </c>
      <c r="AV235" s="2">
        <v>75945.512341339301</v>
      </c>
      <c r="AW235" s="2">
        <v>0</v>
      </c>
      <c r="AX235" s="2">
        <v>0</v>
      </c>
      <c r="AY235" s="2">
        <v>0</v>
      </c>
      <c r="AZ235" s="40">
        <v>0.75</v>
      </c>
      <c r="BA235" s="34">
        <v>0</v>
      </c>
      <c r="BB235" s="34">
        <v>0</v>
      </c>
      <c r="BC235" s="40">
        <v>1</v>
      </c>
      <c r="BD235" s="34">
        <v>0</v>
      </c>
      <c r="BE235" s="34">
        <v>0</v>
      </c>
      <c r="BF235" s="40">
        <v>1</v>
      </c>
      <c r="BG235" s="34">
        <v>1</v>
      </c>
      <c r="BH235" s="40">
        <v>0</v>
      </c>
      <c r="BI235" s="34">
        <v>0</v>
      </c>
      <c r="BJ235" s="34">
        <v>0</v>
      </c>
      <c r="BK235" s="40">
        <v>1</v>
      </c>
      <c r="BL235" s="958">
        <v>0.15</v>
      </c>
      <c r="BM235" s="958">
        <v>10</v>
      </c>
      <c r="BN235" s="32">
        <f t="shared" ca="1" si="304"/>
        <v>86.579499999999996</v>
      </c>
      <c r="BO235">
        <f t="shared" ca="1" si="305"/>
        <v>292.3576333333333</v>
      </c>
      <c r="BP235">
        <f t="shared" ca="1" si="306"/>
        <v>0</v>
      </c>
      <c r="BQ235">
        <f t="shared" ca="1" si="307"/>
        <v>40.706666666666663</v>
      </c>
      <c r="BR235">
        <f t="shared" ca="1" si="308"/>
        <v>0</v>
      </c>
      <c r="BS235">
        <f t="shared" ca="1" si="309"/>
        <v>15.99</v>
      </c>
      <c r="BT235">
        <f t="shared" ca="1" si="310"/>
        <v>0</v>
      </c>
      <c r="BU235">
        <v>0</v>
      </c>
      <c r="BV235">
        <f t="shared" ca="1" si="311"/>
        <v>0</v>
      </c>
      <c r="BW235">
        <f t="shared" ca="1" si="312"/>
        <v>69.19712216683908</v>
      </c>
      <c r="BX235">
        <f t="shared" ca="1" si="313"/>
        <v>0</v>
      </c>
      <c r="BY235">
        <f t="shared" ca="1" si="314"/>
        <v>55.964999960824507</v>
      </c>
      <c r="BZ235">
        <f t="shared" ca="1" si="315"/>
        <v>0</v>
      </c>
      <c r="CA235">
        <f t="shared" si="316"/>
        <v>0</v>
      </c>
      <c r="CB235" s="1018">
        <f t="shared" ca="1" si="319"/>
        <v>133.6666221276636</v>
      </c>
      <c r="CC235" s="1018">
        <f t="shared" ca="1" si="320"/>
        <v>23.035414838265758</v>
      </c>
      <c r="CD235">
        <f t="shared" ca="1" si="282"/>
        <v>4.7010611089778802</v>
      </c>
      <c r="CE235">
        <f t="shared" ca="1" si="283"/>
        <v>7827.0787040038122</v>
      </c>
    </row>
    <row r="236" spans="4:83" s="848" customFormat="1" x14ac:dyDescent="0.25">
      <c r="D236" s="849"/>
      <c r="F236" s="849"/>
      <c r="H236" s="849"/>
      <c r="I236" s="849"/>
      <c r="J236" s="849"/>
      <c r="K236" s="849"/>
      <c r="L236" s="849"/>
      <c r="M236" s="849"/>
      <c r="N236" s="849"/>
      <c r="O236" s="851"/>
      <c r="P236" s="849"/>
      <c r="Q236" s="849"/>
      <c r="R236" s="854"/>
      <c r="S236" s="273">
        <v>4.813282E-2</v>
      </c>
      <c r="T236" s="277"/>
      <c r="U236" s="292"/>
      <c r="V236" s="292"/>
      <c r="W236" s="292"/>
      <c r="X236" s="277"/>
      <c r="Y236" s="292"/>
      <c r="Z236" s="292"/>
      <c r="AA236" s="277"/>
      <c r="AB236" s="292"/>
      <c r="AC236" s="277"/>
      <c r="AD236" s="292"/>
      <c r="AE236" s="292"/>
      <c r="AF236" s="309"/>
      <c r="AG236" s="851"/>
      <c r="AH236" s="985"/>
      <c r="AI236" s="956">
        <f t="shared" si="281"/>
        <v>0</v>
      </c>
      <c r="AJ236" s="941"/>
      <c r="AK236" s="941"/>
      <c r="AL236" s="941"/>
      <c r="AM236" s="941"/>
      <c r="AN236" s="941"/>
      <c r="AO236" s="985"/>
      <c r="AP236" s="851"/>
      <c r="AQ236" s="851"/>
      <c r="AR236" s="851"/>
      <c r="AS236" s="851"/>
      <c r="AT236" s="851"/>
      <c r="AU236" s="851"/>
      <c r="AV236" s="851"/>
      <c r="AW236" s="851"/>
      <c r="AX236" s="851"/>
      <c r="AY236" s="851"/>
      <c r="AZ236" s="49"/>
      <c r="BA236" s="277"/>
      <c r="BB236" s="277"/>
      <c r="BC236" s="49"/>
      <c r="BD236" s="277"/>
      <c r="BE236" s="277"/>
      <c r="BF236" s="49"/>
      <c r="BG236" s="277"/>
      <c r="BH236" s="49"/>
      <c r="BI236" s="277"/>
      <c r="BJ236" s="277"/>
      <c r="BK236" s="49"/>
      <c r="BL236" s="277"/>
      <c r="BM236" s="277"/>
      <c r="BN236" s="852"/>
    </row>
    <row r="237" spans="4:83" s="3" customFormat="1" x14ac:dyDescent="0.25">
      <c r="D237" s="6"/>
      <c r="F237" s="6"/>
      <c r="G237" s="6"/>
      <c r="H237" s="8"/>
      <c r="I237" s="6"/>
      <c r="J237" s="6"/>
      <c r="K237" s="6"/>
      <c r="L237" s="6"/>
      <c r="M237" s="6" t="s">
        <v>60</v>
      </c>
      <c r="N237" s="4"/>
      <c r="O237" s="2" t="s">
        <v>16</v>
      </c>
      <c r="P237" s="4"/>
      <c r="Q237" s="6"/>
      <c r="R237" s="79"/>
      <c r="S237" s="274"/>
      <c r="T237" s="199"/>
      <c r="U237" s="200"/>
      <c r="V237" s="176">
        <f>U223-V223</f>
        <v>0</v>
      </c>
      <c r="W237" s="176">
        <f>V237/Calculation_sheet!M$67</f>
        <v>0</v>
      </c>
      <c r="X237" s="958">
        <f ca="1">IF(AL237&gt;0,W237*Calculation_sheet!C$87,0)</f>
        <v>0</v>
      </c>
      <c r="Y237" s="176">
        <f ca="1">W237-X237</f>
        <v>0</v>
      </c>
      <c r="Z237" s="176">
        <f>IF(AN237&gt;0,Y237*Calculation_sheet!C$94,0)</f>
        <v>0</v>
      </c>
      <c r="AA237" s="958">
        <f t="shared" ref="AA237:AC249" ca="1" si="321">Y237-Z237</f>
        <v>0</v>
      </c>
      <c r="AB237" s="176">
        <f ca="1">AA237*Calculation_sheet!C$99</f>
        <v>0</v>
      </c>
      <c r="AC237" s="958">
        <f t="shared" ca="1" si="321"/>
        <v>0</v>
      </c>
      <c r="AD237" s="176">
        <f>W237-Z237</f>
        <v>0</v>
      </c>
      <c r="AE237" s="176">
        <f>AD237*User_sheet!B$77/100</f>
        <v>0</v>
      </c>
      <c r="AF237" s="309"/>
      <c r="AG237" s="27">
        <v>403</v>
      </c>
      <c r="AH237" s="985"/>
      <c r="AI237" s="956">
        <f t="shared" ca="1" si="281"/>
        <v>109.68162215404709</v>
      </c>
      <c r="AJ237" s="956">
        <f ca="1">AI237/'403'!I$24</f>
        <v>0.7656301427790243</v>
      </c>
      <c r="AK237" s="956">
        <f ca="1">0.8*(AI237*30+'403'!D$17*0.34*30*1)</f>
        <v>5222.81757169713</v>
      </c>
      <c r="AL237" s="954">
        <f ca="1">IF(AK237&lt;User_sheet!B$50,W237,0)</f>
        <v>0</v>
      </c>
      <c r="AM237" s="954">
        <f ca="1">20-(User_sheet!B$57/(AI237+'403'!D$17*1*0.34))</f>
        <v>-6.1927586254075315</v>
      </c>
      <c r="AN237" s="954"/>
      <c r="AO237" s="985"/>
      <c r="AP237" s="2">
        <v>0</v>
      </c>
      <c r="AQ237" s="1020">
        <v>2.41</v>
      </c>
      <c r="AR237" s="27">
        <v>0</v>
      </c>
      <c r="AS237" s="27">
        <v>2</v>
      </c>
      <c r="AT237" s="2">
        <v>0</v>
      </c>
      <c r="AU237" s="2">
        <v>0</v>
      </c>
      <c r="AV237" s="2">
        <v>74715.401027665983</v>
      </c>
      <c r="AW237" s="2">
        <v>0</v>
      </c>
      <c r="AX237" s="2">
        <v>0</v>
      </c>
      <c r="AY237" s="2">
        <v>0</v>
      </c>
      <c r="AZ237" s="50">
        <v>0.6</v>
      </c>
      <c r="BA237" s="34">
        <v>1</v>
      </c>
      <c r="BB237" s="34">
        <v>0</v>
      </c>
      <c r="BC237" s="40">
        <v>0</v>
      </c>
      <c r="BD237" s="34">
        <v>1</v>
      </c>
      <c r="BE237" s="34">
        <v>0</v>
      </c>
      <c r="BF237" s="40">
        <v>0</v>
      </c>
      <c r="BG237" s="34">
        <v>1</v>
      </c>
      <c r="BH237" s="40">
        <v>0</v>
      </c>
      <c r="BI237" s="34">
        <v>1</v>
      </c>
      <c r="BJ237" s="34">
        <v>0</v>
      </c>
      <c r="BK237" s="40">
        <v>0</v>
      </c>
      <c r="BL237" s="958">
        <v>0.15</v>
      </c>
      <c r="BM237" s="958">
        <v>10</v>
      </c>
      <c r="BN237" s="37">
        <f t="shared" ref="BN237:BN249" ca="1" si="322">INDIRECT("'"&amp;AG237&amp;"'!"&amp;"B2")</f>
        <v>86.579499999999996</v>
      </c>
      <c r="BO237" s="3">
        <f t="shared" ref="BO237:BO249" ca="1" si="323">INDIRECT("'"&amp;AG237&amp;"'!"&amp;"C12")+INDIRECT("'"&amp;AG237&amp;"'!"&amp;"C13")+INDIRECT("'"&amp;AG237&amp;"'!"&amp;"C14")+INDIRECT("'"&amp;AG237&amp;"'!"&amp;"C15")+INDIRECT("'"&amp;AG237&amp;"'!"&amp;"C17")</f>
        <v>292.3576333333333</v>
      </c>
      <c r="BP237" s="3">
        <f t="shared" ref="BP237:BP249" ca="1" si="324">INDIRECT("'"&amp;AG237&amp;"'!"&amp;"G5")</f>
        <v>0</v>
      </c>
      <c r="BQ237" s="3">
        <f t="shared" ref="BQ237:BQ249" ca="1" si="325">INDIRECT("'"&amp;AG237&amp;"'!"&amp;"G4")</f>
        <v>40.706666666666663</v>
      </c>
      <c r="BR237" s="3">
        <f t="shared" ref="BR237:BR249" ca="1" si="326">INDIRECT("'"&amp;AG237&amp;"'!"&amp;"G6")</f>
        <v>0</v>
      </c>
      <c r="BS237" s="3">
        <f t="shared" ref="BS237:BS249" ca="1" si="327">INDIRECT("'"&amp;AG237&amp;"'!"&amp;"G2")</f>
        <v>15.99</v>
      </c>
      <c r="BT237" s="3">
        <f t="shared" ref="BT237:BT249" ca="1" si="328">INDIRECT("'"&amp;AG237&amp;"'!"&amp;"G3")</f>
        <v>0</v>
      </c>
      <c r="BU237" s="3">
        <v>0</v>
      </c>
      <c r="BV237" s="3">
        <f t="shared" ref="BV237:BV249" ca="1" si="329">IF(OR(BP237=0,AP237=0),0,1/(1/(BP237*$BW$3)+1/(BP237*AP237)+1/(BP237*$BW$4)))</f>
        <v>0</v>
      </c>
      <c r="BW237" s="3">
        <f t="shared" ref="BW237:BW249" ca="1" si="330">IF(OR(BQ237=0,AQ237=0),0,1/(1/(BQ237*$BW$3)+1/(BQ237*AQ237)+1/(BQ237*$BW$4)))</f>
        <v>69.19712216683908</v>
      </c>
      <c r="BX237" s="3">
        <f t="shared" ref="BX237:BX249" ca="1" si="331">IF(OR(BR237=0,AR237=0),0,1/(1/(BR237*$BW$3)+1/(BR237*AR237)+1/(BR237*$BW$4)))</f>
        <v>0</v>
      </c>
      <c r="BY237" s="3">
        <f t="shared" ref="BY237:BY249" ca="1" si="332">IF(OR(BS237=0,AS237=0),0,1/(1/(BS237*$BW$5)+1/(BS237*AS237)+1/(BS237*$BW$6)))</f>
        <v>31.979999987208004</v>
      </c>
      <c r="BZ237" s="3">
        <f t="shared" ref="BZ237:BZ249" ca="1" si="333">IF(OR(BT237=0,AT237=0),0,1/(1/(BT237*$BW$3)+1/(BT237*AT237)+1/(BT237*$BW$4)))</f>
        <v>0</v>
      </c>
      <c r="CA237" s="3">
        <f t="shared" ref="CA237:CA249" si="334">IF(OR(BU237=0,AU237=0),0,1/(1/(BU237*$BW$3)+1/(BU237*AU237)+1/(BU237*$BW$4)))</f>
        <v>0</v>
      </c>
      <c r="CB237" s="1018">
        <f ca="1">SUM(BV237:CA237)+(BP237+BQ237+BR237+BS237+BT237)*BL237</f>
        <v>109.68162215404709</v>
      </c>
      <c r="CC237" s="1018">
        <f ca="1">0.34*BM237*(1/25)^0.66*(BQ237+BS237+BT237)</f>
        <v>23.035414838265758</v>
      </c>
      <c r="CD237" s="3">
        <f t="shared" ca="1" si="282"/>
        <v>3.9815111097693854</v>
      </c>
      <c r="CE237" s="3">
        <f t="shared" ca="1" si="283"/>
        <v>6629.0567373216354</v>
      </c>
    </row>
    <row r="238" spans="4:83" s="3" customFormat="1" x14ac:dyDescent="0.25">
      <c r="D238" s="6"/>
      <c r="F238" s="6"/>
      <c r="G238" s="6"/>
      <c r="H238" s="8"/>
      <c r="I238" s="6"/>
      <c r="J238" s="6"/>
      <c r="K238" s="6"/>
      <c r="L238" s="6"/>
      <c r="M238" s="6"/>
      <c r="N238" s="6"/>
      <c r="O238" s="2" t="s">
        <v>7</v>
      </c>
      <c r="P238" s="4"/>
      <c r="Q238" s="6"/>
      <c r="R238" s="79"/>
      <c r="S238" s="274"/>
      <c r="T238" s="199"/>
      <c r="U238" s="200"/>
      <c r="V238" s="176">
        <f t="shared" ref="V238:V249" si="335">U224-V224</f>
        <v>0</v>
      </c>
      <c r="W238" s="176">
        <f>V238/Calculation_sheet!M$67</f>
        <v>0</v>
      </c>
      <c r="X238" s="958">
        <f ca="1">IF(AL238&gt;0,W238*Calculation_sheet!C$87,0)</f>
        <v>0</v>
      </c>
      <c r="Y238" s="176">
        <f t="shared" ref="Y238:Y249" ca="1" si="336">W238-X238</f>
        <v>0</v>
      </c>
      <c r="Z238" s="176">
        <f>IF(AN238&gt;0,Y238*Calculation_sheet!C$94,0)</f>
        <v>0</v>
      </c>
      <c r="AA238" s="958">
        <f t="shared" ca="1" si="321"/>
        <v>0</v>
      </c>
      <c r="AB238" s="176">
        <f ca="1">AA238*Calculation_sheet!C$99</f>
        <v>0</v>
      </c>
      <c r="AC238" s="958">
        <f t="shared" ca="1" si="321"/>
        <v>0</v>
      </c>
      <c r="AD238" s="176">
        <f t="shared" ref="AD238:AD249" si="337">W238-Z238</f>
        <v>0</v>
      </c>
      <c r="AE238" s="176">
        <f>AD238*User_sheet!B$77/100</f>
        <v>0</v>
      </c>
      <c r="AF238" s="309"/>
      <c r="AG238" s="27">
        <v>403</v>
      </c>
      <c r="AH238" s="985"/>
      <c r="AI238" s="956">
        <f t="shared" ca="1" si="281"/>
        <v>109.68162215404709</v>
      </c>
      <c r="AJ238" s="956">
        <f ca="1">AI238/'403'!I$24</f>
        <v>0.7656301427790243</v>
      </c>
      <c r="AK238" s="956">
        <f ca="1">0.8*(AI238*30+'403'!D$17*0.34*30*1)</f>
        <v>5222.81757169713</v>
      </c>
      <c r="AL238" s="954">
        <f ca="1">IF(AK238&lt;User_sheet!B$50,W238,0)</f>
        <v>0</v>
      </c>
      <c r="AM238" s="954">
        <f ca="1">20-(User_sheet!B$57/(AI238+'403'!D$17*1*0.34))</f>
        <v>-6.1927586254075315</v>
      </c>
      <c r="AN238" s="954"/>
      <c r="AO238" s="985"/>
      <c r="AP238" s="2">
        <v>0</v>
      </c>
      <c r="AQ238" s="1020">
        <v>2.41</v>
      </c>
      <c r="AR238" s="27">
        <v>0</v>
      </c>
      <c r="AS238" s="27">
        <v>2</v>
      </c>
      <c r="AT238" s="2">
        <v>0</v>
      </c>
      <c r="AU238" s="2">
        <v>0</v>
      </c>
      <c r="AV238" s="2">
        <v>74715.401027665983</v>
      </c>
      <c r="AW238" s="2">
        <v>0</v>
      </c>
      <c r="AX238" s="2">
        <v>0</v>
      </c>
      <c r="AY238" s="2">
        <v>0</v>
      </c>
      <c r="AZ238" s="50">
        <v>0.6</v>
      </c>
      <c r="BA238" s="34">
        <v>1</v>
      </c>
      <c r="BB238" s="34">
        <v>0</v>
      </c>
      <c r="BC238" s="40">
        <v>0</v>
      </c>
      <c r="BD238" s="34">
        <v>1</v>
      </c>
      <c r="BE238" s="34">
        <v>0</v>
      </c>
      <c r="BF238" s="40">
        <v>0</v>
      </c>
      <c r="BG238" s="34">
        <v>1</v>
      </c>
      <c r="BH238" s="40">
        <v>0</v>
      </c>
      <c r="BI238" s="34">
        <v>0</v>
      </c>
      <c r="BJ238" s="34">
        <v>0</v>
      </c>
      <c r="BK238" s="40">
        <v>1</v>
      </c>
      <c r="BL238" s="958">
        <v>0.15</v>
      </c>
      <c r="BM238" s="958">
        <v>10</v>
      </c>
      <c r="BN238" s="37">
        <f t="shared" ca="1" si="322"/>
        <v>86.579499999999996</v>
      </c>
      <c r="BO238" s="3">
        <f t="shared" ca="1" si="323"/>
        <v>292.3576333333333</v>
      </c>
      <c r="BP238" s="3">
        <f t="shared" ca="1" si="324"/>
        <v>0</v>
      </c>
      <c r="BQ238" s="3">
        <f t="shared" ca="1" si="325"/>
        <v>40.706666666666663</v>
      </c>
      <c r="BR238" s="3">
        <f t="shared" ca="1" si="326"/>
        <v>0</v>
      </c>
      <c r="BS238" s="3">
        <f t="shared" ca="1" si="327"/>
        <v>15.99</v>
      </c>
      <c r="BT238" s="3">
        <f t="shared" ca="1" si="328"/>
        <v>0</v>
      </c>
      <c r="BU238" s="3">
        <v>0</v>
      </c>
      <c r="BV238" s="3">
        <f t="shared" ca="1" si="329"/>
        <v>0</v>
      </c>
      <c r="BW238" s="3">
        <f t="shared" ca="1" si="330"/>
        <v>69.19712216683908</v>
      </c>
      <c r="BX238" s="3">
        <f t="shared" ca="1" si="331"/>
        <v>0</v>
      </c>
      <c r="BY238" s="3">
        <f t="shared" ca="1" si="332"/>
        <v>31.979999987208004</v>
      </c>
      <c r="BZ238" s="3">
        <f t="shared" ca="1" si="333"/>
        <v>0</v>
      </c>
      <c r="CA238" s="3">
        <f t="shared" si="334"/>
        <v>0</v>
      </c>
      <c r="CB238" s="1018">
        <f t="shared" ref="CB238:CB249" ca="1" si="338">SUM(BV238:CA238)+(BP238+BQ238+BR238+BS238+BT238)*BL238</f>
        <v>109.68162215404709</v>
      </c>
      <c r="CC238" s="1018">
        <f t="shared" ref="CC238:CC249" ca="1" si="339">0.34*BM238*(1/25)^0.66*(BQ238+BS238+BT238)</f>
        <v>23.035414838265758</v>
      </c>
      <c r="CD238" s="3">
        <f t="shared" ca="1" si="282"/>
        <v>3.9815111097693854</v>
      </c>
      <c r="CE238" s="3">
        <f t="shared" ca="1" si="283"/>
        <v>6629.0567373216354</v>
      </c>
    </row>
    <row r="239" spans="4:83" s="3" customFormat="1" x14ac:dyDescent="0.25">
      <c r="D239" s="6"/>
      <c r="F239" s="6"/>
      <c r="G239" s="6"/>
      <c r="H239" s="8"/>
      <c r="I239" s="6"/>
      <c r="J239" s="6"/>
      <c r="K239" s="6" t="s">
        <v>58</v>
      </c>
      <c r="L239" s="4"/>
      <c r="M239" s="6" t="s">
        <v>61</v>
      </c>
      <c r="N239" s="4"/>
      <c r="O239" s="2" t="s">
        <v>16</v>
      </c>
      <c r="P239" s="4"/>
      <c r="Q239" s="6"/>
      <c r="R239" s="79"/>
      <c r="S239" s="274"/>
      <c r="T239" s="199"/>
      <c r="U239" s="200"/>
      <c r="V239" s="176">
        <f t="shared" si="335"/>
        <v>0</v>
      </c>
      <c r="W239" s="176">
        <f>V239/Calculation_sheet!M$67</f>
        <v>0</v>
      </c>
      <c r="X239" s="958">
        <f ca="1">IF(AL239&gt;0,W239*Calculation_sheet!C$87,0)</f>
        <v>0</v>
      </c>
      <c r="Y239" s="176">
        <f t="shared" ca="1" si="336"/>
        <v>0</v>
      </c>
      <c r="Z239" s="176">
        <f>IF(AN239&gt;0,Y239*Calculation_sheet!C$94,0)</f>
        <v>0</v>
      </c>
      <c r="AA239" s="958">
        <f t="shared" ca="1" si="321"/>
        <v>0</v>
      </c>
      <c r="AB239" s="176">
        <f ca="1">AA239*Calculation_sheet!C$99</f>
        <v>0</v>
      </c>
      <c r="AC239" s="958">
        <f t="shared" ca="1" si="321"/>
        <v>0</v>
      </c>
      <c r="AD239" s="176">
        <f t="shared" si="337"/>
        <v>0</v>
      </c>
      <c r="AE239" s="176">
        <f>AD239*User_sheet!B$77/100</f>
        <v>0</v>
      </c>
      <c r="AF239" s="309"/>
      <c r="AG239" s="27">
        <v>403</v>
      </c>
      <c r="AH239" s="985"/>
      <c r="AI239" s="956">
        <f t="shared" ca="1" si="281"/>
        <v>109.68162215404709</v>
      </c>
      <c r="AJ239" s="956">
        <f ca="1">AI239/'403'!I$24</f>
        <v>0.7656301427790243</v>
      </c>
      <c r="AK239" s="956">
        <f ca="1">0.8*(AI239*30+'403'!D$17*0.34*30*1)</f>
        <v>5222.81757169713</v>
      </c>
      <c r="AL239" s="954">
        <f ca="1">IF(AK239&lt;User_sheet!B$50,W239,0)</f>
        <v>0</v>
      </c>
      <c r="AM239" s="954">
        <f ca="1">20-(User_sheet!B$57/(AI239+'403'!D$17*1*0.34))</f>
        <v>-6.1927586254075315</v>
      </c>
      <c r="AN239" s="954"/>
      <c r="AO239" s="985"/>
      <c r="AP239" s="2">
        <v>0</v>
      </c>
      <c r="AQ239" s="1020">
        <v>2.41</v>
      </c>
      <c r="AR239" s="27">
        <v>0</v>
      </c>
      <c r="AS239" s="27">
        <v>2</v>
      </c>
      <c r="AT239" s="2">
        <v>0</v>
      </c>
      <c r="AU239" s="2">
        <v>0</v>
      </c>
      <c r="AV239" s="2">
        <v>74715.401027665983</v>
      </c>
      <c r="AW239" s="2">
        <v>0</v>
      </c>
      <c r="AX239" s="2">
        <v>0</v>
      </c>
      <c r="AY239" s="2">
        <v>0</v>
      </c>
      <c r="AZ239" s="50">
        <v>0.6</v>
      </c>
      <c r="BA239" s="34">
        <v>1</v>
      </c>
      <c r="BB239" s="34">
        <v>0</v>
      </c>
      <c r="BC239" s="40">
        <v>0</v>
      </c>
      <c r="BD239" s="34">
        <v>1</v>
      </c>
      <c r="BE239" s="34">
        <v>0</v>
      </c>
      <c r="BF239" s="40">
        <v>0</v>
      </c>
      <c r="BG239" s="34">
        <v>0</v>
      </c>
      <c r="BH239" s="40">
        <v>1</v>
      </c>
      <c r="BI239" s="34">
        <v>1</v>
      </c>
      <c r="BJ239" s="34">
        <v>0</v>
      </c>
      <c r="BK239" s="40">
        <v>0</v>
      </c>
      <c r="BL239" s="958">
        <v>0.15</v>
      </c>
      <c r="BM239" s="958">
        <v>10</v>
      </c>
      <c r="BN239" s="37">
        <f t="shared" ca="1" si="322"/>
        <v>86.579499999999996</v>
      </c>
      <c r="BO239" s="3">
        <f t="shared" ca="1" si="323"/>
        <v>292.3576333333333</v>
      </c>
      <c r="BP239" s="3">
        <f t="shared" ca="1" si="324"/>
        <v>0</v>
      </c>
      <c r="BQ239" s="3">
        <f t="shared" ca="1" si="325"/>
        <v>40.706666666666663</v>
      </c>
      <c r="BR239" s="3">
        <f t="shared" ca="1" si="326"/>
        <v>0</v>
      </c>
      <c r="BS239" s="3">
        <f t="shared" ca="1" si="327"/>
        <v>15.99</v>
      </c>
      <c r="BT239" s="3">
        <f t="shared" ca="1" si="328"/>
        <v>0</v>
      </c>
      <c r="BU239" s="3">
        <v>0</v>
      </c>
      <c r="BV239" s="3">
        <f t="shared" ca="1" si="329"/>
        <v>0</v>
      </c>
      <c r="BW239" s="3">
        <f t="shared" ca="1" si="330"/>
        <v>69.19712216683908</v>
      </c>
      <c r="BX239" s="3">
        <f t="shared" ca="1" si="331"/>
        <v>0</v>
      </c>
      <c r="BY239" s="3">
        <f t="shared" ca="1" si="332"/>
        <v>31.979999987208004</v>
      </c>
      <c r="BZ239" s="3">
        <f t="shared" ca="1" si="333"/>
        <v>0</v>
      </c>
      <c r="CA239" s="3">
        <f t="shared" si="334"/>
        <v>0</v>
      </c>
      <c r="CB239" s="1018">
        <f t="shared" ca="1" si="338"/>
        <v>109.68162215404709</v>
      </c>
      <c r="CC239" s="1018">
        <f t="shared" ca="1" si="339"/>
        <v>23.035414838265758</v>
      </c>
      <c r="CD239" s="3">
        <f t="shared" ca="1" si="282"/>
        <v>3.9815111097693854</v>
      </c>
      <c r="CE239" s="3">
        <f t="shared" ca="1" si="283"/>
        <v>6629.0567373216354</v>
      </c>
    </row>
    <row r="240" spans="4:83" s="3" customFormat="1" x14ac:dyDescent="0.25">
      <c r="D240" s="6"/>
      <c r="F240" s="1"/>
      <c r="G240"/>
      <c r="H240" s="8"/>
      <c r="I240" s="6" t="s">
        <v>16</v>
      </c>
      <c r="J240" s="4"/>
      <c r="K240" s="6"/>
      <c r="L240" s="6"/>
      <c r="M240" s="6"/>
      <c r="N240" s="6"/>
      <c r="O240" s="2" t="s">
        <v>7</v>
      </c>
      <c r="P240" s="4"/>
      <c r="Q240" s="6"/>
      <c r="R240" s="79"/>
      <c r="S240" s="274"/>
      <c r="T240" s="199"/>
      <c r="U240" s="200"/>
      <c r="V240" s="176">
        <f t="shared" si="335"/>
        <v>0</v>
      </c>
      <c r="W240" s="176">
        <f>V240/Calculation_sheet!M$67</f>
        <v>0</v>
      </c>
      <c r="X240" s="958">
        <f ca="1">IF(AL240&gt;0,W240*Calculation_sheet!C$87,0)</f>
        <v>0</v>
      </c>
      <c r="Y240" s="176">
        <f t="shared" ca="1" si="336"/>
        <v>0</v>
      </c>
      <c r="Z240" s="176">
        <f>IF(AN240&gt;0,Y240*Calculation_sheet!C$94,0)</f>
        <v>0</v>
      </c>
      <c r="AA240" s="958">
        <f t="shared" ca="1" si="321"/>
        <v>0</v>
      </c>
      <c r="AB240" s="176">
        <f ca="1">AA240*Calculation_sheet!C$99</f>
        <v>0</v>
      </c>
      <c r="AC240" s="958">
        <f t="shared" ca="1" si="321"/>
        <v>0</v>
      </c>
      <c r="AD240" s="176">
        <f t="shared" si="337"/>
        <v>0</v>
      </c>
      <c r="AE240" s="176">
        <f>AD240*User_sheet!B$77/100</f>
        <v>0</v>
      </c>
      <c r="AF240" s="309"/>
      <c r="AG240" s="27">
        <v>403</v>
      </c>
      <c r="AH240" s="985"/>
      <c r="AI240" s="956">
        <f t="shared" ca="1" si="281"/>
        <v>109.68162215404709</v>
      </c>
      <c r="AJ240" s="956">
        <f ca="1">AI240/'403'!I$24</f>
        <v>0.7656301427790243</v>
      </c>
      <c r="AK240" s="956">
        <f ca="1">0.8*(AI240*30+'403'!D$17*0.34*30*1)</f>
        <v>5222.81757169713</v>
      </c>
      <c r="AL240" s="954">
        <f ca="1">IF(AK240&lt;User_sheet!B$50,W240,0)</f>
        <v>0</v>
      </c>
      <c r="AM240" s="954">
        <f ca="1">20-(User_sheet!B$57/(AI240+'403'!D$17*1*0.34))</f>
        <v>-6.1927586254075315</v>
      </c>
      <c r="AN240" s="954"/>
      <c r="AO240" s="985"/>
      <c r="AP240" s="2">
        <v>0</v>
      </c>
      <c r="AQ240" s="1020">
        <v>2.41</v>
      </c>
      <c r="AR240" s="27">
        <v>0</v>
      </c>
      <c r="AS240" s="27">
        <v>2</v>
      </c>
      <c r="AT240" s="2">
        <v>0</v>
      </c>
      <c r="AU240" s="2">
        <v>0</v>
      </c>
      <c r="AV240" s="2">
        <v>74715.401027665983</v>
      </c>
      <c r="AW240" s="2">
        <v>0</v>
      </c>
      <c r="AX240" s="2">
        <v>0</v>
      </c>
      <c r="AY240" s="2">
        <v>0</v>
      </c>
      <c r="AZ240" s="50">
        <v>0.6</v>
      </c>
      <c r="BA240" s="34">
        <v>1</v>
      </c>
      <c r="BB240" s="34">
        <v>0</v>
      </c>
      <c r="BC240" s="40">
        <v>0</v>
      </c>
      <c r="BD240" s="34">
        <v>1</v>
      </c>
      <c r="BE240" s="34">
        <v>0</v>
      </c>
      <c r="BF240" s="40">
        <v>0</v>
      </c>
      <c r="BG240" s="34">
        <v>0</v>
      </c>
      <c r="BH240" s="40">
        <v>1</v>
      </c>
      <c r="BI240" s="34">
        <v>0</v>
      </c>
      <c r="BJ240" s="34">
        <v>0</v>
      </c>
      <c r="BK240" s="40">
        <v>1</v>
      </c>
      <c r="BL240" s="958">
        <v>0.15</v>
      </c>
      <c r="BM240" s="958">
        <v>10</v>
      </c>
      <c r="BN240" s="37">
        <f t="shared" ca="1" si="322"/>
        <v>86.579499999999996</v>
      </c>
      <c r="BO240" s="3">
        <f t="shared" ca="1" si="323"/>
        <v>292.3576333333333</v>
      </c>
      <c r="BP240" s="3">
        <f t="shared" ca="1" si="324"/>
        <v>0</v>
      </c>
      <c r="BQ240" s="3">
        <f t="shared" ca="1" si="325"/>
        <v>40.706666666666663</v>
      </c>
      <c r="BR240" s="3">
        <f t="shared" ca="1" si="326"/>
        <v>0</v>
      </c>
      <c r="BS240" s="3">
        <f t="shared" ca="1" si="327"/>
        <v>15.99</v>
      </c>
      <c r="BT240" s="3">
        <f t="shared" ca="1" si="328"/>
        <v>0</v>
      </c>
      <c r="BU240" s="3">
        <v>0</v>
      </c>
      <c r="BV240" s="3">
        <f t="shared" ca="1" si="329"/>
        <v>0</v>
      </c>
      <c r="BW240" s="3">
        <f t="shared" ca="1" si="330"/>
        <v>69.19712216683908</v>
      </c>
      <c r="BX240" s="3">
        <f t="shared" ca="1" si="331"/>
        <v>0</v>
      </c>
      <c r="BY240" s="3">
        <f t="shared" ca="1" si="332"/>
        <v>31.979999987208004</v>
      </c>
      <c r="BZ240" s="3">
        <f t="shared" ca="1" si="333"/>
        <v>0</v>
      </c>
      <c r="CA240" s="3">
        <f t="shared" si="334"/>
        <v>0</v>
      </c>
      <c r="CB240" s="1018">
        <f t="shared" ca="1" si="338"/>
        <v>109.68162215404709</v>
      </c>
      <c r="CC240" s="1018">
        <f t="shared" ca="1" si="339"/>
        <v>23.035414838265758</v>
      </c>
      <c r="CD240" s="3">
        <f t="shared" ca="1" si="282"/>
        <v>3.9815111097693854</v>
      </c>
      <c r="CE240" s="3">
        <f t="shared" ca="1" si="283"/>
        <v>6629.0567373216354</v>
      </c>
    </row>
    <row r="241" spans="4:83" s="3" customFormat="1" x14ac:dyDescent="0.25">
      <c r="D241" s="6"/>
      <c r="F241" s="1"/>
      <c r="G241"/>
      <c r="H241" s="8"/>
      <c r="I241" s="6"/>
      <c r="J241" s="6"/>
      <c r="K241" s="6" t="s">
        <v>59</v>
      </c>
      <c r="L241" s="4"/>
      <c r="M241" s="6"/>
      <c r="N241" s="6"/>
      <c r="O241" s="27" t="s">
        <v>16</v>
      </c>
      <c r="P241" s="4"/>
      <c r="Q241" s="6"/>
      <c r="R241" s="79"/>
      <c r="S241" s="274"/>
      <c r="T241" s="199"/>
      <c r="U241" s="200"/>
      <c r="V241" s="176">
        <f t="shared" si="335"/>
        <v>0</v>
      </c>
      <c r="W241" s="176">
        <f>V241/Calculation_sheet!M$67</f>
        <v>0</v>
      </c>
      <c r="X241" s="958">
        <f ca="1">IF(AL241&gt;0,W241*Calculation_sheet!C$87,0)</f>
        <v>0</v>
      </c>
      <c r="Y241" s="176">
        <f t="shared" ca="1" si="336"/>
        <v>0</v>
      </c>
      <c r="Z241" s="176">
        <f>IF(AN241&gt;0,Y241*Calculation_sheet!C$94,0)</f>
        <v>0</v>
      </c>
      <c r="AA241" s="958">
        <f t="shared" ca="1" si="321"/>
        <v>0</v>
      </c>
      <c r="AB241" s="176">
        <f ca="1">AA241*Calculation_sheet!C$99</f>
        <v>0</v>
      </c>
      <c r="AC241" s="958">
        <f t="shared" ca="1" si="321"/>
        <v>0</v>
      </c>
      <c r="AD241" s="176">
        <f t="shared" si="337"/>
        <v>0</v>
      </c>
      <c r="AE241" s="176">
        <f>AD241*User_sheet!B$77/100</f>
        <v>0</v>
      </c>
      <c r="AF241" s="309"/>
      <c r="AG241" s="27">
        <v>403</v>
      </c>
      <c r="AH241" s="985"/>
      <c r="AI241" s="956">
        <f t="shared" ca="1" si="281"/>
        <v>109.68162215404709</v>
      </c>
      <c r="AJ241" s="956">
        <f ca="1">AI241/'403'!I$24</f>
        <v>0.7656301427790243</v>
      </c>
      <c r="AK241" s="956">
        <f ca="1">0.8*(AI241*30+'403'!D$17*0.34*30*1)</f>
        <v>5222.81757169713</v>
      </c>
      <c r="AL241" s="954">
        <f ca="1">IF(AK241&lt;User_sheet!B$50,W241,0)</f>
        <v>0</v>
      </c>
      <c r="AM241" s="954">
        <f ca="1">20-(User_sheet!B$57/(AI241+'403'!D$17*1*0.34))</f>
        <v>-6.1927586254075315</v>
      </c>
      <c r="AN241" s="954"/>
      <c r="AO241" s="985"/>
      <c r="AP241" s="2">
        <v>0</v>
      </c>
      <c r="AQ241" s="1020">
        <v>2.41</v>
      </c>
      <c r="AR241" s="27">
        <v>0</v>
      </c>
      <c r="AS241" s="27">
        <v>2</v>
      </c>
      <c r="AT241" s="2">
        <v>0</v>
      </c>
      <c r="AU241" s="2">
        <v>0</v>
      </c>
      <c r="AV241" s="2">
        <v>74715.401027665983</v>
      </c>
      <c r="AW241" s="2">
        <v>0</v>
      </c>
      <c r="AX241" s="2">
        <v>0</v>
      </c>
      <c r="AY241" s="2">
        <v>0</v>
      </c>
      <c r="AZ241" s="50">
        <v>0.6</v>
      </c>
      <c r="BA241" s="34">
        <v>1</v>
      </c>
      <c r="BB241" s="34">
        <v>0</v>
      </c>
      <c r="BC241" s="40">
        <v>0</v>
      </c>
      <c r="BD241" s="34">
        <v>0</v>
      </c>
      <c r="BE241" s="34">
        <v>1</v>
      </c>
      <c r="BF241" s="40">
        <v>0</v>
      </c>
      <c r="BG241" s="34">
        <v>1</v>
      </c>
      <c r="BH241" s="40">
        <v>0</v>
      </c>
      <c r="BI241" s="34">
        <v>1</v>
      </c>
      <c r="BJ241" s="34">
        <v>0</v>
      </c>
      <c r="BK241" s="40">
        <v>0</v>
      </c>
      <c r="BL241" s="958">
        <v>0.15</v>
      </c>
      <c r="BM241" s="958">
        <v>10</v>
      </c>
      <c r="BN241" s="37">
        <f t="shared" ca="1" si="322"/>
        <v>86.579499999999996</v>
      </c>
      <c r="BO241" s="3">
        <f t="shared" ca="1" si="323"/>
        <v>292.3576333333333</v>
      </c>
      <c r="BP241" s="3">
        <f t="shared" ca="1" si="324"/>
        <v>0</v>
      </c>
      <c r="BQ241" s="3">
        <f t="shared" ca="1" si="325"/>
        <v>40.706666666666663</v>
      </c>
      <c r="BR241" s="3">
        <f t="shared" ca="1" si="326"/>
        <v>0</v>
      </c>
      <c r="BS241" s="3">
        <f t="shared" ca="1" si="327"/>
        <v>15.99</v>
      </c>
      <c r="BT241" s="3">
        <f t="shared" ca="1" si="328"/>
        <v>0</v>
      </c>
      <c r="BU241" s="3">
        <v>0</v>
      </c>
      <c r="BV241" s="3">
        <f t="shared" ca="1" si="329"/>
        <v>0</v>
      </c>
      <c r="BW241" s="3">
        <f t="shared" ca="1" si="330"/>
        <v>69.19712216683908</v>
      </c>
      <c r="BX241" s="3">
        <f t="shared" ca="1" si="331"/>
        <v>0</v>
      </c>
      <c r="BY241" s="3">
        <f t="shared" ca="1" si="332"/>
        <v>31.979999987208004</v>
      </c>
      <c r="BZ241" s="3">
        <f t="shared" ca="1" si="333"/>
        <v>0</v>
      </c>
      <c r="CA241" s="3">
        <f t="shared" si="334"/>
        <v>0</v>
      </c>
      <c r="CB241" s="1018">
        <f t="shared" ca="1" si="338"/>
        <v>109.68162215404709</v>
      </c>
      <c r="CC241" s="1018">
        <f t="shared" ca="1" si="339"/>
        <v>23.035414838265758</v>
      </c>
      <c r="CD241" s="3">
        <f t="shared" ca="1" si="282"/>
        <v>3.9815111097693854</v>
      </c>
      <c r="CE241" s="3">
        <f t="shared" ca="1" si="283"/>
        <v>6629.0567373216354</v>
      </c>
    </row>
    <row r="242" spans="4:83" s="3" customFormat="1" x14ac:dyDescent="0.25">
      <c r="D242" s="6"/>
      <c r="F242" s="3" t="s">
        <v>144</v>
      </c>
      <c r="G242"/>
      <c r="H242" s="8"/>
      <c r="I242" s="6"/>
      <c r="J242" s="6"/>
      <c r="K242" s="6"/>
      <c r="L242" s="6"/>
      <c r="M242" s="6"/>
      <c r="N242" s="6"/>
      <c r="O242" s="27" t="s">
        <v>7</v>
      </c>
      <c r="P242" s="4"/>
      <c r="Q242" s="6"/>
      <c r="R242" s="79"/>
      <c r="S242" s="274"/>
      <c r="T242" s="199"/>
      <c r="U242" s="200"/>
      <c r="V242" s="176">
        <f t="shared" si="335"/>
        <v>0</v>
      </c>
      <c r="W242" s="176">
        <f>V242/Calculation_sheet!M$67</f>
        <v>0</v>
      </c>
      <c r="X242" s="958">
        <f ca="1">IF(AL242&gt;0,W242*Calculation_sheet!C$87,0)</f>
        <v>0</v>
      </c>
      <c r="Y242" s="176">
        <f t="shared" ca="1" si="336"/>
        <v>0</v>
      </c>
      <c r="Z242" s="176">
        <f>IF(AN242&gt;0,Y242*Calculation_sheet!C$94,0)</f>
        <v>0</v>
      </c>
      <c r="AA242" s="958">
        <f t="shared" ca="1" si="321"/>
        <v>0</v>
      </c>
      <c r="AB242" s="176">
        <f ca="1">AA242*Calculation_sheet!C$99</f>
        <v>0</v>
      </c>
      <c r="AC242" s="958">
        <f t="shared" ca="1" si="321"/>
        <v>0</v>
      </c>
      <c r="AD242" s="176">
        <f t="shared" si="337"/>
        <v>0</v>
      </c>
      <c r="AE242" s="176">
        <f>AD242*User_sheet!B$77/100</f>
        <v>0</v>
      </c>
      <c r="AF242" s="309"/>
      <c r="AG242" s="27">
        <v>403</v>
      </c>
      <c r="AH242" s="985"/>
      <c r="AI242" s="956">
        <f t="shared" ca="1" si="281"/>
        <v>109.68162215404709</v>
      </c>
      <c r="AJ242" s="956">
        <f ca="1">AI242/'403'!I$24</f>
        <v>0.7656301427790243</v>
      </c>
      <c r="AK242" s="956">
        <f ca="1">0.8*(AI242*30+'403'!D$17*0.34*30*1)</f>
        <v>5222.81757169713</v>
      </c>
      <c r="AL242" s="954">
        <f ca="1">IF(AK242&lt;User_sheet!B$50,W242,0)</f>
        <v>0</v>
      </c>
      <c r="AM242" s="954">
        <f ca="1">20-(User_sheet!B$57/(AI242+'403'!D$17*1*0.34))</f>
        <v>-6.1927586254075315</v>
      </c>
      <c r="AN242" s="954"/>
      <c r="AO242" s="985"/>
      <c r="AP242" s="2">
        <v>0</v>
      </c>
      <c r="AQ242" s="1020">
        <v>2.41</v>
      </c>
      <c r="AR242" s="27">
        <v>0</v>
      </c>
      <c r="AS242" s="27">
        <v>2</v>
      </c>
      <c r="AT242" s="2">
        <v>0</v>
      </c>
      <c r="AU242" s="2">
        <v>0</v>
      </c>
      <c r="AV242" s="2">
        <v>74715.401027665983</v>
      </c>
      <c r="AW242" s="2">
        <v>0</v>
      </c>
      <c r="AX242" s="2">
        <v>0</v>
      </c>
      <c r="AY242" s="2">
        <v>0</v>
      </c>
      <c r="AZ242" s="50">
        <v>0.6</v>
      </c>
      <c r="BA242" s="34">
        <v>1</v>
      </c>
      <c r="BB242" s="34">
        <v>0</v>
      </c>
      <c r="BC242" s="40">
        <v>0</v>
      </c>
      <c r="BD242" s="34">
        <v>0</v>
      </c>
      <c r="BE242" s="34">
        <v>1</v>
      </c>
      <c r="BF242" s="40">
        <v>0</v>
      </c>
      <c r="BG242" s="34">
        <v>1</v>
      </c>
      <c r="BH242" s="40">
        <v>0</v>
      </c>
      <c r="BI242" s="34">
        <v>0</v>
      </c>
      <c r="BJ242" s="34">
        <v>0</v>
      </c>
      <c r="BK242" s="40">
        <v>1</v>
      </c>
      <c r="BL242" s="958">
        <v>0.15</v>
      </c>
      <c r="BM242" s="958">
        <v>10</v>
      </c>
      <c r="BN242" s="37">
        <f t="shared" ca="1" si="322"/>
        <v>86.579499999999996</v>
      </c>
      <c r="BO242" s="3">
        <f t="shared" ca="1" si="323"/>
        <v>292.3576333333333</v>
      </c>
      <c r="BP242" s="3">
        <f t="shared" ca="1" si="324"/>
        <v>0</v>
      </c>
      <c r="BQ242" s="3">
        <f t="shared" ca="1" si="325"/>
        <v>40.706666666666663</v>
      </c>
      <c r="BR242" s="3">
        <f t="shared" ca="1" si="326"/>
        <v>0</v>
      </c>
      <c r="BS242" s="3">
        <f t="shared" ca="1" si="327"/>
        <v>15.99</v>
      </c>
      <c r="BT242" s="3">
        <f t="shared" ca="1" si="328"/>
        <v>0</v>
      </c>
      <c r="BU242" s="3">
        <v>0</v>
      </c>
      <c r="BV242" s="3">
        <f t="shared" ca="1" si="329"/>
        <v>0</v>
      </c>
      <c r="BW242" s="3">
        <f t="shared" ca="1" si="330"/>
        <v>69.19712216683908</v>
      </c>
      <c r="BX242" s="3">
        <f t="shared" ca="1" si="331"/>
        <v>0</v>
      </c>
      <c r="BY242" s="3">
        <f t="shared" ca="1" si="332"/>
        <v>31.979999987208004</v>
      </c>
      <c r="BZ242" s="3">
        <f t="shared" ca="1" si="333"/>
        <v>0</v>
      </c>
      <c r="CA242" s="3">
        <f t="shared" si="334"/>
        <v>0</v>
      </c>
      <c r="CB242" s="1018">
        <f t="shared" ca="1" si="338"/>
        <v>109.68162215404709</v>
      </c>
      <c r="CC242" s="1018">
        <f t="shared" ca="1" si="339"/>
        <v>23.035414838265758</v>
      </c>
      <c r="CD242" s="3">
        <f t="shared" ca="1" si="282"/>
        <v>3.9815111097693854</v>
      </c>
      <c r="CE242" s="3">
        <f t="shared" ca="1" si="283"/>
        <v>6629.0567373216354</v>
      </c>
    </row>
    <row r="243" spans="4:83" s="3" customFormat="1" x14ac:dyDescent="0.25">
      <c r="D243" s="6"/>
      <c r="F243" s="6" t="s">
        <v>190</v>
      </c>
      <c r="G243"/>
      <c r="H243" s="8"/>
      <c r="I243" s="6"/>
      <c r="J243" s="6"/>
      <c r="K243" s="6"/>
      <c r="L243" s="6"/>
      <c r="M243" s="6" t="s">
        <v>60</v>
      </c>
      <c r="N243" s="4"/>
      <c r="O243" s="2" t="s">
        <v>57</v>
      </c>
      <c r="P243" s="4"/>
      <c r="Q243" s="6"/>
      <c r="R243" s="79"/>
      <c r="S243" s="274"/>
      <c r="T243" s="199"/>
      <c r="U243" s="200"/>
      <c r="V243" s="176">
        <f t="shared" si="335"/>
        <v>0</v>
      </c>
      <c r="W243" s="176">
        <f>V243/Calculation_sheet!M$67</f>
        <v>0</v>
      </c>
      <c r="X243" s="958">
        <f ca="1">IF(AL243&gt;0,W243*Calculation_sheet!C$87,0)</f>
        <v>0</v>
      </c>
      <c r="Y243" s="176">
        <f t="shared" ca="1" si="336"/>
        <v>0</v>
      </c>
      <c r="Z243" s="176">
        <f>IF(AN243&gt;0,Y243*Calculation_sheet!C$94,0)</f>
        <v>0</v>
      </c>
      <c r="AA243" s="958">
        <f t="shared" ca="1" si="321"/>
        <v>0</v>
      </c>
      <c r="AB243" s="176">
        <f ca="1">AA243*Calculation_sheet!C$99</f>
        <v>0</v>
      </c>
      <c r="AC243" s="958">
        <f t="shared" ca="1" si="321"/>
        <v>0</v>
      </c>
      <c r="AD243" s="176">
        <f t="shared" si="337"/>
        <v>0</v>
      </c>
      <c r="AE243" s="176">
        <f>AD243*User_sheet!B$77/100</f>
        <v>0</v>
      </c>
      <c r="AF243" s="309"/>
      <c r="AG243" s="27">
        <v>403</v>
      </c>
      <c r="AH243" s="985"/>
      <c r="AI243" s="956">
        <f t="shared" ca="1" si="281"/>
        <v>109.68162215404709</v>
      </c>
      <c r="AJ243" s="956">
        <f ca="1">AI243/'403'!I$24</f>
        <v>0.7656301427790243</v>
      </c>
      <c r="AK243" s="956">
        <f ca="1">0.8*(AI243*30+'403'!D$17*0.34*30*1)</f>
        <v>5222.81757169713</v>
      </c>
      <c r="AL243" s="954">
        <f ca="1">IF(AK243&lt;User_sheet!B$50,W243,0)</f>
        <v>0</v>
      </c>
      <c r="AM243" s="954">
        <f ca="1">20-(User_sheet!B$57/(AI243+'403'!D$17*1*0.34))</f>
        <v>-6.1927586254075315</v>
      </c>
      <c r="AN243" s="954"/>
      <c r="AO243" s="985"/>
      <c r="AP243" s="2">
        <v>0</v>
      </c>
      <c r="AQ243" s="1020">
        <v>2.41</v>
      </c>
      <c r="AR243" s="27">
        <v>0</v>
      </c>
      <c r="AS243" s="27">
        <v>2</v>
      </c>
      <c r="AT243" s="2">
        <v>0</v>
      </c>
      <c r="AU243" s="2">
        <v>0</v>
      </c>
      <c r="AV243" s="2">
        <v>74715.401027665983</v>
      </c>
      <c r="AW243" s="2">
        <v>0</v>
      </c>
      <c r="AX243" s="2">
        <v>0</v>
      </c>
      <c r="AY243" s="2">
        <v>0</v>
      </c>
      <c r="AZ243" s="50">
        <v>0.6</v>
      </c>
      <c r="BA243" s="34">
        <v>0</v>
      </c>
      <c r="BB243" s="34">
        <v>1</v>
      </c>
      <c r="BC243" s="40">
        <v>0</v>
      </c>
      <c r="BD243" s="34">
        <v>1</v>
      </c>
      <c r="BE243" s="34">
        <v>0</v>
      </c>
      <c r="BF243" s="40">
        <v>0</v>
      </c>
      <c r="BG243" s="34">
        <v>1</v>
      </c>
      <c r="BH243" s="40">
        <v>0</v>
      </c>
      <c r="BI243" s="34">
        <v>0</v>
      </c>
      <c r="BJ243" s="34">
        <v>1</v>
      </c>
      <c r="BK243" s="40">
        <v>0</v>
      </c>
      <c r="BL243" s="958">
        <v>0.15</v>
      </c>
      <c r="BM243" s="958">
        <v>10</v>
      </c>
      <c r="BN243" s="37">
        <f t="shared" ca="1" si="322"/>
        <v>86.579499999999996</v>
      </c>
      <c r="BO243" s="3">
        <f t="shared" ca="1" si="323"/>
        <v>292.3576333333333</v>
      </c>
      <c r="BP243" s="3">
        <f t="shared" ca="1" si="324"/>
        <v>0</v>
      </c>
      <c r="BQ243" s="3">
        <f t="shared" ca="1" si="325"/>
        <v>40.706666666666663</v>
      </c>
      <c r="BR243" s="3">
        <f t="shared" ca="1" si="326"/>
        <v>0</v>
      </c>
      <c r="BS243" s="3">
        <f t="shared" ca="1" si="327"/>
        <v>15.99</v>
      </c>
      <c r="BT243" s="3">
        <f t="shared" ca="1" si="328"/>
        <v>0</v>
      </c>
      <c r="BU243" s="3">
        <v>0</v>
      </c>
      <c r="BV243" s="3">
        <f t="shared" ca="1" si="329"/>
        <v>0</v>
      </c>
      <c r="BW243" s="3">
        <f t="shared" ca="1" si="330"/>
        <v>69.19712216683908</v>
      </c>
      <c r="BX243" s="3">
        <f t="shared" ca="1" si="331"/>
        <v>0</v>
      </c>
      <c r="BY243" s="3">
        <f t="shared" ca="1" si="332"/>
        <v>31.979999987208004</v>
      </c>
      <c r="BZ243" s="3">
        <f t="shared" ca="1" si="333"/>
        <v>0</v>
      </c>
      <c r="CA243" s="3">
        <f t="shared" si="334"/>
        <v>0</v>
      </c>
      <c r="CB243" s="1018">
        <f t="shared" ca="1" si="338"/>
        <v>109.68162215404709</v>
      </c>
      <c r="CC243" s="1018">
        <f t="shared" ca="1" si="339"/>
        <v>23.035414838265758</v>
      </c>
      <c r="CD243" s="3">
        <f t="shared" ca="1" si="282"/>
        <v>3.9815111097693854</v>
      </c>
      <c r="CE243" s="3">
        <f t="shared" ca="1" si="283"/>
        <v>6629.0567373216354</v>
      </c>
    </row>
    <row r="244" spans="4:83" s="3" customFormat="1" x14ac:dyDescent="0.25">
      <c r="D244" s="6"/>
      <c r="F244" s="1"/>
      <c r="G244" s="6"/>
      <c r="H244" s="8"/>
      <c r="I244" s="6"/>
      <c r="J244" s="6"/>
      <c r="K244" s="6"/>
      <c r="L244" s="6"/>
      <c r="M244" s="6"/>
      <c r="N244" s="6"/>
      <c r="O244" s="2" t="s">
        <v>7</v>
      </c>
      <c r="P244" s="4"/>
      <c r="Q244" s="6"/>
      <c r="R244" s="79"/>
      <c r="S244" s="274"/>
      <c r="T244" s="199"/>
      <c r="U244" s="200"/>
      <c r="V244" s="176">
        <f t="shared" si="335"/>
        <v>0</v>
      </c>
      <c r="W244" s="176">
        <f>V244/Calculation_sheet!M$67</f>
        <v>0</v>
      </c>
      <c r="X244" s="958">
        <f ca="1">IF(AL244&gt;0,W244*Calculation_sheet!C$87,0)</f>
        <v>0</v>
      </c>
      <c r="Y244" s="176">
        <f t="shared" ca="1" si="336"/>
        <v>0</v>
      </c>
      <c r="Z244" s="176">
        <f>IF(AN244&gt;0,Y244*Calculation_sheet!C$94,0)</f>
        <v>0</v>
      </c>
      <c r="AA244" s="958">
        <f t="shared" ca="1" si="321"/>
        <v>0</v>
      </c>
      <c r="AB244" s="176">
        <f ca="1">AA244*Calculation_sheet!C$99</f>
        <v>0</v>
      </c>
      <c r="AC244" s="958">
        <f t="shared" ca="1" si="321"/>
        <v>0</v>
      </c>
      <c r="AD244" s="176">
        <f t="shared" si="337"/>
        <v>0</v>
      </c>
      <c r="AE244" s="176">
        <f>AD244*User_sheet!B$77/100</f>
        <v>0</v>
      </c>
      <c r="AF244" s="309"/>
      <c r="AG244" s="27">
        <v>403</v>
      </c>
      <c r="AH244" s="985"/>
      <c r="AI244" s="956">
        <f t="shared" ca="1" si="281"/>
        <v>109.68162215404709</v>
      </c>
      <c r="AJ244" s="956">
        <f ca="1">AI244/'403'!I$24</f>
        <v>0.7656301427790243</v>
      </c>
      <c r="AK244" s="956">
        <f ca="1">0.8*(AI244*30+'403'!D$17*0.34*30*1)</f>
        <v>5222.81757169713</v>
      </c>
      <c r="AL244" s="954">
        <f ca="1">IF(AK244&lt;User_sheet!B$50,W244,0)</f>
        <v>0</v>
      </c>
      <c r="AM244" s="954">
        <f ca="1">20-(User_sheet!B$57/(AI244+'403'!D$17*1*0.34))</f>
        <v>-6.1927586254075315</v>
      </c>
      <c r="AN244" s="954"/>
      <c r="AO244" s="985"/>
      <c r="AP244" s="2">
        <v>0</v>
      </c>
      <c r="AQ244" s="1020">
        <v>2.41</v>
      </c>
      <c r="AR244" s="27">
        <v>0</v>
      </c>
      <c r="AS244" s="27">
        <v>2</v>
      </c>
      <c r="AT244" s="2">
        <v>0</v>
      </c>
      <c r="AU244" s="2">
        <v>0</v>
      </c>
      <c r="AV244" s="2">
        <v>74715.401027665983</v>
      </c>
      <c r="AW244" s="2">
        <v>0</v>
      </c>
      <c r="AX244" s="2">
        <v>0</v>
      </c>
      <c r="AY244" s="2">
        <v>0</v>
      </c>
      <c r="AZ244" s="50">
        <v>0.6</v>
      </c>
      <c r="BA244" s="34">
        <v>0</v>
      </c>
      <c r="BB244" s="34">
        <v>1</v>
      </c>
      <c r="BC244" s="40">
        <v>0</v>
      </c>
      <c r="BD244" s="34">
        <v>1</v>
      </c>
      <c r="BE244" s="34">
        <v>0</v>
      </c>
      <c r="BF244" s="40">
        <v>0</v>
      </c>
      <c r="BG244" s="34">
        <v>1</v>
      </c>
      <c r="BH244" s="40">
        <v>0</v>
      </c>
      <c r="BI244" s="34">
        <v>0</v>
      </c>
      <c r="BJ244" s="34">
        <v>0</v>
      </c>
      <c r="BK244" s="40">
        <v>1</v>
      </c>
      <c r="BL244" s="958">
        <v>0.15</v>
      </c>
      <c r="BM244" s="958">
        <v>10</v>
      </c>
      <c r="BN244" s="37">
        <f t="shared" ca="1" si="322"/>
        <v>86.579499999999996</v>
      </c>
      <c r="BO244" s="3">
        <f t="shared" ca="1" si="323"/>
        <v>292.3576333333333</v>
      </c>
      <c r="BP244" s="3">
        <f t="shared" ca="1" si="324"/>
        <v>0</v>
      </c>
      <c r="BQ244" s="3">
        <f t="shared" ca="1" si="325"/>
        <v>40.706666666666663</v>
      </c>
      <c r="BR244" s="3">
        <f t="shared" ca="1" si="326"/>
        <v>0</v>
      </c>
      <c r="BS244" s="3">
        <f t="shared" ca="1" si="327"/>
        <v>15.99</v>
      </c>
      <c r="BT244" s="3">
        <f t="shared" ca="1" si="328"/>
        <v>0</v>
      </c>
      <c r="BU244" s="3">
        <v>0</v>
      </c>
      <c r="BV244" s="3">
        <f t="shared" ca="1" si="329"/>
        <v>0</v>
      </c>
      <c r="BW244" s="3">
        <f t="shared" ca="1" si="330"/>
        <v>69.19712216683908</v>
      </c>
      <c r="BX244" s="3">
        <f t="shared" ca="1" si="331"/>
        <v>0</v>
      </c>
      <c r="BY244" s="3">
        <f t="shared" ca="1" si="332"/>
        <v>31.979999987208004</v>
      </c>
      <c r="BZ244" s="3">
        <f t="shared" ca="1" si="333"/>
        <v>0</v>
      </c>
      <c r="CA244" s="3">
        <f t="shared" si="334"/>
        <v>0</v>
      </c>
      <c r="CB244" s="1018">
        <f t="shared" ca="1" si="338"/>
        <v>109.68162215404709</v>
      </c>
      <c r="CC244" s="1018">
        <f t="shared" ca="1" si="339"/>
        <v>23.035414838265758</v>
      </c>
      <c r="CD244" s="3">
        <f t="shared" ca="1" si="282"/>
        <v>3.9815111097693854</v>
      </c>
      <c r="CE244" s="3">
        <f t="shared" ca="1" si="283"/>
        <v>6629.0567373216354</v>
      </c>
    </row>
    <row r="245" spans="4:83" x14ac:dyDescent="0.25">
      <c r="D245" s="1"/>
      <c r="F245" s="1"/>
      <c r="G245" s="6"/>
      <c r="H245" s="8"/>
      <c r="I245" s="6"/>
      <c r="J245" s="6"/>
      <c r="K245" s="6" t="s">
        <v>58</v>
      </c>
      <c r="L245" s="4"/>
      <c r="M245" s="6" t="s">
        <v>61</v>
      </c>
      <c r="N245" s="4"/>
      <c r="O245" s="2" t="s">
        <v>57</v>
      </c>
      <c r="P245" s="4"/>
      <c r="Q245" s="1"/>
      <c r="R245" s="79"/>
      <c r="T245" s="199"/>
      <c r="U245" s="200"/>
      <c r="V245" s="176">
        <f t="shared" si="335"/>
        <v>0</v>
      </c>
      <c r="W245" s="176">
        <f>V245/Calculation_sheet!M$67</f>
        <v>0</v>
      </c>
      <c r="X245" s="958">
        <f ca="1">IF(AL245&gt;0,W245*Calculation_sheet!C$87,0)</f>
        <v>0</v>
      </c>
      <c r="Y245" s="176">
        <f t="shared" ca="1" si="336"/>
        <v>0</v>
      </c>
      <c r="Z245" s="176">
        <f>IF(AN245&gt;0,Y245*Calculation_sheet!C$94,0)</f>
        <v>0</v>
      </c>
      <c r="AA245" s="958">
        <f t="shared" ca="1" si="321"/>
        <v>0</v>
      </c>
      <c r="AB245" s="176">
        <f ca="1">AA245*Calculation_sheet!C$99</f>
        <v>0</v>
      </c>
      <c r="AC245" s="958">
        <f t="shared" ca="1" si="321"/>
        <v>0</v>
      </c>
      <c r="AD245" s="176">
        <f t="shared" si="337"/>
        <v>0</v>
      </c>
      <c r="AE245" s="176">
        <f>AD245*User_sheet!B$77/100</f>
        <v>0</v>
      </c>
      <c r="AF245" s="309"/>
      <c r="AG245" s="27">
        <v>403</v>
      </c>
      <c r="AH245" s="985"/>
      <c r="AI245" s="956">
        <f t="shared" ca="1" si="281"/>
        <v>109.68162215404709</v>
      </c>
      <c r="AJ245" s="956">
        <f ca="1">AI245/'403'!I$24</f>
        <v>0.7656301427790243</v>
      </c>
      <c r="AK245" s="956">
        <f ca="1">0.8*(AI245*30+'403'!D$17*0.34*30*1)</f>
        <v>5222.81757169713</v>
      </c>
      <c r="AL245" s="954">
        <f ca="1">IF(AK245&lt;User_sheet!B$50,W245,0)</f>
        <v>0</v>
      </c>
      <c r="AM245" s="954">
        <f ca="1">20-(User_sheet!B$57/(AI245+'403'!D$17*1*0.34))</f>
        <v>-6.1927586254075315</v>
      </c>
      <c r="AN245" s="954"/>
      <c r="AO245" s="985"/>
      <c r="AP245" s="2">
        <v>0</v>
      </c>
      <c r="AQ245" s="1020">
        <v>2.41</v>
      </c>
      <c r="AR245" s="27">
        <v>0</v>
      </c>
      <c r="AS245" s="27">
        <v>2</v>
      </c>
      <c r="AT245" s="2">
        <v>0</v>
      </c>
      <c r="AU245" s="2">
        <v>0</v>
      </c>
      <c r="AV245" s="2">
        <v>74715.401027665983</v>
      </c>
      <c r="AW245" s="2">
        <v>0</v>
      </c>
      <c r="AX245" s="2">
        <v>0</v>
      </c>
      <c r="AY245" s="2">
        <v>0</v>
      </c>
      <c r="AZ245" s="50">
        <v>0.6</v>
      </c>
      <c r="BA245" s="34">
        <v>0</v>
      </c>
      <c r="BB245" s="34">
        <v>1</v>
      </c>
      <c r="BC245" s="40">
        <v>0</v>
      </c>
      <c r="BD245" s="34">
        <v>1</v>
      </c>
      <c r="BE245" s="34">
        <v>0</v>
      </c>
      <c r="BF245" s="40">
        <v>0</v>
      </c>
      <c r="BG245" s="34">
        <v>0</v>
      </c>
      <c r="BH245" s="40">
        <v>1</v>
      </c>
      <c r="BI245" s="34">
        <v>0</v>
      </c>
      <c r="BJ245" s="34">
        <v>1</v>
      </c>
      <c r="BK245" s="40">
        <v>0</v>
      </c>
      <c r="BL245" s="958">
        <v>0.15</v>
      </c>
      <c r="BM245" s="958">
        <v>10</v>
      </c>
      <c r="BN245" s="32">
        <f t="shared" ca="1" si="322"/>
        <v>86.579499999999996</v>
      </c>
      <c r="BO245">
        <f t="shared" ca="1" si="323"/>
        <v>292.3576333333333</v>
      </c>
      <c r="BP245">
        <f t="shared" ca="1" si="324"/>
        <v>0</v>
      </c>
      <c r="BQ245">
        <f t="shared" ca="1" si="325"/>
        <v>40.706666666666663</v>
      </c>
      <c r="BR245">
        <f t="shared" ca="1" si="326"/>
        <v>0</v>
      </c>
      <c r="BS245">
        <f t="shared" ca="1" si="327"/>
        <v>15.99</v>
      </c>
      <c r="BT245">
        <f t="shared" ca="1" si="328"/>
        <v>0</v>
      </c>
      <c r="BU245">
        <v>0</v>
      </c>
      <c r="BV245">
        <f t="shared" ca="1" si="329"/>
        <v>0</v>
      </c>
      <c r="BW245">
        <f t="shared" ca="1" si="330"/>
        <v>69.19712216683908</v>
      </c>
      <c r="BX245">
        <f t="shared" ca="1" si="331"/>
        <v>0</v>
      </c>
      <c r="BY245">
        <f t="shared" ca="1" si="332"/>
        <v>31.979999987208004</v>
      </c>
      <c r="BZ245">
        <f t="shared" ca="1" si="333"/>
        <v>0</v>
      </c>
      <c r="CA245">
        <f t="shared" si="334"/>
        <v>0</v>
      </c>
      <c r="CB245" s="1018">
        <f t="shared" ca="1" si="338"/>
        <v>109.68162215404709</v>
      </c>
      <c r="CC245" s="1018">
        <f t="shared" ca="1" si="339"/>
        <v>23.035414838265758</v>
      </c>
      <c r="CD245">
        <f t="shared" ca="1" si="282"/>
        <v>3.9815111097693854</v>
      </c>
      <c r="CE245">
        <f t="shared" ca="1" si="283"/>
        <v>6629.0567373216354</v>
      </c>
    </row>
    <row r="246" spans="4:83" x14ac:dyDescent="0.25">
      <c r="D246" s="1"/>
      <c r="F246" s="1"/>
      <c r="H246" s="1"/>
      <c r="I246" s="6" t="s">
        <v>57</v>
      </c>
      <c r="J246" s="4"/>
      <c r="K246" s="6"/>
      <c r="L246" s="6"/>
      <c r="M246" s="6"/>
      <c r="N246" s="6"/>
      <c r="O246" s="2" t="s">
        <v>7</v>
      </c>
      <c r="P246" s="4"/>
      <c r="Q246" s="1"/>
      <c r="R246" s="79"/>
      <c r="T246" s="199"/>
      <c r="U246" s="200"/>
      <c r="V246" s="176">
        <f t="shared" si="335"/>
        <v>0</v>
      </c>
      <c r="W246" s="176">
        <f>V246/Calculation_sheet!M$67</f>
        <v>0</v>
      </c>
      <c r="X246" s="958">
        <f ca="1">IF(AL246&gt;0,W246*Calculation_sheet!C$87,0)</f>
        <v>0</v>
      </c>
      <c r="Y246" s="176">
        <f t="shared" ca="1" si="336"/>
        <v>0</v>
      </c>
      <c r="Z246" s="176">
        <f>IF(AN246&gt;0,Y246*Calculation_sheet!C$94,0)</f>
        <v>0</v>
      </c>
      <c r="AA246" s="958">
        <f t="shared" ca="1" si="321"/>
        <v>0</v>
      </c>
      <c r="AB246" s="176">
        <f ca="1">AA246*Calculation_sheet!C$99</f>
        <v>0</v>
      </c>
      <c r="AC246" s="958">
        <f t="shared" ca="1" si="321"/>
        <v>0</v>
      </c>
      <c r="AD246" s="176">
        <f t="shared" si="337"/>
        <v>0</v>
      </c>
      <c r="AE246" s="176">
        <f>AD246*User_sheet!B$77/100</f>
        <v>0</v>
      </c>
      <c r="AF246" s="309"/>
      <c r="AG246" s="27">
        <v>403</v>
      </c>
      <c r="AH246" s="985"/>
      <c r="AI246" s="956">
        <f t="shared" ca="1" si="281"/>
        <v>109.68162215404709</v>
      </c>
      <c r="AJ246" s="956">
        <f ca="1">AI246/'403'!I$24</f>
        <v>0.7656301427790243</v>
      </c>
      <c r="AK246" s="956">
        <f ca="1">0.8*(AI246*30+'403'!D$17*0.34*30*1)</f>
        <v>5222.81757169713</v>
      </c>
      <c r="AL246" s="954">
        <f ca="1">IF(AK246&lt;User_sheet!B$50,W246,0)</f>
        <v>0</v>
      </c>
      <c r="AM246" s="954">
        <f ca="1">20-(User_sheet!B$57/(AI246+'403'!D$17*1*0.34))</f>
        <v>-6.1927586254075315</v>
      </c>
      <c r="AN246" s="954"/>
      <c r="AO246" s="985"/>
      <c r="AP246" s="2">
        <v>0</v>
      </c>
      <c r="AQ246" s="1020">
        <v>2.41</v>
      </c>
      <c r="AR246" s="27">
        <v>0</v>
      </c>
      <c r="AS246" s="27">
        <v>2</v>
      </c>
      <c r="AT246" s="2">
        <v>0</v>
      </c>
      <c r="AU246" s="2">
        <v>0</v>
      </c>
      <c r="AV246" s="2">
        <v>74715.401027665983</v>
      </c>
      <c r="AW246" s="2">
        <v>0</v>
      </c>
      <c r="AX246" s="2">
        <v>0</v>
      </c>
      <c r="AY246" s="2">
        <v>0</v>
      </c>
      <c r="AZ246" s="50">
        <v>0.6</v>
      </c>
      <c r="BA246" s="34">
        <v>0</v>
      </c>
      <c r="BB246" s="34">
        <v>1</v>
      </c>
      <c r="BC246" s="40">
        <v>0</v>
      </c>
      <c r="BD246" s="34">
        <v>1</v>
      </c>
      <c r="BE246" s="34">
        <v>0</v>
      </c>
      <c r="BF246" s="40">
        <v>0</v>
      </c>
      <c r="BG246" s="34">
        <v>0</v>
      </c>
      <c r="BH246" s="40">
        <v>1</v>
      </c>
      <c r="BI246" s="34">
        <v>0</v>
      </c>
      <c r="BJ246" s="34">
        <v>0</v>
      </c>
      <c r="BK246" s="40">
        <v>1</v>
      </c>
      <c r="BL246" s="958">
        <v>0.15</v>
      </c>
      <c r="BM246" s="958">
        <v>10</v>
      </c>
      <c r="BN246" s="32">
        <f t="shared" ca="1" si="322"/>
        <v>86.579499999999996</v>
      </c>
      <c r="BO246">
        <f t="shared" ca="1" si="323"/>
        <v>292.3576333333333</v>
      </c>
      <c r="BP246">
        <f t="shared" ca="1" si="324"/>
        <v>0</v>
      </c>
      <c r="BQ246">
        <f t="shared" ca="1" si="325"/>
        <v>40.706666666666663</v>
      </c>
      <c r="BR246">
        <f t="shared" ca="1" si="326"/>
        <v>0</v>
      </c>
      <c r="BS246">
        <f t="shared" ca="1" si="327"/>
        <v>15.99</v>
      </c>
      <c r="BT246">
        <f t="shared" ca="1" si="328"/>
        <v>0</v>
      </c>
      <c r="BU246">
        <v>0</v>
      </c>
      <c r="BV246">
        <f t="shared" ca="1" si="329"/>
        <v>0</v>
      </c>
      <c r="BW246">
        <f t="shared" ca="1" si="330"/>
        <v>69.19712216683908</v>
      </c>
      <c r="BX246">
        <f t="shared" ca="1" si="331"/>
        <v>0</v>
      </c>
      <c r="BY246">
        <f t="shared" ca="1" si="332"/>
        <v>31.979999987208004</v>
      </c>
      <c r="BZ246">
        <f t="shared" ca="1" si="333"/>
        <v>0</v>
      </c>
      <c r="CA246">
        <f t="shared" si="334"/>
        <v>0</v>
      </c>
      <c r="CB246" s="1018">
        <f t="shared" ca="1" si="338"/>
        <v>109.68162215404709</v>
      </c>
      <c r="CC246" s="1018">
        <f t="shared" ca="1" si="339"/>
        <v>23.035414838265758</v>
      </c>
      <c r="CD246">
        <f t="shared" ca="1" si="282"/>
        <v>3.9815111097693854</v>
      </c>
      <c r="CE246">
        <f t="shared" ca="1" si="283"/>
        <v>6629.0567373216354</v>
      </c>
    </row>
    <row r="247" spans="4:83" x14ac:dyDescent="0.25">
      <c r="D247" s="1"/>
      <c r="F247" s="1"/>
      <c r="H247" s="1"/>
      <c r="I247" s="6"/>
      <c r="J247" s="6"/>
      <c r="K247" s="6" t="s">
        <v>59</v>
      </c>
      <c r="L247" s="4"/>
      <c r="M247" s="6"/>
      <c r="N247" s="6"/>
      <c r="O247" s="27" t="s">
        <v>57</v>
      </c>
      <c r="P247" s="4"/>
      <c r="Q247" s="1"/>
      <c r="R247" s="79"/>
      <c r="T247" s="199"/>
      <c r="U247" s="200"/>
      <c r="V247" s="176">
        <f t="shared" si="335"/>
        <v>0</v>
      </c>
      <c r="W247" s="176">
        <f>V247/Calculation_sheet!M$67</f>
        <v>0</v>
      </c>
      <c r="X247" s="958">
        <f ca="1">IF(AL247&gt;0,W247*Calculation_sheet!C$87,0)</f>
        <v>0</v>
      </c>
      <c r="Y247" s="176">
        <f t="shared" ca="1" si="336"/>
        <v>0</v>
      </c>
      <c r="Z247" s="176">
        <f>IF(AN247&gt;0,Y247*Calculation_sheet!C$94,0)</f>
        <v>0</v>
      </c>
      <c r="AA247" s="958">
        <f t="shared" ca="1" si="321"/>
        <v>0</v>
      </c>
      <c r="AB247" s="176">
        <f ca="1">AA247*Calculation_sheet!C$99</f>
        <v>0</v>
      </c>
      <c r="AC247" s="958">
        <f t="shared" ca="1" si="321"/>
        <v>0</v>
      </c>
      <c r="AD247" s="176">
        <f t="shared" si="337"/>
        <v>0</v>
      </c>
      <c r="AE247" s="176">
        <f>AD247*User_sheet!B$77/100</f>
        <v>0</v>
      </c>
      <c r="AF247" s="309"/>
      <c r="AG247" s="27">
        <v>403</v>
      </c>
      <c r="AH247" s="985"/>
      <c r="AI247" s="956">
        <f t="shared" ca="1" si="281"/>
        <v>109.68162215404709</v>
      </c>
      <c r="AJ247" s="956">
        <f ca="1">AI247/'403'!I$24</f>
        <v>0.7656301427790243</v>
      </c>
      <c r="AK247" s="956">
        <f ca="1">0.8*(AI247*30+'403'!D$17*0.34*30*1)</f>
        <v>5222.81757169713</v>
      </c>
      <c r="AL247" s="954">
        <f ca="1">IF(AK247&lt;User_sheet!B$50,W247,0)</f>
        <v>0</v>
      </c>
      <c r="AM247" s="954">
        <f ca="1">20-(User_sheet!B$57/(AI247+'403'!D$17*1*0.34))</f>
        <v>-6.1927586254075315</v>
      </c>
      <c r="AN247" s="954"/>
      <c r="AO247" s="985"/>
      <c r="AP247" s="2">
        <v>0</v>
      </c>
      <c r="AQ247" s="1020">
        <v>2.41</v>
      </c>
      <c r="AR247" s="27">
        <v>0</v>
      </c>
      <c r="AS247" s="27">
        <v>2</v>
      </c>
      <c r="AT247" s="2">
        <v>0</v>
      </c>
      <c r="AU247" s="2">
        <v>0</v>
      </c>
      <c r="AV247" s="2">
        <v>74715.401027665983</v>
      </c>
      <c r="AW247" s="2">
        <v>0</v>
      </c>
      <c r="AX247" s="2">
        <v>0</v>
      </c>
      <c r="AY247" s="2">
        <v>0</v>
      </c>
      <c r="AZ247" s="50">
        <v>0.6</v>
      </c>
      <c r="BA247" s="34">
        <v>0</v>
      </c>
      <c r="BB247" s="34">
        <v>1</v>
      </c>
      <c r="BC247" s="40">
        <v>0</v>
      </c>
      <c r="BD247" s="34">
        <v>0</v>
      </c>
      <c r="BE247" s="34">
        <v>1</v>
      </c>
      <c r="BF247" s="40">
        <v>0</v>
      </c>
      <c r="BG247" s="34">
        <v>1</v>
      </c>
      <c r="BH247" s="40">
        <v>0</v>
      </c>
      <c r="BI247" s="34">
        <v>0</v>
      </c>
      <c r="BJ247" s="34">
        <v>1</v>
      </c>
      <c r="BK247" s="40">
        <v>0</v>
      </c>
      <c r="BL247" s="958">
        <v>0.15</v>
      </c>
      <c r="BM247" s="958">
        <v>10</v>
      </c>
      <c r="BN247" s="32">
        <f t="shared" ca="1" si="322"/>
        <v>86.579499999999996</v>
      </c>
      <c r="BO247">
        <f t="shared" ca="1" si="323"/>
        <v>292.3576333333333</v>
      </c>
      <c r="BP247">
        <f t="shared" ca="1" si="324"/>
        <v>0</v>
      </c>
      <c r="BQ247">
        <f t="shared" ca="1" si="325"/>
        <v>40.706666666666663</v>
      </c>
      <c r="BR247">
        <f t="shared" ca="1" si="326"/>
        <v>0</v>
      </c>
      <c r="BS247">
        <f t="shared" ca="1" si="327"/>
        <v>15.99</v>
      </c>
      <c r="BT247">
        <f t="shared" ca="1" si="328"/>
        <v>0</v>
      </c>
      <c r="BU247">
        <v>0</v>
      </c>
      <c r="BV247">
        <f t="shared" ca="1" si="329"/>
        <v>0</v>
      </c>
      <c r="BW247">
        <f t="shared" ca="1" si="330"/>
        <v>69.19712216683908</v>
      </c>
      <c r="BX247">
        <f t="shared" ca="1" si="331"/>
        <v>0</v>
      </c>
      <c r="BY247">
        <f t="shared" ca="1" si="332"/>
        <v>31.979999987208004</v>
      </c>
      <c r="BZ247">
        <f t="shared" ca="1" si="333"/>
        <v>0</v>
      </c>
      <c r="CA247">
        <f t="shared" si="334"/>
        <v>0</v>
      </c>
      <c r="CB247" s="1018">
        <f t="shared" ca="1" si="338"/>
        <v>109.68162215404709</v>
      </c>
      <c r="CC247" s="1018">
        <f t="shared" ca="1" si="339"/>
        <v>23.035414838265758</v>
      </c>
      <c r="CD247">
        <f t="shared" ca="1" si="282"/>
        <v>3.9815111097693854</v>
      </c>
      <c r="CE247">
        <f t="shared" ca="1" si="283"/>
        <v>6629.0567373216354</v>
      </c>
    </row>
    <row r="248" spans="4:83" x14ac:dyDescent="0.25">
      <c r="D248" s="1"/>
      <c r="F248" s="1"/>
      <c r="H248" s="1"/>
      <c r="I248" s="6"/>
      <c r="J248" s="6"/>
      <c r="K248" s="6"/>
      <c r="L248" s="6"/>
      <c r="M248" s="6"/>
      <c r="N248" s="6"/>
      <c r="O248" s="27" t="s">
        <v>7</v>
      </c>
      <c r="P248" s="4"/>
      <c r="Q248" s="1"/>
      <c r="R248" s="79"/>
      <c r="T248" s="199"/>
      <c r="U248" s="200"/>
      <c r="V248" s="176">
        <f t="shared" si="335"/>
        <v>0</v>
      </c>
      <c r="W248" s="176">
        <f>V248/Calculation_sheet!M$67</f>
        <v>0</v>
      </c>
      <c r="X248" s="958">
        <f ca="1">IF(AL248&gt;0,W248*Calculation_sheet!C$87,0)</f>
        <v>0</v>
      </c>
      <c r="Y248" s="176">
        <f t="shared" ca="1" si="336"/>
        <v>0</v>
      </c>
      <c r="Z248" s="176">
        <f>IF(AN248&gt;0,Y248*Calculation_sheet!C$94,0)</f>
        <v>0</v>
      </c>
      <c r="AA248" s="958">
        <f t="shared" ca="1" si="321"/>
        <v>0</v>
      </c>
      <c r="AB248" s="176">
        <f ca="1">AA248*Calculation_sheet!C$99</f>
        <v>0</v>
      </c>
      <c r="AC248" s="958">
        <f t="shared" ca="1" si="321"/>
        <v>0</v>
      </c>
      <c r="AD248" s="176">
        <f t="shared" si="337"/>
        <v>0</v>
      </c>
      <c r="AE248" s="176">
        <f>AD248*User_sheet!B$77/100</f>
        <v>0</v>
      </c>
      <c r="AF248" s="309"/>
      <c r="AG248" s="27">
        <v>403</v>
      </c>
      <c r="AH248" s="985"/>
      <c r="AI248" s="956">
        <f t="shared" ca="1" si="281"/>
        <v>109.68162215404709</v>
      </c>
      <c r="AJ248" s="956">
        <f ca="1">AI248/'403'!I$24</f>
        <v>0.7656301427790243</v>
      </c>
      <c r="AK248" s="956">
        <f ca="1">0.8*(AI248*30+'403'!D$17*0.34*30*1)</f>
        <v>5222.81757169713</v>
      </c>
      <c r="AL248" s="954">
        <f ca="1">IF(AK248&lt;User_sheet!B$50,W248,0)</f>
        <v>0</v>
      </c>
      <c r="AM248" s="954">
        <f ca="1">20-(User_sheet!B$57/(AI248+'403'!D$17*1*0.34))</f>
        <v>-6.1927586254075315</v>
      </c>
      <c r="AN248" s="954"/>
      <c r="AO248" s="985"/>
      <c r="AP248" s="2">
        <v>0</v>
      </c>
      <c r="AQ248" s="1020">
        <v>2.41</v>
      </c>
      <c r="AR248" s="27">
        <v>0</v>
      </c>
      <c r="AS248" s="27">
        <v>2</v>
      </c>
      <c r="AT248" s="2">
        <v>0</v>
      </c>
      <c r="AU248" s="2">
        <v>0</v>
      </c>
      <c r="AV248" s="2">
        <v>74715.401027665997</v>
      </c>
      <c r="AW248" s="2">
        <v>0</v>
      </c>
      <c r="AX248" s="2">
        <v>0</v>
      </c>
      <c r="AY248" s="2">
        <v>0</v>
      </c>
      <c r="AZ248" s="50">
        <v>0.6</v>
      </c>
      <c r="BA248" s="34">
        <v>0</v>
      </c>
      <c r="BB248" s="34">
        <v>1</v>
      </c>
      <c r="BC248" s="40">
        <v>0</v>
      </c>
      <c r="BD248" s="34">
        <v>0</v>
      </c>
      <c r="BE248" s="34">
        <v>1</v>
      </c>
      <c r="BF248" s="40">
        <v>0</v>
      </c>
      <c r="BG248" s="34">
        <v>1</v>
      </c>
      <c r="BH248" s="40">
        <v>0</v>
      </c>
      <c r="BI248" s="34">
        <v>0</v>
      </c>
      <c r="BJ248" s="34">
        <v>0</v>
      </c>
      <c r="BK248" s="40">
        <v>1</v>
      </c>
      <c r="BL248" s="958">
        <v>0.15</v>
      </c>
      <c r="BM248" s="958">
        <v>10</v>
      </c>
      <c r="BN248" s="32">
        <f t="shared" ca="1" si="322"/>
        <v>86.579499999999996</v>
      </c>
      <c r="BO248">
        <f t="shared" ca="1" si="323"/>
        <v>292.3576333333333</v>
      </c>
      <c r="BP248">
        <f t="shared" ca="1" si="324"/>
        <v>0</v>
      </c>
      <c r="BQ248">
        <f t="shared" ca="1" si="325"/>
        <v>40.706666666666663</v>
      </c>
      <c r="BR248">
        <f t="shared" ca="1" si="326"/>
        <v>0</v>
      </c>
      <c r="BS248">
        <f t="shared" ca="1" si="327"/>
        <v>15.99</v>
      </c>
      <c r="BT248">
        <f t="shared" ca="1" si="328"/>
        <v>0</v>
      </c>
      <c r="BU248">
        <v>0</v>
      </c>
      <c r="BV248">
        <f t="shared" ca="1" si="329"/>
        <v>0</v>
      </c>
      <c r="BW248">
        <f t="shared" ca="1" si="330"/>
        <v>69.19712216683908</v>
      </c>
      <c r="BX248">
        <f t="shared" ca="1" si="331"/>
        <v>0</v>
      </c>
      <c r="BY248">
        <f t="shared" ca="1" si="332"/>
        <v>31.979999987208004</v>
      </c>
      <c r="BZ248">
        <f t="shared" ca="1" si="333"/>
        <v>0</v>
      </c>
      <c r="CA248">
        <f t="shared" si="334"/>
        <v>0</v>
      </c>
      <c r="CB248" s="1018">
        <f t="shared" ca="1" si="338"/>
        <v>109.68162215404709</v>
      </c>
      <c r="CC248" s="1018">
        <f t="shared" ca="1" si="339"/>
        <v>23.035414838265758</v>
      </c>
      <c r="CD248">
        <f t="shared" ca="1" si="282"/>
        <v>3.9815111097693854</v>
      </c>
      <c r="CE248">
        <f t="shared" ca="1" si="283"/>
        <v>6629.0567373216354</v>
      </c>
    </row>
    <row r="249" spans="4:83" x14ac:dyDescent="0.25">
      <c r="D249" s="1"/>
      <c r="F249" s="1"/>
      <c r="H249" s="6"/>
      <c r="I249" s="6" t="s">
        <v>7</v>
      </c>
      <c r="J249" s="4"/>
      <c r="K249" s="6" t="s">
        <v>23</v>
      </c>
      <c r="L249" s="4"/>
      <c r="M249" s="6"/>
      <c r="N249" s="4"/>
      <c r="O249" s="27" t="s">
        <v>7</v>
      </c>
      <c r="P249" s="4"/>
      <c r="Q249" s="1"/>
      <c r="R249" s="79"/>
      <c r="T249" s="199"/>
      <c r="U249" s="200"/>
      <c r="V249" s="176">
        <f t="shared" si="335"/>
        <v>0</v>
      </c>
      <c r="W249" s="176">
        <f>V249/Calculation_sheet!M$67</f>
        <v>0</v>
      </c>
      <c r="X249" s="958">
        <f ca="1">IF(AL249&gt;0,W249*Calculation_sheet!C$87,0)</f>
        <v>0</v>
      </c>
      <c r="Y249" s="176">
        <f t="shared" ca="1" si="336"/>
        <v>0</v>
      </c>
      <c r="Z249" s="176">
        <f>IF(AN249&gt;0,Y249*Calculation_sheet!C$94,0)</f>
        <v>0</v>
      </c>
      <c r="AA249" s="958">
        <f t="shared" ca="1" si="321"/>
        <v>0</v>
      </c>
      <c r="AB249" s="176">
        <f ca="1">AA249*Calculation_sheet!C$99</f>
        <v>0</v>
      </c>
      <c r="AC249" s="958">
        <f t="shared" ca="1" si="321"/>
        <v>0</v>
      </c>
      <c r="AD249" s="176">
        <f t="shared" si="337"/>
        <v>0</v>
      </c>
      <c r="AE249" s="176">
        <f>AD249*User_sheet!B$77/100</f>
        <v>0</v>
      </c>
      <c r="AF249" s="309"/>
      <c r="AG249" s="27">
        <v>403</v>
      </c>
      <c r="AH249" s="985"/>
      <c r="AI249" s="956">
        <f t="shared" ca="1" si="281"/>
        <v>109.68162215404709</v>
      </c>
      <c r="AJ249" s="956">
        <f ca="1">AI249/'403'!I$24</f>
        <v>0.7656301427790243</v>
      </c>
      <c r="AK249" s="956">
        <f ca="1">0.8*(AI249*30+'403'!D$17*0.34*30*1)</f>
        <v>5222.81757169713</v>
      </c>
      <c r="AL249" s="954">
        <f ca="1">IF(AK249&lt;User_sheet!B$50,W249,0)</f>
        <v>0</v>
      </c>
      <c r="AM249" s="954">
        <f ca="1">20-(User_sheet!B$57/(AI249+'403'!D$17*1*0.34))</f>
        <v>-6.1927586254075315</v>
      </c>
      <c r="AN249" s="954"/>
      <c r="AO249" s="985"/>
      <c r="AP249" s="2">
        <v>0</v>
      </c>
      <c r="AQ249" s="1020">
        <v>2.41</v>
      </c>
      <c r="AR249" s="27">
        <v>0</v>
      </c>
      <c r="AS249" s="27">
        <v>2</v>
      </c>
      <c r="AT249" s="2">
        <v>0</v>
      </c>
      <c r="AU249" s="2">
        <v>0</v>
      </c>
      <c r="AV249" s="2">
        <v>74715.401027665997</v>
      </c>
      <c r="AW249" s="2">
        <v>0</v>
      </c>
      <c r="AX249" s="2">
        <v>0</v>
      </c>
      <c r="AY249" s="2">
        <v>0</v>
      </c>
      <c r="AZ249" s="50">
        <v>0.6</v>
      </c>
      <c r="BA249" s="34">
        <v>0</v>
      </c>
      <c r="BB249" s="34">
        <v>0</v>
      </c>
      <c r="BC249" s="40">
        <v>1</v>
      </c>
      <c r="BD249" s="34">
        <v>0</v>
      </c>
      <c r="BE249" s="34">
        <v>0</v>
      </c>
      <c r="BF249" s="40">
        <v>1</v>
      </c>
      <c r="BG249" s="34">
        <v>1</v>
      </c>
      <c r="BH249" s="40">
        <v>0</v>
      </c>
      <c r="BI249" s="34">
        <v>0</v>
      </c>
      <c r="BJ249" s="34">
        <v>0</v>
      </c>
      <c r="BK249" s="40">
        <v>1</v>
      </c>
      <c r="BL249" s="958">
        <v>0.15</v>
      </c>
      <c r="BM249" s="958">
        <v>10</v>
      </c>
      <c r="BN249" s="32">
        <f t="shared" ca="1" si="322"/>
        <v>86.579499999999996</v>
      </c>
      <c r="BO249">
        <f t="shared" ca="1" si="323"/>
        <v>292.3576333333333</v>
      </c>
      <c r="BP249">
        <f t="shared" ca="1" si="324"/>
        <v>0</v>
      </c>
      <c r="BQ249">
        <f t="shared" ca="1" si="325"/>
        <v>40.706666666666663</v>
      </c>
      <c r="BR249">
        <f t="shared" ca="1" si="326"/>
        <v>0</v>
      </c>
      <c r="BS249">
        <f t="shared" ca="1" si="327"/>
        <v>15.99</v>
      </c>
      <c r="BT249">
        <f t="shared" ca="1" si="328"/>
        <v>0</v>
      </c>
      <c r="BU249">
        <v>0</v>
      </c>
      <c r="BV249">
        <f t="shared" ca="1" si="329"/>
        <v>0</v>
      </c>
      <c r="BW249">
        <f t="shared" ca="1" si="330"/>
        <v>69.19712216683908</v>
      </c>
      <c r="BX249">
        <f t="shared" ca="1" si="331"/>
        <v>0</v>
      </c>
      <c r="BY249">
        <f t="shared" ca="1" si="332"/>
        <v>31.979999987208004</v>
      </c>
      <c r="BZ249">
        <f t="shared" ca="1" si="333"/>
        <v>0</v>
      </c>
      <c r="CA249">
        <f t="shared" si="334"/>
        <v>0</v>
      </c>
      <c r="CB249" s="1018">
        <f t="shared" ca="1" si="338"/>
        <v>109.68162215404709</v>
      </c>
      <c r="CC249" s="1018">
        <f t="shared" ca="1" si="339"/>
        <v>23.035414838265758</v>
      </c>
      <c r="CD249">
        <f t="shared" ca="1" si="282"/>
        <v>3.9815111097693854</v>
      </c>
      <c r="CE249">
        <f t="shared" ca="1" si="283"/>
        <v>6629.0567373216354</v>
      </c>
    </row>
    <row r="250" spans="4:83" s="14" customFormat="1" x14ac:dyDescent="0.25">
      <c r="D250" s="15"/>
      <c r="F250" s="15"/>
      <c r="H250" s="15"/>
      <c r="I250" s="15"/>
      <c r="J250" s="15"/>
      <c r="K250" s="15"/>
      <c r="L250" s="15"/>
      <c r="M250" s="15"/>
      <c r="N250" s="15"/>
      <c r="O250" s="28"/>
      <c r="P250" s="15"/>
      <c r="Q250" s="15"/>
      <c r="R250" s="80"/>
      <c r="S250" s="273"/>
      <c r="T250" s="277"/>
      <c r="U250" s="292"/>
      <c r="V250" s="292"/>
      <c r="W250" s="292"/>
      <c r="X250" s="277"/>
      <c r="Y250" s="292"/>
      <c r="Z250" s="292"/>
      <c r="AA250" s="277"/>
      <c r="AB250" s="292"/>
      <c r="AC250" s="277"/>
      <c r="AD250" s="292"/>
      <c r="AE250" s="292"/>
      <c r="AF250" s="309"/>
      <c r="AG250" s="28"/>
      <c r="AH250" s="985"/>
      <c r="AI250" s="956">
        <f t="shared" si="281"/>
        <v>0</v>
      </c>
      <c r="AJ250" s="941"/>
      <c r="AK250" s="941"/>
      <c r="AL250" s="941"/>
      <c r="AM250" s="941"/>
      <c r="AN250" s="941"/>
      <c r="AO250" s="985"/>
      <c r="AP250" s="28"/>
      <c r="AQ250" s="28"/>
      <c r="AR250" s="28"/>
      <c r="AS250" s="28"/>
      <c r="AT250" s="28"/>
      <c r="AU250" s="28"/>
      <c r="AV250" s="28"/>
      <c r="AW250" s="28"/>
      <c r="AX250" s="28"/>
      <c r="AY250" s="28"/>
      <c r="AZ250" s="49"/>
      <c r="BA250" s="277"/>
      <c r="BB250" s="277"/>
      <c r="BC250" s="49"/>
      <c r="BD250" s="277"/>
      <c r="BE250" s="277"/>
      <c r="BF250" s="49"/>
      <c r="BG250" s="277"/>
      <c r="BH250" s="49"/>
      <c r="BI250" s="277"/>
      <c r="BJ250" s="277"/>
      <c r="BK250" s="49"/>
      <c r="BL250" s="277"/>
      <c r="BM250" s="277"/>
      <c r="BN250" s="36"/>
    </row>
    <row r="251" spans="4:83" s="3" customFormat="1" x14ac:dyDescent="0.25">
      <c r="D251" s="6"/>
      <c r="F251" s="6"/>
      <c r="G251" s="6"/>
      <c r="H251" s="8"/>
      <c r="I251" s="6"/>
      <c r="J251" s="6"/>
      <c r="K251" s="6"/>
      <c r="L251" s="6"/>
      <c r="M251" s="6" t="s">
        <v>60</v>
      </c>
      <c r="N251" s="4"/>
      <c r="O251" s="2" t="s">
        <v>16</v>
      </c>
      <c r="P251" s="4"/>
      <c r="Q251" s="6"/>
      <c r="R251" s="79"/>
      <c r="S251" s="274"/>
      <c r="T251" s="199"/>
      <c r="U251" s="200">
        <f t="shared" ref="U251:U263" si="340">T223-U223+T195-U195</f>
        <v>0</v>
      </c>
      <c r="V251" s="200">
        <f>U251</f>
        <v>0</v>
      </c>
      <c r="W251" s="176">
        <f>V251/Calculation_sheet!M$67</f>
        <v>0</v>
      </c>
      <c r="X251" s="958">
        <f ca="1">IF(AL251&gt;0,W251*Calculation_sheet!C$87,0)</f>
        <v>0</v>
      </c>
      <c r="Y251" s="176">
        <f ca="1">W251-X251</f>
        <v>0</v>
      </c>
      <c r="Z251" s="176">
        <f>IF(AN251&gt;0,Y251*Calculation_sheet!C$94,0)</f>
        <v>0</v>
      </c>
      <c r="AA251" s="958">
        <f t="shared" ref="AA251:AC263" ca="1" si="341">Y251-Z251</f>
        <v>0</v>
      </c>
      <c r="AB251" s="176">
        <f ca="1">AA251*Calculation_sheet!C$99</f>
        <v>0</v>
      </c>
      <c r="AC251" s="958">
        <f t="shared" ca="1" si="341"/>
        <v>0</v>
      </c>
      <c r="AD251" s="176">
        <f>W251-Z251</f>
        <v>0</v>
      </c>
      <c r="AE251" s="176">
        <f>AD251*User_sheet!B$77/100</f>
        <v>0</v>
      </c>
      <c r="AF251" s="309"/>
      <c r="AG251" s="27">
        <v>403</v>
      </c>
      <c r="AH251" s="985"/>
      <c r="AI251" s="956">
        <f t="shared" ca="1" si="281"/>
        <v>50.537604834790415</v>
      </c>
      <c r="AJ251" s="956">
        <f ca="1">AI251/'403'!I$24</f>
        <v>0.35277663518712626</v>
      </c>
      <c r="AK251" s="956">
        <f ca="1">0.8*(AI251*30+'403'!D$17*0.34*30*1)</f>
        <v>3803.3611560349696</v>
      </c>
      <c r="AL251" s="954">
        <f ca="1">IF(AK251&lt;User_sheet!B$50,W251,0)</f>
        <v>0</v>
      </c>
      <c r="AM251" s="954">
        <f ca="1">20-(User_sheet!B$57/(AI251+'403'!D$17*1*0.34))</f>
        <v>-15.968185609439978</v>
      </c>
      <c r="AN251" s="954"/>
      <c r="AO251" s="985"/>
      <c r="AP251" s="2">
        <v>0</v>
      </c>
      <c r="AQ251" s="27">
        <v>0.43</v>
      </c>
      <c r="AR251" s="27">
        <v>0</v>
      </c>
      <c r="AS251" s="27">
        <v>2</v>
      </c>
      <c r="AT251" s="2">
        <v>0</v>
      </c>
      <c r="AU251" s="2">
        <v>0</v>
      </c>
      <c r="AV251" s="2">
        <v>74834</v>
      </c>
      <c r="AW251" s="2">
        <v>0</v>
      </c>
      <c r="AX251" s="2">
        <v>0</v>
      </c>
      <c r="AY251" s="2">
        <v>0</v>
      </c>
      <c r="AZ251" s="50">
        <v>0.6</v>
      </c>
      <c r="BA251" s="34">
        <v>1</v>
      </c>
      <c r="BB251" s="34">
        <v>0</v>
      </c>
      <c r="BC251" s="40">
        <v>0</v>
      </c>
      <c r="BD251" s="34">
        <v>1</v>
      </c>
      <c r="BE251" s="34">
        <v>0</v>
      </c>
      <c r="BF251" s="40">
        <v>0</v>
      </c>
      <c r="BG251" s="34">
        <v>1</v>
      </c>
      <c r="BH251" s="40">
        <v>0</v>
      </c>
      <c r="BI251" s="34">
        <v>1</v>
      </c>
      <c r="BJ251" s="34">
        <v>0</v>
      </c>
      <c r="BK251" s="40">
        <v>0</v>
      </c>
      <c r="BL251" s="199">
        <v>0.04</v>
      </c>
      <c r="BM251" s="958">
        <v>2.5</v>
      </c>
      <c r="BN251" s="37">
        <f t="shared" ref="BN251:BN263" ca="1" si="342">INDIRECT("'"&amp;AG251&amp;"'!"&amp;"B2")</f>
        <v>86.579499999999996</v>
      </c>
      <c r="BO251" s="3">
        <f t="shared" ref="BO251:BO263" ca="1" si="343">INDIRECT("'"&amp;AG251&amp;"'!"&amp;"C12")+INDIRECT("'"&amp;AG251&amp;"'!"&amp;"C13")+INDIRECT("'"&amp;AG251&amp;"'!"&amp;"C14")+INDIRECT("'"&amp;AG251&amp;"'!"&amp;"C15")+INDIRECT("'"&amp;AG251&amp;"'!"&amp;"C17")</f>
        <v>292.3576333333333</v>
      </c>
      <c r="BP251" s="3">
        <f t="shared" ref="BP251:BP263" ca="1" si="344">INDIRECT("'"&amp;AG251&amp;"'!"&amp;"G5")</f>
        <v>0</v>
      </c>
      <c r="BQ251" s="3">
        <f t="shared" ref="BQ251:BQ263" ca="1" si="345">INDIRECT("'"&amp;AG251&amp;"'!"&amp;"G4")</f>
        <v>40.706666666666663</v>
      </c>
      <c r="BR251" s="3">
        <f t="shared" ref="BR251:BR263" ca="1" si="346">INDIRECT("'"&amp;AG251&amp;"'!"&amp;"G6")</f>
        <v>0</v>
      </c>
      <c r="BS251" s="3">
        <f t="shared" ref="BS251:BS263" ca="1" si="347">INDIRECT("'"&amp;AG251&amp;"'!"&amp;"G2")</f>
        <v>15.99</v>
      </c>
      <c r="BT251" s="3">
        <f t="shared" ref="BT251:BT263" ca="1" si="348">INDIRECT("'"&amp;AG251&amp;"'!"&amp;"G3")</f>
        <v>0</v>
      </c>
      <c r="BU251" s="3">
        <v>0</v>
      </c>
      <c r="BV251" s="3">
        <f t="shared" ref="BV251:BV263" ca="1" si="349">IF(OR(BP251=0,AP251=0),0,1/(1/(BP251*$BW$3)+1/(BP251*AP251)+1/(BP251*$BW$4)))</f>
        <v>0</v>
      </c>
      <c r="BW251" s="3">
        <f t="shared" ref="BW251:BW263" ca="1" si="350">IF(OR(BQ251=0,AQ251=0),0,1/(1/(BQ251*$BW$3)+1/(BQ251*AQ251)+1/(BQ251*$BW$4)))</f>
        <v>16.289738180915744</v>
      </c>
      <c r="BX251" s="3">
        <f t="shared" ref="BX251:BX263" ca="1" si="351">IF(OR(BR251=0,AR251=0),0,1/(1/(BR251*$BW$3)+1/(BR251*AR251)+1/(BR251*$BW$4)))</f>
        <v>0</v>
      </c>
      <c r="BY251" s="3">
        <f t="shared" ref="BY251:BY263" ca="1" si="352">IF(OR(BS251=0,AS251=0),0,1/(1/(BS251*$BW$5)+1/(BS251*AS251)+1/(BS251*$BW$6)))</f>
        <v>31.979999987208004</v>
      </c>
      <c r="BZ251" s="3">
        <f t="shared" ref="BZ251:BZ263" ca="1" si="353">IF(OR(BT251=0,AT251=0),0,1/(1/(BT251*$BW$3)+1/(BT251*AT251)+1/(BT251*$BW$4)))</f>
        <v>0</v>
      </c>
      <c r="CA251" s="3">
        <f t="shared" ref="CA251:CA263" si="354">IF(OR(BU251=0,AU251=0),0,1/(1/(BU251*$BW$3)+1/(BU251*AU251)+1/(BU251*$BW$4)))</f>
        <v>0</v>
      </c>
      <c r="CB251" s="1018">
        <f ca="1">SUM(BV251:CA251)+(BP251+BQ251+BR251+BS251+BT251)*BL251</f>
        <v>50.537604834790415</v>
      </c>
      <c r="CC251" s="1018">
        <f ca="1">0.34*BM251*(1/25)^0.66*(BQ251+BS251+BT251)+0.34*0.6*BO251</f>
        <v>65.39981090956644</v>
      </c>
      <c r="CD251" s="3">
        <f t="shared" ca="1" si="282"/>
        <v>3.4781224723307056</v>
      </c>
      <c r="CE251" s="3">
        <f t="shared" ca="1" si="283"/>
        <v>5790.9347915317312</v>
      </c>
    </row>
    <row r="252" spans="4:83" s="3" customFormat="1" x14ac:dyDescent="0.25">
      <c r="D252" s="6"/>
      <c r="F252" s="6"/>
      <c r="G252" s="6"/>
      <c r="H252" s="8"/>
      <c r="I252" s="6"/>
      <c r="J252" s="6"/>
      <c r="K252" s="6"/>
      <c r="L252" s="6"/>
      <c r="M252" s="6"/>
      <c r="N252" s="6"/>
      <c r="O252" s="2" t="s">
        <v>7</v>
      </c>
      <c r="P252" s="4"/>
      <c r="Q252" s="6"/>
      <c r="R252" s="79"/>
      <c r="S252" s="274"/>
      <c r="T252" s="199"/>
      <c r="U252" s="200">
        <f t="shared" si="340"/>
        <v>0</v>
      </c>
      <c r="V252" s="200">
        <f t="shared" ref="V252:V263" si="355">U252</f>
        <v>0</v>
      </c>
      <c r="W252" s="176">
        <f>V252/Calculation_sheet!M$67</f>
        <v>0</v>
      </c>
      <c r="X252" s="958">
        <f ca="1">IF(AL252&gt;0,W252*Calculation_sheet!C$87,0)</f>
        <v>0</v>
      </c>
      <c r="Y252" s="176">
        <f t="shared" ref="Y252:Y263" ca="1" si="356">W252-X252</f>
        <v>0</v>
      </c>
      <c r="Z252" s="176">
        <f>IF(AN252&gt;0,Y252*Calculation_sheet!C$94,0)</f>
        <v>0</v>
      </c>
      <c r="AA252" s="958">
        <f t="shared" ca="1" si="341"/>
        <v>0</v>
      </c>
      <c r="AB252" s="176">
        <f ca="1">AA252*Calculation_sheet!C$99</f>
        <v>0</v>
      </c>
      <c r="AC252" s="958">
        <f t="shared" ca="1" si="341"/>
        <v>0</v>
      </c>
      <c r="AD252" s="176">
        <f t="shared" ref="AD252:AD263" si="357">W252-Z252</f>
        <v>0</v>
      </c>
      <c r="AE252" s="176">
        <f>AD252*User_sheet!B$77/100</f>
        <v>0</v>
      </c>
      <c r="AF252" s="309"/>
      <c r="AG252" s="27">
        <v>403</v>
      </c>
      <c r="AH252" s="985"/>
      <c r="AI252" s="956">
        <f t="shared" ca="1" si="281"/>
        <v>50.537604834790415</v>
      </c>
      <c r="AJ252" s="956">
        <f ca="1">AI252/'403'!I$24</f>
        <v>0.35277663518712626</v>
      </c>
      <c r="AK252" s="956">
        <f ca="1">0.8*(AI252*30+'403'!D$17*0.34*30*1)</f>
        <v>3803.3611560349696</v>
      </c>
      <c r="AL252" s="954">
        <f ca="1">IF(AK252&lt;User_sheet!B$50,W252,0)</f>
        <v>0</v>
      </c>
      <c r="AM252" s="954">
        <f ca="1">20-(User_sheet!B$57/(AI252+'403'!D$17*1*0.34))</f>
        <v>-15.968185609439978</v>
      </c>
      <c r="AN252" s="954"/>
      <c r="AO252" s="985"/>
      <c r="AP252" s="2">
        <v>0</v>
      </c>
      <c r="AQ252" s="27">
        <v>0.43</v>
      </c>
      <c r="AR252" s="27">
        <v>0</v>
      </c>
      <c r="AS252" s="27">
        <v>2</v>
      </c>
      <c r="AT252" s="2">
        <v>0</v>
      </c>
      <c r="AU252" s="2">
        <v>0</v>
      </c>
      <c r="AV252" s="2">
        <v>74834</v>
      </c>
      <c r="AW252" s="2">
        <v>0</v>
      </c>
      <c r="AX252" s="2">
        <v>0</v>
      </c>
      <c r="AY252" s="2">
        <v>0</v>
      </c>
      <c r="AZ252" s="50">
        <v>0.6</v>
      </c>
      <c r="BA252" s="34">
        <v>1</v>
      </c>
      <c r="BB252" s="34">
        <v>0</v>
      </c>
      <c r="BC252" s="40">
        <v>0</v>
      </c>
      <c r="BD252" s="34">
        <v>1</v>
      </c>
      <c r="BE252" s="34">
        <v>0</v>
      </c>
      <c r="BF252" s="40">
        <v>0</v>
      </c>
      <c r="BG252" s="34">
        <v>1</v>
      </c>
      <c r="BH252" s="40">
        <v>0</v>
      </c>
      <c r="BI252" s="34">
        <v>0</v>
      </c>
      <c r="BJ252" s="34">
        <v>0</v>
      </c>
      <c r="BK252" s="40">
        <v>1</v>
      </c>
      <c r="BL252" s="199">
        <v>0.04</v>
      </c>
      <c r="BM252" s="958">
        <v>2.5</v>
      </c>
      <c r="BN252" s="37">
        <f t="shared" ca="1" si="342"/>
        <v>86.579499999999996</v>
      </c>
      <c r="BO252" s="3">
        <f t="shared" ca="1" si="343"/>
        <v>292.3576333333333</v>
      </c>
      <c r="BP252" s="3">
        <f t="shared" ca="1" si="344"/>
        <v>0</v>
      </c>
      <c r="BQ252" s="3">
        <f t="shared" ca="1" si="345"/>
        <v>40.706666666666663</v>
      </c>
      <c r="BR252" s="3">
        <f t="shared" ca="1" si="346"/>
        <v>0</v>
      </c>
      <c r="BS252" s="3">
        <f t="shared" ca="1" si="347"/>
        <v>15.99</v>
      </c>
      <c r="BT252" s="3">
        <f t="shared" ca="1" si="348"/>
        <v>0</v>
      </c>
      <c r="BU252" s="3">
        <v>0</v>
      </c>
      <c r="BV252" s="3">
        <f t="shared" ca="1" si="349"/>
        <v>0</v>
      </c>
      <c r="BW252" s="3">
        <f t="shared" ca="1" si="350"/>
        <v>16.289738180915744</v>
      </c>
      <c r="BX252" s="3">
        <f t="shared" ca="1" si="351"/>
        <v>0</v>
      </c>
      <c r="BY252" s="3">
        <f t="shared" ca="1" si="352"/>
        <v>31.979999987208004</v>
      </c>
      <c r="BZ252" s="3">
        <f t="shared" ca="1" si="353"/>
        <v>0</v>
      </c>
      <c r="CA252" s="3">
        <f t="shared" si="354"/>
        <v>0</v>
      </c>
      <c r="CB252" s="1018">
        <f t="shared" ref="CB252:CB263" ca="1" si="358">SUM(BV252:CA252)+(BP252+BQ252+BR252+BS252+BT252)*BL252</f>
        <v>50.537604834790415</v>
      </c>
      <c r="CC252" s="1018">
        <f t="shared" ref="CC252:CC263" ca="1" si="359">0.34*BM252*(1/25)^0.66*(BQ252+BS252+BT252)+0.34*0.6*BO252</f>
        <v>65.39981090956644</v>
      </c>
      <c r="CD252" s="3">
        <f t="shared" ca="1" si="282"/>
        <v>3.4781224723307056</v>
      </c>
      <c r="CE252" s="3">
        <f t="shared" ca="1" si="283"/>
        <v>5790.9347915317312</v>
      </c>
    </row>
    <row r="253" spans="4:83" s="3" customFormat="1" x14ac:dyDescent="0.25">
      <c r="D253" s="6"/>
      <c r="F253" s="6"/>
      <c r="G253" s="6"/>
      <c r="H253" s="8"/>
      <c r="I253" s="6"/>
      <c r="J253" s="6"/>
      <c r="K253" s="6" t="s">
        <v>58</v>
      </c>
      <c r="L253" s="4"/>
      <c r="M253" s="6" t="s">
        <v>61</v>
      </c>
      <c r="N253" s="4"/>
      <c r="O253" s="2" t="s">
        <v>16</v>
      </c>
      <c r="P253" s="4"/>
      <c r="Q253" s="6"/>
      <c r="R253" s="79"/>
      <c r="S253" s="274"/>
      <c r="T253" s="199"/>
      <c r="U253" s="200">
        <f t="shared" si="340"/>
        <v>0</v>
      </c>
      <c r="V253" s="200">
        <f t="shared" si="355"/>
        <v>0</v>
      </c>
      <c r="W253" s="176">
        <f>V253/Calculation_sheet!M$67</f>
        <v>0</v>
      </c>
      <c r="X253" s="958">
        <f ca="1">IF(AL253&gt;0,W253*Calculation_sheet!C$87,0)</f>
        <v>0</v>
      </c>
      <c r="Y253" s="176">
        <f t="shared" ca="1" si="356"/>
        <v>0</v>
      </c>
      <c r="Z253" s="176">
        <f>IF(AN253&gt;0,Y253*Calculation_sheet!C$94,0)</f>
        <v>0</v>
      </c>
      <c r="AA253" s="958">
        <f t="shared" ca="1" si="341"/>
        <v>0</v>
      </c>
      <c r="AB253" s="176">
        <f ca="1">AA253*Calculation_sheet!C$99</f>
        <v>0</v>
      </c>
      <c r="AC253" s="958">
        <f t="shared" ca="1" si="341"/>
        <v>0</v>
      </c>
      <c r="AD253" s="176">
        <f t="shared" si="357"/>
        <v>0</v>
      </c>
      <c r="AE253" s="176">
        <f>AD253*User_sheet!B$77/100</f>
        <v>0</v>
      </c>
      <c r="AF253" s="309"/>
      <c r="AG253" s="27">
        <v>403</v>
      </c>
      <c r="AH253" s="985"/>
      <c r="AI253" s="956">
        <f t="shared" ca="1" si="281"/>
        <v>50.537604834790415</v>
      </c>
      <c r="AJ253" s="956">
        <f ca="1">AI253/'403'!I$24</f>
        <v>0.35277663518712626</v>
      </c>
      <c r="AK253" s="956">
        <f ca="1">0.8*(AI253*30+'403'!D$17*0.34*30*1)</f>
        <v>3803.3611560349696</v>
      </c>
      <c r="AL253" s="954">
        <f ca="1">IF(AK253&lt;User_sheet!B$50,W253,0)</f>
        <v>0</v>
      </c>
      <c r="AM253" s="954">
        <f ca="1">20-(User_sheet!B$57/(AI253+'403'!D$17*1*0.34))</f>
        <v>-15.968185609439978</v>
      </c>
      <c r="AN253" s="954"/>
      <c r="AO253" s="985"/>
      <c r="AP253" s="2">
        <v>0</v>
      </c>
      <c r="AQ253" s="27">
        <v>0.43</v>
      </c>
      <c r="AR253" s="27">
        <v>0</v>
      </c>
      <c r="AS253" s="27">
        <v>2</v>
      </c>
      <c r="AT253" s="2">
        <v>0</v>
      </c>
      <c r="AU253" s="2">
        <v>0</v>
      </c>
      <c r="AV253" s="2">
        <v>74834</v>
      </c>
      <c r="AW253" s="2">
        <v>0</v>
      </c>
      <c r="AX253" s="2">
        <v>0</v>
      </c>
      <c r="AY253" s="2">
        <v>0</v>
      </c>
      <c r="AZ253" s="50">
        <v>0.6</v>
      </c>
      <c r="BA253" s="34">
        <v>1</v>
      </c>
      <c r="BB253" s="34">
        <v>0</v>
      </c>
      <c r="BC253" s="40">
        <v>0</v>
      </c>
      <c r="BD253" s="34">
        <v>1</v>
      </c>
      <c r="BE253" s="34">
        <v>0</v>
      </c>
      <c r="BF253" s="40">
        <v>0</v>
      </c>
      <c r="BG253" s="34">
        <v>0</v>
      </c>
      <c r="BH253" s="40">
        <v>1</v>
      </c>
      <c r="BI253" s="34">
        <v>1</v>
      </c>
      <c r="BJ253" s="34">
        <v>0</v>
      </c>
      <c r="BK253" s="40">
        <v>0</v>
      </c>
      <c r="BL253" s="199">
        <v>0.04</v>
      </c>
      <c r="BM253" s="958">
        <v>2.5</v>
      </c>
      <c r="BN253" s="37">
        <f t="shared" ca="1" si="342"/>
        <v>86.579499999999996</v>
      </c>
      <c r="BO253" s="3">
        <f t="shared" ca="1" si="343"/>
        <v>292.3576333333333</v>
      </c>
      <c r="BP253" s="3">
        <f t="shared" ca="1" si="344"/>
        <v>0</v>
      </c>
      <c r="BQ253" s="3">
        <f t="shared" ca="1" si="345"/>
        <v>40.706666666666663</v>
      </c>
      <c r="BR253" s="3">
        <f t="shared" ca="1" si="346"/>
        <v>0</v>
      </c>
      <c r="BS253" s="3">
        <f t="shared" ca="1" si="347"/>
        <v>15.99</v>
      </c>
      <c r="BT253" s="3">
        <f t="shared" ca="1" si="348"/>
        <v>0</v>
      </c>
      <c r="BU253" s="3">
        <v>0</v>
      </c>
      <c r="BV253" s="3">
        <f t="shared" ca="1" si="349"/>
        <v>0</v>
      </c>
      <c r="BW253" s="3">
        <f t="shared" ca="1" si="350"/>
        <v>16.289738180915744</v>
      </c>
      <c r="BX253" s="3">
        <f t="shared" ca="1" si="351"/>
        <v>0</v>
      </c>
      <c r="BY253" s="3">
        <f t="shared" ca="1" si="352"/>
        <v>31.979999987208004</v>
      </c>
      <c r="BZ253" s="3">
        <f t="shared" ca="1" si="353"/>
        <v>0</v>
      </c>
      <c r="CA253" s="3">
        <f t="shared" si="354"/>
        <v>0</v>
      </c>
      <c r="CB253" s="1018">
        <f t="shared" ca="1" si="358"/>
        <v>50.537604834790415</v>
      </c>
      <c r="CC253" s="1018">
        <f t="shared" ca="1" si="359"/>
        <v>65.39981090956644</v>
      </c>
      <c r="CD253" s="3">
        <f t="shared" ca="1" si="282"/>
        <v>3.4781224723307056</v>
      </c>
      <c r="CE253" s="3">
        <f t="shared" ca="1" si="283"/>
        <v>5790.9347915317312</v>
      </c>
    </row>
    <row r="254" spans="4:83" s="3" customFormat="1" x14ac:dyDescent="0.25">
      <c r="D254" s="6"/>
      <c r="F254" s="1"/>
      <c r="G254"/>
      <c r="H254" s="8"/>
      <c r="I254" s="6" t="s">
        <v>16</v>
      </c>
      <c r="J254" s="4"/>
      <c r="K254" s="6"/>
      <c r="L254" s="6"/>
      <c r="M254" s="6"/>
      <c r="N254" s="6"/>
      <c r="O254" s="2" t="s">
        <v>7</v>
      </c>
      <c r="P254" s="4"/>
      <c r="Q254" s="6"/>
      <c r="R254" s="79"/>
      <c r="S254" s="274"/>
      <c r="T254" s="199"/>
      <c r="U254" s="200">
        <f t="shared" si="340"/>
        <v>0</v>
      </c>
      <c r="V254" s="200">
        <f t="shared" si="355"/>
        <v>0</v>
      </c>
      <c r="W254" s="176">
        <f>V254/Calculation_sheet!M$67</f>
        <v>0</v>
      </c>
      <c r="X254" s="958">
        <f ca="1">IF(AL254&gt;0,W254*Calculation_sheet!C$87,0)</f>
        <v>0</v>
      </c>
      <c r="Y254" s="176">
        <f t="shared" ca="1" si="356"/>
        <v>0</v>
      </c>
      <c r="Z254" s="176">
        <f>IF(AN254&gt;0,Y254*Calculation_sheet!C$94,0)</f>
        <v>0</v>
      </c>
      <c r="AA254" s="958">
        <f t="shared" ca="1" si="341"/>
        <v>0</v>
      </c>
      <c r="AB254" s="176">
        <f ca="1">AA254*Calculation_sheet!C$99</f>
        <v>0</v>
      </c>
      <c r="AC254" s="958">
        <f t="shared" ca="1" si="341"/>
        <v>0</v>
      </c>
      <c r="AD254" s="176">
        <f t="shared" si="357"/>
        <v>0</v>
      </c>
      <c r="AE254" s="176">
        <f>AD254*User_sheet!B$77/100</f>
        <v>0</v>
      </c>
      <c r="AF254" s="309"/>
      <c r="AG254" s="27">
        <v>403</v>
      </c>
      <c r="AH254" s="985"/>
      <c r="AI254" s="956">
        <f t="shared" ca="1" si="281"/>
        <v>50.537604834790415</v>
      </c>
      <c r="AJ254" s="956">
        <f ca="1">AI254/'403'!I$24</f>
        <v>0.35277663518712626</v>
      </c>
      <c r="AK254" s="956">
        <f ca="1">0.8*(AI254*30+'403'!D$17*0.34*30*1)</f>
        <v>3803.3611560349696</v>
      </c>
      <c r="AL254" s="954">
        <f ca="1">IF(AK254&lt;User_sheet!B$50,W254,0)</f>
        <v>0</v>
      </c>
      <c r="AM254" s="954">
        <f ca="1">20-(User_sheet!B$57/(AI254+'403'!D$17*1*0.34))</f>
        <v>-15.968185609439978</v>
      </c>
      <c r="AN254" s="954"/>
      <c r="AO254" s="985"/>
      <c r="AP254" s="2">
        <v>0</v>
      </c>
      <c r="AQ254" s="27">
        <v>0.43</v>
      </c>
      <c r="AR254" s="27">
        <v>0</v>
      </c>
      <c r="AS254" s="27">
        <v>2</v>
      </c>
      <c r="AT254" s="2">
        <v>0</v>
      </c>
      <c r="AU254" s="2">
        <v>0</v>
      </c>
      <c r="AV254" s="2">
        <v>74834</v>
      </c>
      <c r="AW254" s="2">
        <v>0</v>
      </c>
      <c r="AX254" s="2">
        <v>0</v>
      </c>
      <c r="AY254" s="2">
        <v>0</v>
      </c>
      <c r="AZ254" s="50">
        <v>0.6</v>
      </c>
      <c r="BA254" s="34">
        <v>1</v>
      </c>
      <c r="BB254" s="34">
        <v>0</v>
      </c>
      <c r="BC254" s="40">
        <v>0</v>
      </c>
      <c r="BD254" s="34">
        <v>1</v>
      </c>
      <c r="BE254" s="34">
        <v>0</v>
      </c>
      <c r="BF254" s="40">
        <v>0</v>
      </c>
      <c r="BG254" s="34">
        <v>0</v>
      </c>
      <c r="BH254" s="40">
        <v>1</v>
      </c>
      <c r="BI254" s="34">
        <v>0</v>
      </c>
      <c r="BJ254" s="34">
        <v>0</v>
      </c>
      <c r="BK254" s="40">
        <v>1</v>
      </c>
      <c r="BL254" s="199">
        <v>0.04</v>
      </c>
      <c r="BM254" s="958">
        <v>2.5</v>
      </c>
      <c r="BN254" s="37">
        <f t="shared" ca="1" si="342"/>
        <v>86.579499999999996</v>
      </c>
      <c r="BO254" s="3">
        <f t="shared" ca="1" si="343"/>
        <v>292.3576333333333</v>
      </c>
      <c r="BP254" s="3">
        <f t="shared" ca="1" si="344"/>
        <v>0</v>
      </c>
      <c r="BQ254" s="3">
        <f t="shared" ca="1" si="345"/>
        <v>40.706666666666663</v>
      </c>
      <c r="BR254" s="3">
        <f t="shared" ca="1" si="346"/>
        <v>0</v>
      </c>
      <c r="BS254" s="3">
        <f t="shared" ca="1" si="347"/>
        <v>15.99</v>
      </c>
      <c r="BT254" s="3">
        <f t="shared" ca="1" si="348"/>
        <v>0</v>
      </c>
      <c r="BU254" s="3">
        <v>0</v>
      </c>
      <c r="BV254" s="3">
        <f t="shared" ca="1" si="349"/>
        <v>0</v>
      </c>
      <c r="BW254" s="3">
        <f t="shared" ca="1" si="350"/>
        <v>16.289738180915744</v>
      </c>
      <c r="BX254" s="3">
        <f t="shared" ca="1" si="351"/>
        <v>0</v>
      </c>
      <c r="BY254" s="3">
        <f t="shared" ca="1" si="352"/>
        <v>31.979999987208004</v>
      </c>
      <c r="BZ254" s="3">
        <f t="shared" ca="1" si="353"/>
        <v>0</v>
      </c>
      <c r="CA254" s="3">
        <f t="shared" si="354"/>
        <v>0</v>
      </c>
      <c r="CB254" s="1018">
        <f t="shared" ca="1" si="358"/>
        <v>50.537604834790415</v>
      </c>
      <c r="CC254" s="1018">
        <f t="shared" ca="1" si="359"/>
        <v>65.39981090956644</v>
      </c>
      <c r="CD254" s="3">
        <f t="shared" ca="1" si="282"/>
        <v>3.4781224723307056</v>
      </c>
      <c r="CE254" s="3">
        <f t="shared" ca="1" si="283"/>
        <v>5790.9347915317312</v>
      </c>
    </row>
    <row r="255" spans="4:83" s="3" customFormat="1" x14ac:dyDescent="0.25">
      <c r="D255" s="6"/>
      <c r="F255" s="1"/>
      <c r="G255"/>
      <c r="H255" s="8"/>
      <c r="I255" s="6"/>
      <c r="J255" s="6"/>
      <c r="K255" s="6" t="s">
        <v>59</v>
      </c>
      <c r="L255" s="4"/>
      <c r="M255" s="6"/>
      <c r="N255" s="6"/>
      <c r="O255" s="27" t="s">
        <v>16</v>
      </c>
      <c r="P255" s="4"/>
      <c r="Q255" s="6"/>
      <c r="R255" s="79"/>
      <c r="S255" s="274"/>
      <c r="T255" s="199"/>
      <c r="U255" s="200">
        <f t="shared" si="340"/>
        <v>0</v>
      </c>
      <c r="V255" s="200">
        <f t="shared" si="355"/>
        <v>0</v>
      </c>
      <c r="W255" s="176">
        <f>V255/Calculation_sheet!M$67</f>
        <v>0</v>
      </c>
      <c r="X255" s="958">
        <f ca="1">IF(AL255&gt;0,W255*Calculation_sheet!C$87,0)</f>
        <v>0</v>
      </c>
      <c r="Y255" s="176">
        <f t="shared" ca="1" si="356"/>
        <v>0</v>
      </c>
      <c r="Z255" s="176">
        <f>IF(AN255&gt;0,Y255*Calculation_sheet!C$94,0)</f>
        <v>0</v>
      </c>
      <c r="AA255" s="958">
        <f t="shared" ca="1" si="341"/>
        <v>0</v>
      </c>
      <c r="AB255" s="176">
        <f ca="1">AA255*Calculation_sheet!C$99</f>
        <v>0</v>
      </c>
      <c r="AC255" s="958">
        <f t="shared" ca="1" si="341"/>
        <v>0</v>
      </c>
      <c r="AD255" s="176">
        <f t="shared" si="357"/>
        <v>0</v>
      </c>
      <c r="AE255" s="176">
        <f>AD255*User_sheet!B$77/100</f>
        <v>0</v>
      </c>
      <c r="AF255" s="309"/>
      <c r="AG255" s="27">
        <v>403</v>
      </c>
      <c r="AH255" s="985"/>
      <c r="AI255" s="956">
        <f t="shared" ca="1" si="281"/>
        <v>50.537604834790415</v>
      </c>
      <c r="AJ255" s="956">
        <f ca="1">AI255/'403'!I$24</f>
        <v>0.35277663518712626</v>
      </c>
      <c r="AK255" s="956">
        <f ca="1">0.8*(AI255*30+'403'!D$17*0.34*30*1)</f>
        <v>3803.3611560349696</v>
      </c>
      <c r="AL255" s="954">
        <f ca="1">IF(AK255&lt;User_sheet!B$50,W255,0)</f>
        <v>0</v>
      </c>
      <c r="AM255" s="954">
        <f ca="1">20-(User_sheet!B$57/(AI255+'403'!D$17*1*0.34))</f>
        <v>-15.968185609439978</v>
      </c>
      <c r="AN255" s="954"/>
      <c r="AO255" s="985"/>
      <c r="AP255" s="2">
        <v>0</v>
      </c>
      <c r="AQ255" s="27">
        <v>0.43</v>
      </c>
      <c r="AR255" s="27">
        <v>0</v>
      </c>
      <c r="AS255" s="27">
        <v>2</v>
      </c>
      <c r="AT255" s="2">
        <v>0</v>
      </c>
      <c r="AU255" s="2">
        <v>0</v>
      </c>
      <c r="AV255" s="2">
        <v>74834</v>
      </c>
      <c r="AW255" s="2">
        <v>0</v>
      </c>
      <c r="AX255" s="2">
        <v>0</v>
      </c>
      <c r="AY255" s="2">
        <v>0</v>
      </c>
      <c r="AZ255" s="50">
        <v>0.6</v>
      </c>
      <c r="BA255" s="34">
        <v>1</v>
      </c>
      <c r="BB255" s="34">
        <v>0</v>
      </c>
      <c r="BC255" s="40">
        <v>0</v>
      </c>
      <c r="BD255" s="34">
        <v>0</v>
      </c>
      <c r="BE255" s="34">
        <v>1</v>
      </c>
      <c r="BF255" s="40">
        <v>0</v>
      </c>
      <c r="BG255" s="34">
        <v>1</v>
      </c>
      <c r="BH255" s="40">
        <v>0</v>
      </c>
      <c r="BI255" s="34">
        <v>1</v>
      </c>
      <c r="BJ255" s="34">
        <v>0</v>
      </c>
      <c r="BK255" s="40">
        <v>0</v>
      </c>
      <c r="BL255" s="199">
        <v>0.04</v>
      </c>
      <c r="BM255" s="958">
        <v>2.5</v>
      </c>
      <c r="BN255" s="37">
        <f t="shared" ca="1" si="342"/>
        <v>86.579499999999996</v>
      </c>
      <c r="BO255" s="3">
        <f t="shared" ca="1" si="343"/>
        <v>292.3576333333333</v>
      </c>
      <c r="BP255" s="3">
        <f t="shared" ca="1" si="344"/>
        <v>0</v>
      </c>
      <c r="BQ255" s="3">
        <f t="shared" ca="1" si="345"/>
        <v>40.706666666666663</v>
      </c>
      <c r="BR255" s="3">
        <f t="shared" ca="1" si="346"/>
        <v>0</v>
      </c>
      <c r="BS255" s="3">
        <f t="shared" ca="1" si="347"/>
        <v>15.99</v>
      </c>
      <c r="BT255" s="3">
        <f t="shared" ca="1" si="348"/>
        <v>0</v>
      </c>
      <c r="BU255" s="3">
        <v>0</v>
      </c>
      <c r="BV255" s="3">
        <f t="shared" ca="1" si="349"/>
        <v>0</v>
      </c>
      <c r="BW255" s="3">
        <f t="shared" ca="1" si="350"/>
        <v>16.289738180915744</v>
      </c>
      <c r="BX255" s="3">
        <f t="shared" ca="1" si="351"/>
        <v>0</v>
      </c>
      <c r="BY255" s="3">
        <f t="shared" ca="1" si="352"/>
        <v>31.979999987208004</v>
      </c>
      <c r="BZ255" s="3">
        <f t="shared" ca="1" si="353"/>
        <v>0</v>
      </c>
      <c r="CA255" s="3">
        <f t="shared" si="354"/>
        <v>0</v>
      </c>
      <c r="CB255" s="1018">
        <f t="shared" ca="1" si="358"/>
        <v>50.537604834790415</v>
      </c>
      <c r="CC255" s="1018">
        <f t="shared" ca="1" si="359"/>
        <v>65.39981090956644</v>
      </c>
      <c r="CD255" s="3">
        <f t="shared" ca="1" si="282"/>
        <v>3.4781224723307056</v>
      </c>
      <c r="CE255" s="3">
        <f t="shared" ca="1" si="283"/>
        <v>5790.9347915317312</v>
      </c>
    </row>
    <row r="256" spans="4:83" s="3" customFormat="1" x14ac:dyDescent="0.25">
      <c r="D256" s="6"/>
      <c r="F256" s="3" t="s">
        <v>143</v>
      </c>
      <c r="G256"/>
      <c r="H256" s="8"/>
      <c r="I256" s="6"/>
      <c r="J256" s="6"/>
      <c r="K256" s="6"/>
      <c r="L256" s="6"/>
      <c r="M256" s="6"/>
      <c r="N256" s="6"/>
      <c r="O256" s="27" t="s">
        <v>7</v>
      </c>
      <c r="P256" s="4"/>
      <c r="Q256" s="6"/>
      <c r="R256" s="79"/>
      <c r="S256" s="274"/>
      <c r="T256" s="199"/>
      <c r="U256" s="200">
        <f t="shared" si="340"/>
        <v>0</v>
      </c>
      <c r="V256" s="200">
        <f t="shared" si="355"/>
        <v>0</v>
      </c>
      <c r="W256" s="176">
        <f>V256/Calculation_sheet!M$67</f>
        <v>0</v>
      </c>
      <c r="X256" s="958">
        <f ca="1">IF(AL256&gt;0,W256*Calculation_sheet!C$87,0)</f>
        <v>0</v>
      </c>
      <c r="Y256" s="176">
        <f t="shared" ca="1" si="356"/>
        <v>0</v>
      </c>
      <c r="Z256" s="176">
        <f>IF(AN256&gt;0,Y256*Calculation_sheet!C$94,0)</f>
        <v>0</v>
      </c>
      <c r="AA256" s="958">
        <f t="shared" ca="1" si="341"/>
        <v>0</v>
      </c>
      <c r="AB256" s="176">
        <f ca="1">AA256*Calculation_sheet!C$99</f>
        <v>0</v>
      </c>
      <c r="AC256" s="958">
        <f t="shared" ca="1" si="341"/>
        <v>0</v>
      </c>
      <c r="AD256" s="176">
        <f t="shared" si="357"/>
        <v>0</v>
      </c>
      <c r="AE256" s="176">
        <f>AD256*User_sheet!B$77/100</f>
        <v>0</v>
      </c>
      <c r="AF256" s="309"/>
      <c r="AG256" s="27">
        <v>403</v>
      </c>
      <c r="AH256" s="985"/>
      <c r="AI256" s="956">
        <f t="shared" ca="1" si="281"/>
        <v>50.537604834790415</v>
      </c>
      <c r="AJ256" s="956">
        <f ca="1">AI256/'403'!I$24</f>
        <v>0.35277663518712626</v>
      </c>
      <c r="AK256" s="956">
        <f ca="1">0.8*(AI256*30+'403'!D$17*0.34*30*1)</f>
        <v>3803.3611560349696</v>
      </c>
      <c r="AL256" s="954">
        <f ca="1">IF(AK256&lt;User_sheet!B$50,W256,0)</f>
        <v>0</v>
      </c>
      <c r="AM256" s="954">
        <f ca="1">20-(User_sheet!B$57/(AI256+'403'!D$17*1*0.34))</f>
        <v>-15.968185609439978</v>
      </c>
      <c r="AN256" s="954"/>
      <c r="AO256" s="985"/>
      <c r="AP256" s="2">
        <v>0</v>
      </c>
      <c r="AQ256" s="27">
        <v>0.43</v>
      </c>
      <c r="AR256" s="27">
        <v>0</v>
      </c>
      <c r="AS256" s="27">
        <v>2</v>
      </c>
      <c r="AT256" s="2">
        <v>0</v>
      </c>
      <c r="AU256" s="2">
        <v>0</v>
      </c>
      <c r="AV256" s="2">
        <v>74834</v>
      </c>
      <c r="AW256" s="2">
        <v>0</v>
      </c>
      <c r="AX256" s="2">
        <v>0</v>
      </c>
      <c r="AY256" s="2">
        <v>0</v>
      </c>
      <c r="AZ256" s="50">
        <v>0.6</v>
      </c>
      <c r="BA256" s="34">
        <v>1</v>
      </c>
      <c r="BB256" s="34">
        <v>0</v>
      </c>
      <c r="BC256" s="40">
        <v>0</v>
      </c>
      <c r="BD256" s="34">
        <v>0</v>
      </c>
      <c r="BE256" s="34">
        <v>1</v>
      </c>
      <c r="BF256" s="40">
        <v>0</v>
      </c>
      <c r="BG256" s="34">
        <v>1</v>
      </c>
      <c r="BH256" s="40">
        <v>0</v>
      </c>
      <c r="BI256" s="34">
        <v>0</v>
      </c>
      <c r="BJ256" s="34">
        <v>0</v>
      </c>
      <c r="BK256" s="40">
        <v>1</v>
      </c>
      <c r="BL256" s="199">
        <v>0.04</v>
      </c>
      <c r="BM256" s="958">
        <v>2.5</v>
      </c>
      <c r="BN256" s="37">
        <f t="shared" ca="1" si="342"/>
        <v>86.579499999999996</v>
      </c>
      <c r="BO256" s="3">
        <f t="shared" ca="1" si="343"/>
        <v>292.3576333333333</v>
      </c>
      <c r="BP256" s="3">
        <f t="shared" ca="1" si="344"/>
        <v>0</v>
      </c>
      <c r="BQ256" s="3">
        <f t="shared" ca="1" si="345"/>
        <v>40.706666666666663</v>
      </c>
      <c r="BR256" s="3">
        <f t="shared" ca="1" si="346"/>
        <v>0</v>
      </c>
      <c r="BS256" s="3">
        <f t="shared" ca="1" si="347"/>
        <v>15.99</v>
      </c>
      <c r="BT256" s="3">
        <f t="shared" ca="1" si="348"/>
        <v>0</v>
      </c>
      <c r="BU256" s="3">
        <v>0</v>
      </c>
      <c r="BV256" s="3">
        <f t="shared" ca="1" si="349"/>
        <v>0</v>
      </c>
      <c r="BW256" s="3">
        <f t="shared" ca="1" si="350"/>
        <v>16.289738180915744</v>
      </c>
      <c r="BX256" s="3">
        <f t="shared" ca="1" si="351"/>
        <v>0</v>
      </c>
      <c r="BY256" s="3">
        <f t="shared" ca="1" si="352"/>
        <v>31.979999987208004</v>
      </c>
      <c r="BZ256" s="3">
        <f t="shared" ca="1" si="353"/>
        <v>0</v>
      </c>
      <c r="CA256" s="3">
        <f t="shared" si="354"/>
        <v>0</v>
      </c>
      <c r="CB256" s="1018">
        <f t="shared" ca="1" si="358"/>
        <v>50.537604834790415</v>
      </c>
      <c r="CC256" s="1018">
        <f t="shared" ca="1" si="359"/>
        <v>65.39981090956644</v>
      </c>
      <c r="CD256" s="3">
        <f t="shared" ca="1" si="282"/>
        <v>3.4781224723307056</v>
      </c>
      <c r="CE256" s="3">
        <f t="shared" ca="1" si="283"/>
        <v>5790.9347915317312</v>
      </c>
    </row>
    <row r="257" spans="3:83" s="3" customFormat="1" x14ac:dyDescent="0.25">
      <c r="D257" s="6"/>
      <c r="F257" s="6" t="s">
        <v>190</v>
      </c>
      <c r="G257"/>
      <c r="H257" s="8"/>
      <c r="I257" s="6"/>
      <c r="J257" s="6"/>
      <c r="K257" s="6"/>
      <c r="L257" s="6"/>
      <c r="M257" s="6" t="s">
        <v>60</v>
      </c>
      <c r="N257" s="4"/>
      <c r="O257" s="2" t="s">
        <v>57</v>
      </c>
      <c r="P257" s="4"/>
      <c r="Q257" s="6"/>
      <c r="R257" s="79"/>
      <c r="S257" s="274"/>
      <c r="T257" s="199"/>
      <c r="U257" s="200">
        <f t="shared" si="340"/>
        <v>0</v>
      </c>
      <c r="V257" s="200">
        <f t="shared" si="355"/>
        <v>0</v>
      </c>
      <c r="W257" s="176">
        <f>V257/Calculation_sheet!M$67</f>
        <v>0</v>
      </c>
      <c r="X257" s="958">
        <f ca="1">IF(AL257&gt;0,W257*Calculation_sheet!C$87,0)</f>
        <v>0</v>
      </c>
      <c r="Y257" s="176">
        <f t="shared" ca="1" si="356"/>
        <v>0</v>
      </c>
      <c r="Z257" s="176">
        <f>IF(AN257&gt;0,Y257*Calculation_sheet!C$94,0)</f>
        <v>0</v>
      </c>
      <c r="AA257" s="958">
        <f t="shared" ca="1" si="341"/>
        <v>0</v>
      </c>
      <c r="AB257" s="176">
        <f ca="1">AA257*Calculation_sheet!C$99</f>
        <v>0</v>
      </c>
      <c r="AC257" s="958">
        <f t="shared" ca="1" si="341"/>
        <v>0</v>
      </c>
      <c r="AD257" s="176">
        <f t="shared" si="357"/>
        <v>0</v>
      </c>
      <c r="AE257" s="176">
        <f>AD257*User_sheet!B$77/100</f>
        <v>0</v>
      </c>
      <c r="AF257" s="309"/>
      <c r="AG257" s="27">
        <v>403</v>
      </c>
      <c r="AH257" s="985"/>
      <c r="AI257" s="956">
        <f t="shared" ca="1" si="281"/>
        <v>50.537604834790415</v>
      </c>
      <c r="AJ257" s="956">
        <f ca="1">AI257/'403'!I$24</f>
        <v>0.35277663518712626</v>
      </c>
      <c r="AK257" s="956">
        <f ca="1">0.8*(AI257*30+'403'!D$17*0.34*30*1)</f>
        <v>3803.3611560349696</v>
      </c>
      <c r="AL257" s="954">
        <f ca="1">IF(AK257&lt;User_sheet!B$50,W257,0)</f>
        <v>0</v>
      </c>
      <c r="AM257" s="954">
        <f ca="1">20-(User_sheet!B$57/(AI257+'403'!D$17*1*0.34))</f>
        <v>-15.968185609439978</v>
      </c>
      <c r="AN257" s="954"/>
      <c r="AO257" s="985"/>
      <c r="AP257" s="2">
        <v>0</v>
      </c>
      <c r="AQ257" s="27">
        <v>0.43</v>
      </c>
      <c r="AR257" s="27">
        <v>0</v>
      </c>
      <c r="AS257" s="27">
        <v>2</v>
      </c>
      <c r="AT257" s="2">
        <v>0</v>
      </c>
      <c r="AU257" s="2">
        <v>0</v>
      </c>
      <c r="AV257" s="2">
        <v>74834</v>
      </c>
      <c r="AW257" s="2">
        <v>0</v>
      </c>
      <c r="AX257" s="2">
        <v>0</v>
      </c>
      <c r="AY257" s="2">
        <v>0</v>
      </c>
      <c r="AZ257" s="50">
        <v>0.6</v>
      </c>
      <c r="BA257" s="34">
        <v>0</v>
      </c>
      <c r="BB257" s="34">
        <v>1</v>
      </c>
      <c r="BC257" s="40">
        <v>0</v>
      </c>
      <c r="BD257" s="34">
        <v>1</v>
      </c>
      <c r="BE257" s="34">
        <v>0</v>
      </c>
      <c r="BF257" s="40">
        <v>0</v>
      </c>
      <c r="BG257" s="34">
        <v>1</v>
      </c>
      <c r="BH257" s="40">
        <v>0</v>
      </c>
      <c r="BI257" s="34">
        <v>0</v>
      </c>
      <c r="BJ257" s="34">
        <v>1</v>
      </c>
      <c r="BK257" s="40">
        <v>0</v>
      </c>
      <c r="BL257" s="199">
        <v>0.04</v>
      </c>
      <c r="BM257" s="958">
        <v>2.5</v>
      </c>
      <c r="BN257" s="37">
        <f t="shared" ca="1" si="342"/>
        <v>86.579499999999996</v>
      </c>
      <c r="BO257" s="3">
        <f t="shared" ca="1" si="343"/>
        <v>292.3576333333333</v>
      </c>
      <c r="BP257" s="3">
        <f t="shared" ca="1" si="344"/>
        <v>0</v>
      </c>
      <c r="BQ257" s="3">
        <f t="shared" ca="1" si="345"/>
        <v>40.706666666666663</v>
      </c>
      <c r="BR257" s="3">
        <f t="shared" ca="1" si="346"/>
        <v>0</v>
      </c>
      <c r="BS257" s="3">
        <f t="shared" ca="1" si="347"/>
        <v>15.99</v>
      </c>
      <c r="BT257" s="3">
        <f t="shared" ca="1" si="348"/>
        <v>0</v>
      </c>
      <c r="BU257" s="3">
        <v>0</v>
      </c>
      <c r="BV257" s="3">
        <f t="shared" ca="1" si="349"/>
        <v>0</v>
      </c>
      <c r="BW257" s="3">
        <f t="shared" ca="1" si="350"/>
        <v>16.289738180915744</v>
      </c>
      <c r="BX257" s="3">
        <f t="shared" ca="1" si="351"/>
        <v>0</v>
      </c>
      <c r="BY257" s="3">
        <f t="shared" ca="1" si="352"/>
        <v>31.979999987208004</v>
      </c>
      <c r="BZ257" s="3">
        <f t="shared" ca="1" si="353"/>
        <v>0</v>
      </c>
      <c r="CA257" s="3">
        <f t="shared" si="354"/>
        <v>0</v>
      </c>
      <c r="CB257" s="1018">
        <f t="shared" ca="1" si="358"/>
        <v>50.537604834790415</v>
      </c>
      <c r="CC257" s="1018">
        <f t="shared" ca="1" si="359"/>
        <v>65.39981090956644</v>
      </c>
      <c r="CD257" s="3">
        <f t="shared" ca="1" si="282"/>
        <v>3.4781224723307056</v>
      </c>
      <c r="CE257" s="3">
        <f t="shared" ca="1" si="283"/>
        <v>5790.9347915317312</v>
      </c>
    </row>
    <row r="258" spans="3:83" s="3" customFormat="1" x14ac:dyDescent="0.25">
      <c r="D258" s="6"/>
      <c r="F258" s="1"/>
      <c r="G258" s="6"/>
      <c r="H258" s="8"/>
      <c r="I258" s="6"/>
      <c r="J258" s="6"/>
      <c r="K258" s="6"/>
      <c r="L258" s="6"/>
      <c r="M258" s="6"/>
      <c r="N258" s="6"/>
      <c r="O258" s="2" t="s">
        <v>7</v>
      </c>
      <c r="P258" s="4"/>
      <c r="Q258" s="6"/>
      <c r="R258" s="79"/>
      <c r="S258" s="274"/>
      <c r="T258" s="199"/>
      <c r="U258" s="200">
        <f t="shared" si="340"/>
        <v>0</v>
      </c>
      <c r="V258" s="200">
        <f t="shared" si="355"/>
        <v>0</v>
      </c>
      <c r="W258" s="176">
        <f>V258/Calculation_sheet!M$67</f>
        <v>0</v>
      </c>
      <c r="X258" s="958">
        <f ca="1">IF(AL258&gt;0,W258*Calculation_sheet!C$87,0)</f>
        <v>0</v>
      </c>
      <c r="Y258" s="176">
        <f t="shared" ca="1" si="356"/>
        <v>0</v>
      </c>
      <c r="Z258" s="176">
        <f>IF(AN258&gt;0,Y258*Calculation_sheet!C$94,0)</f>
        <v>0</v>
      </c>
      <c r="AA258" s="958">
        <f t="shared" ca="1" si="341"/>
        <v>0</v>
      </c>
      <c r="AB258" s="176">
        <f ca="1">AA258*Calculation_sheet!C$99</f>
        <v>0</v>
      </c>
      <c r="AC258" s="958">
        <f t="shared" ca="1" si="341"/>
        <v>0</v>
      </c>
      <c r="AD258" s="176">
        <f t="shared" si="357"/>
        <v>0</v>
      </c>
      <c r="AE258" s="176">
        <f>AD258*User_sheet!B$77/100</f>
        <v>0</v>
      </c>
      <c r="AF258" s="309"/>
      <c r="AG258" s="27">
        <v>403</v>
      </c>
      <c r="AH258" s="985"/>
      <c r="AI258" s="956">
        <f t="shared" ca="1" si="281"/>
        <v>50.537604834790415</v>
      </c>
      <c r="AJ258" s="956">
        <f ca="1">AI258/'403'!I$24</f>
        <v>0.35277663518712626</v>
      </c>
      <c r="AK258" s="956">
        <f ca="1">0.8*(AI258*30+'403'!D$17*0.34*30*1)</f>
        <v>3803.3611560349696</v>
      </c>
      <c r="AL258" s="954">
        <f ca="1">IF(AK258&lt;User_sheet!B$50,W258,0)</f>
        <v>0</v>
      </c>
      <c r="AM258" s="954">
        <f ca="1">20-(User_sheet!B$57/(AI258+'403'!D$17*1*0.34))</f>
        <v>-15.968185609439978</v>
      </c>
      <c r="AN258" s="954"/>
      <c r="AO258" s="985"/>
      <c r="AP258" s="2">
        <v>0</v>
      </c>
      <c r="AQ258" s="27">
        <v>0.43</v>
      </c>
      <c r="AR258" s="27">
        <v>0</v>
      </c>
      <c r="AS258" s="27">
        <v>2</v>
      </c>
      <c r="AT258" s="2">
        <v>0</v>
      </c>
      <c r="AU258" s="2">
        <v>0</v>
      </c>
      <c r="AV258" s="2">
        <v>74834</v>
      </c>
      <c r="AW258" s="2">
        <v>0</v>
      </c>
      <c r="AX258" s="2">
        <v>0</v>
      </c>
      <c r="AY258" s="2">
        <v>0</v>
      </c>
      <c r="AZ258" s="50">
        <v>0.6</v>
      </c>
      <c r="BA258" s="34">
        <v>0</v>
      </c>
      <c r="BB258" s="34">
        <v>1</v>
      </c>
      <c r="BC258" s="40">
        <v>0</v>
      </c>
      <c r="BD258" s="34">
        <v>1</v>
      </c>
      <c r="BE258" s="34">
        <v>0</v>
      </c>
      <c r="BF258" s="40">
        <v>0</v>
      </c>
      <c r="BG258" s="34">
        <v>1</v>
      </c>
      <c r="BH258" s="40">
        <v>0</v>
      </c>
      <c r="BI258" s="34">
        <v>0</v>
      </c>
      <c r="BJ258" s="34">
        <v>0</v>
      </c>
      <c r="BK258" s="40">
        <v>1</v>
      </c>
      <c r="BL258" s="199">
        <v>0.04</v>
      </c>
      <c r="BM258" s="958">
        <v>2.5</v>
      </c>
      <c r="BN258" s="37">
        <f t="shared" ca="1" si="342"/>
        <v>86.579499999999996</v>
      </c>
      <c r="BO258" s="3">
        <f t="shared" ca="1" si="343"/>
        <v>292.3576333333333</v>
      </c>
      <c r="BP258" s="3">
        <f t="shared" ca="1" si="344"/>
        <v>0</v>
      </c>
      <c r="BQ258" s="3">
        <f t="shared" ca="1" si="345"/>
        <v>40.706666666666663</v>
      </c>
      <c r="BR258" s="3">
        <f t="shared" ca="1" si="346"/>
        <v>0</v>
      </c>
      <c r="BS258" s="3">
        <f t="shared" ca="1" si="347"/>
        <v>15.99</v>
      </c>
      <c r="BT258" s="3">
        <f t="shared" ca="1" si="348"/>
        <v>0</v>
      </c>
      <c r="BU258" s="3">
        <v>0</v>
      </c>
      <c r="BV258" s="3">
        <f t="shared" ca="1" si="349"/>
        <v>0</v>
      </c>
      <c r="BW258" s="3">
        <f t="shared" ca="1" si="350"/>
        <v>16.289738180915744</v>
      </c>
      <c r="BX258" s="3">
        <f t="shared" ca="1" si="351"/>
        <v>0</v>
      </c>
      <c r="BY258" s="3">
        <f t="shared" ca="1" si="352"/>
        <v>31.979999987208004</v>
      </c>
      <c r="BZ258" s="3">
        <f t="shared" ca="1" si="353"/>
        <v>0</v>
      </c>
      <c r="CA258" s="3">
        <f t="shared" si="354"/>
        <v>0</v>
      </c>
      <c r="CB258" s="1018">
        <f t="shared" ca="1" si="358"/>
        <v>50.537604834790415</v>
      </c>
      <c r="CC258" s="1018">
        <f t="shared" ca="1" si="359"/>
        <v>65.39981090956644</v>
      </c>
      <c r="CD258" s="3">
        <f t="shared" ca="1" si="282"/>
        <v>3.4781224723307056</v>
      </c>
      <c r="CE258" s="3">
        <f t="shared" ca="1" si="283"/>
        <v>5790.9347915317312</v>
      </c>
    </row>
    <row r="259" spans="3:83" x14ac:dyDescent="0.25">
      <c r="D259" s="1"/>
      <c r="F259" s="1"/>
      <c r="G259" s="6"/>
      <c r="H259" s="8"/>
      <c r="I259" s="6"/>
      <c r="J259" s="6"/>
      <c r="K259" s="6" t="s">
        <v>58</v>
      </c>
      <c r="L259" s="4"/>
      <c r="M259" s="6" t="s">
        <v>61</v>
      </c>
      <c r="N259" s="4"/>
      <c r="O259" s="2" t="s">
        <v>57</v>
      </c>
      <c r="P259" s="4"/>
      <c r="Q259" s="1"/>
      <c r="R259" s="79"/>
      <c r="T259" s="199"/>
      <c r="U259" s="200">
        <f t="shared" si="340"/>
        <v>0</v>
      </c>
      <c r="V259" s="200">
        <f t="shared" si="355"/>
        <v>0</v>
      </c>
      <c r="W259" s="176">
        <f>V259/Calculation_sheet!M$67</f>
        <v>0</v>
      </c>
      <c r="X259" s="958">
        <f ca="1">IF(AL259&gt;0,W259*Calculation_sheet!C$87,0)</f>
        <v>0</v>
      </c>
      <c r="Y259" s="176">
        <f t="shared" ca="1" si="356"/>
        <v>0</v>
      </c>
      <c r="Z259" s="176">
        <f>IF(AN259&gt;0,Y259*Calculation_sheet!C$94,0)</f>
        <v>0</v>
      </c>
      <c r="AA259" s="958">
        <f t="shared" ca="1" si="341"/>
        <v>0</v>
      </c>
      <c r="AB259" s="176">
        <f ca="1">AA259*Calculation_sheet!C$99</f>
        <v>0</v>
      </c>
      <c r="AC259" s="958">
        <f t="shared" ca="1" si="341"/>
        <v>0</v>
      </c>
      <c r="AD259" s="176">
        <f t="shared" si="357"/>
        <v>0</v>
      </c>
      <c r="AE259" s="176">
        <f>AD259*User_sheet!B$77/100</f>
        <v>0</v>
      </c>
      <c r="AF259" s="309"/>
      <c r="AG259" s="27">
        <v>403</v>
      </c>
      <c r="AH259" s="985"/>
      <c r="AI259" s="956">
        <f t="shared" ca="1" si="281"/>
        <v>50.537604834790415</v>
      </c>
      <c r="AJ259" s="956">
        <f ca="1">AI259/'403'!I$24</f>
        <v>0.35277663518712626</v>
      </c>
      <c r="AK259" s="956">
        <f ca="1">0.8*(AI259*30+'403'!D$17*0.34*30*1)</f>
        <v>3803.3611560349696</v>
      </c>
      <c r="AL259" s="954">
        <f ca="1">IF(AK259&lt;User_sheet!B$50,W259,0)</f>
        <v>0</v>
      </c>
      <c r="AM259" s="954">
        <f ca="1">20-(User_sheet!B$57/(AI259+'403'!D$17*1*0.34))</f>
        <v>-15.968185609439978</v>
      </c>
      <c r="AN259" s="954"/>
      <c r="AO259" s="985"/>
      <c r="AP259" s="2">
        <v>0</v>
      </c>
      <c r="AQ259" s="27">
        <v>0.43</v>
      </c>
      <c r="AR259" s="27">
        <v>0</v>
      </c>
      <c r="AS259" s="27">
        <v>2</v>
      </c>
      <c r="AT259" s="2">
        <v>0</v>
      </c>
      <c r="AU259" s="2">
        <v>0</v>
      </c>
      <c r="AV259" s="2">
        <v>74834</v>
      </c>
      <c r="AW259" s="2">
        <v>0</v>
      </c>
      <c r="AX259" s="2">
        <v>0</v>
      </c>
      <c r="AY259" s="2">
        <v>0</v>
      </c>
      <c r="AZ259" s="50">
        <v>0.6</v>
      </c>
      <c r="BA259" s="34">
        <v>0</v>
      </c>
      <c r="BB259" s="34">
        <v>1</v>
      </c>
      <c r="BC259" s="40">
        <v>0</v>
      </c>
      <c r="BD259" s="34">
        <v>1</v>
      </c>
      <c r="BE259" s="34">
        <v>0</v>
      </c>
      <c r="BF259" s="40">
        <v>0</v>
      </c>
      <c r="BG259" s="34">
        <v>0</v>
      </c>
      <c r="BH259" s="40">
        <v>1</v>
      </c>
      <c r="BI259" s="34">
        <v>0</v>
      </c>
      <c r="BJ259" s="34">
        <v>1</v>
      </c>
      <c r="BK259" s="40">
        <v>0</v>
      </c>
      <c r="BL259" s="199">
        <v>0.04</v>
      </c>
      <c r="BM259" s="958">
        <v>2.5</v>
      </c>
      <c r="BN259" s="32">
        <f t="shared" ca="1" si="342"/>
        <v>86.579499999999996</v>
      </c>
      <c r="BO259">
        <f t="shared" ca="1" si="343"/>
        <v>292.3576333333333</v>
      </c>
      <c r="BP259">
        <f t="shared" ca="1" si="344"/>
        <v>0</v>
      </c>
      <c r="BQ259">
        <f t="shared" ca="1" si="345"/>
        <v>40.706666666666663</v>
      </c>
      <c r="BR259">
        <f t="shared" ca="1" si="346"/>
        <v>0</v>
      </c>
      <c r="BS259">
        <f t="shared" ca="1" si="347"/>
        <v>15.99</v>
      </c>
      <c r="BT259">
        <f t="shared" ca="1" si="348"/>
        <v>0</v>
      </c>
      <c r="BU259">
        <v>0</v>
      </c>
      <c r="BV259">
        <f t="shared" ca="1" si="349"/>
        <v>0</v>
      </c>
      <c r="BW259">
        <f t="shared" ca="1" si="350"/>
        <v>16.289738180915744</v>
      </c>
      <c r="BX259">
        <f t="shared" ca="1" si="351"/>
        <v>0</v>
      </c>
      <c r="BY259">
        <f t="shared" ca="1" si="352"/>
        <v>31.979999987208004</v>
      </c>
      <c r="BZ259">
        <f t="shared" ca="1" si="353"/>
        <v>0</v>
      </c>
      <c r="CA259">
        <f t="shared" si="354"/>
        <v>0</v>
      </c>
      <c r="CB259" s="1018">
        <f t="shared" ca="1" si="358"/>
        <v>50.537604834790415</v>
      </c>
      <c r="CC259" s="1018">
        <f t="shared" ca="1" si="359"/>
        <v>65.39981090956644</v>
      </c>
      <c r="CD259">
        <f t="shared" ca="1" si="282"/>
        <v>3.4781224723307056</v>
      </c>
      <c r="CE259">
        <f t="shared" ca="1" si="283"/>
        <v>5790.9347915317312</v>
      </c>
    </row>
    <row r="260" spans="3:83" x14ac:dyDescent="0.25">
      <c r="D260" s="1"/>
      <c r="F260" s="1"/>
      <c r="H260" s="1"/>
      <c r="I260" s="6" t="s">
        <v>57</v>
      </c>
      <c r="J260" s="4"/>
      <c r="K260" s="6"/>
      <c r="L260" s="6"/>
      <c r="M260" s="6"/>
      <c r="N260" s="6"/>
      <c r="O260" s="2" t="s">
        <v>7</v>
      </c>
      <c r="P260" s="4"/>
      <c r="Q260" s="1"/>
      <c r="R260" s="79"/>
      <c r="T260" s="199"/>
      <c r="U260" s="200">
        <f t="shared" si="340"/>
        <v>0</v>
      </c>
      <c r="V260" s="200">
        <f t="shared" si="355"/>
        <v>0</v>
      </c>
      <c r="W260" s="176">
        <f>V260/Calculation_sheet!M$67</f>
        <v>0</v>
      </c>
      <c r="X260" s="958">
        <f ca="1">IF(AL260&gt;0,W260*Calculation_sheet!C$87,0)</f>
        <v>0</v>
      </c>
      <c r="Y260" s="176">
        <f t="shared" ca="1" si="356"/>
        <v>0</v>
      </c>
      <c r="Z260" s="176">
        <f>IF(AN260&gt;0,Y260*Calculation_sheet!C$94,0)</f>
        <v>0</v>
      </c>
      <c r="AA260" s="958">
        <f t="shared" ca="1" si="341"/>
        <v>0</v>
      </c>
      <c r="AB260" s="176">
        <f ca="1">AA260*Calculation_sheet!C$99</f>
        <v>0</v>
      </c>
      <c r="AC260" s="958">
        <f t="shared" ca="1" si="341"/>
        <v>0</v>
      </c>
      <c r="AD260" s="176">
        <f t="shared" si="357"/>
        <v>0</v>
      </c>
      <c r="AE260" s="176">
        <f>AD260*User_sheet!B$77/100</f>
        <v>0</v>
      </c>
      <c r="AF260" s="309"/>
      <c r="AG260" s="27">
        <v>403</v>
      </c>
      <c r="AH260" s="985"/>
      <c r="AI260" s="956">
        <f t="shared" ca="1" si="281"/>
        <v>50.537604834790415</v>
      </c>
      <c r="AJ260" s="956">
        <f ca="1">AI260/'403'!I$24</f>
        <v>0.35277663518712626</v>
      </c>
      <c r="AK260" s="956">
        <f ca="1">0.8*(AI260*30+'403'!D$17*0.34*30*1)</f>
        <v>3803.3611560349696</v>
      </c>
      <c r="AL260" s="954">
        <f ca="1">IF(AK260&lt;User_sheet!B$50,W260,0)</f>
        <v>0</v>
      </c>
      <c r="AM260" s="954">
        <f ca="1">20-(User_sheet!B$57/(AI260+'403'!D$17*1*0.34))</f>
        <v>-15.968185609439978</v>
      </c>
      <c r="AN260" s="954"/>
      <c r="AO260" s="985"/>
      <c r="AP260" s="2">
        <v>0</v>
      </c>
      <c r="AQ260" s="27">
        <v>0.43</v>
      </c>
      <c r="AR260" s="27">
        <v>0</v>
      </c>
      <c r="AS260" s="27">
        <v>2</v>
      </c>
      <c r="AT260" s="2">
        <v>0</v>
      </c>
      <c r="AU260" s="2">
        <v>0</v>
      </c>
      <c r="AV260" s="2">
        <v>74834</v>
      </c>
      <c r="AW260" s="2">
        <v>0</v>
      </c>
      <c r="AX260" s="2">
        <v>0</v>
      </c>
      <c r="AY260" s="2">
        <v>0</v>
      </c>
      <c r="AZ260" s="50">
        <v>0.6</v>
      </c>
      <c r="BA260" s="34">
        <v>0</v>
      </c>
      <c r="BB260" s="34">
        <v>1</v>
      </c>
      <c r="BC260" s="40">
        <v>0</v>
      </c>
      <c r="BD260" s="34">
        <v>1</v>
      </c>
      <c r="BE260" s="34">
        <v>0</v>
      </c>
      <c r="BF260" s="40">
        <v>0</v>
      </c>
      <c r="BG260" s="34">
        <v>0</v>
      </c>
      <c r="BH260" s="40">
        <v>1</v>
      </c>
      <c r="BI260" s="34">
        <v>0</v>
      </c>
      <c r="BJ260" s="34">
        <v>0</v>
      </c>
      <c r="BK260" s="40">
        <v>1</v>
      </c>
      <c r="BL260" s="199">
        <v>0.04</v>
      </c>
      <c r="BM260" s="958">
        <v>2.5</v>
      </c>
      <c r="BN260" s="32">
        <f t="shared" ca="1" si="342"/>
        <v>86.579499999999996</v>
      </c>
      <c r="BO260">
        <f t="shared" ca="1" si="343"/>
        <v>292.3576333333333</v>
      </c>
      <c r="BP260">
        <f t="shared" ca="1" si="344"/>
        <v>0</v>
      </c>
      <c r="BQ260">
        <f t="shared" ca="1" si="345"/>
        <v>40.706666666666663</v>
      </c>
      <c r="BR260">
        <f t="shared" ca="1" si="346"/>
        <v>0</v>
      </c>
      <c r="BS260">
        <f t="shared" ca="1" si="347"/>
        <v>15.99</v>
      </c>
      <c r="BT260">
        <f t="shared" ca="1" si="348"/>
        <v>0</v>
      </c>
      <c r="BU260">
        <v>0</v>
      </c>
      <c r="BV260">
        <f t="shared" ca="1" si="349"/>
        <v>0</v>
      </c>
      <c r="BW260">
        <f t="shared" ca="1" si="350"/>
        <v>16.289738180915744</v>
      </c>
      <c r="BX260">
        <f t="shared" ca="1" si="351"/>
        <v>0</v>
      </c>
      <c r="BY260">
        <f t="shared" ca="1" si="352"/>
        <v>31.979999987208004</v>
      </c>
      <c r="BZ260">
        <f t="shared" ca="1" si="353"/>
        <v>0</v>
      </c>
      <c r="CA260">
        <f t="shared" si="354"/>
        <v>0</v>
      </c>
      <c r="CB260" s="1018">
        <f t="shared" ca="1" si="358"/>
        <v>50.537604834790415</v>
      </c>
      <c r="CC260" s="1018">
        <f t="shared" ca="1" si="359"/>
        <v>65.39981090956644</v>
      </c>
      <c r="CD260">
        <f t="shared" ca="1" si="282"/>
        <v>3.4781224723307056</v>
      </c>
      <c r="CE260">
        <f t="shared" ca="1" si="283"/>
        <v>5790.9347915317312</v>
      </c>
    </row>
    <row r="261" spans="3:83" x14ac:dyDescent="0.25">
      <c r="D261" s="1"/>
      <c r="F261" s="1"/>
      <c r="H261" s="1"/>
      <c r="I261" s="6"/>
      <c r="J261" s="6"/>
      <c r="K261" s="6" t="s">
        <v>59</v>
      </c>
      <c r="L261" s="4"/>
      <c r="M261" s="6"/>
      <c r="N261" s="6"/>
      <c r="O261" s="27" t="s">
        <v>57</v>
      </c>
      <c r="P261" s="4"/>
      <c r="Q261" s="1"/>
      <c r="R261" s="79"/>
      <c r="T261" s="199"/>
      <c r="U261" s="200">
        <f t="shared" si="340"/>
        <v>0</v>
      </c>
      <c r="V261" s="200">
        <f t="shared" si="355"/>
        <v>0</v>
      </c>
      <c r="W261" s="176">
        <f>V261/Calculation_sheet!M$67</f>
        <v>0</v>
      </c>
      <c r="X261" s="958">
        <f ca="1">IF(AL261&gt;0,W261*Calculation_sheet!C$87,0)</f>
        <v>0</v>
      </c>
      <c r="Y261" s="176">
        <f t="shared" ca="1" si="356"/>
        <v>0</v>
      </c>
      <c r="Z261" s="176">
        <f>IF(AN261&gt;0,Y261*Calculation_sheet!C$94,0)</f>
        <v>0</v>
      </c>
      <c r="AA261" s="958">
        <f t="shared" ca="1" si="341"/>
        <v>0</v>
      </c>
      <c r="AB261" s="176">
        <f ca="1">AA261*Calculation_sheet!C$99</f>
        <v>0</v>
      </c>
      <c r="AC261" s="958">
        <f t="shared" ca="1" si="341"/>
        <v>0</v>
      </c>
      <c r="AD261" s="176">
        <f t="shared" si="357"/>
        <v>0</v>
      </c>
      <c r="AE261" s="176">
        <f>AD261*User_sheet!B$77/100</f>
        <v>0</v>
      </c>
      <c r="AF261" s="309"/>
      <c r="AG261" s="27">
        <v>403</v>
      </c>
      <c r="AH261" s="985"/>
      <c r="AI261" s="956">
        <f t="shared" ca="1" si="281"/>
        <v>50.537604834790415</v>
      </c>
      <c r="AJ261" s="956">
        <f ca="1">AI261/'403'!I$24</f>
        <v>0.35277663518712626</v>
      </c>
      <c r="AK261" s="956">
        <f ca="1">0.8*(AI261*30+'403'!D$17*0.34*30*1)</f>
        <v>3803.3611560349696</v>
      </c>
      <c r="AL261" s="954">
        <f ca="1">IF(AK261&lt;User_sheet!B$50,W261,0)</f>
        <v>0</v>
      </c>
      <c r="AM261" s="954">
        <f ca="1">20-(User_sheet!B$57/(AI261+'403'!D$17*1*0.34))</f>
        <v>-15.968185609439978</v>
      </c>
      <c r="AN261" s="954"/>
      <c r="AO261" s="985"/>
      <c r="AP261" s="2">
        <v>0</v>
      </c>
      <c r="AQ261" s="27">
        <v>0.43</v>
      </c>
      <c r="AR261" s="27">
        <v>0</v>
      </c>
      <c r="AS261" s="27">
        <v>2</v>
      </c>
      <c r="AT261" s="2">
        <v>0</v>
      </c>
      <c r="AU261" s="2">
        <v>0</v>
      </c>
      <c r="AV261" s="2">
        <v>74834</v>
      </c>
      <c r="AW261" s="2">
        <v>0</v>
      </c>
      <c r="AX261" s="2">
        <v>0</v>
      </c>
      <c r="AY261" s="2">
        <v>0</v>
      </c>
      <c r="AZ261" s="50">
        <v>0.6</v>
      </c>
      <c r="BA261" s="34">
        <v>0</v>
      </c>
      <c r="BB261" s="34">
        <v>1</v>
      </c>
      <c r="BC261" s="40">
        <v>0</v>
      </c>
      <c r="BD261" s="34">
        <v>0</v>
      </c>
      <c r="BE261" s="34">
        <v>1</v>
      </c>
      <c r="BF261" s="40">
        <v>0</v>
      </c>
      <c r="BG261" s="34">
        <v>1</v>
      </c>
      <c r="BH261" s="40">
        <v>0</v>
      </c>
      <c r="BI261" s="34">
        <v>0</v>
      </c>
      <c r="BJ261" s="34">
        <v>1</v>
      </c>
      <c r="BK261" s="40">
        <v>0</v>
      </c>
      <c r="BL261" s="199">
        <v>0.04</v>
      </c>
      <c r="BM261" s="958">
        <v>2.5</v>
      </c>
      <c r="BN261" s="32">
        <f t="shared" ca="1" si="342"/>
        <v>86.579499999999996</v>
      </c>
      <c r="BO261">
        <f t="shared" ca="1" si="343"/>
        <v>292.3576333333333</v>
      </c>
      <c r="BP261">
        <f t="shared" ca="1" si="344"/>
        <v>0</v>
      </c>
      <c r="BQ261">
        <f t="shared" ca="1" si="345"/>
        <v>40.706666666666663</v>
      </c>
      <c r="BR261">
        <f t="shared" ca="1" si="346"/>
        <v>0</v>
      </c>
      <c r="BS261">
        <f t="shared" ca="1" si="347"/>
        <v>15.99</v>
      </c>
      <c r="BT261">
        <f t="shared" ca="1" si="348"/>
        <v>0</v>
      </c>
      <c r="BU261">
        <v>0</v>
      </c>
      <c r="BV261">
        <f t="shared" ca="1" si="349"/>
        <v>0</v>
      </c>
      <c r="BW261">
        <f t="shared" ca="1" si="350"/>
        <v>16.289738180915744</v>
      </c>
      <c r="BX261">
        <f t="shared" ca="1" si="351"/>
        <v>0</v>
      </c>
      <c r="BY261">
        <f t="shared" ca="1" si="352"/>
        <v>31.979999987208004</v>
      </c>
      <c r="BZ261">
        <f t="shared" ca="1" si="353"/>
        <v>0</v>
      </c>
      <c r="CA261">
        <f t="shared" si="354"/>
        <v>0</v>
      </c>
      <c r="CB261" s="1018">
        <f t="shared" ca="1" si="358"/>
        <v>50.537604834790415</v>
      </c>
      <c r="CC261" s="1018">
        <f t="shared" ca="1" si="359"/>
        <v>65.39981090956644</v>
      </c>
      <c r="CD261">
        <f t="shared" ca="1" si="282"/>
        <v>3.4781224723307056</v>
      </c>
      <c r="CE261">
        <f t="shared" ca="1" si="283"/>
        <v>5790.9347915317312</v>
      </c>
    </row>
    <row r="262" spans="3:83" x14ac:dyDescent="0.25">
      <c r="D262" s="1"/>
      <c r="F262" s="1"/>
      <c r="H262" s="1"/>
      <c r="I262" s="6"/>
      <c r="J262" s="6"/>
      <c r="K262" s="6"/>
      <c r="L262" s="6"/>
      <c r="M262" s="6"/>
      <c r="N262" s="6"/>
      <c r="O262" s="27" t="s">
        <v>7</v>
      </c>
      <c r="P262" s="4"/>
      <c r="Q262" s="1"/>
      <c r="R262" s="79"/>
      <c r="T262" s="199"/>
      <c r="U262" s="200">
        <f t="shared" si="340"/>
        <v>0</v>
      </c>
      <c r="V262" s="200">
        <f t="shared" si="355"/>
        <v>0</v>
      </c>
      <c r="W262" s="176">
        <f>V262/Calculation_sheet!M$67</f>
        <v>0</v>
      </c>
      <c r="X262" s="958">
        <f ca="1">IF(AL262&gt;0,W262*Calculation_sheet!C$87,0)</f>
        <v>0</v>
      </c>
      <c r="Y262" s="176">
        <f t="shared" ca="1" si="356"/>
        <v>0</v>
      </c>
      <c r="Z262" s="176">
        <f>IF(AN262&gt;0,Y262*Calculation_sheet!C$94,0)</f>
        <v>0</v>
      </c>
      <c r="AA262" s="958">
        <f t="shared" ca="1" si="341"/>
        <v>0</v>
      </c>
      <c r="AB262" s="176">
        <f ca="1">AA262*Calculation_sheet!C$99</f>
        <v>0</v>
      </c>
      <c r="AC262" s="958">
        <f t="shared" ca="1" si="341"/>
        <v>0</v>
      </c>
      <c r="AD262" s="176">
        <f t="shared" si="357"/>
        <v>0</v>
      </c>
      <c r="AE262" s="176">
        <f>AD262*User_sheet!B$77/100</f>
        <v>0</v>
      </c>
      <c r="AF262" s="309"/>
      <c r="AG262" s="27">
        <v>403</v>
      </c>
      <c r="AH262" s="985"/>
      <c r="AI262" s="956">
        <f t="shared" ca="1" si="281"/>
        <v>50.537604834790415</v>
      </c>
      <c r="AJ262" s="956">
        <f ca="1">AI262/'403'!I$24</f>
        <v>0.35277663518712626</v>
      </c>
      <c r="AK262" s="956">
        <f ca="1">0.8*(AI262*30+'403'!D$17*0.34*30*1)</f>
        <v>3803.3611560349696</v>
      </c>
      <c r="AL262" s="954">
        <f ca="1">IF(AK262&lt;User_sheet!B$50,W262,0)</f>
        <v>0</v>
      </c>
      <c r="AM262" s="954">
        <f ca="1">20-(User_sheet!B$57/(AI262+'403'!D$17*1*0.34))</f>
        <v>-15.968185609439978</v>
      </c>
      <c r="AN262" s="954"/>
      <c r="AO262" s="985"/>
      <c r="AP262" s="2">
        <v>0</v>
      </c>
      <c r="AQ262" s="27">
        <v>0.43</v>
      </c>
      <c r="AR262" s="27">
        <v>0</v>
      </c>
      <c r="AS262" s="27">
        <v>2</v>
      </c>
      <c r="AT262" s="2">
        <v>0</v>
      </c>
      <c r="AU262" s="2">
        <v>0</v>
      </c>
      <c r="AV262" s="2">
        <v>74834</v>
      </c>
      <c r="AW262" s="2">
        <v>0</v>
      </c>
      <c r="AX262" s="2">
        <v>0</v>
      </c>
      <c r="AY262" s="2">
        <v>0</v>
      </c>
      <c r="AZ262" s="50">
        <v>0.6</v>
      </c>
      <c r="BA262" s="34">
        <v>0</v>
      </c>
      <c r="BB262" s="34">
        <v>1</v>
      </c>
      <c r="BC262" s="40">
        <v>0</v>
      </c>
      <c r="BD262" s="34">
        <v>0</v>
      </c>
      <c r="BE262" s="34">
        <v>1</v>
      </c>
      <c r="BF262" s="40">
        <v>0</v>
      </c>
      <c r="BG262" s="34">
        <v>1</v>
      </c>
      <c r="BH262" s="40">
        <v>0</v>
      </c>
      <c r="BI262" s="34">
        <v>0</v>
      </c>
      <c r="BJ262" s="34">
        <v>0</v>
      </c>
      <c r="BK262" s="40">
        <v>1</v>
      </c>
      <c r="BL262" s="199">
        <v>0.04</v>
      </c>
      <c r="BM262" s="958">
        <v>2.5</v>
      </c>
      <c r="BN262" s="32">
        <f t="shared" ca="1" si="342"/>
        <v>86.579499999999996</v>
      </c>
      <c r="BO262">
        <f t="shared" ca="1" si="343"/>
        <v>292.3576333333333</v>
      </c>
      <c r="BP262">
        <f t="shared" ca="1" si="344"/>
        <v>0</v>
      </c>
      <c r="BQ262">
        <f t="shared" ca="1" si="345"/>
        <v>40.706666666666663</v>
      </c>
      <c r="BR262">
        <f t="shared" ca="1" si="346"/>
        <v>0</v>
      </c>
      <c r="BS262">
        <f t="shared" ca="1" si="347"/>
        <v>15.99</v>
      </c>
      <c r="BT262">
        <f t="shared" ca="1" si="348"/>
        <v>0</v>
      </c>
      <c r="BU262">
        <v>0</v>
      </c>
      <c r="BV262">
        <f t="shared" ca="1" si="349"/>
        <v>0</v>
      </c>
      <c r="BW262">
        <f t="shared" ca="1" si="350"/>
        <v>16.289738180915744</v>
      </c>
      <c r="BX262">
        <f t="shared" ca="1" si="351"/>
        <v>0</v>
      </c>
      <c r="BY262">
        <f t="shared" ca="1" si="352"/>
        <v>31.979999987208004</v>
      </c>
      <c r="BZ262">
        <f t="shared" ca="1" si="353"/>
        <v>0</v>
      </c>
      <c r="CA262">
        <f t="shared" si="354"/>
        <v>0</v>
      </c>
      <c r="CB262" s="1018">
        <f t="shared" ca="1" si="358"/>
        <v>50.537604834790415</v>
      </c>
      <c r="CC262" s="1018">
        <f t="shared" ca="1" si="359"/>
        <v>65.39981090956644</v>
      </c>
      <c r="CD262">
        <f t="shared" ca="1" si="282"/>
        <v>3.4781224723307056</v>
      </c>
      <c r="CE262">
        <f t="shared" ca="1" si="283"/>
        <v>5790.9347915317312</v>
      </c>
    </row>
    <row r="263" spans="3:83" x14ac:dyDescent="0.25">
      <c r="D263" s="1"/>
      <c r="F263" s="1"/>
      <c r="H263" s="6"/>
      <c r="I263" s="6" t="s">
        <v>7</v>
      </c>
      <c r="J263" s="4"/>
      <c r="K263" s="6" t="s">
        <v>23</v>
      </c>
      <c r="L263" s="4"/>
      <c r="M263" s="6"/>
      <c r="N263" s="4"/>
      <c r="O263" s="27" t="s">
        <v>7</v>
      </c>
      <c r="P263" s="4"/>
      <c r="Q263" s="1"/>
      <c r="R263" s="79"/>
      <c r="T263" s="199"/>
      <c r="U263" s="200">
        <f t="shared" si="340"/>
        <v>0</v>
      </c>
      <c r="V263" s="200">
        <f t="shared" si="355"/>
        <v>0</v>
      </c>
      <c r="W263" s="176">
        <f>V263/Calculation_sheet!M$67</f>
        <v>0</v>
      </c>
      <c r="X263" s="958">
        <f ca="1">IF(AL263&gt;0,W263*Calculation_sheet!C$87,0)</f>
        <v>0</v>
      </c>
      <c r="Y263" s="176">
        <f t="shared" ca="1" si="356"/>
        <v>0</v>
      </c>
      <c r="Z263" s="176">
        <f>IF(AN263&gt;0,Y263*Calculation_sheet!C$94,0)</f>
        <v>0</v>
      </c>
      <c r="AA263" s="958">
        <f t="shared" ca="1" si="341"/>
        <v>0</v>
      </c>
      <c r="AB263" s="176">
        <f ca="1">AA263*Calculation_sheet!C$99</f>
        <v>0</v>
      </c>
      <c r="AC263" s="958">
        <f t="shared" ca="1" si="341"/>
        <v>0</v>
      </c>
      <c r="AD263" s="176">
        <f t="shared" si="357"/>
        <v>0</v>
      </c>
      <c r="AE263" s="176">
        <f>AD263*User_sheet!B$77/100</f>
        <v>0</v>
      </c>
      <c r="AF263" s="309"/>
      <c r="AG263" s="27">
        <v>403</v>
      </c>
      <c r="AH263" s="985"/>
      <c r="AI263" s="956">
        <f t="shared" ca="1" si="281"/>
        <v>50.537604834790415</v>
      </c>
      <c r="AJ263" s="956">
        <f ca="1">AI263/'403'!I$24</f>
        <v>0.35277663518712626</v>
      </c>
      <c r="AK263" s="956">
        <f ca="1">0.8*(AI263*30+'403'!D$17*0.34*30*1)</f>
        <v>3803.3611560349696</v>
      </c>
      <c r="AL263" s="954">
        <f ca="1">IF(AK263&lt;User_sheet!B$50,W263,0)</f>
        <v>0</v>
      </c>
      <c r="AM263" s="954">
        <f ca="1">20-(User_sheet!B$57/(AI263+'403'!D$17*1*0.34))</f>
        <v>-15.968185609439978</v>
      </c>
      <c r="AN263" s="954"/>
      <c r="AO263" s="985"/>
      <c r="AP263" s="2">
        <v>0</v>
      </c>
      <c r="AQ263" s="27">
        <v>0.43</v>
      </c>
      <c r="AR263" s="27">
        <v>0</v>
      </c>
      <c r="AS263" s="27">
        <v>2</v>
      </c>
      <c r="AT263" s="2">
        <v>0</v>
      </c>
      <c r="AU263" s="2">
        <v>0</v>
      </c>
      <c r="AV263" s="2">
        <v>74834</v>
      </c>
      <c r="AW263" s="2">
        <v>0</v>
      </c>
      <c r="AX263" s="2">
        <v>0</v>
      </c>
      <c r="AY263" s="2">
        <v>0</v>
      </c>
      <c r="AZ263" s="50">
        <v>0.6</v>
      </c>
      <c r="BA263" s="34">
        <v>0</v>
      </c>
      <c r="BB263" s="34">
        <v>0</v>
      </c>
      <c r="BC263" s="40">
        <v>1</v>
      </c>
      <c r="BD263" s="34">
        <v>0</v>
      </c>
      <c r="BE263" s="34">
        <v>0</v>
      </c>
      <c r="BF263" s="40">
        <v>1</v>
      </c>
      <c r="BG263" s="34">
        <v>1</v>
      </c>
      <c r="BH263" s="40">
        <v>0</v>
      </c>
      <c r="BI263" s="34">
        <v>0</v>
      </c>
      <c r="BJ263" s="34">
        <v>0</v>
      </c>
      <c r="BK263" s="40">
        <v>1</v>
      </c>
      <c r="BL263" s="199">
        <v>0.04</v>
      </c>
      <c r="BM263" s="958">
        <v>2.5</v>
      </c>
      <c r="BN263" s="32">
        <f t="shared" ca="1" si="342"/>
        <v>86.579499999999996</v>
      </c>
      <c r="BO263">
        <f t="shared" ca="1" si="343"/>
        <v>292.3576333333333</v>
      </c>
      <c r="BP263">
        <f t="shared" ca="1" si="344"/>
        <v>0</v>
      </c>
      <c r="BQ263">
        <f t="shared" ca="1" si="345"/>
        <v>40.706666666666663</v>
      </c>
      <c r="BR263">
        <f t="shared" ca="1" si="346"/>
        <v>0</v>
      </c>
      <c r="BS263">
        <f t="shared" ca="1" si="347"/>
        <v>15.99</v>
      </c>
      <c r="BT263">
        <f t="shared" ca="1" si="348"/>
        <v>0</v>
      </c>
      <c r="BU263">
        <v>0</v>
      </c>
      <c r="BV263">
        <f t="shared" ca="1" si="349"/>
        <v>0</v>
      </c>
      <c r="BW263">
        <f t="shared" ca="1" si="350"/>
        <v>16.289738180915744</v>
      </c>
      <c r="BX263">
        <f t="shared" ca="1" si="351"/>
        <v>0</v>
      </c>
      <c r="BY263">
        <f t="shared" ca="1" si="352"/>
        <v>31.979999987208004</v>
      </c>
      <c r="BZ263">
        <f t="shared" ca="1" si="353"/>
        <v>0</v>
      </c>
      <c r="CA263">
        <f t="shared" si="354"/>
        <v>0</v>
      </c>
      <c r="CB263" s="1018">
        <f t="shared" ca="1" si="358"/>
        <v>50.537604834790415</v>
      </c>
      <c r="CC263" s="1018">
        <f t="shared" ca="1" si="359"/>
        <v>65.39981090956644</v>
      </c>
      <c r="CD263">
        <f t="shared" ca="1" si="282"/>
        <v>3.4781224723307056</v>
      </c>
      <c r="CE263">
        <f t="shared" ca="1" si="283"/>
        <v>5790.9347915317312</v>
      </c>
    </row>
    <row r="264" spans="3:83" s="9" customFormat="1" x14ac:dyDescent="0.25">
      <c r="D264" s="10"/>
      <c r="F264" s="10"/>
      <c r="H264" s="10"/>
      <c r="I264" s="10"/>
      <c r="J264" s="10"/>
      <c r="K264" s="10"/>
      <c r="L264" s="10"/>
      <c r="M264" s="10"/>
      <c r="N264" s="10"/>
      <c r="O264" s="24"/>
      <c r="P264" s="10"/>
      <c r="Q264" s="10"/>
      <c r="R264" s="81"/>
      <c r="S264" s="881">
        <f>D195*B180</f>
        <v>4.813282E-2</v>
      </c>
      <c r="T264" s="279"/>
      <c r="U264" s="283"/>
      <c r="V264" s="283"/>
      <c r="W264" s="283"/>
      <c r="X264" s="283"/>
      <c r="Y264" s="283"/>
      <c r="Z264" s="283"/>
      <c r="AA264" s="279"/>
      <c r="AB264" s="283"/>
      <c r="AC264" s="279"/>
      <c r="AD264" s="283"/>
      <c r="AE264" s="283"/>
      <c r="AF264" s="309"/>
      <c r="AG264" s="24"/>
      <c r="AH264" s="985"/>
      <c r="AI264" s="956">
        <f t="shared" si="281"/>
        <v>0</v>
      </c>
      <c r="AJ264" s="916"/>
      <c r="AK264" s="916"/>
      <c r="AL264" s="916"/>
      <c r="AM264" s="916"/>
      <c r="AN264" s="916"/>
      <c r="AO264" s="985"/>
      <c r="AP264" s="24"/>
      <c r="AQ264" s="24"/>
      <c r="AR264" s="24"/>
      <c r="AS264" s="24"/>
      <c r="AT264" s="24"/>
      <c r="AU264" s="24"/>
      <c r="AV264" s="24"/>
      <c r="AW264" s="24"/>
      <c r="AX264" s="24"/>
      <c r="AY264" s="24"/>
      <c r="AZ264" s="51"/>
      <c r="BA264" s="279"/>
      <c r="BB264" s="24"/>
      <c r="BC264" s="51"/>
      <c r="BD264" s="279"/>
      <c r="BE264" s="24"/>
      <c r="BF264" s="51"/>
      <c r="BG264" s="279"/>
      <c r="BH264" s="51"/>
      <c r="BI264" s="279"/>
      <c r="BJ264" s="24"/>
      <c r="BK264" s="51"/>
      <c r="BL264" s="279"/>
      <c r="BM264" s="279"/>
      <c r="BN264" s="38"/>
    </row>
    <row r="265" spans="3:83" s="3" customFormat="1" x14ac:dyDescent="0.25">
      <c r="D265" s="861"/>
      <c r="E265" s="858"/>
      <c r="F265" s="861"/>
      <c r="G265" s="858"/>
      <c r="H265" s="858"/>
      <c r="I265" s="861"/>
      <c r="J265" s="856"/>
      <c r="K265" s="861"/>
      <c r="L265" s="861"/>
      <c r="M265" s="861" t="s">
        <v>60</v>
      </c>
      <c r="N265" s="861">
        <v>0.79797979797979801</v>
      </c>
      <c r="O265" s="857" t="s">
        <v>16</v>
      </c>
      <c r="P265" s="861">
        <v>0.48149999999999998</v>
      </c>
      <c r="Q265" s="861"/>
      <c r="R265" s="863">
        <v>1.6584667789446176E-2</v>
      </c>
      <c r="S265" s="274"/>
      <c r="T265" s="34">
        <f>R265</f>
        <v>1.6584667789446176E-2</v>
      </c>
      <c r="U265" s="200">
        <f>T265</f>
        <v>1.6584667789446176E-2</v>
      </c>
      <c r="V265" s="200">
        <f>U265</f>
        <v>1.6584667789446176E-2</v>
      </c>
      <c r="W265" s="176">
        <f>V265/Calculation_sheet!M$67</f>
        <v>1.658500688667296E-2</v>
      </c>
      <c r="X265" s="958">
        <f ca="1">IF(AL265&gt;0,W265*Calculation_sheet!C$87,0)</f>
        <v>0</v>
      </c>
      <c r="Y265" s="176">
        <f ca="1">W265-X265</f>
        <v>1.658500688667296E-2</v>
      </c>
      <c r="Z265" s="176">
        <f>IF(AN265&gt;0,Y265*Calculation_sheet!C$94,0)</f>
        <v>0</v>
      </c>
      <c r="AA265" s="958">
        <f t="shared" ref="AA265:AC273" ca="1" si="360">Y265-Z265</f>
        <v>1.658500688667296E-2</v>
      </c>
      <c r="AB265" s="176">
        <f ca="1">AA265*Calculation_sheet!C$99</f>
        <v>9.9510041320037754E-3</v>
      </c>
      <c r="AC265" s="958">
        <f t="shared" ca="1" si="360"/>
        <v>6.6340027546691847E-3</v>
      </c>
      <c r="AD265" s="176">
        <f>W265-Z265</f>
        <v>1.658500688667296E-2</v>
      </c>
      <c r="AE265" s="176">
        <f>AD265*User_sheet!B$77/100</f>
        <v>0</v>
      </c>
      <c r="AF265" s="309"/>
      <c r="AG265" s="27">
        <v>404</v>
      </c>
      <c r="AH265" s="985"/>
      <c r="AI265" s="956">
        <f t="shared" ca="1" si="281"/>
        <v>120.18815762338149</v>
      </c>
      <c r="AJ265" s="956">
        <f ca="1">AI265/'404'!I$24</f>
        <v>0.45398563731729802</v>
      </c>
      <c r="AK265" s="956">
        <f ca="1">0.8*(AI265*30+'404'!D$17*0.34*30*1+2500)</f>
        <v>8539.3797829611558</v>
      </c>
      <c r="AL265" s="954">
        <f ca="1">IF(AK265&lt;User_sheet!B$50,W265,0)</f>
        <v>1.658500688667296E-2</v>
      </c>
      <c r="AM265" s="954">
        <f ca="1">20-(User_sheet!B$57/(AI265+'403'!D$17*1*0.34))</f>
        <v>-4.9864180965454317</v>
      </c>
      <c r="AN265" s="954"/>
      <c r="AO265" s="985"/>
      <c r="AP265" s="27">
        <v>0</v>
      </c>
      <c r="AQ265" s="27">
        <v>0.32</v>
      </c>
      <c r="AR265" s="27">
        <v>0</v>
      </c>
      <c r="AS265" s="27">
        <v>2</v>
      </c>
      <c r="AT265" s="27">
        <v>0</v>
      </c>
      <c r="AU265" s="2">
        <v>0</v>
      </c>
      <c r="AV265" s="2">
        <v>73366.155837550017</v>
      </c>
      <c r="AW265" s="2">
        <v>0</v>
      </c>
      <c r="AX265" s="2">
        <v>0</v>
      </c>
      <c r="AY265" s="2">
        <v>0</v>
      </c>
      <c r="AZ265" s="50">
        <v>0.6</v>
      </c>
      <c r="BA265" s="199">
        <v>1</v>
      </c>
      <c r="BB265" s="199">
        <v>0</v>
      </c>
      <c r="BC265" s="50">
        <v>0</v>
      </c>
      <c r="BD265" s="199">
        <v>1</v>
      </c>
      <c r="BE265" s="199">
        <v>0</v>
      </c>
      <c r="BF265" s="50">
        <v>0</v>
      </c>
      <c r="BG265" s="199">
        <v>1</v>
      </c>
      <c r="BH265" s="50">
        <v>0</v>
      </c>
      <c r="BI265" s="199">
        <v>1</v>
      </c>
      <c r="BJ265" s="199">
        <v>0</v>
      </c>
      <c r="BK265" s="50">
        <v>0</v>
      </c>
      <c r="BL265" s="199">
        <v>0.15</v>
      </c>
      <c r="BM265" s="199">
        <v>6</v>
      </c>
      <c r="BN265" s="37">
        <f t="shared" ref="BN265:BN273" ca="1" si="361">INDIRECT("'"&amp;AG265&amp;"'!"&amp;"B2")</f>
        <v>149.30959999999999</v>
      </c>
      <c r="BO265" s="3">
        <f t="shared" ref="BO265:BO273" ca="1" si="362">INDIRECT("'"&amp;AG265&amp;"'!"&amp;"C12")+INDIRECT("'"&amp;AG265&amp;"'!"&amp;"C13")+INDIRECT("'"&amp;AG265&amp;"'!"&amp;"C14")+INDIRECT("'"&amp;AG265&amp;"'!"&amp;"C15")+INDIRECT("'"&amp;AG265&amp;"'!"&amp;"C17")</f>
        <v>438.00000000000006</v>
      </c>
      <c r="BP265" s="3">
        <f t="shared" ref="BP265:BP270" ca="1" si="363">INDIRECT("'"&amp;AG265&amp;"'!"&amp;"G5")</f>
        <v>0</v>
      </c>
      <c r="BQ265" s="3">
        <f t="shared" ref="BQ265:BQ270" ca="1" si="364">INDIRECT("'"&amp;AG265&amp;"'!"&amp;"G4")</f>
        <v>75.44</v>
      </c>
      <c r="BR265" s="3">
        <f t="shared" ref="BR265:BR270" ca="1" si="365">INDIRECT("'"&amp;AG265&amp;"'!"&amp;"G6")</f>
        <v>0</v>
      </c>
      <c r="BS265" s="3">
        <f t="shared" ref="BS265:BS270" ca="1" si="366">INDIRECT("'"&amp;AG265&amp;"'!"&amp;"G2")</f>
        <v>39.999999999999993</v>
      </c>
      <c r="BT265" s="3">
        <f t="shared" ref="BT265:BT270" ca="1" si="367">INDIRECT("'"&amp;AG265&amp;"'!"&amp;"G3")</f>
        <v>0</v>
      </c>
      <c r="BU265" s="3">
        <v>0</v>
      </c>
      <c r="BV265" s="3">
        <f t="shared" ref="BV265:BV273" ca="1" si="368">IF(OR(BP265=0,AP265=0),0,1/(1/(BP265*$BW$3)+1/(BP265*AP265)+1/(BP265*$BW$4)))</f>
        <v>0</v>
      </c>
      <c r="BW265" s="3">
        <f t="shared" ref="BW265:BW273" ca="1" si="369">IF(OR(BQ265=0,AQ265=0),0,1/(1/(BQ265*$BW$3)+1/(BQ265*AQ265)+1/(BQ265*$BW$4)))</f>
        <v>22.872157655381503</v>
      </c>
      <c r="BX265" s="3">
        <f t="shared" ref="BX265:BX273" ca="1" si="370">IF(OR(BR265=0,AR265=0),0,1/(1/(BR265*$BW$3)+1/(BR265*AR265)+1/(BR265*$BW$4)))</f>
        <v>0</v>
      </c>
      <c r="BY265" s="3">
        <f t="shared" ref="BY265:BY273" ca="1" si="371">IF(OR(BS265=0,AS265=0),0,1/(1/(BS265*$BW$5)+1/(BS265*AS265)+1/(BS265*$BW$6)))</f>
        <v>79.999999967999983</v>
      </c>
      <c r="BZ265" s="3">
        <f t="shared" ref="BZ265:BZ273" ca="1" si="372">IF(OR(BT265=0,AT265=0),0,1/(1/(BT265*$BW$3)+1/(BT265*AT265)+1/(BT265*$BW$4)))</f>
        <v>0</v>
      </c>
      <c r="CA265" s="3">
        <f t="shared" ref="CA265:CA273" si="373">IF(OR(BU265=0,AU265=0),0,1/(1/(BU265*$BW$3)+1/(BU265*AU265)+1/(BU265*$BW$4)))</f>
        <v>0</v>
      </c>
      <c r="CB265" s="1018">
        <f ca="1">SUM(BV265:CA265)+(BP265+BQ265+BR265+BS265+BT265)*BL265</f>
        <v>120.18815762338149</v>
      </c>
      <c r="CC265" s="1018">
        <f ca="1">0.34*BM265*(1/25)^0.66*(BQ265+BS265+BT265)</f>
        <v>28.141424657962947</v>
      </c>
      <c r="CD265" s="3">
        <f t="shared" ca="1" si="282"/>
        <v>4.449887468440334</v>
      </c>
      <c r="CE265" s="3">
        <f t="shared" ca="1" si="283"/>
        <v>7408.8846394544171</v>
      </c>
    </row>
    <row r="266" spans="3:83" s="3" customFormat="1" x14ac:dyDescent="0.25">
      <c r="D266" s="861"/>
      <c r="E266" s="858"/>
      <c r="F266" s="861"/>
      <c r="G266" s="858"/>
      <c r="H266" s="858"/>
      <c r="I266" s="861"/>
      <c r="J266" s="856"/>
      <c r="K266" s="861"/>
      <c r="L266" s="861"/>
      <c r="M266" s="861"/>
      <c r="N266" s="861"/>
      <c r="O266" s="857" t="s">
        <v>7</v>
      </c>
      <c r="P266" s="861">
        <v>0.51849999999999996</v>
      </c>
      <c r="Q266" s="861"/>
      <c r="R266" s="863">
        <v>1.7859086705769137E-2</v>
      </c>
      <c r="S266" s="274"/>
      <c r="T266" s="34">
        <f t="shared" ref="T266:T273" si="374">R266</f>
        <v>1.7859086705769137E-2</v>
      </c>
      <c r="U266" s="200">
        <f t="shared" ref="U266:U273" si="375">T266</f>
        <v>1.7859086705769137E-2</v>
      </c>
      <c r="V266" s="200">
        <f t="shared" ref="V266:V273" si="376">U266</f>
        <v>1.7859086705769137E-2</v>
      </c>
      <c r="W266" s="176">
        <f>V266/Calculation_sheet!M$67</f>
        <v>1.7859451860311373E-2</v>
      </c>
      <c r="X266" s="958">
        <f ca="1">IF(AL266&gt;0,W266*Calculation_sheet!C$87,0)</f>
        <v>0</v>
      </c>
      <c r="Y266" s="176">
        <f t="shared" ref="Y266:Y273" ca="1" si="377">W266-X266</f>
        <v>1.7859451860311373E-2</v>
      </c>
      <c r="Z266" s="176">
        <f>IF(AN266&gt;0,Y266*Calculation_sheet!C$94,0)</f>
        <v>0</v>
      </c>
      <c r="AA266" s="958">
        <f t="shared" ca="1" si="360"/>
        <v>1.7859451860311373E-2</v>
      </c>
      <c r="AB266" s="176">
        <f ca="1">AA266*Calculation_sheet!C$99</f>
        <v>1.0715671116186824E-2</v>
      </c>
      <c r="AC266" s="958">
        <f t="shared" ca="1" si="360"/>
        <v>7.1437807441245491E-3</v>
      </c>
      <c r="AD266" s="176">
        <f t="shared" ref="AD266:AD283" si="378">W266-Z266</f>
        <v>1.7859451860311373E-2</v>
      </c>
      <c r="AE266" s="176">
        <f>AD266*User_sheet!B$77/100</f>
        <v>0</v>
      </c>
      <c r="AF266" s="309"/>
      <c r="AG266" s="27">
        <v>404</v>
      </c>
      <c r="AH266" s="985"/>
      <c r="AI266" s="956">
        <f t="shared" ca="1" si="281"/>
        <v>120.18815762338149</v>
      </c>
      <c r="AJ266" s="956">
        <f ca="1">AI266/'404'!I$24</f>
        <v>0.45398563731729802</v>
      </c>
      <c r="AK266" s="956">
        <f ca="1">0.8*(AI266*30+'404'!D$17*0.34*30*1+2500)</f>
        <v>8539.3797829611558</v>
      </c>
      <c r="AL266" s="954">
        <f ca="1">IF(AK266&lt;User_sheet!B$50,W266,0)</f>
        <v>1.7859451860311373E-2</v>
      </c>
      <c r="AM266" s="954">
        <f ca="1">20-(User_sheet!B$57/(AI266+'403'!D$17*1*0.34))</f>
        <v>-4.9864180965454317</v>
      </c>
      <c r="AN266" s="954"/>
      <c r="AO266" s="985"/>
      <c r="AP266" s="27">
        <v>0</v>
      </c>
      <c r="AQ266" s="27">
        <v>0.32</v>
      </c>
      <c r="AR266" s="27">
        <v>0</v>
      </c>
      <c r="AS266" s="27">
        <v>2</v>
      </c>
      <c r="AT266" s="27">
        <v>0</v>
      </c>
      <c r="AU266" s="2">
        <v>0</v>
      </c>
      <c r="AV266" s="2">
        <v>73366.155837550017</v>
      </c>
      <c r="AW266" s="2">
        <v>0</v>
      </c>
      <c r="AX266" s="2">
        <v>0</v>
      </c>
      <c r="AY266" s="2">
        <v>0</v>
      </c>
      <c r="AZ266" s="50">
        <v>0.6</v>
      </c>
      <c r="BA266" s="199">
        <v>1</v>
      </c>
      <c r="BB266" s="199">
        <v>0</v>
      </c>
      <c r="BC266" s="50">
        <v>0</v>
      </c>
      <c r="BD266" s="199">
        <v>1</v>
      </c>
      <c r="BE266" s="199">
        <v>0</v>
      </c>
      <c r="BF266" s="50">
        <v>0</v>
      </c>
      <c r="BG266" s="199">
        <v>1</v>
      </c>
      <c r="BH266" s="50">
        <v>0</v>
      </c>
      <c r="BI266" s="199">
        <v>0</v>
      </c>
      <c r="BJ266" s="199">
        <v>0</v>
      </c>
      <c r="BK266" s="50">
        <v>1</v>
      </c>
      <c r="BL266" s="199">
        <v>0.15</v>
      </c>
      <c r="BM266" s="199">
        <v>6</v>
      </c>
      <c r="BN266" s="37">
        <f t="shared" ca="1" si="361"/>
        <v>149.30959999999999</v>
      </c>
      <c r="BO266" s="3">
        <f t="shared" ca="1" si="362"/>
        <v>438.00000000000006</v>
      </c>
      <c r="BP266" s="3">
        <f t="shared" ca="1" si="363"/>
        <v>0</v>
      </c>
      <c r="BQ266" s="3">
        <f t="shared" ca="1" si="364"/>
        <v>75.44</v>
      </c>
      <c r="BR266" s="3">
        <f t="shared" ca="1" si="365"/>
        <v>0</v>
      </c>
      <c r="BS266" s="3">
        <f t="shared" ca="1" si="366"/>
        <v>39.999999999999993</v>
      </c>
      <c r="BT266" s="3">
        <f t="shared" ca="1" si="367"/>
        <v>0</v>
      </c>
      <c r="BU266" s="3">
        <v>0</v>
      </c>
      <c r="BV266" s="3">
        <f t="shared" ca="1" si="368"/>
        <v>0</v>
      </c>
      <c r="BW266" s="3">
        <f t="shared" ca="1" si="369"/>
        <v>22.872157655381503</v>
      </c>
      <c r="BX266" s="3">
        <f t="shared" ca="1" si="370"/>
        <v>0</v>
      </c>
      <c r="BY266" s="3">
        <f t="shared" ca="1" si="371"/>
        <v>79.999999967999983</v>
      </c>
      <c r="BZ266" s="3">
        <f t="shared" ca="1" si="372"/>
        <v>0</v>
      </c>
      <c r="CA266" s="3">
        <f t="shared" si="373"/>
        <v>0</v>
      </c>
      <c r="CB266" s="1018">
        <f t="shared" ref="CB266:CB273" ca="1" si="379">SUM(BV266:CA266)+(BP266+BQ266+BR266+BS266+BT266)*BL266</f>
        <v>120.18815762338149</v>
      </c>
      <c r="CC266" s="1018">
        <f t="shared" ref="CC266:CC273" ca="1" si="380">0.34*BM266*(1/25)^0.66*(BQ266+BS266+BT266)</f>
        <v>28.141424657962947</v>
      </c>
      <c r="CD266" s="3">
        <f t="shared" ca="1" si="282"/>
        <v>4.449887468440334</v>
      </c>
      <c r="CE266" s="3">
        <f t="shared" ca="1" si="283"/>
        <v>7408.8846394544171</v>
      </c>
    </row>
    <row r="267" spans="3:83" s="3" customFormat="1" x14ac:dyDescent="0.25">
      <c r="D267" s="861"/>
      <c r="E267" s="858"/>
      <c r="F267" s="861"/>
      <c r="G267" s="858"/>
      <c r="H267" s="858"/>
      <c r="I267" s="861"/>
      <c r="J267" s="856"/>
      <c r="K267" s="861" t="s">
        <v>58</v>
      </c>
      <c r="L267" s="861">
        <v>0.95789473684210524</v>
      </c>
      <c r="M267" s="861" t="s">
        <v>61</v>
      </c>
      <c r="N267" s="861">
        <v>0.20202020202020199</v>
      </c>
      <c r="O267" s="857" t="s">
        <v>16</v>
      </c>
      <c r="P267" s="861">
        <v>0.48149999999999998</v>
      </c>
      <c r="Q267" s="861"/>
      <c r="R267" s="863">
        <v>4.1986500732775116E-3</v>
      </c>
      <c r="S267" s="274"/>
      <c r="T267" s="34">
        <f t="shared" si="374"/>
        <v>4.1986500732775116E-3</v>
      </c>
      <c r="U267" s="200">
        <f t="shared" si="375"/>
        <v>4.1986500732775116E-3</v>
      </c>
      <c r="V267" s="200">
        <f t="shared" si="376"/>
        <v>4.1986500732775116E-3</v>
      </c>
      <c r="W267" s="176">
        <f>V267/Calculation_sheet!M$67</f>
        <v>4.1987359206766975E-3</v>
      </c>
      <c r="X267" s="958">
        <f ca="1">IF(AL267&gt;0,W267*Calculation_sheet!C$87,0)</f>
        <v>0</v>
      </c>
      <c r="Y267" s="176">
        <f t="shared" ca="1" si="377"/>
        <v>4.1987359206766975E-3</v>
      </c>
      <c r="Z267" s="176">
        <f>IF(AN267&gt;0,Y267*Calculation_sheet!C$94,0)</f>
        <v>0</v>
      </c>
      <c r="AA267" s="958">
        <f t="shared" ca="1" si="360"/>
        <v>4.1987359206766975E-3</v>
      </c>
      <c r="AB267" s="176">
        <f ca="1">AA267*Calculation_sheet!C$99</f>
        <v>2.5192415524060183E-3</v>
      </c>
      <c r="AC267" s="958">
        <f t="shared" ca="1" si="360"/>
        <v>1.6794943682706793E-3</v>
      </c>
      <c r="AD267" s="176">
        <f t="shared" si="378"/>
        <v>4.1987359206766975E-3</v>
      </c>
      <c r="AE267" s="176">
        <f>AD267*User_sheet!B$77/100</f>
        <v>0</v>
      </c>
      <c r="AF267" s="309"/>
      <c r="AG267" s="27">
        <v>404</v>
      </c>
      <c r="AH267" s="985"/>
      <c r="AI267" s="956">
        <f t="shared" ca="1" si="281"/>
        <v>120.18815762338149</v>
      </c>
      <c r="AJ267" s="956">
        <f ca="1">AI267/'404'!I$24</f>
        <v>0.45398563731729802</v>
      </c>
      <c r="AK267" s="956">
        <f ca="1">0.8*(AI267*30+'404'!D$17*0.34*30*1+2500)</f>
        <v>8539.3797829611558</v>
      </c>
      <c r="AL267" s="954">
        <f ca="1">IF(AK267&lt;User_sheet!B$50,W267,0)</f>
        <v>4.1987359206766975E-3</v>
      </c>
      <c r="AM267" s="954">
        <f ca="1">20-(User_sheet!B$57/(AI267+'403'!D$17*1*0.34))</f>
        <v>-4.9864180965454317</v>
      </c>
      <c r="AN267" s="954"/>
      <c r="AO267" s="985"/>
      <c r="AP267" s="27">
        <v>0</v>
      </c>
      <c r="AQ267" s="27">
        <v>0.32</v>
      </c>
      <c r="AR267" s="27">
        <v>0</v>
      </c>
      <c r="AS267" s="27">
        <v>2</v>
      </c>
      <c r="AT267" s="27">
        <v>0</v>
      </c>
      <c r="AU267" s="2">
        <v>0</v>
      </c>
      <c r="AV267" s="2">
        <v>73366.155837550017</v>
      </c>
      <c r="AW267" s="2">
        <v>0</v>
      </c>
      <c r="AX267" s="2">
        <v>0</v>
      </c>
      <c r="AY267" s="2">
        <v>0</v>
      </c>
      <c r="AZ267" s="50">
        <v>0.6</v>
      </c>
      <c r="BA267" s="199">
        <v>1</v>
      </c>
      <c r="BB267" s="199">
        <v>0</v>
      </c>
      <c r="BC267" s="50">
        <v>0</v>
      </c>
      <c r="BD267" s="199">
        <v>1</v>
      </c>
      <c r="BE267" s="199">
        <v>0</v>
      </c>
      <c r="BF267" s="50">
        <v>0</v>
      </c>
      <c r="BG267" s="199">
        <v>0</v>
      </c>
      <c r="BH267" s="50">
        <v>1</v>
      </c>
      <c r="BI267" s="199">
        <v>1</v>
      </c>
      <c r="BJ267" s="199">
        <v>0</v>
      </c>
      <c r="BK267" s="50">
        <v>0</v>
      </c>
      <c r="BL267" s="199">
        <v>0.15</v>
      </c>
      <c r="BM267" s="199">
        <v>6</v>
      </c>
      <c r="BN267" s="37">
        <f t="shared" ca="1" si="361"/>
        <v>149.30959999999999</v>
      </c>
      <c r="BO267" s="3">
        <f t="shared" ca="1" si="362"/>
        <v>438.00000000000006</v>
      </c>
      <c r="BP267" s="3">
        <f t="shared" ca="1" si="363"/>
        <v>0</v>
      </c>
      <c r="BQ267" s="3">
        <f t="shared" ca="1" si="364"/>
        <v>75.44</v>
      </c>
      <c r="BR267" s="3">
        <f t="shared" ca="1" si="365"/>
        <v>0</v>
      </c>
      <c r="BS267" s="3">
        <f t="shared" ca="1" si="366"/>
        <v>39.999999999999993</v>
      </c>
      <c r="BT267" s="3">
        <f t="shared" ca="1" si="367"/>
        <v>0</v>
      </c>
      <c r="BU267" s="3">
        <v>0</v>
      </c>
      <c r="BV267" s="3">
        <f t="shared" ca="1" si="368"/>
        <v>0</v>
      </c>
      <c r="BW267" s="3">
        <f t="shared" ca="1" si="369"/>
        <v>22.872157655381503</v>
      </c>
      <c r="BX267" s="3">
        <f t="shared" ca="1" si="370"/>
        <v>0</v>
      </c>
      <c r="BY267" s="3">
        <f t="shared" ca="1" si="371"/>
        <v>79.999999967999983</v>
      </c>
      <c r="BZ267" s="3">
        <f t="shared" ca="1" si="372"/>
        <v>0</v>
      </c>
      <c r="CA267" s="3">
        <f t="shared" si="373"/>
        <v>0</v>
      </c>
      <c r="CB267" s="1018">
        <f t="shared" ca="1" si="379"/>
        <v>120.18815762338149</v>
      </c>
      <c r="CC267" s="1018">
        <f t="shared" ca="1" si="380"/>
        <v>28.141424657962947</v>
      </c>
      <c r="CD267" s="3">
        <f t="shared" ca="1" si="282"/>
        <v>4.449887468440334</v>
      </c>
      <c r="CE267" s="3">
        <f t="shared" ca="1" si="283"/>
        <v>7408.8846394544171</v>
      </c>
    </row>
    <row r="268" spans="3:83" s="3" customFormat="1" x14ac:dyDescent="0.25">
      <c r="D268" s="861"/>
      <c r="E268" s="858"/>
      <c r="F268" s="861"/>
      <c r="G268" s="858"/>
      <c r="H268" s="858"/>
      <c r="I268" s="861" t="s">
        <v>16</v>
      </c>
      <c r="J268" s="856">
        <v>0.75</v>
      </c>
      <c r="K268" s="861"/>
      <c r="L268" s="861"/>
      <c r="M268" s="861"/>
      <c r="N268" s="861"/>
      <c r="O268" s="857" t="s">
        <v>7</v>
      </c>
      <c r="P268" s="861">
        <v>0.51849999999999996</v>
      </c>
      <c r="Q268" s="861"/>
      <c r="R268" s="863">
        <v>4.5212877736124386E-3</v>
      </c>
      <c r="S268" s="274"/>
      <c r="T268" s="34">
        <f t="shared" si="374"/>
        <v>4.5212877736124386E-3</v>
      </c>
      <c r="U268" s="200">
        <f t="shared" si="375"/>
        <v>4.5212877736124386E-3</v>
      </c>
      <c r="V268" s="200">
        <f t="shared" si="376"/>
        <v>4.5212877736124386E-3</v>
      </c>
      <c r="W268" s="176">
        <f>V268/Calculation_sheet!M$67</f>
        <v>4.5213802178003465E-3</v>
      </c>
      <c r="X268" s="958">
        <f ca="1">IF(AL268&gt;0,W268*Calculation_sheet!C$87,0)</f>
        <v>0</v>
      </c>
      <c r="Y268" s="176">
        <f t="shared" ca="1" si="377"/>
        <v>4.5213802178003465E-3</v>
      </c>
      <c r="Z268" s="176">
        <f>IF(AN268&gt;0,Y268*Calculation_sheet!C$94,0)</f>
        <v>0</v>
      </c>
      <c r="AA268" s="958">
        <f t="shared" ca="1" si="360"/>
        <v>4.5213802178003465E-3</v>
      </c>
      <c r="AB268" s="176">
        <f ca="1">AA268*Calculation_sheet!C$99</f>
        <v>2.712828130680208E-3</v>
      </c>
      <c r="AC268" s="958">
        <f t="shared" ca="1" si="360"/>
        <v>1.8085520871201385E-3</v>
      </c>
      <c r="AD268" s="176">
        <f t="shared" si="378"/>
        <v>4.5213802178003465E-3</v>
      </c>
      <c r="AE268" s="176">
        <f>AD268*User_sheet!B$77/100</f>
        <v>0</v>
      </c>
      <c r="AF268" s="309"/>
      <c r="AG268" s="27">
        <v>404</v>
      </c>
      <c r="AH268" s="985"/>
      <c r="AI268" s="956">
        <f t="shared" ca="1" si="281"/>
        <v>120.18815762338149</v>
      </c>
      <c r="AJ268" s="956">
        <f ca="1">AI268/'404'!I$24</f>
        <v>0.45398563731729802</v>
      </c>
      <c r="AK268" s="956">
        <f ca="1">0.8*(AI268*30+'404'!D$17*0.34*30*1+2500)</f>
        <v>8539.3797829611558</v>
      </c>
      <c r="AL268" s="954">
        <f ca="1">IF(AK268&lt;User_sheet!B$50,W268,0)</f>
        <v>4.5213802178003465E-3</v>
      </c>
      <c r="AM268" s="954">
        <f ca="1">20-(User_sheet!B$57/(AI268+'403'!D$17*1*0.34))</f>
        <v>-4.9864180965454317</v>
      </c>
      <c r="AN268" s="954"/>
      <c r="AO268" s="985"/>
      <c r="AP268" s="27">
        <v>0</v>
      </c>
      <c r="AQ268" s="27">
        <v>0.32</v>
      </c>
      <c r="AR268" s="27">
        <v>0</v>
      </c>
      <c r="AS268" s="27">
        <v>2</v>
      </c>
      <c r="AT268" s="27">
        <v>0</v>
      </c>
      <c r="AU268" s="2">
        <v>0</v>
      </c>
      <c r="AV268" s="2">
        <v>73366.155837550017</v>
      </c>
      <c r="AW268" s="2">
        <v>0</v>
      </c>
      <c r="AX268" s="2">
        <v>0</v>
      </c>
      <c r="AY268" s="2">
        <v>0</v>
      </c>
      <c r="AZ268" s="50">
        <v>0.6</v>
      </c>
      <c r="BA268" s="199">
        <v>1</v>
      </c>
      <c r="BB268" s="199">
        <v>0</v>
      </c>
      <c r="BC268" s="50">
        <v>0</v>
      </c>
      <c r="BD268" s="199">
        <v>1</v>
      </c>
      <c r="BE268" s="199">
        <v>0</v>
      </c>
      <c r="BF268" s="50">
        <v>0</v>
      </c>
      <c r="BG268" s="199">
        <v>0</v>
      </c>
      <c r="BH268" s="50">
        <v>1</v>
      </c>
      <c r="BI268" s="199">
        <v>0</v>
      </c>
      <c r="BJ268" s="199">
        <v>0</v>
      </c>
      <c r="BK268" s="50">
        <v>1</v>
      </c>
      <c r="BL268" s="199">
        <v>0.15</v>
      </c>
      <c r="BM268" s="199">
        <v>6</v>
      </c>
      <c r="BN268" s="37">
        <f t="shared" ca="1" si="361"/>
        <v>149.30959999999999</v>
      </c>
      <c r="BO268" s="3">
        <f t="shared" ca="1" si="362"/>
        <v>438.00000000000006</v>
      </c>
      <c r="BP268" s="3">
        <f t="shared" ca="1" si="363"/>
        <v>0</v>
      </c>
      <c r="BQ268" s="3">
        <f t="shared" ca="1" si="364"/>
        <v>75.44</v>
      </c>
      <c r="BR268" s="3">
        <f t="shared" ca="1" si="365"/>
        <v>0</v>
      </c>
      <c r="BS268" s="3">
        <f t="shared" ca="1" si="366"/>
        <v>39.999999999999993</v>
      </c>
      <c r="BT268" s="3">
        <f t="shared" ca="1" si="367"/>
        <v>0</v>
      </c>
      <c r="BU268" s="3">
        <v>0</v>
      </c>
      <c r="BV268" s="3">
        <f t="shared" ca="1" si="368"/>
        <v>0</v>
      </c>
      <c r="BW268" s="3">
        <f t="shared" ca="1" si="369"/>
        <v>22.872157655381503</v>
      </c>
      <c r="BX268" s="3">
        <f t="shared" ca="1" si="370"/>
        <v>0</v>
      </c>
      <c r="BY268" s="3">
        <f t="shared" ca="1" si="371"/>
        <v>79.999999967999983</v>
      </c>
      <c r="BZ268" s="3">
        <f t="shared" ca="1" si="372"/>
        <v>0</v>
      </c>
      <c r="CA268" s="3">
        <f t="shared" si="373"/>
        <v>0</v>
      </c>
      <c r="CB268" s="1018">
        <f t="shared" ca="1" si="379"/>
        <v>120.18815762338149</v>
      </c>
      <c r="CC268" s="1018">
        <f t="shared" ca="1" si="380"/>
        <v>28.141424657962947</v>
      </c>
      <c r="CD268" s="3">
        <f t="shared" ca="1" si="282"/>
        <v>4.449887468440334</v>
      </c>
      <c r="CE268" s="3">
        <f t="shared" ca="1" si="283"/>
        <v>7408.8846394544171</v>
      </c>
    </row>
    <row r="269" spans="3:83" s="3" customFormat="1" x14ac:dyDescent="0.25">
      <c r="D269" s="861"/>
      <c r="E269" s="858"/>
      <c r="F269" s="861"/>
      <c r="G269" s="858"/>
      <c r="H269" s="858"/>
      <c r="I269" s="861"/>
      <c r="J269" s="856"/>
      <c r="K269" s="861" t="s">
        <v>59</v>
      </c>
      <c r="L269" s="861">
        <v>4.2105263157894736E-2</v>
      </c>
      <c r="M269" s="861"/>
      <c r="N269" s="861"/>
      <c r="O269" s="862" t="s">
        <v>16</v>
      </c>
      <c r="P269" s="861">
        <v>0.48149999999999998</v>
      </c>
      <c r="Q269" s="861"/>
      <c r="R269" s="863">
        <v>9.1355243352631574E-4</v>
      </c>
      <c r="S269" s="274"/>
      <c r="T269" s="34">
        <f t="shared" si="374"/>
        <v>9.1355243352631574E-4</v>
      </c>
      <c r="U269" s="200">
        <f t="shared" si="375"/>
        <v>9.1355243352631574E-4</v>
      </c>
      <c r="V269" s="200">
        <f t="shared" si="376"/>
        <v>9.1355243352631574E-4</v>
      </c>
      <c r="W269" s="176">
        <f>V269/Calculation_sheet!M$67</f>
        <v>9.1357111241097372E-4</v>
      </c>
      <c r="X269" s="958">
        <f ca="1">IF(AL269&gt;0,W269*Calculation_sheet!C$87,0)</f>
        <v>0</v>
      </c>
      <c r="Y269" s="176">
        <f t="shared" ca="1" si="377"/>
        <v>9.1357111241097372E-4</v>
      </c>
      <c r="Z269" s="176">
        <f>IF(AN269&gt;0,Y269*Calculation_sheet!C$94,0)</f>
        <v>0</v>
      </c>
      <c r="AA269" s="958">
        <f t="shared" ca="1" si="360"/>
        <v>9.1357111241097372E-4</v>
      </c>
      <c r="AB269" s="176">
        <f ca="1">AA269*Calculation_sheet!C$99</f>
        <v>5.4814266744658416E-4</v>
      </c>
      <c r="AC269" s="958">
        <f t="shared" ca="1" si="360"/>
        <v>3.6542844496438955E-4</v>
      </c>
      <c r="AD269" s="176">
        <f t="shared" si="378"/>
        <v>9.1357111241097372E-4</v>
      </c>
      <c r="AE269" s="176">
        <f>AD269*User_sheet!B$77/100</f>
        <v>0</v>
      </c>
      <c r="AF269" s="309"/>
      <c r="AG269" s="27">
        <v>404</v>
      </c>
      <c r="AH269" s="985"/>
      <c r="AI269" s="956">
        <f t="shared" ca="1" si="281"/>
        <v>120.18815762338149</v>
      </c>
      <c r="AJ269" s="956">
        <f ca="1">AI269/'404'!I$24</f>
        <v>0.45398563731729802</v>
      </c>
      <c r="AK269" s="956">
        <f ca="1">0.8*(AI269*30+'404'!D$17*0.34*30*1+2500)</f>
        <v>8539.3797829611558</v>
      </c>
      <c r="AL269" s="954">
        <f ca="1">IF(AK269&lt;User_sheet!B$50,W269,0)</f>
        <v>9.1357111241097372E-4</v>
      </c>
      <c r="AM269" s="954">
        <f ca="1">20-(User_sheet!B$57/(AI269+'403'!D$17*1*0.34))</f>
        <v>-4.9864180965454317</v>
      </c>
      <c r="AN269" s="954"/>
      <c r="AO269" s="985"/>
      <c r="AP269" s="27">
        <v>0</v>
      </c>
      <c r="AQ269" s="27">
        <v>0.32</v>
      </c>
      <c r="AR269" s="27">
        <v>0</v>
      </c>
      <c r="AS269" s="27">
        <v>2</v>
      </c>
      <c r="AT269" s="27">
        <v>0</v>
      </c>
      <c r="AU269" s="2">
        <v>0</v>
      </c>
      <c r="AV269" s="2">
        <v>73366.155837550017</v>
      </c>
      <c r="AW269" s="2">
        <v>0</v>
      </c>
      <c r="AX269" s="2">
        <v>0</v>
      </c>
      <c r="AY269" s="2">
        <v>0</v>
      </c>
      <c r="AZ269" s="50">
        <v>0.6</v>
      </c>
      <c r="BA269" s="199">
        <v>1</v>
      </c>
      <c r="BB269" s="199">
        <v>0</v>
      </c>
      <c r="BC269" s="50">
        <v>0</v>
      </c>
      <c r="BD269" s="199">
        <v>0</v>
      </c>
      <c r="BE269" s="199">
        <v>1</v>
      </c>
      <c r="BF269" s="50">
        <v>0</v>
      </c>
      <c r="BG269" s="199">
        <v>1</v>
      </c>
      <c r="BH269" s="50">
        <v>0</v>
      </c>
      <c r="BI269" s="199">
        <v>1</v>
      </c>
      <c r="BJ269" s="199">
        <v>0</v>
      </c>
      <c r="BK269" s="50">
        <v>0</v>
      </c>
      <c r="BL269" s="199">
        <v>0.15</v>
      </c>
      <c r="BM269" s="199">
        <v>6</v>
      </c>
      <c r="BN269" s="37">
        <f t="shared" ca="1" si="361"/>
        <v>149.30959999999999</v>
      </c>
      <c r="BO269" s="3">
        <f t="shared" ca="1" si="362"/>
        <v>438.00000000000006</v>
      </c>
      <c r="BP269" s="3">
        <f t="shared" ca="1" si="363"/>
        <v>0</v>
      </c>
      <c r="BQ269" s="3">
        <f t="shared" ca="1" si="364"/>
        <v>75.44</v>
      </c>
      <c r="BR269" s="3">
        <f t="shared" ca="1" si="365"/>
        <v>0</v>
      </c>
      <c r="BS269" s="3">
        <f t="shared" ca="1" si="366"/>
        <v>39.999999999999993</v>
      </c>
      <c r="BT269" s="3">
        <f t="shared" ca="1" si="367"/>
        <v>0</v>
      </c>
      <c r="BU269" s="3">
        <v>0</v>
      </c>
      <c r="BV269" s="3">
        <f t="shared" ca="1" si="368"/>
        <v>0</v>
      </c>
      <c r="BW269" s="3">
        <f t="shared" ca="1" si="369"/>
        <v>22.872157655381503</v>
      </c>
      <c r="BX269" s="3">
        <f t="shared" ca="1" si="370"/>
        <v>0</v>
      </c>
      <c r="BY269" s="3">
        <f t="shared" ca="1" si="371"/>
        <v>79.999999967999983</v>
      </c>
      <c r="BZ269" s="3">
        <f t="shared" ca="1" si="372"/>
        <v>0</v>
      </c>
      <c r="CA269" s="3">
        <f t="shared" si="373"/>
        <v>0</v>
      </c>
      <c r="CB269" s="1018">
        <f t="shared" ca="1" si="379"/>
        <v>120.18815762338149</v>
      </c>
      <c r="CC269" s="1018">
        <f t="shared" ca="1" si="380"/>
        <v>28.141424657962947</v>
      </c>
      <c r="CD269" s="3">
        <f t="shared" ca="1" si="282"/>
        <v>4.449887468440334</v>
      </c>
      <c r="CE269" s="3">
        <f t="shared" ca="1" si="283"/>
        <v>7408.8846394544171</v>
      </c>
    </row>
    <row r="270" spans="3:83" s="3" customFormat="1" x14ac:dyDescent="0.25">
      <c r="D270" s="861"/>
      <c r="E270" s="858"/>
      <c r="F270" s="861"/>
      <c r="G270" s="858"/>
      <c r="H270" s="858"/>
      <c r="I270" s="861"/>
      <c r="J270" s="856"/>
      <c r="K270" s="861"/>
      <c r="L270" s="861"/>
      <c r="M270" s="861"/>
      <c r="N270" s="861"/>
      <c r="O270" s="862" t="s">
        <v>7</v>
      </c>
      <c r="P270" s="861">
        <v>0.51849999999999996</v>
      </c>
      <c r="Q270" s="861"/>
      <c r="R270" s="863">
        <v>9.83752724368421E-4</v>
      </c>
      <c r="S270" s="274"/>
      <c r="T270" s="34">
        <f t="shared" si="374"/>
        <v>9.83752724368421E-4</v>
      </c>
      <c r="U270" s="200">
        <f t="shared" si="375"/>
        <v>9.83752724368421E-4</v>
      </c>
      <c r="V270" s="200">
        <f t="shared" si="376"/>
        <v>9.83752724368421E-4</v>
      </c>
      <c r="W270" s="176">
        <f>V270/Calculation_sheet!M$67</f>
        <v>9.8377283859831747E-4</v>
      </c>
      <c r="X270" s="958">
        <f ca="1">IF(AL270&gt;0,W270*Calculation_sheet!C$87,0)</f>
        <v>0</v>
      </c>
      <c r="Y270" s="176">
        <f t="shared" ca="1" si="377"/>
        <v>9.8377283859831747E-4</v>
      </c>
      <c r="Z270" s="176">
        <f>IF(AN270&gt;0,Y270*Calculation_sheet!C$94,0)</f>
        <v>0</v>
      </c>
      <c r="AA270" s="958">
        <f t="shared" ca="1" si="360"/>
        <v>9.8377283859831747E-4</v>
      </c>
      <c r="AB270" s="176">
        <f ca="1">AA270*Calculation_sheet!C$99</f>
        <v>5.902637031589905E-4</v>
      </c>
      <c r="AC270" s="958">
        <f t="shared" ca="1" si="360"/>
        <v>3.9350913543932697E-4</v>
      </c>
      <c r="AD270" s="176">
        <f t="shared" si="378"/>
        <v>9.8377283859831747E-4</v>
      </c>
      <c r="AE270" s="176">
        <f>AD270*User_sheet!B$77/100</f>
        <v>0</v>
      </c>
      <c r="AF270" s="309"/>
      <c r="AG270" s="27">
        <v>404</v>
      </c>
      <c r="AH270" s="985"/>
      <c r="AI270" s="956">
        <f t="shared" ref="AI270:AI330" ca="1" si="381">CB270</f>
        <v>120.18815762338149</v>
      </c>
      <c r="AJ270" s="956">
        <f ca="1">AI270/'404'!I$24</f>
        <v>0.45398563731729802</v>
      </c>
      <c r="AK270" s="956">
        <f ca="1">0.8*(AI270*30+'404'!D$17*0.34*30*1+2500)</f>
        <v>8539.3797829611558</v>
      </c>
      <c r="AL270" s="954">
        <f ca="1">IF(AK270&lt;User_sheet!B$50,W270,0)</f>
        <v>9.8377283859831747E-4</v>
      </c>
      <c r="AM270" s="954">
        <f ca="1">20-(User_sheet!B$57/(AI270+'403'!D$17*1*0.34))</f>
        <v>-4.9864180965454317</v>
      </c>
      <c r="AN270" s="954"/>
      <c r="AO270" s="985"/>
      <c r="AP270" s="27">
        <v>0</v>
      </c>
      <c r="AQ270" s="27">
        <v>0.32</v>
      </c>
      <c r="AR270" s="27">
        <v>0</v>
      </c>
      <c r="AS270" s="27">
        <v>2</v>
      </c>
      <c r="AT270" s="27">
        <v>0</v>
      </c>
      <c r="AU270" s="2">
        <v>0</v>
      </c>
      <c r="AV270" s="2">
        <v>73366.155837550017</v>
      </c>
      <c r="AW270" s="2"/>
      <c r="AX270" s="2"/>
      <c r="AY270" s="2"/>
      <c r="AZ270" s="50">
        <v>0.6</v>
      </c>
      <c r="BA270" s="199">
        <v>1</v>
      </c>
      <c r="BB270" s="199">
        <v>0</v>
      </c>
      <c r="BC270" s="50">
        <v>0</v>
      </c>
      <c r="BD270" s="199">
        <v>0</v>
      </c>
      <c r="BE270" s="199">
        <v>1</v>
      </c>
      <c r="BF270" s="50">
        <v>0</v>
      </c>
      <c r="BG270" s="199">
        <v>1</v>
      </c>
      <c r="BH270" s="50">
        <v>0</v>
      </c>
      <c r="BI270" s="199">
        <v>0</v>
      </c>
      <c r="BJ270" s="199">
        <v>0</v>
      </c>
      <c r="BK270" s="50">
        <v>1</v>
      </c>
      <c r="BL270" s="199">
        <v>0.15</v>
      </c>
      <c r="BM270" s="199">
        <v>6</v>
      </c>
      <c r="BN270" s="37">
        <f t="shared" ca="1" si="361"/>
        <v>149.30959999999999</v>
      </c>
      <c r="BO270" s="3">
        <f t="shared" ca="1" si="362"/>
        <v>438.00000000000006</v>
      </c>
      <c r="BP270" s="3">
        <f t="shared" ca="1" si="363"/>
        <v>0</v>
      </c>
      <c r="BQ270" s="3">
        <f t="shared" ca="1" si="364"/>
        <v>75.44</v>
      </c>
      <c r="BR270" s="3">
        <f t="shared" ca="1" si="365"/>
        <v>0</v>
      </c>
      <c r="BS270" s="3">
        <f t="shared" ca="1" si="366"/>
        <v>39.999999999999993</v>
      </c>
      <c r="BT270" s="3">
        <f t="shared" ca="1" si="367"/>
        <v>0</v>
      </c>
      <c r="BU270" s="3">
        <v>0</v>
      </c>
      <c r="BV270" s="3">
        <f t="shared" ca="1" si="368"/>
        <v>0</v>
      </c>
      <c r="BW270" s="3">
        <f t="shared" ca="1" si="369"/>
        <v>22.872157655381503</v>
      </c>
      <c r="BX270" s="3">
        <f t="shared" ca="1" si="370"/>
        <v>0</v>
      </c>
      <c r="BY270" s="3">
        <f t="shared" ca="1" si="371"/>
        <v>79.999999967999983</v>
      </c>
      <c r="BZ270" s="3">
        <f t="shared" ca="1" si="372"/>
        <v>0</v>
      </c>
      <c r="CA270" s="3">
        <f t="shared" si="373"/>
        <v>0</v>
      </c>
      <c r="CB270" s="1018">
        <f t="shared" ca="1" si="379"/>
        <v>120.18815762338149</v>
      </c>
      <c r="CC270" s="1018">
        <f t="shared" ca="1" si="380"/>
        <v>28.141424657962947</v>
      </c>
      <c r="CD270" s="3">
        <f t="shared" ref="CD270:CD330" ca="1" si="382">(CB270+CC270)*($BW$7-$BT$5)/1000</f>
        <v>4.449887468440334</v>
      </c>
      <c r="CE270" s="3">
        <f t="shared" ref="CE270:CE330" ca="1" si="383">$BT$8*(CB270+CC270)*($BW$10-$BT$7)*24/1000</f>
        <v>7408.8846394544171</v>
      </c>
    </row>
    <row r="271" spans="3:83" x14ac:dyDescent="0.25">
      <c r="C271" s="855"/>
      <c r="D271" s="856"/>
      <c r="E271" s="855"/>
      <c r="F271" s="856"/>
      <c r="G271" s="855"/>
      <c r="H271" s="855"/>
      <c r="I271" s="861"/>
      <c r="J271" s="856"/>
      <c r="K271" s="861"/>
      <c r="L271" s="861"/>
      <c r="M271" s="861" t="s">
        <v>60</v>
      </c>
      <c r="N271" s="861">
        <v>0.55555555599999995</v>
      </c>
      <c r="O271" s="857" t="s">
        <v>57</v>
      </c>
      <c r="P271" s="861">
        <v>1</v>
      </c>
      <c r="Q271" s="856"/>
      <c r="R271" s="863">
        <v>7.5101660000000004E-3</v>
      </c>
      <c r="T271" s="34">
        <f t="shared" si="374"/>
        <v>7.5101660000000004E-3</v>
      </c>
      <c r="U271" s="200">
        <f t="shared" si="375"/>
        <v>7.5101660000000004E-3</v>
      </c>
      <c r="V271" s="200">
        <f t="shared" si="376"/>
        <v>7.5101660000000004E-3</v>
      </c>
      <c r="W271" s="176">
        <f>V271/Calculation_sheet!M$67</f>
        <v>7.5103195560733338E-3</v>
      </c>
      <c r="X271" s="958">
        <f ca="1">IF(AL271&gt;0,W271*Calculation_sheet!C$87,0)</f>
        <v>0</v>
      </c>
      <c r="Y271" s="176">
        <f t="shared" ca="1" si="377"/>
        <v>7.5103195560733338E-3</v>
      </c>
      <c r="Z271" s="176">
        <f>IF(AN271&gt;0,Y271*Calculation_sheet!C$94,0)</f>
        <v>0</v>
      </c>
      <c r="AA271" s="958">
        <f t="shared" ca="1" si="360"/>
        <v>7.5103195560733338E-3</v>
      </c>
      <c r="AB271" s="176">
        <f ca="1">AA271*Calculation_sheet!C$99</f>
        <v>4.5061917336440003E-3</v>
      </c>
      <c r="AC271" s="958">
        <f t="shared" ca="1" si="360"/>
        <v>3.0041278224293335E-3</v>
      </c>
      <c r="AD271" s="176">
        <f t="shared" si="378"/>
        <v>7.5103195560733338E-3</v>
      </c>
      <c r="AE271" s="176">
        <f>AD271*User_sheet!B$77/100</f>
        <v>0</v>
      </c>
      <c r="AF271" s="309"/>
      <c r="AG271" s="27">
        <v>404</v>
      </c>
      <c r="AH271" s="985"/>
      <c r="AI271" s="956">
        <f t="shared" ca="1" si="381"/>
        <v>120.18815762338149</v>
      </c>
      <c r="AJ271" s="956">
        <f ca="1">AI271/'404'!I$24</f>
        <v>0.45398563731729802</v>
      </c>
      <c r="AK271" s="956">
        <f ca="1">0.8*(AI271*30+'404'!D$17*0.34*30*1+2500)</f>
        <v>8539.3797829611558</v>
      </c>
      <c r="AL271" s="954">
        <f ca="1">IF(AK271&lt;User_sheet!B$50,W271,0)</f>
        <v>7.5103195560733338E-3</v>
      </c>
      <c r="AM271" s="954">
        <f ca="1">20-(User_sheet!B$57/(AI271+'403'!D$17*1*0.34))</f>
        <v>-4.9864180965454317</v>
      </c>
      <c r="AN271" s="954"/>
      <c r="AO271" s="985"/>
      <c r="AP271" s="27">
        <v>0</v>
      </c>
      <c r="AQ271" s="27">
        <v>0.32</v>
      </c>
      <c r="AR271" s="27">
        <v>0</v>
      </c>
      <c r="AS271" s="27">
        <v>2</v>
      </c>
      <c r="AT271" s="27">
        <v>0</v>
      </c>
      <c r="AU271" s="2">
        <v>0</v>
      </c>
      <c r="AV271" s="2">
        <v>73366.155837550017</v>
      </c>
      <c r="AW271" s="2">
        <v>0</v>
      </c>
      <c r="AX271" s="2">
        <v>0</v>
      </c>
      <c r="AY271" s="2">
        <v>0</v>
      </c>
      <c r="AZ271" s="50">
        <v>0.6</v>
      </c>
      <c r="BA271" s="199">
        <v>0</v>
      </c>
      <c r="BB271" s="199">
        <v>1</v>
      </c>
      <c r="BC271" s="50">
        <v>0</v>
      </c>
      <c r="BD271" s="199">
        <v>1</v>
      </c>
      <c r="BE271" s="199">
        <v>0</v>
      </c>
      <c r="BF271" s="50">
        <v>0</v>
      </c>
      <c r="BG271" s="199">
        <v>1</v>
      </c>
      <c r="BH271" s="50">
        <v>0</v>
      </c>
      <c r="BI271" s="199">
        <v>0</v>
      </c>
      <c r="BJ271" s="199">
        <v>1</v>
      </c>
      <c r="BK271" s="50">
        <v>0</v>
      </c>
      <c r="BL271" s="199">
        <v>0.15</v>
      </c>
      <c r="BM271" s="199">
        <v>6</v>
      </c>
      <c r="BN271" s="32">
        <f t="shared" ca="1" si="361"/>
        <v>149.30959999999999</v>
      </c>
      <c r="BO271">
        <f t="shared" ca="1" si="362"/>
        <v>438.00000000000006</v>
      </c>
      <c r="BP271">
        <f t="shared" ref="BP271:BP330" ca="1" si="384">INDIRECT("'"&amp;AG271&amp;"'!"&amp;"G5")</f>
        <v>0</v>
      </c>
      <c r="BQ271">
        <f t="shared" ref="BQ271:BQ330" ca="1" si="385">INDIRECT("'"&amp;AG271&amp;"'!"&amp;"G4")</f>
        <v>75.44</v>
      </c>
      <c r="BR271">
        <f t="shared" ref="BR271:BR330" ca="1" si="386">INDIRECT("'"&amp;AG271&amp;"'!"&amp;"G6")</f>
        <v>0</v>
      </c>
      <c r="BS271">
        <f t="shared" ref="BS271:BS330" ca="1" si="387">INDIRECT("'"&amp;AG271&amp;"'!"&amp;"G2")</f>
        <v>39.999999999999993</v>
      </c>
      <c r="BT271">
        <f t="shared" ref="BT271:BT330" ca="1" si="388">INDIRECT("'"&amp;AG271&amp;"'!"&amp;"G3")</f>
        <v>0</v>
      </c>
      <c r="BU271">
        <v>0</v>
      </c>
      <c r="BV271">
        <f t="shared" ca="1" si="368"/>
        <v>0</v>
      </c>
      <c r="BW271">
        <f t="shared" ca="1" si="369"/>
        <v>22.872157655381503</v>
      </c>
      <c r="BX271">
        <f t="shared" ca="1" si="370"/>
        <v>0</v>
      </c>
      <c r="BY271">
        <f t="shared" ca="1" si="371"/>
        <v>79.999999967999983</v>
      </c>
      <c r="BZ271">
        <f t="shared" ca="1" si="372"/>
        <v>0</v>
      </c>
      <c r="CA271">
        <f t="shared" si="373"/>
        <v>0</v>
      </c>
      <c r="CB271" s="1018">
        <f t="shared" ca="1" si="379"/>
        <v>120.18815762338149</v>
      </c>
      <c r="CC271" s="1018">
        <f t="shared" ca="1" si="380"/>
        <v>28.141424657962947</v>
      </c>
      <c r="CD271">
        <f t="shared" ca="1" si="382"/>
        <v>4.449887468440334</v>
      </c>
      <c r="CE271">
        <f t="shared" ca="1" si="383"/>
        <v>7408.8846394544171</v>
      </c>
    </row>
    <row r="272" spans="3:83" x14ac:dyDescent="0.25">
      <c r="C272" s="855"/>
      <c r="D272" s="856"/>
      <c r="E272" s="855"/>
      <c r="F272" s="856"/>
      <c r="G272" s="855"/>
      <c r="H272" s="856"/>
      <c r="I272" s="861"/>
      <c r="J272" s="856"/>
      <c r="K272" s="861" t="s">
        <v>58</v>
      </c>
      <c r="L272" s="861">
        <v>0.9</v>
      </c>
      <c r="M272" s="861" t="s">
        <v>61</v>
      </c>
      <c r="N272" s="861">
        <v>0.44444444399999999</v>
      </c>
      <c r="O272" s="862" t="s">
        <v>57</v>
      </c>
      <c r="P272" s="861">
        <v>1</v>
      </c>
      <c r="Q272" s="856"/>
      <c r="R272" s="863">
        <v>6.0081329999999997E-3</v>
      </c>
      <c r="T272" s="34">
        <f t="shared" si="374"/>
        <v>6.0081329999999997E-3</v>
      </c>
      <c r="U272" s="200">
        <f t="shared" si="375"/>
        <v>6.0081329999999997E-3</v>
      </c>
      <c r="V272" s="200">
        <f t="shared" si="376"/>
        <v>6.0081329999999997E-3</v>
      </c>
      <c r="W272" s="176">
        <f>V272/Calculation_sheet!M$67</f>
        <v>6.0082558448627558E-3</v>
      </c>
      <c r="X272" s="958">
        <f ca="1">IF(AL272&gt;0,W272*Calculation_sheet!C$87,0)</f>
        <v>0</v>
      </c>
      <c r="Y272" s="176">
        <f t="shared" ca="1" si="377"/>
        <v>6.0082558448627558E-3</v>
      </c>
      <c r="Z272" s="176">
        <f>IF(AN272&gt;0,Y272*Calculation_sheet!C$94,0)</f>
        <v>0</v>
      </c>
      <c r="AA272" s="958">
        <f t="shared" ca="1" si="360"/>
        <v>6.0082558448627558E-3</v>
      </c>
      <c r="AB272" s="176">
        <f ca="1">AA272*Calculation_sheet!C$99</f>
        <v>3.6049535069176534E-3</v>
      </c>
      <c r="AC272" s="958">
        <f t="shared" ca="1" si="360"/>
        <v>2.4033023379451024E-3</v>
      </c>
      <c r="AD272" s="176">
        <f t="shared" si="378"/>
        <v>6.0082558448627558E-3</v>
      </c>
      <c r="AE272" s="176">
        <f>AD272*User_sheet!B$77/100</f>
        <v>0</v>
      </c>
      <c r="AF272" s="309"/>
      <c r="AG272" s="27">
        <v>404</v>
      </c>
      <c r="AH272" s="985"/>
      <c r="AI272" s="956">
        <f t="shared" ca="1" si="381"/>
        <v>120.18815762338149</v>
      </c>
      <c r="AJ272" s="956">
        <f ca="1">AI272/'404'!I$24</f>
        <v>0.45398563731729802</v>
      </c>
      <c r="AK272" s="956">
        <f ca="1">0.8*(AI272*30+'404'!D$17*0.34*30*1+2500)</f>
        <v>8539.3797829611558</v>
      </c>
      <c r="AL272" s="954">
        <f ca="1">IF(AK272&lt;User_sheet!B$50,W272,0)</f>
        <v>6.0082558448627558E-3</v>
      </c>
      <c r="AM272" s="954">
        <f ca="1">20-(User_sheet!B$57/(AI272+'403'!D$17*1*0.34))</f>
        <v>-4.9864180965454317</v>
      </c>
      <c r="AN272" s="954"/>
      <c r="AO272" s="985"/>
      <c r="AP272" s="27">
        <v>0</v>
      </c>
      <c r="AQ272" s="27">
        <v>0.32</v>
      </c>
      <c r="AR272" s="27">
        <v>0</v>
      </c>
      <c r="AS272" s="27">
        <v>2</v>
      </c>
      <c r="AT272" s="27">
        <v>0</v>
      </c>
      <c r="AU272" s="2">
        <v>0</v>
      </c>
      <c r="AV272" s="2">
        <v>73366.155837550017</v>
      </c>
      <c r="AW272" s="2">
        <v>0</v>
      </c>
      <c r="AX272" s="2">
        <v>0</v>
      </c>
      <c r="AY272" s="2">
        <v>0</v>
      </c>
      <c r="AZ272" s="50">
        <v>0.6</v>
      </c>
      <c r="BA272" s="199">
        <v>0</v>
      </c>
      <c r="BB272" s="199">
        <v>1</v>
      </c>
      <c r="BC272" s="50">
        <v>0</v>
      </c>
      <c r="BD272" s="199">
        <v>1</v>
      </c>
      <c r="BE272" s="199">
        <v>0</v>
      </c>
      <c r="BF272" s="50">
        <v>0</v>
      </c>
      <c r="BG272" s="199">
        <v>0</v>
      </c>
      <c r="BH272" s="50">
        <v>1</v>
      </c>
      <c r="BI272" s="199">
        <v>0</v>
      </c>
      <c r="BJ272" s="199">
        <v>1</v>
      </c>
      <c r="BK272" s="50">
        <v>0</v>
      </c>
      <c r="BL272" s="199">
        <v>0.15</v>
      </c>
      <c r="BM272" s="199">
        <v>6</v>
      </c>
      <c r="BN272" s="32">
        <f t="shared" ca="1" si="361"/>
        <v>149.30959999999999</v>
      </c>
      <c r="BO272">
        <f t="shared" ca="1" si="362"/>
        <v>438.00000000000006</v>
      </c>
      <c r="BP272">
        <f t="shared" ca="1" si="384"/>
        <v>0</v>
      </c>
      <c r="BQ272">
        <f t="shared" ca="1" si="385"/>
        <v>75.44</v>
      </c>
      <c r="BR272">
        <f t="shared" ca="1" si="386"/>
        <v>0</v>
      </c>
      <c r="BS272">
        <f t="shared" ca="1" si="387"/>
        <v>39.999999999999993</v>
      </c>
      <c r="BT272">
        <f t="shared" ca="1" si="388"/>
        <v>0</v>
      </c>
      <c r="BU272">
        <v>0</v>
      </c>
      <c r="BV272">
        <f t="shared" ca="1" si="368"/>
        <v>0</v>
      </c>
      <c r="BW272">
        <f t="shared" ca="1" si="369"/>
        <v>22.872157655381503</v>
      </c>
      <c r="BX272">
        <f t="shared" ca="1" si="370"/>
        <v>0</v>
      </c>
      <c r="BY272">
        <f t="shared" ca="1" si="371"/>
        <v>79.999999967999983</v>
      </c>
      <c r="BZ272">
        <f t="shared" ca="1" si="372"/>
        <v>0</v>
      </c>
      <c r="CA272">
        <f t="shared" si="373"/>
        <v>0</v>
      </c>
      <c r="CB272" s="1018">
        <f t="shared" ca="1" si="379"/>
        <v>120.18815762338149</v>
      </c>
      <c r="CC272" s="1018">
        <f t="shared" ca="1" si="380"/>
        <v>28.141424657962947</v>
      </c>
      <c r="CD272">
        <f t="shared" ca="1" si="382"/>
        <v>4.449887468440334</v>
      </c>
      <c r="CE272">
        <f t="shared" ca="1" si="383"/>
        <v>7408.8846394544171</v>
      </c>
    </row>
    <row r="273" spans="3:83" x14ac:dyDescent="0.25">
      <c r="C273" s="855"/>
      <c r="D273" s="856"/>
      <c r="E273" s="855" t="s">
        <v>4</v>
      </c>
      <c r="F273" s="860">
        <v>0.87</v>
      </c>
      <c r="G273" s="855" t="s">
        <v>5</v>
      </c>
      <c r="H273" s="860">
        <v>1</v>
      </c>
      <c r="I273" s="861" t="s">
        <v>57</v>
      </c>
      <c r="J273" s="856">
        <v>0.25</v>
      </c>
      <c r="K273" s="861" t="s">
        <v>59</v>
      </c>
      <c r="L273" s="861">
        <v>0.1</v>
      </c>
      <c r="M273" s="861"/>
      <c r="N273" s="861"/>
      <c r="O273" s="862" t="s">
        <v>57</v>
      </c>
      <c r="P273" s="861">
        <v>1</v>
      </c>
      <c r="Q273" s="856"/>
      <c r="R273" s="863">
        <v>1.5020330000000001E-3</v>
      </c>
      <c r="T273" s="34">
        <f t="shared" si="374"/>
        <v>1.5020330000000001E-3</v>
      </c>
      <c r="U273" s="200">
        <f t="shared" si="375"/>
        <v>1.5020330000000001E-3</v>
      </c>
      <c r="V273" s="200">
        <f t="shared" si="376"/>
        <v>1.5020330000000001E-3</v>
      </c>
      <c r="W273" s="176">
        <f>V273/Calculation_sheet!M$67</f>
        <v>1.5020637112105773E-3</v>
      </c>
      <c r="X273" s="958">
        <f ca="1">IF(AL273&gt;0,W273*Calculation_sheet!C$87,0)</f>
        <v>0</v>
      </c>
      <c r="Y273" s="176">
        <f t="shared" ca="1" si="377"/>
        <v>1.5020637112105773E-3</v>
      </c>
      <c r="Z273" s="176">
        <f>IF(AN273&gt;0,Y273*Calculation_sheet!C$94,0)</f>
        <v>0</v>
      </c>
      <c r="AA273" s="958">
        <f t="shared" ca="1" si="360"/>
        <v>1.5020637112105773E-3</v>
      </c>
      <c r="AB273" s="176">
        <f ca="1">AA273*Calculation_sheet!C$99</f>
        <v>9.0123822672634631E-4</v>
      </c>
      <c r="AC273" s="958">
        <f t="shared" ca="1" si="360"/>
        <v>6.0082548448423098E-4</v>
      </c>
      <c r="AD273" s="176">
        <f t="shared" si="378"/>
        <v>1.5020637112105773E-3</v>
      </c>
      <c r="AE273" s="176">
        <f>AD273*User_sheet!B$77/100</f>
        <v>0</v>
      </c>
      <c r="AF273" s="309"/>
      <c r="AG273" s="27">
        <v>404</v>
      </c>
      <c r="AH273" s="985"/>
      <c r="AI273" s="956">
        <f t="shared" ca="1" si="381"/>
        <v>120.18815762338149</v>
      </c>
      <c r="AJ273" s="956">
        <f ca="1">AI273/'404'!I$24</f>
        <v>0.45398563731729802</v>
      </c>
      <c r="AK273" s="956">
        <f ca="1">0.8*(AI273*30+'404'!D$17*0.34*30*1+2500)</f>
        <v>8539.3797829611558</v>
      </c>
      <c r="AL273" s="954">
        <f ca="1">IF(AK273&lt;User_sheet!B$50,W273,0)</f>
        <v>1.5020637112105773E-3</v>
      </c>
      <c r="AM273" s="954">
        <f ca="1">20-(User_sheet!B$57/(AI273+'403'!D$17*1*0.34))</f>
        <v>-4.9864180965454317</v>
      </c>
      <c r="AN273" s="954"/>
      <c r="AO273" s="985"/>
      <c r="AP273" s="27">
        <v>0</v>
      </c>
      <c r="AQ273" s="27">
        <v>0.32</v>
      </c>
      <c r="AR273" s="27">
        <v>0</v>
      </c>
      <c r="AS273" s="27">
        <v>2</v>
      </c>
      <c r="AT273" s="27">
        <v>0</v>
      </c>
      <c r="AU273" s="2">
        <v>0</v>
      </c>
      <c r="AV273" s="2">
        <v>73366.155837550017</v>
      </c>
      <c r="AW273" s="2">
        <v>0</v>
      </c>
      <c r="AX273" s="2">
        <v>0</v>
      </c>
      <c r="AY273" s="2">
        <v>0</v>
      </c>
      <c r="AZ273" s="50">
        <v>0.6</v>
      </c>
      <c r="BA273" s="199">
        <v>0</v>
      </c>
      <c r="BB273" s="199">
        <v>1</v>
      </c>
      <c r="BC273" s="50">
        <v>0</v>
      </c>
      <c r="BD273" s="199">
        <v>0</v>
      </c>
      <c r="BE273" s="199">
        <v>1</v>
      </c>
      <c r="BF273" s="50">
        <v>0</v>
      </c>
      <c r="BG273" s="199">
        <v>1</v>
      </c>
      <c r="BH273" s="50">
        <v>0</v>
      </c>
      <c r="BI273" s="199">
        <v>0</v>
      </c>
      <c r="BJ273" s="199">
        <v>1</v>
      </c>
      <c r="BK273" s="50">
        <v>0</v>
      </c>
      <c r="BL273" s="199">
        <v>0.15</v>
      </c>
      <c r="BM273" s="199">
        <v>6</v>
      </c>
      <c r="BN273" s="32">
        <f t="shared" ca="1" si="361"/>
        <v>149.30959999999999</v>
      </c>
      <c r="BO273">
        <f t="shared" ca="1" si="362"/>
        <v>438.00000000000006</v>
      </c>
      <c r="BP273">
        <f t="shared" ca="1" si="384"/>
        <v>0</v>
      </c>
      <c r="BQ273">
        <f t="shared" ca="1" si="385"/>
        <v>75.44</v>
      </c>
      <c r="BR273">
        <f t="shared" ca="1" si="386"/>
        <v>0</v>
      </c>
      <c r="BS273">
        <f t="shared" ca="1" si="387"/>
        <v>39.999999999999993</v>
      </c>
      <c r="BT273">
        <f t="shared" ca="1" si="388"/>
        <v>0</v>
      </c>
      <c r="BU273">
        <v>0</v>
      </c>
      <c r="BV273">
        <f t="shared" ca="1" si="368"/>
        <v>0</v>
      </c>
      <c r="BW273">
        <f t="shared" ca="1" si="369"/>
        <v>22.872157655381503</v>
      </c>
      <c r="BX273">
        <f t="shared" ca="1" si="370"/>
        <v>0</v>
      </c>
      <c r="BY273">
        <f t="shared" ca="1" si="371"/>
        <v>79.999999967999983</v>
      </c>
      <c r="BZ273">
        <f t="shared" ca="1" si="372"/>
        <v>0</v>
      </c>
      <c r="CA273">
        <f t="shared" si="373"/>
        <v>0</v>
      </c>
      <c r="CB273" s="1018">
        <f t="shared" ca="1" si="379"/>
        <v>120.18815762338149</v>
      </c>
      <c r="CC273" s="1018">
        <f t="shared" ca="1" si="380"/>
        <v>28.141424657962947</v>
      </c>
      <c r="CD273">
        <f t="shared" ca="1" si="382"/>
        <v>4.449887468440334</v>
      </c>
      <c r="CE273">
        <f t="shared" ca="1" si="383"/>
        <v>7408.8846394544171</v>
      </c>
    </row>
    <row r="274" spans="3:83" s="870" customFormat="1" x14ac:dyDescent="0.25">
      <c r="D274" s="871"/>
      <c r="F274" s="871"/>
      <c r="H274" s="871"/>
      <c r="I274" s="871"/>
      <c r="J274" s="871"/>
      <c r="K274" s="871"/>
      <c r="L274" s="871"/>
      <c r="M274" s="871"/>
      <c r="N274" s="871"/>
      <c r="O274" s="873"/>
      <c r="P274" s="871"/>
      <c r="Q274" s="871"/>
      <c r="R274" s="877"/>
      <c r="S274" s="273"/>
      <c r="T274" s="277"/>
      <c r="U274" s="292"/>
      <c r="V274" s="292"/>
      <c r="W274" s="292"/>
      <c r="X274" s="277"/>
      <c r="Y274" s="292"/>
      <c r="Z274" s="292"/>
      <c r="AA274" s="277"/>
      <c r="AB274" s="277"/>
      <c r="AC274" s="277"/>
      <c r="AD274" s="277"/>
      <c r="AE274" s="277"/>
      <c r="AF274" s="309"/>
      <c r="AG274" s="873"/>
      <c r="AH274" s="985"/>
      <c r="AI274" s="956">
        <f t="shared" si="381"/>
        <v>0</v>
      </c>
      <c r="AJ274" s="941"/>
      <c r="AK274" s="941"/>
      <c r="AL274" s="941"/>
      <c r="AM274" s="941"/>
      <c r="AN274" s="941"/>
      <c r="AO274" s="985"/>
      <c r="AP274" s="873"/>
      <c r="AQ274" s="873"/>
      <c r="AR274" s="873"/>
      <c r="AS274" s="873"/>
      <c r="AT274" s="873"/>
      <c r="AU274" s="873"/>
      <c r="AV274" s="873"/>
      <c r="AW274" s="873"/>
      <c r="AX274" s="873"/>
      <c r="AY274" s="873"/>
      <c r="AZ274" s="49"/>
      <c r="BA274" s="277"/>
      <c r="BB274" s="873"/>
      <c r="BC274" s="49"/>
      <c r="BD274" s="277"/>
      <c r="BE274" s="873"/>
      <c r="BF274" s="49"/>
      <c r="BG274" s="277"/>
      <c r="BH274" s="49"/>
      <c r="BI274" s="277"/>
      <c r="BJ274" s="873"/>
      <c r="BK274" s="49"/>
      <c r="BL274" s="277"/>
      <c r="BM274" s="277"/>
      <c r="BN274" s="874"/>
    </row>
    <row r="275" spans="3:83" x14ac:dyDescent="0.25">
      <c r="C275" s="856" t="s">
        <v>14</v>
      </c>
      <c r="D275" s="859">
        <v>0.26500000000000001</v>
      </c>
      <c r="E275" s="855"/>
      <c r="F275" s="856"/>
      <c r="G275" s="855"/>
      <c r="H275" s="856"/>
      <c r="I275" s="861"/>
      <c r="J275" s="856"/>
      <c r="K275" s="861"/>
      <c r="L275" s="861"/>
      <c r="M275" s="861" t="s">
        <v>60</v>
      </c>
      <c r="N275" s="861">
        <v>0.79797979797979801</v>
      </c>
      <c r="O275" s="857" t="s">
        <v>16</v>
      </c>
      <c r="P275" s="861">
        <v>0.48149999999999998</v>
      </c>
      <c r="Q275" s="856"/>
      <c r="R275" s="863">
        <v>1.5924712388445455E-3</v>
      </c>
      <c r="S275" s="876"/>
      <c r="T275" s="34">
        <f>R275</f>
        <v>1.5924712388445455E-3</v>
      </c>
      <c r="U275" s="200">
        <f>T275-T275*Calculation_sheet!J$69/4</f>
        <v>1.5924712388445455E-3</v>
      </c>
      <c r="V275" s="200">
        <f>U275-U275*(Calculation_sheet!J$79+Calculation_sheet!O$79)/4</f>
        <v>1.5924712388445455E-3</v>
      </c>
      <c r="W275" s="176">
        <f>V275/Calculation_sheet!M$67</f>
        <v>1.5925037991941214E-3</v>
      </c>
      <c r="X275" s="958">
        <f ca="1">IF(AL275&gt;0,W275*Calculation_sheet!C$87,0)</f>
        <v>0</v>
      </c>
      <c r="Y275" s="176">
        <f ca="1">W275-X275</f>
        <v>1.5925037991941214E-3</v>
      </c>
      <c r="Z275" s="176">
        <f>IF(AN275&gt;0,Y275*Calculation_sheet!C$94,0)</f>
        <v>0</v>
      </c>
      <c r="AA275" s="958">
        <f t="shared" ref="AA275:AC283" ca="1" si="389">Y275-Z275</f>
        <v>1.5925037991941214E-3</v>
      </c>
      <c r="AB275" s="176">
        <f ca="1">AA275*Calculation_sheet!C$99</f>
        <v>9.5550227951647279E-4</v>
      </c>
      <c r="AC275" s="958">
        <f t="shared" ca="1" si="389"/>
        <v>6.3700151967764857E-4</v>
      </c>
      <c r="AD275" s="176">
        <f>W275-Z275</f>
        <v>1.5925037991941214E-3</v>
      </c>
      <c r="AE275" s="176">
        <f>AD275*User_sheet!B$77/100</f>
        <v>0</v>
      </c>
      <c r="AF275" s="309"/>
      <c r="AG275" s="27">
        <v>404</v>
      </c>
      <c r="AH275" s="985"/>
      <c r="AI275" s="956">
        <f t="shared" ca="1" si="381"/>
        <v>134.56691437911923</v>
      </c>
      <c r="AJ275" s="956">
        <f ca="1">AI275/'404'!I$24</f>
        <v>0.50829838475152689</v>
      </c>
      <c r="AK275" s="956">
        <f ca="1">0.8*(AI275*30+'404'!D$17*0.34*30*1+2500)</f>
        <v>8884.469945098861</v>
      </c>
      <c r="AL275" s="954">
        <f ca="1">IF(AK275&lt;User_sheet!B$50,W275,0)</f>
        <v>1.5925037991941214E-3</v>
      </c>
      <c r="AM275" s="954">
        <f ca="1">20-(User_sheet!B$57/(AI275+'403'!D$17*1*0.34))</f>
        <v>-3.5048938031116847</v>
      </c>
      <c r="AN275" s="954"/>
      <c r="AO275" s="985"/>
      <c r="AP275" s="27">
        <v>0</v>
      </c>
      <c r="AQ275" s="27">
        <v>0.54</v>
      </c>
      <c r="AR275" s="27">
        <v>0</v>
      </c>
      <c r="AS275" s="27">
        <v>2</v>
      </c>
      <c r="AT275" s="27">
        <v>0</v>
      </c>
      <c r="AU275" s="2">
        <v>0</v>
      </c>
      <c r="AV275" s="2">
        <v>75022.04959166942</v>
      </c>
      <c r="AW275" s="2">
        <v>0</v>
      </c>
      <c r="AX275" s="2">
        <v>0</v>
      </c>
      <c r="AY275" s="2">
        <v>0</v>
      </c>
      <c r="AZ275" s="50">
        <v>0.6</v>
      </c>
      <c r="BA275" s="199">
        <v>1</v>
      </c>
      <c r="BB275" s="199">
        <v>0</v>
      </c>
      <c r="BC275" s="50">
        <v>0</v>
      </c>
      <c r="BD275" s="199">
        <v>1</v>
      </c>
      <c r="BE275" s="199">
        <v>0</v>
      </c>
      <c r="BF275" s="50">
        <v>0</v>
      </c>
      <c r="BG275" s="199">
        <v>1</v>
      </c>
      <c r="BH275" s="50">
        <v>0</v>
      </c>
      <c r="BI275" s="199">
        <v>1</v>
      </c>
      <c r="BJ275" s="199">
        <v>0</v>
      </c>
      <c r="BK275" s="50">
        <v>0</v>
      </c>
      <c r="BL275" s="199">
        <v>0.15</v>
      </c>
      <c r="BM275" s="199">
        <v>10</v>
      </c>
      <c r="BN275" s="32">
        <f t="shared" ref="BN275:BN283" ca="1" si="390">INDIRECT("'"&amp;AG275&amp;"'!"&amp;"B2")</f>
        <v>149.30959999999999</v>
      </c>
      <c r="BO275">
        <f t="shared" ref="BO275:BO283" ca="1" si="391">INDIRECT("'"&amp;AG275&amp;"'!"&amp;"C12")+INDIRECT("'"&amp;AG275&amp;"'!"&amp;"C13")+INDIRECT("'"&amp;AG275&amp;"'!"&amp;"C14")+INDIRECT("'"&amp;AG275&amp;"'!"&amp;"C15")+INDIRECT("'"&amp;AG275&amp;"'!"&amp;"C17")</f>
        <v>438.00000000000006</v>
      </c>
      <c r="BP275">
        <f t="shared" ca="1" si="384"/>
        <v>0</v>
      </c>
      <c r="BQ275">
        <f t="shared" ca="1" si="385"/>
        <v>75.44</v>
      </c>
      <c r="BR275">
        <f t="shared" ca="1" si="386"/>
        <v>0</v>
      </c>
      <c r="BS275">
        <f t="shared" ca="1" si="387"/>
        <v>39.999999999999993</v>
      </c>
      <c r="BT275">
        <f t="shared" ca="1" si="388"/>
        <v>0</v>
      </c>
      <c r="BU275">
        <v>0</v>
      </c>
      <c r="BV275">
        <f t="shared" ref="BV275:BV283" ca="1" si="392">IF(OR(BP275=0,AP275=0),0,1/(1/(BP275*$BW$3)+1/(BP275*AP275)+1/(BP275*$BW$4)))</f>
        <v>0</v>
      </c>
      <c r="BW275">
        <f t="shared" ref="BW275:BW283" ca="1" si="393">IF(OR(BQ275=0,AQ275=0),0,1/(1/(BQ275*$BW$3)+1/(BQ275*AQ275)+1/(BQ275*$BW$4)))</f>
        <v>37.25091441111924</v>
      </c>
      <c r="BX275">
        <f t="shared" ref="BX275:BX283" ca="1" si="394">IF(OR(BR275=0,AR275=0),0,1/(1/(BR275*$BW$3)+1/(BR275*AR275)+1/(BR275*$BW$4)))</f>
        <v>0</v>
      </c>
      <c r="BY275">
        <f t="shared" ref="BY275:BY283" ca="1" si="395">IF(OR(BS275=0,AS275=0),0,1/(1/(BS275*$BW$5)+1/(BS275*AS275)+1/(BS275*$BW$6)))</f>
        <v>79.999999967999983</v>
      </c>
      <c r="BZ275">
        <f t="shared" ref="BZ275:BZ283" ca="1" si="396">IF(OR(BT275=0,AT275=0),0,1/(1/(BT275*$BW$3)+1/(BT275*AT275)+1/(BT275*$BW$4)))</f>
        <v>0</v>
      </c>
      <c r="CA275">
        <f t="shared" ref="CA275:CA283" si="397">IF(OR(BU275=0,AU275=0),0,1/(1/(BU275*$BW$3)+1/(BU275*AU275)+1/(BU275*$BW$4)))</f>
        <v>0</v>
      </c>
      <c r="CB275" s="1018">
        <f ca="1">SUM(BV275:CA275)+(BP275+BQ275+BR275+BS275+BT275)*BL275</f>
        <v>134.56691437911923</v>
      </c>
      <c r="CC275" s="1018">
        <f ca="1">0.34*BM275*(1/25)^0.66*(BQ275+BS275+BT275)</f>
        <v>46.902374429938249</v>
      </c>
      <c r="CD275">
        <f t="shared" ca="1" si="382"/>
        <v>5.444078664271724</v>
      </c>
      <c r="CE275">
        <f t="shared" ca="1" si="383"/>
        <v>9064.1732128658477</v>
      </c>
    </row>
    <row r="276" spans="3:83" x14ac:dyDescent="0.25">
      <c r="C276" s="856"/>
      <c r="D276" s="861"/>
      <c r="E276" s="855"/>
      <c r="F276" s="856"/>
      <c r="G276" s="855"/>
      <c r="H276" s="856"/>
      <c r="I276" s="861"/>
      <c r="J276" s="856"/>
      <c r="K276" s="861"/>
      <c r="L276" s="861"/>
      <c r="M276" s="861"/>
      <c r="N276" s="861"/>
      <c r="O276" s="857" t="s">
        <v>7</v>
      </c>
      <c r="P276" s="861">
        <v>0.51849999999999996</v>
      </c>
      <c r="Q276" s="856"/>
      <c r="R276" s="863">
        <v>1.7148418220994739E-3</v>
      </c>
      <c r="S276" s="876"/>
      <c r="T276" s="34">
        <f t="shared" ref="T276:T283" si="398">R276</f>
        <v>1.7148418220994739E-3</v>
      </c>
      <c r="U276" s="200">
        <f>T276-T276*Calculation_sheet!J$69/4</f>
        <v>1.7148418220994739E-3</v>
      </c>
      <c r="V276" s="200">
        <f>U276-U276*(Calculation_sheet!J$79+Calculation_sheet!O$79)/4</f>
        <v>1.7148418220994739E-3</v>
      </c>
      <c r="W276" s="176">
        <f>V276/Calculation_sheet!M$67</f>
        <v>1.7148768844904502E-3</v>
      </c>
      <c r="X276" s="958">
        <f ca="1">IF(AL276&gt;0,W276*Calculation_sheet!C$87,0)</f>
        <v>0</v>
      </c>
      <c r="Y276" s="176">
        <f t="shared" ref="Y276:Y283" ca="1" si="399">W276-X276</f>
        <v>1.7148768844904502E-3</v>
      </c>
      <c r="Z276" s="176">
        <f>IF(AN276&gt;0,Y276*Calculation_sheet!C$94,0)</f>
        <v>0</v>
      </c>
      <c r="AA276" s="958">
        <f t="shared" ca="1" si="389"/>
        <v>1.7148768844904502E-3</v>
      </c>
      <c r="AB276" s="176">
        <f ca="1">AA276*Calculation_sheet!C$99</f>
        <v>1.0289261306942702E-3</v>
      </c>
      <c r="AC276" s="958">
        <f t="shared" ca="1" si="389"/>
        <v>6.8595075379618005E-4</v>
      </c>
      <c r="AD276" s="176">
        <f t="shared" si="378"/>
        <v>1.7148768844904502E-3</v>
      </c>
      <c r="AE276" s="176">
        <f>AD276*User_sheet!B$77/100</f>
        <v>0</v>
      </c>
      <c r="AF276" s="309"/>
      <c r="AG276" s="27">
        <v>404</v>
      </c>
      <c r="AH276" s="985"/>
      <c r="AI276" s="956">
        <f t="shared" ca="1" si="381"/>
        <v>134.56691437911923</v>
      </c>
      <c r="AJ276" s="956">
        <f ca="1">AI276/'404'!I$24</f>
        <v>0.50829838475152689</v>
      </c>
      <c r="AK276" s="956">
        <f ca="1">0.8*(AI276*30+'404'!D$17*0.34*30*1+2500)</f>
        <v>8884.469945098861</v>
      </c>
      <c r="AL276" s="954">
        <f ca="1">IF(AK276&lt;User_sheet!B$50,W276,0)</f>
        <v>1.7148768844904502E-3</v>
      </c>
      <c r="AM276" s="954">
        <f ca="1">20-(User_sheet!B$57/(AI276+'403'!D$17*1*0.34))</f>
        <v>-3.5048938031116847</v>
      </c>
      <c r="AN276" s="954"/>
      <c r="AO276" s="985"/>
      <c r="AP276" s="27">
        <v>0</v>
      </c>
      <c r="AQ276" s="27">
        <v>0.54</v>
      </c>
      <c r="AR276" s="27">
        <v>0</v>
      </c>
      <c r="AS276" s="27">
        <v>2</v>
      </c>
      <c r="AT276" s="27">
        <v>0</v>
      </c>
      <c r="AU276" s="2">
        <v>0</v>
      </c>
      <c r="AV276" s="2">
        <v>75022.04959166942</v>
      </c>
      <c r="AW276" s="2">
        <v>0</v>
      </c>
      <c r="AX276" s="2">
        <v>0</v>
      </c>
      <c r="AY276" s="2">
        <v>0</v>
      </c>
      <c r="AZ276" s="50">
        <v>0.6</v>
      </c>
      <c r="BA276" s="199">
        <v>1</v>
      </c>
      <c r="BB276" s="199">
        <v>0</v>
      </c>
      <c r="BC276" s="50">
        <v>0</v>
      </c>
      <c r="BD276" s="199">
        <v>1</v>
      </c>
      <c r="BE276" s="199">
        <v>0</v>
      </c>
      <c r="BF276" s="50">
        <v>0</v>
      </c>
      <c r="BG276" s="199">
        <v>1</v>
      </c>
      <c r="BH276" s="50">
        <v>0</v>
      </c>
      <c r="BI276" s="199">
        <v>0</v>
      </c>
      <c r="BJ276" s="199">
        <v>0</v>
      </c>
      <c r="BK276" s="50">
        <v>1</v>
      </c>
      <c r="BL276" s="199">
        <v>0.15</v>
      </c>
      <c r="BM276" s="199">
        <v>10</v>
      </c>
      <c r="BN276" s="32">
        <f t="shared" ca="1" si="390"/>
        <v>149.30959999999999</v>
      </c>
      <c r="BO276">
        <f t="shared" ca="1" si="391"/>
        <v>438.00000000000006</v>
      </c>
      <c r="BP276">
        <f t="shared" ca="1" si="384"/>
        <v>0</v>
      </c>
      <c r="BQ276">
        <f t="shared" ca="1" si="385"/>
        <v>75.44</v>
      </c>
      <c r="BR276">
        <f t="shared" ca="1" si="386"/>
        <v>0</v>
      </c>
      <c r="BS276">
        <f t="shared" ca="1" si="387"/>
        <v>39.999999999999993</v>
      </c>
      <c r="BT276">
        <f t="shared" ca="1" si="388"/>
        <v>0</v>
      </c>
      <c r="BU276">
        <v>0</v>
      </c>
      <c r="BV276">
        <f t="shared" ca="1" si="392"/>
        <v>0</v>
      </c>
      <c r="BW276">
        <f t="shared" ca="1" si="393"/>
        <v>37.25091441111924</v>
      </c>
      <c r="BX276">
        <f t="shared" ca="1" si="394"/>
        <v>0</v>
      </c>
      <c r="BY276">
        <f t="shared" ca="1" si="395"/>
        <v>79.999999967999983</v>
      </c>
      <c r="BZ276">
        <f t="shared" ca="1" si="396"/>
        <v>0</v>
      </c>
      <c r="CA276">
        <f t="shared" si="397"/>
        <v>0</v>
      </c>
      <c r="CB276" s="1018">
        <f t="shared" ref="CB276:CB283" ca="1" si="400">SUM(BV276:CA276)+(BP276+BQ276+BR276+BS276+BT276)*BL276</f>
        <v>134.56691437911923</v>
      </c>
      <c r="CC276" s="1018">
        <f t="shared" ref="CC276:CC283" ca="1" si="401">0.34*BM276*(1/25)^0.66*(BQ276+BS276+BT276)</f>
        <v>46.902374429938249</v>
      </c>
      <c r="CD276">
        <f t="shared" ca="1" si="382"/>
        <v>5.444078664271724</v>
      </c>
      <c r="CE276">
        <f t="shared" ca="1" si="383"/>
        <v>9064.1732128658477</v>
      </c>
    </row>
    <row r="277" spans="3:83" x14ac:dyDescent="0.25">
      <c r="C277" s="856"/>
      <c r="D277" s="861"/>
      <c r="E277" s="855"/>
      <c r="F277" s="856"/>
      <c r="G277" s="855"/>
      <c r="H277" s="856"/>
      <c r="I277" s="861"/>
      <c r="J277" s="856"/>
      <c r="K277" s="861" t="s">
        <v>58</v>
      </c>
      <c r="L277" s="861">
        <v>0.95789473684210524</v>
      </c>
      <c r="M277" s="861" t="s">
        <v>61</v>
      </c>
      <c r="N277" s="861">
        <v>0.20202020202020199</v>
      </c>
      <c r="O277" s="857" t="s">
        <v>16</v>
      </c>
      <c r="P277" s="861">
        <v>0.48149999999999998</v>
      </c>
      <c r="Q277" s="856"/>
      <c r="R277" s="863">
        <v>4.0315727565684692E-4</v>
      </c>
      <c r="S277" s="876"/>
      <c r="T277" s="34">
        <f t="shared" si="398"/>
        <v>4.0315727565684692E-4</v>
      </c>
      <c r="U277" s="200">
        <f>T277-T277*Calculation_sheet!J$69/4</f>
        <v>4.0315727565684692E-4</v>
      </c>
      <c r="V277" s="200">
        <f>U277-U277*(Calculation_sheet!J$79+Calculation_sheet!O$79)/4</f>
        <v>4.0315727565684692E-4</v>
      </c>
      <c r="W277" s="176">
        <f>V277/Calculation_sheet!M$67</f>
        <v>4.0316551878332184E-4</v>
      </c>
      <c r="X277" s="958">
        <f ca="1">IF(AL277&gt;0,W277*Calculation_sheet!C$87,0)</f>
        <v>0</v>
      </c>
      <c r="Y277" s="176">
        <f t="shared" ca="1" si="399"/>
        <v>4.0316551878332184E-4</v>
      </c>
      <c r="Z277" s="176">
        <f>IF(AN277&gt;0,Y277*Calculation_sheet!C$94,0)</f>
        <v>0</v>
      </c>
      <c r="AA277" s="958">
        <f t="shared" ca="1" si="389"/>
        <v>4.0316551878332184E-4</v>
      </c>
      <c r="AB277" s="176">
        <f ca="1">AA277*Calculation_sheet!C$99</f>
        <v>2.4189931126999308E-4</v>
      </c>
      <c r="AC277" s="958">
        <f t="shared" ca="1" si="389"/>
        <v>1.6126620751332876E-4</v>
      </c>
      <c r="AD277" s="176">
        <f t="shared" si="378"/>
        <v>4.0316551878332184E-4</v>
      </c>
      <c r="AE277" s="176">
        <f>AD277*User_sheet!B$77/100</f>
        <v>0</v>
      </c>
      <c r="AF277" s="309"/>
      <c r="AG277" s="27">
        <v>404</v>
      </c>
      <c r="AH277" s="985"/>
      <c r="AI277" s="956">
        <f t="shared" ca="1" si="381"/>
        <v>134.56691437911923</v>
      </c>
      <c r="AJ277" s="956">
        <f ca="1">AI277/'404'!I$24</f>
        <v>0.50829838475152689</v>
      </c>
      <c r="AK277" s="956">
        <f ca="1">0.8*(AI277*30+'404'!D$17*0.34*30*1+2500)</f>
        <v>8884.469945098861</v>
      </c>
      <c r="AL277" s="954">
        <f ca="1">IF(AK277&lt;User_sheet!B$50,W277,0)</f>
        <v>4.0316551878332184E-4</v>
      </c>
      <c r="AM277" s="954">
        <f ca="1">20-(User_sheet!B$57/(AI277+'403'!D$17*1*0.34))</f>
        <v>-3.5048938031116847</v>
      </c>
      <c r="AN277" s="954"/>
      <c r="AO277" s="985"/>
      <c r="AP277" s="27">
        <v>0</v>
      </c>
      <c r="AQ277" s="27">
        <v>0.54</v>
      </c>
      <c r="AR277" s="27">
        <v>0</v>
      </c>
      <c r="AS277" s="27">
        <v>2</v>
      </c>
      <c r="AT277" s="27">
        <v>0</v>
      </c>
      <c r="AU277" s="2">
        <v>0</v>
      </c>
      <c r="AV277" s="2">
        <v>75022.04959166942</v>
      </c>
      <c r="AW277" s="2">
        <v>0</v>
      </c>
      <c r="AX277" s="2">
        <v>0</v>
      </c>
      <c r="AY277" s="2">
        <v>0</v>
      </c>
      <c r="AZ277" s="50">
        <v>0.6</v>
      </c>
      <c r="BA277" s="199">
        <v>1</v>
      </c>
      <c r="BB277" s="199">
        <v>0</v>
      </c>
      <c r="BC277" s="50">
        <v>0</v>
      </c>
      <c r="BD277" s="199">
        <v>1</v>
      </c>
      <c r="BE277" s="199">
        <v>0</v>
      </c>
      <c r="BF277" s="50">
        <v>0</v>
      </c>
      <c r="BG277" s="199">
        <v>0</v>
      </c>
      <c r="BH277" s="50">
        <v>1</v>
      </c>
      <c r="BI277" s="199">
        <v>1</v>
      </c>
      <c r="BJ277" s="199">
        <v>0</v>
      </c>
      <c r="BK277" s="50">
        <v>0</v>
      </c>
      <c r="BL277" s="199">
        <v>0.15</v>
      </c>
      <c r="BM277" s="199">
        <v>10</v>
      </c>
      <c r="BN277" s="32">
        <f t="shared" ca="1" si="390"/>
        <v>149.30959999999999</v>
      </c>
      <c r="BO277">
        <f t="shared" ca="1" si="391"/>
        <v>438.00000000000006</v>
      </c>
      <c r="BP277">
        <f t="shared" ca="1" si="384"/>
        <v>0</v>
      </c>
      <c r="BQ277">
        <f t="shared" ca="1" si="385"/>
        <v>75.44</v>
      </c>
      <c r="BR277">
        <f t="shared" ca="1" si="386"/>
        <v>0</v>
      </c>
      <c r="BS277">
        <f t="shared" ca="1" si="387"/>
        <v>39.999999999999993</v>
      </c>
      <c r="BT277">
        <f t="shared" ca="1" si="388"/>
        <v>0</v>
      </c>
      <c r="BU277">
        <v>0</v>
      </c>
      <c r="BV277">
        <f t="shared" ca="1" si="392"/>
        <v>0</v>
      </c>
      <c r="BW277">
        <f t="shared" ca="1" si="393"/>
        <v>37.25091441111924</v>
      </c>
      <c r="BX277">
        <f t="shared" ca="1" si="394"/>
        <v>0</v>
      </c>
      <c r="BY277">
        <f t="shared" ca="1" si="395"/>
        <v>79.999999967999983</v>
      </c>
      <c r="BZ277">
        <f t="shared" ca="1" si="396"/>
        <v>0</v>
      </c>
      <c r="CA277">
        <f t="shared" si="397"/>
        <v>0</v>
      </c>
      <c r="CB277" s="1018">
        <f t="shared" ca="1" si="400"/>
        <v>134.56691437911923</v>
      </c>
      <c r="CC277" s="1018">
        <f t="shared" ca="1" si="401"/>
        <v>46.902374429938249</v>
      </c>
      <c r="CD277">
        <f t="shared" ca="1" si="382"/>
        <v>5.444078664271724</v>
      </c>
      <c r="CE277">
        <f t="shared" ca="1" si="383"/>
        <v>9064.1732128658477</v>
      </c>
    </row>
    <row r="278" spans="3:83" x14ac:dyDescent="0.25">
      <c r="C278" s="856"/>
      <c r="D278" s="861"/>
      <c r="E278" s="855"/>
      <c r="F278" s="856"/>
      <c r="G278" s="855"/>
      <c r="H278" s="856"/>
      <c r="I278" s="861" t="s">
        <v>16</v>
      </c>
      <c r="J278" s="856">
        <v>0.75</v>
      </c>
      <c r="K278" s="861"/>
      <c r="L278" s="861"/>
      <c r="M278" s="861"/>
      <c r="N278" s="861"/>
      <c r="O278" s="857" t="s">
        <v>7</v>
      </c>
      <c r="P278" s="861">
        <v>0.51849999999999996</v>
      </c>
      <c r="Q278" s="856"/>
      <c r="R278" s="863">
        <v>4.3413717015176542E-4</v>
      </c>
      <c r="S278" s="876"/>
      <c r="T278" s="34">
        <f t="shared" si="398"/>
        <v>4.3413717015176542E-4</v>
      </c>
      <c r="U278" s="200">
        <f>T278-T278*Calculation_sheet!J$69/4</f>
        <v>4.3413717015176542E-4</v>
      </c>
      <c r="V278" s="200">
        <f>U278-U278*(Calculation_sheet!J$79+Calculation_sheet!O$79)/4</f>
        <v>4.3413717015176542E-4</v>
      </c>
      <c r="W278" s="176">
        <f>V278/Calculation_sheet!M$67</f>
        <v>4.3414604670644297E-4</v>
      </c>
      <c r="X278" s="958">
        <f ca="1">IF(AL278&gt;0,W278*Calculation_sheet!C$87,0)</f>
        <v>0</v>
      </c>
      <c r="Y278" s="176">
        <f t="shared" ca="1" si="399"/>
        <v>4.3414604670644297E-4</v>
      </c>
      <c r="Z278" s="176">
        <f>IF(AN278&gt;0,Y278*Calculation_sheet!C$94,0)</f>
        <v>0</v>
      </c>
      <c r="AA278" s="958">
        <f t="shared" ca="1" si="389"/>
        <v>4.3414604670644297E-4</v>
      </c>
      <c r="AB278" s="176">
        <f ca="1">AA278*Calculation_sheet!C$99</f>
        <v>2.6048762802386577E-4</v>
      </c>
      <c r="AC278" s="958">
        <f t="shared" ca="1" si="389"/>
        <v>1.736584186825772E-4</v>
      </c>
      <c r="AD278" s="176">
        <f t="shared" si="378"/>
        <v>4.3414604670644297E-4</v>
      </c>
      <c r="AE278" s="176">
        <f>AD278*User_sheet!B$77/100</f>
        <v>0</v>
      </c>
      <c r="AF278" s="309"/>
      <c r="AG278" s="27">
        <v>404</v>
      </c>
      <c r="AH278" s="985"/>
      <c r="AI278" s="956">
        <f t="shared" ca="1" si="381"/>
        <v>134.56691437911923</v>
      </c>
      <c r="AJ278" s="956">
        <f ca="1">AI278/'404'!I$24</f>
        <v>0.50829838475152689</v>
      </c>
      <c r="AK278" s="956">
        <f ca="1">0.8*(AI278*30+'404'!D$17*0.34*30*1+2500)</f>
        <v>8884.469945098861</v>
      </c>
      <c r="AL278" s="954">
        <f ca="1">IF(AK278&lt;User_sheet!B$50,W278,0)</f>
        <v>4.3414604670644297E-4</v>
      </c>
      <c r="AM278" s="954">
        <f ca="1">20-(User_sheet!B$57/(AI278+'403'!D$17*1*0.34))</f>
        <v>-3.5048938031116847</v>
      </c>
      <c r="AN278" s="954"/>
      <c r="AO278" s="985"/>
      <c r="AP278" s="27">
        <v>0</v>
      </c>
      <c r="AQ278" s="27">
        <v>0.54</v>
      </c>
      <c r="AR278" s="27">
        <v>0</v>
      </c>
      <c r="AS278" s="27">
        <v>2</v>
      </c>
      <c r="AT278" s="27">
        <v>0</v>
      </c>
      <c r="AU278" s="2">
        <v>0</v>
      </c>
      <c r="AV278" s="2">
        <v>75022.04959166942</v>
      </c>
      <c r="AW278" s="2">
        <v>0</v>
      </c>
      <c r="AX278" s="2">
        <v>0</v>
      </c>
      <c r="AY278" s="2">
        <v>0</v>
      </c>
      <c r="AZ278" s="50">
        <v>0.6</v>
      </c>
      <c r="BA278" s="199">
        <v>1</v>
      </c>
      <c r="BB278" s="199">
        <v>0</v>
      </c>
      <c r="BC278" s="50">
        <v>0</v>
      </c>
      <c r="BD278" s="199">
        <v>1</v>
      </c>
      <c r="BE278" s="199">
        <v>0</v>
      </c>
      <c r="BF278" s="50">
        <v>0</v>
      </c>
      <c r="BG278" s="199">
        <v>0</v>
      </c>
      <c r="BH278" s="50">
        <v>1</v>
      </c>
      <c r="BI278" s="199">
        <v>0</v>
      </c>
      <c r="BJ278" s="199">
        <v>0</v>
      </c>
      <c r="BK278" s="50">
        <v>1</v>
      </c>
      <c r="BL278" s="199">
        <v>0.15</v>
      </c>
      <c r="BM278" s="199">
        <v>10</v>
      </c>
      <c r="BN278" s="32">
        <f t="shared" ca="1" si="390"/>
        <v>149.30959999999999</v>
      </c>
      <c r="BO278">
        <f t="shared" ca="1" si="391"/>
        <v>438.00000000000006</v>
      </c>
      <c r="BP278">
        <f t="shared" ca="1" si="384"/>
        <v>0</v>
      </c>
      <c r="BQ278">
        <f t="shared" ca="1" si="385"/>
        <v>75.44</v>
      </c>
      <c r="BR278">
        <f t="shared" ca="1" si="386"/>
        <v>0</v>
      </c>
      <c r="BS278">
        <f t="shared" ca="1" si="387"/>
        <v>39.999999999999993</v>
      </c>
      <c r="BT278">
        <f t="shared" ca="1" si="388"/>
        <v>0</v>
      </c>
      <c r="BU278">
        <v>0</v>
      </c>
      <c r="BV278">
        <f t="shared" ca="1" si="392"/>
        <v>0</v>
      </c>
      <c r="BW278">
        <f t="shared" ca="1" si="393"/>
        <v>37.25091441111924</v>
      </c>
      <c r="BX278">
        <f t="shared" ca="1" si="394"/>
        <v>0</v>
      </c>
      <c r="BY278">
        <f t="shared" ca="1" si="395"/>
        <v>79.999999967999983</v>
      </c>
      <c r="BZ278">
        <f t="shared" ca="1" si="396"/>
        <v>0</v>
      </c>
      <c r="CA278">
        <f t="shared" si="397"/>
        <v>0</v>
      </c>
      <c r="CB278" s="1018">
        <f t="shared" ca="1" si="400"/>
        <v>134.56691437911923</v>
      </c>
      <c r="CC278" s="1018">
        <f t="shared" ca="1" si="401"/>
        <v>46.902374429938249</v>
      </c>
      <c r="CD278">
        <f t="shared" ca="1" si="382"/>
        <v>5.444078664271724</v>
      </c>
      <c r="CE278">
        <f t="shared" ca="1" si="383"/>
        <v>9064.1732128658477</v>
      </c>
    </row>
    <row r="279" spans="3:83" x14ac:dyDescent="0.25">
      <c r="C279" s="856"/>
      <c r="D279" s="861"/>
      <c r="E279" s="855"/>
      <c r="F279" s="856"/>
      <c r="G279" s="855"/>
      <c r="H279" s="856"/>
      <c r="I279" s="861"/>
      <c r="J279" s="856"/>
      <c r="K279" s="861" t="s">
        <v>59</v>
      </c>
      <c r="L279" s="861">
        <v>4.2105263157894736E-2</v>
      </c>
      <c r="M279" s="861"/>
      <c r="N279" s="861"/>
      <c r="O279" s="862" t="s">
        <v>16</v>
      </c>
      <c r="P279" s="861">
        <v>0.48149999999999998</v>
      </c>
      <c r="Q279" s="856"/>
      <c r="R279" s="863">
        <v>8.771993470335789E-5</v>
      </c>
      <c r="S279" s="876"/>
      <c r="T279" s="34">
        <f t="shared" si="398"/>
        <v>8.771993470335789E-5</v>
      </c>
      <c r="U279" s="200">
        <f>T279-T279*Calculation_sheet!J$69/4</f>
        <v>8.771993470335789E-5</v>
      </c>
      <c r="V279" s="200">
        <f>U279-U279*(Calculation_sheet!J$79+Calculation_sheet!O$79)/4</f>
        <v>8.771993470335789E-5</v>
      </c>
      <c r="W279" s="176">
        <f>V279/Calculation_sheet!M$67</f>
        <v>8.7721728262744742E-5</v>
      </c>
      <c r="X279" s="958">
        <f ca="1">IF(AL279&gt;0,W279*Calculation_sheet!C$87,0)</f>
        <v>0</v>
      </c>
      <c r="Y279" s="176">
        <f t="shared" ca="1" si="399"/>
        <v>8.7721728262744742E-5</v>
      </c>
      <c r="Z279" s="176">
        <f>IF(AN279&gt;0,Y279*Calculation_sheet!C$94,0)</f>
        <v>0</v>
      </c>
      <c r="AA279" s="958">
        <f t="shared" ca="1" si="389"/>
        <v>8.7721728262744742E-5</v>
      </c>
      <c r="AB279" s="176">
        <f ca="1">AA279*Calculation_sheet!C$99</f>
        <v>5.2633036957646845E-5</v>
      </c>
      <c r="AC279" s="958">
        <f t="shared" ca="1" si="389"/>
        <v>3.5088691305097897E-5</v>
      </c>
      <c r="AD279" s="176">
        <f t="shared" si="378"/>
        <v>8.7721728262744742E-5</v>
      </c>
      <c r="AE279" s="176">
        <f>AD279*User_sheet!B$77/100</f>
        <v>0</v>
      </c>
      <c r="AF279" s="309"/>
      <c r="AG279" s="27">
        <v>404</v>
      </c>
      <c r="AH279" s="985"/>
      <c r="AI279" s="956">
        <f t="shared" ca="1" si="381"/>
        <v>134.56691437911923</v>
      </c>
      <c r="AJ279" s="956">
        <f ca="1">AI279/'404'!I$24</f>
        <v>0.50829838475152689</v>
      </c>
      <c r="AK279" s="956">
        <f ca="1">0.8*(AI279*30+'404'!D$17*0.34*30*1+2500)</f>
        <v>8884.469945098861</v>
      </c>
      <c r="AL279" s="954">
        <f ca="1">IF(AK279&lt;User_sheet!B$50,W279,0)</f>
        <v>8.7721728262744742E-5</v>
      </c>
      <c r="AM279" s="954">
        <f ca="1">20-(User_sheet!B$57/(AI279+'403'!D$17*1*0.34))</f>
        <v>-3.5048938031116847</v>
      </c>
      <c r="AN279" s="954"/>
      <c r="AO279" s="985"/>
      <c r="AP279" s="27">
        <v>0</v>
      </c>
      <c r="AQ279" s="27">
        <v>0.54</v>
      </c>
      <c r="AR279" s="27">
        <v>0</v>
      </c>
      <c r="AS279" s="27">
        <v>2</v>
      </c>
      <c r="AT279" s="27">
        <v>0</v>
      </c>
      <c r="AU279" s="2">
        <v>0</v>
      </c>
      <c r="AV279" s="2">
        <v>75022.04959166942</v>
      </c>
      <c r="AW279" s="2">
        <v>0</v>
      </c>
      <c r="AX279" s="2">
        <v>0</v>
      </c>
      <c r="AY279" s="2">
        <v>0</v>
      </c>
      <c r="AZ279" s="50">
        <v>0.6</v>
      </c>
      <c r="BA279" s="199">
        <v>1</v>
      </c>
      <c r="BB279" s="199">
        <v>0</v>
      </c>
      <c r="BC279" s="50">
        <v>0</v>
      </c>
      <c r="BD279" s="199">
        <v>0</v>
      </c>
      <c r="BE279" s="199">
        <v>1</v>
      </c>
      <c r="BF279" s="50">
        <v>0</v>
      </c>
      <c r="BG279" s="199">
        <v>1</v>
      </c>
      <c r="BH279" s="50">
        <v>0</v>
      </c>
      <c r="BI279" s="199">
        <v>1</v>
      </c>
      <c r="BJ279" s="199">
        <v>0</v>
      </c>
      <c r="BK279" s="50">
        <v>0</v>
      </c>
      <c r="BL279" s="199">
        <v>0.15</v>
      </c>
      <c r="BM279" s="199">
        <v>10</v>
      </c>
      <c r="BN279" s="32">
        <f t="shared" ca="1" si="390"/>
        <v>149.30959999999999</v>
      </c>
      <c r="BO279">
        <f t="shared" ca="1" si="391"/>
        <v>438.00000000000006</v>
      </c>
      <c r="BP279">
        <f t="shared" ca="1" si="384"/>
        <v>0</v>
      </c>
      <c r="BQ279">
        <f t="shared" ca="1" si="385"/>
        <v>75.44</v>
      </c>
      <c r="BR279">
        <f t="shared" ca="1" si="386"/>
        <v>0</v>
      </c>
      <c r="BS279">
        <f t="shared" ca="1" si="387"/>
        <v>39.999999999999993</v>
      </c>
      <c r="BT279">
        <f t="shared" ca="1" si="388"/>
        <v>0</v>
      </c>
      <c r="BU279">
        <v>0</v>
      </c>
      <c r="BV279">
        <f t="shared" ca="1" si="392"/>
        <v>0</v>
      </c>
      <c r="BW279">
        <f t="shared" ca="1" si="393"/>
        <v>37.25091441111924</v>
      </c>
      <c r="BX279">
        <f t="shared" ca="1" si="394"/>
        <v>0</v>
      </c>
      <c r="BY279">
        <f t="shared" ca="1" si="395"/>
        <v>79.999999967999983</v>
      </c>
      <c r="BZ279">
        <f t="shared" ca="1" si="396"/>
        <v>0</v>
      </c>
      <c r="CA279">
        <f t="shared" si="397"/>
        <v>0</v>
      </c>
      <c r="CB279" s="1018">
        <f t="shared" ca="1" si="400"/>
        <v>134.56691437911923</v>
      </c>
      <c r="CC279" s="1018">
        <f t="shared" ca="1" si="401"/>
        <v>46.902374429938249</v>
      </c>
      <c r="CD279">
        <f t="shared" ca="1" si="382"/>
        <v>5.444078664271724</v>
      </c>
      <c r="CE279">
        <f t="shared" ca="1" si="383"/>
        <v>9064.1732128658477</v>
      </c>
    </row>
    <row r="280" spans="3:83" x14ac:dyDescent="0.25">
      <c r="C280" s="856"/>
      <c r="D280" s="861"/>
      <c r="E280" s="855"/>
      <c r="F280" s="856"/>
      <c r="G280" s="855"/>
      <c r="H280" s="856"/>
      <c r="I280" s="861"/>
      <c r="J280" s="856"/>
      <c r="K280" s="861"/>
      <c r="L280" s="861"/>
      <c r="M280" s="861"/>
      <c r="N280" s="861"/>
      <c r="O280" s="862" t="s">
        <v>7</v>
      </c>
      <c r="P280" s="861">
        <v>0.51849999999999996</v>
      </c>
      <c r="Q280" s="856"/>
      <c r="R280" s="863">
        <v>9.4460615044010527E-5</v>
      </c>
      <c r="S280" s="876"/>
      <c r="T280" s="34">
        <f t="shared" si="398"/>
        <v>9.4460615044010527E-5</v>
      </c>
      <c r="U280" s="200">
        <f>T280-T280*Calculation_sheet!J$69/4</f>
        <v>9.4460615044010527E-5</v>
      </c>
      <c r="V280" s="200">
        <f>U280-U280*(Calculation_sheet!J$79+Calculation_sheet!O$79)/4</f>
        <v>9.4460615044010527E-5</v>
      </c>
      <c r="W280" s="176">
        <f>V280/Calculation_sheet!M$67</f>
        <v>9.4462546426237067E-5</v>
      </c>
      <c r="X280" s="958">
        <f ca="1">IF(AL280&gt;0,W280*Calculation_sheet!C$87,0)</f>
        <v>0</v>
      </c>
      <c r="Y280" s="176">
        <f t="shared" ca="1" si="399"/>
        <v>9.4462546426237067E-5</v>
      </c>
      <c r="Z280" s="176">
        <f>IF(AN280&gt;0,Y280*Calculation_sheet!C$94,0)</f>
        <v>0</v>
      </c>
      <c r="AA280" s="958">
        <f t="shared" ca="1" si="389"/>
        <v>9.4462546426237067E-5</v>
      </c>
      <c r="AB280" s="176">
        <f ca="1">AA280*Calculation_sheet!C$99</f>
        <v>5.6677527855742236E-5</v>
      </c>
      <c r="AC280" s="958">
        <f t="shared" ca="1" si="389"/>
        <v>3.7785018570494831E-5</v>
      </c>
      <c r="AD280" s="176">
        <f t="shared" si="378"/>
        <v>9.4462546426237067E-5</v>
      </c>
      <c r="AE280" s="176">
        <f>AD280*User_sheet!B$77/100</f>
        <v>0</v>
      </c>
      <c r="AF280" s="309"/>
      <c r="AG280" s="27">
        <v>404</v>
      </c>
      <c r="AH280" s="985"/>
      <c r="AI280" s="956">
        <f t="shared" ca="1" si="381"/>
        <v>134.56691437911923</v>
      </c>
      <c r="AJ280" s="956">
        <f ca="1">AI280/'404'!I$24</f>
        <v>0.50829838475152689</v>
      </c>
      <c r="AK280" s="956">
        <f ca="1">0.8*(AI280*30+'404'!D$17*0.34*30*1+2500)</f>
        <v>8884.469945098861</v>
      </c>
      <c r="AL280" s="954">
        <f ca="1">IF(AK280&lt;User_sheet!B$50,W280,0)</f>
        <v>9.4462546426237067E-5</v>
      </c>
      <c r="AM280" s="954">
        <f ca="1">20-(User_sheet!B$57/(AI280+'403'!D$17*1*0.34))</f>
        <v>-3.5048938031116847</v>
      </c>
      <c r="AN280" s="954"/>
      <c r="AO280" s="985"/>
      <c r="AP280" s="27">
        <v>0</v>
      </c>
      <c r="AQ280" s="27">
        <v>0.54</v>
      </c>
      <c r="AR280" s="27">
        <v>0</v>
      </c>
      <c r="AS280" s="27">
        <v>2</v>
      </c>
      <c r="AT280" s="27">
        <v>0</v>
      </c>
      <c r="AU280" s="2">
        <v>0</v>
      </c>
      <c r="AV280" s="2">
        <v>75022.04959166942</v>
      </c>
      <c r="AW280" s="2">
        <v>0</v>
      </c>
      <c r="AX280" s="2">
        <v>0</v>
      </c>
      <c r="AY280" s="2">
        <v>0</v>
      </c>
      <c r="AZ280" s="50">
        <v>0.6</v>
      </c>
      <c r="BA280" s="199">
        <v>1</v>
      </c>
      <c r="BB280" s="199">
        <v>0</v>
      </c>
      <c r="BC280" s="50">
        <v>0</v>
      </c>
      <c r="BD280" s="199">
        <v>0</v>
      </c>
      <c r="BE280" s="199">
        <v>1</v>
      </c>
      <c r="BF280" s="50">
        <v>0</v>
      </c>
      <c r="BG280" s="199">
        <v>1</v>
      </c>
      <c r="BH280" s="50">
        <v>0</v>
      </c>
      <c r="BI280" s="199">
        <v>0</v>
      </c>
      <c r="BJ280" s="199">
        <v>0</v>
      </c>
      <c r="BK280" s="50">
        <v>1</v>
      </c>
      <c r="BL280" s="199">
        <v>0.15</v>
      </c>
      <c r="BM280" s="199">
        <v>10</v>
      </c>
      <c r="BN280" s="32">
        <f t="shared" ca="1" si="390"/>
        <v>149.30959999999999</v>
      </c>
      <c r="BO280">
        <f t="shared" ca="1" si="391"/>
        <v>438.00000000000006</v>
      </c>
      <c r="BP280">
        <f t="shared" ca="1" si="384"/>
        <v>0</v>
      </c>
      <c r="BQ280">
        <f t="shared" ca="1" si="385"/>
        <v>75.44</v>
      </c>
      <c r="BR280">
        <f t="shared" ca="1" si="386"/>
        <v>0</v>
      </c>
      <c r="BS280">
        <f t="shared" ca="1" si="387"/>
        <v>39.999999999999993</v>
      </c>
      <c r="BT280">
        <f t="shared" ca="1" si="388"/>
        <v>0</v>
      </c>
      <c r="BU280">
        <v>0</v>
      </c>
      <c r="BV280">
        <f t="shared" ca="1" si="392"/>
        <v>0</v>
      </c>
      <c r="BW280">
        <f t="shared" ca="1" si="393"/>
        <v>37.25091441111924</v>
      </c>
      <c r="BX280">
        <f t="shared" ca="1" si="394"/>
        <v>0</v>
      </c>
      <c r="BY280">
        <f t="shared" ca="1" si="395"/>
        <v>79.999999967999983</v>
      </c>
      <c r="BZ280">
        <f t="shared" ca="1" si="396"/>
        <v>0</v>
      </c>
      <c r="CA280">
        <f t="shared" si="397"/>
        <v>0</v>
      </c>
      <c r="CB280" s="1018">
        <f t="shared" ca="1" si="400"/>
        <v>134.56691437911923</v>
      </c>
      <c r="CC280" s="1018">
        <f t="shared" ca="1" si="401"/>
        <v>46.902374429938249</v>
      </c>
      <c r="CD280">
        <f t="shared" ca="1" si="382"/>
        <v>5.444078664271724</v>
      </c>
      <c r="CE280">
        <f t="shared" ca="1" si="383"/>
        <v>9064.1732128658477</v>
      </c>
    </row>
    <row r="281" spans="3:83" x14ac:dyDescent="0.25">
      <c r="C281" s="856"/>
      <c r="D281" s="861"/>
      <c r="E281" s="855"/>
      <c r="F281" s="856"/>
      <c r="G281" s="855"/>
      <c r="H281" s="856"/>
      <c r="I281" s="861"/>
      <c r="J281" s="856"/>
      <c r="K281" s="861"/>
      <c r="L281" s="861"/>
      <c r="M281" s="861" t="s">
        <v>60</v>
      </c>
      <c r="N281" s="861">
        <v>0.55555555599999995</v>
      </c>
      <c r="O281" s="857" t="s">
        <v>57</v>
      </c>
      <c r="P281" s="861">
        <v>1</v>
      </c>
      <c r="Q281" s="856"/>
      <c r="R281" s="863">
        <v>1.02158E-3</v>
      </c>
      <c r="S281" s="876"/>
      <c r="T281" s="34">
        <f t="shared" si="398"/>
        <v>1.02158E-3</v>
      </c>
      <c r="U281" s="200">
        <f>T281-T281*Calculation_sheet!J$69/4</f>
        <v>1.02158E-3</v>
      </c>
      <c r="V281" s="200">
        <f>U281-U281*(Calculation_sheet!J$79+Calculation_sheet!O$79)/4</f>
        <v>1.02158E-3</v>
      </c>
      <c r="W281" s="176">
        <f>V281/Calculation_sheet!M$67</f>
        <v>1.0216008876625889E-3</v>
      </c>
      <c r="X281" s="958">
        <f ca="1">IF(AL281&gt;0,W281*Calculation_sheet!C$87,0)</f>
        <v>0</v>
      </c>
      <c r="Y281" s="176">
        <f t="shared" ca="1" si="399"/>
        <v>1.0216008876625889E-3</v>
      </c>
      <c r="Z281" s="176">
        <f>IF(AN281&gt;0,Y281*Calculation_sheet!C$94,0)</f>
        <v>0</v>
      </c>
      <c r="AA281" s="958">
        <f t="shared" ca="1" si="389"/>
        <v>1.0216008876625889E-3</v>
      </c>
      <c r="AB281" s="176">
        <f ca="1">AA281*Calculation_sheet!C$99</f>
        <v>6.1296053259755337E-4</v>
      </c>
      <c r="AC281" s="958">
        <f t="shared" ca="1" si="389"/>
        <v>4.0864035506503558E-4</v>
      </c>
      <c r="AD281" s="176">
        <f t="shared" si="378"/>
        <v>1.0216008876625889E-3</v>
      </c>
      <c r="AE281" s="176">
        <f>AD281*User_sheet!B$77/100</f>
        <v>0</v>
      </c>
      <c r="AF281" s="309"/>
      <c r="AG281" s="27">
        <v>404</v>
      </c>
      <c r="AH281" s="985"/>
      <c r="AI281" s="956">
        <f t="shared" ca="1" si="381"/>
        <v>134.56691437911923</v>
      </c>
      <c r="AJ281" s="956">
        <f ca="1">AI281/'404'!I$24</f>
        <v>0.50829838475152689</v>
      </c>
      <c r="AK281" s="956">
        <f ca="1">0.8*(AI281*30+'404'!D$17*0.34*30*1+2500)</f>
        <v>8884.469945098861</v>
      </c>
      <c r="AL281" s="954">
        <f ca="1">IF(AK281&lt;User_sheet!B$50,W281,0)</f>
        <v>1.0216008876625889E-3</v>
      </c>
      <c r="AM281" s="954">
        <f ca="1">20-(User_sheet!B$57/(AI281+'403'!D$17*1*0.34))</f>
        <v>-3.5048938031116847</v>
      </c>
      <c r="AN281" s="954"/>
      <c r="AO281" s="985"/>
      <c r="AP281" s="27">
        <v>0</v>
      </c>
      <c r="AQ281" s="27">
        <v>0.54</v>
      </c>
      <c r="AR281" s="27">
        <v>0</v>
      </c>
      <c r="AS281" s="27">
        <v>2</v>
      </c>
      <c r="AT281" s="27">
        <v>0</v>
      </c>
      <c r="AU281" s="2">
        <v>0</v>
      </c>
      <c r="AV281" s="2">
        <v>75022.04959166942</v>
      </c>
      <c r="AW281" s="2">
        <v>0</v>
      </c>
      <c r="AX281" s="2">
        <v>0</v>
      </c>
      <c r="AY281" s="2">
        <v>0</v>
      </c>
      <c r="AZ281" s="50">
        <v>0.6</v>
      </c>
      <c r="BA281" s="199">
        <v>0</v>
      </c>
      <c r="BB281" s="199">
        <v>1</v>
      </c>
      <c r="BC281" s="50">
        <v>0</v>
      </c>
      <c r="BD281" s="199">
        <v>1</v>
      </c>
      <c r="BE281" s="199">
        <v>0</v>
      </c>
      <c r="BF281" s="50">
        <v>0</v>
      </c>
      <c r="BG281" s="199">
        <v>1</v>
      </c>
      <c r="BH281" s="50">
        <v>0</v>
      </c>
      <c r="BI281" s="199">
        <v>0</v>
      </c>
      <c r="BJ281" s="199">
        <v>1</v>
      </c>
      <c r="BK281" s="50">
        <v>0</v>
      </c>
      <c r="BL281" s="199">
        <v>0.15</v>
      </c>
      <c r="BM281" s="199">
        <v>10</v>
      </c>
      <c r="BN281" s="32">
        <f t="shared" ca="1" si="390"/>
        <v>149.30959999999999</v>
      </c>
      <c r="BO281">
        <f t="shared" ca="1" si="391"/>
        <v>438.00000000000006</v>
      </c>
      <c r="BP281">
        <f t="shared" ca="1" si="384"/>
        <v>0</v>
      </c>
      <c r="BQ281">
        <f t="shared" ca="1" si="385"/>
        <v>75.44</v>
      </c>
      <c r="BR281">
        <f t="shared" ca="1" si="386"/>
        <v>0</v>
      </c>
      <c r="BS281">
        <f t="shared" ca="1" si="387"/>
        <v>39.999999999999993</v>
      </c>
      <c r="BT281">
        <f t="shared" ca="1" si="388"/>
        <v>0</v>
      </c>
      <c r="BU281">
        <v>0</v>
      </c>
      <c r="BV281">
        <f t="shared" ca="1" si="392"/>
        <v>0</v>
      </c>
      <c r="BW281">
        <f t="shared" ca="1" si="393"/>
        <v>37.25091441111924</v>
      </c>
      <c r="BX281">
        <f t="shared" ca="1" si="394"/>
        <v>0</v>
      </c>
      <c r="BY281">
        <f t="shared" ca="1" si="395"/>
        <v>79.999999967999983</v>
      </c>
      <c r="BZ281">
        <f t="shared" ca="1" si="396"/>
        <v>0</v>
      </c>
      <c r="CA281">
        <f t="shared" si="397"/>
        <v>0</v>
      </c>
      <c r="CB281" s="1018">
        <f t="shared" ca="1" si="400"/>
        <v>134.56691437911923</v>
      </c>
      <c r="CC281" s="1018">
        <f t="shared" ca="1" si="401"/>
        <v>46.902374429938249</v>
      </c>
      <c r="CD281">
        <f t="shared" ca="1" si="382"/>
        <v>5.444078664271724</v>
      </c>
      <c r="CE281">
        <f t="shared" ca="1" si="383"/>
        <v>9064.1732128658477</v>
      </c>
    </row>
    <row r="282" spans="3:83" x14ac:dyDescent="0.25">
      <c r="C282" s="856"/>
      <c r="D282" s="856"/>
      <c r="E282" s="855"/>
      <c r="F282" s="856"/>
      <c r="G282" s="855"/>
      <c r="H282" s="856"/>
      <c r="I282" s="861"/>
      <c r="J282" s="856"/>
      <c r="K282" s="861" t="s">
        <v>58</v>
      </c>
      <c r="L282" s="861">
        <v>0.9</v>
      </c>
      <c r="M282" s="861" t="s">
        <v>61</v>
      </c>
      <c r="N282" s="861">
        <v>0.44444444399999999</v>
      </c>
      <c r="O282" s="862" t="s">
        <v>57</v>
      </c>
      <c r="P282" s="861">
        <v>1</v>
      </c>
      <c r="Q282" s="856"/>
      <c r="R282" s="863">
        <v>8.1726399999999995E-4</v>
      </c>
      <c r="S282" s="876"/>
      <c r="T282" s="34">
        <f t="shared" si="398"/>
        <v>8.1726399999999995E-4</v>
      </c>
      <c r="U282" s="200">
        <f>T282-T282*Calculation_sheet!J$69/4</f>
        <v>8.1726399999999995E-4</v>
      </c>
      <c r="V282" s="200">
        <f>U282-U282*(Calculation_sheet!J$79+Calculation_sheet!O$79)/4</f>
        <v>8.1726399999999995E-4</v>
      </c>
      <c r="W282" s="176">
        <f>V282/Calculation_sheet!M$67</f>
        <v>8.1728071013007116E-4</v>
      </c>
      <c r="X282" s="958">
        <f ca="1">IF(AL282&gt;0,W282*Calculation_sheet!C$87,0)</f>
        <v>0</v>
      </c>
      <c r="Y282" s="176">
        <f t="shared" ca="1" si="399"/>
        <v>8.1728071013007116E-4</v>
      </c>
      <c r="Z282" s="176">
        <f>IF(AN282&gt;0,Y282*Calculation_sheet!C$94,0)</f>
        <v>0</v>
      </c>
      <c r="AA282" s="958">
        <f t="shared" ca="1" si="389"/>
        <v>8.1728071013007116E-4</v>
      </c>
      <c r="AB282" s="176">
        <f ca="1">AA282*Calculation_sheet!C$99</f>
        <v>4.9036842607804267E-4</v>
      </c>
      <c r="AC282" s="958">
        <f t="shared" ca="1" si="389"/>
        <v>3.2691228405202848E-4</v>
      </c>
      <c r="AD282" s="176">
        <f t="shared" si="378"/>
        <v>8.1728071013007116E-4</v>
      </c>
      <c r="AE282" s="176">
        <f>AD282*User_sheet!B$77/100</f>
        <v>0</v>
      </c>
      <c r="AF282" s="309"/>
      <c r="AG282" s="27">
        <v>404</v>
      </c>
      <c r="AH282" s="985"/>
      <c r="AI282" s="956">
        <f t="shared" ca="1" si="381"/>
        <v>134.56691437911923</v>
      </c>
      <c r="AJ282" s="956">
        <f ca="1">AI282/'404'!I$24</f>
        <v>0.50829838475152689</v>
      </c>
      <c r="AK282" s="956">
        <f ca="1">0.8*(AI282*30+'404'!D$17*0.34*30*1+2500)</f>
        <v>8884.469945098861</v>
      </c>
      <c r="AL282" s="954">
        <f ca="1">IF(AK282&lt;User_sheet!B$50,W282,0)</f>
        <v>8.1728071013007116E-4</v>
      </c>
      <c r="AM282" s="954">
        <f ca="1">20-(User_sheet!B$57/(AI282+'403'!D$17*1*0.34))</f>
        <v>-3.5048938031116847</v>
      </c>
      <c r="AN282" s="954"/>
      <c r="AO282" s="985"/>
      <c r="AP282" s="27">
        <v>0</v>
      </c>
      <c r="AQ282" s="27">
        <v>0.54</v>
      </c>
      <c r="AR282" s="27">
        <v>0</v>
      </c>
      <c r="AS282" s="27">
        <v>2</v>
      </c>
      <c r="AT282" s="27">
        <v>0</v>
      </c>
      <c r="AU282" s="2">
        <v>0</v>
      </c>
      <c r="AV282" s="2">
        <v>75022.04959166942</v>
      </c>
      <c r="AW282" s="2">
        <v>0</v>
      </c>
      <c r="AX282" s="2">
        <v>0</v>
      </c>
      <c r="AY282" s="2">
        <v>0</v>
      </c>
      <c r="AZ282" s="50">
        <v>0.6</v>
      </c>
      <c r="BA282" s="199">
        <v>0</v>
      </c>
      <c r="BB282" s="199">
        <v>1</v>
      </c>
      <c r="BC282" s="50">
        <v>0</v>
      </c>
      <c r="BD282" s="199">
        <v>1</v>
      </c>
      <c r="BE282" s="199">
        <v>0</v>
      </c>
      <c r="BF282" s="50">
        <v>0</v>
      </c>
      <c r="BG282" s="199">
        <v>0</v>
      </c>
      <c r="BH282" s="50">
        <v>1</v>
      </c>
      <c r="BI282" s="199">
        <v>0</v>
      </c>
      <c r="BJ282" s="199">
        <v>1</v>
      </c>
      <c r="BK282" s="50">
        <v>0</v>
      </c>
      <c r="BL282" s="199">
        <v>0.15</v>
      </c>
      <c r="BM282" s="199">
        <v>10</v>
      </c>
      <c r="BN282" s="32">
        <f t="shared" ca="1" si="390"/>
        <v>149.30959999999999</v>
      </c>
      <c r="BO282">
        <f t="shared" ca="1" si="391"/>
        <v>438.00000000000006</v>
      </c>
      <c r="BP282">
        <f t="shared" ca="1" si="384"/>
        <v>0</v>
      </c>
      <c r="BQ282">
        <f t="shared" ca="1" si="385"/>
        <v>75.44</v>
      </c>
      <c r="BR282">
        <f t="shared" ca="1" si="386"/>
        <v>0</v>
      </c>
      <c r="BS282">
        <f t="shared" ca="1" si="387"/>
        <v>39.999999999999993</v>
      </c>
      <c r="BT282">
        <f t="shared" ca="1" si="388"/>
        <v>0</v>
      </c>
      <c r="BU282">
        <v>0</v>
      </c>
      <c r="BV282">
        <f t="shared" ca="1" si="392"/>
        <v>0</v>
      </c>
      <c r="BW282">
        <f t="shared" ca="1" si="393"/>
        <v>37.25091441111924</v>
      </c>
      <c r="BX282">
        <f t="shared" ca="1" si="394"/>
        <v>0</v>
      </c>
      <c r="BY282">
        <f t="shared" ca="1" si="395"/>
        <v>79.999999967999983</v>
      </c>
      <c r="BZ282">
        <f t="shared" ca="1" si="396"/>
        <v>0</v>
      </c>
      <c r="CA282">
        <f t="shared" si="397"/>
        <v>0</v>
      </c>
      <c r="CB282" s="1018">
        <f t="shared" ca="1" si="400"/>
        <v>134.56691437911923</v>
      </c>
      <c r="CC282" s="1018">
        <f t="shared" ca="1" si="401"/>
        <v>46.902374429938249</v>
      </c>
      <c r="CD282">
        <f t="shared" ca="1" si="382"/>
        <v>5.444078664271724</v>
      </c>
      <c r="CE282">
        <f t="shared" ca="1" si="383"/>
        <v>9064.1732128658477</v>
      </c>
    </row>
    <row r="283" spans="3:83" x14ac:dyDescent="0.25">
      <c r="C283" s="856"/>
      <c r="D283" s="856"/>
      <c r="E283" s="855" t="s">
        <v>8</v>
      </c>
      <c r="F283" s="860">
        <v>0.13</v>
      </c>
      <c r="G283" s="855" t="s">
        <v>9</v>
      </c>
      <c r="H283" s="860">
        <v>0.64260000000000006</v>
      </c>
      <c r="I283" s="861" t="s">
        <v>22</v>
      </c>
      <c r="J283" s="856">
        <v>0.25</v>
      </c>
      <c r="K283" s="861" t="s">
        <v>59</v>
      </c>
      <c r="L283" s="861">
        <v>0.1</v>
      </c>
      <c r="M283" s="861"/>
      <c r="N283" s="861"/>
      <c r="O283" s="862" t="s">
        <v>57</v>
      </c>
      <c r="P283" s="861">
        <v>1</v>
      </c>
      <c r="Q283" s="856"/>
      <c r="R283" s="863">
        <v>2.0431599999999999E-4</v>
      </c>
      <c r="S283" s="876"/>
      <c r="T283" s="34">
        <f t="shared" si="398"/>
        <v>2.0431599999999999E-4</v>
      </c>
      <c r="U283" s="200">
        <f>T283-T283*Calculation_sheet!J$69/4</f>
        <v>2.0431599999999999E-4</v>
      </c>
      <c r="V283" s="200">
        <f>U283-U283*(Calculation_sheet!J$79+Calculation_sheet!O$79)/4</f>
        <v>2.0431599999999999E-4</v>
      </c>
      <c r="W283" s="176">
        <f>V283/Calculation_sheet!M$67</f>
        <v>2.0432017753251779E-4</v>
      </c>
      <c r="X283" s="958">
        <f ca="1">IF(AL283&gt;0,W283*Calculation_sheet!C$87,0)</f>
        <v>0</v>
      </c>
      <c r="Y283" s="176">
        <f t="shared" ca="1" si="399"/>
        <v>2.0432017753251779E-4</v>
      </c>
      <c r="Z283" s="176">
        <f>IF(AN283&gt;0,Y283*Calculation_sheet!C$94,0)</f>
        <v>0</v>
      </c>
      <c r="AA283" s="958">
        <f t="shared" ca="1" si="389"/>
        <v>2.0432017753251779E-4</v>
      </c>
      <c r="AB283" s="176">
        <f ca="1">AA283*Calculation_sheet!C$99</f>
        <v>1.2259210651951067E-4</v>
      </c>
      <c r="AC283" s="958">
        <f t="shared" ca="1" si="389"/>
        <v>8.1728071013007121E-5</v>
      </c>
      <c r="AD283" s="176">
        <f t="shared" si="378"/>
        <v>2.0432017753251779E-4</v>
      </c>
      <c r="AE283" s="176">
        <f>AD283*User_sheet!B$77/100</f>
        <v>0</v>
      </c>
      <c r="AF283" s="309"/>
      <c r="AG283" s="27">
        <v>404</v>
      </c>
      <c r="AH283" s="985"/>
      <c r="AI283" s="956">
        <f t="shared" ca="1" si="381"/>
        <v>134.56691437911923</v>
      </c>
      <c r="AJ283" s="956">
        <f ca="1">AI283/'404'!I$24</f>
        <v>0.50829838475152689</v>
      </c>
      <c r="AK283" s="956">
        <f ca="1">0.8*(AI283*30+'404'!D$17*0.34*30*1+2500)</f>
        <v>8884.469945098861</v>
      </c>
      <c r="AL283" s="954">
        <f ca="1">IF(AK283&lt;User_sheet!B$50,W283,0)</f>
        <v>2.0432017753251779E-4</v>
      </c>
      <c r="AM283" s="954">
        <f ca="1">20-(User_sheet!B$57/(AI283+'403'!D$17*1*0.34))</f>
        <v>-3.5048938031116847</v>
      </c>
      <c r="AN283" s="954"/>
      <c r="AO283" s="985"/>
      <c r="AP283" s="27">
        <v>0</v>
      </c>
      <c r="AQ283" s="27">
        <v>0.54</v>
      </c>
      <c r="AR283" s="27">
        <v>0</v>
      </c>
      <c r="AS283" s="27">
        <v>2</v>
      </c>
      <c r="AT283" s="27">
        <v>0</v>
      </c>
      <c r="AU283" s="2">
        <v>0</v>
      </c>
      <c r="AV283" s="2">
        <v>75022.04959166942</v>
      </c>
      <c r="AW283" s="2">
        <v>0</v>
      </c>
      <c r="AX283" s="2">
        <v>0</v>
      </c>
      <c r="AY283" s="2">
        <v>0</v>
      </c>
      <c r="AZ283" s="50">
        <v>0.6</v>
      </c>
      <c r="BA283" s="199">
        <v>0</v>
      </c>
      <c r="BB283" s="199">
        <v>1</v>
      </c>
      <c r="BC283" s="50">
        <v>0</v>
      </c>
      <c r="BD283" s="199">
        <v>0</v>
      </c>
      <c r="BE283" s="199">
        <v>1</v>
      </c>
      <c r="BF283" s="50">
        <v>0</v>
      </c>
      <c r="BG283" s="199">
        <v>1</v>
      </c>
      <c r="BH283" s="50">
        <v>0</v>
      </c>
      <c r="BI283" s="199">
        <v>0</v>
      </c>
      <c r="BJ283" s="199">
        <v>1</v>
      </c>
      <c r="BK283" s="50">
        <v>0</v>
      </c>
      <c r="BL283" s="199">
        <v>0.15</v>
      </c>
      <c r="BM283" s="199">
        <v>10</v>
      </c>
      <c r="BN283" s="32">
        <f t="shared" ca="1" si="390"/>
        <v>149.30959999999999</v>
      </c>
      <c r="BO283">
        <f t="shared" ca="1" si="391"/>
        <v>438.00000000000006</v>
      </c>
      <c r="BP283">
        <f t="shared" ca="1" si="384"/>
        <v>0</v>
      </c>
      <c r="BQ283">
        <f t="shared" ca="1" si="385"/>
        <v>75.44</v>
      </c>
      <c r="BR283">
        <f t="shared" ca="1" si="386"/>
        <v>0</v>
      </c>
      <c r="BS283">
        <f t="shared" ca="1" si="387"/>
        <v>39.999999999999993</v>
      </c>
      <c r="BT283">
        <f t="shared" ca="1" si="388"/>
        <v>0</v>
      </c>
      <c r="BU283">
        <v>0</v>
      </c>
      <c r="BV283">
        <f t="shared" ca="1" si="392"/>
        <v>0</v>
      </c>
      <c r="BW283">
        <f t="shared" ca="1" si="393"/>
        <v>37.25091441111924</v>
      </c>
      <c r="BX283">
        <f t="shared" ca="1" si="394"/>
        <v>0</v>
      </c>
      <c r="BY283">
        <f t="shared" ca="1" si="395"/>
        <v>79.999999967999983</v>
      </c>
      <c r="BZ283">
        <f t="shared" ca="1" si="396"/>
        <v>0</v>
      </c>
      <c r="CA283">
        <f t="shared" si="397"/>
        <v>0</v>
      </c>
      <c r="CB283" s="1018">
        <f t="shared" ca="1" si="400"/>
        <v>134.56691437911923</v>
      </c>
      <c r="CC283" s="1018">
        <f t="shared" ca="1" si="401"/>
        <v>46.902374429938249</v>
      </c>
      <c r="CD283">
        <f t="shared" ca="1" si="382"/>
        <v>5.444078664271724</v>
      </c>
      <c r="CE283">
        <f t="shared" ca="1" si="383"/>
        <v>9064.1732128658477</v>
      </c>
    </row>
    <row r="284" spans="3:83" s="870" customFormat="1" x14ac:dyDescent="0.25">
      <c r="C284" s="871"/>
      <c r="D284" s="871"/>
      <c r="F284" s="871"/>
      <c r="H284" s="871"/>
      <c r="I284" s="871"/>
      <c r="J284" s="871"/>
      <c r="K284" s="871"/>
      <c r="L284" s="871"/>
      <c r="M284" s="871"/>
      <c r="N284" s="871"/>
      <c r="O284" s="873"/>
      <c r="P284" s="871"/>
      <c r="Q284" s="871"/>
      <c r="R284" s="877"/>
      <c r="S284" s="877"/>
      <c r="T284" s="277"/>
      <c r="U284" s="292"/>
      <c r="V284" s="292"/>
      <c r="W284" s="292"/>
      <c r="X284" s="277"/>
      <c r="Y284" s="292"/>
      <c r="Z284" s="292"/>
      <c r="AA284" s="277"/>
      <c r="AB284" s="292"/>
      <c r="AC284" s="277"/>
      <c r="AD284" s="292"/>
      <c r="AE284" s="292"/>
      <c r="AF284" s="309"/>
      <c r="AG284" s="873"/>
      <c r="AH284" s="985"/>
      <c r="AI284" s="956">
        <f t="shared" si="381"/>
        <v>0</v>
      </c>
      <c r="AJ284" s="941"/>
      <c r="AK284" s="941"/>
      <c r="AL284" s="941"/>
      <c r="AM284" s="941"/>
      <c r="AN284" s="941"/>
      <c r="AO284" s="985"/>
      <c r="AP284" s="873"/>
      <c r="AQ284" s="873"/>
      <c r="AR284" s="873"/>
      <c r="AS284" s="873"/>
      <c r="AT284" s="873"/>
      <c r="AU284" s="873"/>
      <c r="AV284" s="873"/>
      <c r="AW284" s="873"/>
      <c r="AX284" s="873"/>
      <c r="AY284" s="873"/>
      <c r="AZ284" s="49"/>
      <c r="BA284" s="277"/>
      <c r="BB284" s="277"/>
      <c r="BC284" s="49"/>
      <c r="BD284" s="277"/>
      <c r="BE284" s="277"/>
      <c r="BF284" s="49"/>
      <c r="BG284" s="277"/>
      <c r="BH284" s="49"/>
      <c r="BI284" s="277"/>
      <c r="BJ284" s="277"/>
      <c r="BK284" s="49"/>
      <c r="BL284" s="277"/>
      <c r="BM284" s="277"/>
      <c r="BN284" s="874"/>
    </row>
    <row r="285" spans="3:83" x14ac:dyDescent="0.25">
      <c r="D285" s="1"/>
      <c r="F285" s="1"/>
      <c r="G285" s="3"/>
      <c r="H285" s="6"/>
      <c r="I285" s="6"/>
      <c r="J285" s="1"/>
      <c r="K285" s="6"/>
      <c r="L285" s="6"/>
      <c r="M285" s="6" t="s">
        <v>60</v>
      </c>
      <c r="N285" s="4"/>
      <c r="O285" s="2" t="s">
        <v>16</v>
      </c>
      <c r="P285" s="4"/>
      <c r="Q285" s="1"/>
      <c r="R285" s="83"/>
      <c r="V285" s="176">
        <f>U275-V275</f>
        <v>0</v>
      </c>
      <c r="W285" s="176">
        <f>V285/Calculation_sheet!M$67</f>
        <v>0</v>
      </c>
      <c r="X285" s="958">
        <f ca="1">IF(AL285&gt;0,W285*Calculation_sheet!C$87,0)</f>
        <v>0</v>
      </c>
      <c r="Y285" s="176">
        <f ca="1">W285-X285</f>
        <v>0</v>
      </c>
      <c r="Z285" s="176">
        <f>IF(AN285&gt;0,Y285*Calculation_sheet!C$94,0)</f>
        <v>0</v>
      </c>
      <c r="AA285" s="958">
        <f t="shared" ref="AA285:AC293" ca="1" si="402">Y285-Z285</f>
        <v>0</v>
      </c>
      <c r="AB285" s="176">
        <f ca="1">AA285*Calculation_sheet!C$99</f>
        <v>0</v>
      </c>
      <c r="AC285" s="958">
        <f t="shared" ca="1" si="402"/>
        <v>0</v>
      </c>
      <c r="AD285" s="176">
        <f>W285-Z285</f>
        <v>0</v>
      </c>
      <c r="AE285" s="176">
        <f>AD285*User_sheet!B$77/100</f>
        <v>0</v>
      </c>
      <c r="AF285" s="309"/>
      <c r="AG285" s="27">
        <v>404</v>
      </c>
      <c r="AH285" s="985"/>
      <c r="AI285" s="956">
        <f t="shared" ca="1" si="381"/>
        <v>134.56691437911923</v>
      </c>
      <c r="AJ285" s="956">
        <f ca="1">AI285/'404'!I$24</f>
        <v>0.50829838475152689</v>
      </c>
      <c r="AK285" s="956">
        <f ca="1">0.8*(AI285*30+'404'!D$17*0.34*30*1+2500)</f>
        <v>8884.469945098861</v>
      </c>
      <c r="AL285" s="954">
        <f ca="1">IF(AK285&lt;User_sheet!B$50,W285,0)</f>
        <v>0</v>
      </c>
      <c r="AM285" s="954">
        <f ca="1">20-(User_sheet!B$57/(AI285+'403'!D$17*1*0.34))</f>
        <v>-3.5048938031116847</v>
      </c>
      <c r="AN285" s="954"/>
      <c r="AO285" s="985"/>
      <c r="AP285" s="27">
        <v>0</v>
      </c>
      <c r="AQ285" s="27">
        <v>0.54</v>
      </c>
      <c r="AR285" s="27">
        <v>0</v>
      </c>
      <c r="AS285" s="27">
        <v>2</v>
      </c>
      <c r="AT285" s="27">
        <v>0</v>
      </c>
      <c r="AU285" s="2">
        <v>0</v>
      </c>
      <c r="AV285" s="2">
        <v>75022.04959166942</v>
      </c>
      <c r="AW285" s="2">
        <v>0</v>
      </c>
      <c r="AX285" s="2">
        <v>0</v>
      </c>
      <c r="AY285" s="2">
        <v>0</v>
      </c>
      <c r="AZ285" s="50">
        <v>0.6</v>
      </c>
      <c r="BA285" s="199">
        <v>1</v>
      </c>
      <c r="BB285" s="199">
        <v>0</v>
      </c>
      <c r="BC285" s="50">
        <v>0</v>
      </c>
      <c r="BD285" s="199">
        <v>1</v>
      </c>
      <c r="BE285" s="199">
        <v>0</v>
      </c>
      <c r="BF285" s="50">
        <v>0</v>
      </c>
      <c r="BG285" s="199">
        <v>1</v>
      </c>
      <c r="BH285" s="50">
        <v>0</v>
      </c>
      <c r="BI285" s="199">
        <v>1</v>
      </c>
      <c r="BJ285" s="199">
        <v>0</v>
      </c>
      <c r="BK285" s="50">
        <v>0</v>
      </c>
      <c r="BL285" s="199">
        <v>0.15</v>
      </c>
      <c r="BM285" s="199">
        <v>10</v>
      </c>
      <c r="BN285" s="32">
        <f t="shared" ref="BN285:BN293" ca="1" si="403">INDIRECT("'"&amp;AG285&amp;"'!"&amp;"B2")</f>
        <v>149.30959999999999</v>
      </c>
      <c r="BO285">
        <f t="shared" ref="BO285:BO293" ca="1" si="404">INDIRECT("'"&amp;AG285&amp;"'!"&amp;"C12")+INDIRECT("'"&amp;AG285&amp;"'!"&amp;"C13")+INDIRECT("'"&amp;AG285&amp;"'!"&amp;"C14")+INDIRECT("'"&amp;AG285&amp;"'!"&amp;"C15")+INDIRECT("'"&amp;AG285&amp;"'!"&amp;"C17")</f>
        <v>438.00000000000006</v>
      </c>
      <c r="BP285">
        <f t="shared" ca="1" si="384"/>
        <v>0</v>
      </c>
      <c r="BQ285">
        <f t="shared" ca="1" si="385"/>
        <v>75.44</v>
      </c>
      <c r="BR285">
        <f t="shared" ca="1" si="386"/>
        <v>0</v>
      </c>
      <c r="BS285">
        <f t="shared" ca="1" si="387"/>
        <v>39.999999999999993</v>
      </c>
      <c r="BT285">
        <f t="shared" ca="1" si="388"/>
        <v>0</v>
      </c>
      <c r="BU285">
        <v>0</v>
      </c>
      <c r="BV285">
        <f t="shared" ref="BV285:BV293" ca="1" si="405">IF(OR(BP285=0,AP285=0),0,1/(1/(BP285*$BW$3)+1/(BP285*AP285)+1/(BP285*$BW$4)))</f>
        <v>0</v>
      </c>
      <c r="BW285">
        <f t="shared" ref="BW285:BW293" ca="1" si="406">IF(OR(BQ285=0,AQ285=0),0,1/(1/(BQ285*$BW$3)+1/(BQ285*AQ285)+1/(BQ285*$BW$4)))</f>
        <v>37.25091441111924</v>
      </c>
      <c r="BX285">
        <f t="shared" ref="BX285:BX293" ca="1" si="407">IF(OR(BR285=0,AR285=0),0,1/(1/(BR285*$BW$3)+1/(BR285*AR285)+1/(BR285*$BW$4)))</f>
        <v>0</v>
      </c>
      <c r="BY285">
        <f t="shared" ref="BY285:BY293" ca="1" si="408">IF(OR(BS285=0,AS285=0),0,1/(1/(BS285*$BW$5)+1/(BS285*AS285)+1/(BS285*$BW$6)))</f>
        <v>79.999999967999983</v>
      </c>
      <c r="BZ285">
        <f t="shared" ref="BZ285:BZ293" ca="1" si="409">IF(OR(BT285=0,AT285=0),0,1/(1/(BT285*$BW$3)+1/(BT285*AT285)+1/(BT285*$BW$4)))</f>
        <v>0</v>
      </c>
      <c r="CA285">
        <f t="shared" ref="CA285:CA293" si="410">IF(OR(BU285=0,AU285=0),0,1/(1/(BU285*$BW$3)+1/(BU285*AU285)+1/(BU285*$BW$4)))</f>
        <v>0</v>
      </c>
      <c r="CB285" s="1018">
        <f ca="1">SUM(BV285:CA285)+(BP285+BQ285+BR285+BS285+BT285)*BL285</f>
        <v>134.56691437911923</v>
      </c>
      <c r="CC285" s="1018">
        <f ca="1">0.34*BM285*(1/25)^0.66*(BQ285+BS285+BT285)</f>
        <v>46.902374429938249</v>
      </c>
      <c r="CD285">
        <f t="shared" ca="1" si="382"/>
        <v>5.444078664271724</v>
      </c>
      <c r="CE285">
        <f t="shared" ca="1" si="383"/>
        <v>9064.1732128658477</v>
      </c>
    </row>
    <row r="286" spans="3:83" x14ac:dyDescent="0.25">
      <c r="D286" s="1"/>
      <c r="F286" s="1"/>
      <c r="G286" s="3"/>
      <c r="H286" s="6"/>
      <c r="I286" s="6"/>
      <c r="J286" s="1"/>
      <c r="K286" s="6"/>
      <c r="L286" s="6"/>
      <c r="M286" s="6"/>
      <c r="N286" s="6"/>
      <c r="O286" s="2" t="s">
        <v>7</v>
      </c>
      <c r="P286" s="4"/>
      <c r="Q286" s="1"/>
      <c r="R286" s="83"/>
      <c r="V286" s="176">
        <f t="shared" ref="V286:V293" si="411">U276-V276</f>
        <v>0</v>
      </c>
      <c r="W286" s="176">
        <f>V286/Calculation_sheet!M$67</f>
        <v>0</v>
      </c>
      <c r="X286" s="958">
        <f ca="1">IF(AL286&gt;0,W286*Calculation_sheet!C$87,0)</f>
        <v>0</v>
      </c>
      <c r="Y286" s="176">
        <f t="shared" ref="Y286:Y293" ca="1" si="412">W286-X286</f>
        <v>0</v>
      </c>
      <c r="Z286" s="176">
        <f>IF(AN286&gt;0,Y286*Calculation_sheet!C$94,0)</f>
        <v>0</v>
      </c>
      <c r="AA286" s="958">
        <f t="shared" ca="1" si="402"/>
        <v>0</v>
      </c>
      <c r="AB286" s="176">
        <f ca="1">AA286*Calculation_sheet!C$99</f>
        <v>0</v>
      </c>
      <c r="AC286" s="958">
        <f t="shared" ca="1" si="402"/>
        <v>0</v>
      </c>
      <c r="AD286" s="176">
        <f t="shared" ref="AD286:AD293" si="413">W286-Z286</f>
        <v>0</v>
      </c>
      <c r="AE286" s="176">
        <f>AD286*User_sheet!B$77/100</f>
        <v>0</v>
      </c>
      <c r="AF286" s="309"/>
      <c r="AG286" s="27">
        <v>404</v>
      </c>
      <c r="AH286" s="985"/>
      <c r="AI286" s="956">
        <f t="shared" ca="1" si="381"/>
        <v>134.56691437911923</v>
      </c>
      <c r="AJ286" s="956">
        <f ca="1">AI286/'404'!I$24</f>
        <v>0.50829838475152689</v>
      </c>
      <c r="AK286" s="956">
        <f ca="1">0.8*(AI286*30+'404'!D$17*0.34*30*1+2500)</f>
        <v>8884.469945098861</v>
      </c>
      <c r="AL286" s="954">
        <f ca="1">IF(AK286&lt;User_sheet!B$50,W286,0)</f>
        <v>0</v>
      </c>
      <c r="AM286" s="954">
        <f ca="1">20-(User_sheet!B$57/(AI286+'403'!D$17*1*0.34))</f>
        <v>-3.5048938031116847</v>
      </c>
      <c r="AN286" s="954"/>
      <c r="AO286" s="985"/>
      <c r="AP286" s="27">
        <v>0</v>
      </c>
      <c r="AQ286" s="27">
        <v>0.54</v>
      </c>
      <c r="AR286" s="27">
        <v>0</v>
      </c>
      <c r="AS286" s="27">
        <v>2</v>
      </c>
      <c r="AT286" s="27">
        <v>0</v>
      </c>
      <c r="AU286" s="2">
        <v>0</v>
      </c>
      <c r="AV286" s="2">
        <v>75022.04959166942</v>
      </c>
      <c r="AW286" s="2">
        <v>0</v>
      </c>
      <c r="AX286" s="2">
        <v>0</v>
      </c>
      <c r="AY286" s="2">
        <v>0</v>
      </c>
      <c r="AZ286" s="50">
        <v>0.6</v>
      </c>
      <c r="BA286" s="199">
        <v>1</v>
      </c>
      <c r="BB286" s="199">
        <v>0</v>
      </c>
      <c r="BC286" s="50">
        <v>0</v>
      </c>
      <c r="BD286" s="199">
        <v>1</v>
      </c>
      <c r="BE286" s="199">
        <v>0</v>
      </c>
      <c r="BF286" s="50">
        <v>0</v>
      </c>
      <c r="BG286" s="199">
        <v>1</v>
      </c>
      <c r="BH286" s="50">
        <v>0</v>
      </c>
      <c r="BI286" s="199">
        <v>0</v>
      </c>
      <c r="BJ286" s="199">
        <v>0</v>
      </c>
      <c r="BK286" s="50">
        <v>1</v>
      </c>
      <c r="BL286" s="199">
        <v>0.15</v>
      </c>
      <c r="BM286" s="199">
        <v>10</v>
      </c>
      <c r="BN286" s="32">
        <f t="shared" ca="1" si="403"/>
        <v>149.30959999999999</v>
      </c>
      <c r="BO286">
        <f t="shared" ca="1" si="404"/>
        <v>438.00000000000006</v>
      </c>
      <c r="BP286">
        <f t="shared" ca="1" si="384"/>
        <v>0</v>
      </c>
      <c r="BQ286">
        <f t="shared" ca="1" si="385"/>
        <v>75.44</v>
      </c>
      <c r="BR286">
        <f t="shared" ca="1" si="386"/>
        <v>0</v>
      </c>
      <c r="BS286">
        <f t="shared" ca="1" si="387"/>
        <v>39.999999999999993</v>
      </c>
      <c r="BT286">
        <f t="shared" ca="1" si="388"/>
        <v>0</v>
      </c>
      <c r="BU286">
        <v>0</v>
      </c>
      <c r="BV286">
        <f t="shared" ca="1" si="405"/>
        <v>0</v>
      </c>
      <c r="BW286">
        <f t="shared" ca="1" si="406"/>
        <v>37.25091441111924</v>
      </c>
      <c r="BX286">
        <f t="shared" ca="1" si="407"/>
        <v>0</v>
      </c>
      <c r="BY286">
        <f t="shared" ca="1" si="408"/>
        <v>79.999999967999983</v>
      </c>
      <c r="BZ286">
        <f t="shared" ca="1" si="409"/>
        <v>0</v>
      </c>
      <c r="CA286">
        <f t="shared" si="410"/>
        <v>0</v>
      </c>
      <c r="CB286" s="1018">
        <f t="shared" ref="CB286:CB293" ca="1" si="414">SUM(BV286:CA286)+(BP286+BQ286+BR286+BS286+BT286)*BL286</f>
        <v>134.56691437911923</v>
      </c>
      <c r="CC286" s="1018">
        <f t="shared" ref="CC286:CC293" ca="1" si="415">0.34*BM286*(1/25)^0.66*(BQ286+BS286+BT286)</f>
        <v>46.902374429938249</v>
      </c>
      <c r="CD286">
        <f t="shared" ca="1" si="382"/>
        <v>5.444078664271724</v>
      </c>
      <c r="CE286">
        <f t="shared" ca="1" si="383"/>
        <v>9064.1732128658477</v>
      </c>
    </row>
    <row r="287" spans="3:83" x14ac:dyDescent="0.25">
      <c r="D287" s="1"/>
      <c r="F287" s="1"/>
      <c r="G287" s="3"/>
      <c r="H287" s="6"/>
      <c r="I287" s="6"/>
      <c r="J287" s="1"/>
      <c r="K287" s="6" t="s">
        <v>58</v>
      </c>
      <c r="L287" s="4"/>
      <c r="M287" s="6" t="s">
        <v>61</v>
      </c>
      <c r="N287" s="4"/>
      <c r="O287" s="2" t="s">
        <v>16</v>
      </c>
      <c r="P287" s="4"/>
      <c r="Q287" s="1"/>
      <c r="R287" s="83"/>
      <c r="V287" s="176">
        <f t="shared" si="411"/>
        <v>0</v>
      </c>
      <c r="W287" s="176">
        <f>V287/Calculation_sheet!M$67</f>
        <v>0</v>
      </c>
      <c r="X287" s="958">
        <f ca="1">IF(AL287&gt;0,W287*Calculation_sheet!C$87,0)</f>
        <v>0</v>
      </c>
      <c r="Y287" s="176">
        <f t="shared" ca="1" si="412"/>
        <v>0</v>
      </c>
      <c r="Z287" s="176">
        <f>IF(AN287&gt;0,Y287*Calculation_sheet!C$94,0)</f>
        <v>0</v>
      </c>
      <c r="AA287" s="958">
        <f t="shared" ca="1" si="402"/>
        <v>0</v>
      </c>
      <c r="AB287" s="176">
        <f ca="1">AA287*Calculation_sheet!C$99</f>
        <v>0</v>
      </c>
      <c r="AC287" s="958">
        <f t="shared" ca="1" si="402"/>
        <v>0</v>
      </c>
      <c r="AD287" s="176">
        <f t="shared" si="413"/>
        <v>0</v>
      </c>
      <c r="AE287" s="176">
        <f>AD287*User_sheet!B$77/100</f>
        <v>0</v>
      </c>
      <c r="AF287" s="309"/>
      <c r="AG287" s="27">
        <v>404</v>
      </c>
      <c r="AH287" s="985"/>
      <c r="AI287" s="956">
        <f t="shared" ca="1" si="381"/>
        <v>134.56691437911923</v>
      </c>
      <c r="AJ287" s="956">
        <f ca="1">AI287/'404'!I$24</f>
        <v>0.50829838475152689</v>
      </c>
      <c r="AK287" s="956">
        <f ca="1">0.8*(AI287*30+'404'!D$17*0.34*30*1+2500)</f>
        <v>8884.469945098861</v>
      </c>
      <c r="AL287" s="954">
        <f ca="1">IF(AK287&lt;User_sheet!B$50,W287,0)</f>
        <v>0</v>
      </c>
      <c r="AM287" s="954">
        <f ca="1">20-(User_sheet!B$57/(AI287+'403'!D$17*1*0.34))</f>
        <v>-3.5048938031116847</v>
      </c>
      <c r="AN287" s="954"/>
      <c r="AO287" s="985"/>
      <c r="AP287" s="27">
        <v>0</v>
      </c>
      <c r="AQ287" s="27">
        <v>0.54</v>
      </c>
      <c r="AR287" s="27">
        <v>0</v>
      </c>
      <c r="AS287" s="27">
        <v>2</v>
      </c>
      <c r="AT287" s="27">
        <v>0</v>
      </c>
      <c r="AU287" s="2">
        <v>0</v>
      </c>
      <c r="AV287" s="2">
        <v>75022.04959166942</v>
      </c>
      <c r="AW287" s="2">
        <v>0</v>
      </c>
      <c r="AX287" s="2">
        <v>0</v>
      </c>
      <c r="AY287" s="2">
        <v>0</v>
      </c>
      <c r="AZ287" s="50">
        <v>0.6</v>
      </c>
      <c r="BA287" s="199">
        <v>1</v>
      </c>
      <c r="BB287" s="199">
        <v>0</v>
      </c>
      <c r="BC287" s="50">
        <v>0</v>
      </c>
      <c r="BD287" s="199">
        <v>1</v>
      </c>
      <c r="BE287" s="199">
        <v>0</v>
      </c>
      <c r="BF287" s="50">
        <v>0</v>
      </c>
      <c r="BG287" s="199">
        <v>0</v>
      </c>
      <c r="BH287" s="50">
        <v>1</v>
      </c>
      <c r="BI287" s="199">
        <v>1</v>
      </c>
      <c r="BJ287" s="199">
        <v>0</v>
      </c>
      <c r="BK287" s="50">
        <v>0</v>
      </c>
      <c r="BL287" s="199">
        <v>0.15</v>
      </c>
      <c r="BM287" s="199">
        <v>10</v>
      </c>
      <c r="BN287" s="32">
        <f t="shared" ca="1" si="403"/>
        <v>149.30959999999999</v>
      </c>
      <c r="BO287">
        <f t="shared" ca="1" si="404"/>
        <v>438.00000000000006</v>
      </c>
      <c r="BP287">
        <f t="shared" ca="1" si="384"/>
        <v>0</v>
      </c>
      <c r="BQ287">
        <f t="shared" ca="1" si="385"/>
        <v>75.44</v>
      </c>
      <c r="BR287">
        <f t="shared" ca="1" si="386"/>
        <v>0</v>
      </c>
      <c r="BS287">
        <f t="shared" ca="1" si="387"/>
        <v>39.999999999999993</v>
      </c>
      <c r="BT287">
        <f t="shared" ca="1" si="388"/>
        <v>0</v>
      </c>
      <c r="BU287">
        <v>0</v>
      </c>
      <c r="BV287">
        <f t="shared" ca="1" si="405"/>
        <v>0</v>
      </c>
      <c r="BW287">
        <f t="shared" ca="1" si="406"/>
        <v>37.25091441111924</v>
      </c>
      <c r="BX287">
        <f t="shared" ca="1" si="407"/>
        <v>0</v>
      </c>
      <c r="BY287">
        <f t="shared" ca="1" si="408"/>
        <v>79.999999967999983</v>
      </c>
      <c r="BZ287">
        <f t="shared" ca="1" si="409"/>
        <v>0</v>
      </c>
      <c r="CA287">
        <f t="shared" si="410"/>
        <v>0</v>
      </c>
      <c r="CB287" s="1018">
        <f t="shared" ca="1" si="414"/>
        <v>134.56691437911923</v>
      </c>
      <c r="CC287" s="1018">
        <f t="shared" ca="1" si="415"/>
        <v>46.902374429938249</v>
      </c>
      <c r="CD287">
        <f t="shared" ca="1" si="382"/>
        <v>5.444078664271724</v>
      </c>
      <c r="CE287">
        <f t="shared" ca="1" si="383"/>
        <v>9064.1732128658477</v>
      </c>
    </row>
    <row r="288" spans="3:83" x14ac:dyDescent="0.25">
      <c r="D288" s="1"/>
      <c r="F288" s="3" t="s">
        <v>144</v>
      </c>
      <c r="H288" s="6"/>
      <c r="I288" s="6" t="s">
        <v>16</v>
      </c>
      <c r="J288" s="4"/>
      <c r="K288" s="6"/>
      <c r="L288" s="6"/>
      <c r="M288" s="6"/>
      <c r="N288" s="6"/>
      <c r="O288" s="2" t="s">
        <v>7</v>
      </c>
      <c r="P288" s="4"/>
      <c r="Q288" s="1"/>
      <c r="R288" s="83"/>
      <c r="V288" s="176">
        <f t="shared" si="411"/>
        <v>0</v>
      </c>
      <c r="W288" s="176">
        <f>V288/Calculation_sheet!M$67</f>
        <v>0</v>
      </c>
      <c r="X288" s="958">
        <f ca="1">IF(AL288&gt;0,W288*Calculation_sheet!C$87,0)</f>
        <v>0</v>
      </c>
      <c r="Y288" s="176">
        <f t="shared" ca="1" si="412"/>
        <v>0</v>
      </c>
      <c r="Z288" s="176">
        <f>IF(AN288&gt;0,Y288*Calculation_sheet!C$94,0)</f>
        <v>0</v>
      </c>
      <c r="AA288" s="958">
        <f t="shared" ca="1" si="402"/>
        <v>0</v>
      </c>
      <c r="AB288" s="176">
        <f ca="1">AA288*Calculation_sheet!C$99</f>
        <v>0</v>
      </c>
      <c r="AC288" s="958">
        <f t="shared" ca="1" si="402"/>
        <v>0</v>
      </c>
      <c r="AD288" s="176">
        <f t="shared" si="413"/>
        <v>0</v>
      </c>
      <c r="AE288" s="176">
        <f>AD288*User_sheet!B$77/100</f>
        <v>0</v>
      </c>
      <c r="AF288" s="309"/>
      <c r="AG288" s="27">
        <v>404</v>
      </c>
      <c r="AH288" s="985"/>
      <c r="AI288" s="956">
        <f t="shared" ca="1" si="381"/>
        <v>134.56691437911923</v>
      </c>
      <c r="AJ288" s="956">
        <f ca="1">AI288/'404'!I$24</f>
        <v>0.50829838475152689</v>
      </c>
      <c r="AK288" s="956">
        <f ca="1">0.8*(AI288*30+'404'!D$17*0.34*30*1+2500)</f>
        <v>8884.469945098861</v>
      </c>
      <c r="AL288" s="954">
        <f ca="1">IF(AK288&lt;User_sheet!B$50,W288,0)</f>
        <v>0</v>
      </c>
      <c r="AM288" s="954">
        <f ca="1">20-(User_sheet!B$57/(AI288+'403'!D$17*1*0.34))</f>
        <v>-3.5048938031116847</v>
      </c>
      <c r="AN288" s="954"/>
      <c r="AO288" s="985"/>
      <c r="AP288" s="27">
        <v>0</v>
      </c>
      <c r="AQ288" s="27">
        <v>0.54</v>
      </c>
      <c r="AR288" s="27">
        <v>0</v>
      </c>
      <c r="AS288" s="27">
        <v>2</v>
      </c>
      <c r="AT288" s="27">
        <v>0</v>
      </c>
      <c r="AU288" s="2">
        <v>0</v>
      </c>
      <c r="AV288" s="2">
        <v>75022.04959166942</v>
      </c>
      <c r="AW288" s="2">
        <v>0</v>
      </c>
      <c r="AX288" s="2">
        <v>0</v>
      </c>
      <c r="AY288" s="2">
        <v>0</v>
      </c>
      <c r="AZ288" s="50">
        <v>0.6</v>
      </c>
      <c r="BA288" s="199">
        <v>1</v>
      </c>
      <c r="BB288" s="199">
        <v>0</v>
      </c>
      <c r="BC288" s="50">
        <v>0</v>
      </c>
      <c r="BD288" s="199">
        <v>1</v>
      </c>
      <c r="BE288" s="199">
        <v>0</v>
      </c>
      <c r="BF288" s="50">
        <v>0</v>
      </c>
      <c r="BG288" s="199">
        <v>0</v>
      </c>
      <c r="BH288" s="50">
        <v>1</v>
      </c>
      <c r="BI288" s="199">
        <v>0</v>
      </c>
      <c r="BJ288" s="199">
        <v>0</v>
      </c>
      <c r="BK288" s="50">
        <v>1</v>
      </c>
      <c r="BL288" s="199">
        <v>0.15</v>
      </c>
      <c r="BM288" s="199">
        <v>10</v>
      </c>
      <c r="BN288" s="32">
        <f t="shared" ca="1" si="403"/>
        <v>149.30959999999999</v>
      </c>
      <c r="BO288">
        <f t="shared" ca="1" si="404"/>
        <v>438.00000000000006</v>
      </c>
      <c r="BP288">
        <f t="shared" ca="1" si="384"/>
        <v>0</v>
      </c>
      <c r="BQ288">
        <f t="shared" ca="1" si="385"/>
        <v>75.44</v>
      </c>
      <c r="BR288">
        <f t="shared" ca="1" si="386"/>
        <v>0</v>
      </c>
      <c r="BS288">
        <f t="shared" ca="1" si="387"/>
        <v>39.999999999999993</v>
      </c>
      <c r="BT288">
        <f t="shared" ca="1" si="388"/>
        <v>0</v>
      </c>
      <c r="BU288">
        <v>0</v>
      </c>
      <c r="BV288">
        <f t="shared" ca="1" si="405"/>
        <v>0</v>
      </c>
      <c r="BW288">
        <f t="shared" ca="1" si="406"/>
        <v>37.25091441111924</v>
      </c>
      <c r="BX288">
        <f t="shared" ca="1" si="407"/>
        <v>0</v>
      </c>
      <c r="BY288">
        <f t="shared" ca="1" si="408"/>
        <v>79.999999967999983</v>
      </c>
      <c r="BZ288">
        <f t="shared" ca="1" si="409"/>
        <v>0</v>
      </c>
      <c r="CA288">
        <f t="shared" si="410"/>
        <v>0</v>
      </c>
      <c r="CB288" s="1018">
        <f t="shared" ca="1" si="414"/>
        <v>134.56691437911923</v>
      </c>
      <c r="CC288" s="1018">
        <f t="shared" ca="1" si="415"/>
        <v>46.902374429938249</v>
      </c>
      <c r="CD288">
        <f t="shared" ca="1" si="382"/>
        <v>5.444078664271724</v>
      </c>
      <c r="CE288">
        <f t="shared" ca="1" si="383"/>
        <v>9064.1732128658477</v>
      </c>
    </row>
    <row r="289" spans="3:83" x14ac:dyDescent="0.25">
      <c r="D289" s="1"/>
      <c r="F289" s="6" t="s">
        <v>190</v>
      </c>
      <c r="H289" s="6"/>
      <c r="I289" s="6"/>
      <c r="J289" s="1"/>
      <c r="K289" s="6" t="s">
        <v>59</v>
      </c>
      <c r="L289" s="4"/>
      <c r="M289" s="6"/>
      <c r="N289" s="6"/>
      <c r="O289" s="27" t="s">
        <v>16</v>
      </c>
      <c r="P289" s="4"/>
      <c r="Q289" s="1"/>
      <c r="R289" s="83"/>
      <c r="V289" s="176">
        <f t="shared" si="411"/>
        <v>0</v>
      </c>
      <c r="W289" s="176">
        <f>V289/Calculation_sheet!M$67</f>
        <v>0</v>
      </c>
      <c r="X289" s="958">
        <f ca="1">IF(AL289&gt;0,W289*Calculation_sheet!C$87,0)</f>
        <v>0</v>
      </c>
      <c r="Y289" s="176">
        <f t="shared" ca="1" si="412"/>
        <v>0</v>
      </c>
      <c r="Z289" s="176">
        <f>IF(AN289&gt;0,Y289*Calculation_sheet!C$94,0)</f>
        <v>0</v>
      </c>
      <c r="AA289" s="958">
        <f t="shared" ca="1" si="402"/>
        <v>0</v>
      </c>
      <c r="AB289" s="176">
        <f ca="1">AA289*Calculation_sheet!C$99</f>
        <v>0</v>
      </c>
      <c r="AC289" s="958">
        <f t="shared" ca="1" si="402"/>
        <v>0</v>
      </c>
      <c r="AD289" s="176">
        <f t="shared" si="413"/>
        <v>0</v>
      </c>
      <c r="AE289" s="176">
        <f>AD289*User_sheet!B$77/100</f>
        <v>0</v>
      </c>
      <c r="AF289" s="309"/>
      <c r="AG289" s="27">
        <v>404</v>
      </c>
      <c r="AH289" s="985"/>
      <c r="AI289" s="956">
        <f t="shared" ca="1" si="381"/>
        <v>134.56691437911923</v>
      </c>
      <c r="AJ289" s="956">
        <f ca="1">AI289/'404'!I$24</f>
        <v>0.50829838475152689</v>
      </c>
      <c r="AK289" s="956">
        <f ca="1">0.8*(AI289*30+'404'!D$17*0.34*30*1+2500)</f>
        <v>8884.469945098861</v>
      </c>
      <c r="AL289" s="954">
        <f ca="1">IF(AK289&lt;User_sheet!B$50,W289,0)</f>
        <v>0</v>
      </c>
      <c r="AM289" s="954">
        <f ca="1">20-(User_sheet!B$57/(AI289+'403'!D$17*1*0.34))</f>
        <v>-3.5048938031116847</v>
      </c>
      <c r="AN289" s="954"/>
      <c r="AO289" s="985"/>
      <c r="AP289" s="27">
        <v>0</v>
      </c>
      <c r="AQ289" s="27">
        <v>0.54</v>
      </c>
      <c r="AR289" s="27">
        <v>0</v>
      </c>
      <c r="AS289" s="27">
        <v>2</v>
      </c>
      <c r="AT289" s="27">
        <v>0</v>
      </c>
      <c r="AU289" s="2">
        <v>0</v>
      </c>
      <c r="AV289" s="2">
        <v>75022.04959166942</v>
      </c>
      <c r="AW289" s="2">
        <v>0</v>
      </c>
      <c r="AX289" s="2">
        <v>0</v>
      </c>
      <c r="AY289" s="2">
        <v>0</v>
      </c>
      <c r="AZ289" s="50">
        <v>0.6</v>
      </c>
      <c r="BA289" s="199">
        <v>1</v>
      </c>
      <c r="BB289" s="199">
        <v>0</v>
      </c>
      <c r="BC289" s="50">
        <v>0</v>
      </c>
      <c r="BD289" s="199">
        <v>0</v>
      </c>
      <c r="BE289" s="199">
        <v>1</v>
      </c>
      <c r="BF289" s="50">
        <v>0</v>
      </c>
      <c r="BG289" s="199">
        <v>1</v>
      </c>
      <c r="BH289" s="50">
        <v>0</v>
      </c>
      <c r="BI289" s="199">
        <v>1</v>
      </c>
      <c r="BJ289" s="199">
        <v>0</v>
      </c>
      <c r="BK289" s="50">
        <v>0</v>
      </c>
      <c r="BL289" s="199">
        <v>0.15</v>
      </c>
      <c r="BM289" s="199">
        <v>10</v>
      </c>
      <c r="BN289" s="32">
        <f t="shared" ca="1" si="403"/>
        <v>149.30959999999999</v>
      </c>
      <c r="BO289">
        <f t="shared" ca="1" si="404"/>
        <v>438.00000000000006</v>
      </c>
      <c r="BP289">
        <f t="shared" ca="1" si="384"/>
        <v>0</v>
      </c>
      <c r="BQ289">
        <f t="shared" ca="1" si="385"/>
        <v>75.44</v>
      </c>
      <c r="BR289">
        <f t="shared" ca="1" si="386"/>
        <v>0</v>
      </c>
      <c r="BS289">
        <f t="shared" ca="1" si="387"/>
        <v>39.999999999999993</v>
      </c>
      <c r="BT289">
        <f t="shared" ca="1" si="388"/>
        <v>0</v>
      </c>
      <c r="BU289">
        <v>0</v>
      </c>
      <c r="BV289">
        <f t="shared" ca="1" si="405"/>
        <v>0</v>
      </c>
      <c r="BW289">
        <f t="shared" ca="1" si="406"/>
        <v>37.25091441111924</v>
      </c>
      <c r="BX289">
        <f t="shared" ca="1" si="407"/>
        <v>0</v>
      </c>
      <c r="BY289">
        <f t="shared" ca="1" si="408"/>
        <v>79.999999967999983</v>
      </c>
      <c r="BZ289">
        <f t="shared" ca="1" si="409"/>
        <v>0</v>
      </c>
      <c r="CA289">
        <f t="shared" si="410"/>
        <v>0</v>
      </c>
      <c r="CB289" s="1018">
        <f t="shared" ca="1" si="414"/>
        <v>134.56691437911923</v>
      </c>
      <c r="CC289" s="1018">
        <f t="shared" ca="1" si="415"/>
        <v>46.902374429938249</v>
      </c>
      <c r="CD289">
        <f t="shared" ca="1" si="382"/>
        <v>5.444078664271724</v>
      </c>
      <c r="CE289">
        <f t="shared" ca="1" si="383"/>
        <v>9064.1732128658477</v>
      </c>
    </row>
    <row r="290" spans="3:83" x14ac:dyDescent="0.25">
      <c r="D290" s="1"/>
      <c r="F290" s="1"/>
      <c r="G290" s="3"/>
      <c r="H290" s="6"/>
      <c r="I290" s="6"/>
      <c r="J290" s="1"/>
      <c r="K290" s="6"/>
      <c r="L290" s="6"/>
      <c r="M290" s="6"/>
      <c r="N290" s="6"/>
      <c r="O290" s="27" t="s">
        <v>7</v>
      </c>
      <c r="P290" s="4"/>
      <c r="Q290" s="1"/>
      <c r="R290" s="83"/>
      <c r="V290" s="176">
        <f t="shared" si="411"/>
        <v>0</v>
      </c>
      <c r="W290" s="176">
        <f>V290/Calculation_sheet!M$67</f>
        <v>0</v>
      </c>
      <c r="X290" s="958">
        <f ca="1">IF(AL290&gt;0,W290*Calculation_sheet!C$87,0)</f>
        <v>0</v>
      </c>
      <c r="Y290" s="176">
        <f t="shared" ca="1" si="412"/>
        <v>0</v>
      </c>
      <c r="Z290" s="176">
        <f>IF(AN290&gt;0,Y290*Calculation_sheet!C$94,0)</f>
        <v>0</v>
      </c>
      <c r="AA290" s="958">
        <f t="shared" ca="1" si="402"/>
        <v>0</v>
      </c>
      <c r="AB290" s="176">
        <f ca="1">AA290*Calculation_sheet!C$99</f>
        <v>0</v>
      </c>
      <c r="AC290" s="958">
        <f t="shared" ca="1" si="402"/>
        <v>0</v>
      </c>
      <c r="AD290" s="176">
        <f t="shared" si="413"/>
        <v>0</v>
      </c>
      <c r="AE290" s="176">
        <f>AD290*User_sheet!B$77/100</f>
        <v>0</v>
      </c>
      <c r="AF290" s="309"/>
      <c r="AG290" s="27">
        <v>404</v>
      </c>
      <c r="AH290" s="985"/>
      <c r="AI290" s="956">
        <f t="shared" ca="1" si="381"/>
        <v>134.56691437911923</v>
      </c>
      <c r="AJ290" s="956">
        <f ca="1">AI290/'404'!I$24</f>
        <v>0.50829838475152689</v>
      </c>
      <c r="AK290" s="956">
        <f ca="1">0.8*(AI290*30+'404'!D$17*0.34*30*1+2500)</f>
        <v>8884.469945098861</v>
      </c>
      <c r="AL290" s="954">
        <f ca="1">IF(AK290&lt;User_sheet!B$50,W290,0)</f>
        <v>0</v>
      </c>
      <c r="AM290" s="954">
        <f ca="1">20-(User_sheet!B$57/(AI290+'403'!D$17*1*0.34))</f>
        <v>-3.5048938031116847</v>
      </c>
      <c r="AN290" s="954"/>
      <c r="AO290" s="985"/>
      <c r="AP290" s="27">
        <v>0</v>
      </c>
      <c r="AQ290" s="27">
        <v>0.54</v>
      </c>
      <c r="AR290" s="27">
        <v>0</v>
      </c>
      <c r="AS290" s="27">
        <v>2</v>
      </c>
      <c r="AT290" s="27">
        <v>0</v>
      </c>
      <c r="AU290" s="2">
        <v>0</v>
      </c>
      <c r="AV290" s="2">
        <v>75022.04959166942</v>
      </c>
      <c r="AW290" s="2">
        <v>0</v>
      </c>
      <c r="AX290" s="2">
        <v>0</v>
      </c>
      <c r="AY290" s="2">
        <v>0</v>
      </c>
      <c r="AZ290" s="50">
        <v>0.6</v>
      </c>
      <c r="BA290" s="199">
        <v>1</v>
      </c>
      <c r="BB290" s="199">
        <v>0</v>
      </c>
      <c r="BC290" s="50">
        <v>0</v>
      </c>
      <c r="BD290" s="199">
        <v>0</v>
      </c>
      <c r="BE290" s="199">
        <v>1</v>
      </c>
      <c r="BF290" s="50">
        <v>0</v>
      </c>
      <c r="BG290" s="199">
        <v>1</v>
      </c>
      <c r="BH290" s="50">
        <v>0</v>
      </c>
      <c r="BI290" s="199">
        <v>0</v>
      </c>
      <c r="BJ290" s="199">
        <v>0</v>
      </c>
      <c r="BK290" s="50">
        <v>1</v>
      </c>
      <c r="BL290" s="199">
        <v>0.15</v>
      </c>
      <c r="BM290" s="199">
        <v>10</v>
      </c>
      <c r="BN290" s="32">
        <f t="shared" ca="1" si="403"/>
        <v>149.30959999999999</v>
      </c>
      <c r="BO290">
        <f t="shared" ca="1" si="404"/>
        <v>438.00000000000006</v>
      </c>
      <c r="BP290">
        <f t="shared" ca="1" si="384"/>
        <v>0</v>
      </c>
      <c r="BQ290">
        <f t="shared" ca="1" si="385"/>
        <v>75.44</v>
      </c>
      <c r="BR290">
        <f t="shared" ca="1" si="386"/>
        <v>0</v>
      </c>
      <c r="BS290">
        <f t="shared" ca="1" si="387"/>
        <v>39.999999999999993</v>
      </c>
      <c r="BT290">
        <f t="shared" ca="1" si="388"/>
        <v>0</v>
      </c>
      <c r="BU290">
        <v>0</v>
      </c>
      <c r="BV290">
        <f t="shared" ca="1" si="405"/>
        <v>0</v>
      </c>
      <c r="BW290">
        <f t="shared" ca="1" si="406"/>
        <v>37.25091441111924</v>
      </c>
      <c r="BX290">
        <f t="shared" ca="1" si="407"/>
        <v>0</v>
      </c>
      <c r="BY290">
        <f t="shared" ca="1" si="408"/>
        <v>79.999999967999983</v>
      </c>
      <c r="BZ290">
        <f t="shared" ca="1" si="409"/>
        <v>0</v>
      </c>
      <c r="CA290">
        <f t="shared" si="410"/>
        <v>0</v>
      </c>
      <c r="CB290" s="1018">
        <f t="shared" ca="1" si="414"/>
        <v>134.56691437911923</v>
      </c>
      <c r="CC290" s="1018">
        <f t="shared" ca="1" si="415"/>
        <v>46.902374429938249</v>
      </c>
      <c r="CD290">
        <f t="shared" ca="1" si="382"/>
        <v>5.444078664271724</v>
      </c>
      <c r="CE290">
        <f t="shared" ca="1" si="383"/>
        <v>9064.1732128658477</v>
      </c>
    </row>
    <row r="291" spans="3:83" x14ac:dyDescent="0.25">
      <c r="D291" s="1"/>
      <c r="F291" s="1"/>
      <c r="G291" s="3"/>
      <c r="H291" s="6"/>
      <c r="I291" s="6"/>
      <c r="J291" s="1"/>
      <c r="K291" s="6"/>
      <c r="L291" s="6"/>
      <c r="M291" s="6" t="s">
        <v>60</v>
      </c>
      <c r="N291" s="4"/>
      <c r="O291" s="2" t="s">
        <v>57</v>
      </c>
      <c r="P291" s="4"/>
      <c r="Q291" s="1"/>
      <c r="R291" s="83"/>
      <c r="V291" s="176">
        <f t="shared" si="411"/>
        <v>0</v>
      </c>
      <c r="W291" s="176">
        <f>V291/Calculation_sheet!M$67</f>
        <v>0</v>
      </c>
      <c r="X291" s="958">
        <f ca="1">IF(AL291&gt;0,W291*Calculation_sheet!C$87,0)</f>
        <v>0</v>
      </c>
      <c r="Y291" s="176">
        <f t="shared" ca="1" si="412"/>
        <v>0</v>
      </c>
      <c r="Z291" s="176">
        <f>IF(AN291&gt;0,Y291*Calculation_sheet!C$94,0)</f>
        <v>0</v>
      </c>
      <c r="AA291" s="958">
        <f t="shared" ca="1" si="402"/>
        <v>0</v>
      </c>
      <c r="AB291" s="176">
        <f ca="1">AA291*Calculation_sheet!C$99</f>
        <v>0</v>
      </c>
      <c r="AC291" s="958">
        <f t="shared" ca="1" si="402"/>
        <v>0</v>
      </c>
      <c r="AD291" s="176">
        <f t="shared" si="413"/>
        <v>0</v>
      </c>
      <c r="AE291" s="176">
        <f>AD291*User_sheet!B$77/100</f>
        <v>0</v>
      </c>
      <c r="AF291" s="309"/>
      <c r="AG291" s="27">
        <v>404</v>
      </c>
      <c r="AH291" s="985"/>
      <c r="AI291" s="956">
        <f t="shared" ca="1" si="381"/>
        <v>134.56691437911923</v>
      </c>
      <c r="AJ291" s="956">
        <f ca="1">AI291/'404'!I$24</f>
        <v>0.50829838475152689</v>
      </c>
      <c r="AK291" s="956">
        <f ca="1">0.8*(AI291*30+'404'!D$17*0.34*30*1+2500)</f>
        <v>8884.469945098861</v>
      </c>
      <c r="AL291" s="954">
        <f ca="1">IF(AK291&lt;User_sheet!B$50,W291,0)</f>
        <v>0</v>
      </c>
      <c r="AM291" s="954">
        <f ca="1">20-(User_sheet!B$57/(AI291+'403'!D$17*1*0.34))</f>
        <v>-3.5048938031116847</v>
      </c>
      <c r="AN291" s="954"/>
      <c r="AO291" s="985"/>
      <c r="AP291" s="27">
        <v>0</v>
      </c>
      <c r="AQ291" s="27">
        <v>0.54</v>
      </c>
      <c r="AR291" s="27">
        <v>0</v>
      </c>
      <c r="AS291" s="27">
        <v>2</v>
      </c>
      <c r="AT291" s="27">
        <v>0</v>
      </c>
      <c r="AU291" s="2">
        <v>0</v>
      </c>
      <c r="AV291" s="2">
        <v>75022.04959166942</v>
      </c>
      <c r="AW291" s="2">
        <v>0</v>
      </c>
      <c r="AX291" s="2">
        <v>0</v>
      </c>
      <c r="AY291" s="2">
        <v>0</v>
      </c>
      <c r="AZ291" s="50">
        <v>0.6</v>
      </c>
      <c r="BA291" s="199">
        <v>0</v>
      </c>
      <c r="BB291" s="199">
        <v>1</v>
      </c>
      <c r="BC291" s="50">
        <v>0</v>
      </c>
      <c r="BD291" s="199">
        <v>1</v>
      </c>
      <c r="BE291" s="199">
        <v>0</v>
      </c>
      <c r="BF291" s="50">
        <v>0</v>
      </c>
      <c r="BG291" s="199">
        <v>1</v>
      </c>
      <c r="BH291" s="50">
        <v>0</v>
      </c>
      <c r="BI291" s="199">
        <v>0</v>
      </c>
      <c r="BJ291" s="199">
        <v>1</v>
      </c>
      <c r="BK291" s="50">
        <v>0</v>
      </c>
      <c r="BL291" s="199">
        <v>0.15</v>
      </c>
      <c r="BM291" s="199">
        <v>10</v>
      </c>
      <c r="BN291" s="32">
        <f t="shared" ca="1" si="403"/>
        <v>149.30959999999999</v>
      </c>
      <c r="BO291">
        <f t="shared" ca="1" si="404"/>
        <v>438.00000000000006</v>
      </c>
      <c r="BP291">
        <f t="shared" ca="1" si="384"/>
        <v>0</v>
      </c>
      <c r="BQ291">
        <f t="shared" ca="1" si="385"/>
        <v>75.44</v>
      </c>
      <c r="BR291">
        <f t="shared" ca="1" si="386"/>
        <v>0</v>
      </c>
      <c r="BS291">
        <f t="shared" ca="1" si="387"/>
        <v>39.999999999999993</v>
      </c>
      <c r="BT291">
        <f t="shared" ca="1" si="388"/>
        <v>0</v>
      </c>
      <c r="BU291">
        <v>0</v>
      </c>
      <c r="BV291">
        <f t="shared" ca="1" si="405"/>
        <v>0</v>
      </c>
      <c r="BW291">
        <f t="shared" ca="1" si="406"/>
        <v>37.25091441111924</v>
      </c>
      <c r="BX291">
        <f t="shared" ca="1" si="407"/>
        <v>0</v>
      </c>
      <c r="BY291">
        <f t="shared" ca="1" si="408"/>
        <v>79.999999967999983</v>
      </c>
      <c r="BZ291">
        <f t="shared" ca="1" si="409"/>
        <v>0</v>
      </c>
      <c r="CA291">
        <f t="shared" si="410"/>
        <v>0</v>
      </c>
      <c r="CB291" s="1018">
        <f t="shared" ca="1" si="414"/>
        <v>134.56691437911923</v>
      </c>
      <c r="CC291" s="1018">
        <f t="shared" ca="1" si="415"/>
        <v>46.902374429938249</v>
      </c>
      <c r="CD291">
        <f t="shared" ca="1" si="382"/>
        <v>5.444078664271724</v>
      </c>
      <c r="CE291">
        <f t="shared" ca="1" si="383"/>
        <v>9064.1732128658477</v>
      </c>
    </row>
    <row r="292" spans="3:83" x14ac:dyDescent="0.25">
      <c r="D292" s="1"/>
      <c r="F292" s="1"/>
      <c r="G292" s="3"/>
      <c r="H292" s="6"/>
      <c r="I292" s="6"/>
      <c r="J292" s="1"/>
      <c r="K292" s="6" t="s">
        <v>58</v>
      </c>
      <c r="L292" s="4"/>
      <c r="M292" s="6" t="s">
        <v>61</v>
      </c>
      <c r="N292" s="4"/>
      <c r="O292" s="27" t="s">
        <v>57</v>
      </c>
      <c r="P292" s="4"/>
      <c r="Q292" s="1"/>
      <c r="R292" s="83"/>
      <c r="V292" s="176">
        <f t="shared" si="411"/>
        <v>0</v>
      </c>
      <c r="W292" s="176">
        <f>V292/Calculation_sheet!M$67</f>
        <v>0</v>
      </c>
      <c r="X292" s="958">
        <f ca="1">IF(AL292&gt;0,W292*Calculation_sheet!C$87,0)</f>
        <v>0</v>
      </c>
      <c r="Y292" s="176">
        <f t="shared" ca="1" si="412"/>
        <v>0</v>
      </c>
      <c r="Z292" s="176">
        <f>IF(AN292&gt;0,Y292*Calculation_sheet!C$94,0)</f>
        <v>0</v>
      </c>
      <c r="AA292" s="958">
        <f t="shared" ca="1" si="402"/>
        <v>0</v>
      </c>
      <c r="AB292" s="176">
        <f ca="1">AA292*Calculation_sheet!C$99</f>
        <v>0</v>
      </c>
      <c r="AC292" s="958">
        <f t="shared" ca="1" si="402"/>
        <v>0</v>
      </c>
      <c r="AD292" s="176">
        <f t="shared" si="413"/>
        <v>0</v>
      </c>
      <c r="AE292" s="176">
        <f>AD292*User_sheet!B$77/100</f>
        <v>0</v>
      </c>
      <c r="AF292" s="309"/>
      <c r="AG292" s="27">
        <v>404</v>
      </c>
      <c r="AH292" s="985"/>
      <c r="AI292" s="956">
        <f t="shared" ca="1" si="381"/>
        <v>134.56691437911923</v>
      </c>
      <c r="AJ292" s="956">
        <f ca="1">AI292/'404'!I$24</f>
        <v>0.50829838475152689</v>
      </c>
      <c r="AK292" s="956">
        <f ca="1">0.8*(AI292*30+'404'!D$17*0.34*30*1+2500)</f>
        <v>8884.469945098861</v>
      </c>
      <c r="AL292" s="954">
        <f ca="1">IF(AK292&lt;User_sheet!B$50,W292,0)</f>
        <v>0</v>
      </c>
      <c r="AM292" s="954">
        <f ca="1">20-(User_sheet!B$57/(AI292+'403'!D$17*1*0.34))</f>
        <v>-3.5048938031116847</v>
      </c>
      <c r="AN292" s="954"/>
      <c r="AO292" s="985"/>
      <c r="AP292" s="27">
        <v>0</v>
      </c>
      <c r="AQ292" s="27">
        <v>0.54</v>
      </c>
      <c r="AR292" s="27">
        <v>0</v>
      </c>
      <c r="AS292" s="27">
        <v>2</v>
      </c>
      <c r="AT292" s="27">
        <v>0</v>
      </c>
      <c r="AU292" s="2">
        <v>0</v>
      </c>
      <c r="AV292" s="2">
        <v>75022.04959166942</v>
      </c>
      <c r="AW292" s="2">
        <v>0</v>
      </c>
      <c r="AX292" s="2">
        <v>0</v>
      </c>
      <c r="AY292" s="2">
        <v>0</v>
      </c>
      <c r="AZ292" s="50">
        <v>0.6</v>
      </c>
      <c r="BA292" s="199">
        <v>0</v>
      </c>
      <c r="BB292" s="199">
        <v>1</v>
      </c>
      <c r="BC292" s="50">
        <v>0</v>
      </c>
      <c r="BD292" s="199">
        <v>1</v>
      </c>
      <c r="BE292" s="199">
        <v>0</v>
      </c>
      <c r="BF292" s="50">
        <v>0</v>
      </c>
      <c r="BG292" s="199">
        <v>0</v>
      </c>
      <c r="BH292" s="50">
        <v>1</v>
      </c>
      <c r="BI292" s="199">
        <v>0</v>
      </c>
      <c r="BJ292" s="199">
        <v>1</v>
      </c>
      <c r="BK292" s="50">
        <v>0</v>
      </c>
      <c r="BL292" s="199">
        <v>0.15</v>
      </c>
      <c r="BM292" s="199">
        <v>10</v>
      </c>
      <c r="BN292" s="32">
        <f t="shared" ca="1" si="403"/>
        <v>149.30959999999999</v>
      </c>
      <c r="BO292">
        <f t="shared" ca="1" si="404"/>
        <v>438.00000000000006</v>
      </c>
      <c r="BP292">
        <f t="shared" ca="1" si="384"/>
        <v>0</v>
      </c>
      <c r="BQ292">
        <f t="shared" ca="1" si="385"/>
        <v>75.44</v>
      </c>
      <c r="BR292">
        <f t="shared" ca="1" si="386"/>
        <v>0</v>
      </c>
      <c r="BS292">
        <f t="shared" ca="1" si="387"/>
        <v>39.999999999999993</v>
      </c>
      <c r="BT292">
        <f t="shared" ca="1" si="388"/>
        <v>0</v>
      </c>
      <c r="BU292">
        <v>0</v>
      </c>
      <c r="BV292">
        <f t="shared" ca="1" si="405"/>
        <v>0</v>
      </c>
      <c r="BW292">
        <f t="shared" ca="1" si="406"/>
        <v>37.25091441111924</v>
      </c>
      <c r="BX292">
        <f t="shared" ca="1" si="407"/>
        <v>0</v>
      </c>
      <c r="BY292">
        <f t="shared" ca="1" si="408"/>
        <v>79.999999967999983</v>
      </c>
      <c r="BZ292">
        <f t="shared" ca="1" si="409"/>
        <v>0</v>
      </c>
      <c r="CA292">
        <f t="shared" si="410"/>
        <v>0</v>
      </c>
      <c r="CB292" s="1018">
        <f t="shared" ca="1" si="414"/>
        <v>134.56691437911923</v>
      </c>
      <c r="CC292" s="1018">
        <f t="shared" ca="1" si="415"/>
        <v>46.902374429938249</v>
      </c>
      <c r="CD292">
        <f t="shared" ca="1" si="382"/>
        <v>5.444078664271724</v>
      </c>
      <c r="CE292">
        <f t="shared" ca="1" si="383"/>
        <v>9064.1732128658477</v>
      </c>
    </row>
    <row r="293" spans="3:83" x14ac:dyDescent="0.25">
      <c r="D293" s="1"/>
      <c r="F293" s="1"/>
      <c r="G293" s="3"/>
      <c r="H293" s="6"/>
      <c r="I293" s="6" t="s">
        <v>22</v>
      </c>
      <c r="J293" s="4"/>
      <c r="K293" s="6" t="s">
        <v>59</v>
      </c>
      <c r="L293" s="4"/>
      <c r="M293" s="6"/>
      <c r="N293" s="6"/>
      <c r="O293" s="27" t="s">
        <v>57</v>
      </c>
      <c r="P293" s="4"/>
      <c r="Q293" s="1"/>
      <c r="R293" s="83"/>
      <c r="V293" s="176">
        <f t="shared" si="411"/>
        <v>0</v>
      </c>
      <c r="W293" s="176">
        <f>V293/Calculation_sheet!M$67</f>
        <v>0</v>
      </c>
      <c r="X293" s="958">
        <f ca="1">IF(AL293&gt;0,W293*Calculation_sheet!C$87,0)</f>
        <v>0</v>
      </c>
      <c r="Y293" s="176">
        <f t="shared" ca="1" si="412"/>
        <v>0</v>
      </c>
      <c r="Z293" s="176">
        <f>IF(AN293&gt;0,Y293*Calculation_sheet!C$94,0)</f>
        <v>0</v>
      </c>
      <c r="AA293" s="958">
        <f t="shared" ca="1" si="402"/>
        <v>0</v>
      </c>
      <c r="AB293" s="176">
        <f ca="1">AA293*Calculation_sheet!C$99</f>
        <v>0</v>
      </c>
      <c r="AC293" s="958">
        <f t="shared" ca="1" si="402"/>
        <v>0</v>
      </c>
      <c r="AD293" s="176">
        <f t="shared" si="413"/>
        <v>0</v>
      </c>
      <c r="AE293" s="176">
        <f>AD293*User_sheet!B$77/100</f>
        <v>0</v>
      </c>
      <c r="AF293" s="309"/>
      <c r="AG293" s="27">
        <v>404</v>
      </c>
      <c r="AH293" s="985"/>
      <c r="AI293" s="956">
        <f t="shared" ca="1" si="381"/>
        <v>134.56691437911923</v>
      </c>
      <c r="AJ293" s="956">
        <f ca="1">AI293/'404'!I$24</f>
        <v>0.50829838475152689</v>
      </c>
      <c r="AK293" s="956">
        <f ca="1">0.8*(AI293*30+'404'!D$17*0.34*30*1+2500)</f>
        <v>8884.469945098861</v>
      </c>
      <c r="AL293" s="954">
        <f ca="1">IF(AK293&lt;User_sheet!B$50,W293,0)</f>
        <v>0</v>
      </c>
      <c r="AM293" s="954">
        <f ca="1">20-(User_sheet!B$57/(AI293+'403'!D$17*1*0.34))</f>
        <v>-3.5048938031116847</v>
      </c>
      <c r="AN293" s="954"/>
      <c r="AO293" s="985"/>
      <c r="AP293" s="27">
        <v>0</v>
      </c>
      <c r="AQ293" s="27">
        <v>0.54</v>
      </c>
      <c r="AR293" s="27">
        <v>0</v>
      </c>
      <c r="AS293" s="27">
        <v>2</v>
      </c>
      <c r="AT293" s="27">
        <v>0</v>
      </c>
      <c r="AU293" s="2">
        <v>0</v>
      </c>
      <c r="AV293" s="2">
        <v>75022.04959166942</v>
      </c>
      <c r="AW293" s="2">
        <v>0</v>
      </c>
      <c r="AX293" s="2">
        <v>0</v>
      </c>
      <c r="AY293" s="2">
        <v>0</v>
      </c>
      <c r="AZ293" s="50">
        <v>0.6</v>
      </c>
      <c r="BA293" s="199">
        <v>0</v>
      </c>
      <c r="BB293" s="199">
        <v>1</v>
      </c>
      <c r="BC293" s="50">
        <v>0</v>
      </c>
      <c r="BD293" s="199">
        <v>0</v>
      </c>
      <c r="BE293" s="199">
        <v>1</v>
      </c>
      <c r="BF293" s="50">
        <v>0</v>
      </c>
      <c r="BG293" s="199">
        <v>1</v>
      </c>
      <c r="BH293" s="50">
        <v>0</v>
      </c>
      <c r="BI293" s="199">
        <v>0</v>
      </c>
      <c r="BJ293" s="199">
        <v>1</v>
      </c>
      <c r="BK293" s="50">
        <v>0</v>
      </c>
      <c r="BL293" s="199">
        <v>0.15</v>
      </c>
      <c r="BM293" s="199">
        <v>10</v>
      </c>
      <c r="BN293" s="32">
        <f t="shared" ca="1" si="403"/>
        <v>149.30959999999999</v>
      </c>
      <c r="BO293">
        <f t="shared" ca="1" si="404"/>
        <v>438.00000000000006</v>
      </c>
      <c r="BP293">
        <f t="shared" ca="1" si="384"/>
        <v>0</v>
      </c>
      <c r="BQ293">
        <f t="shared" ca="1" si="385"/>
        <v>75.44</v>
      </c>
      <c r="BR293">
        <f t="shared" ca="1" si="386"/>
        <v>0</v>
      </c>
      <c r="BS293">
        <f t="shared" ca="1" si="387"/>
        <v>39.999999999999993</v>
      </c>
      <c r="BT293">
        <f t="shared" ca="1" si="388"/>
        <v>0</v>
      </c>
      <c r="BU293">
        <v>0</v>
      </c>
      <c r="BV293">
        <f t="shared" ca="1" si="405"/>
        <v>0</v>
      </c>
      <c r="BW293">
        <f t="shared" ca="1" si="406"/>
        <v>37.25091441111924</v>
      </c>
      <c r="BX293">
        <f t="shared" ca="1" si="407"/>
        <v>0</v>
      </c>
      <c r="BY293">
        <f t="shared" ca="1" si="408"/>
        <v>79.999999967999983</v>
      </c>
      <c r="BZ293">
        <f t="shared" ca="1" si="409"/>
        <v>0</v>
      </c>
      <c r="CA293">
        <f t="shared" si="410"/>
        <v>0</v>
      </c>
      <c r="CB293" s="1018">
        <f t="shared" ca="1" si="414"/>
        <v>134.56691437911923</v>
      </c>
      <c r="CC293" s="1018">
        <f t="shared" ca="1" si="415"/>
        <v>46.902374429938249</v>
      </c>
      <c r="CD293">
        <f t="shared" ca="1" si="382"/>
        <v>5.444078664271724</v>
      </c>
      <c r="CE293">
        <f t="shared" ca="1" si="383"/>
        <v>9064.1732128658477</v>
      </c>
    </row>
    <row r="294" spans="3:83" s="870" customFormat="1" x14ac:dyDescent="0.25">
      <c r="C294" s="871"/>
      <c r="D294" s="871"/>
      <c r="F294" s="871"/>
      <c r="H294" s="871"/>
      <c r="I294" s="871"/>
      <c r="J294" s="871"/>
      <c r="K294" s="871"/>
      <c r="L294" s="871"/>
      <c r="M294" s="871"/>
      <c r="N294" s="871"/>
      <c r="O294" s="873"/>
      <c r="P294" s="871"/>
      <c r="Q294" s="871"/>
      <c r="R294" s="877"/>
      <c r="S294" s="877"/>
      <c r="T294" s="277"/>
      <c r="U294" s="292"/>
      <c r="V294" s="292"/>
      <c r="W294" s="292"/>
      <c r="X294" s="277"/>
      <c r="Y294" s="292"/>
      <c r="Z294" s="292"/>
      <c r="AA294" s="277"/>
      <c r="AB294" s="292"/>
      <c r="AC294" s="277"/>
      <c r="AD294" s="292"/>
      <c r="AE294" s="292"/>
      <c r="AF294" s="309"/>
      <c r="AG294" s="873"/>
      <c r="AH294" s="985"/>
      <c r="AI294" s="956">
        <f t="shared" si="381"/>
        <v>0</v>
      </c>
      <c r="AJ294" s="941"/>
      <c r="AK294" s="941"/>
      <c r="AL294" s="941"/>
      <c r="AM294" s="941"/>
      <c r="AN294" s="941"/>
      <c r="AO294" s="985"/>
      <c r="AP294" s="873"/>
      <c r="AQ294" s="873"/>
      <c r="AR294" s="873"/>
      <c r="AS294" s="873"/>
      <c r="AT294" s="873"/>
      <c r="AU294" s="873"/>
      <c r="AV294" s="873"/>
      <c r="AW294" s="873"/>
      <c r="AX294" s="873"/>
      <c r="AY294" s="873"/>
      <c r="AZ294" s="49"/>
      <c r="BA294" s="277"/>
      <c r="BB294" s="873"/>
      <c r="BC294" s="49"/>
      <c r="BD294" s="277"/>
      <c r="BE294" s="873"/>
      <c r="BF294" s="49"/>
      <c r="BG294" s="277"/>
      <c r="BH294" s="49"/>
      <c r="BI294" s="277"/>
      <c r="BJ294" s="873"/>
      <c r="BK294" s="49"/>
      <c r="BL294" s="277"/>
      <c r="BM294" s="277"/>
      <c r="BN294" s="874"/>
    </row>
    <row r="295" spans="3:83" s="3" customFormat="1" x14ac:dyDescent="0.25">
      <c r="C295" s="867"/>
      <c r="D295" s="869"/>
      <c r="E295" s="867"/>
      <c r="F295" s="869"/>
      <c r="G295" s="867"/>
      <c r="H295" s="869"/>
      <c r="I295" s="869"/>
      <c r="J295" s="865"/>
      <c r="K295" s="869"/>
      <c r="L295" s="869"/>
      <c r="M295" s="869" t="s">
        <v>60</v>
      </c>
      <c r="N295" s="869">
        <v>0.79797979797979801</v>
      </c>
      <c r="O295" s="866" t="s">
        <v>16</v>
      </c>
      <c r="P295" s="869">
        <v>0.48149999999999998</v>
      </c>
      <c r="Q295" s="869"/>
      <c r="R295" s="876">
        <v>8.85697511302584E-4</v>
      </c>
      <c r="S295" s="274"/>
      <c r="T295" s="34">
        <f>R295</f>
        <v>8.85697511302584E-4</v>
      </c>
      <c r="U295" s="176">
        <f>T295-T295*Calculation_sheet!E$69</f>
        <v>8.85697511302584E-4</v>
      </c>
      <c r="V295" s="176">
        <f>U295-U295*Calculation_sheet!E$79</f>
        <v>8.85697511302584E-4</v>
      </c>
      <c r="W295" s="176">
        <f>V295/Calculation_sheet!M$67</f>
        <v>8.8571562065356188E-4</v>
      </c>
      <c r="X295" s="958">
        <f ca="1">IF(AL295&gt;0,W295*Calculation_sheet!C$87,0)</f>
        <v>0</v>
      </c>
      <c r="Y295" s="176">
        <f ca="1">W295-X295</f>
        <v>8.8571562065356188E-4</v>
      </c>
      <c r="Z295" s="176">
        <f>IF(AN295&gt;0,Y295*Calculation_sheet!C$94,0)</f>
        <v>0</v>
      </c>
      <c r="AA295" s="958">
        <f t="shared" ref="AA295:AC303" ca="1" si="416">Y295-Z295</f>
        <v>8.8571562065356188E-4</v>
      </c>
      <c r="AB295" s="176">
        <f ca="1">AA295*Calculation_sheet!C$99</f>
        <v>5.3142937239213713E-4</v>
      </c>
      <c r="AC295" s="958">
        <f t="shared" ca="1" si="416"/>
        <v>3.5428624826142475E-4</v>
      </c>
      <c r="AD295" s="176">
        <f>W295-Z295</f>
        <v>8.8571562065356188E-4</v>
      </c>
      <c r="AE295" s="176">
        <f>AD295*User_sheet!B$77/100</f>
        <v>0</v>
      </c>
      <c r="AF295" s="309"/>
      <c r="AG295" s="27">
        <v>404</v>
      </c>
      <c r="AH295" s="985"/>
      <c r="AI295" s="956">
        <f t="shared" ca="1" si="381"/>
        <v>194.56691431311921</v>
      </c>
      <c r="AJ295" s="956">
        <f ca="1">AI295/'404'!I$24</f>
        <v>0.73493584011905722</v>
      </c>
      <c r="AK295" s="956">
        <f ca="1">0.8*(AI295*30+'404'!D$17*0.34*30*1+2500)</f>
        <v>10324.469943514863</v>
      </c>
      <c r="AL295" s="954">
        <f ca="1">IF(AK295&lt;User_sheet!B$50,W295,0)</f>
        <v>0</v>
      </c>
      <c r="AM295" s="954">
        <f ca="1">20-(User_sheet!B$57/(AI295+'403'!D$17*1*0.34))</f>
        <v>1.1571924152539488</v>
      </c>
      <c r="AN295" s="954"/>
      <c r="AO295" s="985"/>
      <c r="AP295" s="27">
        <v>0</v>
      </c>
      <c r="AQ295" s="27">
        <v>0.54</v>
      </c>
      <c r="AR295" s="27">
        <v>0</v>
      </c>
      <c r="AS295" s="27">
        <v>3.5</v>
      </c>
      <c r="AT295" s="27">
        <v>0</v>
      </c>
      <c r="AU295" s="2">
        <v>0</v>
      </c>
      <c r="AV295" s="2">
        <v>75022.04959166942</v>
      </c>
      <c r="AW295" s="2">
        <v>0</v>
      </c>
      <c r="AX295" s="2">
        <v>0</v>
      </c>
      <c r="AY295" s="2">
        <v>0</v>
      </c>
      <c r="AZ295" s="50">
        <v>0.6</v>
      </c>
      <c r="BA295" s="199">
        <v>1</v>
      </c>
      <c r="BB295" s="199">
        <v>0</v>
      </c>
      <c r="BC295" s="50">
        <v>0</v>
      </c>
      <c r="BD295" s="199">
        <v>1</v>
      </c>
      <c r="BE295" s="199">
        <v>0</v>
      </c>
      <c r="BF295" s="50">
        <v>0</v>
      </c>
      <c r="BG295" s="199">
        <v>1</v>
      </c>
      <c r="BH295" s="50">
        <v>0</v>
      </c>
      <c r="BI295" s="199">
        <v>1</v>
      </c>
      <c r="BJ295" s="199">
        <v>0</v>
      </c>
      <c r="BK295" s="50">
        <v>0</v>
      </c>
      <c r="BL295" s="199">
        <v>0.15</v>
      </c>
      <c r="BM295" s="199">
        <v>10</v>
      </c>
      <c r="BN295" s="37">
        <f t="shared" ref="BN295:BN303" ca="1" si="417">INDIRECT("'"&amp;AG295&amp;"'!"&amp;"B2")</f>
        <v>149.30959999999999</v>
      </c>
      <c r="BO295" s="3">
        <f t="shared" ref="BO295:BO303" ca="1" si="418">INDIRECT("'"&amp;AG295&amp;"'!"&amp;"C12")+INDIRECT("'"&amp;AG295&amp;"'!"&amp;"C13")+INDIRECT("'"&amp;AG295&amp;"'!"&amp;"C14")+INDIRECT("'"&amp;AG295&amp;"'!"&amp;"C15")+INDIRECT("'"&amp;AG295&amp;"'!"&amp;"C17")</f>
        <v>438.00000000000006</v>
      </c>
      <c r="BP295" s="3">
        <f t="shared" ca="1" si="384"/>
        <v>0</v>
      </c>
      <c r="BQ295" s="3">
        <f t="shared" ca="1" si="385"/>
        <v>75.44</v>
      </c>
      <c r="BR295" s="3">
        <f t="shared" ca="1" si="386"/>
        <v>0</v>
      </c>
      <c r="BS295" s="3">
        <f t="shared" ca="1" si="387"/>
        <v>39.999999999999993</v>
      </c>
      <c r="BT295" s="3">
        <f t="shared" ca="1" si="388"/>
        <v>0</v>
      </c>
      <c r="BU295" s="3">
        <v>0</v>
      </c>
      <c r="BV295" s="3">
        <f t="shared" ref="BV295:BV303" ca="1" si="419">IF(OR(BP295=0,AP295=0),0,1/(1/(BP295*$BW$3)+1/(BP295*AP295)+1/(BP295*$BW$4)))</f>
        <v>0</v>
      </c>
      <c r="BW295" s="3">
        <f t="shared" ref="BW295:BW303" ca="1" si="420">IF(OR(BQ295=0,AQ295=0),0,1/(1/(BQ295*$BW$3)+1/(BQ295*AQ295)+1/(BQ295*$BW$4)))</f>
        <v>37.25091441111924</v>
      </c>
      <c r="BX295" s="3">
        <f t="shared" ref="BX295:BX303" ca="1" si="421">IF(OR(BR295=0,AR295=0),0,1/(1/(BR295*$BW$3)+1/(BR295*AR295)+1/(BR295*$BW$4)))</f>
        <v>0</v>
      </c>
      <c r="BY295" s="3">
        <f t="shared" ref="BY295:BY303" ca="1" si="422">IF(OR(BS295=0,AS295=0),0,1/(1/(BS295*$BW$5)+1/(BS295*AS295)+1/(BS295*$BW$6)))</f>
        <v>139.99999990199996</v>
      </c>
      <c r="BZ295" s="3">
        <f t="shared" ref="BZ295:BZ303" ca="1" si="423">IF(OR(BT295=0,AT295=0),0,1/(1/(BT295*$BW$3)+1/(BT295*AT295)+1/(BT295*$BW$4)))</f>
        <v>0</v>
      </c>
      <c r="CA295" s="3">
        <f t="shared" ref="CA295:CA303" si="424">IF(OR(BU295=0,AU295=0),0,1/(1/(BU295*$BW$3)+1/(BU295*AU295)+1/(BU295*$BW$4)))</f>
        <v>0</v>
      </c>
      <c r="CB295" s="1018">
        <f ca="1">SUM(BV295:CA295)+(BP295+BQ295+BR295+BS295+BT295)*BL295</f>
        <v>194.56691431311921</v>
      </c>
      <c r="CC295" s="1018">
        <f ca="1">0.34*BM295*(1/25)^0.66*(BQ295+BS295+BT295)</f>
        <v>46.902374429938249</v>
      </c>
      <c r="CD295" s="3">
        <f t="shared" ca="1" si="382"/>
        <v>7.2440786622917237</v>
      </c>
      <c r="CE295" s="3">
        <f t="shared" ca="1" si="383"/>
        <v>12061.101209569229</v>
      </c>
    </row>
    <row r="296" spans="3:83" s="3" customFormat="1" x14ac:dyDescent="0.25">
      <c r="C296" s="867"/>
      <c r="D296" s="869"/>
      <c r="E296" s="867"/>
      <c r="F296" s="869"/>
      <c r="G296" s="867"/>
      <c r="H296" s="869"/>
      <c r="I296" s="869"/>
      <c r="J296" s="865"/>
      <c r="K296" s="869"/>
      <c r="L296" s="869"/>
      <c r="M296" s="869"/>
      <c r="N296" s="869"/>
      <c r="O296" s="866" t="s">
        <v>7</v>
      </c>
      <c r="P296" s="869">
        <v>0.51849999999999996</v>
      </c>
      <c r="Q296" s="869"/>
      <c r="R296" s="876">
        <v>9.5375734083154675E-4</v>
      </c>
      <c r="S296" s="274"/>
      <c r="T296" s="34">
        <f t="shared" ref="T296:T303" si="425">R296</f>
        <v>9.5375734083154675E-4</v>
      </c>
      <c r="U296" s="176">
        <f>T296-T296*Calculation_sheet!E$69</f>
        <v>9.5375734083154675E-4</v>
      </c>
      <c r="V296" s="176">
        <f>U296-U296*Calculation_sheet!E$79</f>
        <v>9.5375734083154675E-4</v>
      </c>
      <c r="W296" s="176">
        <f>V296/Calculation_sheet!M$67</f>
        <v>9.5377684176297371E-4</v>
      </c>
      <c r="X296" s="958">
        <f ca="1">IF(AL296&gt;0,W296*Calculation_sheet!C$87,0)</f>
        <v>0</v>
      </c>
      <c r="Y296" s="176">
        <f t="shared" ref="Y296:Y303" ca="1" si="426">W296-X296</f>
        <v>9.5377684176297371E-4</v>
      </c>
      <c r="Z296" s="176">
        <f>IF(AN296&gt;0,Y296*Calculation_sheet!C$94,0)</f>
        <v>0</v>
      </c>
      <c r="AA296" s="958">
        <f t="shared" ca="1" si="416"/>
        <v>9.5377684176297371E-4</v>
      </c>
      <c r="AB296" s="176">
        <f ca="1">AA296*Calculation_sheet!C$99</f>
        <v>5.7226610505778418E-4</v>
      </c>
      <c r="AC296" s="958">
        <f t="shared" ca="1" si="416"/>
        <v>3.8151073670518953E-4</v>
      </c>
      <c r="AD296" s="176">
        <f t="shared" ref="AD296:AD303" si="427">W296-Z296</f>
        <v>9.5377684176297371E-4</v>
      </c>
      <c r="AE296" s="176">
        <f>AD296*User_sheet!B$77/100</f>
        <v>0</v>
      </c>
      <c r="AF296" s="309"/>
      <c r="AG296" s="27">
        <v>404</v>
      </c>
      <c r="AH296" s="985"/>
      <c r="AI296" s="956">
        <f t="shared" ca="1" si="381"/>
        <v>194.56691431311921</v>
      </c>
      <c r="AJ296" s="956">
        <f ca="1">AI296/'404'!I$24</f>
        <v>0.73493584011905722</v>
      </c>
      <c r="AK296" s="956">
        <f ca="1">0.8*(AI296*30+'404'!D$17*0.34*30*1+2500)</f>
        <v>10324.469943514863</v>
      </c>
      <c r="AL296" s="954">
        <f ca="1">IF(AK296&lt;User_sheet!B$50,W296,0)</f>
        <v>0</v>
      </c>
      <c r="AM296" s="954">
        <f ca="1">20-(User_sheet!B$57/(AI296+'403'!D$17*1*0.34))</f>
        <v>1.1571924152539488</v>
      </c>
      <c r="AN296" s="954"/>
      <c r="AO296" s="985"/>
      <c r="AP296" s="27">
        <v>0</v>
      </c>
      <c r="AQ296" s="27">
        <v>0.54</v>
      </c>
      <c r="AR296" s="27">
        <v>0</v>
      </c>
      <c r="AS296" s="27">
        <v>3.5</v>
      </c>
      <c r="AT296" s="27">
        <v>0</v>
      </c>
      <c r="AU296" s="2">
        <v>0</v>
      </c>
      <c r="AV296" s="2">
        <v>75022.04959166942</v>
      </c>
      <c r="AW296" s="2">
        <v>0</v>
      </c>
      <c r="AX296" s="2">
        <v>0</v>
      </c>
      <c r="AY296" s="2">
        <v>0</v>
      </c>
      <c r="AZ296" s="50">
        <v>0.6</v>
      </c>
      <c r="BA296" s="199">
        <v>1</v>
      </c>
      <c r="BB296" s="199">
        <v>0</v>
      </c>
      <c r="BC296" s="50">
        <v>0</v>
      </c>
      <c r="BD296" s="199">
        <v>1</v>
      </c>
      <c r="BE296" s="199">
        <v>0</v>
      </c>
      <c r="BF296" s="50">
        <v>0</v>
      </c>
      <c r="BG296" s="199">
        <v>1</v>
      </c>
      <c r="BH296" s="50">
        <v>0</v>
      </c>
      <c r="BI296" s="199">
        <v>0</v>
      </c>
      <c r="BJ296" s="199">
        <v>0</v>
      </c>
      <c r="BK296" s="50">
        <v>1</v>
      </c>
      <c r="BL296" s="199">
        <v>0.15</v>
      </c>
      <c r="BM296" s="199">
        <v>10</v>
      </c>
      <c r="BN296" s="37">
        <f t="shared" ca="1" si="417"/>
        <v>149.30959999999999</v>
      </c>
      <c r="BO296" s="3">
        <f t="shared" ca="1" si="418"/>
        <v>438.00000000000006</v>
      </c>
      <c r="BP296" s="3">
        <f t="shared" ca="1" si="384"/>
        <v>0</v>
      </c>
      <c r="BQ296" s="3">
        <f t="shared" ca="1" si="385"/>
        <v>75.44</v>
      </c>
      <c r="BR296" s="3">
        <f t="shared" ca="1" si="386"/>
        <v>0</v>
      </c>
      <c r="BS296" s="3">
        <f t="shared" ca="1" si="387"/>
        <v>39.999999999999993</v>
      </c>
      <c r="BT296" s="3">
        <f t="shared" ca="1" si="388"/>
        <v>0</v>
      </c>
      <c r="BU296" s="3">
        <v>0</v>
      </c>
      <c r="BV296" s="3">
        <f t="shared" ca="1" si="419"/>
        <v>0</v>
      </c>
      <c r="BW296" s="3">
        <f t="shared" ca="1" si="420"/>
        <v>37.25091441111924</v>
      </c>
      <c r="BX296" s="3">
        <f t="shared" ca="1" si="421"/>
        <v>0</v>
      </c>
      <c r="BY296" s="3">
        <f t="shared" ca="1" si="422"/>
        <v>139.99999990199996</v>
      </c>
      <c r="BZ296" s="3">
        <f t="shared" ca="1" si="423"/>
        <v>0</v>
      </c>
      <c r="CA296" s="3">
        <f t="shared" si="424"/>
        <v>0</v>
      </c>
      <c r="CB296" s="1018">
        <f t="shared" ref="CB296:CB303" ca="1" si="428">SUM(BV296:CA296)+(BP296+BQ296+BR296+BS296+BT296)*BL296</f>
        <v>194.56691431311921</v>
      </c>
      <c r="CC296" s="1018">
        <f t="shared" ref="CC296:CC303" ca="1" si="429">0.34*BM296*(1/25)^0.66*(BQ296+BS296+BT296)</f>
        <v>46.902374429938249</v>
      </c>
      <c r="CD296" s="3">
        <f t="shared" ca="1" si="382"/>
        <v>7.2440786622917237</v>
      </c>
      <c r="CE296" s="3">
        <f t="shared" ca="1" si="383"/>
        <v>12061.101209569229</v>
      </c>
    </row>
    <row r="297" spans="3:83" s="3" customFormat="1" x14ac:dyDescent="0.25">
      <c r="C297" s="867"/>
      <c r="D297" s="869"/>
      <c r="E297" s="867"/>
      <c r="F297" s="869"/>
      <c r="G297" s="867"/>
      <c r="H297" s="869"/>
      <c r="I297" s="869"/>
      <c r="J297" s="865"/>
      <c r="K297" s="869" t="s">
        <v>58</v>
      </c>
      <c r="L297" s="869">
        <v>0.95789473684210524</v>
      </c>
      <c r="M297" s="869" t="s">
        <v>61</v>
      </c>
      <c r="N297" s="869">
        <v>0.20202020202020199</v>
      </c>
      <c r="O297" s="866" t="s">
        <v>16</v>
      </c>
      <c r="P297" s="869">
        <v>0.48149999999999998</v>
      </c>
      <c r="Q297" s="869"/>
      <c r="R297" s="876">
        <v>2.2422721805128706E-4</v>
      </c>
      <c r="S297" s="274"/>
      <c r="T297" s="34">
        <f t="shared" si="425"/>
        <v>2.2422721805128706E-4</v>
      </c>
      <c r="U297" s="176">
        <f>T297-T297*Calculation_sheet!E$69</f>
        <v>2.2422721805128706E-4</v>
      </c>
      <c r="V297" s="176">
        <f>U297-U297*Calculation_sheet!E$79</f>
        <v>2.2422721805128706E-4</v>
      </c>
      <c r="W297" s="176">
        <f>V297/Calculation_sheet!M$67</f>
        <v>2.2423180269710426E-4</v>
      </c>
      <c r="X297" s="958">
        <f ca="1">IF(AL297&gt;0,W297*Calculation_sheet!C$87,0)</f>
        <v>0</v>
      </c>
      <c r="Y297" s="176">
        <f t="shared" ca="1" si="426"/>
        <v>2.2423180269710426E-4</v>
      </c>
      <c r="Z297" s="176">
        <f>IF(AN297&gt;0,Y297*Calculation_sheet!C$94,0)</f>
        <v>0</v>
      </c>
      <c r="AA297" s="958">
        <f t="shared" ca="1" si="416"/>
        <v>2.2423180269710426E-4</v>
      </c>
      <c r="AB297" s="176">
        <f ca="1">AA297*Calculation_sheet!C$99</f>
        <v>1.3453908161826256E-4</v>
      </c>
      <c r="AC297" s="958">
        <f t="shared" ca="1" si="416"/>
        <v>8.9692721078841705E-5</v>
      </c>
      <c r="AD297" s="176">
        <f t="shared" si="427"/>
        <v>2.2423180269710426E-4</v>
      </c>
      <c r="AE297" s="176">
        <f>AD297*User_sheet!B$77/100</f>
        <v>0</v>
      </c>
      <c r="AF297" s="309"/>
      <c r="AG297" s="27">
        <v>404</v>
      </c>
      <c r="AH297" s="985"/>
      <c r="AI297" s="956">
        <f t="shared" ca="1" si="381"/>
        <v>194.56691431311921</v>
      </c>
      <c r="AJ297" s="956">
        <f ca="1">AI297/'404'!I$24</f>
        <v>0.73493584011905722</v>
      </c>
      <c r="AK297" s="956">
        <f ca="1">0.8*(AI297*30+'404'!D$17*0.34*30*1+2500)</f>
        <v>10324.469943514863</v>
      </c>
      <c r="AL297" s="954">
        <f ca="1">IF(AK297&lt;User_sheet!B$50,W297,0)</f>
        <v>0</v>
      </c>
      <c r="AM297" s="954">
        <f ca="1">20-(User_sheet!B$57/(AI297+'403'!D$17*1*0.34))</f>
        <v>1.1571924152539488</v>
      </c>
      <c r="AN297" s="954"/>
      <c r="AO297" s="985"/>
      <c r="AP297" s="27">
        <v>0</v>
      </c>
      <c r="AQ297" s="27">
        <v>0.54</v>
      </c>
      <c r="AR297" s="27">
        <v>0</v>
      </c>
      <c r="AS297" s="27">
        <v>3.5</v>
      </c>
      <c r="AT297" s="27">
        <v>0</v>
      </c>
      <c r="AU297" s="2">
        <v>0</v>
      </c>
      <c r="AV297" s="2">
        <v>75022.04959166942</v>
      </c>
      <c r="AW297" s="2">
        <v>0</v>
      </c>
      <c r="AX297" s="2">
        <v>0</v>
      </c>
      <c r="AY297" s="2">
        <v>0</v>
      </c>
      <c r="AZ297" s="50">
        <v>0.6</v>
      </c>
      <c r="BA297" s="199">
        <v>1</v>
      </c>
      <c r="BB297" s="199">
        <v>0</v>
      </c>
      <c r="BC297" s="50">
        <v>0</v>
      </c>
      <c r="BD297" s="199">
        <v>1</v>
      </c>
      <c r="BE297" s="199">
        <v>0</v>
      </c>
      <c r="BF297" s="50">
        <v>0</v>
      </c>
      <c r="BG297" s="199">
        <v>0</v>
      </c>
      <c r="BH297" s="50">
        <v>1</v>
      </c>
      <c r="BI297" s="199">
        <v>1</v>
      </c>
      <c r="BJ297" s="199">
        <v>0</v>
      </c>
      <c r="BK297" s="50">
        <v>0</v>
      </c>
      <c r="BL297" s="199">
        <v>0.15</v>
      </c>
      <c r="BM297" s="199">
        <v>10</v>
      </c>
      <c r="BN297" s="37">
        <f t="shared" ca="1" si="417"/>
        <v>149.30959999999999</v>
      </c>
      <c r="BO297" s="3">
        <f t="shared" ca="1" si="418"/>
        <v>438.00000000000006</v>
      </c>
      <c r="BP297" s="3">
        <f t="shared" ca="1" si="384"/>
        <v>0</v>
      </c>
      <c r="BQ297" s="3">
        <f t="shared" ca="1" si="385"/>
        <v>75.44</v>
      </c>
      <c r="BR297" s="3">
        <f t="shared" ca="1" si="386"/>
        <v>0</v>
      </c>
      <c r="BS297" s="3">
        <f t="shared" ca="1" si="387"/>
        <v>39.999999999999993</v>
      </c>
      <c r="BT297" s="3">
        <f t="shared" ca="1" si="388"/>
        <v>0</v>
      </c>
      <c r="BU297" s="3">
        <v>0</v>
      </c>
      <c r="BV297" s="3">
        <f t="shared" ca="1" si="419"/>
        <v>0</v>
      </c>
      <c r="BW297" s="3">
        <f t="shared" ca="1" si="420"/>
        <v>37.25091441111924</v>
      </c>
      <c r="BX297" s="3">
        <f t="shared" ca="1" si="421"/>
        <v>0</v>
      </c>
      <c r="BY297" s="3">
        <f t="shared" ca="1" si="422"/>
        <v>139.99999990199996</v>
      </c>
      <c r="BZ297" s="3">
        <f t="shared" ca="1" si="423"/>
        <v>0</v>
      </c>
      <c r="CA297" s="3">
        <f t="shared" si="424"/>
        <v>0</v>
      </c>
      <c r="CB297" s="1018">
        <f t="shared" ca="1" si="428"/>
        <v>194.56691431311921</v>
      </c>
      <c r="CC297" s="1018">
        <f t="shared" ca="1" si="429"/>
        <v>46.902374429938249</v>
      </c>
      <c r="CD297" s="3">
        <f t="shared" ca="1" si="382"/>
        <v>7.2440786622917237</v>
      </c>
      <c r="CE297" s="3">
        <f t="shared" ca="1" si="383"/>
        <v>12061.101209569229</v>
      </c>
    </row>
    <row r="298" spans="3:83" s="3" customFormat="1" x14ac:dyDescent="0.25">
      <c r="C298" s="867"/>
      <c r="D298" s="869"/>
      <c r="E298" s="867"/>
      <c r="F298" s="869"/>
      <c r="G298" s="867"/>
      <c r="H298" s="869"/>
      <c r="I298" s="869" t="s">
        <v>16</v>
      </c>
      <c r="J298" s="865">
        <v>0.75</v>
      </c>
      <c r="K298" s="869"/>
      <c r="L298" s="869"/>
      <c r="M298" s="869"/>
      <c r="N298" s="869"/>
      <c r="O298" s="866" t="s">
        <v>7</v>
      </c>
      <c r="P298" s="869">
        <v>0.51849999999999996</v>
      </c>
      <c r="Q298" s="869"/>
      <c r="R298" s="876">
        <v>2.4145755464089784E-4</v>
      </c>
      <c r="S298" s="274"/>
      <c r="T298" s="34">
        <f t="shared" si="425"/>
        <v>2.4145755464089784E-4</v>
      </c>
      <c r="U298" s="176">
        <f>T298-T298*Calculation_sheet!E$69</f>
        <v>2.4145755464089784E-4</v>
      </c>
      <c r="V298" s="176">
        <f>U298-U298*Calculation_sheet!E$79</f>
        <v>2.4145755464089784E-4</v>
      </c>
      <c r="W298" s="176">
        <f>V298/Calculation_sheet!M$67</f>
        <v>2.4146249158556288E-4</v>
      </c>
      <c r="X298" s="958">
        <f ca="1">IF(AL298&gt;0,W298*Calculation_sheet!C$87,0)</f>
        <v>0</v>
      </c>
      <c r="Y298" s="176">
        <f t="shared" ca="1" si="426"/>
        <v>2.4146249158556288E-4</v>
      </c>
      <c r="Z298" s="176">
        <f>IF(AN298&gt;0,Y298*Calculation_sheet!C$94,0)</f>
        <v>0</v>
      </c>
      <c r="AA298" s="958">
        <f t="shared" ca="1" si="416"/>
        <v>2.4146249158556288E-4</v>
      </c>
      <c r="AB298" s="176">
        <f ca="1">AA298*Calculation_sheet!C$99</f>
        <v>1.4487749495133772E-4</v>
      </c>
      <c r="AC298" s="958">
        <f t="shared" ca="1" si="416"/>
        <v>9.6584996634225162E-5</v>
      </c>
      <c r="AD298" s="176">
        <f t="shared" si="427"/>
        <v>2.4146249158556288E-4</v>
      </c>
      <c r="AE298" s="176">
        <f>AD298*User_sheet!B$77/100</f>
        <v>0</v>
      </c>
      <c r="AF298" s="309"/>
      <c r="AG298" s="27">
        <v>404</v>
      </c>
      <c r="AH298" s="985"/>
      <c r="AI298" s="956">
        <f t="shared" ca="1" si="381"/>
        <v>194.56691431311921</v>
      </c>
      <c r="AJ298" s="956">
        <f ca="1">AI298/'404'!I$24</f>
        <v>0.73493584011905722</v>
      </c>
      <c r="AK298" s="956">
        <f ca="1">0.8*(AI298*30+'404'!D$17*0.34*30*1+2500)</f>
        <v>10324.469943514863</v>
      </c>
      <c r="AL298" s="954">
        <f ca="1">IF(AK298&lt;User_sheet!B$50,W298,0)</f>
        <v>0</v>
      </c>
      <c r="AM298" s="954">
        <f ca="1">20-(User_sheet!B$57/(AI298+'403'!D$17*1*0.34))</f>
        <v>1.1571924152539488</v>
      </c>
      <c r="AN298" s="954"/>
      <c r="AO298" s="985"/>
      <c r="AP298" s="27">
        <v>0</v>
      </c>
      <c r="AQ298" s="27">
        <v>0.54</v>
      </c>
      <c r="AR298" s="27">
        <v>0</v>
      </c>
      <c r="AS298" s="27">
        <v>3.5</v>
      </c>
      <c r="AT298" s="27">
        <v>0</v>
      </c>
      <c r="AU298" s="2">
        <v>0</v>
      </c>
      <c r="AV298" s="2">
        <v>75022.04959166942</v>
      </c>
      <c r="AW298" s="2">
        <v>0</v>
      </c>
      <c r="AX298" s="2">
        <v>0</v>
      </c>
      <c r="AY298" s="2">
        <v>0</v>
      </c>
      <c r="AZ298" s="50">
        <v>0.6</v>
      </c>
      <c r="BA298" s="199">
        <v>1</v>
      </c>
      <c r="BB298" s="199">
        <v>0</v>
      </c>
      <c r="BC298" s="50">
        <v>0</v>
      </c>
      <c r="BD298" s="199">
        <v>1</v>
      </c>
      <c r="BE298" s="199">
        <v>0</v>
      </c>
      <c r="BF298" s="50">
        <v>0</v>
      </c>
      <c r="BG298" s="199">
        <v>0</v>
      </c>
      <c r="BH298" s="50">
        <v>1</v>
      </c>
      <c r="BI298" s="199">
        <v>0</v>
      </c>
      <c r="BJ298" s="199">
        <v>0</v>
      </c>
      <c r="BK298" s="50">
        <v>1</v>
      </c>
      <c r="BL298" s="199">
        <v>0.15</v>
      </c>
      <c r="BM298" s="199">
        <v>10</v>
      </c>
      <c r="BN298" s="37">
        <f t="shared" ca="1" si="417"/>
        <v>149.30959999999999</v>
      </c>
      <c r="BO298" s="3">
        <f t="shared" ca="1" si="418"/>
        <v>438.00000000000006</v>
      </c>
      <c r="BP298" s="3">
        <f t="shared" ca="1" si="384"/>
        <v>0</v>
      </c>
      <c r="BQ298" s="3">
        <f t="shared" ca="1" si="385"/>
        <v>75.44</v>
      </c>
      <c r="BR298" s="3">
        <f t="shared" ca="1" si="386"/>
        <v>0</v>
      </c>
      <c r="BS298" s="3">
        <f t="shared" ca="1" si="387"/>
        <v>39.999999999999993</v>
      </c>
      <c r="BT298" s="3">
        <f t="shared" ca="1" si="388"/>
        <v>0</v>
      </c>
      <c r="BU298" s="3">
        <v>0</v>
      </c>
      <c r="BV298" s="3">
        <f t="shared" ca="1" si="419"/>
        <v>0</v>
      </c>
      <c r="BW298" s="3">
        <f t="shared" ca="1" si="420"/>
        <v>37.25091441111924</v>
      </c>
      <c r="BX298" s="3">
        <f t="shared" ca="1" si="421"/>
        <v>0</v>
      </c>
      <c r="BY298" s="3">
        <f t="shared" ca="1" si="422"/>
        <v>139.99999990199996</v>
      </c>
      <c r="BZ298" s="3">
        <f t="shared" ca="1" si="423"/>
        <v>0</v>
      </c>
      <c r="CA298" s="3">
        <f t="shared" si="424"/>
        <v>0</v>
      </c>
      <c r="CB298" s="1018">
        <f t="shared" ca="1" si="428"/>
        <v>194.56691431311921</v>
      </c>
      <c r="CC298" s="1018">
        <f t="shared" ca="1" si="429"/>
        <v>46.902374429938249</v>
      </c>
      <c r="CD298" s="3">
        <f t="shared" ca="1" si="382"/>
        <v>7.2440786622917237</v>
      </c>
      <c r="CE298" s="3">
        <f t="shared" ca="1" si="383"/>
        <v>12061.101209569229</v>
      </c>
    </row>
    <row r="299" spans="3:83" s="3" customFormat="1" x14ac:dyDescent="0.25">
      <c r="C299" s="867"/>
      <c r="D299" s="869"/>
      <c r="E299" s="867"/>
      <c r="F299" s="869"/>
      <c r="G299" s="867"/>
      <c r="H299" s="869"/>
      <c r="I299" s="869"/>
      <c r="J299" s="865"/>
      <c r="K299" s="869" t="s">
        <v>59</v>
      </c>
      <c r="L299" s="869">
        <v>4.2105263157894736E-2</v>
      </c>
      <c r="M299" s="869"/>
      <c r="N299" s="869"/>
      <c r="O299" s="872" t="s">
        <v>16</v>
      </c>
      <c r="P299" s="869">
        <v>0.48149999999999998</v>
      </c>
      <c r="Q299" s="869"/>
      <c r="R299" s="876">
        <v>4.8787900191378943E-5</v>
      </c>
      <c r="S299" s="274"/>
      <c r="T299" s="34">
        <f t="shared" si="425"/>
        <v>4.8787900191378943E-5</v>
      </c>
      <c r="U299" s="176">
        <f>T299-T299*Calculation_sheet!E$69</f>
        <v>4.8787900191378943E-5</v>
      </c>
      <c r="V299" s="176">
        <f>U299-U299*Calculation_sheet!E$79</f>
        <v>4.8787900191378943E-5</v>
      </c>
      <c r="W299" s="176">
        <f>V299/Calculation_sheet!M$67</f>
        <v>4.8788897729699607E-5</v>
      </c>
      <c r="X299" s="958">
        <f ca="1">IF(AL299&gt;0,W299*Calculation_sheet!C$87,0)</f>
        <v>0</v>
      </c>
      <c r="Y299" s="176">
        <f t="shared" ca="1" si="426"/>
        <v>4.8788897729699607E-5</v>
      </c>
      <c r="Z299" s="176">
        <f>IF(AN299&gt;0,Y299*Calculation_sheet!C$94,0)</f>
        <v>0</v>
      </c>
      <c r="AA299" s="958">
        <f t="shared" ca="1" si="416"/>
        <v>4.8788897729699607E-5</v>
      </c>
      <c r="AB299" s="176">
        <f ca="1">AA299*Calculation_sheet!C$99</f>
        <v>2.9273338637819764E-5</v>
      </c>
      <c r="AC299" s="958">
        <f t="shared" ca="1" si="416"/>
        <v>1.9515559091879844E-5</v>
      </c>
      <c r="AD299" s="176">
        <f t="shared" si="427"/>
        <v>4.8788897729699607E-5</v>
      </c>
      <c r="AE299" s="176">
        <f>AD299*User_sheet!B$77/100</f>
        <v>0</v>
      </c>
      <c r="AF299" s="309"/>
      <c r="AG299" s="27">
        <v>404</v>
      </c>
      <c r="AH299" s="985"/>
      <c r="AI299" s="956">
        <f t="shared" ca="1" si="381"/>
        <v>194.56691431311921</v>
      </c>
      <c r="AJ299" s="956">
        <f ca="1">AI299/'404'!I$24</f>
        <v>0.73493584011905722</v>
      </c>
      <c r="AK299" s="956">
        <f ca="1">0.8*(AI299*30+'404'!D$17*0.34*30*1+2500)</f>
        <v>10324.469943514863</v>
      </c>
      <c r="AL299" s="954">
        <f ca="1">IF(AK299&lt;User_sheet!B$50,W299,0)</f>
        <v>0</v>
      </c>
      <c r="AM299" s="954">
        <f ca="1">20-(User_sheet!B$57/(AI299+'403'!D$17*1*0.34))</f>
        <v>1.1571924152539488</v>
      </c>
      <c r="AN299" s="954"/>
      <c r="AO299" s="985"/>
      <c r="AP299" s="27">
        <v>0</v>
      </c>
      <c r="AQ299" s="27">
        <v>0.54</v>
      </c>
      <c r="AR299" s="27">
        <v>0</v>
      </c>
      <c r="AS299" s="27">
        <v>3.5</v>
      </c>
      <c r="AT299" s="27">
        <v>0</v>
      </c>
      <c r="AU299" s="2">
        <v>0</v>
      </c>
      <c r="AV299" s="2">
        <v>75022.04959166942</v>
      </c>
      <c r="AW299" s="2">
        <v>0</v>
      </c>
      <c r="AX299" s="2">
        <v>0</v>
      </c>
      <c r="AY299" s="2">
        <v>0</v>
      </c>
      <c r="AZ299" s="50">
        <v>0.6</v>
      </c>
      <c r="BA299" s="199">
        <v>1</v>
      </c>
      <c r="BB299" s="199">
        <v>0</v>
      </c>
      <c r="BC299" s="50">
        <v>0</v>
      </c>
      <c r="BD299" s="199">
        <v>0</v>
      </c>
      <c r="BE299" s="199">
        <v>1</v>
      </c>
      <c r="BF299" s="50">
        <v>0</v>
      </c>
      <c r="BG299" s="199">
        <v>1</v>
      </c>
      <c r="BH299" s="50">
        <v>0</v>
      </c>
      <c r="BI299" s="199">
        <v>1</v>
      </c>
      <c r="BJ299" s="199">
        <v>0</v>
      </c>
      <c r="BK299" s="50">
        <v>0</v>
      </c>
      <c r="BL299" s="199">
        <v>0.15</v>
      </c>
      <c r="BM299" s="199">
        <v>10</v>
      </c>
      <c r="BN299" s="37">
        <f t="shared" ca="1" si="417"/>
        <v>149.30959999999999</v>
      </c>
      <c r="BO299" s="3">
        <f t="shared" ca="1" si="418"/>
        <v>438.00000000000006</v>
      </c>
      <c r="BP299" s="3">
        <f t="shared" ca="1" si="384"/>
        <v>0</v>
      </c>
      <c r="BQ299" s="3">
        <f t="shared" ca="1" si="385"/>
        <v>75.44</v>
      </c>
      <c r="BR299" s="3">
        <f t="shared" ca="1" si="386"/>
        <v>0</v>
      </c>
      <c r="BS299" s="3">
        <f t="shared" ca="1" si="387"/>
        <v>39.999999999999993</v>
      </c>
      <c r="BT299" s="3">
        <f t="shared" ca="1" si="388"/>
        <v>0</v>
      </c>
      <c r="BU299" s="3">
        <v>0</v>
      </c>
      <c r="BV299" s="3">
        <f t="shared" ca="1" si="419"/>
        <v>0</v>
      </c>
      <c r="BW299" s="3">
        <f t="shared" ca="1" si="420"/>
        <v>37.25091441111924</v>
      </c>
      <c r="BX299" s="3">
        <f t="shared" ca="1" si="421"/>
        <v>0</v>
      </c>
      <c r="BY299" s="3">
        <f t="shared" ca="1" si="422"/>
        <v>139.99999990199996</v>
      </c>
      <c r="BZ299" s="3">
        <f t="shared" ca="1" si="423"/>
        <v>0</v>
      </c>
      <c r="CA299" s="3">
        <f t="shared" si="424"/>
        <v>0</v>
      </c>
      <c r="CB299" s="1018">
        <f t="shared" ca="1" si="428"/>
        <v>194.56691431311921</v>
      </c>
      <c r="CC299" s="1018">
        <f t="shared" ca="1" si="429"/>
        <v>46.902374429938249</v>
      </c>
      <c r="CD299" s="3">
        <f t="shared" ca="1" si="382"/>
        <v>7.2440786622917237</v>
      </c>
      <c r="CE299" s="3">
        <f t="shared" ca="1" si="383"/>
        <v>12061.101209569229</v>
      </c>
    </row>
    <row r="300" spans="3:83" s="3" customFormat="1" x14ac:dyDescent="0.25">
      <c r="C300" s="867"/>
      <c r="D300" s="869"/>
      <c r="E300" s="867"/>
      <c r="F300" s="869"/>
      <c r="G300" s="867"/>
      <c r="H300" s="869"/>
      <c r="I300" s="869"/>
      <c r="J300" s="865"/>
      <c r="K300" s="869"/>
      <c r="L300" s="869"/>
      <c r="M300" s="869"/>
      <c r="N300" s="869"/>
      <c r="O300" s="872" t="s">
        <v>7</v>
      </c>
      <c r="P300" s="869">
        <v>0.51849999999999996</v>
      </c>
      <c r="Q300" s="869"/>
      <c r="R300" s="876">
        <v>5.2536918482305267E-5</v>
      </c>
      <c r="S300" s="274"/>
      <c r="T300" s="34">
        <f t="shared" si="425"/>
        <v>5.2536918482305267E-5</v>
      </c>
      <c r="U300" s="176">
        <f>T300-T300*Calculation_sheet!E$69</f>
        <v>5.2536918482305267E-5</v>
      </c>
      <c r="V300" s="176">
        <f>U300-U300*Calculation_sheet!E$79</f>
        <v>5.2536918482305267E-5</v>
      </c>
      <c r="W300" s="176">
        <f>V300/Calculation_sheet!M$67</f>
        <v>5.2537992674660959E-5</v>
      </c>
      <c r="X300" s="958">
        <f ca="1">IF(AL300&gt;0,W300*Calculation_sheet!C$87,0)</f>
        <v>0</v>
      </c>
      <c r="Y300" s="176">
        <f t="shared" ca="1" si="426"/>
        <v>5.2537992674660959E-5</v>
      </c>
      <c r="Z300" s="176">
        <f>IF(AN300&gt;0,Y300*Calculation_sheet!C$94,0)</f>
        <v>0</v>
      </c>
      <c r="AA300" s="958">
        <f t="shared" ca="1" si="416"/>
        <v>5.2537992674660959E-5</v>
      </c>
      <c r="AB300" s="176">
        <f ca="1">AA300*Calculation_sheet!C$99</f>
        <v>3.1522795604796577E-5</v>
      </c>
      <c r="AC300" s="958">
        <f t="shared" ca="1" si="416"/>
        <v>2.1015197069864382E-5</v>
      </c>
      <c r="AD300" s="176">
        <f t="shared" si="427"/>
        <v>5.2537992674660959E-5</v>
      </c>
      <c r="AE300" s="176">
        <f>AD300*User_sheet!B$77/100</f>
        <v>0</v>
      </c>
      <c r="AF300" s="309"/>
      <c r="AG300" s="27">
        <v>404</v>
      </c>
      <c r="AH300" s="985"/>
      <c r="AI300" s="956">
        <f t="shared" ca="1" si="381"/>
        <v>194.56691431311921</v>
      </c>
      <c r="AJ300" s="956">
        <f ca="1">AI300/'404'!I$24</f>
        <v>0.73493584011905722</v>
      </c>
      <c r="AK300" s="956">
        <f ca="1">0.8*(AI300*30+'404'!D$17*0.34*30*1+2500)</f>
        <v>10324.469943514863</v>
      </c>
      <c r="AL300" s="954">
        <f ca="1">IF(AK300&lt;User_sheet!B$50,W300,0)</f>
        <v>0</v>
      </c>
      <c r="AM300" s="954">
        <f ca="1">20-(User_sheet!B$57/(AI300+'403'!D$17*1*0.34))</f>
        <v>1.1571924152539488</v>
      </c>
      <c r="AN300" s="954"/>
      <c r="AO300" s="985"/>
      <c r="AP300" s="27">
        <v>0</v>
      </c>
      <c r="AQ300" s="27">
        <v>0.54</v>
      </c>
      <c r="AR300" s="27">
        <v>0</v>
      </c>
      <c r="AS300" s="27">
        <v>3.5</v>
      </c>
      <c r="AT300" s="27">
        <v>0</v>
      </c>
      <c r="AU300" s="2">
        <v>0</v>
      </c>
      <c r="AV300" s="2">
        <v>75022.04959166942</v>
      </c>
      <c r="AW300" s="2">
        <v>0</v>
      </c>
      <c r="AX300" s="2">
        <v>0</v>
      </c>
      <c r="AY300" s="2">
        <v>0</v>
      </c>
      <c r="AZ300" s="50">
        <v>0.6</v>
      </c>
      <c r="BA300" s="199">
        <v>1</v>
      </c>
      <c r="BB300" s="199">
        <v>0</v>
      </c>
      <c r="BC300" s="50">
        <v>0</v>
      </c>
      <c r="BD300" s="199">
        <v>0</v>
      </c>
      <c r="BE300" s="199">
        <v>1</v>
      </c>
      <c r="BF300" s="50">
        <v>0</v>
      </c>
      <c r="BG300" s="199">
        <v>1</v>
      </c>
      <c r="BH300" s="50">
        <v>0</v>
      </c>
      <c r="BI300" s="199">
        <v>0</v>
      </c>
      <c r="BJ300" s="199">
        <v>0</v>
      </c>
      <c r="BK300" s="50">
        <v>1</v>
      </c>
      <c r="BL300" s="199">
        <v>0.15</v>
      </c>
      <c r="BM300" s="199">
        <v>10</v>
      </c>
      <c r="BN300" s="37">
        <f t="shared" ca="1" si="417"/>
        <v>149.30959999999999</v>
      </c>
      <c r="BO300" s="3">
        <f t="shared" ca="1" si="418"/>
        <v>438.00000000000006</v>
      </c>
      <c r="BP300" s="3">
        <f t="shared" ca="1" si="384"/>
        <v>0</v>
      </c>
      <c r="BQ300" s="3">
        <f t="shared" ca="1" si="385"/>
        <v>75.44</v>
      </c>
      <c r="BR300" s="3">
        <f t="shared" ca="1" si="386"/>
        <v>0</v>
      </c>
      <c r="BS300" s="3">
        <f t="shared" ca="1" si="387"/>
        <v>39.999999999999993</v>
      </c>
      <c r="BT300" s="3">
        <f t="shared" ca="1" si="388"/>
        <v>0</v>
      </c>
      <c r="BU300" s="3">
        <v>0</v>
      </c>
      <c r="BV300" s="3">
        <f t="shared" ca="1" si="419"/>
        <v>0</v>
      </c>
      <c r="BW300" s="3">
        <f t="shared" ca="1" si="420"/>
        <v>37.25091441111924</v>
      </c>
      <c r="BX300" s="3">
        <f t="shared" ca="1" si="421"/>
        <v>0</v>
      </c>
      <c r="BY300" s="3">
        <f t="shared" ca="1" si="422"/>
        <v>139.99999990199996</v>
      </c>
      <c r="BZ300" s="3">
        <f t="shared" ca="1" si="423"/>
        <v>0</v>
      </c>
      <c r="CA300" s="3">
        <f t="shared" si="424"/>
        <v>0</v>
      </c>
      <c r="CB300" s="1018">
        <f t="shared" ca="1" si="428"/>
        <v>194.56691431311921</v>
      </c>
      <c r="CC300" s="1018">
        <f t="shared" ca="1" si="429"/>
        <v>46.902374429938249</v>
      </c>
      <c r="CD300" s="3">
        <f t="shared" ca="1" si="382"/>
        <v>7.2440786622917237</v>
      </c>
      <c r="CE300" s="3">
        <f t="shared" ca="1" si="383"/>
        <v>12061.101209569229</v>
      </c>
    </row>
    <row r="301" spans="3:83" s="3" customFormat="1" x14ac:dyDescent="0.25">
      <c r="C301" s="867"/>
      <c r="D301" s="869"/>
      <c r="E301" s="867"/>
      <c r="F301" s="869"/>
      <c r="G301" s="867"/>
      <c r="H301" s="869"/>
      <c r="I301" s="869"/>
      <c r="J301" s="865"/>
      <c r="K301" s="869"/>
      <c r="L301" s="869"/>
      <c r="M301" s="869" t="s">
        <v>60</v>
      </c>
      <c r="N301" s="869">
        <v>0.55555555599999995</v>
      </c>
      <c r="O301" s="866" t="s">
        <v>57</v>
      </c>
      <c r="P301" s="869">
        <v>1</v>
      </c>
      <c r="Q301" s="869"/>
      <c r="R301" s="876">
        <v>1.00628E-4</v>
      </c>
      <c r="S301" s="274"/>
      <c r="T301" s="34">
        <f t="shared" si="425"/>
        <v>1.00628E-4</v>
      </c>
      <c r="U301" s="176">
        <f>T301-T301*Calculation_sheet!E$69</f>
        <v>1.00628E-4</v>
      </c>
      <c r="V301" s="176">
        <f>U301-U301*Calculation_sheet!E$79</f>
        <v>1.00628E-4</v>
      </c>
      <c r="W301" s="176">
        <f>V301/Calculation_sheet!M$67</f>
        <v>1.0063005748322306E-4</v>
      </c>
      <c r="X301" s="958">
        <f ca="1">IF(AL301&gt;0,W301*Calculation_sheet!C$87,0)</f>
        <v>0</v>
      </c>
      <c r="Y301" s="176">
        <f t="shared" ca="1" si="426"/>
        <v>1.0063005748322306E-4</v>
      </c>
      <c r="Z301" s="176">
        <f>IF(AN301&gt;0,Y301*Calculation_sheet!C$94,0)</f>
        <v>0</v>
      </c>
      <c r="AA301" s="958">
        <f t="shared" ca="1" si="416"/>
        <v>1.0063005748322306E-4</v>
      </c>
      <c r="AB301" s="176">
        <f ca="1">AA301*Calculation_sheet!C$99</f>
        <v>6.0378034489933835E-5</v>
      </c>
      <c r="AC301" s="958">
        <f t="shared" ca="1" si="416"/>
        <v>4.0252022993289225E-5</v>
      </c>
      <c r="AD301" s="176">
        <f t="shared" si="427"/>
        <v>1.0063005748322306E-4</v>
      </c>
      <c r="AE301" s="176">
        <f>AD301*User_sheet!B$77/100</f>
        <v>0</v>
      </c>
      <c r="AF301" s="309"/>
      <c r="AG301" s="27">
        <v>404</v>
      </c>
      <c r="AH301" s="985"/>
      <c r="AI301" s="956">
        <f t="shared" ca="1" si="381"/>
        <v>194.56691431311921</v>
      </c>
      <c r="AJ301" s="956">
        <f ca="1">AI301/'404'!I$24</f>
        <v>0.73493584011905722</v>
      </c>
      <c r="AK301" s="956">
        <f ca="1">0.8*(AI301*30+'404'!D$17*0.34*30*1+2500)</f>
        <v>10324.469943514863</v>
      </c>
      <c r="AL301" s="954">
        <f ca="1">IF(AK301&lt;User_sheet!B$50,W301,0)</f>
        <v>0</v>
      </c>
      <c r="AM301" s="954">
        <f ca="1">20-(User_sheet!B$57/(AI301+'403'!D$17*1*0.34))</f>
        <v>1.1571924152539488</v>
      </c>
      <c r="AN301" s="954"/>
      <c r="AO301" s="985"/>
      <c r="AP301" s="27">
        <v>0</v>
      </c>
      <c r="AQ301" s="27">
        <v>0.54</v>
      </c>
      <c r="AR301" s="27">
        <v>0</v>
      </c>
      <c r="AS301" s="27">
        <v>3.5</v>
      </c>
      <c r="AT301" s="27">
        <v>0</v>
      </c>
      <c r="AU301" s="2">
        <v>0</v>
      </c>
      <c r="AV301" s="2">
        <v>75022.04959166942</v>
      </c>
      <c r="AW301" s="2">
        <v>0</v>
      </c>
      <c r="AX301" s="2">
        <v>0</v>
      </c>
      <c r="AY301" s="2">
        <v>0</v>
      </c>
      <c r="AZ301" s="50">
        <v>0.6</v>
      </c>
      <c r="BA301" s="199">
        <v>0</v>
      </c>
      <c r="BB301" s="199">
        <v>1</v>
      </c>
      <c r="BC301" s="50">
        <v>0</v>
      </c>
      <c r="BD301" s="199">
        <v>1</v>
      </c>
      <c r="BE301" s="199">
        <v>0</v>
      </c>
      <c r="BF301" s="50">
        <v>0</v>
      </c>
      <c r="BG301" s="199">
        <v>1</v>
      </c>
      <c r="BH301" s="50">
        <v>0</v>
      </c>
      <c r="BI301" s="199">
        <v>0</v>
      </c>
      <c r="BJ301" s="199">
        <v>1</v>
      </c>
      <c r="BK301" s="50">
        <v>0</v>
      </c>
      <c r="BL301" s="199">
        <v>0.15</v>
      </c>
      <c r="BM301" s="199">
        <v>10</v>
      </c>
      <c r="BN301" s="37">
        <f t="shared" ca="1" si="417"/>
        <v>149.30959999999999</v>
      </c>
      <c r="BO301" s="3">
        <f t="shared" ca="1" si="418"/>
        <v>438.00000000000006</v>
      </c>
      <c r="BP301" s="3">
        <f t="shared" ca="1" si="384"/>
        <v>0</v>
      </c>
      <c r="BQ301" s="3">
        <f t="shared" ca="1" si="385"/>
        <v>75.44</v>
      </c>
      <c r="BR301" s="3">
        <f t="shared" ca="1" si="386"/>
        <v>0</v>
      </c>
      <c r="BS301" s="3">
        <f t="shared" ca="1" si="387"/>
        <v>39.999999999999993</v>
      </c>
      <c r="BT301" s="3">
        <f t="shared" ca="1" si="388"/>
        <v>0</v>
      </c>
      <c r="BU301" s="3">
        <v>0</v>
      </c>
      <c r="BV301" s="3">
        <f t="shared" ca="1" si="419"/>
        <v>0</v>
      </c>
      <c r="BW301" s="3">
        <f t="shared" ca="1" si="420"/>
        <v>37.25091441111924</v>
      </c>
      <c r="BX301" s="3">
        <f t="shared" ca="1" si="421"/>
        <v>0</v>
      </c>
      <c r="BY301" s="3">
        <f t="shared" ca="1" si="422"/>
        <v>139.99999990199996</v>
      </c>
      <c r="BZ301" s="3">
        <f t="shared" ca="1" si="423"/>
        <v>0</v>
      </c>
      <c r="CA301" s="3">
        <f t="shared" si="424"/>
        <v>0</v>
      </c>
      <c r="CB301" s="1018">
        <f t="shared" ca="1" si="428"/>
        <v>194.56691431311921</v>
      </c>
      <c r="CC301" s="1018">
        <f t="shared" ca="1" si="429"/>
        <v>46.902374429938249</v>
      </c>
      <c r="CD301" s="3">
        <f t="shared" ca="1" si="382"/>
        <v>7.2440786622917237</v>
      </c>
      <c r="CE301" s="3">
        <f t="shared" ca="1" si="383"/>
        <v>12061.101209569229</v>
      </c>
    </row>
    <row r="302" spans="3:83" x14ac:dyDescent="0.25">
      <c r="C302" s="864"/>
      <c r="D302" s="865"/>
      <c r="E302" s="864"/>
      <c r="F302" s="865"/>
      <c r="G302" s="864"/>
      <c r="H302" s="865"/>
      <c r="I302" s="869"/>
      <c r="J302" s="865"/>
      <c r="K302" s="869" t="s">
        <v>58</v>
      </c>
      <c r="L302" s="869">
        <v>0.9</v>
      </c>
      <c r="M302" s="869" t="s">
        <v>61</v>
      </c>
      <c r="N302" s="869">
        <v>0.44444444399999999</v>
      </c>
      <c r="O302" s="872" t="s">
        <v>57</v>
      </c>
      <c r="P302" s="869">
        <v>1</v>
      </c>
      <c r="Q302" s="865"/>
      <c r="R302" s="880">
        <v>8.0502799999999998E-5</v>
      </c>
      <c r="T302" s="34">
        <f t="shared" si="425"/>
        <v>8.0502799999999998E-5</v>
      </c>
      <c r="U302" s="176">
        <f>T302-T302*Calculation_sheet!E$69</f>
        <v>8.0502799999999998E-5</v>
      </c>
      <c r="V302" s="176">
        <f>U302-U302*Calculation_sheet!E$79</f>
        <v>8.0502799999999998E-5</v>
      </c>
      <c r="W302" s="176">
        <f>V302/Calculation_sheet!M$67</f>
        <v>8.0504445994757009E-5</v>
      </c>
      <c r="X302" s="958">
        <f ca="1">IF(AL302&gt;0,W302*Calculation_sheet!C$87,0)</f>
        <v>0</v>
      </c>
      <c r="Y302" s="176">
        <f t="shared" ca="1" si="426"/>
        <v>8.0504445994757009E-5</v>
      </c>
      <c r="Z302" s="176">
        <f>IF(AN302&gt;0,Y302*Calculation_sheet!C$94,0)</f>
        <v>0</v>
      </c>
      <c r="AA302" s="958">
        <f t="shared" ca="1" si="416"/>
        <v>8.0504445994757009E-5</v>
      </c>
      <c r="AB302" s="176">
        <f ca="1">AA302*Calculation_sheet!C$99</f>
        <v>4.8302667596854201E-5</v>
      </c>
      <c r="AC302" s="958">
        <f t="shared" ca="1" si="416"/>
        <v>3.2201778397902808E-5</v>
      </c>
      <c r="AD302" s="176">
        <f t="shared" si="427"/>
        <v>8.0504445994757009E-5</v>
      </c>
      <c r="AE302" s="176">
        <f>AD302*User_sheet!B$77/100</f>
        <v>0</v>
      </c>
      <c r="AF302" s="309"/>
      <c r="AG302" s="27">
        <v>404</v>
      </c>
      <c r="AH302" s="985"/>
      <c r="AI302" s="956">
        <f t="shared" ca="1" si="381"/>
        <v>194.56691431311921</v>
      </c>
      <c r="AJ302" s="956">
        <f ca="1">AI302/'404'!I$24</f>
        <v>0.73493584011905722</v>
      </c>
      <c r="AK302" s="956">
        <f ca="1">0.8*(AI302*30+'404'!D$17*0.34*30*1+2500)</f>
        <v>10324.469943514863</v>
      </c>
      <c r="AL302" s="954">
        <f ca="1">IF(AK302&lt;User_sheet!B$50,W302,0)</f>
        <v>0</v>
      </c>
      <c r="AM302" s="954">
        <f ca="1">20-(User_sheet!B$57/(AI302+'403'!D$17*1*0.34))</f>
        <v>1.1571924152539488</v>
      </c>
      <c r="AN302" s="954"/>
      <c r="AO302" s="985"/>
      <c r="AP302" s="27">
        <v>0</v>
      </c>
      <c r="AQ302" s="27">
        <v>0.54</v>
      </c>
      <c r="AR302" s="27">
        <v>0</v>
      </c>
      <c r="AS302" s="27">
        <v>3.5</v>
      </c>
      <c r="AT302" s="27">
        <v>0</v>
      </c>
      <c r="AU302" s="2">
        <v>0</v>
      </c>
      <c r="AV302" s="2">
        <v>75022.04959166942</v>
      </c>
      <c r="AW302" s="2">
        <v>0</v>
      </c>
      <c r="AX302" s="2">
        <v>0</v>
      </c>
      <c r="AY302" s="2">
        <v>0</v>
      </c>
      <c r="AZ302" s="50">
        <v>0.6</v>
      </c>
      <c r="BA302" s="199">
        <v>0</v>
      </c>
      <c r="BB302" s="199">
        <v>1</v>
      </c>
      <c r="BC302" s="50">
        <v>0</v>
      </c>
      <c r="BD302" s="199">
        <v>1</v>
      </c>
      <c r="BE302" s="199">
        <v>0</v>
      </c>
      <c r="BF302" s="50">
        <v>0</v>
      </c>
      <c r="BG302" s="199">
        <v>0</v>
      </c>
      <c r="BH302" s="50">
        <v>1</v>
      </c>
      <c r="BI302" s="199">
        <v>0</v>
      </c>
      <c r="BJ302" s="199">
        <v>1</v>
      </c>
      <c r="BK302" s="50">
        <v>0</v>
      </c>
      <c r="BL302" s="199">
        <v>0.15</v>
      </c>
      <c r="BM302" s="199">
        <v>10</v>
      </c>
      <c r="BN302" s="32">
        <f t="shared" ca="1" si="417"/>
        <v>149.30959999999999</v>
      </c>
      <c r="BO302">
        <f t="shared" ca="1" si="418"/>
        <v>438.00000000000006</v>
      </c>
      <c r="BP302">
        <f t="shared" ca="1" si="384"/>
        <v>0</v>
      </c>
      <c r="BQ302">
        <f t="shared" ca="1" si="385"/>
        <v>75.44</v>
      </c>
      <c r="BR302">
        <f t="shared" ca="1" si="386"/>
        <v>0</v>
      </c>
      <c r="BS302">
        <f t="shared" ca="1" si="387"/>
        <v>39.999999999999993</v>
      </c>
      <c r="BT302">
        <f t="shared" ca="1" si="388"/>
        <v>0</v>
      </c>
      <c r="BU302">
        <v>0</v>
      </c>
      <c r="BV302">
        <f t="shared" ca="1" si="419"/>
        <v>0</v>
      </c>
      <c r="BW302">
        <f t="shared" ca="1" si="420"/>
        <v>37.25091441111924</v>
      </c>
      <c r="BX302">
        <f t="shared" ca="1" si="421"/>
        <v>0</v>
      </c>
      <c r="BY302">
        <f t="shared" ca="1" si="422"/>
        <v>139.99999990199996</v>
      </c>
      <c r="BZ302">
        <f t="shared" ca="1" si="423"/>
        <v>0</v>
      </c>
      <c r="CA302">
        <f t="shared" si="424"/>
        <v>0</v>
      </c>
      <c r="CB302" s="1018">
        <f t="shared" ca="1" si="428"/>
        <v>194.56691431311921</v>
      </c>
      <c r="CC302" s="1018">
        <f t="shared" ca="1" si="429"/>
        <v>46.902374429938249</v>
      </c>
      <c r="CD302">
        <f t="shared" ca="1" si="382"/>
        <v>7.2440786622917237</v>
      </c>
      <c r="CE302">
        <f t="shared" ca="1" si="383"/>
        <v>12061.101209569229</v>
      </c>
    </row>
    <row r="303" spans="3:83" x14ac:dyDescent="0.25">
      <c r="C303" s="864"/>
      <c r="D303" s="865"/>
      <c r="E303" s="864"/>
      <c r="F303" s="865"/>
      <c r="G303" s="864" t="s">
        <v>11</v>
      </c>
      <c r="H303" s="868">
        <v>0.3574</v>
      </c>
      <c r="I303" s="869" t="s">
        <v>22</v>
      </c>
      <c r="J303" s="865">
        <v>0.25</v>
      </c>
      <c r="K303" s="869" t="s">
        <v>59</v>
      </c>
      <c r="L303" s="869">
        <v>0.1</v>
      </c>
      <c r="M303" s="869"/>
      <c r="N303" s="869"/>
      <c r="O303" s="872" t="s">
        <v>57</v>
      </c>
      <c r="P303" s="869">
        <v>1</v>
      </c>
      <c r="Q303" s="865"/>
      <c r="R303" s="880">
        <v>2.0125699999999999E-5</v>
      </c>
      <c r="T303" s="34">
        <f t="shared" si="425"/>
        <v>2.0125699999999999E-5</v>
      </c>
      <c r="U303" s="176">
        <f>T303-T303*Calculation_sheet!E$69</f>
        <v>2.0125699999999999E-5</v>
      </c>
      <c r="V303" s="176">
        <f>U303-U303*Calculation_sheet!E$79</f>
        <v>2.0125699999999999E-5</v>
      </c>
      <c r="W303" s="176">
        <f>V303/Calculation_sheet!M$67</f>
        <v>2.0126111498689252E-5</v>
      </c>
      <c r="X303" s="958">
        <f ca="1">IF(AL303&gt;0,W303*Calculation_sheet!C$87,0)</f>
        <v>0</v>
      </c>
      <c r="Y303" s="176">
        <f t="shared" ca="1" si="426"/>
        <v>2.0126111498689252E-5</v>
      </c>
      <c r="Z303" s="176">
        <f>IF(AN303&gt;0,Y303*Calculation_sheet!C$94,0)</f>
        <v>0</v>
      </c>
      <c r="AA303" s="958">
        <f t="shared" ca="1" si="416"/>
        <v>2.0126111498689252E-5</v>
      </c>
      <c r="AB303" s="176">
        <f ca="1">AA303*Calculation_sheet!C$99</f>
        <v>1.207566689921355E-5</v>
      </c>
      <c r="AC303" s="958">
        <f t="shared" ca="1" si="416"/>
        <v>8.0504445994757019E-6</v>
      </c>
      <c r="AD303" s="176">
        <f t="shared" si="427"/>
        <v>2.0126111498689252E-5</v>
      </c>
      <c r="AE303" s="176">
        <f>AD303*User_sheet!B$77/100</f>
        <v>0</v>
      </c>
      <c r="AF303" s="309"/>
      <c r="AG303" s="27">
        <v>404</v>
      </c>
      <c r="AH303" s="985"/>
      <c r="AI303" s="956">
        <f t="shared" ca="1" si="381"/>
        <v>194.56691431311921</v>
      </c>
      <c r="AJ303" s="956">
        <f ca="1">AI303/'404'!I$24</f>
        <v>0.73493584011905722</v>
      </c>
      <c r="AK303" s="956">
        <f ca="1">0.8*(AI303*30+'404'!D$17*0.34*30*1+2500)</f>
        <v>10324.469943514863</v>
      </c>
      <c r="AL303" s="954">
        <f ca="1">IF(AK303&lt;User_sheet!B$50,W303,0)</f>
        <v>0</v>
      </c>
      <c r="AM303" s="954">
        <f ca="1">20-(User_sheet!B$57/(AI303+'403'!D$17*1*0.34))</f>
        <v>1.1571924152539488</v>
      </c>
      <c r="AN303" s="954"/>
      <c r="AO303" s="985"/>
      <c r="AP303" s="27">
        <v>0</v>
      </c>
      <c r="AQ303" s="27">
        <v>0.54</v>
      </c>
      <c r="AR303" s="27">
        <v>0</v>
      </c>
      <c r="AS303" s="27">
        <v>3.5</v>
      </c>
      <c r="AT303" s="27">
        <v>0</v>
      </c>
      <c r="AU303" s="2">
        <v>0</v>
      </c>
      <c r="AV303" s="2">
        <v>75022.04959166942</v>
      </c>
      <c r="AW303" s="2">
        <v>0</v>
      </c>
      <c r="AX303" s="2">
        <v>0</v>
      </c>
      <c r="AY303" s="2">
        <v>0</v>
      </c>
      <c r="AZ303" s="50">
        <v>0.6</v>
      </c>
      <c r="BA303" s="199">
        <v>0</v>
      </c>
      <c r="BB303" s="199">
        <v>1</v>
      </c>
      <c r="BC303" s="50">
        <v>0</v>
      </c>
      <c r="BD303" s="199">
        <v>0</v>
      </c>
      <c r="BE303" s="199">
        <v>1</v>
      </c>
      <c r="BF303" s="50">
        <v>0</v>
      </c>
      <c r="BG303" s="199">
        <v>1</v>
      </c>
      <c r="BH303" s="50">
        <v>0</v>
      </c>
      <c r="BI303" s="199">
        <v>0</v>
      </c>
      <c r="BJ303" s="199">
        <v>1</v>
      </c>
      <c r="BK303" s="50">
        <v>0</v>
      </c>
      <c r="BL303" s="199">
        <v>0.15</v>
      </c>
      <c r="BM303" s="199">
        <v>10</v>
      </c>
      <c r="BN303" s="32">
        <f t="shared" ca="1" si="417"/>
        <v>149.30959999999999</v>
      </c>
      <c r="BO303">
        <f t="shared" ca="1" si="418"/>
        <v>438.00000000000006</v>
      </c>
      <c r="BP303">
        <f t="shared" ca="1" si="384"/>
        <v>0</v>
      </c>
      <c r="BQ303">
        <f t="shared" ca="1" si="385"/>
        <v>75.44</v>
      </c>
      <c r="BR303">
        <f t="shared" ca="1" si="386"/>
        <v>0</v>
      </c>
      <c r="BS303">
        <f t="shared" ca="1" si="387"/>
        <v>39.999999999999993</v>
      </c>
      <c r="BT303">
        <f t="shared" ca="1" si="388"/>
        <v>0</v>
      </c>
      <c r="BU303">
        <v>0</v>
      </c>
      <c r="BV303">
        <f t="shared" ca="1" si="419"/>
        <v>0</v>
      </c>
      <c r="BW303">
        <f t="shared" ca="1" si="420"/>
        <v>37.25091441111924</v>
      </c>
      <c r="BX303">
        <f t="shared" ca="1" si="421"/>
        <v>0</v>
      </c>
      <c r="BY303">
        <f t="shared" ca="1" si="422"/>
        <v>139.99999990199996</v>
      </c>
      <c r="BZ303">
        <f t="shared" ca="1" si="423"/>
        <v>0</v>
      </c>
      <c r="CA303">
        <f t="shared" si="424"/>
        <v>0</v>
      </c>
      <c r="CB303" s="1018">
        <f t="shared" ca="1" si="428"/>
        <v>194.56691431311921</v>
      </c>
      <c r="CC303" s="1018">
        <f t="shared" ca="1" si="429"/>
        <v>46.902374429938249</v>
      </c>
      <c r="CD303">
        <f t="shared" ca="1" si="382"/>
        <v>7.2440786622917237</v>
      </c>
      <c r="CE303">
        <f t="shared" ca="1" si="383"/>
        <v>12061.101209569229</v>
      </c>
    </row>
    <row r="304" spans="3:83" s="870" customFormat="1" x14ac:dyDescent="0.25">
      <c r="D304" s="871"/>
      <c r="F304" s="871"/>
      <c r="H304" s="871"/>
      <c r="I304" s="871"/>
      <c r="J304" s="871"/>
      <c r="K304" s="871"/>
      <c r="L304" s="871"/>
      <c r="M304" s="871"/>
      <c r="N304" s="871"/>
      <c r="O304" s="871"/>
      <c r="P304" s="871"/>
      <c r="Q304" s="871"/>
      <c r="R304" s="877"/>
      <c r="S304" s="273">
        <v>6.9059000000000009E-2</v>
      </c>
      <c r="T304" s="277"/>
      <c r="U304" s="292"/>
      <c r="V304" s="292"/>
      <c r="W304" s="292"/>
      <c r="X304" s="277"/>
      <c r="Y304" s="292"/>
      <c r="Z304" s="292"/>
      <c r="AA304" s="277"/>
      <c r="AB304" s="292"/>
      <c r="AC304" s="277"/>
      <c r="AD304" s="292"/>
      <c r="AE304" s="292"/>
      <c r="AF304" s="309"/>
      <c r="AG304" s="873"/>
      <c r="AH304" s="985"/>
      <c r="AI304" s="956">
        <f t="shared" si="381"/>
        <v>0</v>
      </c>
      <c r="AJ304" s="941"/>
      <c r="AK304" s="941"/>
      <c r="AL304" s="941"/>
      <c r="AM304" s="941"/>
      <c r="AN304" s="941"/>
      <c r="AO304" s="985"/>
      <c r="AP304" s="873"/>
      <c r="AQ304" s="873"/>
      <c r="AR304" s="873"/>
      <c r="AS304" s="873"/>
      <c r="AT304" s="873"/>
      <c r="AU304" s="873"/>
      <c r="AV304" s="873"/>
      <c r="AW304" s="873"/>
      <c r="AX304" s="873"/>
      <c r="AY304" s="873"/>
      <c r="AZ304" s="49"/>
      <c r="BA304" s="277"/>
      <c r="BB304" s="277"/>
      <c r="BC304" s="49"/>
      <c r="BD304" s="277"/>
      <c r="BE304" s="277"/>
      <c r="BF304" s="49"/>
      <c r="BG304" s="277"/>
      <c r="BH304" s="49"/>
      <c r="BI304" s="277"/>
      <c r="BJ304" s="277"/>
      <c r="BK304" s="49"/>
      <c r="BL304" s="277"/>
      <c r="BM304" s="277"/>
      <c r="BN304" s="874"/>
    </row>
    <row r="305" spans="4:83" x14ac:dyDescent="0.25">
      <c r="D305" s="1"/>
      <c r="F305" s="1"/>
      <c r="G305" s="3"/>
      <c r="H305" s="6"/>
      <c r="I305" s="6"/>
      <c r="J305" s="1"/>
      <c r="K305" s="6"/>
      <c r="L305" s="6"/>
      <c r="M305" s="6" t="s">
        <v>60</v>
      </c>
      <c r="N305" s="4"/>
      <c r="O305" s="2" t="s">
        <v>16</v>
      </c>
      <c r="P305" s="4"/>
      <c r="Q305" s="1"/>
      <c r="R305" s="83"/>
      <c r="V305" s="176">
        <f>U295-V295</f>
        <v>0</v>
      </c>
      <c r="W305" s="176">
        <f>V305/Calculation_sheet!M$67</f>
        <v>0</v>
      </c>
      <c r="X305" s="958">
        <f ca="1">IF(AL305&gt;0,W305*Calculation_sheet!C$87,0)</f>
        <v>0</v>
      </c>
      <c r="Y305" s="176">
        <f ca="1">W305-X305</f>
        <v>0</v>
      </c>
      <c r="Z305" s="176">
        <f>IF(AN305&gt;0,Y305*Calculation_sheet!C$94,0)</f>
        <v>0</v>
      </c>
      <c r="AA305" s="958">
        <f t="shared" ref="AA305:AC313" ca="1" si="430">Y305-Z305</f>
        <v>0</v>
      </c>
      <c r="AB305" s="176">
        <f ca="1">AA305*Calculation_sheet!C$99</f>
        <v>0</v>
      </c>
      <c r="AC305" s="958">
        <f t="shared" ca="1" si="430"/>
        <v>0</v>
      </c>
      <c r="AD305" s="176">
        <f>W305-Z305</f>
        <v>0</v>
      </c>
      <c r="AE305" s="176">
        <f>AD305*User_sheet!B$77/100</f>
        <v>0</v>
      </c>
      <c r="AF305" s="309"/>
      <c r="AG305" s="27">
        <v>404</v>
      </c>
      <c r="AH305" s="985"/>
      <c r="AI305" s="956">
        <f t="shared" ca="1" si="381"/>
        <v>134.56691437911923</v>
      </c>
      <c r="AJ305" s="956">
        <f ca="1">AI305/'404'!I$24</f>
        <v>0.50829838475152689</v>
      </c>
      <c r="AK305" s="956">
        <f ca="1">0.8*(AI305*30+'404'!D$17*0.34*30*1+2500)</f>
        <v>8884.469945098861</v>
      </c>
      <c r="AL305" s="954">
        <f ca="1">IF(AK305&lt;User_sheet!B$50,W305,0)</f>
        <v>0</v>
      </c>
      <c r="AM305" s="954">
        <f ca="1">20-(User_sheet!B$57/(AI305+'403'!D$17*1*0.34))</f>
        <v>-3.5048938031116847</v>
      </c>
      <c r="AN305" s="954"/>
      <c r="AO305" s="985"/>
      <c r="AP305" s="27">
        <v>0</v>
      </c>
      <c r="AQ305" s="27">
        <v>0.54</v>
      </c>
      <c r="AR305" s="27">
        <v>0</v>
      </c>
      <c r="AS305" s="27">
        <v>2</v>
      </c>
      <c r="AT305" s="27">
        <v>0</v>
      </c>
      <c r="AU305" s="2">
        <v>0</v>
      </c>
      <c r="AV305" s="2">
        <v>75022.04959166942</v>
      </c>
      <c r="AW305" s="2">
        <v>0</v>
      </c>
      <c r="AX305" s="2">
        <v>0</v>
      </c>
      <c r="AY305" s="2">
        <v>0</v>
      </c>
      <c r="AZ305" s="50">
        <v>0.6</v>
      </c>
      <c r="BA305" s="199">
        <v>1</v>
      </c>
      <c r="BB305" s="199">
        <v>0</v>
      </c>
      <c r="BC305" s="50">
        <v>0</v>
      </c>
      <c r="BD305" s="199">
        <v>1</v>
      </c>
      <c r="BE305" s="199">
        <v>0</v>
      </c>
      <c r="BF305" s="50">
        <v>0</v>
      </c>
      <c r="BG305" s="199">
        <v>1</v>
      </c>
      <c r="BH305" s="50">
        <v>0</v>
      </c>
      <c r="BI305" s="199">
        <v>1</v>
      </c>
      <c r="BJ305" s="199">
        <v>0</v>
      </c>
      <c r="BK305" s="50">
        <v>0</v>
      </c>
      <c r="BL305" s="199">
        <v>0.15</v>
      </c>
      <c r="BM305" s="199">
        <v>10</v>
      </c>
      <c r="BN305" s="32">
        <f t="shared" ref="BN305:BN313" ca="1" si="431">INDIRECT("'"&amp;AG305&amp;"'!"&amp;"B2")</f>
        <v>149.30959999999999</v>
      </c>
      <c r="BO305">
        <f t="shared" ref="BO305:BO313" ca="1" si="432">INDIRECT("'"&amp;AG305&amp;"'!"&amp;"C12")+INDIRECT("'"&amp;AG305&amp;"'!"&amp;"C13")+INDIRECT("'"&amp;AG305&amp;"'!"&amp;"C14")+INDIRECT("'"&amp;AG305&amp;"'!"&amp;"C15")+INDIRECT("'"&amp;AG305&amp;"'!"&amp;"C17")</f>
        <v>438.00000000000006</v>
      </c>
      <c r="BP305">
        <f t="shared" ca="1" si="384"/>
        <v>0</v>
      </c>
      <c r="BQ305">
        <f t="shared" ca="1" si="385"/>
        <v>75.44</v>
      </c>
      <c r="BR305">
        <f t="shared" ca="1" si="386"/>
        <v>0</v>
      </c>
      <c r="BS305">
        <f t="shared" ca="1" si="387"/>
        <v>39.999999999999993</v>
      </c>
      <c r="BT305">
        <f t="shared" ca="1" si="388"/>
        <v>0</v>
      </c>
      <c r="BU305">
        <v>0</v>
      </c>
      <c r="BV305">
        <f t="shared" ref="BV305:BV313" ca="1" si="433">IF(OR(BP305=0,AP305=0),0,1/(1/(BP305*$BW$3)+1/(BP305*AP305)+1/(BP305*$BW$4)))</f>
        <v>0</v>
      </c>
      <c r="BW305">
        <f t="shared" ref="BW305:BW313" ca="1" si="434">IF(OR(BQ305=0,AQ305=0),0,1/(1/(BQ305*$BW$3)+1/(BQ305*AQ305)+1/(BQ305*$BW$4)))</f>
        <v>37.25091441111924</v>
      </c>
      <c r="BX305">
        <f t="shared" ref="BX305:BX313" ca="1" si="435">IF(OR(BR305=0,AR305=0),0,1/(1/(BR305*$BW$3)+1/(BR305*AR305)+1/(BR305*$BW$4)))</f>
        <v>0</v>
      </c>
      <c r="BY305">
        <f t="shared" ref="BY305:BY313" ca="1" si="436">IF(OR(BS305=0,AS305=0),0,1/(1/(BS305*$BW$5)+1/(BS305*AS305)+1/(BS305*$BW$6)))</f>
        <v>79.999999967999983</v>
      </c>
      <c r="BZ305">
        <f t="shared" ref="BZ305:BZ313" ca="1" si="437">IF(OR(BT305=0,AT305=0),0,1/(1/(BT305*$BW$3)+1/(BT305*AT305)+1/(BT305*$BW$4)))</f>
        <v>0</v>
      </c>
      <c r="CA305">
        <f t="shared" ref="CA305:CA313" si="438">IF(OR(BU305=0,AU305=0),0,1/(1/(BU305*$BW$3)+1/(BU305*AU305)+1/(BU305*$BW$4)))</f>
        <v>0</v>
      </c>
      <c r="CB305" s="1018">
        <f ca="1">SUM(BV305:CA305)+(BP305+BQ305+BR305+BS305+BT305)*BL305</f>
        <v>134.56691437911923</v>
      </c>
      <c r="CC305" s="1018">
        <f ca="1">0.34*BM305*(1/25)^0.66*(BQ305+BS305+BT305)</f>
        <v>46.902374429938249</v>
      </c>
      <c r="CD305">
        <f t="shared" ca="1" si="382"/>
        <v>5.444078664271724</v>
      </c>
      <c r="CE305">
        <f t="shared" ca="1" si="383"/>
        <v>9064.1732128658477</v>
      </c>
    </row>
    <row r="306" spans="4:83" x14ac:dyDescent="0.25">
      <c r="D306" s="1"/>
      <c r="F306" s="1"/>
      <c r="G306" s="3"/>
      <c r="H306" s="6"/>
      <c r="I306" s="6"/>
      <c r="J306" s="1"/>
      <c r="K306" s="6"/>
      <c r="L306" s="6"/>
      <c r="M306" s="6"/>
      <c r="N306" s="6"/>
      <c r="O306" s="2" t="s">
        <v>7</v>
      </c>
      <c r="P306" s="4"/>
      <c r="Q306" s="1"/>
      <c r="R306" s="83"/>
      <c r="V306" s="176">
        <f t="shared" ref="V306:V313" si="439">U296-V296</f>
        <v>0</v>
      </c>
      <c r="W306" s="176">
        <f>V306/Calculation_sheet!M$67</f>
        <v>0</v>
      </c>
      <c r="X306" s="958">
        <f ca="1">IF(AL306&gt;0,W306*Calculation_sheet!C$87,0)</f>
        <v>0</v>
      </c>
      <c r="Y306" s="176">
        <f t="shared" ref="Y306:Y313" ca="1" si="440">W306-X306</f>
        <v>0</v>
      </c>
      <c r="Z306" s="176">
        <f>IF(AN306&gt;0,Y306*Calculation_sheet!C$94,0)</f>
        <v>0</v>
      </c>
      <c r="AA306" s="958">
        <f t="shared" ca="1" si="430"/>
        <v>0</v>
      </c>
      <c r="AB306" s="176">
        <f ca="1">AA306*Calculation_sheet!C$99</f>
        <v>0</v>
      </c>
      <c r="AC306" s="958">
        <f t="shared" ca="1" si="430"/>
        <v>0</v>
      </c>
      <c r="AD306" s="176">
        <f t="shared" ref="AD306:AD313" si="441">W306-Z306</f>
        <v>0</v>
      </c>
      <c r="AE306" s="176">
        <f>AD306*User_sheet!B$77/100</f>
        <v>0</v>
      </c>
      <c r="AF306" s="309"/>
      <c r="AG306" s="27">
        <v>404</v>
      </c>
      <c r="AH306" s="985"/>
      <c r="AI306" s="956">
        <f t="shared" ca="1" si="381"/>
        <v>134.56691437911923</v>
      </c>
      <c r="AJ306" s="956">
        <f ca="1">AI306/'404'!I$24</f>
        <v>0.50829838475152689</v>
      </c>
      <c r="AK306" s="956">
        <f ca="1">0.8*(AI306*30+'404'!D$17*0.34*30*1+2500)</f>
        <v>8884.469945098861</v>
      </c>
      <c r="AL306" s="954">
        <f ca="1">IF(AK306&lt;User_sheet!B$50,W306,0)</f>
        <v>0</v>
      </c>
      <c r="AM306" s="954">
        <f ca="1">20-(User_sheet!B$57/(AI306+'403'!D$17*1*0.34))</f>
        <v>-3.5048938031116847</v>
      </c>
      <c r="AN306" s="954"/>
      <c r="AO306" s="985"/>
      <c r="AP306" s="27">
        <v>0</v>
      </c>
      <c r="AQ306" s="27">
        <v>0.54</v>
      </c>
      <c r="AR306" s="27">
        <v>0</v>
      </c>
      <c r="AS306" s="27">
        <v>2</v>
      </c>
      <c r="AT306" s="27">
        <v>0</v>
      </c>
      <c r="AU306" s="2">
        <v>0</v>
      </c>
      <c r="AV306" s="2">
        <v>75022.04959166942</v>
      </c>
      <c r="AW306" s="2">
        <v>0</v>
      </c>
      <c r="AX306" s="2">
        <v>0</v>
      </c>
      <c r="AY306" s="2">
        <v>0</v>
      </c>
      <c r="AZ306" s="50">
        <v>0.6</v>
      </c>
      <c r="BA306" s="199">
        <v>1</v>
      </c>
      <c r="BB306" s="199">
        <v>0</v>
      </c>
      <c r="BC306" s="50">
        <v>0</v>
      </c>
      <c r="BD306" s="199">
        <v>1</v>
      </c>
      <c r="BE306" s="199">
        <v>0</v>
      </c>
      <c r="BF306" s="50">
        <v>0</v>
      </c>
      <c r="BG306" s="199">
        <v>1</v>
      </c>
      <c r="BH306" s="50">
        <v>0</v>
      </c>
      <c r="BI306" s="199">
        <v>0</v>
      </c>
      <c r="BJ306" s="199">
        <v>0</v>
      </c>
      <c r="BK306" s="50">
        <v>1</v>
      </c>
      <c r="BL306" s="199">
        <v>0.15</v>
      </c>
      <c r="BM306" s="199">
        <v>10</v>
      </c>
      <c r="BN306" s="32">
        <f t="shared" ca="1" si="431"/>
        <v>149.30959999999999</v>
      </c>
      <c r="BO306">
        <f t="shared" ca="1" si="432"/>
        <v>438.00000000000006</v>
      </c>
      <c r="BP306">
        <f t="shared" ca="1" si="384"/>
        <v>0</v>
      </c>
      <c r="BQ306">
        <f t="shared" ca="1" si="385"/>
        <v>75.44</v>
      </c>
      <c r="BR306">
        <f t="shared" ca="1" si="386"/>
        <v>0</v>
      </c>
      <c r="BS306">
        <f t="shared" ca="1" si="387"/>
        <v>39.999999999999993</v>
      </c>
      <c r="BT306">
        <f t="shared" ca="1" si="388"/>
        <v>0</v>
      </c>
      <c r="BU306">
        <v>0</v>
      </c>
      <c r="BV306">
        <f t="shared" ca="1" si="433"/>
        <v>0</v>
      </c>
      <c r="BW306">
        <f t="shared" ca="1" si="434"/>
        <v>37.25091441111924</v>
      </c>
      <c r="BX306">
        <f t="shared" ca="1" si="435"/>
        <v>0</v>
      </c>
      <c r="BY306">
        <f t="shared" ca="1" si="436"/>
        <v>79.999999967999983</v>
      </c>
      <c r="BZ306">
        <f t="shared" ca="1" si="437"/>
        <v>0</v>
      </c>
      <c r="CA306">
        <f t="shared" si="438"/>
        <v>0</v>
      </c>
      <c r="CB306" s="1018">
        <f t="shared" ref="CB306:CB313" ca="1" si="442">SUM(BV306:CA306)+(BP306+BQ306+BR306+BS306+BT306)*BL306</f>
        <v>134.56691437911923</v>
      </c>
      <c r="CC306" s="1018">
        <f t="shared" ref="CC306:CC313" ca="1" si="443">0.34*BM306*(1/25)^0.66*(BQ306+BS306+BT306)</f>
        <v>46.902374429938249</v>
      </c>
      <c r="CD306">
        <f t="shared" ca="1" si="382"/>
        <v>5.444078664271724</v>
      </c>
      <c r="CE306">
        <f t="shared" ca="1" si="383"/>
        <v>9064.1732128658477</v>
      </c>
    </row>
    <row r="307" spans="4:83" x14ac:dyDescent="0.25">
      <c r="D307" s="1"/>
      <c r="F307" s="1"/>
      <c r="G307" s="3"/>
      <c r="H307" s="6"/>
      <c r="I307" s="6"/>
      <c r="J307" s="1"/>
      <c r="K307" s="6" t="s">
        <v>58</v>
      </c>
      <c r="L307" s="4"/>
      <c r="M307" s="6" t="s">
        <v>61</v>
      </c>
      <c r="N307" s="4"/>
      <c r="O307" s="2" t="s">
        <v>16</v>
      </c>
      <c r="P307" s="4"/>
      <c r="Q307" s="1"/>
      <c r="R307" s="83"/>
      <c r="V307" s="176">
        <f t="shared" si="439"/>
        <v>0</v>
      </c>
      <c r="W307" s="176">
        <f>V307/Calculation_sheet!M$67</f>
        <v>0</v>
      </c>
      <c r="X307" s="958">
        <f ca="1">IF(AL307&gt;0,W307*Calculation_sheet!C$87,0)</f>
        <v>0</v>
      </c>
      <c r="Y307" s="176">
        <f t="shared" ca="1" si="440"/>
        <v>0</v>
      </c>
      <c r="Z307" s="176">
        <f>IF(AN307&gt;0,Y307*Calculation_sheet!C$94,0)</f>
        <v>0</v>
      </c>
      <c r="AA307" s="958">
        <f t="shared" ca="1" si="430"/>
        <v>0</v>
      </c>
      <c r="AB307" s="176">
        <f ca="1">AA307*Calculation_sheet!C$99</f>
        <v>0</v>
      </c>
      <c r="AC307" s="958">
        <f t="shared" ca="1" si="430"/>
        <v>0</v>
      </c>
      <c r="AD307" s="176">
        <f t="shared" si="441"/>
        <v>0</v>
      </c>
      <c r="AE307" s="176">
        <f>AD307*User_sheet!B$77/100</f>
        <v>0</v>
      </c>
      <c r="AF307" s="309"/>
      <c r="AG307" s="27">
        <v>404</v>
      </c>
      <c r="AH307" s="985"/>
      <c r="AI307" s="956">
        <f t="shared" ca="1" si="381"/>
        <v>134.56691437911923</v>
      </c>
      <c r="AJ307" s="956">
        <f ca="1">AI307/'404'!I$24</f>
        <v>0.50829838475152689</v>
      </c>
      <c r="AK307" s="956">
        <f ca="1">0.8*(AI307*30+'404'!D$17*0.34*30*1+2500)</f>
        <v>8884.469945098861</v>
      </c>
      <c r="AL307" s="954">
        <f ca="1">IF(AK307&lt;User_sheet!B$50,W307,0)</f>
        <v>0</v>
      </c>
      <c r="AM307" s="954">
        <f ca="1">20-(User_sheet!B$57/(AI307+'403'!D$17*1*0.34))</f>
        <v>-3.5048938031116847</v>
      </c>
      <c r="AN307" s="954"/>
      <c r="AO307" s="985"/>
      <c r="AP307" s="27">
        <v>0</v>
      </c>
      <c r="AQ307" s="27">
        <v>0.54</v>
      </c>
      <c r="AR307" s="27">
        <v>0</v>
      </c>
      <c r="AS307" s="27">
        <v>2</v>
      </c>
      <c r="AT307" s="27">
        <v>0</v>
      </c>
      <c r="AU307" s="2">
        <v>0</v>
      </c>
      <c r="AV307" s="2">
        <v>75022.04959166942</v>
      </c>
      <c r="AW307" s="2">
        <v>0</v>
      </c>
      <c r="AX307" s="2">
        <v>0</v>
      </c>
      <c r="AY307" s="2">
        <v>0</v>
      </c>
      <c r="AZ307" s="50">
        <v>0.6</v>
      </c>
      <c r="BA307" s="199">
        <v>1</v>
      </c>
      <c r="BB307" s="199">
        <v>0</v>
      </c>
      <c r="BC307" s="50">
        <v>0</v>
      </c>
      <c r="BD307" s="199">
        <v>1</v>
      </c>
      <c r="BE307" s="199">
        <v>0</v>
      </c>
      <c r="BF307" s="50">
        <v>0</v>
      </c>
      <c r="BG307" s="199">
        <v>0</v>
      </c>
      <c r="BH307" s="50">
        <v>1</v>
      </c>
      <c r="BI307" s="199">
        <v>1</v>
      </c>
      <c r="BJ307" s="199">
        <v>0</v>
      </c>
      <c r="BK307" s="50">
        <v>0</v>
      </c>
      <c r="BL307" s="199">
        <v>0.15</v>
      </c>
      <c r="BM307" s="199">
        <v>10</v>
      </c>
      <c r="BN307" s="32">
        <f t="shared" ca="1" si="431"/>
        <v>149.30959999999999</v>
      </c>
      <c r="BO307">
        <f t="shared" ca="1" si="432"/>
        <v>438.00000000000006</v>
      </c>
      <c r="BP307">
        <f t="shared" ca="1" si="384"/>
        <v>0</v>
      </c>
      <c r="BQ307">
        <f t="shared" ca="1" si="385"/>
        <v>75.44</v>
      </c>
      <c r="BR307">
        <f t="shared" ca="1" si="386"/>
        <v>0</v>
      </c>
      <c r="BS307">
        <f t="shared" ca="1" si="387"/>
        <v>39.999999999999993</v>
      </c>
      <c r="BT307">
        <f t="shared" ca="1" si="388"/>
        <v>0</v>
      </c>
      <c r="BU307">
        <v>0</v>
      </c>
      <c r="BV307">
        <f t="shared" ca="1" si="433"/>
        <v>0</v>
      </c>
      <c r="BW307">
        <f t="shared" ca="1" si="434"/>
        <v>37.25091441111924</v>
      </c>
      <c r="BX307">
        <f t="shared" ca="1" si="435"/>
        <v>0</v>
      </c>
      <c r="BY307">
        <f t="shared" ca="1" si="436"/>
        <v>79.999999967999983</v>
      </c>
      <c r="BZ307">
        <f t="shared" ca="1" si="437"/>
        <v>0</v>
      </c>
      <c r="CA307">
        <f t="shared" si="438"/>
        <v>0</v>
      </c>
      <c r="CB307" s="1018">
        <f t="shared" ca="1" si="442"/>
        <v>134.56691437911923</v>
      </c>
      <c r="CC307" s="1018">
        <f t="shared" ca="1" si="443"/>
        <v>46.902374429938249</v>
      </c>
      <c r="CD307">
        <f t="shared" ca="1" si="382"/>
        <v>5.444078664271724</v>
      </c>
      <c r="CE307">
        <f t="shared" ca="1" si="383"/>
        <v>9064.1732128658477</v>
      </c>
    </row>
    <row r="308" spans="4:83" x14ac:dyDescent="0.25">
      <c r="D308" s="1"/>
      <c r="F308" s="3" t="s">
        <v>144</v>
      </c>
      <c r="H308" s="6"/>
      <c r="I308" s="6" t="s">
        <v>16</v>
      </c>
      <c r="J308" s="4"/>
      <c r="K308" s="6"/>
      <c r="L308" s="6"/>
      <c r="M308" s="6"/>
      <c r="N308" s="6"/>
      <c r="O308" s="2" t="s">
        <v>7</v>
      </c>
      <c r="P308" s="4"/>
      <c r="Q308" s="1"/>
      <c r="R308" s="83"/>
      <c r="V308" s="176">
        <f t="shared" si="439"/>
        <v>0</v>
      </c>
      <c r="W308" s="176">
        <f>V308/Calculation_sheet!M$67</f>
        <v>0</v>
      </c>
      <c r="X308" s="958">
        <f ca="1">IF(AL308&gt;0,W308*Calculation_sheet!C$87,0)</f>
        <v>0</v>
      </c>
      <c r="Y308" s="176">
        <f t="shared" ca="1" si="440"/>
        <v>0</v>
      </c>
      <c r="Z308" s="176">
        <f>IF(AN308&gt;0,Y308*Calculation_sheet!C$94,0)</f>
        <v>0</v>
      </c>
      <c r="AA308" s="958">
        <f t="shared" ca="1" si="430"/>
        <v>0</v>
      </c>
      <c r="AB308" s="176">
        <f ca="1">AA308*Calculation_sheet!C$99</f>
        <v>0</v>
      </c>
      <c r="AC308" s="958">
        <f t="shared" ca="1" si="430"/>
        <v>0</v>
      </c>
      <c r="AD308" s="176">
        <f t="shared" si="441"/>
        <v>0</v>
      </c>
      <c r="AE308" s="176">
        <f>AD308*User_sheet!B$77/100</f>
        <v>0</v>
      </c>
      <c r="AF308" s="309"/>
      <c r="AG308" s="27">
        <v>404</v>
      </c>
      <c r="AH308" s="985"/>
      <c r="AI308" s="956">
        <f t="shared" ca="1" si="381"/>
        <v>134.56691437911923</v>
      </c>
      <c r="AJ308" s="956">
        <f ca="1">AI308/'404'!I$24</f>
        <v>0.50829838475152689</v>
      </c>
      <c r="AK308" s="956">
        <f ca="1">0.8*(AI308*30+'404'!D$17*0.34*30*1+2500)</f>
        <v>8884.469945098861</v>
      </c>
      <c r="AL308" s="954">
        <f ca="1">IF(AK308&lt;User_sheet!B$50,W308,0)</f>
        <v>0</v>
      </c>
      <c r="AM308" s="954">
        <f ca="1">20-(User_sheet!B$57/(AI308+'403'!D$17*1*0.34))</f>
        <v>-3.5048938031116847</v>
      </c>
      <c r="AN308" s="954"/>
      <c r="AO308" s="985"/>
      <c r="AP308" s="27">
        <v>0</v>
      </c>
      <c r="AQ308" s="27">
        <v>0.54</v>
      </c>
      <c r="AR308" s="27">
        <v>0</v>
      </c>
      <c r="AS308" s="27">
        <v>2</v>
      </c>
      <c r="AT308" s="27">
        <v>0</v>
      </c>
      <c r="AU308" s="2">
        <v>0</v>
      </c>
      <c r="AV308" s="2">
        <v>75022.04959166942</v>
      </c>
      <c r="AW308" s="2">
        <v>0</v>
      </c>
      <c r="AX308" s="2">
        <v>0</v>
      </c>
      <c r="AY308" s="2">
        <v>0</v>
      </c>
      <c r="AZ308" s="50">
        <v>0.6</v>
      </c>
      <c r="BA308" s="199">
        <v>1</v>
      </c>
      <c r="BB308" s="199">
        <v>0</v>
      </c>
      <c r="BC308" s="50">
        <v>0</v>
      </c>
      <c r="BD308" s="199">
        <v>1</v>
      </c>
      <c r="BE308" s="199">
        <v>0</v>
      </c>
      <c r="BF308" s="50">
        <v>0</v>
      </c>
      <c r="BG308" s="199">
        <v>0</v>
      </c>
      <c r="BH308" s="50">
        <v>1</v>
      </c>
      <c r="BI308" s="199">
        <v>0</v>
      </c>
      <c r="BJ308" s="199">
        <v>0</v>
      </c>
      <c r="BK308" s="50">
        <v>1</v>
      </c>
      <c r="BL308" s="199">
        <v>0.15</v>
      </c>
      <c r="BM308" s="199">
        <v>10</v>
      </c>
      <c r="BN308" s="32">
        <f t="shared" ca="1" si="431"/>
        <v>149.30959999999999</v>
      </c>
      <c r="BO308">
        <f t="shared" ca="1" si="432"/>
        <v>438.00000000000006</v>
      </c>
      <c r="BP308">
        <f t="shared" ca="1" si="384"/>
        <v>0</v>
      </c>
      <c r="BQ308">
        <f t="shared" ca="1" si="385"/>
        <v>75.44</v>
      </c>
      <c r="BR308">
        <f t="shared" ca="1" si="386"/>
        <v>0</v>
      </c>
      <c r="BS308">
        <f t="shared" ca="1" si="387"/>
        <v>39.999999999999993</v>
      </c>
      <c r="BT308">
        <f t="shared" ca="1" si="388"/>
        <v>0</v>
      </c>
      <c r="BU308">
        <v>0</v>
      </c>
      <c r="BV308">
        <f t="shared" ca="1" si="433"/>
        <v>0</v>
      </c>
      <c r="BW308">
        <f t="shared" ca="1" si="434"/>
        <v>37.25091441111924</v>
      </c>
      <c r="BX308">
        <f t="shared" ca="1" si="435"/>
        <v>0</v>
      </c>
      <c r="BY308">
        <f t="shared" ca="1" si="436"/>
        <v>79.999999967999983</v>
      </c>
      <c r="BZ308">
        <f t="shared" ca="1" si="437"/>
        <v>0</v>
      </c>
      <c r="CA308">
        <f t="shared" si="438"/>
        <v>0</v>
      </c>
      <c r="CB308" s="1018">
        <f t="shared" ca="1" si="442"/>
        <v>134.56691437911923</v>
      </c>
      <c r="CC308" s="1018">
        <f t="shared" ca="1" si="443"/>
        <v>46.902374429938249</v>
      </c>
      <c r="CD308">
        <f t="shared" ca="1" si="382"/>
        <v>5.444078664271724</v>
      </c>
      <c r="CE308">
        <f t="shared" ca="1" si="383"/>
        <v>9064.1732128658477</v>
      </c>
    </row>
    <row r="309" spans="4:83" x14ac:dyDescent="0.25">
      <c r="D309" s="1"/>
      <c r="F309" s="6" t="s">
        <v>190</v>
      </c>
      <c r="H309" s="6"/>
      <c r="I309" s="6"/>
      <c r="J309" s="1"/>
      <c r="K309" s="6" t="s">
        <v>59</v>
      </c>
      <c r="L309" s="4"/>
      <c r="M309" s="6"/>
      <c r="N309" s="6"/>
      <c r="O309" s="27" t="s">
        <v>16</v>
      </c>
      <c r="P309" s="4"/>
      <c r="Q309" s="1"/>
      <c r="R309" s="83"/>
      <c r="V309" s="176">
        <f t="shared" si="439"/>
        <v>0</v>
      </c>
      <c r="W309" s="176">
        <f>V309/Calculation_sheet!M$67</f>
        <v>0</v>
      </c>
      <c r="X309" s="958">
        <f ca="1">IF(AL309&gt;0,W309*Calculation_sheet!C$87,0)</f>
        <v>0</v>
      </c>
      <c r="Y309" s="176">
        <f t="shared" ca="1" si="440"/>
        <v>0</v>
      </c>
      <c r="Z309" s="176">
        <f>IF(AN309&gt;0,Y309*Calculation_sheet!C$94,0)</f>
        <v>0</v>
      </c>
      <c r="AA309" s="958">
        <f t="shared" ca="1" si="430"/>
        <v>0</v>
      </c>
      <c r="AB309" s="176">
        <f ca="1">AA309*Calculation_sheet!C$99</f>
        <v>0</v>
      </c>
      <c r="AC309" s="958">
        <f t="shared" ca="1" si="430"/>
        <v>0</v>
      </c>
      <c r="AD309" s="176">
        <f t="shared" si="441"/>
        <v>0</v>
      </c>
      <c r="AE309" s="176">
        <f>AD309*User_sheet!B$77/100</f>
        <v>0</v>
      </c>
      <c r="AF309" s="309"/>
      <c r="AG309" s="27">
        <v>404</v>
      </c>
      <c r="AH309" s="985"/>
      <c r="AI309" s="956">
        <f t="shared" ca="1" si="381"/>
        <v>134.56691437911923</v>
      </c>
      <c r="AJ309" s="956">
        <f ca="1">AI309/'404'!I$24</f>
        <v>0.50829838475152689</v>
      </c>
      <c r="AK309" s="956">
        <f ca="1">0.8*(AI309*30+'404'!D$17*0.34*30*1+2500)</f>
        <v>8884.469945098861</v>
      </c>
      <c r="AL309" s="954">
        <f ca="1">IF(AK309&lt;User_sheet!B$50,W309,0)</f>
        <v>0</v>
      </c>
      <c r="AM309" s="954">
        <f ca="1">20-(User_sheet!B$57/(AI309+'403'!D$17*1*0.34))</f>
        <v>-3.5048938031116847</v>
      </c>
      <c r="AN309" s="954"/>
      <c r="AO309" s="985"/>
      <c r="AP309" s="27">
        <v>0</v>
      </c>
      <c r="AQ309" s="27">
        <v>0.54</v>
      </c>
      <c r="AR309" s="27">
        <v>0</v>
      </c>
      <c r="AS309" s="27">
        <v>2</v>
      </c>
      <c r="AT309" s="27">
        <v>0</v>
      </c>
      <c r="AU309" s="2">
        <v>0</v>
      </c>
      <c r="AV309" s="2">
        <v>75022.04959166942</v>
      </c>
      <c r="AW309" s="2">
        <v>0</v>
      </c>
      <c r="AX309" s="2">
        <v>0</v>
      </c>
      <c r="AY309" s="2">
        <v>0</v>
      </c>
      <c r="AZ309" s="50">
        <v>0.6</v>
      </c>
      <c r="BA309" s="199">
        <v>1</v>
      </c>
      <c r="BB309" s="199">
        <v>0</v>
      </c>
      <c r="BC309" s="50">
        <v>0</v>
      </c>
      <c r="BD309" s="199">
        <v>0</v>
      </c>
      <c r="BE309" s="199">
        <v>1</v>
      </c>
      <c r="BF309" s="50">
        <v>0</v>
      </c>
      <c r="BG309" s="199">
        <v>1</v>
      </c>
      <c r="BH309" s="50">
        <v>0</v>
      </c>
      <c r="BI309" s="199">
        <v>1</v>
      </c>
      <c r="BJ309" s="199">
        <v>0</v>
      </c>
      <c r="BK309" s="50">
        <v>0</v>
      </c>
      <c r="BL309" s="199">
        <v>0.15</v>
      </c>
      <c r="BM309" s="199">
        <v>10</v>
      </c>
      <c r="BN309" s="32">
        <f t="shared" ca="1" si="431"/>
        <v>149.30959999999999</v>
      </c>
      <c r="BO309">
        <f t="shared" ca="1" si="432"/>
        <v>438.00000000000006</v>
      </c>
      <c r="BP309">
        <f t="shared" ca="1" si="384"/>
        <v>0</v>
      </c>
      <c r="BQ309">
        <f t="shared" ca="1" si="385"/>
        <v>75.44</v>
      </c>
      <c r="BR309">
        <f t="shared" ca="1" si="386"/>
        <v>0</v>
      </c>
      <c r="BS309">
        <f t="shared" ca="1" si="387"/>
        <v>39.999999999999993</v>
      </c>
      <c r="BT309">
        <f t="shared" ca="1" si="388"/>
        <v>0</v>
      </c>
      <c r="BU309">
        <v>0</v>
      </c>
      <c r="BV309">
        <f t="shared" ca="1" si="433"/>
        <v>0</v>
      </c>
      <c r="BW309">
        <f t="shared" ca="1" si="434"/>
        <v>37.25091441111924</v>
      </c>
      <c r="BX309">
        <f t="shared" ca="1" si="435"/>
        <v>0</v>
      </c>
      <c r="BY309">
        <f t="shared" ca="1" si="436"/>
        <v>79.999999967999983</v>
      </c>
      <c r="BZ309">
        <f t="shared" ca="1" si="437"/>
        <v>0</v>
      </c>
      <c r="CA309">
        <f t="shared" si="438"/>
        <v>0</v>
      </c>
      <c r="CB309" s="1018">
        <f t="shared" ca="1" si="442"/>
        <v>134.56691437911923</v>
      </c>
      <c r="CC309" s="1018">
        <f t="shared" ca="1" si="443"/>
        <v>46.902374429938249</v>
      </c>
      <c r="CD309">
        <f t="shared" ca="1" si="382"/>
        <v>5.444078664271724</v>
      </c>
      <c r="CE309">
        <f t="shared" ca="1" si="383"/>
        <v>9064.1732128658477</v>
      </c>
    </row>
    <row r="310" spans="4:83" x14ac:dyDescent="0.25">
      <c r="D310" s="1"/>
      <c r="F310" s="1"/>
      <c r="G310" s="3"/>
      <c r="H310" s="6"/>
      <c r="I310" s="6"/>
      <c r="J310" s="1"/>
      <c r="K310" s="6"/>
      <c r="L310" s="6"/>
      <c r="M310" s="6"/>
      <c r="N310" s="6"/>
      <c r="O310" s="27" t="s">
        <v>7</v>
      </c>
      <c r="P310" s="4"/>
      <c r="Q310" s="1"/>
      <c r="R310" s="83"/>
      <c r="V310" s="176">
        <f t="shared" si="439"/>
        <v>0</v>
      </c>
      <c r="W310" s="176">
        <f>V310/Calculation_sheet!M$67</f>
        <v>0</v>
      </c>
      <c r="X310" s="958">
        <f ca="1">IF(AL310&gt;0,W310*Calculation_sheet!C$87,0)</f>
        <v>0</v>
      </c>
      <c r="Y310" s="176">
        <f t="shared" ca="1" si="440"/>
        <v>0</v>
      </c>
      <c r="Z310" s="176">
        <f>IF(AN310&gt;0,Y310*Calculation_sheet!C$94,0)</f>
        <v>0</v>
      </c>
      <c r="AA310" s="958">
        <f t="shared" ca="1" si="430"/>
        <v>0</v>
      </c>
      <c r="AB310" s="176">
        <f ca="1">AA310*Calculation_sheet!C$99</f>
        <v>0</v>
      </c>
      <c r="AC310" s="958">
        <f t="shared" ca="1" si="430"/>
        <v>0</v>
      </c>
      <c r="AD310" s="176">
        <f t="shared" si="441"/>
        <v>0</v>
      </c>
      <c r="AE310" s="176">
        <f>AD310*User_sheet!B$77/100</f>
        <v>0</v>
      </c>
      <c r="AF310" s="309"/>
      <c r="AG310" s="27">
        <v>404</v>
      </c>
      <c r="AH310" s="985"/>
      <c r="AI310" s="956">
        <f t="shared" ca="1" si="381"/>
        <v>134.56691437911923</v>
      </c>
      <c r="AJ310" s="956">
        <f ca="1">AI310/'404'!I$24</f>
        <v>0.50829838475152689</v>
      </c>
      <c r="AK310" s="956">
        <f ca="1">0.8*(AI310*30+'404'!D$17*0.34*30*1+2500)</f>
        <v>8884.469945098861</v>
      </c>
      <c r="AL310" s="954">
        <f ca="1">IF(AK310&lt;User_sheet!B$50,W310,0)</f>
        <v>0</v>
      </c>
      <c r="AM310" s="954">
        <f ca="1">20-(User_sheet!B$57/(AI310+'403'!D$17*1*0.34))</f>
        <v>-3.5048938031116847</v>
      </c>
      <c r="AN310" s="954"/>
      <c r="AO310" s="985"/>
      <c r="AP310" s="27">
        <v>0</v>
      </c>
      <c r="AQ310" s="27">
        <v>0.54</v>
      </c>
      <c r="AR310" s="27">
        <v>0</v>
      </c>
      <c r="AS310" s="27">
        <v>2</v>
      </c>
      <c r="AT310" s="27">
        <v>0</v>
      </c>
      <c r="AU310" s="2">
        <v>0</v>
      </c>
      <c r="AV310" s="2">
        <v>75022.04959166942</v>
      </c>
      <c r="AW310" s="2">
        <v>0</v>
      </c>
      <c r="AX310" s="2">
        <v>0</v>
      </c>
      <c r="AY310" s="2">
        <v>0</v>
      </c>
      <c r="AZ310" s="50">
        <v>0.6</v>
      </c>
      <c r="BA310" s="199">
        <v>1</v>
      </c>
      <c r="BB310" s="199">
        <v>0</v>
      </c>
      <c r="BC310" s="50">
        <v>0</v>
      </c>
      <c r="BD310" s="199">
        <v>0</v>
      </c>
      <c r="BE310" s="199">
        <v>1</v>
      </c>
      <c r="BF310" s="50">
        <v>0</v>
      </c>
      <c r="BG310" s="199">
        <v>1</v>
      </c>
      <c r="BH310" s="50">
        <v>0</v>
      </c>
      <c r="BI310" s="199">
        <v>0</v>
      </c>
      <c r="BJ310" s="199">
        <v>0</v>
      </c>
      <c r="BK310" s="50">
        <v>1</v>
      </c>
      <c r="BL310" s="199">
        <v>0.15</v>
      </c>
      <c r="BM310" s="199">
        <v>10</v>
      </c>
      <c r="BN310" s="32">
        <f t="shared" ca="1" si="431"/>
        <v>149.30959999999999</v>
      </c>
      <c r="BO310">
        <f t="shared" ca="1" si="432"/>
        <v>438.00000000000006</v>
      </c>
      <c r="BP310">
        <f t="shared" ca="1" si="384"/>
        <v>0</v>
      </c>
      <c r="BQ310">
        <f t="shared" ca="1" si="385"/>
        <v>75.44</v>
      </c>
      <c r="BR310">
        <f t="shared" ca="1" si="386"/>
        <v>0</v>
      </c>
      <c r="BS310">
        <f t="shared" ca="1" si="387"/>
        <v>39.999999999999993</v>
      </c>
      <c r="BT310">
        <f t="shared" ca="1" si="388"/>
        <v>0</v>
      </c>
      <c r="BU310">
        <v>0</v>
      </c>
      <c r="BV310">
        <f t="shared" ca="1" si="433"/>
        <v>0</v>
      </c>
      <c r="BW310">
        <f t="shared" ca="1" si="434"/>
        <v>37.25091441111924</v>
      </c>
      <c r="BX310">
        <f t="shared" ca="1" si="435"/>
        <v>0</v>
      </c>
      <c r="BY310">
        <f t="shared" ca="1" si="436"/>
        <v>79.999999967999983</v>
      </c>
      <c r="BZ310">
        <f t="shared" ca="1" si="437"/>
        <v>0</v>
      </c>
      <c r="CA310">
        <f t="shared" si="438"/>
        <v>0</v>
      </c>
      <c r="CB310" s="1018">
        <f t="shared" ca="1" si="442"/>
        <v>134.56691437911923</v>
      </c>
      <c r="CC310" s="1018">
        <f t="shared" ca="1" si="443"/>
        <v>46.902374429938249</v>
      </c>
      <c r="CD310">
        <f t="shared" ca="1" si="382"/>
        <v>5.444078664271724</v>
      </c>
      <c r="CE310">
        <f t="shared" ca="1" si="383"/>
        <v>9064.1732128658477</v>
      </c>
    </row>
    <row r="311" spans="4:83" x14ac:dyDescent="0.25">
      <c r="D311" s="1"/>
      <c r="F311" s="1"/>
      <c r="G311" s="3"/>
      <c r="H311" s="6"/>
      <c r="I311" s="6"/>
      <c r="J311" s="1"/>
      <c r="K311" s="6"/>
      <c r="L311" s="6"/>
      <c r="M311" s="6" t="s">
        <v>60</v>
      </c>
      <c r="N311" s="4"/>
      <c r="O311" s="2" t="s">
        <v>57</v>
      </c>
      <c r="P311" s="4"/>
      <c r="Q311" s="1"/>
      <c r="R311" s="83"/>
      <c r="V311" s="176">
        <f t="shared" si="439"/>
        <v>0</v>
      </c>
      <c r="W311" s="176">
        <f>V311/Calculation_sheet!M$67</f>
        <v>0</v>
      </c>
      <c r="X311" s="958">
        <f ca="1">IF(AL311&gt;0,W311*Calculation_sheet!C$87,0)</f>
        <v>0</v>
      </c>
      <c r="Y311" s="176">
        <f t="shared" ca="1" si="440"/>
        <v>0</v>
      </c>
      <c r="Z311" s="176">
        <f>IF(AN311&gt;0,Y311*Calculation_sheet!C$94,0)</f>
        <v>0</v>
      </c>
      <c r="AA311" s="958">
        <f t="shared" ca="1" si="430"/>
        <v>0</v>
      </c>
      <c r="AB311" s="176">
        <f ca="1">AA311*Calculation_sheet!C$99</f>
        <v>0</v>
      </c>
      <c r="AC311" s="958">
        <f t="shared" ca="1" si="430"/>
        <v>0</v>
      </c>
      <c r="AD311" s="176">
        <f t="shared" si="441"/>
        <v>0</v>
      </c>
      <c r="AE311" s="176">
        <f>AD311*User_sheet!B$77/100</f>
        <v>0</v>
      </c>
      <c r="AF311" s="309"/>
      <c r="AG311" s="27">
        <v>404</v>
      </c>
      <c r="AH311" s="985"/>
      <c r="AI311" s="956">
        <f t="shared" ca="1" si="381"/>
        <v>134.56691437911923</v>
      </c>
      <c r="AJ311" s="956">
        <f ca="1">AI311/'404'!I$24</f>
        <v>0.50829838475152689</v>
      </c>
      <c r="AK311" s="956">
        <f ca="1">0.8*(AI311*30+'404'!D$17*0.34*30*1+2500)</f>
        <v>8884.469945098861</v>
      </c>
      <c r="AL311" s="954">
        <f ca="1">IF(AK311&lt;User_sheet!B$50,W311,0)</f>
        <v>0</v>
      </c>
      <c r="AM311" s="954">
        <f ca="1">20-(User_sheet!B$57/(AI311+'403'!D$17*1*0.34))</f>
        <v>-3.5048938031116847</v>
      </c>
      <c r="AN311" s="954"/>
      <c r="AO311" s="985"/>
      <c r="AP311" s="27">
        <v>0</v>
      </c>
      <c r="AQ311" s="27">
        <v>0.54</v>
      </c>
      <c r="AR311" s="27">
        <v>0</v>
      </c>
      <c r="AS311" s="27">
        <v>2</v>
      </c>
      <c r="AT311" s="27">
        <v>0</v>
      </c>
      <c r="AU311" s="2">
        <v>0</v>
      </c>
      <c r="AV311" s="2">
        <v>75022.04959166942</v>
      </c>
      <c r="AW311" s="2">
        <v>0</v>
      </c>
      <c r="AX311" s="2">
        <v>0</v>
      </c>
      <c r="AY311" s="2">
        <v>0</v>
      </c>
      <c r="AZ311" s="50">
        <v>0.6</v>
      </c>
      <c r="BA311" s="199">
        <v>0</v>
      </c>
      <c r="BB311" s="199">
        <v>1</v>
      </c>
      <c r="BC311" s="50">
        <v>0</v>
      </c>
      <c r="BD311" s="199">
        <v>1</v>
      </c>
      <c r="BE311" s="199">
        <v>0</v>
      </c>
      <c r="BF311" s="50">
        <v>0</v>
      </c>
      <c r="BG311" s="199">
        <v>1</v>
      </c>
      <c r="BH311" s="50">
        <v>0</v>
      </c>
      <c r="BI311" s="199">
        <v>0</v>
      </c>
      <c r="BJ311" s="199">
        <v>1</v>
      </c>
      <c r="BK311" s="50">
        <v>0</v>
      </c>
      <c r="BL311" s="199">
        <v>0.15</v>
      </c>
      <c r="BM311" s="199">
        <v>10</v>
      </c>
      <c r="BN311" s="32">
        <f t="shared" ca="1" si="431"/>
        <v>149.30959999999999</v>
      </c>
      <c r="BO311">
        <f t="shared" ca="1" si="432"/>
        <v>438.00000000000006</v>
      </c>
      <c r="BP311">
        <f t="shared" ca="1" si="384"/>
        <v>0</v>
      </c>
      <c r="BQ311">
        <f t="shared" ca="1" si="385"/>
        <v>75.44</v>
      </c>
      <c r="BR311">
        <f t="shared" ca="1" si="386"/>
        <v>0</v>
      </c>
      <c r="BS311">
        <f t="shared" ca="1" si="387"/>
        <v>39.999999999999993</v>
      </c>
      <c r="BT311">
        <f t="shared" ca="1" si="388"/>
        <v>0</v>
      </c>
      <c r="BU311">
        <v>0</v>
      </c>
      <c r="BV311">
        <f t="shared" ca="1" si="433"/>
        <v>0</v>
      </c>
      <c r="BW311">
        <f t="shared" ca="1" si="434"/>
        <v>37.25091441111924</v>
      </c>
      <c r="BX311">
        <f t="shared" ca="1" si="435"/>
        <v>0</v>
      </c>
      <c r="BY311">
        <f t="shared" ca="1" si="436"/>
        <v>79.999999967999983</v>
      </c>
      <c r="BZ311">
        <f t="shared" ca="1" si="437"/>
        <v>0</v>
      </c>
      <c r="CA311">
        <f t="shared" si="438"/>
        <v>0</v>
      </c>
      <c r="CB311" s="1018">
        <f t="shared" ca="1" si="442"/>
        <v>134.56691437911923</v>
      </c>
      <c r="CC311" s="1018">
        <f t="shared" ca="1" si="443"/>
        <v>46.902374429938249</v>
      </c>
      <c r="CD311">
        <f t="shared" ca="1" si="382"/>
        <v>5.444078664271724</v>
      </c>
      <c r="CE311">
        <f t="shared" ca="1" si="383"/>
        <v>9064.1732128658477</v>
      </c>
    </row>
    <row r="312" spans="4:83" x14ac:dyDescent="0.25">
      <c r="D312" s="1"/>
      <c r="F312" s="1"/>
      <c r="G312" s="3"/>
      <c r="H312" s="6"/>
      <c r="I312" s="6"/>
      <c r="J312" s="1"/>
      <c r="K312" s="6" t="s">
        <v>58</v>
      </c>
      <c r="L312" s="4"/>
      <c r="M312" s="6" t="s">
        <v>61</v>
      </c>
      <c r="N312" s="4"/>
      <c r="O312" s="27" t="s">
        <v>57</v>
      </c>
      <c r="P312" s="4"/>
      <c r="Q312" s="1"/>
      <c r="R312" s="83"/>
      <c r="V312" s="176">
        <f t="shared" si="439"/>
        <v>0</v>
      </c>
      <c r="W312" s="176">
        <f>V312/Calculation_sheet!M$67</f>
        <v>0</v>
      </c>
      <c r="X312" s="958">
        <f ca="1">IF(AL312&gt;0,W312*Calculation_sheet!C$87,0)</f>
        <v>0</v>
      </c>
      <c r="Y312" s="176">
        <f t="shared" ca="1" si="440"/>
        <v>0</v>
      </c>
      <c r="Z312" s="176">
        <f>IF(AN312&gt;0,Y312*Calculation_sheet!C$94,0)</f>
        <v>0</v>
      </c>
      <c r="AA312" s="958">
        <f t="shared" ca="1" si="430"/>
        <v>0</v>
      </c>
      <c r="AB312" s="176">
        <f ca="1">AA312*Calculation_sheet!C$99</f>
        <v>0</v>
      </c>
      <c r="AC312" s="958">
        <f t="shared" ca="1" si="430"/>
        <v>0</v>
      </c>
      <c r="AD312" s="176">
        <f t="shared" si="441"/>
        <v>0</v>
      </c>
      <c r="AE312" s="176">
        <f>AD312*User_sheet!B$77/100</f>
        <v>0</v>
      </c>
      <c r="AF312" s="309"/>
      <c r="AG312" s="27">
        <v>404</v>
      </c>
      <c r="AH312" s="985"/>
      <c r="AI312" s="956">
        <f t="shared" ca="1" si="381"/>
        <v>134.56691437911923</v>
      </c>
      <c r="AJ312" s="956">
        <f ca="1">AI312/'404'!I$24</f>
        <v>0.50829838475152689</v>
      </c>
      <c r="AK312" s="956">
        <f ca="1">0.8*(AI312*30+'404'!D$17*0.34*30*1+2500)</f>
        <v>8884.469945098861</v>
      </c>
      <c r="AL312" s="954">
        <f ca="1">IF(AK312&lt;User_sheet!B$50,W312,0)</f>
        <v>0</v>
      </c>
      <c r="AM312" s="954">
        <f ca="1">20-(User_sheet!B$57/(AI312+'403'!D$17*1*0.34))</f>
        <v>-3.5048938031116847</v>
      </c>
      <c r="AN312" s="954"/>
      <c r="AO312" s="985"/>
      <c r="AP312" s="27">
        <v>0</v>
      </c>
      <c r="AQ312" s="27">
        <v>0.54</v>
      </c>
      <c r="AR312" s="27">
        <v>0</v>
      </c>
      <c r="AS312" s="27">
        <v>2</v>
      </c>
      <c r="AT312" s="27">
        <v>0</v>
      </c>
      <c r="AU312" s="2">
        <v>0</v>
      </c>
      <c r="AV312" s="2">
        <v>75022.04959166942</v>
      </c>
      <c r="AW312" s="2">
        <v>0</v>
      </c>
      <c r="AX312" s="2">
        <v>0</v>
      </c>
      <c r="AY312" s="2">
        <v>0</v>
      </c>
      <c r="AZ312" s="50">
        <v>0.6</v>
      </c>
      <c r="BA312" s="199">
        <v>0</v>
      </c>
      <c r="BB312" s="199">
        <v>1</v>
      </c>
      <c r="BC312" s="50">
        <v>0</v>
      </c>
      <c r="BD312" s="199">
        <v>1</v>
      </c>
      <c r="BE312" s="199">
        <v>0</v>
      </c>
      <c r="BF312" s="50">
        <v>0</v>
      </c>
      <c r="BG312" s="199">
        <v>0</v>
      </c>
      <c r="BH312" s="50">
        <v>1</v>
      </c>
      <c r="BI312" s="199">
        <v>0</v>
      </c>
      <c r="BJ312" s="199">
        <v>1</v>
      </c>
      <c r="BK312" s="50">
        <v>0</v>
      </c>
      <c r="BL312" s="199">
        <v>0.15</v>
      </c>
      <c r="BM312" s="199">
        <v>10</v>
      </c>
      <c r="BN312" s="32">
        <f t="shared" ca="1" si="431"/>
        <v>149.30959999999999</v>
      </c>
      <c r="BO312">
        <f t="shared" ca="1" si="432"/>
        <v>438.00000000000006</v>
      </c>
      <c r="BP312">
        <f t="shared" ca="1" si="384"/>
        <v>0</v>
      </c>
      <c r="BQ312">
        <f t="shared" ca="1" si="385"/>
        <v>75.44</v>
      </c>
      <c r="BR312">
        <f t="shared" ca="1" si="386"/>
        <v>0</v>
      </c>
      <c r="BS312">
        <f t="shared" ca="1" si="387"/>
        <v>39.999999999999993</v>
      </c>
      <c r="BT312">
        <f t="shared" ca="1" si="388"/>
        <v>0</v>
      </c>
      <c r="BU312">
        <v>0</v>
      </c>
      <c r="BV312">
        <f t="shared" ca="1" si="433"/>
        <v>0</v>
      </c>
      <c r="BW312">
        <f t="shared" ca="1" si="434"/>
        <v>37.25091441111924</v>
      </c>
      <c r="BX312">
        <f t="shared" ca="1" si="435"/>
        <v>0</v>
      </c>
      <c r="BY312">
        <f t="shared" ca="1" si="436"/>
        <v>79.999999967999983</v>
      </c>
      <c r="BZ312">
        <f t="shared" ca="1" si="437"/>
        <v>0</v>
      </c>
      <c r="CA312">
        <f t="shared" si="438"/>
        <v>0</v>
      </c>
      <c r="CB312" s="1018">
        <f t="shared" ca="1" si="442"/>
        <v>134.56691437911923</v>
      </c>
      <c r="CC312" s="1018">
        <f t="shared" ca="1" si="443"/>
        <v>46.902374429938249</v>
      </c>
      <c r="CD312">
        <f t="shared" ca="1" si="382"/>
        <v>5.444078664271724</v>
      </c>
      <c r="CE312">
        <f t="shared" ca="1" si="383"/>
        <v>9064.1732128658477</v>
      </c>
    </row>
    <row r="313" spans="4:83" x14ac:dyDescent="0.25">
      <c r="D313" s="1"/>
      <c r="F313" s="1"/>
      <c r="G313" s="3"/>
      <c r="H313" s="6"/>
      <c r="I313" s="6" t="s">
        <v>22</v>
      </c>
      <c r="J313" s="4"/>
      <c r="K313" s="6" t="s">
        <v>59</v>
      </c>
      <c r="L313" s="4"/>
      <c r="M313" s="6"/>
      <c r="N313" s="6"/>
      <c r="O313" s="27" t="s">
        <v>57</v>
      </c>
      <c r="P313" s="4"/>
      <c r="Q313" s="1"/>
      <c r="R313" s="83"/>
      <c r="V313" s="176">
        <f t="shared" si="439"/>
        <v>0</v>
      </c>
      <c r="W313" s="176">
        <f>V313/Calculation_sheet!M$67</f>
        <v>0</v>
      </c>
      <c r="X313" s="958">
        <f ca="1">IF(AL313&gt;0,W313*Calculation_sheet!C$87,0)</f>
        <v>0</v>
      </c>
      <c r="Y313" s="176">
        <f t="shared" ca="1" si="440"/>
        <v>0</v>
      </c>
      <c r="Z313" s="176">
        <f>IF(AN313&gt;0,Y313*Calculation_sheet!C$94,0)</f>
        <v>0</v>
      </c>
      <c r="AA313" s="958">
        <f t="shared" ca="1" si="430"/>
        <v>0</v>
      </c>
      <c r="AB313" s="176">
        <f ca="1">AA313*Calculation_sheet!C$99</f>
        <v>0</v>
      </c>
      <c r="AC313" s="958">
        <f t="shared" ca="1" si="430"/>
        <v>0</v>
      </c>
      <c r="AD313" s="176">
        <f t="shared" si="441"/>
        <v>0</v>
      </c>
      <c r="AE313" s="176">
        <f>AD313*User_sheet!B$77/100</f>
        <v>0</v>
      </c>
      <c r="AF313" s="309"/>
      <c r="AG313" s="27">
        <v>404</v>
      </c>
      <c r="AH313" s="985"/>
      <c r="AI313" s="956">
        <f t="shared" ca="1" si="381"/>
        <v>134.56691437911923</v>
      </c>
      <c r="AJ313" s="956">
        <f ca="1">AI313/'404'!I$24</f>
        <v>0.50829838475152689</v>
      </c>
      <c r="AK313" s="956">
        <f ca="1">0.8*(AI313*30+'404'!D$17*0.34*30*1+2500)</f>
        <v>8884.469945098861</v>
      </c>
      <c r="AL313" s="954">
        <f ca="1">IF(AK313&lt;User_sheet!B$50,W313,0)</f>
        <v>0</v>
      </c>
      <c r="AM313" s="954">
        <f ca="1">20-(User_sheet!B$57/(AI313+'403'!D$17*1*0.34))</f>
        <v>-3.5048938031116847</v>
      </c>
      <c r="AN313" s="954"/>
      <c r="AO313" s="985"/>
      <c r="AP313" s="27">
        <v>0</v>
      </c>
      <c r="AQ313" s="27">
        <v>0.54</v>
      </c>
      <c r="AR313" s="27">
        <v>0</v>
      </c>
      <c r="AS313" s="27">
        <v>2</v>
      </c>
      <c r="AT313" s="27">
        <v>0</v>
      </c>
      <c r="AU313" s="2">
        <v>0</v>
      </c>
      <c r="AV313" s="2">
        <v>75022.04959166942</v>
      </c>
      <c r="AW313" s="2">
        <v>0</v>
      </c>
      <c r="AX313" s="2">
        <v>0</v>
      </c>
      <c r="AY313" s="2">
        <v>0</v>
      </c>
      <c r="AZ313" s="50">
        <v>0.6</v>
      </c>
      <c r="BA313" s="199">
        <v>0</v>
      </c>
      <c r="BB313" s="199">
        <v>1</v>
      </c>
      <c r="BC313" s="50">
        <v>0</v>
      </c>
      <c r="BD313" s="199">
        <v>0</v>
      </c>
      <c r="BE313" s="199">
        <v>1</v>
      </c>
      <c r="BF313" s="50">
        <v>0</v>
      </c>
      <c r="BG313" s="199">
        <v>1</v>
      </c>
      <c r="BH313" s="50">
        <v>0</v>
      </c>
      <c r="BI313" s="199">
        <v>0</v>
      </c>
      <c r="BJ313" s="199">
        <v>1</v>
      </c>
      <c r="BK313" s="50">
        <v>0</v>
      </c>
      <c r="BL313" s="199">
        <v>0.15</v>
      </c>
      <c r="BM313" s="199">
        <v>10</v>
      </c>
      <c r="BN313" s="32">
        <f t="shared" ca="1" si="431"/>
        <v>149.30959999999999</v>
      </c>
      <c r="BO313">
        <f t="shared" ca="1" si="432"/>
        <v>438.00000000000006</v>
      </c>
      <c r="BP313">
        <f t="shared" ca="1" si="384"/>
        <v>0</v>
      </c>
      <c r="BQ313">
        <f t="shared" ca="1" si="385"/>
        <v>75.44</v>
      </c>
      <c r="BR313">
        <f t="shared" ca="1" si="386"/>
        <v>0</v>
      </c>
      <c r="BS313">
        <f t="shared" ca="1" si="387"/>
        <v>39.999999999999993</v>
      </c>
      <c r="BT313">
        <f t="shared" ca="1" si="388"/>
        <v>0</v>
      </c>
      <c r="BU313">
        <v>0</v>
      </c>
      <c r="BV313">
        <f t="shared" ca="1" si="433"/>
        <v>0</v>
      </c>
      <c r="BW313">
        <f t="shared" ca="1" si="434"/>
        <v>37.25091441111924</v>
      </c>
      <c r="BX313">
        <f t="shared" ca="1" si="435"/>
        <v>0</v>
      </c>
      <c r="BY313">
        <f t="shared" ca="1" si="436"/>
        <v>79.999999967999983</v>
      </c>
      <c r="BZ313">
        <f t="shared" ca="1" si="437"/>
        <v>0</v>
      </c>
      <c r="CA313">
        <f t="shared" si="438"/>
        <v>0</v>
      </c>
      <c r="CB313" s="1018">
        <f t="shared" ca="1" si="442"/>
        <v>134.56691437911923</v>
      </c>
      <c r="CC313" s="1018">
        <f t="shared" ca="1" si="443"/>
        <v>46.902374429938249</v>
      </c>
      <c r="CD313">
        <f t="shared" ca="1" si="382"/>
        <v>5.444078664271724</v>
      </c>
      <c r="CE313">
        <f t="shared" ca="1" si="383"/>
        <v>9064.1732128658477</v>
      </c>
    </row>
    <row r="314" spans="4:83" s="14" customFormat="1" x14ac:dyDescent="0.25">
      <c r="D314" s="15"/>
      <c r="F314" s="15"/>
      <c r="H314" s="15"/>
      <c r="I314" s="15"/>
      <c r="J314" s="15"/>
      <c r="K314" s="15"/>
      <c r="L314" s="15"/>
      <c r="M314" s="15"/>
      <c r="N314" s="15"/>
      <c r="O314" s="28"/>
      <c r="P314" s="15"/>
      <c r="Q314" s="15"/>
      <c r="R314" s="271"/>
      <c r="S314" s="273"/>
      <c r="T314" s="277"/>
      <c r="U314" s="292"/>
      <c r="V314" s="292"/>
      <c r="W314" s="292"/>
      <c r="X314" s="277"/>
      <c r="Y314" s="292"/>
      <c r="Z314" s="292"/>
      <c r="AA314" s="277"/>
      <c r="AB314" s="292"/>
      <c r="AC314" s="277"/>
      <c r="AD314" s="292"/>
      <c r="AE314" s="292"/>
      <c r="AF314" s="309"/>
      <c r="AG314" s="28"/>
      <c r="AH314" s="985"/>
      <c r="AI314" s="956">
        <f t="shared" si="381"/>
        <v>0</v>
      </c>
      <c r="AJ314" s="941"/>
      <c r="AK314" s="941"/>
      <c r="AL314" s="941"/>
      <c r="AM314" s="941"/>
      <c r="AN314" s="941"/>
      <c r="AO314" s="985"/>
      <c r="AP314" s="28"/>
      <c r="AQ314" s="28"/>
      <c r="AR314" s="28"/>
      <c r="AS314" s="28"/>
      <c r="AT314" s="28"/>
      <c r="AU314" s="28"/>
      <c r="AV314" s="28"/>
      <c r="AW314" s="28"/>
      <c r="AX314" s="28"/>
      <c r="AY314" s="28"/>
      <c r="AZ314" s="49"/>
      <c r="BA314" s="277"/>
      <c r="BB314" s="277"/>
      <c r="BC314" s="49"/>
      <c r="BD314" s="277"/>
      <c r="BE314" s="277"/>
      <c r="BF314" s="49"/>
      <c r="BG314" s="277"/>
      <c r="BH314" s="49"/>
      <c r="BI314" s="277"/>
      <c r="BJ314" s="277"/>
      <c r="BK314" s="49"/>
      <c r="BL314" s="277"/>
      <c r="BM314" s="277"/>
      <c r="BN314" s="36"/>
    </row>
    <row r="315" spans="4:83" x14ac:dyDescent="0.25">
      <c r="D315" s="1"/>
      <c r="F315" s="1"/>
      <c r="G315" s="3"/>
      <c r="H315" s="6"/>
      <c r="I315" s="6"/>
      <c r="J315" s="1"/>
      <c r="K315" s="6"/>
      <c r="L315" s="6"/>
      <c r="M315" s="6" t="s">
        <v>60</v>
      </c>
      <c r="N315" s="4"/>
      <c r="O315" s="2" t="s">
        <v>16</v>
      </c>
      <c r="P315" s="4"/>
      <c r="Q315" s="1"/>
      <c r="R315" s="83"/>
      <c r="U315" s="176">
        <f t="shared" ref="U315:U323" si="444">T295-U295+T275-U275</f>
        <v>0</v>
      </c>
      <c r="V315" s="176">
        <f>U315</f>
        <v>0</v>
      </c>
      <c r="W315" s="176">
        <f>V315/Calculation_sheet!M$67</f>
        <v>0</v>
      </c>
      <c r="X315" s="958">
        <f ca="1">IF(AL315&gt;0,W315*Calculation_sheet!C$87,0)</f>
        <v>0</v>
      </c>
      <c r="Y315" s="176">
        <f ca="1">W315-X315</f>
        <v>0</v>
      </c>
      <c r="Z315" s="176">
        <f>IF(AN315&gt;0,Y315*Calculation_sheet!C$94,0)</f>
        <v>0</v>
      </c>
      <c r="AA315" s="958">
        <f t="shared" ref="AA315:AC323" ca="1" si="445">Y315-Z315</f>
        <v>0</v>
      </c>
      <c r="AB315" s="176">
        <f ca="1">AA315*Calculation_sheet!C$99</f>
        <v>0</v>
      </c>
      <c r="AC315" s="958">
        <f t="shared" ca="1" si="445"/>
        <v>0</v>
      </c>
      <c r="AD315" s="176">
        <f>W315-Z315</f>
        <v>0</v>
      </c>
      <c r="AE315" s="176">
        <f>AD315*User_sheet!B$77/100</f>
        <v>0</v>
      </c>
      <c r="AF315" s="309"/>
      <c r="AG315" s="27">
        <v>404</v>
      </c>
      <c r="AH315" s="985"/>
      <c r="AI315" s="956">
        <f t="shared" ca="1" si="381"/>
        <v>114.80670531605804</v>
      </c>
      <c r="AJ315" s="956">
        <f ca="1">AI315/'404'!I$24</f>
        <v>0.43365832634304613</v>
      </c>
      <c r="AK315" s="956">
        <f ca="1">0.8*(AI315*30+'404'!D$17*0.34*30*1+2500)</f>
        <v>8410.2249275853956</v>
      </c>
      <c r="AL315" s="954">
        <f ca="1">IF(AK315&lt;User_sheet!B$50,W315,0)</f>
        <v>0</v>
      </c>
      <c r="AM315" s="954">
        <f ca="1">20-(User_sheet!B$57/(AI315+'403'!D$17*1*0.34))</f>
        <v>-5.5900892782638394</v>
      </c>
      <c r="AN315" s="954"/>
      <c r="AO315" s="985"/>
      <c r="AP315" s="27">
        <v>0</v>
      </c>
      <c r="AQ315" s="27">
        <v>0.43</v>
      </c>
      <c r="AR315" s="27">
        <v>0</v>
      </c>
      <c r="AS315" s="27">
        <v>2</v>
      </c>
      <c r="AT315" s="27">
        <v>0</v>
      </c>
      <c r="AU315" s="2">
        <v>0</v>
      </c>
      <c r="AV315" s="2">
        <v>74834</v>
      </c>
      <c r="AW315" s="2">
        <v>0</v>
      </c>
      <c r="AX315" s="2">
        <v>0</v>
      </c>
      <c r="AY315" s="2">
        <v>0</v>
      </c>
      <c r="AZ315" s="50">
        <v>0.6</v>
      </c>
      <c r="BA315" s="199">
        <v>1</v>
      </c>
      <c r="BB315" s="199">
        <v>0</v>
      </c>
      <c r="BC315" s="50">
        <v>0</v>
      </c>
      <c r="BD315" s="199">
        <v>1</v>
      </c>
      <c r="BE315" s="199">
        <v>0</v>
      </c>
      <c r="BF315" s="50">
        <v>0</v>
      </c>
      <c r="BG315" s="199">
        <v>1</v>
      </c>
      <c r="BH315" s="50">
        <v>0</v>
      </c>
      <c r="BI315" s="199">
        <v>1</v>
      </c>
      <c r="BJ315" s="199">
        <v>0</v>
      </c>
      <c r="BK315" s="50">
        <v>0</v>
      </c>
      <c r="BL315" s="199">
        <v>0.04</v>
      </c>
      <c r="BM315" s="199">
        <v>2.5</v>
      </c>
      <c r="BN315" s="32">
        <f t="shared" ref="BN315:BN323" ca="1" si="446">INDIRECT("'"&amp;AG315&amp;"'!"&amp;"B2")</f>
        <v>149.30959999999999</v>
      </c>
      <c r="BO315">
        <f t="shared" ref="BO315:BO323" ca="1" si="447">INDIRECT("'"&amp;AG315&amp;"'!"&amp;"C12")+INDIRECT("'"&amp;AG315&amp;"'!"&amp;"C13")+INDIRECT("'"&amp;AG315&amp;"'!"&amp;"C14")+INDIRECT("'"&amp;AG315&amp;"'!"&amp;"C15")+INDIRECT("'"&amp;AG315&amp;"'!"&amp;"C17")</f>
        <v>438.00000000000006</v>
      </c>
      <c r="BP315">
        <f t="shared" ca="1" si="384"/>
        <v>0</v>
      </c>
      <c r="BQ315">
        <f t="shared" ca="1" si="385"/>
        <v>75.44</v>
      </c>
      <c r="BR315">
        <f t="shared" ca="1" si="386"/>
        <v>0</v>
      </c>
      <c r="BS315">
        <f t="shared" ca="1" si="387"/>
        <v>39.999999999999993</v>
      </c>
      <c r="BT315">
        <f t="shared" ca="1" si="388"/>
        <v>0</v>
      </c>
      <c r="BU315">
        <v>0</v>
      </c>
      <c r="BV315">
        <f t="shared" ref="BV315:BV323" ca="1" si="448">IF(OR(BP315=0,AP315=0),0,1/(1/(BP315*$BW$3)+1/(BP315*AP315)+1/(BP315*$BW$4)))</f>
        <v>0</v>
      </c>
      <c r="BW315">
        <f t="shared" ref="BW315:BW323" ca="1" si="449">IF(OR(BQ315=0,AQ315=0),0,1/(1/(BQ315*$BW$3)+1/(BQ315*AQ315)+1/(BQ315*$BW$4)))</f>
        <v>30.189105348058067</v>
      </c>
      <c r="BX315">
        <f t="shared" ref="BX315:BX323" ca="1" si="450">IF(OR(BR315=0,AR315=0),0,1/(1/(BR315*$BW$3)+1/(BR315*AR315)+1/(BR315*$BW$4)))</f>
        <v>0</v>
      </c>
      <c r="BY315">
        <f t="shared" ref="BY315:BY323" ca="1" si="451">IF(OR(BS315=0,AS315=0),0,1/(1/(BS315*$BW$5)+1/(BS315*AS315)+1/(BS315*$BW$6)))</f>
        <v>79.999999967999983</v>
      </c>
      <c r="BZ315">
        <f t="shared" ref="BZ315:BZ323" ca="1" si="452">IF(OR(BT315=0,AT315=0),0,1/(1/(BT315*$BW$3)+1/(BT315*AT315)+1/(BT315*$BW$4)))</f>
        <v>0</v>
      </c>
      <c r="CA315">
        <f t="shared" ref="CA315:CA323" si="453">IF(OR(BU315=0,AU315=0),0,1/(1/(BU315*$BW$3)+1/(BU315*AU315)+1/(BU315*$BW$4)))</f>
        <v>0</v>
      </c>
      <c r="CB315" s="1018">
        <f ca="1">SUM(BV315:CA315)+(BP315+BQ315+BR315+BS315+BT315)*BL315</f>
        <v>114.80670531605804</v>
      </c>
      <c r="CC315" s="1018">
        <f t="shared" ref="CC315:CC323" ca="1" si="454">0.34*BM315*(1/25)^0.66*(BQ315+BS315+BT315)+0.34*0.6*BO315</f>
        <v>101.07759360748457</v>
      </c>
      <c r="CD315">
        <f t="shared" ca="1" si="382"/>
        <v>6.4765289677062787</v>
      </c>
      <c r="CE315">
        <f t="shared" ca="1" si="383"/>
        <v>10783.161670072244</v>
      </c>
    </row>
    <row r="316" spans="4:83" x14ac:dyDescent="0.25">
      <c r="D316" s="1"/>
      <c r="F316" s="1"/>
      <c r="G316" s="3"/>
      <c r="H316" s="6"/>
      <c r="I316" s="6"/>
      <c r="J316" s="1"/>
      <c r="K316" s="6"/>
      <c r="L316" s="6"/>
      <c r="M316" s="6"/>
      <c r="N316" s="6"/>
      <c r="O316" s="2" t="s">
        <v>7</v>
      </c>
      <c r="P316" s="4"/>
      <c r="Q316" s="1"/>
      <c r="R316" s="83"/>
      <c r="U316" s="176">
        <f t="shared" si="444"/>
        <v>0</v>
      </c>
      <c r="V316" s="176">
        <f t="shared" ref="V316:V323" si="455">U316</f>
        <v>0</v>
      </c>
      <c r="W316" s="176">
        <f>V316/Calculation_sheet!M$67</f>
        <v>0</v>
      </c>
      <c r="X316" s="958">
        <f ca="1">IF(AL316&gt;0,W316*Calculation_sheet!C$87,0)</f>
        <v>0</v>
      </c>
      <c r="Y316" s="176">
        <f t="shared" ref="Y316:Y323" ca="1" si="456">W316-X316</f>
        <v>0</v>
      </c>
      <c r="Z316" s="176">
        <f>IF(AN316&gt;0,Y316*Calculation_sheet!C$94,0)</f>
        <v>0</v>
      </c>
      <c r="AA316" s="958">
        <f t="shared" ca="1" si="445"/>
        <v>0</v>
      </c>
      <c r="AB316" s="176">
        <f ca="1">AA316*Calculation_sheet!C$99</f>
        <v>0</v>
      </c>
      <c r="AC316" s="958">
        <f t="shared" ca="1" si="445"/>
        <v>0</v>
      </c>
      <c r="AD316" s="176">
        <f t="shared" ref="AD316:AD330" si="457">W316-Z316</f>
        <v>0</v>
      </c>
      <c r="AE316" s="176">
        <f>AD316*User_sheet!B$77/100</f>
        <v>0</v>
      </c>
      <c r="AF316" s="309"/>
      <c r="AG316" s="27">
        <v>404</v>
      </c>
      <c r="AH316" s="985"/>
      <c r="AI316" s="956">
        <f t="shared" ca="1" si="381"/>
        <v>114.80670531605804</v>
      </c>
      <c r="AJ316" s="956">
        <f ca="1">AI316/'404'!I$24</f>
        <v>0.43365832634304613</v>
      </c>
      <c r="AK316" s="956">
        <f ca="1">0.8*(AI316*30+'404'!D$17*0.34*30*1+2500)</f>
        <v>8410.2249275853956</v>
      </c>
      <c r="AL316" s="954">
        <f ca="1">IF(AK316&lt;User_sheet!B$50,W316,0)</f>
        <v>0</v>
      </c>
      <c r="AM316" s="954">
        <f ca="1">20-(User_sheet!B$57/(AI316+'403'!D$17*1*0.34))</f>
        <v>-5.5900892782638394</v>
      </c>
      <c r="AN316" s="954"/>
      <c r="AO316" s="985"/>
      <c r="AP316" s="27">
        <v>0</v>
      </c>
      <c r="AQ316" s="27">
        <v>0.43</v>
      </c>
      <c r="AR316" s="27">
        <v>0</v>
      </c>
      <c r="AS316" s="27">
        <v>2</v>
      </c>
      <c r="AT316" s="27">
        <v>0</v>
      </c>
      <c r="AU316" s="2">
        <v>0</v>
      </c>
      <c r="AV316" s="2">
        <v>74834</v>
      </c>
      <c r="AW316" s="2">
        <v>0</v>
      </c>
      <c r="AX316" s="2">
        <v>0</v>
      </c>
      <c r="AY316" s="2">
        <v>0</v>
      </c>
      <c r="AZ316" s="50">
        <v>0.6</v>
      </c>
      <c r="BA316" s="199">
        <v>1</v>
      </c>
      <c r="BB316" s="199">
        <v>0</v>
      </c>
      <c r="BC316" s="50">
        <v>0</v>
      </c>
      <c r="BD316" s="199">
        <v>1</v>
      </c>
      <c r="BE316" s="199">
        <v>0</v>
      </c>
      <c r="BF316" s="50">
        <v>0</v>
      </c>
      <c r="BG316" s="199">
        <v>1</v>
      </c>
      <c r="BH316" s="50">
        <v>0</v>
      </c>
      <c r="BI316" s="199">
        <v>0</v>
      </c>
      <c r="BJ316" s="199">
        <v>0</v>
      </c>
      <c r="BK316" s="50">
        <v>1</v>
      </c>
      <c r="BL316" s="199">
        <v>0.04</v>
      </c>
      <c r="BM316" s="199">
        <v>2.5</v>
      </c>
      <c r="BN316" s="32">
        <f t="shared" ca="1" si="446"/>
        <v>149.30959999999999</v>
      </c>
      <c r="BO316">
        <f t="shared" ca="1" si="447"/>
        <v>438.00000000000006</v>
      </c>
      <c r="BP316">
        <f t="shared" ca="1" si="384"/>
        <v>0</v>
      </c>
      <c r="BQ316">
        <f t="shared" ca="1" si="385"/>
        <v>75.44</v>
      </c>
      <c r="BR316">
        <f t="shared" ca="1" si="386"/>
        <v>0</v>
      </c>
      <c r="BS316">
        <f t="shared" ca="1" si="387"/>
        <v>39.999999999999993</v>
      </c>
      <c r="BT316">
        <f t="shared" ca="1" si="388"/>
        <v>0</v>
      </c>
      <c r="BU316">
        <v>0</v>
      </c>
      <c r="BV316">
        <f t="shared" ca="1" si="448"/>
        <v>0</v>
      </c>
      <c r="BW316">
        <f t="shared" ca="1" si="449"/>
        <v>30.189105348058067</v>
      </c>
      <c r="BX316">
        <f t="shared" ca="1" si="450"/>
        <v>0</v>
      </c>
      <c r="BY316">
        <f t="shared" ca="1" si="451"/>
        <v>79.999999967999983</v>
      </c>
      <c r="BZ316">
        <f t="shared" ca="1" si="452"/>
        <v>0</v>
      </c>
      <c r="CA316">
        <f t="shared" si="453"/>
        <v>0</v>
      </c>
      <c r="CB316" s="1018">
        <f t="shared" ref="CB316:CB323" ca="1" si="458">SUM(BV316:CA316)+(BP316+BQ316+BR316+BS316+BT316)*BL316</f>
        <v>114.80670531605804</v>
      </c>
      <c r="CC316" s="1018">
        <f t="shared" ca="1" si="454"/>
        <v>101.07759360748457</v>
      </c>
      <c r="CD316">
        <f t="shared" ca="1" si="382"/>
        <v>6.4765289677062787</v>
      </c>
      <c r="CE316">
        <f t="shared" ca="1" si="383"/>
        <v>10783.161670072244</v>
      </c>
    </row>
    <row r="317" spans="4:83" x14ac:dyDescent="0.25">
      <c r="D317" s="1"/>
      <c r="F317" s="1"/>
      <c r="G317" s="3"/>
      <c r="H317" s="6"/>
      <c r="I317" s="6"/>
      <c r="J317" s="1"/>
      <c r="K317" s="6" t="s">
        <v>58</v>
      </c>
      <c r="L317" s="4"/>
      <c r="M317" s="6" t="s">
        <v>61</v>
      </c>
      <c r="N317" s="4"/>
      <c r="O317" s="2" t="s">
        <v>16</v>
      </c>
      <c r="P317" s="4"/>
      <c r="Q317" s="1"/>
      <c r="R317" s="83"/>
      <c r="U317" s="176">
        <f t="shared" si="444"/>
        <v>0</v>
      </c>
      <c r="V317" s="176">
        <f t="shared" si="455"/>
        <v>0</v>
      </c>
      <c r="W317" s="176">
        <f>V317/Calculation_sheet!M$67</f>
        <v>0</v>
      </c>
      <c r="X317" s="958">
        <f ca="1">IF(AL317&gt;0,W317*Calculation_sheet!C$87,0)</f>
        <v>0</v>
      </c>
      <c r="Y317" s="176">
        <f t="shared" ca="1" si="456"/>
        <v>0</v>
      </c>
      <c r="Z317" s="176">
        <f>IF(AN317&gt;0,Y317*Calculation_sheet!C$94,0)</f>
        <v>0</v>
      </c>
      <c r="AA317" s="958">
        <f t="shared" ca="1" si="445"/>
        <v>0</v>
      </c>
      <c r="AB317" s="176">
        <f ca="1">AA317*Calculation_sheet!C$99</f>
        <v>0</v>
      </c>
      <c r="AC317" s="958">
        <f t="shared" ca="1" si="445"/>
        <v>0</v>
      </c>
      <c r="AD317" s="176">
        <f t="shared" si="457"/>
        <v>0</v>
      </c>
      <c r="AE317" s="176">
        <f>AD317*User_sheet!B$77/100</f>
        <v>0</v>
      </c>
      <c r="AF317" s="309"/>
      <c r="AG317" s="27">
        <v>404</v>
      </c>
      <c r="AH317" s="985"/>
      <c r="AI317" s="956">
        <f t="shared" ca="1" si="381"/>
        <v>114.80670531605804</v>
      </c>
      <c r="AJ317" s="956">
        <f ca="1">AI317/'404'!I$24</f>
        <v>0.43365832634304613</v>
      </c>
      <c r="AK317" s="956">
        <f ca="1">0.8*(AI317*30+'404'!D$17*0.34*30*1+2500)</f>
        <v>8410.2249275853956</v>
      </c>
      <c r="AL317" s="954">
        <f ca="1">IF(AK317&lt;User_sheet!B$50,W317,0)</f>
        <v>0</v>
      </c>
      <c r="AM317" s="954">
        <f ca="1">20-(User_sheet!B$57/(AI317+'403'!D$17*1*0.34))</f>
        <v>-5.5900892782638394</v>
      </c>
      <c r="AN317" s="954"/>
      <c r="AO317" s="985"/>
      <c r="AP317" s="27">
        <v>0</v>
      </c>
      <c r="AQ317" s="27">
        <v>0.43</v>
      </c>
      <c r="AR317" s="27">
        <v>0</v>
      </c>
      <c r="AS317" s="27">
        <v>2</v>
      </c>
      <c r="AT317" s="27">
        <v>0</v>
      </c>
      <c r="AU317" s="2">
        <v>0</v>
      </c>
      <c r="AV317" s="2">
        <v>74834</v>
      </c>
      <c r="AW317" s="2">
        <v>0</v>
      </c>
      <c r="AX317" s="2">
        <v>0</v>
      </c>
      <c r="AY317" s="2">
        <v>0</v>
      </c>
      <c r="AZ317" s="50">
        <v>0.6</v>
      </c>
      <c r="BA317" s="199">
        <v>1</v>
      </c>
      <c r="BB317" s="199">
        <v>0</v>
      </c>
      <c r="BC317" s="50">
        <v>0</v>
      </c>
      <c r="BD317" s="199">
        <v>1</v>
      </c>
      <c r="BE317" s="199">
        <v>0</v>
      </c>
      <c r="BF317" s="50">
        <v>0</v>
      </c>
      <c r="BG317" s="199">
        <v>0</v>
      </c>
      <c r="BH317" s="50">
        <v>1</v>
      </c>
      <c r="BI317" s="199">
        <v>1</v>
      </c>
      <c r="BJ317" s="199">
        <v>0</v>
      </c>
      <c r="BK317" s="50">
        <v>0</v>
      </c>
      <c r="BL317" s="199">
        <v>0.04</v>
      </c>
      <c r="BM317" s="199">
        <v>2.5</v>
      </c>
      <c r="BN317" s="32">
        <f t="shared" ca="1" si="446"/>
        <v>149.30959999999999</v>
      </c>
      <c r="BO317">
        <f t="shared" ca="1" si="447"/>
        <v>438.00000000000006</v>
      </c>
      <c r="BP317">
        <f t="shared" ca="1" si="384"/>
        <v>0</v>
      </c>
      <c r="BQ317">
        <f t="shared" ca="1" si="385"/>
        <v>75.44</v>
      </c>
      <c r="BR317">
        <f t="shared" ca="1" si="386"/>
        <v>0</v>
      </c>
      <c r="BS317">
        <f t="shared" ca="1" si="387"/>
        <v>39.999999999999993</v>
      </c>
      <c r="BT317">
        <f t="shared" ca="1" si="388"/>
        <v>0</v>
      </c>
      <c r="BU317">
        <v>0</v>
      </c>
      <c r="BV317">
        <f t="shared" ca="1" si="448"/>
        <v>0</v>
      </c>
      <c r="BW317">
        <f t="shared" ca="1" si="449"/>
        <v>30.189105348058067</v>
      </c>
      <c r="BX317">
        <f t="shared" ca="1" si="450"/>
        <v>0</v>
      </c>
      <c r="BY317">
        <f t="shared" ca="1" si="451"/>
        <v>79.999999967999983</v>
      </c>
      <c r="BZ317">
        <f t="shared" ca="1" si="452"/>
        <v>0</v>
      </c>
      <c r="CA317">
        <f t="shared" si="453"/>
        <v>0</v>
      </c>
      <c r="CB317" s="1018">
        <f t="shared" ca="1" si="458"/>
        <v>114.80670531605804</v>
      </c>
      <c r="CC317" s="1018">
        <f t="shared" ca="1" si="454"/>
        <v>101.07759360748457</v>
      </c>
      <c r="CD317">
        <f t="shared" ca="1" si="382"/>
        <v>6.4765289677062787</v>
      </c>
      <c r="CE317">
        <f t="shared" ca="1" si="383"/>
        <v>10783.161670072244</v>
      </c>
    </row>
    <row r="318" spans="4:83" x14ac:dyDescent="0.25">
      <c r="D318" s="1"/>
      <c r="F318" s="3" t="s">
        <v>143</v>
      </c>
      <c r="H318" s="6"/>
      <c r="I318" s="6" t="s">
        <v>16</v>
      </c>
      <c r="J318" s="4"/>
      <c r="K318" s="6"/>
      <c r="L318" s="6"/>
      <c r="M318" s="6"/>
      <c r="N318" s="6"/>
      <c r="O318" s="2" t="s">
        <v>7</v>
      </c>
      <c r="P318" s="4"/>
      <c r="Q318" s="1"/>
      <c r="R318" s="83"/>
      <c r="U318" s="176">
        <f t="shared" si="444"/>
        <v>0</v>
      </c>
      <c r="V318" s="176">
        <f t="shared" si="455"/>
        <v>0</v>
      </c>
      <c r="W318" s="176">
        <f>V318/Calculation_sheet!M$67</f>
        <v>0</v>
      </c>
      <c r="X318" s="958">
        <f ca="1">IF(AL318&gt;0,W318*Calculation_sheet!C$87,0)</f>
        <v>0</v>
      </c>
      <c r="Y318" s="176">
        <f t="shared" ca="1" si="456"/>
        <v>0</v>
      </c>
      <c r="Z318" s="176">
        <f>IF(AN318&gt;0,Y318*Calculation_sheet!C$94,0)</f>
        <v>0</v>
      </c>
      <c r="AA318" s="958">
        <f t="shared" ca="1" si="445"/>
        <v>0</v>
      </c>
      <c r="AB318" s="176">
        <f ca="1">AA318*Calculation_sheet!C$99</f>
        <v>0</v>
      </c>
      <c r="AC318" s="958">
        <f t="shared" ca="1" si="445"/>
        <v>0</v>
      </c>
      <c r="AD318" s="176">
        <f t="shared" si="457"/>
        <v>0</v>
      </c>
      <c r="AE318" s="176">
        <f>AD318*User_sheet!B$77/100</f>
        <v>0</v>
      </c>
      <c r="AF318" s="309"/>
      <c r="AG318" s="27">
        <v>404</v>
      </c>
      <c r="AH318" s="985"/>
      <c r="AI318" s="956">
        <f t="shared" ca="1" si="381"/>
        <v>114.80670531605804</v>
      </c>
      <c r="AJ318" s="956">
        <f ca="1">AI318/'404'!I$24</f>
        <v>0.43365832634304613</v>
      </c>
      <c r="AK318" s="956">
        <f ca="1">0.8*(AI318*30+'404'!D$17*0.34*30*1+2500)</f>
        <v>8410.2249275853956</v>
      </c>
      <c r="AL318" s="954">
        <f ca="1">IF(AK318&lt;User_sheet!B$50,W318,0)</f>
        <v>0</v>
      </c>
      <c r="AM318" s="954">
        <f ca="1">20-(User_sheet!B$57/(AI318+'403'!D$17*1*0.34))</f>
        <v>-5.5900892782638394</v>
      </c>
      <c r="AN318" s="954"/>
      <c r="AO318" s="985"/>
      <c r="AP318" s="27">
        <v>0</v>
      </c>
      <c r="AQ318" s="27">
        <v>0.43</v>
      </c>
      <c r="AR318" s="27">
        <v>0</v>
      </c>
      <c r="AS318" s="27">
        <v>2</v>
      </c>
      <c r="AT318" s="27">
        <v>0</v>
      </c>
      <c r="AU318" s="2">
        <v>0</v>
      </c>
      <c r="AV318" s="2">
        <v>74834</v>
      </c>
      <c r="AW318" s="2">
        <v>0</v>
      </c>
      <c r="AX318" s="2">
        <v>0</v>
      </c>
      <c r="AY318" s="2">
        <v>0</v>
      </c>
      <c r="AZ318" s="50">
        <v>0.6</v>
      </c>
      <c r="BA318" s="199">
        <v>1</v>
      </c>
      <c r="BB318" s="199">
        <v>0</v>
      </c>
      <c r="BC318" s="50">
        <v>0</v>
      </c>
      <c r="BD318" s="199">
        <v>1</v>
      </c>
      <c r="BE318" s="199">
        <v>0</v>
      </c>
      <c r="BF318" s="50">
        <v>0</v>
      </c>
      <c r="BG318" s="199">
        <v>0</v>
      </c>
      <c r="BH318" s="50">
        <v>1</v>
      </c>
      <c r="BI318" s="199">
        <v>0</v>
      </c>
      <c r="BJ318" s="199">
        <v>0</v>
      </c>
      <c r="BK318" s="50">
        <v>1</v>
      </c>
      <c r="BL318" s="199">
        <v>0.04</v>
      </c>
      <c r="BM318" s="199">
        <v>2.5</v>
      </c>
      <c r="BN318" s="32">
        <f t="shared" ca="1" si="446"/>
        <v>149.30959999999999</v>
      </c>
      <c r="BO318">
        <f t="shared" ca="1" si="447"/>
        <v>438.00000000000006</v>
      </c>
      <c r="BP318">
        <f t="shared" ca="1" si="384"/>
        <v>0</v>
      </c>
      <c r="BQ318">
        <f t="shared" ca="1" si="385"/>
        <v>75.44</v>
      </c>
      <c r="BR318">
        <f t="shared" ca="1" si="386"/>
        <v>0</v>
      </c>
      <c r="BS318">
        <f t="shared" ca="1" si="387"/>
        <v>39.999999999999993</v>
      </c>
      <c r="BT318">
        <f t="shared" ca="1" si="388"/>
        <v>0</v>
      </c>
      <c r="BU318">
        <v>0</v>
      </c>
      <c r="BV318">
        <f t="shared" ca="1" si="448"/>
        <v>0</v>
      </c>
      <c r="BW318">
        <f t="shared" ca="1" si="449"/>
        <v>30.189105348058067</v>
      </c>
      <c r="BX318">
        <f t="shared" ca="1" si="450"/>
        <v>0</v>
      </c>
      <c r="BY318">
        <f t="shared" ca="1" si="451"/>
        <v>79.999999967999983</v>
      </c>
      <c r="BZ318">
        <f t="shared" ca="1" si="452"/>
        <v>0</v>
      </c>
      <c r="CA318">
        <f t="shared" si="453"/>
        <v>0</v>
      </c>
      <c r="CB318" s="1018">
        <f t="shared" ca="1" si="458"/>
        <v>114.80670531605804</v>
      </c>
      <c r="CC318" s="1018">
        <f t="shared" ca="1" si="454"/>
        <v>101.07759360748457</v>
      </c>
      <c r="CD318">
        <f t="shared" ca="1" si="382"/>
        <v>6.4765289677062787</v>
      </c>
      <c r="CE318">
        <f t="shared" ca="1" si="383"/>
        <v>10783.161670072244</v>
      </c>
    </row>
    <row r="319" spans="4:83" x14ac:dyDescent="0.25">
      <c r="D319" s="1"/>
      <c r="F319" s="6" t="s">
        <v>190</v>
      </c>
      <c r="H319" s="6"/>
      <c r="I319" s="6"/>
      <c r="J319" s="1"/>
      <c r="K319" s="6" t="s">
        <v>59</v>
      </c>
      <c r="L319" s="4"/>
      <c r="M319" s="6"/>
      <c r="N319" s="6"/>
      <c r="O319" s="27" t="s">
        <v>16</v>
      </c>
      <c r="P319" s="4"/>
      <c r="Q319" s="1"/>
      <c r="R319" s="83"/>
      <c r="U319" s="176">
        <f t="shared" si="444"/>
        <v>0</v>
      </c>
      <c r="V319" s="176">
        <f t="shared" si="455"/>
        <v>0</v>
      </c>
      <c r="W319" s="176">
        <f>V319/Calculation_sheet!M$67</f>
        <v>0</v>
      </c>
      <c r="X319" s="958">
        <f ca="1">IF(AL319&gt;0,W319*Calculation_sheet!C$87,0)</f>
        <v>0</v>
      </c>
      <c r="Y319" s="176">
        <f t="shared" ca="1" si="456"/>
        <v>0</v>
      </c>
      <c r="Z319" s="176">
        <f>IF(AN319&gt;0,Y319*Calculation_sheet!C$94,0)</f>
        <v>0</v>
      </c>
      <c r="AA319" s="958">
        <f t="shared" ca="1" si="445"/>
        <v>0</v>
      </c>
      <c r="AB319" s="176">
        <f ca="1">AA319*Calculation_sheet!C$99</f>
        <v>0</v>
      </c>
      <c r="AC319" s="958">
        <f t="shared" ca="1" si="445"/>
        <v>0</v>
      </c>
      <c r="AD319" s="176">
        <f t="shared" si="457"/>
        <v>0</v>
      </c>
      <c r="AE319" s="176">
        <f>AD319*User_sheet!B$77/100</f>
        <v>0</v>
      </c>
      <c r="AF319" s="309"/>
      <c r="AG319" s="27">
        <v>404</v>
      </c>
      <c r="AH319" s="985"/>
      <c r="AI319" s="956">
        <f t="shared" ca="1" si="381"/>
        <v>114.80670531605804</v>
      </c>
      <c r="AJ319" s="956">
        <f ca="1">AI319/'404'!I$24</f>
        <v>0.43365832634304613</v>
      </c>
      <c r="AK319" s="956">
        <f ca="1">0.8*(AI319*30+'404'!D$17*0.34*30*1+2500)</f>
        <v>8410.2249275853956</v>
      </c>
      <c r="AL319" s="954">
        <f ca="1">IF(AK319&lt;User_sheet!B$50,W319,0)</f>
        <v>0</v>
      </c>
      <c r="AM319" s="954">
        <f ca="1">20-(User_sheet!B$57/(AI319+'403'!D$17*1*0.34))</f>
        <v>-5.5900892782638394</v>
      </c>
      <c r="AN319" s="954"/>
      <c r="AO319" s="985"/>
      <c r="AP319" s="27">
        <v>0</v>
      </c>
      <c r="AQ319" s="27">
        <v>0.43</v>
      </c>
      <c r="AR319" s="27">
        <v>0</v>
      </c>
      <c r="AS319" s="27">
        <v>2</v>
      </c>
      <c r="AT319" s="27">
        <v>0</v>
      </c>
      <c r="AU319" s="2">
        <v>0</v>
      </c>
      <c r="AV319" s="2">
        <v>74834</v>
      </c>
      <c r="AW319" s="2">
        <v>0</v>
      </c>
      <c r="AX319" s="2">
        <v>0</v>
      </c>
      <c r="AY319" s="2">
        <v>0</v>
      </c>
      <c r="AZ319" s="50">
        <v>0.6</v>
      </c>
      <c r="BA319" s="199">
        <v>1</v>
      </c>
      <c r="BB319" s="199">
        <v>0</v>
      </c>
      <c r="BC319" s="50">
        <v>0</v>
      </c>
      <c r="BD319" s="199">
        <v>0</v>
      </c>
      <c r="BE319" s="199">
        <v>1</v>
      </c>
      <c r="BF319" s="50">
        <v>0</v>
      </c>
      <c r="BG319" s="199">
        <v>1</v>
      </c>
      <c r="BH319" s="50">
        <v>0</v>
      </c>
      <c r="BI319" s="199">
        <v>1</v>
      </c>
      <c r="BJ319" s="199">
        <v>0</v>
      </c>
      <c r="BK319" s="50">
        <v>0</v>
      </c>
      <c r="BL319" s="199">
        <v>0.04</v>
      </c>
      <c r="BM319" s="199">
        <v>2.5</v>
      </c>
      <c r="BN319" s="32">
        <f t="shared" ca="1" si="446"/>
        <v>149.30959999999999</v>
      </c>
      <c r="BO319">
        <f t="shared" ca="1" si="447"/>
        <v>438.00000000000006</v>
      </c>
      <c r="BP319">
        <f t="shared" ca="1" si="384"/>
        <v>0</v>
      </c>
      <c r="BQ319">
        <f t="shared" ca="1" si="385"/>
        <v>75.44</v>
      </c>
      <c r="BR319">
        <f t="shared" ca="1" si="386"/>
        <v>0</v>
      </c>
      <c r="BS319">
        <f t="shared" ca="1" si="387"/>
        <v>39.999999999999993</v>
      </c>
      <c r="BT319">
        <f t="shared" ca="1" si="388"/>
        <v>0</v>
      </c>
      <c r="BU319">
        <v>0</v>
      </c>
      <c r="BV319">
        <f t="shared" ca="1" si="448"/>
        <v>0</v>
      </c>
      <c r="BW319">
        <f t="shared" ca="1" si="449"/>
        <v>30.189105348058067</v>
      </c>
      <c r="BX319">
        <f t="shared" ca="1" si="450"/>
        <v>0</v>
      </c>
      <c r="BY319">
        <f t="shared" ca="1" si="451"/>
        <v>79.999999967999983</v>
      </c>
      <c r="BZ319">
        <f t="shared" ca="1" si="452"/>
        <v>0</v>
      </c>
      <c r="CA319">
        <f t="shared" si="453"/>
        <v>0</v>
      </c>
      <c r="CB319" s="1018">
        <f t="shared" ca="1" si="458"/>
        <v>114.80670531605804</v>
      </c>
      <c r="CC319" s="1018">
        <f t="shared" ca="1" si="454"/>
        <v>101.07759360748457</v>
      </c>
      <c r="CD319">
        <f t="shared" ca="1" si="382"/>
        <v>6.4765289677062787</v>
      </c>
      <c r="CE319">
        <f t="shared" ca="1" si="383"/>
        <v>10783.161670072244</v>
      </c>
    </row>
    <row r="320" spans="4:83" x14ac:dyDescent="0.25">
      <c r="D320" s="1"/>
      <c r="F320" s="1"/>
      <c r="G320" s="3"/>
      <c r="H320" s="6"/>
      <c r="I320" s="6"/>
      <c r="J320" s="1"/>
      <c r="K320" s="6"/>
      <c r="L320" s="6"/>
      <c r="M320" s="6"/>
      <c r="N320" s="6"/>
      <c r="O320" s="27" t="s">
        <v>7</v>
      </c>
      <c r="P320" s="4"/>
      <c r="Q320" s="1"/>
      <c r="R320" s="83"/>
      <c r="U320" s="176">
        <f t="shared" si="444"/>
        <v>0</v>
      </c>
      <c r="V320" s="176">
        <f t="shared" si="455"/>
        <v>0</v>
      </c>
      <c r="W320" s="176">
        <f>V320/Calculation_sheet!M$67</f>
        <v>0</v>
      </c>
      <c r="X320" s="958">
        <f ca="1">IF(AL320&gt;0,W320*Calculation_sheet!C$87,0)</f>
        <v>0</v>
      </c>
      <c r="Y320" s="176">
        <f t="shared" ca="1" si="456"/>
        <v>0</v>
      </c>
      <c r="Z320" s="176">
        <f>IF(AN320&gt;0,Y320*Calculation_sheet!C$94,0)</f>
        <v>0</v>
      </c>
      <c r="AA320" s="958">
        <f t="shared" ca="1" si="445"/>
        <v>0</v>
      </c>
      <c r="AB320" s="176">
        <f ca="1">AA320*Calculation_sheet!C$99</f>
        <v>0</v>
      </c>
      <c r="AC320" s="958">
        <f t="shared" ca="1" si="445"/>
        <v>0</v>
      </c>
      <c r="AD320" s="176">
        <f t="shared" si="457"/>
        <v>0</v>
      </c>
      <c r="AE320" s="176">
        <f>AD320*User_sheet!B$77/100</f>
        <v>0</v>
      </c>
      <c r="AF320" s="309"/>
      <c r="AG320" s="27">
        <v>404</v>
      </c>
      <c r="AH320" s="985"/>
      <c r="AI320" s="956">
        <f t="shared" ca="1" si="381"/>
        <v>114.80670531605804</v>
      </c>
      <c r="AJ320" s="956">
        <f ca="1">AI320/'404'!I$24</f>
        <v>0.43365832634304613</v>
      </c>
      <c r="AK320" s="956">
        <f ca="1">0.8*(AI320*30+'404'!D$17*0.34*30*1+2500)</f>
        <v>8410.2249275853956</v>
      </c>
      <c r="AL320" s="954">
        <f ca="1">IF(AK320&lt;User_sheet!B$50,W320,0)</f>
        <v>0</v>
      </c>
      <c r="AM320" s="954">
        <f ca="1">20-(User_sheet!B$57/(AI320+'403'!D$17*1*0.34))</f>
        <v>-5.5900892782638394</v>
      </c>
      <c r="AN320" s="954"/>
      <c r="AO320" s="985"/>
      <c r="AP320" s="27">
        <v>0</v>
      </c>
      <c r="AQ320" s="27">
        <v>0.43</v>
      </c>
      <c r="AR320" s="27">
        <v>0</v>
      </c>
      <c r="AS320" s="27">
        <v>2</v>
      </c>
      <c r="AT320" s="27">
        <v>0</v>
      </c>
      <c r="AU320" s="2">
        <v>0</v>
      </c>
      <c r="AV320" s="2">
        <v>74834</v>
      </c>
      <c r="AW320" s="2">
        <v>0</v>
      </c>
      <c r="AX320" s="2">
        <v>0</v>
      </c>
      <c r="AY320" s="2">
        <v>0</v>
      </c>
      <c r="AZ320" s="50">
        <v>0.6</v>
      </c>
      <c r="BA320" s="199">
        <v>1</v>
      </c>
      <c r="BB320" s="199">
        <v>0</v>
      </c>
      <c r="BC320" s="50">
        <v>0</v>
      </c>
      <c r="BD320" s="199">
        <v>0</v>
      </c>
      <c r="BE320" s="199">
        <v>1</v>
      </c>
      <c r="BF320" s="50">
        <v>0</v>
      </c>
      <c r="BG320" s="199">
        <v>1</v>
      </c>
      <c r="BH320" s="50">
        <v>0</v>
      </c>
      <c r="BI320" s="199">
        <v>0</v>
      </c>
      <c r="BJ320" s="199">
        <v>0</v>
      </c>
      <c r="BK320" s="50">
        <v>1</v>
      </c>
      <c r="BL320" s="199">
        <v>0.04</v>
      </c>
      <c r="BM320" s="199">
        <v>2.5</v>
      </c>
      <c r="BN320" s="32">
        <f t="shared" ca="1" si="446"/>
        <v>149.30959999999999</v>
      </c>
      <c r="BO320">
        <f t="shared" ca="1" si="447"/>
        <v>438.00000000000006</v>
      </c>
      <c r="BP320">
        <f t="shared" ca="1" si="384"/>
        <v>0</v>
      </c>
      <c r="BQ320">
        <f t="shared" ca="1" si="385"/>
        <v>75.44</v>
      </c>
      <c r="BR320">
        <f t="shared" ca="1" si="386"/>
        <v>0</v>
      </c>
      <c r="BS320">
        <f t="shared" ca="1" si="387"/>
        <v>39.999999999999993</v>
      </c>
      <c r="BT320">
        <f t="shared" ca="1" si="388"/>
        <v>0</v>
      </c>
      <c r="BU320">
        <v>0</v>
      </c>
      <c r="BV320">
        <f t="shared" ca="1" si="448"/>
        <v>0</v>
      </c>
      <c r="BW320">
        <f t="shared" ca="1" si="449"/>
        <v>30.189105348058067</v>
      </c>
      <c r="BX320">
        <f t="shared" ca="1" si="450"/>
        <v>0</v>
      </c>
      <c r="BY320">
        <f t="shared" ca="1" si="451"/>
        <v>79.999999967999983</v>
      </c>
      <c r="BZ320">
        <f t="shared" ca="1" si="452"/>
        <v>0</v>
      </c>
      <c r="CA320">
        <f t="shared" si="453"/>
        <v>0</v>
      </c>
      <c r="CB320" s="1018">
        <f t="shared" ca="1" si="458"/>
        <v>114.80670531605804</v>
      </c>
      <c r="CC320" s="1018">
        <f t="shared" ca="1" si="454"/>
        <v>101.07759360748457</v>
      </c>
      <c r="CD320">
        <f t="shared" ca="1" si="382"/>
        <v>6.4765289677062787</v>
      </c>
      <c r="CE320">
        <f t="shared" ca="1" si="383"/>
        <v>10783.161670072244</v>
      </c>
    </row>
    <row r="321" spans="3:83" x14ac:dyDescent="0.25">
      <c r="D321" s="1"/>
      <c r="F321" s="1"/>
      <c r="G321" s="3"/>
      <c r="H321" s="6"/>
      <c r="I321" s="6"/>
      <c r="J321" s="1"/>
      <c r="K321" s="6"/>
      <c r="L321" s="6"/>
      <c r="M321" s="6" t="s">
        <v>60</v>
      </c>
      <c r="N321" s="4"/>
      <c r="O321" s="2" t="s">
        <v>57</v>
      </c>
      <c r="P321" s="4"/>
      <c r="Q321" s="1"/>
      <c r="R321" s="83"/>
      <c r="U321" s="176">
        <f t="shared" si="444"/>
        <v>0</v>
      </c>
      <c r="V321" s="176">
        <f t="shared" si="455"/>
        <v>0</v>
      </c>
      <c r="W321" s="176">
        <f>V321/Calculation_sheet!M$67</f>
        <v>0</v>
      </c>
      <c r="X321" s="958">
        <f ca="1">IF(AL321&gt;0,W321*Calculation_sheet!C$87,0)</f>
        <v>0</v>
      </c>
      <c r="Y321" s="176">
        <f t="shared" ca="1" si="456"/>
        <v>0</v>
      </c>
      <c r="Z321" s="176">
        <f>IF(AN321&gt;0,Y321*Calculation_sheet!C$94,0)</f>
        <v>0</v>
      </c>
      <c r="AA321" s="958">
        <f t="shared" ca="1" si="445"/>
        <v>0</v>
      </c>
      <c r="AB321" s="176">
        <f ca="1">AA321*Calculation_sheet!C$99</f>
        <v>0</v>
      </c>
      <c r="AC321" s="958">
        <f t="shared" ca="1" si="445"/>
        <v>0</v>
      </c>
      <c r="AD321" s="176">
        <f t="shared" si="457"/>
        <v>0</v>
      </c>
      <c r="AE321" s="176">
        <f>AD321*User_sheet!B$77/100</f>
        <v>0</v>
      </c>
      <c r="AF321" s="309"/>
      <c r="AG321" s="27">
        <v>404</v>
      </c>
      <c r="AH321" s="985"/>
      <c r="AI321" s="956">
        <f t="shared" ca="1" si="381"/>
        <v>114.80670531605804</v>
      </c>
      <c r="AJ321" s="956">
        <f ca="1">AI321/'404'!I$24</f>
        <v>0.43365832634304613</v>
      </c>
      <c r="AK321" s="956">
        <f ca="1">0.8*(AI321*30+'404'!D$17*0.34*30*1+2500)</f>
        <v>8410.2249275853956</v>
      </c>
      <c r="AL321" s="954">
        <f ca="1">IF(AK321&lt;User_sheet!B$50,W321,0)</f>
        <v>0</v>
      </c>
      <c r="AM321" s="954">
        <f ca="1">20-(User_sheet!B$57/(AI321+'403'!D$17*1*0.34))</f>
        <v>-5.5900892782638394</v>
      </c>
      <c r="AN321" s="954"/>
      <c r="AO321" s="985"/>
      <c r="AP321" s="27">
        <v>0</v>
      </c>
      <c r="AQ321" s="27">
        <v>0.43</v>
      </c>
      <c r="AR321" s="27">
        <v>0</v>
      </c>
      <c r="AS321" s="27">
        <v>2</v>
      </c>
      <c r="AT321" s="27">
        <v>0</v>
      </c>
      <c r="AU321" s="2">
        <v>0</v>
      </c>
      <c r="AV321" s="2">
        <v>74834</v>
      </c>
      <c r="AW321" s="2">
        <v>0</v>
      </c>
      <c r="AX321" s="2">
        <v>0</v>
      </c>
      <c r="AY321" s="2">
        <v>0</v>
      </c>
      <c r="AZ321" s="50">
        <v>0.6</v>
      </c>
      <c r="BA321" s="199">
        <v>0</v>
      </c>
      <c r="BB321" s="199">
        <v>1</v>
      </c>
      <c r="BC321" s="50">
        <v>0</v>
      </c>
      <c r="BD321" s="199">
        <v>1</v>
      </c>
      <c r="BE321" s="199">
        <v>0</v>
      </c>
      <c r="BF321" s="50">
        <v>0</v>
      </c>
      <c r="BG321" s="199">
        <v>1</v>
      </c>
      <c r="BH321" s="50">
        <v>0</v>
      </c>
      <c r="BI321" s="199">
        <v>0</v>
      </c>
      <c r="BJ321" s="199">
        <v>1</v>
      </c>
      <c r="BK321" s="50">
        <v>0</v>
      </c>
      <c r="BL321" s="199">
        <v>0.04</v>
      </c>
      <c r="BM321" s="199">
        <v>2.5</v>
      </c>
      <c r="BN321" s="32">
        <f t="shared" ca="1" si="446"/>
        <v>149.30959999999999</v>
      </c>
      <c r="BO321">
        <f t="shared" ca="1" si="447"/>
        <v>438.00000000000006</v>
      </c>
      <c r="BP321">
        <f t="shared" ca="1" si="384"/>
        <v>0</v>
      </c>
      <c r="BQ321">
        <f t="shared" ca="1" si="385"/>
        <v>75.44</v>
      </c>
      <c r="BR321">
        <f t="shared" ca="1" si="386"/>
        <v>0</v>
      </c>
      <c r="BS321">
        <f t="shared" ca="1" si="387"/>
        <v>39.999999999999993</v>
      </c>
      <c r="BT321">
        <f t="shared" ca="1" si="388"/>
        <v>0</v>
      </c>
      <c r="BU321">
        <v>0</v>
      </c>
      <c r="BV321">
        <f t="shared" ca="1" si="448"/>
        <v>0</v>
      </c>
      <c r="BW321">
        <f t="shared" ca="1" si="449"/>
        <v>30.189105348058067</v>
      </c>
      <c r="BX321">
        <f t="shared" ca="1" si="450"/>
        <v>0</v>
      </c>
      <c r="BY321">
        <f t="shared" ca="1" si="451"/>
        <v>79.999999967999983</v>
      </c>
      <c r="BZ321">
        <f t="shared" ca="1" si="452"/>
        <v>0</v>
      </c>
      <c r="CA321">
        <f t="shared" si="453"/>
        <v>0</v>
      </c>
      <c r="CB321" s="1018">
        <f t="shared" ca="1" si="458"/>
        <v>114.80670531605804</v>
      </c>
      <c r="CC321" s="1018">
        <f t="shared" ca="1" si="454"/>
        <v>101.07759360748457</v>
      </c>
      <c r="CD321">
        <f t="shared" ca="1" si="382"/>
        <v>6.4765289677062787</v>
      </c>
      <c r="CE321">
        <f t="shared" ca="1" si="383"/>
        <v>10783.161670072244</v>
      </c>
    </row>
    <row r="322" spans="3:83" x14ac:dyDescent="0.25">
      <c r="D322" s="1"/>
      <c r="F322" s="1"/>
      <c r="G322" s="3"/>
      <c r="H322" s="6"/>
      <c r="I322" s="6"/>
      <c r="J322" s="1"/>
      <c r="K322" s="6" t="s">
        <v>58</v>
      </c>
      <c r="L322" s="4"/>
      <c r="M322" s="6" t="s">
        <v>61</v>
      </c>
      <c r="N322" s="4"/>
      <c r="O322" s="27" t="s">
        <v>57</v>
      </c>
      <c r="P322" s="4"/>
      <c r="Q322" s="1"/>
      <c r="R322" s="83"/>
      <c r="U322" s="176">
        <f t="shared" si="444"/>
        <v>0</v>
      </c>
      <c r="V322" s="176">
        <f t="shared" si="455"/>
        <v>0</v>
      </c>
      <c r="W322" s="176">
        <f>V322/Calculation_sheet!M$67</f>
        <v>0</v>
      </c>
      <c r="X322" s="958">
        <f ca="1">IF(AL322&gt;0,W322*Calculation_sheet!C$87,0)</f>
        <v>0</v>
      </c>
      <c r="Y322" s="176">
        <f t="shared" ca="1" si="456"/>
        <v>0</v>
      </c>
      <c r="Z322" s="176">
        <f>IF(AN322&gt;0,Y322*Calculation_sheet!C$94,0)</f>
        <v>0</v>
      </c>
      <c r="AA322" s="958">
        <f t="shared" ca="1" si="445"/>
        <v>0</v>
      </c>
      <c r="AB322" s="176">
        <f ca="1">AA322*Calculation_sheet!C$99</f>
        <v>0</v>
      </c>
      <c r="AC322" s="958">
        <f t="shared" ca="1" si="445"/>
        <v>0</v>
      </c>
      <c r="AD322" s="176">
        <f t="shared" si="457"/>
        <v>0</v>
      </c>
      <c r="AE322" s="176">
        <f>AD322*User_sheet!B$77/100</f>
        <v>0</v>
      </c>
      <c r="AF322" s="309"/>
      <c r="AG322" s="27">
        <v>404</v>
      </c>
      <c r="AH322" s="985"/>
      <c r="AI322" s="956">
        <f t="shared" ca="1" si="381"/>
        <v>114.80670531605804</v>
      </c>
      <c r="AJ322" s="956">
        <f ca="1">AI322/'404'!I$24</f>
        <v>0.43365832634304613</v>
      </c>
      <c r="AK322" s="956">
        <f ca="1">0.8*(AI322*30+'404'!D$17*0.34*30*1+2500)</f>
        <v>8410.2249275853956</v>
      </c>
      <c r="AL322" s="954">
        <f ca="1">IF(AK322&lt;User_sheet!B$50,W322,0)</f>
        <v>0</v>
      </c>
      <c r="AM322" s="954">
        <f ca="1">20-(User_sheet!B$57/(AI322+'403'!D$17*1*0.34))</f>
        <v>-5.5900892782638394</v>
      </c>
      <c r="AN322" s="954"/>
      <c r="AO322" s="985"/>
      <c r="AP322" s="27">
        <v>0</v>
      </c>
      <c r="AQ322" s="27">
        <v>0.43</v>
      </c>
      <c r="AR322" s="27">
        <v>0</v>
      </c>
      <c r="AS322" s="27">
        <v>2</v>
      </c>
      <c r="AT322" s="27">
        <v>0</v>
      </c>
      <c r="AU322" s="2">
        <v>0</v>
      </c>
      <c r="AV322" s="2">
        <v>74834</v>
      </c>
      <c r="AW322" s="2">
        <v>0</v>
      </c>
      <c r="AX322" s="2">
        <v>0</v>
      </c>
      <c r="AY322" s="2">
        <v>0</v>
      </c>
      <c r="AZ322" s="50">
        <v>0.6</v>
      </c>
      <c r="BA322" s="199">
        <v>0</v>
      </c>
      <c r="BB322" s="199">
        <v>1</v>
      </c>
      <c r="BC322" s="50">
        <v>0</v>
      </c>
      <c r="BD322" s="199">
        <v>1</v>
      </c>
      <c r="BE322" s="199">
        <v>0</v>
      </c>
      <c r="BF322" s="50">
        <v>0</v>
      </c>
      <c r="BG322" s="199">
        <v>0</v>
      </c>
      <c r="BH322" s="50">
        <v>1</v>
      </c>
      <c r="BI322" s="199">
        <v>0</v>
      </c>
      <c r="BJ322" s="199">
        <v>1</v>
      </c>
      <c r="BK322" s="50">
        <v>0</v>
      </c>
      <c r="BL322" s="199">
        <v>0.04</v>
      </c>
      <c r="BM322" s="199">
        <v>2.5</v>
      </c>
      <c r="BN322" s="32">
        <f t="shared" ca="1" si="446"/>
        <v>149.30959999999999</v>
      </c>
      <c r="BO322">
        <f t="shared" ca="1" si="447"/>
        <v>438.00000000000006</v>
      </c>
      <c r="BP322">
        <f t="shared" ca="1" si="384"/>
        <v>0</v>
      </c>
      <c r="BQ322">
        <f t="shared" ca="1" si="385"/>
        <v>75.44</v>
      </c>
      <c r="BR322">
        <f t="shared" ca="1" si="386"/>
        <v>0</v>
      </c>
      <c r="BS322">
        <f t="shared" ca="1" si="387"/>
        <v>39.999999999999993</v>
      </c>
      <c r="BT322">
        <f t="shared" ca="1" si="388"/>
        <v>0</v>
      </c>
      <c r="BU322">
        <v>0</v>
      </c>
      <c r="BV322">
        <f t="shared" ca="1" si="448"/>
        <v>0</v>
      </c>
      <c r="BW322">
        <f t="shared" ca="1" si="449"/>
        <v>30.189105348058067</v>
      </c>
      <c r="BX322">
        <f t="shared" ca="1" si="450"/>
        <v>0</v>
      </c>
      <c r="BY322">
        <f t="shared" ca="1" si="451"/>
        <v>79.999999967999983</v>
      </c>
      <c r="BZ322">
        <f t="shared" ca="1" si="452"/>
        <v>0</v>
      </c>
      <c r="CA322">
        <f t="shared" si="453"/>
        <v>0</v>
      </c>
      <c r="CB322" s="1018">
        <f t="shared" ca="1" si="458"/>
        <v>114.80670531605804</v>
      </c>
      <c r="CC322" s="1018">
        <f t="shared" ca="1" si="454"/>
        <v>101.07759360748457</v>
      </c>
      <c r="CD322">
        <f t="shared" ca="1" si="382"/>
        <v>6.4765289677062787</v>
      </c>
      <c r="CE322">
        <f t="shared" ca="1" si="383"/>
        <v>10783.161670072244</v>
      </c>
    </row>
    <row r="323" spans="3:83" x14ac:dyDescent="0.25">
      <c r="D323" s="1"/>
      <c r="F323" s="1"/>
      <c r="G323" s="3"/>
      <c r="H323" s="6"/>
      <c r="I323" s="6" t="s">
        <v>22</v>
      </c>
      <c r="J323" s="4"/>
      <c r="K323" s="6" t="s">
        <v>59</v>
      </c>
      <c r="L323" s="4"/>
      <c r="M323" s="6"/>
      <c r="N323" s="6"/>
      <c r="O323" s="27" t="s">
        <v>57</v>
      </c>
      <c r="P323" s="4"/>
      <c r="Q323" s="1"/>
      <c r="R323" s="83"/>
      <c r="U323" s="176">
        <f t="shared" si="444"/>
        <v>0</v>
      </c>
      <c r="V323" s="176">
        <f t="shared" si="455"/>
        <v>0</v>
      </c>
      <c r="W323" s="176">
        <f>V323/Calculation_sheet!M$67</f>
        <v>0</v>
      </c>
      <c r="X323" s="958">
        <f ca="1">IF(AL323&gt;0,W323*Calculation_sheet!C$87,0)</f>
        <v>0</v>
      </c>
      <c r="Y323" s="176">
        <f t="shared" ca="1" si="456"/>
        <v>0</v>
      </c>
      <c r="Z323" s="176">
        <f>IF(AN323&gt;0,Y323*Calculation_sheet!C$94,0)</f>
        <v>0</v>
      </c>
      <c r="AA323" s="958">
        <f t="shared" ca="1" si="445"/>
        <v>0</v>
      </c>
      <c r="AB323" s="176">
        <f ca="1">AA323*Calculation_sheet!C$99</f>
        <v>0</v>
      </c>
      <c r="AC323" s="958">
        <f t="shared" ca="1" si="445"/>
        <v>0</v>
      </c>
      <c r="AD323" s="176">
        <f t="shared" si="457"/>
        <v>0</v>
      </c>
      <c r="AE323" s="176">
        <f>AD323*User_sheet!B$77/100</f>
        <v>0</v>
      </c>
      <c r="AF323" s="309"/>
      <c r="AG323" s="27">
        <v>404</v>
      </c>
      <c r="AH323" s="985"/>
      <c r="AI323" s="956">
        <f t="shared" ca="1" si="381"/>
        <v>114.80670531605804</v>
      </c>
      <c r="AJ323" s="956">
        <f ca="1">AI323/'404'!I$24</f>
        <v>0.43365832634304613</v>
      </c>
      <c r="AK323" s="956">
        <f ca="1">0.8*(AI323*30+'404'!D$17*0.34*30*1+2500)</f>
        <v>8410.2249275853956</v>
      </c>
      <c r="AL323" s="954">
        <f ca="1">IF(AK323&lt;User_sheet!B$50,W323,0)</f>
        <v>0</v>
      </c>
      <c r="AM323" s="954">
        <f ca="1">20-(User_sheet!B$57/(AI323+'403'!D$17*1*0.34))</f>
        <v>-5.5900892782638394</v>
      </c>
      <c r="AN323" s="954"/>
      <c r="AO323" s="985"/>
      <c r="AP323" s="27">
        <v>0</v>
      </c>
      <c r="AQ323" s="27">
        <v>0.43</v>
      </c>
      <c r="AR323" s="27">
        <v>0</v>
      </c>
      <c r="AS323" s="27">
        <v>2</v>
      </c>
      <c r="AT323" s="27">
        <v>0</v>
      </c>
      <c r="AU323" s="2">
        <v>0</v>
      </c>
      <c r="AV323" s="2">
        <v>74834</v>
      </c>
      <c r="AW323" s="2">
        <v>0</v>
      </c>
      <c r="AX323" s="2">
        <v>0</v>
      </c>
      <c r="AY323" s="2">
        <v>0</v>
      </c>
      <c r="AZ323" s="50">
        <v>0.6</v>
      </c>
      <c r="BA323" s="199">
        <v>0</v>
      </c>
      <c r="BB323" s="199">
        <v>1</v>
      </c>
      <c r="BC323" s="50">
        <v>0</v>
      </c>
      <c r="BD323" s="199">
        <v>0</v>
      </c>
      <c r="BE323" s="199">
        <v>1</v>
      </c>
      <c r="BF323" s="50">
        <v>0</v>
      </c>
      <c r="BG323" s="199">
        <v>1</v>
      </c>
      <c r="BH323" s="50">
        <v>0</v>
      </c>
      <c r="BI323" s="199">
        <v>0</v>
      </c>
      <c r="BJ323" s="199">
        <v>1</v>
      </c>
      <c r="BK323" s="50">
        <v>0</v>
      </c>
      <c r="BL323" s="199">
        <v>0.04</v>
      </c>
      <c r="BM323" s="199">
        <v>2.5</v>
      </c>
      <c r="BN323" s="32">
        <f t="shared" ca="1" si="446"/>
        <v>149.30959999999999</v>
      </c>
      <c r="BO323">
        <f t="shared" ca="1" si="447"/>
        <v>438.00000000000006</v>
      </c>
      <c r="BP323">
        <f t="shared" ca="1" si="384"/>
        <v>0</v>
      </c>
      <c r="BQ323">
        <f t="shared" ca="1" si="385"/>
        <v>75.44</v>
      </c>
      <c r="BR323">
        <f t="shared" ca="1" si="386"/>
        <v>0</v>
      </c>
      <c r="BS323">
        <f t="shared" ca="1" si="387"/>
        <v>39.999999999999993</v>
      </c>
      <c r="BT323">
        <f t="shared" ca="1" si="388"/>
        <v>0</v>
      </c>
      <c r="BU323">
        <v>0</v>
      </c>
      <c r="BV323">
        <f t="shared" ca="1" si="448"/>
        <v>0</v>
      </c>
      <c r="BW323">
        <f t="shared" ca="1" si="449"/>
        <v>30.189105348058067</v>
      </c>
      <c r="BX323">
        <f t="shared" ca="1" si="450"/>
        <v>0</v>
      </c>
      <c r="BY323">
        <f t="shared" ca="1" si="451"/>
        <v>79.999999967999983</v>
      </c>
      <c r="BZ323">
        <f t="shared" ca="1" si="452"/>
        <v>0</v>
      </c>
      <c r="CA323">
        <f t="shared" si="453"/>
        <v>0</v>
      </c>
      <c r="CB323" s="1018">
        <f t="shared" ca="1" si="458"/>
        <v>114.80670531605804</v>
      </c>
      <c r="CC323" s="1018">
        <f t="shared" ca="1" si="454"/>
        <v>101.07759360748457</v>
      </c>
      <c r="CD323">
        <f t="shared" ca="1" si="382"/>
        <v>6.4765289677062787</v>
      </c>
      <c r="CE323">
        <f t="shared" ca="1" si="383"/>
        <v>10783.161670072244</v>
      </c>
    </row>
    <row r="324" spans="3:83" s="9" customFormat="1" x14ac:dyDescent="0.25">
      <c r="D324" s="10"/>
      <c r="F324" s="10"/>
      <c r="H324" s="10"/>
      <c r="I324" s="10"/>
      <c r="J324" s="10"/>
      <c r="K324" s="10"/>
      <c r="L324" s="10"/>
      <c r="M324" s="10"/>
      <c r="N324" s="10"/>
      <c r="O324" s="10"/>
      <c r="P324" s="10"/>
      <c r="Q324" s="10"/>
      <c r="R324" s="81"/>
      <c r="S324" s="881">
        <f>D275*B180</f>
        <v>6.9059000000000009E-2</v>
      </c>
      <c r="T324" s="279"/>
      <c r="U324" s="283"/>
      <c r="V324" s="283"/>
      <c r="W324" s="283"/>
      <c r="X324" s="283"/>
      <c r="Y324" s="283"/>
      <c r="Z324" s="283"/>
      <c r="AA324" s="279"/>
      <c r="AB324" s="279"/>
      <c r="AC324" s="279"/>
      <c r="AD324" s="279"/>
      <c r="AE324" s="283"/>
      <c r="AF324" s="309"/>
      <c r="AG324" s="24"/>
      <c r="AH324" s="985"/>
      <c r="AI324" s="956">
        <f t="shared" si="381"/>
        <v>0</v>
      </c>
      <c r="AJ324" s="916"/>
      <c r="AK324" s="916"/>
      <c r="AL324" s="916"/>
      <c r="AM324" s="916"/>
      <c r="AN324" s="916"/>
      <c r="AO324" s="985"/>
      <c r="AP324" s="24"/>
      <c r="AQ324" s="24"/>
      <c r="AR324" s="24"/>
      <c r="AS324" s="24"/>
      <c r="AT324" s="24"/>
      <c r="AU324" s="24"/>
      <c r="AV324" s="24"/>
      <c r="AW324" s="24"/>
      <c r="AX324" s="24"/>
      <c r="AY324" s="24"/>
      <c r="AZ324" s="51"/>
      <c r="BA324" s="279"/>
      <c r="BB324" s="24"/>
      <c r="BC324" s="51"/>
      <c r="BD324" s="279"/>
      <c r="BE324" s="24"/>
      <c r="BF324" s="51"/>
      <c r="BG324" s="279"/>
      <c r="BH324" s="51"/>
      <c r="BI324" s="279"/>
      <c r="BJ324" s="24"/>
      <c r="BK324" s="51"/>
      <c r="BL324" s="279"/>
      <c r="BM324" s="279"/>
      <c r="BN324" s="38"/>
    </row>
    <row r="325" spans="3:83" x14ac:dyDescent="0.25">
      <c r="F325" s="1"/>
      <c r="H325" s="1"/>
      <c r="I325" s="2" t="s">
        <v>16</v>
      </c>
      <c r="J325" s="26">
        <v>0.6</v>
      </c>
      <c r="K325" s="27" t="s">
        <v>58</v>
      </c>
      <c r="L325" s="26">
        <v>1</v>
      </c>
      <c r="M325" s="27" t="s">
        <v>61</v>
      </c>
      <c r="N325" s="26">
        <v>1</v>
      </c>
      <c r="O325" s="27" t="s">
        <v>16</v>
      </c>
      <c r="P325" s="26">
        <v>1</v>
      </c>
      <c r="R325" s="79">
        <f>P325*N325*L325*J325*H326*F326*D326*B180</f>
        <v>9.3190559999999992E-3</v>
      </c>
      <c r="T325" s="34">
        <f>R325</f>
        <v>9.3190559999999992E-3</v>
      </c>
      <c r="U325" s="176">
        <f>T325</f>
        <v>9.3190559999999992E-3</v>
      </c>
      <c r="V325" s="176">
        <f>U325</f>
        <v>9.3190559999999992E-3</v>
      </c>
      <c r="W325" s="176">
        <f>V325/Calculation_sheet!M$67</f>
        <v>9.3192465414136689E-3</v>
      </c>
      <c r="X325" s="958">
        <f ca="1">IF(AL325&gt;0,W325*Calculation_sheet!C$87,0)</f>
        <v>0</v>
      </c>
      <c r="Y325" s="176">
        <f ca="1">W325-X325</f>
        <v>9.3192465414136689E-3</v>
      </c>
      <c r="Z325" s="176">
        <f>IF(AN325&gt;0,Y325*Calculation_sheet!C$94,0)</f>
        <v>0</v>
      </c>
      <c r="AA325" s="958">
        <f ca="1">Y325-Z325</f>
        <v>9.3192465414136689E-3</v>
      </c>
      <c r="AB325" s="176">
        <f ca="1">AA325*Calculation_sheet!C$99</f>
        <v>5.5915479248482012E-3</v>
      </c>
      <c r="AC325" s="958">
        <f ca="1">AA325-AB325</f>
        <v>3.7276986165654677E-3</v>
      </c>
      <c r="AD325" s="176">
        <f t="shared" si="457"/>
        <v>9.3192465414136689E-3</v>
      </c>
      <c r="AE325" s="176">
        <f>AD325*User_sheet!B$77/100</f>
        <v>0</v>
      </c>
      <c r="AG325" s="27">
        <v>404</v>
      </c>
      <c r="AH325" s="985"/>
      <c r="AI325" s="956">
        <f t="shared" ca="1" si="381"/>
        <v>127.50510531605805</v>
      </c>
      <c r="AJ325" s="956">
        <f ca="1">AI325/'404'!I$24</f>
        <v>0.4816238774497924</v>
      </c>
      <c r="AK325" s="956">
        <f ca="1">0.8*(AI325*30+'404'!D$17*0.34*30*1+2500)</f>
        <v>8714.9865275853936</v>
      </c>
      <c r="AL325" s="954">
        <f ca="1">IF(AK325&lt;User_sheet!B$50,W325,0)</f>
        <v>9.3192465414136689E-3</v>
      </c>
      <c r="AM325" s="954">
        <f ca="1">20-(User_sheet!B$57/(AI325+'403'!D$17*1*0.34))</f>
        <v>-4.209899113520283</v>
      </c>
      <c r="AN325" s="954"/>
      <c r="AO325" s="985"/>
      <c r="AP325" s="27">
        <v>0</v>
      </c>
      <c r="AQ325" s="27">
        <v>0.43</v>
      </c>
      <c r="AR325" s="27">
        <v>0</v>
      </c>
      <c r="AS325" s="27">
        <v>2</v>
      </c>
      <c r="AT325" s="27">
        <v>0</v>
      </c>
      <c r="AU325" s="2">
        <v>0</v>
      </c>
      <c r="AV325" s="2">
        <v>74834</v>
      </c>
      <c r="AW325" s="2">
        <v>0</v>
      </c>
      <c r="AX325" s="2">
        <v>0</v>
      </c>
      <c r="AY325" s="2">
        <v>0</v>
      </c>
      <c r="AZ325" s="40">
        <v>0.6</v>
      </c>
      <c r="BA325" s="34">
        <v>1</v>
      </c>
      <c r="BB325" s="199">
        <v>0</v>
      </c>
      <c r="BC325" s="50">
        <v>0</v>
      </c>
      <c r="BD325" s="34">
        <v>1</v>
      </c>
      <c r="BE325" s="199">
        <v>0</v>
      </c>
      <c r="BF325" s="50">
        <v>0</v>
      </c>
      <c r="BG325" s="34">
        <v>0</v>
      </c>
      <c r="BH325" s="50">
        <v>1</v>
      </c>
      <c r="BI325" s="34">
        <v>1</v>
      </c>
      <c r="BJ325" s="199">
        <v>0</v>
      </c>
      <c r="BK325" s="50">
        <v>0</v>
      </c>
      <c r="BL325" s="199">
        <v>0.15</v>
      </c>
      <c r="BM325" s="199">
        <v>6</v>
      </c>
      <c r="BN325" s="32">
        <f ca="1">INDIRECT("'"&amp;AG325&amp;"'!"&amp;"B2")</f>
        <v>149.30959999999999</v>
      </c>
      <c r="BO325">
        <f ca="1">INDIRECT("'"&amp;AG325&amp;"'!"&amp;"C12")+INDIRECT("'"&amp;AG325&amp;"'!"&amp;"C13")+INDIRECT("'"&amp;AG325&amp;"'!"&amp;"C14")+INDIRECT("'"&amp;AG325&amp;"'!"&amp;"C15")+INDIRECT("'"&amp;AG325&amp;"'!"&amp;"C17")</f>
        <v>438.00000000000006</v>
      </c>
      <c r="BP325">
        <f t="shared" ca="1" si="384"/>
        <v>0</v>
      </c>
      <c r="BQ325">
        <f t="shared" ca="1" si="385"/>
        <v>75.44</v>
      </c>
      <c r="BR325">
        <f t="shared" ca="1" si="386"/>
        <v>0</v>
      </c>
      <c r="BS325">
        <f t="shared" ca="1" si="387"/>
        <v>39.999999999999993</v>
      </c>
      <c r="BT325">
        <f t="shared" ca="1" si="388"/>
        <v>0</v>
      </c>
      <c r="BU325">
        <v>0</v>
      </c>
      <c r="BV325">
        <f t="shared" ref="BV325:BX326" ca="1" si="459">IF(OR(BP325=0,AP325=0),0,1/(1/(BP325*$BW$3)+1/(BP325*AP325)+1/(BP325*$BW$4)))</f>
        <v>0</v>
      </c>
      <c r="BW325">
        <f t="shared" ca="1" si="459"/>
        <v>30.189105348058067</v>
      </c>
      <c r="BX325">
        <f t="shared" ca="1" si="459"/>
        <v>0</v>
      </c>
      <c r="BY325">
        <f ca="1">IF(OR(BS325=0,AS325=0),0,1/(1/(BS325*$BW$5)+1/(BS325*AS325)+1/(BS325*$BW$6)))</f>
        <v>79.999999967999983</v>
      </c>
      <c r="BZ325">
        <f ca="1">IF(OR(BT325=0,AT325=0),0,1/(1/(BT325*$BW$3)+1/(BT325*AT325)+1/(BT325*$BW$4)))</f>
        <v>0</v>
      </c>
      <c r="CA325">
        <f>IF(OR(BU325=0,AU325=0),0,1/(1/(BU325*$BW$3)+1/(BU325*AU325)+1/(BU325*$BW$4)))</f>
        <v>0</v>
      </c>
      <c r="CB325" s="1018">
        <f ca="1">SUM(BV325:CA325)+(BP325+BQ325+BR325+BS325+BT325)*BL325</f>
        <v>127.50510531605805</v>
      </c>
      <c r="CC325" s="1018">
        <f ca="1">0.34*BM325*(1/25)^0.66*(BQ325+BS325+BT325)+0.34*0.6*BO325*0.2</f>
        <v>46.011824657962947</v>
      </c>
      <c r="CD325">
        <f t="shared" ca="1" si="382"/>
        <v>5.2055078992206303</v>
      </c>
      <c r="CE325">
        <f t="shared" ca="1" si="383"/>
        <v>8666.9624318863789</v>
      </c>
    </row>
    <row r="326" spans="3:83" x14ac:dyDescent="0.25">
      <c r="C326" s="1" t="s">
        <v>132</v>
      </c>
      <c r="D326" s="5">
        <v>5.96E-2</v>
      </c>
      <c r="E326" t="s">
        <v>4</v>
      </c>
      <c r="F326" s="5">
        <v>1</v>
      </c>
      <c r="G326" t="s">
        <v>5</v>
      </c>
      <c r="H326" s="5">
        <v>1</v>
      </c>
      <c r="I326" s="2" t="s">
        <v>57</v>
      </c>
      <c r="J326" s="26">
        <v>0.4</v>
      </c>
      <c r="K326" s="27" t="s">
        <v>58</v>
      </c>
      <c r="L326" s="26">
        <v>1</v>
      </c>
      <c r="M326" s="27" t="s">
        <v>61</v>
      </c>
      <c r="N326" s="26">
        <v>1</v>
      </c>
      <c r="O326" s="27" t="s">
        <v>57</v>
      </c>
      <c r="P326" s="26">
        <v>1</v>
      </c>
      <c r="R326" s="79">
        <f>P326*N326*L326*J326*H326*F326*D326*B180</f>
        <v>6.2127040000000003E-3</v>
      </c>
      <c r="S326" s="334"/>
      <c r="T326" s="34">
        <f>R326</f>
        <v>6.2127040000000003E-3</v>
      </c>
      <c r="U326" s="176">
        <f>T326</f>
        <v>6.2127040000000003E-3</v>
      </c>
      <c r="V326" s="176">
        <f>U326</f>
        <v>6.2127040000000003E-3</v>
      </c>
      <c r="W326" s="176">
        <f>V326/Calculation_sheet!M$67</f>
        <v>6.2128310276091132E-3</v>
      </c>
      <c r="X326" s="958">
        <f ca="1">IF(AL326&gt;0,W326*Calculation_sheet!C$87,0)</f>
        <v>0</v>
      </c>
      <c r="Y326" s="176">
        <f ca="1">W326-X326</f>
        <v>6.2128310276091132E-3</v>
      </c>
      <c r="Z326" s="176">
        <f>IF(AN326&gt;0,Y326*Calculation_sheet!C$94,0)</f>
        <v>0</v>
      </c>
      <c r="AA326" s="958">
        <f ca="1">Y326-Z326</f>
        <v>6.2128310276091132E-3</v>
      </c>
      <c r="AB326" s="176">
        <f ca="1">AA326*Calculation_sheet!C$99</f>
        <v>3.7276986165654677E-3</v>
      </c>
      <c r="AC326" s="958">
        <f ca="1">AA326-AB326</f>
        <v>2.4851324110436454E-3</v>
      </c>
      <c r="AD326" s="176">
        <f t="shared" si="457"/>
        <v>6.2128310276091132E-3</v>
      </c>
      <c r="AE326" s="176">
        <f>AD326*User_sheet!B$77/100</f>
        <v>0</v>
      </c>
      <c r="AG326" s="27">
        <v>404</v>
      </c>
      <c r="AH326" s="985"/>
      <c r="AI326" s="956">
        <f t="shared" ca="1" si="381"/>
        <v>127.50510531605805</v>
      </c>
      <c r="AJ326" s="956">
        <f ca="1">AI326/'404'!I$24</f>
        <v>0.4816238774497924</v>
      </c>
      <c r="AK326" s="956">
        <f ca="1">0.8*(AI326*30+'404'!D$17*0.34*30*1+2500)</f>
        <v>8714.9865275853936</v>
      </c>
      <c r="AL326" s="954">
        <f ca="1">IF(AK326&lt;User_sheet!B$50,W326,0)</f>
        <v>6.2128310276091132E-3</v>
      </c>
      <c r="AM326" s="954">
        <f ca="1">20-(User_sheet!B$57/(AI326+'403'!D$17*1*0.34))</f>
        <v>-4.209899113520283</v>
      </c>
      <c r="AN326" s="954"/>
      <c r="AO326" s="985"/>
      <c r="AP326" s="27">
        <v>0</v>
      </c>
      <c r="AQ326" s="27">
        <v>0.43</v>
      </c>
      <c r="AR326" s="27">
        <v>0</v>
      </c>
      <c r="AS326" s="27">
        <v>2</v>
      </c>
      <c r="AT326" s="27">
        <v>0</v>
      </c>
      <c r="AU326" s="2">
        <v>0</v>
      </c>
      <c r="AV326" s="2">
        <v>74834</v>
      </c>
      <c r="AW326" s="2">
        <v>0</v>
      </c>
      <c r="AX326" s="2">
        <v>0</v>
      </c>
      <c r="AY326" s="2">
        <v>0</v>
      </c>
      <c r="AZ326" s="40">
        <v>0.6</v>
      </c>
      <c r="BA326" s="34">
        <v>0</v>
      </c>
      <c r="BB326" s="2">
        <v>1</v>
      </c>
      <c r="BC326" s="40">
        <v>0</v>
      </c>
      <c r="BD326" s="34">
        <v>1</v>
      </c>
      <c r="BE326" s="199">
        <v>0</v>
      </c>
      <c r="BF326" s="50">
        <v>0</v>
      </c>
      <c r="BG326" s="34">
        <v>0</v>
      </c>
      <c r="BH326" s="50">
        <v>1</v>
      </c>
      <c r="BI326" s="34">
        <v>0</v>
      </c>
      <c r="BJ326" s="199">
        <v>1</v>
      </c>
      <c r="BK326" s="50">
        <v>0</v>
      </c>
      <c r="BL326" s="199">
        <v>0.15</v>
      </c>
      <c r="BM326" s="199">
        <v>6</v>
      </c>
      <c r="BN326" s="32">
        <f ca="1">INDIRECT("'"&amp;AG326&amp;"'!"&amp;"B2")</f>
        <v>149.30959999999999</v>
      </c>
      <c r="BO326">
        <f ca="1">INDIRECT("'"&amp;AG326&amp;"'!"&amp;"C12")+INDIRECT("'"&amp;AG326&amp;"'!"&amp;"C13")+INDIRECT("'"&amp;AG326&amp;"'!"&amp;"C14")+INDIRECT("'"&amp;AG326&amp;"'!"&amp;"C15")+INDIRECT("'"&amp;AG326&amp;"'!"&amp;"C17")</f>
        <v>438.00000000000006</v>
      </c>
      <c r="BP326">
        <f t="shared" ca="1" si="384"/>
        <v>0</v>
      </c>
      <c r="BQ326">
        <f t="shared" ca="1" si="385"/>
        <v>75.44</v>
      </c>
      <c r="BR326">
        <f t="shared" ca="1" si="386"/>
        <v>0</v>
      </c>
      <c r="BS326">
        <f t="shared" ca="1" si="387"/>
        <v>39.999999999999993</v>
      </c>
      <c r="BT326">
        <f t="shared" ca="1" si="388"/>
        <v>0</v>
      </c>
      <c r="BU326">
        <v>0</v>
      </c>
      <c r="BV326">
        <f t="shared" ca="1" si="459"/>
        <v>0</v>
      </c>
      <c r="BW326">
        <f t="shared" ca="1" si="459"/>
        <v>30.189105348058067</v>
      </c>
      <c r="BX326">
        <f t="shared" ca="1" si="459"/>
        <v>0</v>
      </c>
      <c r="BY326">
        <f ca="1">IF(OR(BS326=0,AS326=0),0,1/(1/(BS326*$BW$5)+1/(BS326*AS326)+1/(BS326*$BW$6)))</f>
        <v>79.999999967999983</v>
      </c>
      <c r="BZ326">
        <f ca="1">IF(OR(BT326=0,AT326=0),0,1/(1/(BT326*$BW$3)+1/(BT326*AT326)+1/(BT326*$BW$4)))</f>
        <v>0</v>
      </c>
      <c r="CA326">
        <f>IF(OR(BU326=0,AU326=0),0,1/(1/(BU326*$BW$3)+1/(BU326*AU326)+1/(BU326*$BW$4)))</f>
        <v>0</v>
      </c>
      <c r="CB326" s="1018">
        <f ca="1">SUM(BV326:CA326)+(BP326+BQ326+BR326+BS326+BT326)*BL326</f>
        <v>127.50510531605805</v>
      </c>
      <c r="CC326" s="1018">
        <f ca="1">0.34*BM326*(1/25)^0.66*(BQ326+BS326+BT326)+0.34*0.6*BO326*0.2</f>
        <v>46.011824657962947</v>
      </c>
      <c r="CD326">
        <f t="shared" ca="1" si="382"/>
        <v>5.2055078992206303</v>
      </c>
      <c r="CE326">
        <f t="shared" ca="1" si="383"/>
        <v>8666.9624318863789</v>
      </c>
    </row>
    <row r="327" spans="3:83" s="9" customFormat="1" x14ac:dyDescent="0.25">
      <c r="R327" s="84"/>
      <c r="S327" s="283">
        <f>D326*B180</f>
        <v>1.553176E-2</v>
      </c>
      <c r="T327" s="279"/>
      <c r="U327" s="283"/>
      <c r="V327" s="283"/>
      <c r="W327" s="283"/>
      <c r="X327" s="283"/>
      <c r="Y327" s="283"/>
      <c r="Z327" s="283"/>
      <c r="AA327" s="279"/>
      <c r="AB327" s="279"/>
      <c r="AC327" s="279"/>
      <c r="AD327" s="279"/>
      <c r="AE327" s="279"/>
      <c r="AF327" s="311"/>
      <c r="AG327" s="24"/>
      <c r="AH327" s="985"/>
      <c r="AI327" s="956">
        <f t="shared" si="381"/>
        <v>0</v>
      </c>
      <c r="AJ327" s="916"/>
      <c r="AK327" s="916"/>
      <c r="AL327" s="916"/>
      <c r="AM327" s="916"/>
      <c r="AN327" s="916"/>
      <c r="AO327" s="985"/>
      <c r="AP327" s="24"/>
      <c r="AQ327" s="24"/>
      <c r="AR327" s="24"/>
      <c r="AS327" s="24"/>
      <c r="AT327" s="24"/>
      <c r="AU327" s="24"/>
      <c r="AV327" s="24"/>
      <c r="AW327" s="24"/>
      <c r="AX327" s="24"/>
      <c r="AY327" s="24"/>
      <c r="AZ327" s="51"/>
      <c r="BA327" s="279"/>
      <c r="BB327" s="24"/>
      <c r="BC327" s="51"/>
      <c r="BD327" s="279"/>
      <c r="BE327" s="24"/>
      <c r="BF327" s="51"/>
      <c r="BG327" s="279"/>
      <c r="BH327" s="51"/>
      <c r="BI327" s="279"/>
      <c r="BJ327" s="24"/>
      <c r="BK327" s="51"/>
      <c r="BL327" s="279"/>
      <c r="BM327" s="279"/>
      <c r="BN327" s="38"/>
    </row>
    <row r="328" spans="3:83" x14ac:dyDescent="0.25">
      <c r="F328" s="1"/>
      <c r="H328" s="1"/>
      <c r="I328" s="2" t="s">
        <v>16</v>
      </c>
      <c r="J328" s="26">
        <f>User_sheet!B44/100</f>
        <v>0.75</v>
      </c>
      <c r="K328" s="2" t="s">
        <v>18</v>
      </c>
      <c r="L328" s="26">
        <v>1</v>
      </c>
      <c r="M328" s="27" t="s">
        <v>61</v>
      </c>
      <c r="N328" s="26">
        <v>1</v>
      </c>
      <c r="O328" s="2" t="s">
        <v>16</v>
      </c>
      <c r="P328" s="26">
        <v>1</v>
      </c>
      <c r="Q328" s="2"/>
      <c r="R328" s="200"/>
      <c r="T328" s="34">
        <f>Calculation_sheet!D48</f>
        <v>0</v>
      </c>
      <c r="U328" s="176">
        <f t="shared" ref="U328:V330" si="460">T328</f>
        <v>0</v>
      </c>
      <c r="V328" s="176">
        <f t="shared" si="460"/>
        <v>0</v>
      </c>
      <c r="W328" s="176">
        <f>V328/Calculation_sheet!M$67</f>
        <v>0</v>
      </c>
      <c r="X328" s="958">
        <f ca="1">IF(AL328&gt;0,W328*Calculation_sheet!C$87,0)</f>
        <v>0</v>
      </c>
      <c r="Y328" s="176">
        <f ca="1">W328-X328</f>
        <v>0</v>
      </c>
      <c r="Z328" s="176">
        <f>IF(AN328&gt;0,Y328*Calculation_sheet!C$94,0)</f>
        <v>0</v>
      </c>
      <c r="AA328" s="958">
        <f ca="1">Y328-Z328</f>
        <v>0</v>
      </c>
      <c r="AB328" s="176">
        <f ca="1">AA328*Calculation_sheet!C$99</f>
        <v>0</v>
      </c>
      <c r="AC328" s="958">
        <f ca="1">AA328-AB328</f>
        <v>0</v>
      </c>
      <c r="AD328" s="176">
        <f t="shared" si="457"/>
        <v>0</v>
      </c>
      <c r="AE328" s="176">
        <f>AD328*User_sheet!B$77/100</f>
        <v>0</v>
      </c>
      <c r="AG328" s="27">
        <v>404</v>
      </c>
      <c r="AH328" s="985"/>
      <c r="AI328" s="956">
        <f t="shared" ca="1" si="381"/>
        <v>114.80670531605804</v>
      </c>
      <c r="AJ328" s="956">
        <f ca="1">AI328/'404'!I$24</f>
        <v>0.43365832634304613</v>
      </c>
      <c r="AK328" s="956">
        <f ca="1">0.8*(AI328*30+'404'!D$17*0.34*30*1+2500)</f>
        <v>8410.2249275853956</v>
      </c>
      <c r="AL328" s="954">
        <f ca="1">IF(AK328&lt;User_sheet!B$50,W328,0)</f>
        <v>0</v>
      </c>
      <c r="AM328" s="954">
        <f ca="1">20-(User_sheet!B$57/(AI328+'403'!D$17*1*0.34))</f>
        <v>-5.5900892782638394</v>
      </c>
      <c r="AN328" s="954"/>
      <c r="AO328" s="985"/>
      <c r="AP328" s="27">
        <v>0</v>
      </c>
      <c r="AQ328" s="27">
        <v>0.43</v>
      </c>
      <c r="AR328" s="27">
        <v>0</v>
      </c>
      <c r="AS328" s="27">
        <v>2</v>
      </c>
      <c r="AT328" s="27">
        <v>0</v>
      </c>
      <c r="AU328" s="2">
        <v>0</v>
      </c>
      <c r="AV328" s="2">
        <v>74834</v>
      </c>
      <c r="AW328" s="2">
        <v>0</v>
      </c>
      <c r="AX328" s="2">
        <v>0</v>
      </c>
      <c r="AY328" s="2">
        <v>0</v>
      </c>
      <c r="AZ328" s="50">
        <v>0.6</v>
      </c>
      <c r="BA328" s="34">
        <v>1</v>
      </c>
      <c r="BB328" s="199">
        <v>0</v>
      </c>
      <c r="BC328" s="50">
        <v>0</v>
      </c>
      <c r="BD328" s="34">
        <v>1</v>
      </c>
      <c r="BE328" s="199">
        <v>0</v>
      </c>
      <c r="BF328" s="50">
        <v>0</v>
      </c>
      <c r="BG328" s="34">
        <v>0</v>
      </c>
      <c r="BH328" s="50">
        <v>1</v>
      </c>
      <c r="BI328" s="34">
        <v>1</v>
      </c>
      <c r="BJ328" s="199">
        <v>0</v>
      </c>
      <c r="BK328" s="50">
        <v>0</v>
      </c>
      <c r="BL328" s="199">
        <v>0.04</v>
      </c>
      <c r="BM328" s="199">
        <v>2.5</v>
      </c>
      <c r="BN328">
        <f ca="1">INDIRECT("'"&amp;AG328&amp;"'!"&amp;"B2")</f>
        <v>149.30959999999999</v>
      </c>
      <c r="BO328" s="32">
        <f ca="1">INDIRECT("'"&amp;AG328&amp;"'!"&amp;"C12")+INDIRECT("'"&amp;AG328&amp;"'!"&amp;"C13")+INDIRECT("'"&amp;AG328&amp;"'!"&amp;"C14")+INDIRECT("'"&amp;AG328&amp;"'!"&amp;"C15")+INDIRECT("'"&amp;AG328&amp;"'!"&amp;"C17")</f>
        <v>438.00000000000006</v>
      </c>
      <c r="BP328">
        <f t="shared" ca="1" si="384"/>
        <v>0</v>
      </c>
      <c r="BQ328">
        <f t="shared" ca="1" si="385"/>
        <v>75.44</v>
      </c>
      <c r="BR328">
        <f t="shared" ca="1" si="386"/>
        <v>0</v>
      </c>
      <c r="BS328">
        <f t="shared" ca="1" si="387"/>
        <v>39.999999999999993</v>
      </c>
      <c r="BT328">
        <f t="shared" ca="1" si="388"/>
        <v>0</v>
      </c>
      <c r="BU328">
        <v>0</v>
      </c>
      <c r="BV328">
        <f t="shared" ref="BV328:BX330" ca="1" si="461">IF(OR(BP328=0,AP328=0),0,1/(1/(BP328*$BW$3)+1/(BP328*AP328)+1/(BP328*$BW$4)))</f>
        <v>0</v>
      </c>
      <c r="BW328">
        <f t="shared" ca="1" si="461"/>
        <v>30.189105348058067</v>
      </c>
      <c r="BX328">
        <f t="shared" ca="1" si="461"/>
        <v>0</v>
      </c>
      <c r="BY328">
        <f ca="1">IF(OR(BS328=0,AS328=0),0,1/(1/(BS328*$BW$5)+1/(BS328*AS328)+1/(BS328*$BW$6)))</f>
        <v>79.999999967999983</v>
      </c>
      <c r="BZ328">
        <f t="shared" ref="BZ328:CA330" ca="1" si="462">IF(OR(BT328=0,AT328=0),0,1/(1/(BT328*$BW$3)+1/(BT328*AT328)+1/(BT328*$BW$4)))</f>
        <v>0</v>
      </c>
      <c r="CA328">
        <f t="shared" si="462"/>
        <v>0</v>
      </c>
      <c r="CB328" s="1018">
        <f ca="1">SUM(BV328:CA328)+(BP328+BQ328+BR328+BS328+BT328)*BL328</f>
        <v>114.80670531605804</v>
      </c>
      <c r="CC328" s="1018">
        <f ca="1">0.34*BM328*(1/25)^0.66*(BQ328+BS328+BT328)+0.34*0.6*BO328*0.2</f>
        <v>29.595993607484566</v>
      </c>
      <c r="CD328">
        <f t="shared" ca="1" si="382"/>
        <v>4.3320809677062782</v>
      </c>
      <c r="CE328">
        <f t="shared" ca="1" si="383"/>
        <v>7212.7415279922443</v>
      </c>
    </row>
    <row r="329" spans="3:83" x14ac:dyDescent="0.25">
      <c r="F329" s="1"/>
      <c r="H329" s="1"/>
      <c r="I329" s="2" t="s">
        <v>22</v>
      </c>
      <c r="J329" s="26">
        <f>User_sheet!C44/100</f>
        <v>0.15</v>
      </c>
      <c r="K329" s="2" t="s">
        <v>18</v>
      </c>
      <c r="L329" s="26">
        <v>1</v>
      </c>
      <c r="M329" s="27" t="s">
        <v>61</v>
      </c>
      <c r="N329" s="26">
        <v>1</v>
      </c>
      <c r="O329" s="2" t="s">
        <v>22</v>
      </c>
      <c r="P329" s="26">
        <v>1</v>
      </c>
      <c r="Q329" s="2"/>
      <c r="R329" s="200"/>
      <c r="T329" s="34">
        <f>Calculation_sheet!D49</f>
        <v>0</v>
      </c>
      <c r="U329" s="176">
        <f t="shared" si="460"/>
        <v>0</v>
      </c>
      <c r="V329" s="176">
        <f t="shared" si="460"/>
        <v>0</v>
      </c>
      <c r="W329" s="176">
        <f>V329/Calculation_sheet!M$67</f>
        <v>0</v>
      </c>
      <c r="X329" s="958">
        <f ca="1">IF(AL329&gt;0,W329*Calculation_sheet!C$87,0)</f>
        <v>0</v>
      </c>
      <c r="Y329" s="176">
        <f ca="1">W329-X329</f>
        <v>0</v>
      </c>
      <c r="Z329" s="176">
        <f>IF(AN329&gt;0,Y329*Calculation_sheet!C$94,0)</f>
        <v>0</v>
      </c>
      <c r="AA329" s="958">
        <f ca="1">Y329-Z329</f>
        <v>0</v>
      </c>
      <c r="AB329" s="176">
        <f ca="1">AA329*Calculation_sheet!C$99</f>
        <v>0</v>
      </c>
      <c r="AC329" s="958">
        <f ca="1">AA329-AB329</f>
        <v>0</v>
      </c>
      <c r="AD329" s="176">
        <f t="shared" si="457"/>
        <v>0</v>
      </c>
      <c r="AE329" s="176">
        <f>AD329*User_sheet!B$77/100</f>
        <v>0</v>
      </c>
      <c r="AG329" s="27">
        <v>404</v>
      </c>
      <c r="AH329" s="985"/>
      <c r="AI329" s="956">
        <f t="shared" ca="1" si="381"/>
        <v>114.80670531605804</v>
      </c>
      <c r="AJ329" s="956">
        <f ca="1">AI329/'404'!I$24</f>
        <v>0.43365832634304613</v>
      </c>
      <c r="AK329" s="956">
        <f ca="1">0.8*(AI329*30+'404'!D$17*0.34*30*1+2500)</f>
        <v>8410.2249275853956</v>
      </c>
      <c r="AL329" s="954">
        <f ca="1">IF(AK329&lt;User_sheet!B$50,W329,0)</f>
        <v>0</v>
      </c>
      <c r="AM329" s="954">
        <f ca="1">20-(User_sheet!B$57/(AI329+'403'!D$17*1*0.34))</f>
        <v>-5.5900892782638394</v>
      </c>
      <c r="AN329" s="954"/>
      <c r="AO329" s="985"/>
      <c r="AP329" s="27">
        <v>0</v>
      </c>
      <c r="AQ329" s="27">
        <v>0.43</v>
      </c>
      <c r="AR329" s="27">
        <v>0</v>
      </c>
      <c r="AS329" s="27">
        <v>2</v>
      </c>
      <c r="AT329" s="27">
        <v>0</v>
      </c>
      <c r="AU329" s="2">
        <v>0</v>
      </c>
      <c r="AV329" s="2">
        <v>74834</v>
      </c>
      <c r="AW329" s="2">
        <v>0</v>
      </c>
      <c r="AX329" s="2">
        <v>0</v>
      </c>
      <c r="AY329" s="2">
        <v>0</v>
      </c>
      <c r="AZ329" s="50">
        <v>0.6</v>
      </c>
      <c r="BA329" s="34">
        <v>0</v>
      </c>
      <c r="BB329" s="2">
        <v>1</v>
      </c>
      <c r="BC329" s="40">
        <v>0</v>
      </c>
      <c r="BD329" s="34">
        <v>1</v>
      </c>
      <c r="BE329" s="199">
        <v>0</v>
      </c>
      <c r="BF329" s="50">
        <v>0</v>
      </c>
      <c r="BG329" s="34">
        <v>0</v>
      </c>
      <c r="BH329" s="50">
        <v>1</v>
      </c>
      <c r="BI329" s="34">
        <v>0</v>
      </c>
      <c r="BJ329" s="199">
        <v>1</v>
      </c>
      <c r="BK329" s="50">
        <v>0</v>
      </c>
      <c r="BL329" s="199">
        <v>0.04</v>
      </c>
      <c r="BM329" s="199">
        <v>2.5</v>
      </c>
      <c r="BN329">
        <f ca="1">INDIRECT("'"&amp;AG329&amp;"'!"&amp;"B2")</f>
        <v>149.30959999999999</v>
      </c>
      <c r="BO329" s="32">
        <f ca="1">INDIRECT("'"&amp;AG329&amp;"'!"&amp;"C12")+INDIRECT("'"&amp;AG329&amp;"'!"&amp;"C13")+INDIRECT("'"&amp;AG329&amp;"'!"&amp;"C14")+INDIRECT("'"&amp;AG329&amp;"'!"&amp;"C15")+INDIRECT("'"&amp;AG329&amp;"'!"&amp;"C17")</f>
        <v>438.00000000000006</v>
      </c>
      <c r="BP329">
        <f t="shared" ca="1" si="384"/>
        <v>0</v>
      </c>
      <c r="BQ329">
        <f t="shared" ca="1" si="385"/>
        <v>75.44</v>
      </c>
      <c r="BR329">
        <f t="shared" ca="1" si="386"/>
        <v>0</v>
      </c>
      <c r="BS329">
        <f t="shared" ca="1" si="387"/>
        <v>39.999999999999993</v>
      </c>
      <c r="BT329">
        <f t="shared" ca="1" si="388"/>
        <v>0</v>
      </c>
      <c r="BU329">
        <v>0</v>
      </c>
      <c r="BV329">
        <f t="shared" ca="1" si="461"/>
        <v>0</v>
      </c>
      <c r="BW329">
        <f t="shared" ca="1" si="461"/>
        <v>30.189105348058067</v>
      </c>
      <c r="BX329">
        <f t="shared" ca="1" si="461"/>
        <v>0</v>
      </c>
      <c r="BY329">
        <f ca="1">IF(OR(BS329=0,AS329=0),0,1/(1/(BS329*$BW$5)+1/(BS329*AS329)+1/(BS329*$BW$6)))</f>
        <v>79.999999967999983</v>
      </c>
      <c r="BZ329">
        <f t="shared" ca="1" si="462"/>
        <v>0</v>
      </c>
      <c r="CA329">
        <f t="shared" si="462"/>
        <v>0</v>
      </c>
      <c r="CB329" s="1018">
        <f ca="1">SUM(BV329:CA329)+(BP329+BQ329+BR329+BS329+BT329)*BL329</f>
        <v>114.80670531605804</v>
      </c>
      <c r="CC329" s="1018">
        <f ca="1">0.34*BM329*(1/25)^0.66*(BQ329+BS329+BT329)+0.34*0.6*BO329*0.2</f>
        <v>29.595993607484566</v>
      </c>
      <c r="CD329">
        <f t="shared" ca="1" si="382"/>
        <v>4.3320809677062782</v>
      </c>
      <c r="CE329">
        <f t="shared" ca="1" si="383"/>
        <v>7212.7415279922443</v>
      </c>
    </row>
    <row r="330" spans="3:83" x14ac:dyDescent="0.25">
      <c r="C330" s="1" t="s">
        <v>190</v>
      </c>
      <c r="D330" s="5">
        <f>Calculation_sheet!B49</f>
        <v>0</v>
      </c>
      <c r="E330" t="s">
        <v>4</v>
      </c>
      <c r="F330" s="5">
        <v>1</v>
      </c>
      <c r="G330" t="s">
        <v>5</v>
      </c>
      <c r="H330" s="5">
        <v>1</v>
      </c>
      <c r="I330" s="1" t="s">
        <v>7</v>
      </c>
      <c r="J330" s="26">
        <f>User_sheet!D44/100</f>
        <v>0.1</v>
      </c>
      <c r="K330" s="1" t="s">
        <v>23</v>
      </c>
      <c r="L330" s="26">
        <v>1</v>
      </c>
      <c r="M330" s="27" t="s">
        <v>61</v>
      </c>
      <c r="N330" s="26">
        <v>1</v>
      </c>
      <c r="O330" s="1" t="s">
        <v>7</v>
      </c>
      <c r="P330" s="26">
        <v>1</v>
      </c>
      <c r="Q330" s="1"/>
      <c r="R330" s="200"/>
      <c r="T330" s="34">
        <f>Calculation_sheet!D50</f>
        <v>0</v>
      </c>
      <c r="U330" s="176">
        <f t="shared" si="460"/>
        <v>0</v>
      </c>
      <c r="V330" s="176">
        <f t="shared" si="460"/>
        <v>0</v>
      </c>
      <c r="W330" s="176">
        <f>V330/Calculation_sheet!M$67</f>
        <v>0</v>
      </c>
      <c r="X330" s="958">
        <f ca="1">IF(AL330&gt;0,W330*Calculation_sheet!C$87,0)</f>
        <v>0</v>
      </c>
      <c r="Y330" s="176">
        <f ca="1">W330-X330</f>
        <v>0</v>
      </c>
      <c r="Z330" s="176">
        <f>IF(AN330&gt;0,Y330*Calculation_sheet!C$94,0)</f>
        <v>0</v>
      </c>
      <c r="AA330" s="958">
        <f ca="1">Y330-Z330</f>
        <v>0</v>
      </c>
      <c r="AB330" s="176">
        <f ca="1">AA330*Calculation_sheet!C$99</f>
        <v>0</v>
      </c>
      <c r="AC330" s="958">
        <f ca="1">AA330-AB330</f>
        <v>0</v>
      </c>
      <c r="AD330" s="176">
        <f t="shared" si="457"/>
        <v>0</v>
      </c>
      <c r="AE330" s="176">
        <f>AD330*User_sheet!B$77/100</f>
        <v>0</v>
      </c>
      <c r="AG330" s="27">
        <v>404</v>
      </c>
      <c r="AH330" s="985"/>
      <c r="AI330" s="956">
        <f t="shared" ca="1" si="381"/>
        <v>114.80670531605804</v>
      </c>
      <c r="AJ330" s="956">
        <f ca="1">AI330/'404'!I$24</f>
        <v>0.43365832634304613</v>
      </c>
      <c r="AK330" s="956">
        <f ca="1">0.8*(AI330*30+'404'!D$17*0.34*30*1+2500)</f>
        <v>8410.2249275853956</v>
      </c>
      <c r="AL330" s="954">
        <f ca="1">IF(AK330&lt;User_sheet!B$50,W330,0)</f>
        <v>0</v>
      </c>
      <c r="AM330" s="954">
        <f ca="1">20-(User_sheet!B$57/(AI330+'403'!D$17*1*0.34))</f>
        <v>-5.5900892782638394</v>
      </c>
      <c r="AN330" s="954"/>
      <c r="AO330" s="985"/>
      <c r="AP330" s="27">
        <v>0</v>
      </c>
      <c r="AQ330" s="27">
        <v>0.43</v>
      </c>
      <c r="AR330" s="27">
        <v>0</v>
      </c>
      <c r="AS330" s="27">
        <v>2</v>
      </c>
      <c r="AT330" s="27">
        <v>0</v>
      </c>
      <c r="AU330" s="2">
        <v>0</v>
      </c>
      <c r="AV330" s="2">
        <v>74834</v>
      </c>
      <c r="AW330" s="2">
        <v>0</v>
      </c>
      <c r="AX330" s="2">
        <v>0</v>
      </c>
      <c r="AY330" s="2">
        <v>0</v>
      </c>
      <c r="AZ330" s="50">
        <v>0.6</v>
      </c>
      <c r="BA330" s="199">
        <v>0</v>
      </c>
      <c r="BB330" s="199">
        <v>0</v>
      </c>
      <c r="BC330" s="50">
        <v>1</v>
      </c>
      <c r="BD330" s="199">
        <v>0</v>
      </c>
      <c r="BE330" s="199">
        <v>0</v>
      </c>
      <c r="BF330" s="50">
        <v>1</v>
      </c>
      <c r="BG330" s="199">
        <v>1</v>
      </c>
      <c r="BH330" s="40">
        <v>0</v>
      </c>
      <c r="BI330" s="199">
        <v>0</v>
      </c>
      <c r="BJ330" s="199">
        <v>0</v>
      </c>
      <c r="BK330" s="40">
        <v>1</v>
      </c>
      <c r="BL330" s="199">
        <v>0.04</v>
      </c>
      <c r="BM330" s="199">
        <v>2.5</v>
      </c>
      <c r="BN330">
        <f ca="1">INDIRECT("'"&amp;AG330&amp;"'!"&amp;"B2")</f>
        <v>149.30959999999999</v>
      </c>
      <c r="BO330" s="32">
        <f ca="1">INDIRECT("'"&amp;AG330&amp;"'!"&amp;"C12")+INDIRECT("'"&amp;AG330&amp;"'!"&amp;"C13")+INDIRECT("'"&amp;AG330&amp;"'!"&amp;"C14")+INDIRECT("'"&amp;AG330&amp;"'!"&amp;"C15")+INDIRECT("'"&amp;AG330&amp;"'!"&amp;"C17")</f>
        <v>438.00000000000006</v>
      </c>
      <c r="BP330">
        <f t="shared" ca="1" si="384"/>
        <v>0</v>
      </c>
      <c r="BQ330">
        <f t="shared" ca="1" si="385"/>
        <v>75.44</v>
      </c>
      <c r="BR330">
        <f t="shared" ca="1" si="386"/>
        <v>0</v>
      </c>
      <c r="BS330">
        <f t="shared" ca="1" si="387"/>
        <v>39.999999999999993</v>
      </c>
      <c r="BT330">
        <f t="shared" ca="1" si="388"/>
        <v>0</v>
      </c>
      <c r="BU330">
        <v>0</v>
      </c>
      <c r="BV330">
        <f t="shared" ca="1" si="461"/>
        <v>0</v>
      </c>
      <c r="BW330">
        <f t="shared" ca="1" si="461"/>
        <v>30.189105348058067</v>
      </c>
      <c r="BX330">
        <f t="shared" ca="1" si="461"/>
        <v>0</v>
      </c>
      <c r="BY330">
        <f ca="1">IF(OR(BS330=0,AS330=0),0,1/(1/(BS330*$BW$5)+1/(BS330*AS330)+1/(BS330*$BW$6)))</f>
        <v>79.999999967999983</v>
      </c>
      <c r="BZ330">
        <f t="shared" ca="1" si="462"/>
        <v>0</v>
      </c>
      <c r="CA330">
        <f t="shared" si="462"/>
        <v>0</v>
      </c>
      <c r="CB330" s="1018">
        <f ca="1">SUM(BV330:CA330)+(BP330+BQ330+BR330+BS330+BT330)*BL330</f>
        <v>114.80670531605804</v>
      </c>
      <c r="CC330" s="1018">
        <f ca="1">0.34*BM330*(1/25)^0.66*(BQ330+BS330+BT330)+0.34*0.6*BO330*0.2</f>
        <v>29.595993607484566</v>
      </c>
      <c r="CD330">
        <f t="shared" ca="1" si="382"/>
        <v>4.3320809677062782</v>
      </c>
      <c r="CE330">
        <f t="shared" ca="1" si="383"/>
        <v>7212.7415279922443</v>
      </c>
    </row>
    <row r="331" spans="3:83" s="9" customFormat="1" x14ac:dyDescent="0.25">
      <c r="R331" s="84"/>
      <c r="S331" s="881"/>
      <c r="T331" s="279"/>
      <c r="U331" s="283"/>
      <c r="V331" s="283"/>
      <c r="W331" s="283"/>
      <c r="X331" s="279"/>
      <c r="Y331" s="283"/>
      <c r="Z331" s="283"/>
      <c r="AA331" s="279"/>
      <c r="AB331" s="283"/>
      <c r="AC331" s="279"/>
      <c r="AD331" s="283"/>
      <c r="AE331" s="283"/>
      <c r="AF331" s="312"/>
      <c r="AG331" s="38"/>
      <c r="AH331" s="312"/>
      <c r="AI331" s="38"/>
      <c r="AJ331" s="38"/>
      <c r="AK331" s="38"/>
      <c r="AL331" s="38"/>
      <c r="AM331" s="38"/>
      <c r="AN331" s="38"/>
      <c r="AO331" s="312"/>
      <c r="AP331" s="38"/>
      <c r="AQ331" s="38"/>
      <c r="AR331" s="38"/>
      <c r="AZ331" s="42"/>
      <c r="BB331" s="38"/>
      <c r="BC331" s="42"/>
      <c r="BF331" s="42"/>
      <c r="BG331" s="38"/>
      <c r="BH331" s="42"/>
      <c r="BI331" s="38"/>
      <c r="BK331" s="42"/>
      <c r="BL331" s="38"/>
      <c r="BM331" s="38"/>
      <c r="BO331" s="38"/>
    </row>
    <row r="332" spans="3:83" x14ac:dyDescent="0.25">
      <c r="Q332" s="32"/>
      <c r="R332" s="85">
        <f>SUM(R13:R331)</f>
        <v>0.2605999985000001</v>
      </c>
      <c r="T332" s="199"/>
      <c r="U332" s="200"/>
      <c r="V332" s="200"/>
      <c r="W332" s="200">
        <f>SUM(W12:W331)</f>
        <v>0.26060532683927795</v>
      </c>
      <c r="X332" s="199"/>
      <c r="Y332" s="200"/>
      <c r="AA332" s="199"/>
      <c r="AB332" s="200"/>
      <c r="AC332" s="199"/>
      <c r="AD332" s="200"/>
      <c r="AG332" s="37"/>
      <c r="AH332" s="312"/>
      <c r="AI332" s="935"/>
      <c r="AJ332" s="935"/>
      <c r="AK332" s="956"/>
      <c r="AL332" s="935">
        <f ca="1">SUM(AL12:AL331)</f>
        <v>0.2579975525771977</v>
      </c>
      <c r="AM332" s="935"/>
      <c r="AN332" s="935"/>
      <c r="AO332" s="312"/>
      <c r="AP332" s="32"/>
      <c r="AQ332" s="32"/>
      <c r="AR332" s="32"/>
      <c r="AS332" s="32"/>
      <c r="AT332" s="32"/>
      <c r="AU332" s="32"/>
      <c r="AV332" s="32"/>
      <c r="AW332" s="32"/>
      <c r="AX332" s="32"/>
      <c r="AY332" s="32"/>
      <c r="BB332" s="32"/>
      <c r="BE332" s="32"/>
      <c r="BJ332" s="32"/>
    </row>
    <row r="333" spans="3:83" x14ac:dyDescent="0.25">
      <c r="Q333" s="32"/>
      <c r="T333" s="199"/>
      <c r="U333" s="200"/>
      <c r="V333" s="200"/>
      <c r="W333" s="200"/>
      <c r="X333" s="199"/>
      <c r="Y333" s="200"/>
      <c r="AA333" s="199"/>
      <c r="AB333" s="200"/>
      <c r="AC333" s="199"/>
      <c r="AD333" s="200"/>
      <c r="AG333" s="37"/>
      <c r="AH333" s="312"/>
      <c r="AI333" s="935"/>
      <c r="AJ333" s="935"/>
      <c r="AK333" s="956"/>
      <c r="AL333" s="935"/>
      <c r="AM333" s="935"/>
      <c r="AN333" s="935"/>
      <c r="AO333" s="312"/>
      <c r="AP333" s="32"/>
      <c r="AQ333" s="32"/>
      <c r="AR333" s="32"/>
      <c r="AS333" s="32"/>
      <c r="AT333" s="32"/>
      <c r="AU333" s="32"/>
      <c r="AV333" s="32"/>
      <c r="AW333" s="32"/>
      <c r="AX333" s="32"/>
      <c r="AY333" s="32"/>
      <c r="BB333" s="32"/>
      <c r="BE333" s="32"/>
      <c r="BJ333" s="32"/>
    </row>
    <row r="334" spans="3:83" x14ac:dyDescent="0.25">
      <c r="Q334" s="32"/>
      <c r="T334" s="199"/>
      <c r="U334" s="200"/>
      <c r="V334" s="200"/>
      <c r="W334" s="200"/>
      <c r="X334" s="199"/>
      <c r="Y334" s="200"/>
      <c r="Z334" s="200"/>
      <c r="AA334" s="199"/>
      <c r="AB334" s="200"/>
      <c r="AC334" s="199"/>
      <c r="AD334" s="200"/>
      <c r="AE334" s="200"/>
      <c r="AG334" s="37"/>
      <c r="AH334" s="312"/>
      <c r="AI334" s="935"/>
      <c r="AJ334" s="935"/>
      <c r="AK334" s="935"/>
      <c r="AL334" s="935"/>
      <c r="AM334" s="935"/>
      <c r="AN334" s="935"/>
      <c r="AO334" s="312"/>
      <c r="AP334" s="32"/>
      <c r="AQ334" s="32"/>
      <c r="AR334" s="32"/>
      <c r="AS334" s="32"/>
      <c r="AT334" s="32"/>
      <c r="AU334" s="32"/>
      <c r="AV334" s="32"/>
      <c r="AW334" s="32"/>
      <c r="AX334" s="32"/>
      <c r="AY334" s="32"/>
      <c r="BB334" s="32"/>
      <c r="BE334" s="32"/>
      <c r="BJ334" s="32"/>
    </row>
    <row r="335" spans="3:83" x14ac:dyDescent="0.25">
      <c r="Q335" s="32"/>
      <c r="T335" s="199"/>
      <c r="U335" s="200"/>
      <c r="V335" s="200"/>
      <c r="W335" s="200">
        <f>W332+'Terraced '!Y504+'Semi-detached'!Y504+'Freestanding '!Y504</f>
        <v>1</v>
      </c>
      <c r="X335" s="199"/>
      <c r="Y335" s="200"/>
      <c r="Z335" s="200"/>
      <c r="AA335" s="199"/>
      <c r="AB335" s="200"/>
      <c r="AC335" s="199"/>
      <c r="AD335" s="200"/>
      <c r="AE335" s="200"/>
      <c r="AG335" s="37"/>
      <c r="AH335" s="312"/>
      <c r="AI335" s="935"/>
      <c r="AJ335" s="935"/>
      <c r="AK335" s="935"/>
      <c r="AL335" s="935"/>
      <c r="AM335" s="935"/>
      <c r="AN335" s="935"/>
      <c r="AO335" s="312"/>
      <c r="AP335" s="32"/>
      <c r="AQ335" s="32"/>
      <c r="AR335" s="32"/>
      <c r="AS335" s="32"/>
      <c r="AT335" s="32"/>
      <c r="AU335" s="32"/>
      <c r="AV335" s="32"/>
      <c r="AW335" s="32"/>
      <c r="AX335" s="32"/>
      <c r="AY335" s="32"/>
      <c r="BB335" s="32"/>
      <c r="BE335" s="32"/>
      <c r="BJ335" s="32"/>
    </row>
    <row r="336" spans="3:83" x14ac:dyDescent="0.25">
      <c r="Q336" s="32"/>
      <c r="T336" s="199"/>
      <c r="U336" s="200"/>
      <c r="V336" s="200"/>
      <c r="W336" s="200"/>
      <c r="X336" s="199"/>
      <c r="Y336" s="200"/>
      <c r="Z336" s="200"/>
      <c r="AA336" s="199"/>
      <c r="AB336" s="200"/>
      <c r="AC336" s="199"/>
      <c r="AD336" s="200"/>
      <c r="AE336" s="200"/>
      <c r="AG336" s="37"/>
      <c r="AH336" s="312"/>
      <c r="AI336" s="935"/>
      <c r="AJ336" s="935"/>
      <c r="AK336" s="935"/>
      <c r="AL336" s="935"/>
      <c r="AM336" s="935"/>
      <c r="AN336" s="935"/>
      <c r="AO336" s="312"/>
      <c r="AP336" s="32"/>
      <c r="AQ336" s="32"/>
      <c r="AR336" s="32"/>
      <c r="AS336" s="32"/>
      <c r="AT336" s="32"/>
      <c r="AU336" s="32"/>
      <c r="AV336" s="32"/>
      <c r="AW336" s="32"/>
      <c r="AX336" s="32"/>
      <c r="AY336" s="32"/>
      <c r="BB336" s="32"/>
      <c r="BE336" s="32"/>
      <c r="BJ336" s="32"/>
    </row>
    <row r="337" spans="17:62" x14ac:dyDescent="0.25">
      <c r="Q337" s="32"/>
      <c r="T337" s="199"/>
      <c r="U337" s="200"/>
      <c r="V337" s="200"/>
      <c r="W337" s="200"/>
      <c r="X337" s="199"/>
      <c r="Y337" s="200"/>
      <c r="Z337" s="200"/>
      <c r="AA337" s="199"/>
      <c r="AB337" s="200"/>
      <c r="AC337" s="199"/>
      <c r="AD337" s="200"/>
      <c r="AE337" s="200"/>
      <c r="AG337" s="37"/>
      <c r="AH337" s="312"/>
      <c r="AI337" s="935"/>
      <c r="AJ337" s="935"/>
      <c r="AK337" s="935"/>
      <c r="AL337" s="935"/>
      <c r="AM337" s="935"/>
      <c r="AN337" s="935"/>
      <c r="AO337" s="312"/>
      <c r="AP337" s="32"/>
      <c r="AQ337" s="32"/>
      <c r="AR337" s="32"/>
      <c r="AS337" s="32"/>
      <c r="AT337" s="32"/>
      <c r="AU337" s="32"/>
      <c r="AV337" s="32"/>
      <c r="AW337" s="32"/>
      <c r="AX337" s="32"/>
      <c r="AY337" s="32"/>
      <c r="BB337" s="32"/>
      <c r="BE337" s="32"/>
      <c r="BJ337" s="32"/>
    </row>
    <row r="338" spans="17:62" x14ac:dyDescent="0.25">
      <c r="Q338" s="32"/>
      <c r="T338" s="199"/>
      <c r="U338" s="200"/>
      <c r="V338" s="200"/>
      <c r="W338" s="200"/>
      <c r="X338" s="199"/>
      <c r="Y338" s="200"/>
      <c r="Z338" s="200"/>
      <c r="AA338" s="199"/>
      <c r="AB338" s="200"/>
      <c r="AC338" s="199"/>
      <c r="AD338" s="200"/>
      <c r="AE338" s="200"/>
      <c r="AG338" s="37"/>
      <c r="AH338" s="312"/>
      <c r="AI338" s="935"/>
      <c r="AJ338" s="935"/>
      <c r="AK338" s="935"/>
      <c r="AL338" s="935"/>
      <c r="AM338" s="935"/>
      <c r="AN338" s="935"/>
      <c r="AO338" s="312"/>
      <c r="AP338" s="32"/>
      <c r="AQ338" s="32"/>
      <c r="AR338" s="32"/>
      <c r="AS338" s="32"/>
      <c r="AT338" s="32"/>
      <c r="AU338" s="32"/>
      <c r="AV338" s="32"/>
      <c r="AW338" s="32"/>
      <c r="AX338" s="32"/>
      <c r="AY338" s="32"/>
      <c r="BB338" s="32"/>
      <c r="BE338" s="32"/>
      <c r="BJ338" s="32"/>
    </row>
    <row r="339" spans="17:62" x14ac:dyDescent="0.25">
      <c r="Q339" s="32"/>
      <c r="T339" s="199"/>
      <c r="U339" s="200"/>
      <c r="V339" s="200"/>
      <c r="W339" s="200"/>
      <c r="X339" s="199"/>
      <c r="Y339" s="200"/>
      <c r="Z339" s="200"/>
      <c r="AA339" s="199"/>
      <c r="AB339" s="200"/>
      <c r="AC339" s="199"/>
      <c r="AD339" s="200"/>
      <c r="AE339" s="200"/>
      <c r="AG339" s="37"/>
      <c r="AH339" s="312"/>
      <c r="AI339" s="935"/>
      <c r="AJ339" s="935"/>
      <c r="AK339" s="935"/>
      <c r="AL339" s="935"/>
      <c r="AM339" s="935"/>
      <c r="AN339" s="935"/>
      <c r="AO339" s="312"/>
      <c r="AP339" s="32"/>
      <c r="AQ339" s="32"/>
      <c r="AR339" s="32"/>
      <c r="AS339" s="32"/>
      <c r="AT339" s="32"/>
      <c r="AU339" s="32"/>
      <c r="AV339" s="32"/>
      <c r="AW339" s="32"/>
      <c r="AX339" s="32"/>
      <c r="AY339" s="32"/>
      <c r="BB339" s="32"/>
      <c r="BE339" s="32"/>
      <c r="BJ339" s="32"/>
    </row>
    <row r="340" spans="17:62" x14ac:dyDescent="0.25">
      <c r="Q340" s="32"/>
      <c r="T340" s="199"/>
      <c r="U340" s="200"/>
      <c r="V340" s="200"/>
      <c r="W340" s="200"/>
      <c r="X340" s="199"/>
      <c r="Y340" s="200"/>
      <c r="Z340" s="200"/>
      <c r="AA340" s="199"/>
      <c r="AB340" s="200"/>
      <c r="AC340" s="199"/>
      <c r="AD340" s="200"/>
      <c r="AE340" s="200"/>
      <c r="AG340" s="37"/>
      <c r="AH340" s="312"/>
      <c r="AI340" s="935"/>
      <c r="AJ340" s="935"/>
      <c r="AK340" s="935"/>
      <c r="AL340" s="935"/>
      <c r="AM340" s="935"/>
      <c r="AN340" s="935"/>
      <c r="AO340" s="312"/>
      <c r="AP340" s="32"/>
      <c r="AQ340" s="32"/>
      <c r="AR340" s="32"/>
      <c r="AS340" s="32"/>
      <c r="AT340" s="32"/>
      <c r="AU340" s="32"/>
      <c r="AV340" s="32"/>
      <c r="AW340" s="32"/>
      <c r="AX340" s="32"/>
      <c r="AY340" s="32"/>
      <c r="BB340" s="32"/>
      <c r="BE340" s="32"/>
      <c r="BJ340" s="32"/>
    </row>
    <row r="341" spans="17:62" x14ac:dyDescent="0.25">
      <c r="Q341" s="32"/>
      <c r="T341" s="199"/>
      <c r="U341" s="200"/>
      <c r="V341" s="200"/>
      <c r="W341" s="200"/>
      <c r="X341" s="199"/>
      <c r="Y341" s="200"/>
      <c r="Z341" s="200"/>
      <c r="AA341" s="199"/>
      <c r="AB341" s="200"/>
      <c r="AC341" s="199"/>
      <c r="AD341" s="200"/>
      <c r="AE341" s="200"/>
      <c r="AG341" s="37"/>
      <c r="AH341" s="312"/>
      <c r="AI341" s="935"/>
      <c r="AJ341" s="935"/>
      <c r="AK341" s="935"/>
      <c r="AL341" s="935"/>
      <c r="AM341" s="935"/>
      <c r="AN341" s="935"/>
      <c r="AO341" s="312"/>
      <c r="AP341" s="32"/>
      <c r="AQ341" s="32"/>
      <c r="AR341" s="32"/>
      <c r="AS341" s="32"/>
      <c r="AT341" s="32"/>
      <c r="AU341" s="32"/>
      <c r="AV341" s="32"/>
      <c r="AW341" s="32"/>
      <c r="AX341" s="32"/>
      <c r="AY341" s="32"/>
      <c r="BB341" s="32"/>
      <c r="BE341" s="32"/>
      <c r="BJ341" s="32"/>
    </row>
    <row r="342" spans="17:62" x14ac:dyDescent="0.25">
      <c r="Q342" s="32"/>
      <c r="T342" s="199"/>
      <c r="U342" s="200"/>
      <c r="V342" s="200"/>
      <c r="W342" s="200"/>
      <c r="X342" s="199"/>
      <c r="Y342" s="200"/>
      <c r="Z342" s="200"/>
      <c r="AA342" s="199"/>
      <c r="AB342" s="200"/>
      <c r="AC342" s="199"/>
      <c r="AD342" s="200"/>
      <c r="AE342" s="200"/>
      <c r="AG342" s="37"/>
      <c r="AH342" s="312"/>
      <c r="AI342" s="935"/>
      <c r="AJ342" s="935"/>
      <c r="AK342" s="935"/>
      <c r="AL342" s="935"/>
      <c r="AM342" s="935"/>
      <c r="AN342" s="935"/>
      <c r="AO342" s="312"/>
      <c r="AP342" s="32"/>
      <c r="AQ342" s="32"/>
      <c r="AR342" s="32"/>
      <c r="AS342" s="32"/>
      <c r="AT342" s="32"/>
      <c r="AU342" s="32"/>
      <c r="AV342" s="32"/>
      <c r="AW342" s="32"/>
      <c r="AX342" s="32"/>
      <c r="AY342" s="32"/>
      <c r="BB342" s="32"/>
      <c r="BE342" s="32"/>
      <c r="BJ342" s="32"/>
    </row>
    <row r="343" spans="17:62" x14ac:dyDescent="0.25">
      <c r="Q343" s="32"/>
      <c r="T343" s="199"/>
      <c r="U343" s="200"/>
      <c r="V343" s="200"/>
      <c r="W343" s="200"/>
      <c r="X343" s="199"/>
      <c r="Y343" s="200"/>
      <c r="Z343" s="200"/>
      <c r="AA343" s="199"/>
      <c r="AB343" s="200"/>
      <c r="AC343" s="199"/>
      <c r="AD343" s="200"/>
      <c r="AE343" s="200"/>
      <c r="AG343" s="37"/>
      <c r="AH343" s="312"/>
      <c r="AI343" s="935"/>
      <c r="AJ343" s="935"/>
      <c r="AK343" s="935"/>
      <c r="AL343" s="935"/>
      <c r="AM343" s="935"/>
      <c r="AN343" s="935"/>
      <c r="AO343" s="312"/>
      <c r="AP343" s="32"/>
      <c r="AQ343" s="32"/>
      <c r="AR343" s="32"/>
      <c r="AS343" s="32"/>
      <c r="AT343" s="32"/>
      <c r="AU343" s="32"/>
      <c r="AV343" s="32"/>
      <c r="AW343" s="32"/>
      <c r="AX343" s="32"/>
      <c r="AY343" s="32"/>
      <c r="BB343" s="32"/>
      <c r="BE343" s="32"/>
      <c r="BJ343" s="32"/>
    </row>
    <row r="344" spans="17:62" x14ac:dyDescent="0.25">
      <c r="Q344" s="32"/>
      <c r="T344" s="199"/>
      <c r="U344" s="200"/>
      <c r="V344" s="200"/>
      <c r="W344" s="200"/>
      <c r="X344" s="199"/>
      <c r="Y344" s="200"/>
      <c r="Z344" s="200"/>
      <c r="AA344" s="199"/>
      <c r="AB344" s="200"/>
      <c r="AC344" s="199"/>
      <c r="AD344" s="200"/>
      <c r="AE344" s="200"/>
      <c r="AG344" s="37"/>
      <c r="AH344" s="312"/>
      <c r="AI344" s="935"/>
      <c r="AJ344" s="935"/>
      <c r="AK344" s="935"/>
      <c r="AL344" s="935"/>
      <c r="AM344" s="935"/>
      <c r="AN344" s="935"/>
      <c r="AO344" s="312"/>
      <c r="AP344" s="32"/>
      <c r="AQ344" s="32"/>
      <c r="AR344" s="32"/>
      <c r="AS344" s="32"/>
      <c r="AT344" s="32"/>
      <c r="AU344" s="32"/>
      <c r="AV344" s="32"/>
      <c r="AW344" s="32"/>
      <c r="AX344" s="32"/>
      <c r="AY344" s="32"/>
      <c r="BB344" s="32"/>
      <c r="BE344" s="32"/>
      <c r="BJ344" s="32"/>
    </row>
    <row r="345" spans="17:62" x14ac:dyDescent="0.25">
      <c r="Q345" s="32"/>
      <c r="T345" s="199"/>
      <c r="U345" s="200"/>
      <c r="V345" s="200"/>
      <c r="W345" s="200"/>
      <c r="X345" s="199"/>
      <c r="Y345" s="200"/>
      <c r="Z345" s="200"/>
      <c r="AA345" s="199"/>
      <c r="AB345" s="200"/>
      <c r="AC345" s="199"/>
      <c r="AD345" s="200"/>
      <c r="AE345" s="200"/>
      <c r="AG345" s="37"/>
      <c r="AH345" s="312"/>
      <c r="AI345" s="935"/>
      <c r="AJ345" s="935"/>
      <c r="AK345" s="935"/>
      <c r="AL345" s="935"/>
      <c r="AM345" s="935"/>
      <c r="AN345" s="935"/>
      <c r="AO345" s="312"/>
      <c r="AP345" s="32"/>
      <c r="AQ345" s="32"/>
      <c r="AR345" s="32"/>
      <c r="AS345" s="32"/>
      <c r="AT345" s="32"/>
      <c r="AU345" s="32"/>
      <c r="AV345" s="32"/>
      <c r="AW345" s="32"/>
      <c r="AX345" s="32"/>
      <c r="AY345" s="32"/>
      <c r="BB345" s="32"/>
      <c r="BE345" s="32"/>
      <c r="BJ345" s="32"/>
    </row>
    <row r="346" spans="17:62" x14ac:dyDescent="0.25">
      <c r="Q346" s="32"/>
      <c r="T346" s="199"/>
      <c r="U346" s="200"/>
      <c r="V346" s="200"/>
      <c r="W346" s="200"/>
      <c r="X346" s="199"/>
      <c r="Y346" s="200"/>
      <c r="Z346" s="200"/>
      <c r="AA346" s="199"/>
      <c r="AB346" s="200"/>
      <c r="AC346" s="199"/>
      <c r="AD346" s="200"/>
      <c r="AE346" s="200"/>
      <c r="AG346" s="37"/>
      <c r="AH346" s="312"/>
      <c r="AI346" s="935"/>
      <c r="AJ346" s="935"/>
      <c r="AK346" s="935"/>
      <c r="AL346" s="935"/>
      <c r="AM346" s="935"/>
      <c r="AN346" s="935"/>
      <c r="AO346" s="312"/>
      <c r="AP346" s="32"/>
      <c r="AQ346" s="32"/>
      <c r="AR346" s="32"/>
      <c r="AS346" s="32"/>
      <c r="AT346" s="32"/>
      <c r="AU346" s="32"/>
      <c r="AV346" s="32"/>
      <c r="AW346" s="32"/>
      <c r="AX346" s="32"/>
      <c r="AY346" s="32"/>
      <c r="BB346" s="32"/>
      <c r="BE346" s="32"/>
      <c r="BJ346" s="32"/>
    </row>
    <row r="347" spans="17:62" x14ac:dyDescent="0.25">
      <c r="Q347" s="32"/>
      <c r="T347" s="199"/>
      <c r="U347" s="200"/>
      <c r="V347" s="200"/>
      <c r="W347" s="200"/>
      <c r="X347" s="199"/>
      <c r="Y347" s="200"/>
      <c r="Z347" s="200"/>
      <c r="AA347" s="199"/>
      <c r="AB347" s="200"/>
      <c r="AC347" s="199"/>
      <c r="AD347" s="200"/>
      <c r="AE347" s="200"/>
      <c r="AG347" s="37"/>
      <c r="AH347" s="312"/>
      <c r="AI347" s="935"/>
      <c r="AJ347" s="935"/>
      <c r="AK347" s="935"/>
      <c r="AL347" s="935"/>
      <c r="AM347" s="935"/>
      <c r="AN347" s="935"/>
      <c r="AO347" s="312"/>
      <c r="AP347" s="32"/>
      <c r="AQ347" s="32"/>
      <c r="AR347" s="32"/>
      <c r="AS347" s="32"/>
      <c r="AT347" s="32"/>
      <c r="AU347" s="32"/>
      <c r="AV347" s="32"/>
      <c r="AW347" s="32"/>
      <c r="AX347" s="32"/>
      <c r="AY347" s="32"/>
      <c r="BB347" s="32"/>
      <c r="BE347" s="32"/>
      <c r="BJ347" s="32"/>
    </row>
    <row r="348" spans="17:62" x14ac:dyDescent="0.25">
      <c r="Q348" s="32"/>
      <c r="T348" s="199"/>
      <c r="U348" s="200"/>
      <c r="V348" s="200"/>
      <c r="W348" s="200"/>
      <c r="X348" s="199"/>
      <c r="Y348" s="200"/>
      <c r="Z348" s="200"/>
      <c r="AA348" s="199"/>
      <c r="AB348" s="200"/>
      <c r="AC348" s="199"/>
      <c r="AD348" s="200"/>
      <c r="AE348" s="200"/>
      <c r="AG348" s="37"/>
      <c r="AH348" s="312"/>
      <c r="AI348" s="935"/>
      <c r="AJ348" s="935"/>
      <c r="AK348" s="935"/>
      <c r="AL348" s="935"/>
      <c r="AM348" s="935"/>
      <c r="AN348" s="935"/>
      <c r="AO348" s="312"/>
      <c r="AP348" s="32"/>
      <c r="AQ348" s="32"/>
      <c r="AR348" s="32"/>
      <c r="AS348" s="32"/>
      <c r="AT348" s="32"/>
      <c r="AU348" s="32"/>
      <c r="AV348" s="32"/>
      <c r="AW348" s="32"/>
      <c r="AX348" s="32"/>
      <c r="AY348" s="32"/>
      <c r="BB348" s="32"/>
      <c r="BE348" s="32"/>
      <c r="BJ348" s="32"/>
    </row>
    <row r="349" spans="17:62" x14ac:dyDescent="0.25">
      <c r="Q349" s="32"/>
      <c r="T349" s="199"/>
      <c r="U349" s="200"/>
      <c r="V349" s="200"/>
      <c r="W349" s="200"/>
      <c r="X349" s="199"/>
      <c r="Y349" s="200"/>
      <c r="Z349" s="200"/>
      <c r="AA349" s="199"/>
      <c r="AB349" s="200"/>
      <c r="AC349" s="199"/>
      <c r="AD349" s="200"/>
      <c r="AE349" s="200"/>
      <c r="AG349" s="37"/>
      <c r="AH349" s="312"/>
      <c r="AI349" s="935"/>
      <c r="AJ349" s="935"/>
      <c r="AK349" s="935"/>
      <c r="AL349" s="935"/>
      <c r="AM349" s="935"/>
      <c r="AN349" s="935"/>
      <c r="AO349" s="312"/>
      <c r="AP349" s="32"/>
      <c r="AQ349" s="32"/>
      <c r="AR349" s="32"/>
      <c r="AS349" s="32"/>
      <c r="AT349" s="32"/>
      <c r="AU349" s="32"/>
      <c r="AV349" s="32"/>
      <c r="AW349" s="32"/>
      <c r="AX349" s="32"/>
      <c r="AY349" s="32"/>
      <c r="BB349" s="32"/>
      <c r="BE349" s="32"/>
      <c r="BJ349" s="32"/>
    </row>
    <row r="350" spans="17:62" x14ac:dyDescent="0.25">
      <c r="Q350" s="32"/>
      <c r="T350" s="199"/>
      <c r="U350" s="200"/>
      <c r="V350" s="200"/>
      <c r="W350" s="200"/>
      <c r="X350" s="199"/>
      <c r="Y350" s="200"/>
      <c r="Z350" s="200"/>
      <c r="AA350" s="199"/>
      <c r="AB350" s="200"/>
      <c r="AC350" s="199"/>
      <c r="AD350" s="200"/>
      <c r="AE350" s="200"/>
      <c r="AG350" s="37"/>
      <c r="AH350" s="312"/>
      <c r="AI350" s="935"/>
      <c r="AJ350" s="935"/>
      <c r="AK350" s="935"/>
      <c r="AL350" s="935"/>
      <c r="AM350" s="935"/>
      <c r="AN350" s="935"/>
      <c r="AO350" s="312"/>
      <c r="AP350" s="32"/>
      <c r="AQ350" s="32"/>
      <c r="AR350" s="32"/>
      <c r="AS350" s="32"/>
      <c r="AT350" s="32"/>
      <c r="AU350" s="32"/>
      <c r="AV350" s="32"/>
      <c r="AW350" s="32"/>
      <c r="AX350" s="32"/>
      <c r="AY350" s="32"/>
      <c r="BB350" s="32"/>
      <c r="BE350" s="32"/>
      <c r="BJ350" s="32"/>
    </row>
    <row r="351" spans="17:62" x14ac:dyDescent="0.25">
      <c r="Q351" s="32"/>
      <c r="T351" s="199"/>
      <c r="U351" s="200"/>
      <c r="V351" s="200"/>
      <c r="W351" s="200"/>
      <c r="X351" s="199"/>
      <c r="Y351" s="200"/>
      <c r="Z351" s="200"/>
      <c r="AA351" s="199"/>
      <c r="AB351" s="200"/>
      <c r="AC351" s="199"/>
      <c r="AD351" s="200"/>
      <c r="AE351" s="200"/>
      <c r="AG351" s="37"/>
      <c r="AH351" s="312"/>
      <c r="AI351" s="935"/>
      <c r="AJ351" s="935"/>
      <c r="AK351" s="935"/>
      <c r="AL351" s="935"/>
      <c r="AM351" s="935"/>
      <c r="AN351" s="935"/>
      <c r="AO351" s="312"/>
      <c r="AP351" s="32"/>
      <c r="AQ351" s="32"/>
      <c r="AR351" s="32"/>
      <c r="AS351" s="32"/>
      <c r="AT351" s="32"/>
      <c r="AU351" s="32"/>
      <c r="AV351" s="32"/>
      <c r="AW351" s="32"/>
      <c r="AX351" s="32"/>
      <c r="AY351" s="32"/>
      <c r="BB351" s="32"/>
      <c r="BE351" s="32"/>
      <c r="BJ351" s="32"/>
    </row>
    <row r="352" spans="17:62" x14ac:dyDescent="0.25">
      <c r="Q352" s="32"/>
      <c r="T352" s="199"/>
      <c r="U352" s="200"/>
      <c r="V352" s="200"/>
      <c r="W352" s="200"/>
      <c r="X352" s="199"/>
      <c r="Y352" s="200"/>
      <c r="Z352" s="200"/>
      <c r="AA352" s="199"/>
      <c r="AB352" s="200"/>
      <c r="AC352" s="199"/>
      <c r="AD352" s="200"/>
      <c r="AE352" s="200"/>
      <c r="AG352" s="37"/>
      <c r="AH352" s="312"/>
      <c r="AI352" s="935"/>
      <c r="AJ352" s="935"/>
      <c r="AK352" s="935"/>
      <c r="AL352" s="935"/>
      <c r="AM352" s="935"/>
      <c r="AN352" s="935"/>
      <c r="AO352" s="312"/>
      <c r="AP352" s="32"/>
      <c r="AQ352" s="32"/>
      <c r="AR352" s="32"/>
      <c r="AS352" s="32"/>
      <c r="AT352" s="32"/>
      <c r="AU352" s="32"/>
      <c r="AV352" s="32"/>
      <c r="AW352" s="32"/>
      <c r="AX352" s="32"/>
      <c r="AY352" s="32"/>
      <c r="BB352" s="32"/>
      <c r="BE352" s="32"/>
      <c r="BJ352" s="32"/>
    </row>
    <row r="353" spans="17:62" x14ac:dyDescent="0.25">
      <c r="Q353" s="32"/>
      <c r="T353" s="199"/>
      <c r="U353" s="200"/>
      <c r="V353" s="200"/>
      <c r="W353" s="200"/>
      <c r="X353" s="199"/>
      <c r="Y353" s="200"/>
      <c r="Z353" s="200"/>
      <c r="AA353" s="199"/>
      <c r="AB353" s="200"/>
      <c r="AC353" s="199"/>
      <c r="AD353" s="200"/>
      <c r="AE353" s="200"/>
      <c r="AG353" s="37"/>
      <c r="AH353" s="312"/>
      <c r="AI353" s="935"/>
      <c r="AJ353" s="935"/>
      <c r="AK353" s="935"/>
      <c r="AL353" s="935"/>
      <c r="AM353" s="935"/>
      <c r="AN353" s="935"/>
      <c r="AO353" s="312"/>
      <c r="AP353" s="32"/>
      <c r="AQ353" s="32"/>
      <c r="AR353" s="32"/>
      <c r="AS353" s="32"/>
      <c r="AT353" s="32"/>
      <c r="AU353" s="32"/>
      <c r="AV353" s="32"/>
      <c r="AW353" s="32"/>
      <c r="AX353" s="32"/>
      <c r="AY353" s="32"/>
      <c r="BB353" s="32"/>
      <c r="BE353" s="32"/>
      <c r="BJ353" s="32"/>
    </row>
    <row r="354" spans="17:62" x14ac:dyDescent="0.25">
      <c r="Q354" s="32"/>
      <c r="T354" s="199"/>
      <c r="U354" s="200"/>
      <c r="V354" s="200"/>
      <c r="W354" s="200"/>
      <c r="X354" s="199"/>
      <c r="Y354" s="200"/>
      <c r="Z354" s="200"/>
      <c r="AA354" s="199"/>
      <c r="AB354" s="200"/>
      <c r="AC354" s="199"/>
      <c r="AD354" s="200"/>
      <c r="AE354" s="200"/>
      <c r="AG354" s="37"/>
      <c r="AH354" s="312"/>
      <c r="AI354" s="935"/>
      <c r="AJ354" s="935"/>
      <c r="AK354" s="935"/>
      <c r="AL354" s="935"/>
      <c r="AM354" s="935"/>
      <c r="AN354" s="935"/>
      <c r="AO354" s="312"/>
      <c r="AP354" s="32"/>
      <c r="AQ354" s="32"/>
      <c r="AR354" s="32"/>
      <c r="AS354" s="32"/>
      <c r="AT354" s="32"/>
      <c r="AU354" s="32"/>
      <c r="AV354" s="32"/>
      <c r="AW354" s="32"/>
      <c r="AX354" s="32"/>
      <c r="AY354" s="32"/>
      <c r="BB354" s="32"/>
      <c r="BE354" s="32"/>
      <c r="BJ354" s="32"/>
    </row>
    <row r="355" spans="17:62" x14ac:dyDescent="0.25">
      <c r="Q355" s="32"/>
      <c r="T355" s="199"/>
      <c r="U355" s="200"/>
      <c r="V355" s="200"/>
      <c r="W355" s="200"/>
      <c r="X355" s="199"/>
      <c r="Y355" s="200"/>
      <c r="Z355" s="200"/>
      <c r="AA355" s="199"/>
      <c r="AB355" s="200"/>
      <c r="AC355" s="199"/>
      <c r="AD355" s="200"/>
      <c r="AE355" s="200"/>
      <c r="AG355" s="37"/>
      <c r="AH355" s="312"/>
      <c r="AI355" s="935"/>
      <c r="AJ355" s="935"/>
      <c r="AK355" s="935"/>
      <c r="AL355" s="935"/>
      <c r="AM355" s="935"/>
      <c r="AN355" s="935"/>
      <c r="AO355" s="312"/>
      <c r="AP355" s="32"/>
      <c r="AQ355" s="32"/>
      <c r="AR355" s="32"/>
      <c r="AS355" s="32"/>
      <c r="AT355" s="32"/>
      <c r="AU355" s="32"/>
      <c r="AV355" s="32"/>
      <c r="AW355" s="32"/>
      <c r="AX355" s="32"/>
      <c r="AY355" s="32"/>
      <c r="BB355" s="32"/>
      <c r="BE355" s="32"/>
      <c r="BJ355" s="32"/>
    </row>
    <row r="356" spans="17:62" x14ac:dyDescent="0.25">
      <c r="Q356" s="32"/>
      <c r="T356" s="199"/>
      <c r="U356" s="200"/>
      <c r="V356" s="200"/>
      <c r="W356" s="200"/>
      <c r="X356" s="199"/>
      <c r="Y356" s="200"/>
      <c r="Z356" s="200"/>
      <c r="AA356" s="199"/>
      <c r="AB356" s="200"/>
      <c r="AC356" s="199"/>
      <c r="AD356" s="200"/>
      <c r="AE356" s="200"/>
      <c r="AG356" s="37"/>
      <c r="AH356" s="312"/>
      <c r="AI356" s="935"/>
      <c r="AJ356" s="935"/>
      <c r="AK356" s="935"/>
      <c r="AL356" s="935"/>
      <c r="AM356" s="935"/>
      <c r="AN356" s="935"/>
      <c r="AO356" s="312"/>
      <c r="AP356" s="32"/>
      <c r="AQ356" s="32"/>
      <c r="AR356" s="32"/>
      <c r="AS356" s="32"/>
      <c r="AT356" s="32"/>
      <c r="AU356" s="32"/>
      <c r="AV356" s="32"/>
      <c r="AW356" s="32"/>
      <c r="AX356" s="32"/>
      <c r="AY356" s="32"/>
      <c r="BB356" s="32"/>
      <c r="BE356" s="32"/>
      <c r="BJ356" s="32"/>
    </row>
    <row r="357" spans="17:62" x14ac:dyDescent="0.25">
      <c r="Q357" s="32"/>
      <c r="T357" s="199"/>
      <c r="U357" s="200"/>
      <c r="V357" s="200"/>
      <c r="W357" s="200"/>
      <c r="X357" s="199"/>
      <c r="Y357" s="200"/>
      <c r="Z357" s="200"/>
      <c r="AA357" s="199"/>
      <c r="AB357" s="200"/>
      <c r="AC357" s="199"/>
      <c r="AD357" s="200"/>
      <c r="AE357" s="200"/>
      <c r="AG357" s="37"/>
      <c r="AH357" s="312"/>
      <c r="AI357" s="935"/>
      <c r="AJ357" s="935"/>
      <c r="AK357" s="935"/>
      <c r="AL357" s="935"/>
      <c r="AM357" s="935"/>
      <c r="AN357" s="935"/>
      <c r="AO357" s="312"/>
      <c r="AP357" s="32"/>
      <c r="AQ357" s="32"/>
      <c r="AR357" s="32"/>
      <c r="AS357" s="32"/>
      <c r="AT357" s="32"/>
      <c r="AU357" s="32"/>
      <c r="AV357" s="32"/>
      <c r="AW357" s="32"/>
      <c r="AX357" s="32"/>
      <c r="AY357" s="32"/>
      <c r="BB357" s="32"/>
      <c r="BE357" s="32"/>
      <c r="BJ357" s="32"/>
    </row>
    <row r="358" spans="17:62" x14ac:dyDescent="0.25">
      <c r="Q358" s="32"/>
      <c r="T358" s="199"/>
      <c r="U358" s="200"/>
      <c r="V358" s="200"/>
      <c r="W358" s="200"/>
      <c r="X358" s="199"/>
      <c r="Y358" s="200"/>
      <c r="Z358" s="200"/>
      <c r="AA358" s="199"/>
      <c r="AB358" s="200"/>
      <c r="AC358" s="199"/>
      <c r="AD358" s="200"/>
      <c r="AE358" s="200"/>
      <c r="AG358" s="37"/>
      <c r="AH358" s="312"/>
      <c r="AI358" s="935"/>
      <c r="AJ358" s="935"/>
      <c r="AK358" s="935"/>
      <c r="AL358" s="935"/>
      <c r="AM358" s="935"/>
      <c r="AN358" s="935"/>
      <c r="AO358" s="312"/>
      <c r="AP358" s="32"/>
      <c r="AQ358" s="32"/>
      <c r="AR358" s="32"/>
      <c r="AS358" s="32"/>
      <c r="AT358" s="32"/>
      <c r="AU358" s="32"/>
      <c r="AV358" s="32"/>
      <c r="AW358" s="32"/>
      <c r="AX358" s="32"/>
      <c r="AY358" s="32"/>
      <c r="BB358" s="32"/>
      <c r="BE358" s="32"/>
      <c r="BJ358" s="32"/>
    </row>
    <row r="359" spans="17:62" x14ac:dyDescent="0.25">
      <c r="Q359" s="32"/>
      <c r="T359" s="199"/>
      <c r="U359" s="200"/>
      <c r="V359" s="200"/>
      <c r="W359" s="200"/>
      <c r="X359" s="199"/>
      <c r="Y359" s="200"/>
      <c r="Z359" s="200"/>
      <c r="AA359" s="199"/>
      <c r="AB359" s="200"/>
      <c r="AC359" s="199"/>
      <c r="AD359" s="200"/>
      <c r="AE359" s="200"/>
      <c r="AG359" s="37"/>
      <c r="AH359" s="312"/>
      <c r="AI359" s="935"/>
      <c r="AJ359" s="935"/>
      <c r="AK359" s="935"/>
      <c r="AL359" s="935"/>
      <c r="AM359" s="935"/>
      <c r="AN359" s="935"/>
      <c r="AO359" s="312"/>
      <c r="AP359" s="32"/>
      <c r="AQ359" s="32"/>
      <c r="AR359" s="32"/>
      <c r="AS359" s="32"/>
      <c r="AT359" s="32"/>
      <c r="AU359" s="32"/>
      <c r="AV359" s="32"/>
      <c r="AW359" s="32"/>
      <c r="AX359" s="32"/>
      <c r="AY359" s="32"/>
      <c r="BB359" s="32"/>
      <c r="BE359" s="32"/>
      <c r="BJ359" s="32"/>
    </row>
    <row r="360" spans="17:62" x14ac:dyDescent="0.25">
      <c r="Q360" s="32"/>
      <c r="T360" s="199"/>
      <c r="U360" s="200"/>
      <c r="V360" s="200"/>
      <c r="W360" s="200"/>
      <c r="X360" s="199"/>
      <c r="Y360" s="200"/>
      <c r="Z360" s="200"/>
      <c r="AA360" s="199"/>
      <c r="AB360" s="200"/>
      <c r="AC360" s="199"/>
      <c r="AD360" s="200"/>
      <c r="AE360" s="200"/>
      <c r="AG360" s="37"/>
      <c r="AH360" s="312"/>
      <c r="AI360" s="935"/>
      <c r="AJ360" s="935"/>
      <c r="AK360" s="935"/>
      <c r="AL360" s="935"/>
      <c r="AM360" s="935"/>
      <c r="AN360" s="935"/>
      <c r="AO360" s="312"/>
      <c r="AP360" s="32"/>
      <c r="AQ360" s="32"/>
      <c r="AR360" s="32"/>
      <c r="AS360" s="32"/>
      <c r="AT360" s="32"/>
      <c r="AU360" s="32"/>
      <c r="AV360" s="32"/>
      <c r="AW360" s="32"/>
      <c r="AX360" s="32"/>
      <c r="AY360" s="32"/>
      <c r="BB360" s="32"/>
      <c r="BE360" s="32"/>
      <c r="BJ360" s="32"/>
    </row>
    <row r="361" spans="17:62" x14ac:dyDescent="0.25">
      <c r="Q361" s="32"/>
      <c r="T361" s="199"/>
      <c r="U361" s="200"/>
      <c r="V361" s="200"/>
      <c r="W361" s="200"/>
      <c r="X361" s="199"/>
      <c r="Y361" s="200"/>
      <c r="Z361" s="200"/>
      <c r="AA361" s="199"/>
      <c r="AB361" s="200"/>
      <c r="AC361" s="199"/>
      <c r="AD361" s="200"/>
      <c r="AE361" s="200"/>
      <c r="AG361" s="37"/>
      <c r="AH361" s="312"/>
      <c r="AI361" s="935"/>
      <c r="AJ361" s="935"/>
      <c r="AK361" s="935"/>
      <c r="AL361" s="935"/>
      <c r="AM361" s="935"/>
      <c r="AN361" s="935"/>
      <c r="AO361" s="312"/>
      <c r="AP361" s="32"/>
      <c r="AQ361" s="32"/>
      <c r="AR361" s="32"/>
      <c r="AS361" s="32"/>
      <c r="AT361" s="32"/>
      <c r="AU361" s="32"/>
      <c r="AV361" s="32"/>
      <c r="AW361" s="32"/>
      <c r="AX361" s="32"/>
      <c r="AY361" s="32"/>
      <c r="BB361" s="32"/>
      <c r="BE361" s="32"/>
      <c r="BJ361" s="32"/>
    </row>
    <row r="362" spans="17:62" x14ac:dyDescent="0.25">
      <c r="Q362" s="32"/>
      <c r="T362" s="199"/>
      <c r="U362" s="200"/>
      <c r="V362" s="200"/>
      <c r="W362" s="200"/>
      <c r="X362" s="199"/>
      <c r="Y362" s="200"/>
      <c r="Z362" s="200"/>
      <c r="AA362" s="199"/>
      <c r="AB362" s="200"/>
      <c r="AC362" s="199"/>
      <c r="AD362" s="200"/>
      <c r="AE362" s="200"/>
      <c r="AG362" s="37"/>
      <c r="AH362" s="312"/>
      <c r="AI362" s="935"/>
      <c r="AJ362" s="935"/>
      <c r="AK362" s="935"/>
      <c r="AL362" s="935"/>
      <c r="AM362" s="935"/>
      <c r="AN362" s="935"/>
      <c r="AO362" s="312"/>
      <c r="AP362" s="32"/>
      <c r="AQ362" s="32"/>
      <c r="AR362" s="32"/>
      <c r="AS362" s="32"/>
      <c r="AT362" s="32"/>
      <c r="AU362" s="32"/>
      <c r="AV362" s="32"/>
      <c r="AW362" s="32"/>
      <c r="AX362" s="32"/>
      <c r="AY362" s="32"/>
      <c r="BB362" s="32"/>
      <c r="BE362" s="32"/>
      <c r="BJ362" s="32"/>
    </row>
    <row r="363" spans="17:62" x14ac:dyDescent="0.25">
      <c r="Q363" s="32"/>
      <c r="T363" s="199"/>
      <c r="U363" s="200"/>
      <c r="V363" s="200"/>
      <c r="W363" s="200"/>
      <c r="X363" s="199"/>
      <c r="Y363" s="200"/>
      <c r="Z363" s="200"/>
      <c r="AA363" s="199"/>
      <c r="AB363" s="200"/>
      <c r="AC363" s="199"/>
      <c r="AD363" s="200"/>
      <c r="AE363" s="200"/>
      <c r="AG363" s="37"/>
      <c r="AH363" s="312"/>
      <c r="AI363" s="935"/>
      <c r="AJ363" s="935"/>
      <c r="AK363" s="935"/>
      <c r="AL363" s="935"/>
      <c r="AM363" s="935"/>
      <c r="AN363" s="935"/>
      <c r="AO363" s="312"/>
      <c r="AP363" s="32"/>
      <c r="AQ363" s="32"/>
      <c r="AR363" s="32"/>
      <c r="AS363" s="32"/>
      <c r="AT363" s="32"/>
      <c r="AU363" s="32"/>
      <c r="AV363" s="32"/>
      <c r="AW363" s="32"/>
      <c r="AX363" s="32"/>
      <c r="AY363" s="32"/>
      <c r="BB363" s="32"/>
      <c r="BE363" s="32"/>
      <c r="BJ363" s="32"/>
    </row>
    <row r="364" spans="17:62" x14ac:dyDescent="0.25">
      <c r="Q364" s="32"/>
      <c r="T364" s="199"/>
      <c r="U364" s="200"/>
      <c r="V364" s="200"/>
      <c r="W364" s="200"/>
      <c r="X364" s="199"/>
      <c r="Y364" s="200"/>
      <c r="Z364" s="200"/>
      <c r="AA364" s="199"/>
      <c r="AB364" s="200"/>
      <c r="AC364" s="199"/>
      <c r="AD364" s="200"/>
      <c r="AE364" s="200"/>
      <c r="AG364" s="37"/>
      <c r="AH364" s="312"/>
      <c r="AI364" s="935"/>
      <c r="AJ364" s="935"/>
      <c r="AK364" s="935"/>
      <c r="AL364" s="935"/>
      <c r="AM364" s="935"/>
      <c r="AN364" s="935"/>
      <c r="AO364" s="312"/>
      <c r="AP364" s="32"/>
      <c r="AQ364" s="32"/>
      <c r="AR364" s="32"/>
      <c r="AS364" s="32"/>
      <c r="AT364" s="32"/>
      <c r="AU364" s="32"/>
      <c r="AV364" s="32"/>
      <c r="AW364" s="32"/>
      <c r="AX364" s="32"/>
      <c r="AY364" s="32"/>
      <c r="BB364" s="32"/>
      <c r="BE364" s="32"/>
      <c r="BJ364" s="32"/>
    </row>
    <row r="365" spans="17:62" x14ac:dyDescent="0.25">
      <c r="Q365" s="32"/>
      <c r="T365" s="199"/>
      <c r="U365" s="200"/>
      <c r="V365" s="200"/>
      <c r="W365" s="200"/>
      <c r="X365" s="199"/>
      <c r="Y365" s="200"/>
      <c r="Z365" s="200"/>
      <c r="AA365" s="199"/>
      <c r="AB365" s="200"/>
      <c r="AC365" s="199"/>
      <c r="AD365" s="200"/>
      <c r="AE365" s="200"/>
      <c r="AG365" s="37"/>
      <c r="AH365" s="312"/>
      <c r="AI365" s="935"/>
      <c r="AJ365" s="935"/>
      <c r="AK365" s="935"/>
      <c r="AL365" s="935"/>
      <c r="AM365" s="935"/>
      <c r="AN365" s="935"/>
      <c r="AO365" s="312"/>
      <c r="AP365" s="32"/>
      <c r="AQ365" s="32"/>
      <c r="AR365" s="32"/>
      <c r="AS365" s="32"/>
      <c r="AT365" s="32"/>
      <c r="AU365" s="32"/>
      <c r="AV365" s="32"/>
      <c r="AW365" s="32"/>
      <c r="AX365" s="32"/>
      <c r="AY365" s="32"/>
      <c r="BB365" s="32"/>
      <c r="BE365" s="32"/>
      <c r="BJ365" s="32"/>
    </row>
    <row r="366" spans="17:62" x14ac:dyDescent="0.25">
      <c r="Q366" s="32"/>
      <c r="T366" s="199"/>
      <c r="U366" s="200"/>
      <c r="V366" s="200"/>
      <c r="W366" s="200"/>
      <c r="X366" s="199"/>
      <c r="Y366" s="200"/>
      <c r="Z366" s="200"/>
      <c r="AA366" s="199"/>
      <c r="AB366" s="200"/>
      <c r="AC366" s="199"/>
      <c r="AD366" s="200"/>
      <c r="AE366" s="200"/>
      <c r="AG366" s="37"/>
      <c r="AH366" s="312"/>
      <c r="AI366" s="935"/>
      <c r="AJ366" s="935"/>
      <c r="AK366" s="935"/>
      <c r="AL366" s="935"/>
      <c r="AM366" s="935"/>
      <c r="AN366" s="935"/>
      <c r="AO366" s="312"/>
      <c r="AP366" s="32"/>
      <c r="AQ366" s="32"/>
      <c r="AR366" s="32"/>
      <c r="AS366" s="32"/>
      <c r="AT366" s="32"/>
      <c r="AU366" s="32"/>
      <c r="AV366" s="32"/>
      <c r="AW366" s="32"/>
      <c r="AX366" s="32"/>
      <c r="AY366" s="32"/>
      <c r="BB366" s="32"/>
      <c r="BE366" s="32"/>
      <c r="BJ366" s="32"/>
    </row>
    <row r="367" spans="17:62" x14ac:dyDescent="0.25">
      <c r="Q367" s="32"/>
      <c r="T367" s="199"/>
      <c r="U367" s="200"/>
      <c r="V367" s="200"/>
      <c r="W367" s="200"/>
      <c r="X367" s="199"/>
      <c r="Y367" s="200"/>
      <c r="Z367" s="200"/>
      <c r="AA367" s="199"/>
      <c r="AB367" s="200"/>
      <c r="AC367" s="199"/>
      <c r="AD367" s="200"/>
      <c r="AE367" s="200"/>
      <c r="AG367" s="37"/>
      <c r="AH367" s="312"/>
      <c r="AI367" s="935"/>
      <c r="AJ367" s="935"/>
      <c r="AK367" s="935"/>
      <c r="AL367" s="935"/>
      <c r="AM367" s="935"/>
      <c r="AN367" s="935"/>
      <c r="AO367" s="312"/>
      <c r="AP367" s="32"/>
      <c r="AQ367" s="32"/>
      <c r="AR367" s="32"/>
      <c r="AS367" s="32"/>
      <c r="AT367" s="32"/>
      <c r="AU367" s="32"/>
      <c r="AV367" s="32"/>
      <c r="AW367" s="32"/>
      <c r="AX367" s="32"/>
      <c r="AY367" s="32"/>
      <c r="BB367" s="32"/>
      <c r="BE367" s="32"/>
      <c r="BJ367" s="32"/>
    </row>
    <row r="368" spans="17:62" x14ac:dyDescent="0.25">
      <c r="Q368" s="32"/>
      <c r="T368" s="199"/>
      <c r="U368" s="200"/>
      <c r="V368" s="200"/>
      <c r="W368" s="200"/>
      <c r="X368" s="199"/>
      <c r="Y368" s="200"/>
      <c r="Z368" s="200"/>
      <c r="AA368" s="199"/>
      <c r="AB368" s="200"/>
      <c r="AC368" s="199"/>
      <c r="AD368" s="200"/>
      <c r="AE368" s="200"/>
      <c r="AG368" s="37"/>
      <c r="AH368" s="312"/>
      <c r="AI368" s="935"/>
      <c r="AJ368" s="935"/>
      <c r="AK368" s="935"/>
      <c r="AL368" s="935"/>
      <c r="AM368" s="935"/>
      <c r="AN368" s="935"/>
      <c r="AO368" s="312"/>
      <c r="AP368" s="32"/>
      <c r="AQ368" s="32"/>
      <c r="AR368" s="32"/>
      <c r="AS368" s="32"/>
      <c r="AT368" s="32"/>
      <c r="AU368" s="32"/>
      <c r="AV368" s="32"/>
      <c r="AW368" s="32"/>
      <c r="AX368" s="32"/>
      <c r="AY368" s="32"/>
      <c r="BB368" s="32"/>
      <c r="BE368" s="32"/>
      <c r="BJ368" s="32"/>
    </row>
    <row r="369" spans="17:62" x14ac:dyDescent="0.25">
      <c r="Q369" s="32"/>
      <c r="T369" s="199"/>
      <c r="U369" s="200"/>
      <c r="V369" s="200"/>
      <c r="W369" s="200"/>
      <c r="X369" s="199"/>
      <c r="Y369" s="200"/>
      <c r="Z369" s="200"/>
      <c r="AA369" s="199"/>
      <c r="AB369" s="200"/>
      <c r="AC369" s="199"/>
      <c r="AD369" s="200"/>
      <c r="AE369" s="200"/>
      <c r="AG369" s="37"/>
      <c r="AH369" s="312"/>
      <c r="AI369" s="935"/>
      <c r="AJ369" s="935"/>
      <c r="AK369" s="935"/>
      <c r="AL369" s="935"/>
      <c r="AM369" s="935"/>
      <c r="AN369" s="935"/>
      <c r="AO369" s="312"/>
      <c r="AP369" s="32"/>
      <c r="AQ369" s="32"/>
      <c r="AR369" s="32"/>
      <c r="AS369" s="32"/>
      <c r="AT369" s="32"/>
      <c r="AU369" s="32"/>
      <c r="AV369" s="32"/>
      <c r="AW369" s="32"/>
      <c r="AX369" s="32"/>
      <c r="AY369" s="32"/>
      <c r="BB369" s="32"/>
      <c r="BE369" s="32"/>
      <c r="BJ369" s="32"/>
    </row>
    <row r="370" spans="17:62" x14ac:dyDescent="0.25">
      <c r="Q370" s="32"/>
      <c r="T370" s="199"/>
      <c r="U370" s="200"/>
      <c r="V370" s="200"/>
      <c r="W370" s="200"/>
      <c r="X370" s="199"/>
      <c r="Y370" s="200"/>
      <c r="Z370" s="200"/>
      <c r="AA370" s="199"/>
      <c r="AB370" s="200"/>
      <c r="AC370" s="199"/>
      <c r="AD370" s="200"/>
      <c r="AE370" s="200"/>
      <c r="AG370" s="37"/>
      <c r="AH370" s="312"/>
      <c r="AI370" s="935"/>
      <c r="AJ370" s="935"/>
      <c r="AK370" s="935"/>
      <c r="AL370" s="935"/>
      <c r="AM370" s="935"/>
      <c r="AN370" s="935"/>
      <c r="AO370" s="312"/>
      <c r="AP370" s="32"/>
      <c r="AQ370" s="32"/>
      <c r="AR370" s="32"/>
      <c r="AS370" s="32"/>
      <c r="AT370" s="32"/>
      <c r="AU370" s="32"/>
      <c r="AV370" s="32"/>
      <c r="AW370" s="32"/>
      <c r="AX370" s="32"/>
      <c r="AY370" s="32"/>
      <c r="BB370" s="32"/>
      <c r="BE370" s="32"/>
      <c r="BJ370" s="32"/>
    </row>
    <row r="371" spans="17:62" x14ac:dyDescent="0.25">
      <c r="Q371" s="32"/>
      <c r="T371" s="198"/>
      <c r="U371" s="290"/>
      <c r="V371" s="290"/>
      <c r="W371" s="290"/>
      <c r="X371" s="198"/>
      <c r="Y371" s="290"/>
      <c r="Z371" s="290"/>
      <c r="AA371" s="198"/>
      <c r="AB371" s="290"/>
      <c r="AC371" s="198"/>
      <c r="AD371" s="290"/>
      <c r="AE371" s="290"/>
      <c r="AG371" s="37"/>
      <c r="AH371" s="312"/>
      <c r="AI371" s="935"/>
      <c r="AJ371" s="935"/>
      <c r="AK371" s="935"/>
      <c r="AL371" s="935"/>
      <c r="AM371" s="935"/>
      <c r="AN371" s="935"/>
      <c r="AO371" s="312"/>
      <c r="AP371" s="32"/>
      <c r="AQ371" s="32"/>
      <c r="AR371" s="32"/>
      <c r="AS371" s="32"/>
      <c r="AT371" s="32"/>
      <c r="AU371" s="32"/>
      <c r="AV371" s="32"/>
      <c r="AW371" s="32"/>
      <c r="AX371" s="32"/>
      <c r="AY371" s="32"/>
      <c r="BB371" s="32"/>
      <c r="BE371" s="32"/>
      <c r="BJ371" s="32"/>
    </row>
    <row r="372" spans="17:62" x14ac:dyDescent="0.25">
      <c r="Q372" s="32"/>
      <c r="T372" s="199"/>
      <c r="U372" s="200"/>
      <c r="V372" s="200"/>
      <c r="W372" s="200"/>
      <c r="X372" s="199"/>
      <c r="Y372" s="200"/>
      <c r="Z372" s="200"/>
      <c r="AA372" s="199"/>
      <c r="AB372" s="200"/>
      <c r="AC372" s="199"/>
      <c r="AD372" s="200"/>
      <c r="AE372" s="200"/>
      <c r="AG372" s="37"/>
      <c r="AH372" s="312"/>
      <c r="AI372" s="935"/>
      <c r="AJ372" s="935"/>
      <c r="AK372" s="935"/>
      <c r="AL372" s="935"/>
      <c r="AM372" s="935"/>
      <c r="AN372" s="935"/>
      <c r="AO372" s="312"/>
      <c r="AP372" s="32"/>
      <c r="AQ372" s="32"/>
      <c r="AR372" s="32"/>
      <c r="AS372" s="32"/>
      <c r="AT372" s="32"/>
      <c r="AU372" s="32"/>
      <c r="AV372" s="32"/>
      <c r="AW372" s="32"/>
      <c r="AX372" s="32"/>
      <c r="AY372" s="32"/>
      <c r="BB372" s="32"/>
      <c r="BE372" s="32"/>
      <c r="BJ372" s="32"/>
    </row>
    <row r="373" spans="17:62" x14ac:dyDescent="0.25">
      <c r="Q373" s="32"/>
      <c r="T373" s="199"/>
      <c r="U373" s="200"/>
      <c r="V373" s="200"/>
      <c r="W373" s="200"/>
      <c r="X373" s="199"/>
      <c r="Y373" s="200"/>
      <c r="Z373" s="200"/>
      <c r="AA373" s="199"/>
      <c r="AB373" s="200"/>
      <c r="AC373" s="199"/>
      <c r="AD373" s="200"/>
      <c r="AE373" s="200"/>
      <c r="AG373" s="37"/>
      <c r="AH373" s="312"/>
      <c r="AI373" s="935"/>
      <c r="AJ373" s="935"/>
      <c r="AK373" s="935"/>
      <c r="AL373" s="935"/>
      <c r="AM373" s="935"/>
      <c r="AN373" s="935"/>
      <c r="AO373" s="312"/>
      <c r="AP373" s="32"/>
      <c r="AQ373" s="32"/>
      <c r="AR373" s="32"/>
      <c r="AS373" s="32"/>
      <c r="AT373" s="32"/>
      <c r="AU373" s="32"/>
      <c r="AV373" s="32"/>
      <c r="AW373" s="32"/>
      <c r="AX373" s="32"/>
      <c r="AY373" s="32"/>
      <c r="BB373" s="32"/>
      <c r="BE373" s="32"/>
      <c r="BJ373" s="32"/>
    </row>
    <row r="374" spans="17:62" x14ac:dyDescent="0.25">
      <c r="Q374" s="32"/>
      <c r="T374" s="199"/>
      <c r="U374" s="200"/>
      <c r="V374" s="200"/>
      <c r="W374" s="200"/>
      <c r="X374" s="199"/>
      <c r="Y374" s="200"/>
      <c r="Z374" s="200"/>
      <c r="AA374" s="199"/>
      <c r="AB374" s="200"/>
      <c r="AC374" s="199"/>
      <c r="AD374" s="200"/>
      <c r="AE374" s="200"/>
      <c r="AG374" s="37"/>
      <c r="AH374" s="312"/>
      <c r="AI374" s="935"/>
      <c r="AJ374" s="935"/>
      <c r="AK374" s="935"/>
      <c r="AL374" s="935"/>
      <c r="AM374" s="935"/>
      <c r="AN374" s="935"/>
      <c r="AO374" s="312"/>
      <c r="AP374" s="32"/>
      <c r="AQ374" s="32"/>
      <c r="AR374" s="32"/>
      <c r="AS374" s="32"/>
      <c r="AT374" s="32"/>
      <c r="AU374" s="32"/>
      <c r="AV374" s="32"/>
      <c r="AW374" s="32"/>
      <c r="AX374" s="32"/>
      <c r="AY374" s="32"/>
      <c r="BB374" s="32"/>
      <c r="BE374" s="32"/>
      <c r="BJ374" s="32"/>
    </row>
    <row r="375" spans="17:62" x14ac:dyDescent="0.25">
      <c r="Q375" s="32"/>
      <c r="T375" s="199"/>
      <c r="U375" s="200"/>
      <c r="V375" s="200"/>
      <c r="W375" s="200"/>
      <c r="X375" s="199"/>
      <c r="Y375" s="200"/>
      <c r="Z375" s="200"/>
      <c r="AA375" s="199"/>
      <c r="AB375" s="200"/>
      <c r="AC375" s="199"/>
      <c r="AD375" s="200"/>
      <c r="AE375" s="200"/>
      <c r="AG375" s="37"/>
      <c r="AH375" s="312"/>
      <c r="AI375" s="935"/>
      <c r="AJ375" s="935"/>
      <c r="AK375" s="935"/>
      <c r="AL375" s="935"/>
      <c r="AM375" s="935"/>
      <c r="AN375" s="935"/>
      <c r="AO375" s="312"/>
      <c r="AP375" s="32"/>
      <c r="AQ375" s="32"/>
      <c r="AR375" s="32"/>
      <c r="AS375" s="32"/>
      <c r="AT375" s="32"/>
      <c r="AU375" s="32"/>
      <c r="AV375" s="32"/>
      <c r="AW375" s="32"/>
      <c r="AX375" s="32"/>
      <c r="AY375" s="32"/>
      <c r="BB375" s="32"/>
      <c r="BE375" s="32"/>
      <c r="BJ375" s="32"/>
    </row>
    <row r="376" spans="17:62" x14ac:dyDescent="0.25">
      <c r="Q376" s="32"/>
      <c r="T376" s="199"/>
      <c r="U376" s="200"/>
      <c r="V376" s="200"/>
      <c r="W376" s="200"/>
      <c r="X376" s="199"/>
      <c r="Y376" s="200"/>
      <c r="Z376" s="200"/>
      <c r="AA376" s="199"/>
      <c r="AB376" s="200"/>
      <c r="AC376" s="199"/>
      <c r="AD376" s="200"/>
      <c r="AE376" s="200"/>
      <c r="AG376" s="37"/>
      <c r="AH376" s="312"/>
      <c r="AI376" s="935"/>
      <c r="AJ376" s="935"/>
      <c r="AK376" s="935"/>
      <c r="AL376" s="935"/>
      <c r="AM376" s="935"/>
      <c r="AN376" s="935"/>
      <c r="AO376" s="312"/>
      <c r="AP376" s="32"/>
      <c r="AQ376" s="32"/>
      <c r="AR376" s="32"/>
      <c r="AS376" s="32"/>
      <c r="AT376" s="32"/>
      <c r="AU376" s="32"/>
      <c r="AV376" s="32"/>
      <c r="AW376" s="32"/>
      <c r="AX376" s="32"/>
      <c r="AY376" s="32"/>
      <c r="BB376" s="32"/>
      <c r="BE376" s="32"/>
      <c r="BJ376" s="32"/>
    </row>
    <row r="377" spans="17:62" x14ac:dyDescent="0.25">
      <c r="Q377" s="32"/>
      <c r="T377" s="199"/>
      <c r="U377" s="200"/>
      <c r="V377" s="200"/>
      <c r="W377" s="200"/>
      <c r="X377" s="199"/>
      <c r="Y377" s="200"/>
      <c r="Z377" s="200"/>
      <c r="AA377" s="199"/>
      <c r="AB377" s="200"/>
      <c r="AC377" s="199"/>
      <c r="AD377" s="200"/>
      <c r="AE377" s="200"/>
      <c r="AG377" s="37"/>
      <c r="AH377" s="312"/>
      <c r="AI377" s="935"/>
      <c r="AJ377" s="935"/>
      <c r="AK377" s="935"/>
      <c r="AL377" s="935"/>
      <c r="AM377" s="935"/>
      <c r="AN377" s="935"/>
      <c r="AO377" s="312"/>
      <c r="AP377" s="32"/>
      <c r="AQ377" s="32"/>
      <c r="AR377" s="32"/>
      <c r="AS377" s="32"/>
      <c r="AT377" s="32"/>
      <c r="AU377" s="32"/>
      <c r="AV377" s="32"/>
      <c r="AW377" s="32"/>
      <c r="AX377" s="32"/>
      <c r="AY377" s="32"/>
      <c r="BB377" s="32"/>
      <c r="BE377" s="32"/>
      <c r="BJ377" s="32"/>
    </row>
    <row r="378" spans="17:62" x14ac:dyDescent="0.25">
      <c r="Q378" s="32"/>
      <c r="T378" s="199"/>
      <c r="U378" s="200"/>
      <c r="V378" s="200"/>
      <c r="W378" s="200"/>
      <c r="X378" s="199"/>
      <c r="Y378" s="200"/>
      <c r="Z378" s="200"/>
      <c r="AA378" s="199"/>
      <c r="AB378" s="200"/>
      <c r="AC378" s="199"/>
      <c r="AD378" s="200"/>
      <c r="AE378" s="200"/>
      <c r="AG378" s="37"/>
      <c r="AH378" s="312"/>
      <c r="AI378" s="935"/>
      <c r="AJ378" s="935"/>
      <c r="AK378" s="935"/>
      <c r="AL378" s="935"/>
      <c r="AM378" s="935"/>
      <c r="AN378" s="935"/>
      <c r="AO378" s="312"/>
      <c r="AP378" s="32"/>
      <c r="AQ378" s="32"/>
      <c r="AR378" s="32"/>
      <c r="AS378" s="32"/>
      <c r="AT378" s="32"/>
      <c r="AU378" s="32"/>
      <c r="AV378" s="32"/>
      <c r="AW378" s="32"/>
      <c r="AX378" s="32"/>
      <c r="AY378" s="32"/>
      <c r="BB378" s="32"/>
      <c r="BE378" s="32"/>
      <c r="BJ378" s="32"/>
    </row>
    <row r="379" spans="17:62" x14ac:dyDescent="0.25">
      <c r="Q379" s="32"/>
      <c r="T379" s="199"/>
      <c r="U379" s="200"/>
      <c r="V379" s="200"/>
      <c r="W379" s="200"/>
      <c r="X379" s="199"/>
      <c r="Y379" s="200"/>
      <c r="Z379" s="200"/>
      <c r="AA379" s="199"/>
      <c r="AB379" s="200"/>
      <c r="AC379" s="199"/>
      <c r="AD379" s="200"/>
      <c r="AE379" s="200"/>
      <c r="AG379" s="37"/>
      <c r="AH379" s="312"/>
      <c r="AI379" s="935"/>
      <c r="AJ379" s="935"/>
      <c r="AK379" s="935"/>
      <c r="AL379" s="935"/>
      <c r="AM379" s="935"/>
      <c r="AN379" s="935"/>
      <c r="AO379" s="312"/>
      <c r="AP379" s="32"/>
      <c r="AQ379" s="32"/>
      <c r="AR379" s="32"/>
      <c r="AS379" s="32"/>
      <c r="AT379" s="32"/>
      <c r="AU379" s="32"/>
      <c r="AV379" s="32"/>
      <c r="AW379" s="32"/>
      <c r="AX379" s="32"/>
      <c r="AY379" s="32"/>
      <c r="BB379" s="32"/>
      <c r="BE379" s="32"/>
      <c r="BJ379" s="32"/>
    </row>
    <row r="380" spans="17:62" x14ac:dyDescent="0.25">
      <c r="Q380" s="32"/>
      <c r="T380" s="199"/>
      <c r="U380" s="200"/>
      <c r="V380" s="200"/>
      <c r="W380" s="200"/>
      <c r="X380" s="199"/>
      <c r="Y380" s="200"/>
      <c r="Z380" s="200"/>
      <c r="AA380" s="199"/>
      <c r="AB380" s="200"/>
      <c r="AC380" s="199"/>
      <c r="AD380" s="200"/>
      <c r="AE380" s="200"/>
      <c r="AG380" s="37"/>
      <c r="AH380" s="312"/>
      <c r="AI380" s="935"/>
      <c r="AJ380" s="935"/>
      <c r="AK380" s="935"/>
      <c r="AL380" s="935"/>
      <c r="AM380" s="935"/>
      <c r="AN380" s="935"/>
      <c r="AO380" s="312"/>
      <c r="AP380" s="32"/>
      <c r="AQ380" s="32"/>
      <c r="AR380" s="32"/>
      <c r="AS380" s="32"/>
      <c r="AT380" s="32"/>
      <c r="AU380" s="32"/>
      <c r="AV380" s="32"/>
      <c r="AW380" s="32"/>
      <c r="AX380" s="32"/>
      <c r="AY380" s="32"/>
      <c r="BB380" s="32"/>
      <c r="BE380" s="32"/>
      <c r="BJ380" s="32"/>
    </row>
    <row r="381" spans="17:62" x14ac:dyDescent="0.25">
      <c r="Q381" s="32"/>
      <c r="T381" s="199"/>
      <c r="U381" s="200"/>
      <c r="V381" s="200"/>
      <c r="W381" s="200"/>
      <c r="X381" s="199"/>
      <c r="Y381" s="200"/>
      <c r="Z381" s="200"/>
      <c r="AA381" s="199"/>
      <c r="AB381" s="200"/>
      <c r="AC381" s="199"/>
      <c r="AD381" s="200"/>
      <c r="AE381" s="200"/>
      <c r="AG381" s="37"/>
      <c r="AH381" s="312"/>
      <c r="AI381" s="935"/>
      <c r="AJ381" s="935"/>
      <c r="AK381" s="935"/>
      <c r="AL381" s="935"/>
      <c r="AM381" s="935"/>
      <c r="AN381" s="935"/>
      <c r="AO381" s="312"/>
      <c r="AP381" s="32"/>
      <c r="AQ381" s="32"/>
      <c r="AR381" s="32"/>
      <c r="AS381" s="32"/>
      <c r="AT381" s="32"/>
      <c r="AU381" s="32"/>
      <c r="AV381" s="32"/>
      <c r="AW381" s="32"/>
      <c r="AX381" s="32"/>
      <c r="AY381" s="32"/>
      <c r="BB381" s="32"/>
      <c r="BE381" s="32"/>
      <c r="BJ381" s="32"/>
    </row>
    <row r="382" spans="17:62" x14ac:dyDescent="0.25">
      <c r="Q382" s="32"/>
      <c r="T382" s="199"/>
      <c r="U382" s="200"/>
      <c r="V382" s="200"/>
      <c r="W382" s="200"/>
      <c r="X382" s="199"/>
      <c r="Y382" s="200"/>
      <c r="Z382" s="200"/>
      <c r="AA382" s="199"/>
      <c r="AB382" s="200"/>
      <c r="AC382" s="199"/>
      <c r="AD382" s="200"/>
      <c r="AE382" s="200"/>
      <c r="AG382" s="37"/>
      <c r="AH382" s="312"/>
      <c r="AI382" s="935"/>
      <c r="AJ382" s="935"/>
      <c r="AK382" s="935"/>
      <c r="AL382" s="935"/>
      <c r="AM382" s="935"/>
      <c r="AN382" s="935"/>
      <c r="AO382" s="312"/>
      <c r="AP382" s="32"/>
      <c r="AQ382" s="32"/>
      <c r="AR382" s="32"/>
      <c r="AS382" s="32"/>
      <c r="AT382" s="32"/>
      <c r="AU382" s="32"/>
      <c r="AV382" s="32"/>
      <c r="AW382" s="32"/>
      <c r="AX382" s="32"/>
      <c r="AY382" s="32"/>
      <c r="BB382" s="32"/>
      <c r="BE382" s="32"/>
      <c r="BJ382" s="32"/>
    </row>
    <row r="383" spans="17:62" x14ac:dyDescent="0.25">
      <c r="Q383" s="32"/>
      <c r="T383" s="199"/>
      <c r="U383" s="200"/>
      <c r="V383" s="200"/>
      <c r="W383" s="200"/>
      <c r="X383" s="199"/>
      <c r="Y383" s="200"/>
      <c r="Z383" s="200"/>
      <c r="AA383" s="199"/>
      <c r="AB383" s="200"/>
      <c r="AC383" s="199"/>
      <c r="AD383" s="200"/>
      <c r="AE383" s="200"/>
      <c r="AG383" s="37"/>
      <c r="AH383" s="312"/>
      <c r="AI383" s="935"/>
      <c r="AJ383" s="935"/>
      <c r="AK383" s="935"/>
      <c r="AL383" s="935"/>
      <c r="AM383" s="935"/>
      <c r="AN383" s="935"/>
      <c r="AO383" s="312"/>
      <c r="AP383" s="32"/>
      <c r="AQ383" s="32"/>
      <c r="AR383" s="32"/>
      <c r="AS383" s="32"/>
      <c r="AT383" s="32"/>
      <c r="AU383" s="32"/>
      <c r="AV383" s="32"/>
      <c r="AW383" s="32"/>
      <c r="AX383" s="32"/>
      <c r="AY383" s="32"/>
      <c r="BB383" s="32"/>
      <c r="BE383" s="32"/>
      <c r="BJ383" s="32"/>
    </row>
    <row r="384" spans="17:62" x14ac:dyDescent="0.25">
      <c r="Q384" s="32"/>
      <c r="T384" s="199"/>
      <c r="U384" s="200"/>
      <c r="V384" s="200"/>
      <c r="W384" s="200"/>
      <c r="X384" s="199"/>
      <c r="Y384" s="200"/>
      <c r="Z384" s="200"/>
      <c r="AA384" s="199"/>
      <c r="AB384" s="200"/>
      <c r="AC384" s="199"/>
      <c r="AD384" s="200"/>
      <c r="AE384" s="200"/>
      <c r="AG384" s="37"/>
      <c r="AH384" s="312"/>
      <c r="AI384" s="935"/>
      <c r="AJ384" s="935"/>
      <c r="AK384" s="935"/>
      <c r="AL384" s="935"/>
      <c r="AM384" s="935"/>
      <c r="AN384" s="935"/>
      <c r="AO384" s="312"/>
      <c r="AP384" s="32"/>
      <c r="AQ384" s="32"/>
      <c r="AR384" s="32"/>
      <c r="AS384" s="32"/>
      <c r="AT384" s="32"/>
      <c r="AU384" s="32"/>
      <c r="AV384" s="32"/>
      <c r="AW384" s="32"/>
      <c r="AX384" s="32"/>
      <c r="AY384" s="32"/>
      <c r="BB384" s="32"/>
      <c r="BE384" s="32"/>
      <c r="BJ384" s="32"/>
    </row>
    <row r="385" spans="17:62" x14ac:dyDescent="0.25">
      <c r="Q385" s="32"/>
      <c r="T385" s="199"/>
      <c r="U385" s="200"/>
      <c r="V385" s="200"/>
      <c r="W385" s="200"/>
      <c r="X385" s="199"/>
      <c r="Y385" s="200"/>
      <c r="Z385" s="200"/>
      <c r="AA385" s="199"/>
      <c r="AB385" s="200"/>
      <c r="AC385" s="199"/>
      <c r="AD385" s="200"/>
      <c r="AE385" s="200"/>
      <c r="AG385" s="37"/>
      <c r="AH385" s="312"/>
      <c r="AI385" s="935"/>
      <c r="AJ385" s="935"/>
      <c r="AK385" s="935"/>
      <c r="AL385" s="935"/>
      <c r="AM385" s="935"/>
      <c r="AN385" s="935"/>
      <c r="AO385" s="312"/>
      <c r="AP385" s="32"/>
      <c r="AQ385" s="32"/>
      <c r="AR385" s="32"/>
      <c r="AS385" s="32"/>
      <c r="AT385" s="32"/>
      <c r="AU385" s="32"/>
      <c r="AV385" s="32"/>
      <c r="AW385" s="32"/>
      <c r="AX385" s="32"/>
      <c r="AY385" s="32"/>
      <c r="BB385" s="32"/>
      <c r="BE385" s="32"/>
      <c r="BJ385" s="32"/>
    </row>
    <row r="386" spans="17:62" x14ac:dyDescent="0.25">
      <c r="Q386" s="32"/>
      <c r="T386" s="199"/>
      <c r="U386" s="200"/>
      <c r="V386" s="200"/>
      <c r="W386" s="200"/>
      <c r="X386" s="199"/>
      <c r="Y386" s="200"/>
      <c r="Z386" s="200"/>
      <c r="AA386" s="199"/>
      <c r="AB386" s="200"/>
      <c r="AC386" s="199"/>
      <c r="AD386" s="200"/>
      <c r="AE386" s="200"/>
      <c r="AG386" s="37"/>
      <c r="AH386" s="312"/>
      <c r="AI386" s="935"/>
      <c r="AJ386" s="935"/>
      <c r="AK386" s="935"/>
      <c r="AL386" s="935"/>
      <c r="AM386" s="935"/>
      <c r="AN386" s="935"/>
      <c r="AO386" s="312"/>
      <c r="AP386" s="32"/>
      <c r="AQ386" s="32"/>
      <c r="AR386" s="32"/>
      <c r="AS386" s="32"/>
      <c r="AT386" s="32"/>
      <c r="AU386" s="32"/>
      <c r="AV386" s="32"/>
      <c r="AW386" s="32"/>
      <c r="AX386" s="32"/>
      <c r="AY386" s="32"/>
      <c r="BB386" s="32"/>
      <c r="BE386" s="32"/>
      <c r="BJ386" s="32"/>
    </row>
    <row r="387" spans="17:62" x14ac:dyDescent="0.25">
      <c r="Q387" s="32"/>
      <c r="T387" s="199"/>
      <c r="U387" s="200"/>
      <c r="V387" s="200"/>
      <c r="W387" s="200"/>
      <c r="X387" s="199"/>
      <c r="Y387" s="200"/>
      <c r="Z387" s="200"/>
      <c r="AA387" s="199"/>
      <c r="AB387" s="200"/>
      <c r="AC387" s="199"/>
      <c r="AD387" s="200"/>
      <c r="AE387" s="200"/>
      <c r="AG387" s="37"/>
      <c r="AH387" s="312"/>
      <c r="AI387" s="935"/>
      <c r="AJ387" s="935"/>
      <c r="AK387" s="935"/>
      <c r="AL387" s="935"/>
      <c r="AM387" s="935"/>
      <c r="AN387" s="935"/>
      <c r="AO387" s="312"/>
      <c r="AP387" s="32"/>
      <c r="AQ387" s="32"/>
      <c r="AR387" s="32"/>
      <c r="AS387" s="32"/>
      <c r="AT387" s="32"/>
      <c r="AU387" s="32"/>
      <c r="AV387" s="32"/>
      <c r="AW387" s="32"/>
      <c r="AX387" s="32"/>
      <c r="AY387" s="32"/>
      <c r="BB387" s="32"/>
      <c r="BE387" s="32"/>
      <c r="BJ387" s="32"/>
    </row>
    <row r="388" spans="17:62" x14ac:dyDescent="0.25">
      <c r="Q388" s="32"/>
      <c r="T388" s="199"/>
      <c r="U388" s="200"/>
      <c r="V388" s="200"/>
      <c r="W388" s="200"/>
      <c r="X388" s="199"/>
      <c r="Y388" s="200"/>
      <c r="Z388" s="200"/>
      <c r="AA388" s="199"/>
      <c r="AB388" s="200"/>
      <c r="AC388" s="199"/>
      <c r="AD388" s="200"/>
      <c r="AE388" s="200"/>
      <c r="AG388" s="37"/>
      <c r="AH388" s="312"/>
      <c r="AI388" s="935"/>
      <c r="AJ388" s="935"/>
      <c r="AK388" s="935"/>
      <c r="AL388" s="935"/>
      <c r="AM388" s="935"/>
      <c r="AN388" s="935"/>
      <c r="AO388" s="312"/>
      <c r="AP388" s="32"/>
      <c r="AQ388" s="32"/>
      <c r="AR388" s="32"/>
      <c r="AS388" s="32"/>
      <c r="AT388" s="32"/>
      <c r="AU388" s="32"/>
      <c r="AV388" s="32"/>
      <c r="AW388" s="32"/>
      <c r="AX388" s="32"/>
      <c r="AY388" s="32"/>
      <c r="BB388" s="32"/>
      <c r="BE388" s="32"/>
      <c r="BJ388" s="32"/>
    </row>
    <row r="389" spans="17:62" x14ac:dyDescent="0.25">
      <c r="Q389" s="32"/>
      <c r="T389" s="199"/>
      <c r="U389" s="200"/>
      <c r="V389" s="200"/>
      <c r="W389" s="200"/>
      <c r="X389" s="199"/>
      <c r="Y389" s="200"/>
      <c r="Z389" s="200"/>
      <c r="AA389" s="199"/>
      <c r="AB389" s="200"/>
      <c r="AC389" s="199"/>
      <c r="AD389" s="200"/>
      <c r="AE389" s="200"/>
      <c r="AG389" s="37"/>
      <c r="AH389" s="312"/>
      <c r="AI389" s="935"/>
      <c r="AJ389" s="935"/>
      <c r="AK389" s="935"/>
      <c r="AL389" s="935"/>
      <c r="AM389" s="935"/>
      <c r="AN389" s="935"/>
      <c r="AO389" s="312"/>
      <c r="AP389" s="32"/>
      <c r="AQ389" s="32"/>
      <c r="AR389" s="32"/>
      <c r="AS389" s="32"/>
      <c r="AT389" s="32"/>
      <c r="AU389" s="32"/>
      <c r="AV389" s="32"/>
      <c r="AW389" s="32"/>
      <c r="AX389" s="32"/>
      <c r="AY389" s="32"/>
      <c r="BB389" s="32"/>
      <c r="BE389" s="32"/>
      <c r="BJ389" s="32"/>
    </row>
    <row r="390" spans="17:62" x14ac:dyDescent="0.25">
      <c r="Q390" s="32"/>
      <c r="T390" s="199"/>
      <c r="U390" s="200"/>
      <c r="V390" s="200"/>
      <c r="W390" s="200"/>
      <c r="X390" s="199"/>
      <c r="Y390" s="200"/>
      <c r="Z390" s="200"/>
      <c r="AA390" s="199"/>
      <c r="AB390" s="200"/>
      <c r="AC390" s="199"/>
      <c r="AD390" s="200"/>
      <c r="AE390" s="200"/>
      <c r="AG390" s="37"/>
      <c r="AH390" s="312"/>
      <c r="AI390" s="935"/>
      <c r="AJ390" s="935"/>
      <c r="AK390" s="935"/>
      <c r="AL390" s="935"/>
      <c r="AM390" s="935"/>
      <c r="AN390" s="935"/>
      <c r="AO390" s="312"/>
      <c r="AP390" s="32"/>
      <c r="AQ390" s="32"/>
      <c r="AR390" s="32"/>
      <c r="AS390" s="32"/>
      <c r="AT390" s="32"/>
      <c r="AU390" s="32"/>
      <c r="AV390" s="32"/>
      <c r="AW390" s="32"/>
      <c r="AX390" s="32"/>
      <c r="AY390" s="32"/>
      <c r="BB390" s="32"/>
      <c r="BE390" s="32"/>
      <c r="BJ390" s="32"/>
    </row>
    <row r="391" spans="17:62" x14ac:dyDescent="0.25">
      <c r="Q391" s="32"/>
      <c r="T391" s="199"/>
      <c r="U391" s="200"/>
      <c r="V391" s="200"/>
      <c r="W391" s="200"/>
      <c r="X391" s="199"/>
      <c r="Y391" s="200"/>
      <c r="Z391" s="200"/>
      <c r="AA391" s="199"/>
      <c r="AB391" s="200"/>
      <c r="AC391" s="199"/>
      <c r="AD391" s="200"/>
      <c r="AE391" s="200"/>
      <c r="AG391" s="37"/>
      <c r="AH391" s="312"/>
      <c r="AI391" s="935"/>
      <c r="AJ391" s="935"/>
      <c r="AK391" s="935"/>
      <c r="AL391" s="935"/>
      <c r="AM391" s="935"/>
      <c r="AN391" s="935"/>
      <c r="AO391" s="312"/>
      <c r="AP391" s="32"/>
      <c r="AQ391" s="32"/>
      <c r="AR391" s="32"/>
      <c r="AS391" s="32"/>
      <c r="AT391" s="32"/>
      <c r="AU391" s="32"/>
      <c r="AV391" s="32"/>
      <c r="AW391" s="32"/>
      <c r="AX391" s="32"/>
      <c r="AY391" s="32"/>
      <c r="BB391" s="32"/>
      <c r="BE391" s="32"/>
      <c r="BJ391" s="32"/>
    </row>
    <row r="392" spans="17:62" x14ac:dyDescent="0.25">
      <c r="Q392" s="32"/>
      <c r="T392" s="199"/>
      <c r="U392" s="200"/>
      <c r="V392" s="200"/>
      <c r="W392" s="200"/>
      <c r="X392" s="199"/>
      <c r="Y392" s="200"/>
      <c r="Z392" s="200"/>
      <c r="AA392" s="199"/>
      <c r="AB392" s="200"/>
      <c r="AC392" s="199"/>
      <c r="AD392" s="200"/>
      <c r="AE392" s="200"/>
      <c r="AG392" s="37"/>
      <c r="AH392" s="312"/>
      <c r="AI392" s="935"/>
      <c r="AJ392" s="935"/>
      <c r="AK392" s="935"/>
      <c r="AL392" s="935"/>
      <c r="AM392" s="935"/>
      <c r="AN392" s="935"/>
      <c r="AO392" s="312"/>
      <c r="AP392" s="32"/>
      <c r="AQ392" s="32"/>
      <c r="AR392" s="32"/>
      <c r="AS392" s="32"/>
      <c r="AT392" s="32"/>
      <c r="AU392" s="32"/>
      <c r="AV392" s="32"/>
      <c r="AW392" s="32"/>
      <c r="AX392" s="32"/>
      <c r="AY392" s="32"/>
      <c r="BB392" s="32"/>
      <c r="BE392" s="32"/>
      <c r="BJ392" s="32"/>
    </row>
    <row r="393" spans="17:62" x14ac:dyDescent="0.25">
      <c r="Q393" s="32"/>
      <c r="T393" s="199"/>
      <c r="U393" s="200"/>
      <c r="V393" s="200"/>
      <c r="W393" s="200"/>
      <c r="X393" s="199"/>
      <c r="Y393" s="200"/>
      <c r="Z393" s="200"/>
      <c r="AA393" s="199"/>
      <c r="AB393" s="200"/>
      <c r="AC393" s="199"/>
      <c r="AD393" s="200"/>
      <c r="AE393" s="200"/>
      <c r="AG393" s="37"/>
      <c r="AH393" s="312"/>
      <c r="AI393" s="935"/>
      <c r="AJ393" s="935"/>
      <c r="AK393" s="935"/>
      <c r="AL393" s="935"/>
      <c r="AM393" s="935"/>
      <c r="AN393" s="935"/>
      <c r="AO393" s="312"/>
      <c r="AP393" s="32"/>
      <c r="AQ393" s="32"/>
      <c r="AR393" s="32"/>
      <c r="AS393" s="32"/>
      <c r="AT393" s="32"/>
      <c r="AU393" s="32"/>
      <c r="AV393" s="32"/>
      <c r="AW393" s="32"/>
      <c r="AX393" s="32"/>
      <c r="AY393" s="32"/>
      <c r="BB393" s="32"/>
      <c r="BE393" s="32"/>
      <c r="BJ393" s="32"/>
    </row>
    <row r="394" spans="17:62" x14ac:dyDescent="0.25">
      <c r="Q394" s="32"/>
      <c r="T394" s="199"/>
      <c r="U394" s="200"/>
      <c r="V394" s="200"/>
      <c r="W394" s="200"/>
      <c r="X394" s="199"/>
      <c r="Y394" s="200"/>
      <c r="Z394" s="200"/>
      <c r="AA394" s="199"/>
      <c r="AB394" s="200"/>
      <c r="AC394" s="199"/>
      <c r="AD394" s="200"/>
      <c r="AE394" s="200"/>
      <c r="AG394" s="37"/>
      <c r="AH394" s="312"/>
      <c r="AI394" s="935"/>
      <c r="AJ394" s="935"/>
      <c r="AK394" s="935"/>
      <c r="AL394" s="935"/>
      <c r="AM394" s="935"/>
      <c r="AN394" s="935"/>
      <c r="AO394" s="312"/>
      <c r="AP394" s="32"/>
      <c r="AQ394" s="32"/>
      <c r="AR394" s="32"/>
      <c r="AS394" s="32"/>
      <c r="AT394" s="32"/>
      <c r="AU394" s="32"/>
      <c r="AV394" s="32"/>
      <c r="AW394" s="32"/>
      <c r="AX394" s="32"/>
      <c r="AY394" s="32"/>
      <c r="BB394" s="32"/>
      <c r="BE394" s="32"/>
      <c r="BJ394" s="32"/>
    </row>
    <row r="395" spans="17:62" x14ac:dyDescent="0.25">
      <c r="Q395" s="32"/>
      <c r="T395" s="199"/>
      <c r="U395" s="200"/>
      <c r="V395" s="200"/>
      <c r="W395" s="200"/>
      <c r="X395" s="199"/>
      <c r="Y395" s="200"/>
      <c r="Z395" s="200"/>
      <c r="AA395" s="199"/>
      <c r="AB395" s="200"/>
      <c r="AC395" s="199"/>
      <c r="AD395" s="200"/>
      <c r="AE395" s="200"/>
      <c r="AG395" s="37"/>
      <c r="AH395" s="312"/>
      <c r="AI395" s="935"/>
      <c r="AJ395" s="935"/>
      <c r="AK395" s="935"/>
      <c r="AL395" s="935"/>
      <c r="AM395" s="935"/>
      <c r="AN395" s="935"/>
      <c r="AO395" s="312"/>
      <c r="AP395" s="32"/>
      <c r="AQ395" s="32"/>
      <c r="AR395" s="32"/>
      <c r="AS395" s="32"/>
      <c r="AT395" s="32"/>
      <c r="AU395" s="32"/>
      <c r="AV395" s="32"/>
      <c r="AW395" s="32"/>
      <c r="AX395" s="32"/>
      <c r="AY395" s="32"/>
      <c r="BB395" s="32"/>
      <c r="BE395" s="32"/>
      <c r="BJ395" s="32"/>
    </row>
    <row r="396" spans="17:62" x14ac:dyDescent="0.25">
      <c r="Q396" s="32"/>
      <c r="T396" s="199"/>
      <c r="U396" s="200"/>
      <c r="V396" s="200"/>
      <c r="W396" s="200"/>
      <c r="X396" s="199"/>
      <c r="Y396" s="200"/>
      <c r="Z396" s="200"/>
      <c r="AA396" s="199"/>
      <c r="AB396" s="200"/>
      <c r="AC396" s="199"/>
      <c r="AD396" s="200"/>
      <c r="AE396" s="200"/>
      <c r="AG396" s="37"/>
      <c r="AH396" s="312"/>
      <c r="AI396" s="935"/>
      <c r="AJ396" s="935"/>
      <c r="AK396" s="935"/>
      <c r="AL396" s="935"/>
      <c r="AM396" s="935"/>
      <c r="AN396" s="935"/>
      <c r="AO396" s="312"/>
      <c r="AP396" s="32"/>
      <c r="AQ396" s="32"/>
      <c r="AR396" s="32"/>
      <c r="AS396" s="32"/>
      <c r="AT396" s="32"/>
      <c r="AU396" s="32"/>
      <c r="AV396" s="32"/>
      <c r="AW396" s="32"/>
      <c r="AX396" s="32"/>
      <c r="AY396" s="32"/>
      <c r="BB396" s="32"/>
      <c r="BE396" s="32"/>
      <c r="BJ396" s="32"/>
    </row>
    <row r="397" spans="17:62" x14ac:dyDescent="0.25">
      <c r="Q397" s="32"/>
      <c r="T397" s="199"/>
      <c r="U397" s="200"/>
      <c r="V397" s="200"/>
      <c r="W397" s="200"/>
      <c r="X397" s="199"/>
      <c r="Y397" s="200"/>
      <c r="Z397" s="200"/>
      <c r="AA397" s="199"/>
      <c r="AB397" s="200"/>
      <c r="AC397" s="199"/>
      <c r="AD397" s="200"/>
      <c r="AE397" s="200"/>
      <c r="AG397" s="37"/>
      <c r="AH397" s="312"/>
      <c r="AI397" s="935"/>
      <c r="AJ397" s="935"/>
      <c r="AK397" s="935"/>
      <c r="AL397" s="935"/>
      <c r="AM397" s="935"/>
      <c r="AN397" s="935"/>
      <c r="AO397" s="312"/>
      <c r="AP397" s="32"/>
      <c r="AQ397" s="32"/>
      <c r="AR397" s="32"/>
      <c r="AS397" s="32"/>
      <c r="AT397" s="32"/>
      <c r="AU397" s="32"/>
      <c r="AV397" s="32"/>
      <c r="AW397" s="32"/>
      <c r="AX397" s="32"/>
      <c r="AY397" s="32"/>
      <c r="BB397" s="32"/>
      <c r="BE397" s="32"/>
      <c r="BJ397" s="32"/>
    </row>
    <row r="398" spans="17:62" x14ac:dyDescent="0.25">
      <c r="Q398" s="32"/>
      <c r="T398" s="199"/>
      <c r="U398" s="200"/>
      <c r="V398" s="200"/>
      <c r="W398" s="200"/>
      <c r="X398" s="199"/>
      <c r="Y398" s="200"/>
      <c r="Z398" s="200"/>
      <c r="AA398" s="199"/>
      <c r="AB398" s="200"/>
      <c r="AC398" s="199"/>
      <c r="AD398" s="200"/>
      <c r="AE398" s="200"/>
      <c r="AG398" s="37"/>
      <c r="AH398" s="312"/>
      <c r="AI398" s="935"/>
      <c r="AJ398" s="935"/>
      <c r="AK398" s="935"/>
      <c r="AL398" s="935"/>
      <c r="AM398" s="935"/>
      <c r="AN398" s="935"/>
      <c r="AO398" s="312"/>
      <c r="AP398" s="32"/>
      <c r="AQ398" s="32"/>
      <c r="AR398" s="32"/>
      <c r="AS398" s="32"/>
      <c r="AT398" s="32"/>
      <c r="AU398" s="32"/>
      <c r="AV398" s="32"/>
      <c r="AW398" s="32"/>
      <c r="AX398" s="32"/>
      <c r="AY398" s="32"/>
      <c r="BB398" s="32"/>
      <c r="BE398" s="32"/>
      <c r="BJ398" s="32"/>
    </row>
    <row r="399" spans="17:62" x14ac:dyDescent="0.25">
      <c r="Q399" s="32"/>
      <c r="T399" s="199"/>
      <c r="U399" s="200"/>
      <c r="V399" s="200"/>
      <c r="W399" s="200"/>
      <c r="X399" s="199"/>
      <c r="Y399" s="200"/>
      <c r="Z399" s="200"/>
      <c r="AA399" s="199"/>
      <c r="AB399" s="200"/>
      <c r="AC399" s="199"/>
      <c r="AD399" s="200"/>
      <c r="AE399" s="200"/>
      <c r="AG399" s="37"/>
      <c r="AH399" s="312"/>
      <c r="AI399" s="935"/>
      <c r="AJ399" s="935"/>
      <c r="AK399" s="935"/>
      <c r="AL399" s="935"/>
      <c r="AM399" s="935"/>
      <c r="AN399" s="935"/>
      <c r="AO399" s="312"/>
      <c r="AP399" s="32"/>
      <c r="AQ399" s="32"/>
      <c r="AR399" s="32"/>
      <c r="AS399" s="32"/>
      <c r="AT399" s="32"/>
      <c r="AU399" s="32"/>
      <c r="AV399" s="32"/>
      <c r="AW399" s="32"/>
      <c r="AX399" s="32"/>
      <c r="AY399" s="32"/>
      <c r="BB399" s="32"/>
      <c r="BE399" s="32"/>
      <c r="BJ399" s="32"/>
    </row>
    <row r="400" spans="17:62" x14ac:dyDescent="0.25">
      <c r="Q400" s="32"/>
      <c r="T400" s="199"/>
      <c r="U400" s="200"/>
      <c r="V400" s="200"/>
      <c r="W400" s="200"/>
      <c r="X400" s="199"/>
      <c r="Y400" s="200"/>
      <c r="Z400" s="200"/>
      <c r="AA400" s="199"/>
      <c r="AB400" s="200"/>
      <c r="AC400" s="199"/>
      <c r="AD400" s="200"/>
      <c r="AE400" s="200"/>
      <c r="AG400" s="37"/>
      <c r="AH400" s="312"/>
      <c r="AI400" s="935"/>
      <c r="AJ400" s="935"/>
      <c r="AK400" s="935"/>
      <c r="AL400" s="935"/>
      <c r="AM400" s="935"/>
      <c r="AN400" s="935"/>
      <c r="AO400" s="312"/>
      <c r="AP400" s="32"/>
      <c r="AQ400" s="32"/>
      <c r="AR400" s="32"/>
      <c r="AS400" s="32"/>
      <c r="AT400" s="32"/>
      <c r="AU400" s="32"/>
      <c r="AV400" s="32"/>
      <c r="AW400" s="32"/>
      <c r="AX400" s="32"/>
      <c r="AY400" s="32"/>
      <c r="BB400" s="32"/>
      <c r="BE400" s="32"/>
      <c r="BJ400" s="32"/>
    </row>
    <row r="401" spans="17:62" x14ac:dyDescent="0.25">
      <c r="Q401" s="32"/>
      <c r="T401" s="199"/>
      <c r="U401" s="200"/>
      <c r="V401" s="200"/>
      <c r="W401" s="200"/>
      <c r="X401" s="199"/>
      <c r="Y401" s="200"/>
      <c r="Z401" s="200"/>
      <c r="AA401" s="199"/>
      <c r="AB401" s="200"/>
      <c r="AC401" s="199"/>
      <c r="AD401" s="200"/>
      <c r="AE401" s="200"/>
      <c r="AG401" s="37"/>
      <c r="AH401" s="312"/>
      <c r="AI401" s="935"/>
      <c r="AJ401" s="935"/>
      <c r="AK401" s="935"/>
      <c r="AL401" s="935"/>
      <c r="AM401" s="935"/>
      <c r="AN401" s="935"/>
      <c r="AO401" s="312"/>
      <c r="AP401" s="32"/>
      <c r="AQ401" s="32"/>
      <c r="AR401" s="32"/>
      <c r="AS401" s="32"/>
      <c r="AT401" s="32"/>
      <c r="AU401" s="32"/>
      <c r="AV401" s="32"/>
      <c r="AW401" s="32"/>
      <c r="AX401" s="32"/>
      <c r="AY401" s="32"/>
      <c r="BB401" s="32"/>
      <c r="BE401" s="32"/>
      <c r="BJ401" s="32"/>
    </row>
    <row r="402" spans="17:62" x14ac:dyDescent="0.25">
      <c r="Q402" s="32"/>
      <c r="T402" s="199"/>
      <c r="U402" s="200"/>
      <c r="V402" s="200"/>
      <c r="W402" s="200"/>
      <c r="X402" s="199"/>
      <c r="Y402" s="200"/>
      <c r="Z402" s="200"/>
      <c r="AA402" s="199"/>
      <c r="AB402" s="200"/>
      <c r="AC402" s="199"/>
      <c r="AD402" s="200"/>
      <c r="AE402" s="200"/>
      <c r="AG402" s="37"/>
      <c r="AH402" s="312"/>
      <c r="AI402" s="935"/>
      <c r="AJ402" s="935"/>
      <c r="AK402" s="935"/>
      <c r="AL402" s="935"/>
      <c r="AM402" s="935"/>
      <c r="AN402" s="935"/>
      <c r="AO402" s="312"/>
      <c r="AP402" s="32"/>
      <c r="AQ402" s="32"/>
      <c r="AR402" s="32"/>
      <c r="AS402" s="32"/>
      <c r="AT402" s="32"/>
      <c r="AU402" s="32"/>
      <c r="AV402" s="32"/>
      <c r="AW402" s="32"/>
      <c r="AX402" s="32"/>
      <c r="AY402" s="32"/>
      <c r="BB402" s="32"/>
      <c r="BE402" s="32"/>
      <c r="BJ402" s="32"/>
    </row>
    <row r="403" spans="17:62" x14ac:dyDescent="0.25">
      <c r="Q403" s="32"/>
      <c r="T403" s="199"/>
      <c r="U403" s="200"/>
      <c r="V403" s="200"/>
      <c r="W403" s="200"/>
      <c r="X403" s="199"/>
      <c r="Y403" s="200"/>
      <c r="Z403" s="200"/>
      <c r="AA403" s="199"/>
      <c r="AB403" s="200"/>
      <c r="AC403" s="199"/>
      <c r="AD403" s="200"/>
      <c r="AE403" s="200"/>
      <c r="AG403" s="37"/>
      <c r="AH403" s="312"/>
      <c r="AI403" s="935"/>
      <c r="AJ403" s="935"/>
      <c r="AK403" s="935"/>
      <c r="AL403" s="935"/>
      <c r="AM403" s="935"/>
      <c r="AN403" s="935"/>
      <c r="AO403" s="312"/>
      <c r="AP403" s="32"/>
      <c r="AQ403" s="32"/>
      <c r="AR403" s="32"/>
      <c r="AS403" s="32"/>
      <c r="AT403" s="32"/>
      <c r="AU403" s="32"/>
      <c r="AV403" s="32"/>
      <c r="AW403" s="32"/>
      <c r="AX403" s="32"/>
      <c r="AY403" s="32"/>
      <c r="BB403" s="32"/>
      <c r="BE403" s="32"/>
      <c r="BJ403" s="32"/>
    </row>
    <row r="404" spans="17:62" x14ac:dyDescent="0.25">
      <c r="Q404" s="32"/>
      <c r="T404" s="199"/>
      <c r="U404" s="200"/>
      <c r="V404" s="200"/>
      <c r="W404" s="200"/>
      <c r="X404" s="199"/>
      <c r="Y404" s="200"/>
      <c r="Z404" s="200"/>
      <c r="AA404" s="199"/>
      <c r="AB404" s="200"/>
      <c r="AC404" s="199"/>
      <c r="AD404" s="200"/>
      <c r="AE404" s="200"/>
      <c r="AG404" s="37"/>
      <c r="AH404" s="312"/>
      <c r="AI404" s="935"/>
      <c r="AJ404" s="935"/>
      <c r="AK404" s="935"/>
      <c r="AL404" s="935"/>
      <c r="AM404" s="935"/>
      <c r="AN404" s="935"/>
      <c r="AO404" s="312"/>
      <c r="AP404" s="32"/>
      <c r="AQ404" s="32"/>
      <c r="AR404" s="32"/>
      <c r="AS404" s="32"/>
      <c r="AT404" s="32"/>
      <c r="AU404" s="32"/>
      <c r="AV404" s="32"/>
      <c r="AW404" s="32"/>
      <c r="AX404" s="32"/>
      <c r="AY404" s="32"/>
      <c r="BB404" s="32"/>
      <c r="BE404" s="32"/>
      <c r="BJ404" s="32"/>
    </row>
    <row r="405" spans="17:62" x14ac:dyDescent="0.25">
      <c r="Q405" s="32"/>
      <c r="T405" s="199"/>
      <c r="U405" s="200"/>
      <c r="V405" s="200"/>
      <c r="W405" s="200"/>
      <c r="X405" s="199"/>
      <c r="Y405" s="200"/>
      <c r="Z405" s="200"/>
      <c r="AA405" s="199"/>
      <c r="AB405" s="200"/>
      <c r="AC405" s="199"/>
      <c r="AD405" s="200"/>
      <c r="AE405" s="200"/>
      <c r="AG405" s="37"/>
      <c r="AH405" s="312"/>
      <c r="AI405" s="935"/>
      <c r="AJ405" s="935"/>
      <c r="AK405" s="935"/>
      <c r="AL405" s="935"/>
      <c r="AM405" s="935"/>
      <c r="AN405" s="935"/>
      <c r="AO405" s="312"/>
      <c r="AP405" s="32"/>
      <c r="AQ405" s="32"/>
      <c r="AR405" s="32"/>
      <c r="AS405" s="32"/>
      <c r="AT405" s="32"/>
      <c r="AU405" s="32"/>
      <c r="AV405" s="32"/>
      <c r="AW405" s="32"/>
      <c r="AX405" s="32"/>
      <c r="AY405" s="32"/>
      <c r="BB405" s="32"/>
      <c r="BE405" s="32"/>
      <c r="BJ405" s="32"/>
    </row>
    <row r="406" spans="17:62" x14ac:dyDescent="0.25">
      <c r="Q406" s="32"/>
      <c r="T406" s="199"/>
      <c r="U406" s="200"/>
      <c r="V406" s="200"/>
      <c r="W406" s="200"/>
      <c r="X406" s="199"/>
      <c r="Y406" s="200"/>
      <c r="Z406" s="200"/>
      <c r="AA406" s="199"/>
      <c r="AB406" s="200"/>
      <c r="AC406" s="199"/>
      <c r="AD406" s="200"/>
      <c r="AE406" s="200"/>
      <c r="AG406" s="37"/>
      <c r="AH406" s="312"/>
      <c r="AI406" s="935"/>
      <c r="AJ406" s="935"/>
      <c r="AK406" s="935"/>
      <c r="AL406" s="935"/>
      <c r="AM406" s="935"/>
      <c r="AN406" s="935"/>
      <c r="AO406" s="312"/>
      <c r="AP406" s="32"/>
      <c r="AQ406" s="32"/>
      <c r="AR406" s="32"/>
      <c r="AS406" s="32"/>
      <c r="AT406" s="32"/>
      <c r="AU406" s="32"/>
      <c r="AV406" s="32"/>
      <c r="AW406" s="32"/>
      <c r="AX406" s="32"/>
      <c r="AY406" s="32"/>
      <c r="BB406" s="32"/>
      <c r="BE406" s="32"/>
      <c r="BJ406" s="32"/>
    </row>
    <row r="407" spans="17:62" x14ac:dyDescent="0.25">
      <c r="Q407" s="32"/>
      <c r="T407" s="199"/>
      <c r="U407" s="200"/>
      <c r="V407" s="200"/>
      <c r="W407" s="200"/>
      <c r="X407" s="199"/>
      <c r="Y407" s="200"/>
      <c r="Z407" s="200"/>
      <c r="AA407" s="199"/>
      <c r="AB407" s="200"/>
      <c r="AC407" s="199"/>
      <c r="AD407" s="200"/>
      <c r="AE407" s="200"/>
      <c r="AG407" s="37"/>
      <c r="AH407" s="312"/>
      <c r="AI407" s="935"/>
      <c r="AJ407" s="935"/>
      <c r="AK407" s="935"/>
      <c r="AL407" s="935"/>
      <c r="AM407" s="935"/>
      <c r="AN407" s="935"/>
      <c r="AO407" s="312"/>
      <c r="AP407" s="32"/>
      <c r="AQ407" s="32"/>
      <c r="AR407" s="32"/>
      <c r="AS407" s="32"/>
      <c r="AT407" s="32"/>
      <c r="AU407" s="32"/>
      <c r="AV407" s="32"/>
      <c r="AW407" s="32"/>
      <c r="AX407" s="32"/>
      <c r="AY407" s="32"/>
      <c r="BB407" s="32"/>
      <c r="BE407" s="32"/>
      <c r="BJ407" s="32"/>
    </row>
    <row r="408" spans="17:62" x14ac:dyDescent="0.25">
      <c r="Q408" s="32"/>
      <c r="T408" s="199"/>
      <c r="U408" s="200"/>
      <c r="V408" s="200"/>
      <c r="W408" s="200"/>
      <c r="X408" s="199"/>
      <c r="Y408" s="200"/>
      <c r="Z408" s="200"/>
      <c r="AA408" s="199"/>
      <c r="AB408" s="200"/>
      <c r="AC408" s="199"/>
      <c r="AD408" s="200"/>
      <c r="AE408" s="200"/>
      <c r="AG408" s="37"/>
      <c r="AH408" s="312"/>
      <c r="AI408" s="935"/>
      <c r="AJ408" s="935"/>
      <c r="AK408" s="935"/>
      <c r="AL408" s="935"/>
      <c r="AM408" s="935"/>
      <c r="AN408" s="935"/>
      <c r="AO408" s="312"/>
      <c r="AP408" s="32"/>
      <c r="AQ408" s="32"/>
      <c r="AR408" s="32"/>
      <c r="AS408" s="32"/>
      <c r="AT408" s="32"/>
      <c r="AU408" s="32"/>
      <c r="AV408" s="32"/>
      <c r="AW408" s="32"/>
      <c r="AX408" s="32"/>
      <c r="AY408" s="32"/>
      <c r="BB408" s="32"/>
      <c r="BE408" s="32"/>
      <c r="BJ408" s="32"/>
    </row>
    <row r="409" spans="17:62" x14ac:dyDescent="0.25">
      <c r="Q409" s="32"/>
      <c r="T409" s="199"/>
      <c r="U409" s="200"/>
      <c r="V409" s="200"/>
      <c r="W409" s="200"/>
      <c r="X409" s="199"/>
      <c r="Y409" s="200"/>
      <c r="Z409" s="200"/>
      <c r="AA409" s="199"/>
      <c r="AB409" s="200"/>
      <c r="AC409" s="199"/>
      <c r="AD409" s="200"/>
      <c r="AE409" s="200"/>
      <c r="AG409" s="37"/>
      <c r="AH409" s="312"/>
      <c r="AI409" s="935"/>
      <c r="AJ409" s="935"/>
      <c r="AK409" s="935"/>
      <c r="AL409" s="935"/>
      <c r="AM409" s="935"/>
      <c r="AN409" s="935"/>
      <c r="AO409" s="312"/>
      <c r="AP409" s="32"/>
      <c r="AQ409" s="32"/>
      <c r="AR409" s="32"/>
      <c r="AS409" s="32"/>
      <c r="AT409" s="32"/>
      <c r="AU409" s="32"/>
      <c r="AV409" s="32"/>
      <c r="AW409" s="32"/>
      <c r="AX409" s="32"/>
      <c r="AY409" s="32"/>
      <c r="BB409" s="32"/>
      <c r="BE409" s="32"/>
      <c r="BJ409" s="32"/>
    </row>
    <row r="410" spans="17:62" x14ac:dyDescent="0.25">
      <c r="Q410" s="32"/>
      <c r="T410" s="199"/>
      <c r="U410" s="200"/>
      <c r="V410" s="200"/>
      <c r="W410" s="200"/>
      <c r="X410" s="199"/>
      <c r="Y410" s="200"/>
      <c r="Z410" s="200"/>
      <c r="AA410" s="199"/>
      <c r="AB410" s="200"/>
      <c r="AC410" s="199"/>
      <c r="AD410" s="200"/>
      <c r="AE410" s="200"/>
      <c r="AG410" s="37"/>
      <c r="AH410" s="312"/>
      <c r="AI410" s="935"/>
      <c r="AJ410" s="935"/>
      <c r="AK410" s="935"/>
      <c r="AL410" s="935"/>
      <c r="AM410" s="935"/>
      <c r="AN410" s="935"/>
      <c r="AO410" s="312"/>
      <c r="AP410" s="32"/>
      <c r="AQ410" s="32"/>
      <c r="AR410" s="32"/>
      <c r="AS410" s="32"/>
      <c r="AT410" s="32"/>
      <c r="AU410" s="32"/>
      <c r="AV410" s="32"/>
      <c r="AW410" s="32"/>
      <c r="AX410" s="32"/>
      <c r="AY410" s="32"/>
      <c r="BB410" s="32"/>
      <c r="BE410" s="32"/>
      <c r="BJ410" s="32"/>
    </row>
    <row r="411" spans="17:62" x14ac:dyDescent="0.25">
      <c r="Q411" s="32"/>
      <c r="T411" s="199"/>
      <c r="U411" s="200"/>
      <c r="V411" s="200"/>
      <c r="W411" s="200"/>
      <c r="X411" s="199"/>
      <c r="Y411" s="200"/>
      <c r="Z411" s="200"/>
      <c r="AA411" s="199"/>
      <c r="AB411" s="200"/>
      <c r="AC411" s="199"/>
      <c r="AD411" s="200"/>
      <c r="AE411" s="200"/>
      <c r="AG411" s="37"/>
      <c r="AH411" s="312"/>
      <c r="AI411" s="935"/>
      <c r="AJ411" s="935"/>
      <c r="AK411" s="935"/>
      <c r="AL411" s="935"/>
      <c r="AM411" s="935"/>
      <c r="AN411" s="935"/>
      <c r="AO411" s="312"/>
      <c r="AP411" s="32"/>
      <c r="AQ411" s="32"/>
      <c r="AR411" s="32"/>
      <c r="AS411" s="32"/>
      <c r="AT411" s="32"/>
      <c r="AU411" s="32"/>
      <c r="AV411" s="32"/>
      <c r="AW411" s="32"/>
      <c r="AX411" s="32"/>
      <c r="AY411" s="32"/>
      <c r="BB411" s="32"/>
      <c r="BE411" s="32"/>
      <c r="BJ411" s="32"/>
    </row>
    <row r="412" spans="17:62" x14ac:dyDescent="0.25">
      <c r="Q412" s="32"/>
      <c r="T412" s="199"/>
      <c r="U412" s="200"/>
      <c r="V412" s="200"/>
      <c r="W412" s="200"/>
      <c r="X412" s="199"/>
      <c r="Y412" s="200"/>
      <c r="Z412" s="200"/>
      <c r="AA412" s="199"/>
      <c r="AB412" s="200"/>
      <c r="AC412" s="199"/>
      <c r="AD412" s="200"/>
      <c r="AE412" s="200"/>
      <c r="AG412" s="37"/>
      <c r="AH412" s="312"/>
      <c r="AI412" s="935"/>
      <c r="AJ412" s="935"/>
      <c r="AK412" s="935"/>
      <c r="AL412" s="935"/>
      <c r="AM412" s="935"/>
      <c r="AN412" s="935"/>
      <c r="AO412" s="312"/>
      <c r="AP412" s="32"/>
      <c r="AQ412" s="32"/>
      <c r="AR412" s="32"/>
      <c r="AS412" s="32"/>
      <c r="AT412" s="32"/>
      <c r="AU412" s="32"/>
      <c r="AV412" s="32"/>
      <c r="AW412" s="32"/>
      <c r="AX412" s="32"/>
      <c r="AY412" s="32"/>
      <c r="BB412" s="32"/>
      <c r="BE412" s="32"/>
      <c r="BJ412" s="32"/>
    </row>
    <row r="413" spans="17:62" x14ac:dyDescent="0.25">
      <c r="Q413" s="32"/>
      <c r="T413" s="199"/>
      <c r="U413" s="200"/>
      <c r="V413" s="200"/>
      <c r="W413" s="200"/>
      <c r="X413" s="199"/>
      <c r="Y413" s="200"/>
      <c r="Z413" s="200"/>
      <c r="AA413" s="199"/>
      <c r="AB413" s="200"/>
      <c r="AC413" s="199"/>
      <c r="AD413" s="200"/>
      <c r="AE413" s="200"/>
      <c r="AG413" s="37"/>
      <c r="AH413" s="312"/>
      <c r="AI413" s="935"/>
      <c r="AJ413" s="935"/>
      <c r="AK413" s="935"/>
      <c r="AL413" s="935"/>
      <c r="AM413" s="935"/>
      <c r="AN413" s="935"/>
      <c r="AO413" s="312"/>
      <c r="AP413" s="32"/>
      <c r="AQ413" s="32"/>
      <c r="AR413" s="32"/>
      <c r="AS413" s="32"/>
      <c r="AT413" s="32"/>
      <c r="AU413" s="32"/>
      <c r="AV413" s="32"/>
      <c r="AW413" s="32"/>
      <c r="AX413" s="32"/>
      <c r="AY413" s="32"/>
      <c r="BB413" s="32"/>
      <c r="BE413" s="32"/>
      <c r="BJ413" s="32"/>
    </row>
    <row r="414" spans="17:62" x14ac:dyDescent="0.25">
      <c r="Q414" s="32"/>
      <c r="T414" s="199"/>
      <c r="U414" s="200"/>
      <c r="V414" s="200"/>
      <c r="W414" s="200"/>
      <c r="X414" s="199"/>
      <c r="Y414" s="200"/>
      <c r="Z414" s="200"/>
      <c r="AA414" s="199"/>
      <c r="AB414" s="200"/>
      <c r="AC414" s="199"/>
      <c r="AD414" s="200"/>
      <c r="AE414" s="200"/>
      <c r="AG414" s="37"/>
      <c r="AH414" s="312"/>
      <c r="AI414" s="935"/>
      <c r="AJ414" s="935"/>
      <c r="AK414" s="935"/>
      <c r="AL414" s="935"/>
      <c r="AM414" s="935"/>
      <c r="AN414" s="935"/>
      <c r="AO414" s="312"/>
      <c r="AP414" s="32"/>
      <c r="AQ414" s="32"/>
      <c r="AR414" s="32"/>
      <c r="AS414" s="32"/>
      <c r="AT414" s="32"/>
      <c r="AU414" s="32"/>
      <c r="AV414" s="32"/>
      <c r="AW414" s="32"/>
      <c r="AX414" s="32"/>
      <c r="AY414" s="32"/>
      <c r="BB414" s="32"/>
      <c r="BE414" s="32"/>
      <c r="BJ414" s="32"/>
    </row>
    <row r="415" spans="17:62" x14ac:dyDescent="0.25">
      <c r="Q415" s="32"/>
      <c r="T415" s="199"/>
      <c r="U415" s="200"/>
      <c r="V415" s="200"/>
      <c r="W415" s="200"/>
      <c r="X415" s="199"/>
      <c r="Y415" s="200"/>
      <c r="Z415" s="200"/>
      <c r="AA415" s="199"/>
      <c r="AB415" s="200"/>
      <c r="AC415" s="199"/>
      <c r="AD415" s="200"/>
      <c r="AE415" s="200"/>
      <c r="AG415" s="37"/>
      <c r="AH415" s="312"/>
      <c r="AI415" s="935"/>
      <c r="AJ415" s="935"/>
      <c r="AK415" s="935"/>
      <c r="AL415" s="935"/>
      <c r="AM415" s="935"/>
      <c r="AN415" s="935"/>
      <c r="AO415" s="312"/>
      <c r="AP415" s="32"/>
      <c r="AQ415" s="32"/>
      <c r="AR415" s="32"/>
      <c r="AS415" s="32"/>
      <c r="AT415" s="32"/>
      <c r="AU415" s="32"/>
      <c r="AV415" s="32"/>
      <c r="AW415" s="32"/>
      <c r="AX415" s="32"/>
      <c r="AY415" s="32"/>
      <c r="BB415" s="32"/>
      <c r="BE415" s="32"/>
      <c r="BJ415" s="32"/>
    </row>
    <row r="416" spans="17:62" x14ac:dyDescent="0.25">
      <c r="Q416" s="32"/>
      <c r="T416" s="199"/>
      <c r="U416" s="200"/>
      <c r="V416" s="200"/>
      <c r="W416" s="200"/>
      <c r="X416" s="199"/>
      <c r="Y416" s="200"/>
      <c r="Z416" s="200"/>
      <c r="AA416" s="199"/>
      <c r="AB416" s="200"/>
      <c r="AC416" s="199"/>
      <c r="AD416" s="200"/>
      <c r="AE416" s="200"/>
      <c r="AG416" s="37"/>
      <c r="AH416" s="312"/>
      <c r="AI416" s="935"/>
      <c r="AJ416" s="935"/>
      <c r="AK416" s="935"/>
      <c r="AL416" s="935"/>
      <c r="AM416" s="935"/>
      <c r="AN416" s="935"/>
      <c r="AO416" s="312"/>
      <c r="AP416" s="32"/>
      <c r="AQ416" s="32"/>
      <c r="AR416" s="32"/>
      <c r="AS416" s="32"/>
      <c r="AT416" s="32"/>
      <c r="AU416" s="32"/>
      <c r="AV416" s="32"/>
      <c r="AW416" s="32"/>
      <c r="AX416" s="32"/>
      <c r="AY416" s="32"/>
      <c r="BB416" s="32"/>
      <c r="BE416" s="32"/>
      <c r="BJ416" s="32"/>
    </row>
    <row r="417" spans="17:62" x14ac:dyDescent="0.25">
      <c r="Q417" s="32"/>
      <c r="T417" s="199"/>
      <c r="U417" s="200"/>
      <c r="V417" s="200"/>
      <c r="W417" s="200"/>
      <c r="X417" s="199"/>
      <c r="Y417" s="200"/>
      <c r="Z417" s="200"/>
      <c r="AA417" s="199"/>
      <c r="AB417" s="200"/>
      <c r="AC417" s="199"/>
      <c r="AD417" s="200"/>
      <c r="AE417" s="200"/>
      <c r="AG417" s="37"/>
      <c r="AH417" s="312"/>
      <c r="AI417" s="935"/>
      <c r="AJ417" s="935"/>
      <c r="AK417" s="935"/>
      <c r="AL417" s="935"/>
      <c r="AM417" s="935"/>
      <c r="AN417" s="935"/>
      <c r="AO417" s="312"/>
      <c r="AP417" s="32"/>
      <c r="AQ417" s="32"/>
      <c r="AR417" s="32"/>
      <c r="AS417" s="32"/>
      <c r="AT417" s="32"/>
      <c r="AU417" s="32"/>
      <c r="AV417" s="32"/>
      <c r="AW417" s="32"/>
      <c r="AX417" s="32"/>
      <c r="AY417" s="32"/>
      <c r="BB417" s="32"/>
      <c r="BE417" s="32"/>
      <c r="BJ417" s="32"/>
    </row>
    <row r="418" spans="17:62" x14ac:dyDescent="0.25">
      <c r="Q418" s="32"/>
      <c r="T418" s="199"/>
      <c r="U418" s="200"/>
      <c r="V418" s="200"/>
      <c r="W418" s="200"/>
      <c r="X418" s="199"/>
      <c r="Y418" s="200"/>
      <c r="Z418" s="200"/>
      <c r="AA418" s="199"/>
      <c r="AB418" s="200"/>
      <c r="AC418" s="199"/>
      <c r="AD418" s="200"/>
      <c r="AE418" s="200"/>
      <c r="AG418" s="37"/>
      <c r="AH418" s="312"/>
      <c r="AI418" s="935"/>
      <c r="AJ418" s="935"/>
      <c r="AK418" s="935"/>
      <c r="AL418" s="935"/>
      <c r="AM418" s="935"/>
      <c r="AN418" s="935"/>
      <c r="AO418" s="312"/>
      <c r="AP418" s="32"/>
      <c r="AQ418" s="32"/>
      <c r="AR418" s="32"/>
      <c r="AS418" s="32"/>
      <c r="AT418" s="32"/>
      <c r="AU418" s="32"/>
      <c r="AV418" s="32"/>
      <c r="AW418" s="32"/>
      <c r="AX418" s="32"/>
      <c r="AY418" s="32"/>
      <c r="BB418" s="32"/>
      <c r="BE418" s="32"/>
      <c r="BJ418" s="32"/>
    </row>
    <row r="419" spans="17:62" x14ac:dyDescent="0.25">
      <c r="Q419" s="32"/>
      <c r="T419" s="199"/>
      <c r="U419" s="200"/>
      <c r="V419" s="200"/>
      <c r="W419" s="200"/>
      <c r="X419" s="199"/>
      <c r="Y419" s="200"/>
      <c r="Z419" s="200"/>
      <c r="AA419" s="199"/>
      <c r="AB419" s="200"/>
      <c r="AC419" s="199"/>
      <c r="AD419" s="200"/>
      <c r="AE419" s="200"/>
      <c r="AG419" s="37"/>
      <c r="AH419" s="312"/>
      <c r="AI419" s="935"/>
      <c r="AJ419" s="935"/>
      <c r="AK419" s="935"/>
      <c r="AL419" s="935"/>
      <c r="AM419" s="935"/>
      <c r="AN419" s="935"/>
      <c r="AO419" s="312"/>
      <c r="AP419" s="32"/>
      <c r="AQ419" s="32"/>
      <c r="AR419" s="32"/>
      <c r="AS419" s="32"/>
      <c r="AT419" s="32"/>
      <c r="AU419" s="32"/>
      <c r="AV419" s="32"/>
      <c r="AW419" s="32"/>
      <c r="AX419" s="32"/>
      <c r="AY419" s="32"/>
      <c r="BB419" s="32"/>
      <c r="BE419" s="32"/>
      <c r="BJ419" s="32"/>
    </row>
    <row r="420" spans="17:62" x14ac:dyDescent="0.25">
      <c r="Q420" s="32"/>
      <c r="T420" s="199"/>
      <c r="U420" s="200"/>
      <c r="V420" s="200"/>
      <c r="W420" s="200"/>
      <c r="X420" s="199"/>
      <c r="Y420" s="200"/>
      <c r="Z420" s="200"/>
      <c r="AA420" s="199"/>
      <c r="AB420" s="200"/>
      <c r="AC420" s="199"/>
      <c r="AD420" s="200"/>
      <c r="AE420" s="200"/>
      <c r="AG420" s="37"/>
      <c r="AH420" s="312"/>
      <c r="AI420" s="935"/>
      <c r="AJ420" s="935"/>
      <c r="AK420" s="935"/>
      <c r="AL420" s="935"/>
      <c r="AM420" s="935"/>
      <c r="AN420" s="935"/>
      <c r="AO420" s="312"/>
      <c r="AP420" s="32"/>
      <c r="AQ420" s="32"/>
      <c r="AR420" s="32"/>
      <c r="AS420" s="32"/>
      <c r="AT420" s="32"/>
      <c r="AU420" s="32"/>
      <c r="AV420" s="32"/>
      <c r="AW420" s="32"/>
      <c r="AX420" s="32"/>
      <c r="AY420" s="32"/>
      <c r="BB420" s="32"/>
      <c r="BE420" s="32"/>
      <c r="BJ420" s="32"/>
    </row>
    <row r="421" spans="17:62" x14ac:dyDescent="0.25">
      <c r="Q421" s="32"/>
      <c r="T421" s="198"/>
      <c r="U421" s="290"/>
      <c r="V421" s="290"/>
      <c r="W421" s="290"/>
      <c r="X421" s="198"/>
      <c r="Y421" s="290"/>
      <c r="Z421" s="290"/>
      <c r="AA421" s="198"/>
      <c r="AB421" s="290"/>
      <c r="AC421" s="198"/>
      <c r="AD421" s="290"/>
      <c r="AE421" s="290"/>
      <c r="AG421" s="37"/>
      <c r="AH421" s="312"/>
      <c r="AI421" s="935"/>
      <c r="AJ421" s="935"/>
      <c r="AK421" s="935"/>
      <c r="AL421" s="935"/>
      <c r="AM421" s="935"/>
      <c r="AN421" s="935"/>
      <c r="AO421" s="312"/>
      <c r="AP421" s="32"/>
      <c r="AQ421" s="32"/>
      <c r="AR421" s="32"/>
      <c r="AS421" s="32"/>
      <c r="AT421" s="32"/>
      <c r="AU421" s="32"/>
      <c r="AV421" s="32"/>
      <c r="AW421" s="32"/>
      <c r="AX421" s="32"/>
      <c r="AY421" s="32"/>
      <c r="BB421" s="32"/>
      <c r="BE421" s="32"/>
      <c r="BJ421" s="32"/>
    </row>
    <row r="422" spans="17:62" x14ac:dyDescent="0.25">
      <c r="Q422" s="32"/>
      <c r="T422" s="199"/>
      <c r="U422" s="200"/>
      <c r="V422" s="200"/>
      <c r="W422" s="200"/>
      <c r="X422" s="199"/>
      <c r="Y422" s="200"/>
      <c r="Z422" s="200"/>
      <c r="AA422" s="199"/>
      <c r="AB422" s="200"/>
      <c r="AC422" s="199"/>
      <c r="AD422" s="200"/>
      <c r="AE422" s="200"/>
      <c r="AG422" s="37"/>
      <c r="AH422" s="312"/>
      <c r="AI422" s="935"/>
      <c r="AJ422" s="935"/>
      <c r="AK422" s="935"/>
      <c r="AL422" s="935"/>
      <c r="AM422" s="935"/>
      <c r="AN422" s="935"/>
      <c r="AO422" s="312"/>
      <c r="AP422" s="32"/>
      <c r="AQ422" s="32"/>
      <c r="AR422" s="32"/>
      <c r="AS422" s="32"/>
      <c r="AT422" s="32"/>
      <c r="AU422" s="32"/>
      <c r="AV422" s="32"/>
      <c r="AW422" s="32"/>
      <c r="AX422" s="32"/>
      <c r="AY422" s="32"/>
      <c r="BB422" s="32"/>
      <c r="BE422" s="32"/>
      <c r="BJ422" s="32"/>
    </row>
    <row r="423" spans="17:62" x14ac:dyDescent="0.25">
      <c r="Q423" s="32"/>
      <c r="T423" s="199"/>
      <c r="U423" s="200"/>
      <c r="V423" s="200"/>
      <c r="W423" s="200"/>
      <c r="X423" s="199"/>
      <c r="Y423" s="200"/>
      <c r="Z423" s="200"/>
      <c r="AA423" s="199"/>
      <c r="AB423" s="200"/>
      <c r="AC423" s="199"/>
      <c r="AD423" s="200"/>
      <c r="AE423" s="200"/>
      <c r="AG423" s="37"/>
      <c r="AH423" s="312"/>
      <c r="AI423" s="935"/>
      <c r="AJ423" s="935"/>
      <c r="AK423" s="935"/>
      <c r="AL423" s="935"/>
      <c r="AM423" s="935"/>
      <c r="AN423" s="935"/>
      <c r="AO423" s="312"/>
      <c r="AP423" s="32"/>
      <c r="AQ423" s="32"/>
      <c r="AR423" s="32"/>
      <c r="AS423" s="32"/>
      <c r="AT423" s="32"/>
      <c r="AU423" s="32"/>
      <c r="AV423" s="32"/>
      <c r="AW423" s="32"/>
      <c r="AX423" s="32"/>
      <c r="AY423" s="32"/>
      <c r="BB423" s="32"/>
      <c r="BE423" s="32"/>
      <c r="BJ423" s="32"/>
    </row>
    <row r="424" spans="17:62" x14ac:dyDescent="0.25">
      <c r="Q424" s="32"/>
      <c r="T424" s="199"/>
      <c r="U424" s="200"/>
      <c r="V424" s="200"/>
      <c r="W424" s="200"/>
      <c r="X424" s="199"/>
      <c r="Y424" s="200"/>
      <c r="Z424" s="200"/>
      <c r="AA424" s="199"/>
      <c r="AB424" s="200"/>
      <c r="AC424" s="199"/>
      <c r="AD424" s="200"/>
      <c r="AE424" s="200"/>
      <c r="AG424" s="37"/>
      <c r="AH424" s="312"/>
      <c r="AI424" s="935"/>
      <c r="AJ424" s="935"/>
      <c r="AK424" s="935"/>
      <c r="AL424" s="935"/>
      <c r="AM424" s="935"/>
      <c r="AN424" s="935"/>
      <c r="AO424" s="312"/>
      <c r="AP424" s="32"/>
      <c r="AQ424" s="32"/>
      <c r="AR424" s="32"/>
      <c r="AS424" s="32"/>
      <c r="AT424" s="32"/>
      <c r="AU424" s="32"/>
      <c r="AV424" s="32"/>
      <c r="AW424" s="32"/>
      <c r="AX424" s="32"/>
      <c r="AY424" s="32"/>
      <c r="BB424" s="32"/>
      <c r="BE424" s="32"/>
      <c r="BJ424" s="32"/>
    </row>
    <row r="425" spans="17:62" x14ac:dyDescent="0.25">
      <c r="Q425" s="32"/>
      <c r="T425" s="199"/>
      <c r="U425" s="200"/>
      <c r="V425" s="200"/>
      <c r="W425" s="200"/>
      <c r="X425" s="199"/>
      <c r="Y425" s="200"/>
      <c r="Z425" s="200"/>
      <c r="AA425" s="199"/>
      <c r="AB425" s="200"/>
      <c r="AC425" s="199"/>
      <c r="AD425" s="200"/>
      <c r="AE425" s="200"/>
      <c r="AG425" s="37"/>
      <c r="AH425" s="312"/>
      <c r="AI425" s="935"/>
      <c r="AJ425" s="935"/>
      <c r="AK425" s="935"/>
      <c r="AL425" s="935"/>
      <c r="AM425" s="935"/>
      <c r="AN425" s="935"/>
      <c r="AO425" s="312"/>
      <c r="AP425" s="32"/>
      <c r="AQ425" s="32"/>
      <c r="AR425" s="32"/>
      <c r="AS425" s="32"/>
      <c r="AT425" s="32"/>
      <c r="AU425" s="32"/>
      <c r="AV425" s="32"/>
      <c r="AW425" s="32"/>
      <c r="AX425" s="32"/>
      <c r="AY425" s="32"/>
      <c r="BB425" s="32"/>
      <c r="BE425" s="32"/>
      <c r="BJ425" s="32"/>
    </row>
    <row r="426" spans="17:62" x14ac:dyDescent="0.25">
      <c r="Q426" s="32"/>
      <c r="T426" s="199"/>
      <c r="U426" s="200"/>
      <c r="V426" s="200"/>
      <c r="W426" s="200"/>
      <c r="X426" s="199"/>
      <c r="Y426" s="200"/>
      <c r="Z426" s="200"/>
      <c r="AA426" s="199"/>
      <c r="AB426" s="200"/>
      <c r="AC426" s="199"/>
      <c r="AD426" s="200"/>
      <c r="AE426" s="200"/>
      <c r="AG426" s="37"/>
      <c r="AH426" s="312"/>
      <c r="AI426" s="935"/>
      <c r="AJ426" s="935"/>
      <c r="AK426" s="935"/>
      <c r="AL426" s="935"/>
      <c r="AM426" s="935"/>
      <c r="AN426" s="935"/>
      <c r="AO426" s="312"/>
      <c r="AP426" s="32"/>
      <c r="AQ426" s="32"/>
      <c r="AR426" s="32"/>
      <c r="AS426" s="32"/>
      <c r="AT426" s="32"/>
      <c r="AU426" s="32"/>
      <c r="AV426" s="32"/>
      <c r="AW426" s="32"/>
      <c r="AX426" s="32"/>
      <c r="AY426" s="32"/>
      <c r="BB426" s="32"/>
      <c r="BE426" s="32"/>
      <c r="BJ426" s="32"/>
    </row>
    <row r="427" spans="17:62" x14ac:dyDescent="0.25">
      <c r="Q427" s="32"/>
      <c r="T427" s="199"/>
      <c r="U427" s="200"/>
      <c r="V427" s="200"/>
      <c r="W427" s="200"/>
      <c r="X427" s="199"/>
      <c r="Y427" s="200"/>
      <c r="Z427" s="200"/>
      <c r="AA427" s="199"/>
      <c r="AB427" s="200"/>
      <c r="AC427" s="199"/>
      <c r="AD427" s="200"/>
      <c r="AE427" s="200"/>
      <c r="AG427" s="37"/>
      <c r="AH427" s="312"/>
      <c r="AI427" s="935"/>
      <c r="AJ427" s="935"/>
      <c r="AK427" s="935"/>
      <c r="AL427" s="935"/>
      <c r="AM427" s="935"/>
      <c r="AN427" s="935"/>
      <c r="AO427" s="312"/>
      <c r="AP427" s="32"/>
      <c r="AQ427" s="32"/>
      <c r="AR427" s="32"/>
      <c r="AS427" s="32"/>
      <c r="AT427" s="32"/>
      <c r="AU427" s="32"/>
      <c r="AV427" s="32"/>
      <c r="AW427" s="32"/>
      <c r="AX427" s="32"/>
      <c r="AY427" s="32"/>
      <c r="BB427" s="32"/>
      <c r="BE427" s="32"/>
      <c r="BJ427" s="32"/>
    </row>
    <row r="428" spans="17:62" x14ac:dyDescent="0.25">
      <c r="Q428" s="32"/>
      <c r="T428" s="199"/>
      <c r="U428" s="200"/>
      <c r="V428" s="200"/>
      <c r="W428" s="200"/>
      <c r="X428" s="199"/>
      <c r="Y428" s="200"/>
      <c r="Z428" s="200"/>
      <c r="AA428" s="199"/>
      <c r="AB428" s="200"/>
      <c r="AC428" s="199"/>
      <c r="AD428" s="200"/>
      <c r="AE428" s="200"/>
      <c r="AG428" s="37"/>
      <c r="AH428" s="312"/>
      <c r="AI428" s="935"/>
      <c r="AJ428" s="935"/>
      <c r="AK428" s="935"/>
      <c r="AL428" s="935"/>
      <c r="AM428" s="935"/>
      <c r="AN428" s="935"/>
      <c r="AO428" s="312"/>
      <c r="AP428" s="32"/>
      <c r="AQ428" s="32"/>
      <c r="AR428" s="32"/>
      <c r="AS428" s="32"/>
      <c r="AT428" s="32"/>
      <c r="AU428" s="32"/>
      <c r="AV428" s="32"/>
      <c r="AW428" s="32"/>
      <c r="AX428" s="32"/>
      <c r="AY428" s="32"/>
      <c r="BB428" s="32"/>
      <c r="BE428" s="32"/>
      <c r="BJ428" s="32"/>
    </row>
    <row r="429" spans="17:62" x14ac:dyDescent="0.25">
      <c r="Q429" s="32"/>
      <c r="T429" s="199"/>
      <c r="U429" s="200"/>
      <c r="V429" s="200"/>
      <c r="W429" s="200"/>
      <c r="X429" s="199"/>
      <c r="Y429" s="200"/>
      <c r="Z429" s="200"/>
      <c r="AA429" s="199"/>
      <c r="AB429" s="200"/>
      <c r="AC429" s="199"/>
      <c r="AD429" s="200"/>
      <c r="AE429" s="200"/>
      <c r="AG429" s="37"/>
      <c r="AH429" s="312"/>
      <c r="AI429" s="935"/>
      <c r="AJ429" s="935"/>
      <c r="AK429" s="935"/>
      <c r="AL429" s="935"/>
      <c r="AM429" s="935"/>
      <c r="AN429" s="935"/>
      <c r="AO429" s="312"/>
      <c r="AP429" s="32"/>
      <c r="AQ429" s="32"/>
      <c r="AR429" s="32"/>
      <c r="AS429" s="32"/>
      <c r="AT429" s="32"/>
      <c r="AU429" s="32"/>
      <c r="AV429" s="32"/>
      <c r="AW429" s="32"/>
      <c r="AX429" s="32"/>
      <c r="AY429" s="32"/>
      <c r="BB429" s="32"/>
      <c r="BE429" s="32"/>
      <c r="BJ429" s="32"/>
    </row>
    <row r="430" spans="17:62" x14ac:dyDescent="0.25">
      <c r="Q430" s="32"/>
      <c r="T430" s="199"/>
      <c r="U430" s="200"/>
      <c r="V430" s="200"/>
      <c r="W430" s="200"/>
      <c r="X430" s="199"/>
      <c r="Y430" s="200"/>
      <c r="Z430" s="200"/>
      <c r="AA430" s="199"/>
      <c r="AB430" s="200"/>
      <c r="AC430" s="199"/>
      <c r="AD430" s="200"/>
      <c r="AE430" s="200"/>
      <c r="AG430" s="37"/>
      <c r="AH430" s="312"/>
      <c r="AI430" s="935"/>
      <c r="AJ430" s="935"/>
      <c r="AK430" s="935"/>
      <c r="AL430" s="935"/>
      <c r="AM430" s="935"/>
      <c r="AN430" s="935"/>
      <c r="AO430" s="312"/>
      <c r="AP430" s="32"/>
      <c r="AQ430" s="32"/>
      <c r="AR430" s="32"/>
      <c r="AS430" s="32"/>
      <c r="AT430" s="32"/>
      <c r="AU430" s="32"/>
      <c r="AV430" s="32"/>
      <c r="AW430" s="32"/>
      <c r="AX430" s="32"/>
      <c r="AY430" s="32"/>
      <c r="BB430" s="32"/>
      <c r="BE430" s="32"/>
      <c r="BJ430" s="32"/>
    </row>
    <row r="431" spans="17:62" x14ac:dyDescent="0.25">
      <c r="Q431" s="32"/>
      <c r="T431" s="199"/>
      <c r="U431" s="200"/>
      <c r="V431" s="200"/>
      <c r="W431" s="200"/>
      <c r="X431" s="199"/>
      <c r="Y431" s="200"/>
      <c r="Z431" s="200"/>
      <c r="AA431" s="199"/>
      <c r="AB431" s="200"/>
      <c r="AC431" s="199"/>
      <c r="AD431" s="200"/>
      <c r="AE431" s="200"/>
      <c r="AG431" s="37"/>
      <c r="AH431" s="312"/>
      <c r="AI431" s="935"/>
      <c r="AJ431" s="935"/>
      <c r="AK431" s="935"/>
      <c r="AL431" s="935"/>
      <c r="AM431" s="935"/>
      <c r="AN431" s="935"/>
      <c r="AO431" s="312"/>
      <c r="AP431" s="32"/>
      <c r="AQ431" s="32"/>
      <c r="AR431" s="32"/>
      <c r="AS431" s="32"/>
      <c r="AT431" s="32"/>
      <c r="AU431" s="32"/>
      <c r="AV431" s="32"/>
      <c r="AW431" s="32"/>
      <c r="AX431" s="32"/>
      <c r="AY431" s="32"/>
      <c r="BB431" s="32"/>
      <c r="BE431" s="32"/>
      <c r="BJ431" s="32"/>
    </row>
    <row r="432" spans="17:62" x14ac:dyDescent="0.25">
      <c r="Q432" s="32"/>
      <c r="T432" s="199"/>
      <c r="U432" s="200"/>
      <c r="V432" s="200"/>
      <c r="W432" s="200"/>
      <c r="X432" s="199"/>
      <c r="Y432" s="200"/>
      <c r="Z432" s="200"/>
      <c r="AA432" s="199"/>
      <c r="AB432" s="200"/>
      <c r="AC432" s="199"/>
      <c r="AD432" s="200"/>
      <c r="AE432" s="200"/>
      <c r="AG432" s="37"/>
      <c r="AH432" s="312"/>
      <c r="AI432" s="935"/>
      <c r="AJ432" s="935"/>
      <c r="AK432" s="935"/>
      <c r="AL432" s="935"/>
      <c r="AM432" s="935"/>
      <c r="AN432" s="935"/>
      <c r="AO432" s="312"/>
      <c r="AP432" s="32"/>
      <c r="AQ432" s="32"/>
      <c r="AR432" s="32"/>
      <c r="AS432" s="32"/>
      <c r="AT432" s="32"/>
      <c r="AU432" s="32"/>
      <c r="AV432" s="32"/>
      <c r="AW432" s="32"/>
      <c r="AX432" s="32"/>
      <c r="AY432" s="32"/>
      <c r="BB432" s="32"/>
      <c r="BE432" s="32"/>
      <c r="BJ432" s="32"/>
    </row>
    <row r="433" spans="17:62" x14ac:dyDescent="0.25">
      <c r="Q433" s="32"/>
      <c r="T433" s="199"/>
      <c r="U433" s="200"/>
      <c r="V433" s="200"/>
      <c r="W433" s="200"/>
      <c r="X433" s="199"/>
      <c r="Y433" s="200"/>
      <c r="Z433" s="200"/>
      <c r="AA433" s="199"/>
      <c r="AB433" s="200"/>
      <c r="AC433" s="199"/>
      <c r="AD433" s="200"/>
      <c r="AE433" s="200"/>
      <c r="AG433" s="37"/>
      <c r="AH433" s="312"/>
      <c r="AI433" s="935"/>
      <c r="AJ433" s="935"/>
      <c r="AK433" s="935"/>
      <c r="AL433" s="935"/>
      <c r="AM433" s="935"/>
      <c r="AN433" s="935"/>
      <c r="AO433" s="312"/>
      <c r="AP433" s="32"/>
      <c r="AQ433" s="32"/>
      <c r="AR433" s="32"/>
      <c r="AS433" s="32"/>
      <c r="AT433" s="32"/>
      <c r="AU433" s="32"/>
      <c r="AV433" s="32"/>
      <c r="AW433" s="32"/>
      <c r="AX433" s="32"/>
      <c r="AY433" s="32"/>
      <c r="BB433" s="32"/>
      <c r="BE433" s="32"/>
      <c r="BJ433" s="32"/>
    </row>
    <row r="434" spans="17:62" x14ac:dyDescent="0.25">
      <c r="Q434" s="32"/>
      <c r="T434" s="198"/>
      <c r="U434" s="290"/>
      <c r="V434" s="290"/>
      <c r="W434" s="290"/>
      <c r="X434" s="198"/>
      <c r="Y434" s="290"/>
      <c r="Z434" s="290"/>
      <c r="AA434" s="198"/>
      <c r="AB434" s="290"/>
      <c r="AC434" s="198"/>
      <c r="AD434" s="290"/>
      <c r="AE434" s="290"/>
      <c r="AG434" s="37"/>
      <c r="AH434" s="312"/>
      <c r="AI434" s="935"/>
      <c r="AJ434" s="935"/>
      <c r="AK434" s="935"/>
      <c r="AL434" s="935"/>
      <c r="AM434" s="935"/>
      <c r="AN434" s="935"/>
      <c r="AO434" s="312"/>
      <c r="AP434" s="32"/>
      <c r="AQ434" s="32"/>
      <c r="AR434" s="32"/>
      <c r="AS434" s="32"/>
      <c r="AT434" s="32"/>
      <c r="AU434" s="32"/>
      <c r="AV434" s="32"/>
      <c r="AW434" s="32"/>
      <c r="AX434" s="32"/>
      <c r="AY434" s="32"/>
      <c r="BB434" s="32"/>
      <c r="BE434" s="32"/>
      <c r="BJ434" s="32"/>
    </row>
    <row r="435" spans="17:62" x14ac:dyDescent="0.25">
      <c r="Q435" s="32"/>
      <c r="T435" s="199"/>
      <c r="U435" s="200"/>
      <c r="V435" s="200"/>
      <c r="W435" s="200"/>
      <c r="X435" s="199"/>
      <c r="Y435" s="200"/>
      <c r="Z435" s="200"/>
      <c r="AA435" s="199"/>
      <c r="AB435" s="200"/>
      <c r="AC435" s="199"/>
      <c r="AD435" s="200"/>
      <c r="AE435" s="200"/>
      <c r="AG435" s="37"/>
      <c r="AH435" s="312"/>
      <c r="AI435" s="935"/>
      <c r="AJ435" s="935"/>
      <c r="AK435" s="935"/>
      <c r="AL435" s="935"/>
      <c r="AM435" s="935"/>
      <c r="AN435" s="935"/>
      <c r="AO435" s="312"/>
      <c r="AP435" s="32"/>
      <c r="AQ435" s="32"/>
      <c r="AR435" s="32"/>
      <c r="AS435" s="32"/>
      <c r="AT435" s="32"/>
      <c r="AU435" s="32"/>
      <c r="AV435" s="32"/>
      <c r="AW435" s="32"/>
      <c r="AX435" s="32"/>
      <c r="AY435" s="32"/>
      <c r="BB435" s="32"/>
      <c r="BE435" s="32"/>
      <c r="BJ435" s="32"/>
    </row>
    <row r="436" spans="17:62" x14ac:dyDescent="0.25">
      <c r="Q436" s="32"/>
      <c r="T436" s="199"/>
      <c r="U436" s="200"/>
      <c r="V436" s="200"/>
      <c r="W436" s="200"/>
      <c r="X436" s="199"/>
      <c r="Y436" s="200"/>
      <c r="Z436" s="200"/>
      <c r="AA436" s="199"/>
      <c r="AB436" s="200"/>
      <c r="AC436" s="199"/>
      <c r="AD436" s="200"/>
      <c r="AE436" s="200"/>
      <c r="AG436" s="37"/>
      <c r="AH436" s="312"/>
      <c r="AI436" s="935"/>
      <c r="AJ436" s="935"/>
      <c r="AK436" s="935"/>
      <c r="AL436" s="935"/>
      <c r="AM436" s="935"/>
      <c r="AN436" s="935"/>
      <c r="AO436" s="312"/>
      <c r="AP436" s="32"/>
      <c r="AQ436" s="32"/>
      <c r="AR436" s="32"/>
      <c r="AS436" s="32"/>
      <c r="AT436" s="32"/>
      <c r="AU436" s="32"/>
      <c r="AV436" s="32"/>
      <c r="AW436" s="32"/>
      <c r="AX436" s="32"/>
      <c r="AY436" s="32"/>
      <c r="BB436" s="32"/>
      <c r="BE436" s="32"/>
      <c r="BJ436" s="32"/>
    </row>
    <row r="437" spans="17:62" x14ac:dyDescent="0.25">
      <c r="Q437" s="32"/>
      <c r="T437" s="199"/>
      <c r="U437" s="200"/>
      <c r="V437" s="200"/>
      <c r="W437" s="200"/>
      <c r="X437" s="199"/>
      <c r="Y437" s="200"/>
      <c r="Z437" s="200"/>
      <c r="AA437" s="199"/>
      <c r="AB437" s="200"/>
      <c r="AC437" s="199"/>
      <c r="AD437" s="200"/>
      <c r="AE437" s="200"/>
      <c r="AG437" s="37"/>
      <c r="AH437" s="312"/>
      <c r="AI437" s="935"/>
      <c r="AJ437" s="935"/>
      <c r="AK437" s="935"/>
      <c r="AL437" s="935"/>
      <c r="AM437" s="935"/>
      <c r="AN437" s="935"/>
      <c r="AO437" s="312"/>
      <c r="AP437" s="32"/>
      <c r="AQ437" s="32"/>
      <c r="AR437" s="32"/>
      <c r="AS437" s="32"/>
      <c r="AT437" s="32"/>
      <c r="AU437" s="32"/>
      <c r="AV437" s="32"/>
      <c r="AW437" s="32"/>
      <c r="AX437" s="32"/>
      <c r="AY437" s="32"/>
      <c r="BB437" s="32"/>
      <c r="BE437" s="32"/>
      <c r="BJ437" s="32"/>
    </row>
    <row r="438" spans="17:62" x14ac:dyDescent="0.25">
      <c r="Q438" s="32"/>
      <c r="T438" s="199"/>
      <c r="U438" s="200"/>
      <c r="V438" s="200"/>
      <c r="W438" s="200"/>
      <c r="X438" s="199"/>
      <c r="Y438" s="200"/>
      <c r="Z438" s="200"/>
      <c r="AA438" s="199"/>
      <c r="AB438" s="200"/>
      <c r="AC438" s="199"/>
      <c r="AD438" s="200"/>
      <c r="AE438" s="200"/>
      <c r="AG438" s="37"/>
      <c r="AH438" s="312"/>
      <c r="AI438" s="935"/>
      <c r="AJ438" s="935"/>
      <c r="AK438" s="935"/>
      <c r="AL438" s="935"/>
      <c r="AM438" s="935"/>
      <c r="AN438" s="935"/>
      <c r="AO438" s="312"/>
      <c r="AP438" s="32"/>
      <c r="AQ438" s="32"/>
      <c r="AR438" s="32"/>
      <c r="AS438" s="32"/>
      <c r="AT438" s="32"/>
      <c r="AU438" s="32"/>
      <c r="AV438" s="32"/>
      <c r="AW438" s="32"/>
      <c r="AX438" s="32"/>
      <c r="AY438" s="32"/>
      <c r="BB438" s="32"/>
      <c r="BE438" s="32"/>
      <c r="BJ438" s="32"/>
    </row>
    <row r="439" spans="17:62" x14ac:dyDescent="0.25">
      <c r="Q439" s="32"/>
      <c r="T439" s="199"/>
      <c r="U439" s="200"/>
      <c r="V439" s="200"/>
      <c r="W439" s="200"/>
      <c r="X439" s="199"/>
      <c r="Y439" s="200"/>
      <c r="Z439" s="200"/>
      <c r="AA439" s="199"/>
      <c r="AB439" s="200"/>
      <c r="AC439" s="199"/>
      <c r="AD439" s="200"/>
      <c r="AE439" s="200"/>
      <c r="AG439" s="37"/>
      <c r="AH439" s="312"/>
      <c r="AI439" s="935"/>
      <c r="AJ439" s="935"/>
      <c r="AK439" s="935"/>
      <c r="AL439" s="935"/>
      <c r="AM439" s="935"/>
      <c r="AN439" s="935"/>
      <c r="AO439" s="312"/>
      <c r="AP439" s="32"/>
      <c r="AQ439" s="32"/>
      <c r="AR439" s="32"/>
      <c r="AS439" s="32"/>
      <c r="AT439" s="32"/>
      <c r="AU439" s="32"/>
      <c r="AV439" s="32"/>
      <c r="AW439" s="32"/>
      <c r="AX439" s="32"/>
      <c r="AY439" s="32"/>
      <c r="BB439" s="32"/>
      <c r="BE439" s="32"/>
      <c r="BJ439" s="32"/>
    </row>
    <row r="440" spans="17:62" x14ac:dyDescent="0.25">
      <c r="Q440" s="32"/>
      <c r="T440" s="199"/>
      <c r="U440" s="200"/>
      <c r="V440" s="200"/>
      <c r="W440" s="200"/>
      <c r="X440" s="199"/>
      <c r="Y440" s="200"/>
      <c r="Z440" s="200"/>
      <c r="AA440" s="199"/>
      <c r="AB440" s="200"/>
      <c r="AC440" s="199"/>
      <c r="AD440" s="200"/>
      <c r="AE440" s="200"/>
      <c r="AG440" s="37"/>
      <c r="AH440" s="312"/>
      <c r="AI440" s="935"/>
      <c r="AJ440" s="935"/>
      <c r="AK440" s="935"/>
      <c r="AL440" s="935"/>
      <c r="AM440" s="935"/>
      <c r="AN440" s="935"/>
      <c r="AO440" s="312"/>
      <c r="AP440" s="32"/>
      <c r="AQ440" s="32"/>
      <c r="AR440" s="32"/>
      <c r="AS440" s="32"/>
      <c r="AT440" s="32"/>
      <c r="AU440" s="32"/>
      <c r="AV440" s="32"/>
      <c r="AW440" s="32"/>
      <c r="AX440" s="32"/>
      <c r="AY440" s="32"/>
      <c r="BB440" s="32"/>
      <c r="BE440" s="32"/>
      <c r="BJ440" s="32"/>
    </row>
    <row r="441" spans="17:62" x14ac:dyDescent="0.25">
      <c r="Q441" s="32"/>
      <c r="T441" s="199"/>
      <c r="U441" s="200"/>
      <c r="V441" s="200"/>
      <c r="W441" s="200"/>
      <c r="X441" s="199"/>
      <c r="Y441" s="200"/>
      <c r="Z441" s="200"/>
      <c r="AA441" s="199"/>
      <c r="AB441" s="200"/>
      <c r="AC441" s="199"/>
      <c r="AD441" s="200"/>
      <c r="AE441" s="200"/>
      <c r="AG441" s="37"/>
      <c r="AH441" s="312"/>
      <c r="AI441" s="935"/>
      <c r="AJ441" s="935"/>
      <c r="AK441" s="935"/>
      <c r="AL441" s="935"/>
      <c r="AM441" s="935"/>
      <c r="AN441" s="935"/>
      <c r="AO441" s="312"/>
      <c r="AP441" s="32"/>
      <c r="AQ441" s="32"/>
      <c r="AR441" s="32"/>
      <c r="AS441" s="32"/>
      <c r="AT441" s="32"/>
      <c r="AU441" s="32"/>
      <c r="AV441" s="32"/>
      <c r="AW441" s="32"/>
      <c r="AX441" s="32"/>
      <c r="AY441" s="32"/>
      <c r="BB441" s="32"/>
      <c r="BE441" s="32"/>
      <c r="BJ441" s="32"/>
    </row>
    <row r="442" spans="17:62" x14ac:dyDescent="0.25">
      <c r="Q442" s="32"/>
      <c r="T442" s="199"/>
      <c r="U442" s="200"/>
      <c r="V442" s="200"/>
      <c r="W442" s="200"/>
      <c r="X442" s="199"/>
      <c r="Y442" s="200"/>
      <c r="Z442" s="200"/>
      <c r="AA442" s="199"/>
      <c r="AB442" s="200"/>
      <c r="AC442" s="199"/>
      <c r="AD442" s="200"/>
      <c r="AE442" s="200"/>
      <c r="AG442" s="37"/>
      <c r="AH442" s="312"/>
      <c r="AI442" s="935"/>
      <c r="AJ442" s="935"/>
      <c r="AK442" s="935"/>
      <c r="AL442" s="935"/>
      <c r="AM442" s="935"/>
      <c r="AN442" s="935"/>
      <c r="AO442" s="312"/>
      <c r="AP442" s="32"/>
      <c r="AQ442" s="32"/>
      <c r="AR442" s="32"/>
      <c r="AS442" s="32"/>
      <c r="AT442" s="32"/>
      <c r="AU442" s="32"/>
      <c r="AV442" s="32"/>
      <c r="AW442" s="32"/>
      <c r="AX442" s="32"/>
      <c r="AY442" s="32"/>
      <c r="BB442" s="32"/>
      <c r="BE442" s="32"/>
      <c r="BJ442" s="32"/>
    </row>
    <row r="443" spans="17:62" x14ac:dyDescent="0.25">
      <c r="Q443" s="32"/>
      <c r="T443" s="199"/>
      <c r="U443" s="200"/>
      <c r="V443" s="200"/>
      <c r="W443" s="200"/>
      <c r="X443" s="199"/>
      <c r="Y443" s="200"/>
      <c r="Z443" s="200"/>
      <c r="AA443" s="199"/>
      <c r="AB443" s="200"/>
      <c r="AC443" s="199"/>
      <c r="AD443" s="200"/>
      <c r="AE443" s="200"/>
      <c r="AG443" s="37"/>
      <c r="AH443" s="312"/>
      <c r="AI443" s="935"/>
      <c r="AJ443" s="935"/>
      <c r="AK443" s="935"/>
      <c r="AL443" s="935"/>
      <c r="AM443" s="935"/>
      <c r="AN443" s="935"/>
      <c r="AO443" s="312"/>
      <c r="AP443" s="32"/>
      <c r="AQ443" s="32"/>
      <c r="AR443" s="32"/>
      <c r="AS443" s="32"/>
      <c r="AT443" s="32"/>
      <c r="AU443" s="32"/>
      <c r="AV443" s="32"/>
      <c r="AW443" s="32"/>
      <c r="AX443" s="32"/>
      <c r="AY443" s="32"/>
      <c r="BB443" s="32"/>
      <c r="BE443" s="32"/>
      <c r="BJ443" s="32"/>
    </row>
    <row r="444" spans="17:62" x14ac:dyDescent="0.25">
      <c r="Q444" s="32"/>
      <c r="T444" s="199"/>
      <c r="U444" s="200"/>
      <c r="V444" s="200"/>
      <c r="W444" s="200"/>
      <c r="X444" s="199"/>
      <c r="Y444" s="200"/>
      <c r="Z444" s="200"/>
      <c r="AA444" s="199"/>
      <c r="AB444" s="200"/>
      <c r="AC444" s="199"/>
      <c r="AD444" s="200"/>
      <c r="AE444" s="200"/>
      <c r="AG444" s="37"/>
      <c r="AH444" s="312"/>
      <c r="AI444" s="935"/>
      <c r="AJ444" s="935"/>
      <c r="AK444" s="935"/>
      <c r="AL444" s="935"/>
      <c r="AM444" s="935"/>
      <c r="AN444" s="935"/>
      <c r="AO444" s="312"/>
      <c r="AP444" s="32"/>
      <c r="AQ444" s="32"/>
      <c r="AR444" s="32"/>
      <c r="AS444" s="32"/>
      <c r="AT444" s="32"/>
      <c r="AU444" s="32"/>
      <c r="AV444" s="32"/>
      <c r="AW444" s="32"/>
      <c r="AX444" s="32"/>
      <c r="AY444" s="32"/>
      <c r="BB444" s="32"/>
      <c r="BE444" s="32"/>
      <c r="BJ444" s="32"/>
    </row>
    <row r="445" spans="17:62" x14ac:dyDescent="0.25">
      <c r="Q445" s="32"/>
      <c r="T445" s="199"/>
      <c r="U445" s="200"/>
      <c r="V445" s="200"/>
      <c r="W445" s="200"/>
      <c r="X445" s="199"/>
      <c r="Y445" s="200"/>
      <c r="Z445" s="200"/>
      <c r="AA445" s="199"/>
      <c r="AB445" s="200"/>
      <c r="AC445" s="199"/>
      <c r="AD445" s="200"/>
      <c r="AE445" s="200"/>
      <c r="AG445" s="37"/>
      <c r="AH445" s="312"/>
      <c r="AI445" s="935"/>
      <c r="AJ445" s="935"/>
      <c r="AK445" s="935"/>
      <c r="AL445" s="935"/>
      <c r="AM445" s="935"/>
      <c r="AN445" s="935"/>
      <c r="AO445" s="312"/>
      <c r="AP445" s="32"/>
      <c r="AQ445" s="32"/>
      <c r="AR445" s="32"/>
      <c r="AS445" s="32"/>
      <c r="AT445" s="32"/>
      <c r="AU445" s="32"/>
      <c r="AV445" s="32"/>
      <c r="AW445" s="32"/>
      <c r="AX445" s="32"/>
      <c r="AY445" s="32"/>
      <c r="BB445" s="32"/>
      <c r="BE445" s="32"/>
      <c r="BJ445" s="32"/>
    </row>
    <row r="446" spans="17:62" x14ac:dyDescent="0.25">
      <c r="Q446" s="32"/>
      <c r="T446" s="199"/>
      <c r="U446" s="200"/>
      <c r="V446" s="200"/>
      <c r="W446" s="200"/>
      <c r="X446" s="199"/>
      <c r="Y446" s="200"/>
      <c r="Z446" s="200"/>
      <c r="AA446" s="199"/>
      <c r="AB446" s="200"/>
      <c r="AC446" s="199"/>
      <c r="AD446" s="200"/>
      <c r="AE446" s="200"/>
      <c r="AG446" s="37"/>
      <c r="AH446" s="312"/>
      <c r="AI446" s="935"/>
      <c r="AJ446" s="935"/>
      <c r="AK446" s="935"/>
      <c r="AL446" s="935"/>
      <c r="AM446" s="935"/>
      <c r="AN446" s="935"/>
      <c r="AO446" s="312"/>
      <c r="AP446" s="32"/>
      <c r="AQ446" s="32"/>
      <c r="AR446" s="32"/>
      <c r="AS446" s="32"/>
      <c r="AT446" s="32"/>
      <c r="AU446" s="32"/>
      <c r="AV446" s="32"/>
      <c r="AW446" s="32"/>
      <c r="AX446" s="32"/>
      <c r="AY446" s="32"/>
      <c r="BB446" s="32"/>
      <c r="BE446" s="32"/>
      <c r="BJ446" s="32"/>
    </row>
    <row r="447" spans="17:62" x14ac:dyDescent="0.25">
      <c r="Q447" s="32"/>
      <c r="T447" s="199"/>
      <c r="U447" s="200"/>
      <c r="V447" s="200"/>
      <c r="W447" s="200"/>
      <c r="X447" s="199"/>
      <c r="Y447" s="200"/>
      <c r="Z447" s="200"/>
      <c r="AA447" s="199"/>
      <c r="AB447" s="200"/>
      <c r="AC447" s="199"/>
      <c r="AD447" s="200"/>
      <c r="AE447" s="200"/>
      <c r="AG447" s="37"/>
      <c r="AH447" s="312"/>
      <c r="AI447" s="935"/>
      <c r="AJ447" s="935"/>
      <c r="AK447" s="935"/>
      <c r="AL447" s="935"/>
      <c r="AM447" s="935"/>
      <c r="AN447" s="935"/>
      <c r="AO447" s="312"/>
      <c r="AP447" s="32"/>
      <c r="AQ447" s="32"/>
      <c r="AR447" s="32"/>
      <c r="AS447" s="32"/>
      <c r="AT447" s="32"/>
      <c r="AU447" s="32"/>
      <c r="AV447" s="32"/>
      <c r="AW447" s="32"/>
      <c r="AX447" s="32"/>
      <c r="AY447" s="32"/>
      <c r="BB447" s="32"/>
      <c r="BE447" s="32"/>
      <c r="BJ447" s="32"/>
    </row>
    <row r="448" spans="17:62" x14ac:dyDescent="0.25">
      <c r="Q448" s="32"/>
      <c r="T448" s="199"/>
      <c r="U448" s="200"/>
      <c r="V448" s="200"/>
      <c r="W448" s="200"/>
      <c r="X448" s="199"/>
      <c r="Y448" s="200"/>
      <c r="Z448" s="200"/>
      <c r="AA448" s="199"/>
      <c r="AB448" s="200"/>
      <c r="AC448" s="199"/>
      <c r="AD448" s="200"/>
      <c r="AE448" s="200"/>
      <c r="AG448" s="37"/>
      <c r="AH448" s="312"/>
      <c r="AI448" s="935"/>
      <c r="AJ448" s="935"/>
      <c r="AK448" s="935"/>
      <c r="AL448" s="935"/>
      <c r="AM448" s="935"/>
      <c r="AN448" s="935"/>
      <c r="AO448" s="312"/>
      <c r="AP448" s="32"/>
      <c r="AQ448" s="32"/>
      <c r="AR448" s="32"/>
      <c r="AS448" s="32"/>
      <c r="AT448" s="32"/>
      <c r="AU448" s="32"/>
      <c r="AV448" s="32"/>
      <c r="AW448" s="32"/>
      <c r="AX448" s="32"/>
      <c r="AY448" s="32"/>
      <c r="BB448" s="32"/>
      <c r="BE448" s="32"/>
      <c r="BJ448" s="32"/>
    </row>
    <row r="449" spans="17:62" x14ac:dyDescent="0.25">
      <c r="Q449" s="32"/>
      <c r="T449" s="199"/>
      <c r="U449" s="200"/>
      <c r="V449" s="200"/>
      <c r="W449" s="200"/>
      <c r="X449" s="199"/>
      <c r="Y449" s="200"/>
      <c r="Z449" s="200"/>
      <c r="AA449" s="199"/>
      <c r="AB449" s="200"/>
      <c r="AC449" s="199"/>
      <c r="AD449" s="200"/>
      <c r="AE449" s="200"/>
      <c r="AG449" s="37"/>
      <c r="AH449" s="312"/>
      <c r="AI449" s="935"/>
      <c r="AJ449" s="935"/>
      <c r="AK449" s="935"/>
      <c r="AL449" s="935"/>
      <c r="AM449" s="935"/>
      <c r="AN449" s="935"/>
      <c r="AO449" s="312"/>
      <c r="AP449" s="32"/>
      <c r="AQ449" s="32"/>
      <c r="AR449" s="32"/>
      <c r="AS449" s="32"/>
      <c r="AT449" s="32"/>
      <c r="AU449" s="32"/>
      <c r="AV449" s="32"/>
      <c r="AW449" s="32"/>
      <c r="AX449" s="32"/>
      <c r="AY449" s="32"/>
      <c r="BB449" s="32"/>
      <c r="BE449" s="32"/>
      <c r="BJ449" s="32"/>
    </row>
    <row r="450" spans="17:62" x14ac:dyDescent="0.25">
      <c r="Q450" s="32"/>
      <c r="T450" s="199"/>
      <c r="U450" s="200"/>
      <c r="V450" s="200"/>
      <c r="W450" s="200"/>
      <c r="X450" s="199"/>
      <c r="Y450" s="200"/>
      <c r="Z450" s="200"/>
      <c r="AA450" s="199"/>
      <c r="AB450" s="200"/>
      <c r="AC450" s="199"/>
      <c r="AD450" s="200"/>
      <c r="AE450" s="200"/>
      <c r="AG450" s="37"/>
      <c r="AH450" s="312"/>
      <c r="AI450" s="935"/>
      <c r="AJ450" s="935"/>
      <c r="AK450" s="935"/>
      <c r="AL450" s="935"/>
      <c r="AM450" s="935"/>
      <c r="AN450" s="935"/>
      <c r="AO450" s="312"/>
      <c r="AP450" s="32"/>
      <c r="AQ450" s="32"/>
      <c r="AR450" s="32"/>
      <c r="AS450" s="32"/>
      <c r="AT450" s="32"/>
      <c r="AU450" s="32"/>
      <c r="AV450" s="32"/>
      <c r="AW450" s="32"/>
      <c r="AX450" s="32"/>
      <c r="AY450" s="32"/>
      <c r="BB450" s="32"/>
      <c r="BE450" s="32"/>
      <c r="BJ450" s="32"/>
    </row>
    <row r="451" spans="17:62" x14ac:dyDescent="0.25">
      <c r="Q451" s="32"/>
      <c r="T451" s="199"/>
      <c r="U451" s="200"/>
      <c r="V451" s="200"/>
      <c r="W451" s="200"/>
      <c r="X451" s="199"/>
      <c r="Y451" s="200"/>
      <c r="Z451" s="200"/>
      <c r="AA451" s="199"/>
      <c r="AB451" s="200"/>
      <c r="AC451" s="199"/>
      <c r="AD451" s="200"/>
      <c r="AE451" s="200"/>
      <c r="AG451" s="37"/>
      <c r="AH451" s="312"/>
      <c r="AI451" s="935"/>
      <c r="AJ451" s="935"/>
      <c r="AK451" s="935"/>
      <c r="AL451" s="935"/>
      <c r="AM451" s="935"/>
      <c r="AN451" s="935"/>
      <c r="AO451" s="312"/>
      <c r="AP451" s="32"/>
      <c r="AQ451" s="32"/>
      <c r="AR451" s="32"/>
      <c r="AS451" s="32"/>
      <c r="AT451" s="32"/>
      <c r="AU451" s="32"/>
      <c r="AV451" s="32"/>
      <c r="AW451" s="32"/>
      <c r="AX451" s="32"/>
      <c r="AY451" s="32"/>
      <c r="BB451" s="32"/>
      <c r="BE451" s="32"/>
      <c r="BJ451" s="32"/>
    </row>
    <row r="452" spans="17:62" x14ac:dyDescent="0.25">
      <c r="Q452" s="32"/>
      <c r="T452" s="199"/>
      <c r="U452" s="200"/>
      <c r="V452" s="200"/>
      <c r="W452" s="200"/>
      <c r="X452" s="199"/>
      <c r="Y452" s="200"/>
      <c r="Z452" s="200"/>
      <c r="AA452" s="199"/>
      <c r="AB452" s="200"/>
      <c r="AC452" s="199"/>
      <c r="AD452" s="200"/>
      <c r="AE452" s="200"/>
      <c r="AG452" s="37"/>
      <c r="AH452" s="312"/>
      <c r="AI452" s="935"/>
      <c r="AJ452" s="935"/>
      <c r="AK452" s="935"/>
      <c r="AL452" s="935"/>
      <c r="AM452" s="935"/>
      <c r="AN452" s="935"/>
      <c r="AO452" s="312"/>
      <c r="AP452" s="32"/>
      <c r="AQ452" s="32"/>
      <c r="AR452" s="32"/>
      <c r="AS452" s="32"/>
      <c r="AT452" s="32"/>
      <c r="AU452" s="32"/>
      <c r="AV452" s="32"/>
      <c r="AW452" s="32"/>
      <c r="AX452" s="32"/>
      <c r="AY452" s="32"/>
      <c r="BB452" s="32"/>
      <c r="BE452" s="32"/>
      <c r="BJ452" s="32"/>
    </row>
    <row r="453" spans="17:62" x14ac:dyDescent="0.25">
      <c r="Q453" s="32"/>
      <c r="T453" s="199"/>
      <c r="U453" s="200"/>
      <c r="V453" s="200"/>
      <c r="W453" s="200"/>
      <c r="X453" s="199"/>
      <c r="Y453" s="200"/>
      <c r="Z453" s="200"/>
      <c r="AA453" s="199"/>
      <c r="AB453" s="200"/>
      <c r="AC453" s="199"/>
      <c r="AD453" s="200"/>
      <c r="AE453" s="200"/>
      <c r="AG453" s="37"/>
      <c r="AH453" s="312"/>
      <c r="AI453" s="935"/>
      <c r="AJ453" s="935"/>
      <c r="AK453" s="935"/>
      <c r="AL453" s="935"/>
      <c r="AM453" s="935"/>
      <c r="AN453" s="935"/>
      <c r="AO453" s="312"/>
      <c r="AP453" s="32"/>
      <c r="AQ453" s="32"/>
      <c r="AR453" s="32"/>
      <c r="AS453" s="32"/>
      <c r="AT453" s="32"/>
      <c r="AU453" s="32"/>
      <c r="AV453" s="32"/>
      <c r="AW453" s="32"/>
      <c r="AX453" s="32"/>
      <c r="AY453" s="32"/>
      <c r="BB453" s="32"/>
      <c r="BE453" s="32"/>
      <c r="BJ453" s="32"/>
    </row>
    <row r="454" spans="17:62" x14ac:dyDescent="0.25">
      <c r="Q454" s="32"/>
      <c r="T454" s="199"/>
      <c r="U454" s="200"/>
      <c r="V454" s="200"/>
      <c r="W454" s="200"/>
      <c r="X454" s="199"/>
      <c r="Y454" s="200"/>
      <c r="Z454" s="200"/>
      <c r="AA454" s="199"/>
      <c r="AB454" s="200"/>
      <c r="AC454" s="199"/>
      <c r="AD454" s="200"/>
      <c r="AE454" s="200"/>
      <c r="AG454" s="37"/>
      <c r="AH454" s="312"/>
      <c r="AI454" s="935"/>
      <c r="AJ454" s="935"/>
      <c r="AK454" s="935"/>
      <c r="AL454" s="935"/>
      <c r="AM454" s="935"/>
      <c r="AN454" s="935"/>
      <c r="AO454" s="312"/>
      <c r="AP454" s="32"/>
      <c r="AQ454" s="32"/>
      <c r="AR454" s="32"/>
      <c r="AS454" s="32"/>
      <c r="AT454" s="32"/>
      <c r="AU454" s="32"/>
      <c r="AV454" s="32"/>
      <c r="AW454" s="32"/>
      <c r="AX454" s="32"/>
      <c r="AY454" s="32"/>
      <c r="BB454" s="32"/>
      <c r="BE454" s="32"/>
      <c r="BJ454" s="32"/>
    </row>
    <row r="455" spans="17:62" x14ac:dyDescent="0.25">
      <c r="Q455" s="32"/>
      <c r="T455" s="199"/>
      <c r="U455" s="200"/>
      <c r="V455" s="200"/>
      <c r="W455" s="200"/>
      <c r="X455" s="199"/>
      <c r="Y455" s="200"/>
      <c r="Z455" s="200"/>
      <c r="AA455" s="199"/>
      <c r="AB455" s="200"/>
      <c r="AC455" s="199"/>
      <c r="AD455" s="200"/>
      <c r="AE455" s="200"/>
      <c r="AG455" s="37"/>
      <c r="AH455" s="312"/>
      <c r="AI455" s="935"/>
      <c r="AJ455" s="935"/>
      <c r="AK455" s="935"/>
      <c r="AL455" s="935"/>
      <c r="AM455" s="935"/>
      <c r="AN455" s="935"/>
      <c r="AO455" s="312"/>
      <c r="AP455" s="32"/>
      <c r="AQ455" s="32"/>
      <c r="AR455" s="32"/>
      <c r="AS455" s="32"/>
      <c r="AT455" s="32"/>
      <c r="AU455" s="32"/>
      <c r="AV455" s="32"/>
      <c r="AW455" s="32"/>
      <c r="AX455" s="32"/>
      <c r="AY455" s="32"/>
      <c r="BB455" s="32"/>
      <c r="BE455" s="32"/>
      <c r="BJ455" s="32"/>
    </row>
    <row r="456" spans="17:62" x14ac:dyDescent="0.25">
      <c r="Q456" s="32"/>
      <c r="T456" s="199"/>
      <c r="U456" s="200"/>
      <c r="V456" s="200"/>
      <c r="W456" s="200"/>
      <c r="X456" s="199"/>
      <c r="Y456" s="200"/>
      <c r="Z456" s="200"/>
      <c r="AA456" s="199"/>
      <c r="AB456" s="200"/>
      <c r="AC456" s="199"/>
      <c r="AD456" s="200"/>
      <c r="AE456" s="200"/>
      <c r="AG456" s="37"/>
      <c r="AH456" s="312"/>
      <c r="AI456" s="935"/>
      <c r="AJ456" s="935"/>
      <c r="AK456" s="935"/>
      <c r="AL456" s="935"/>
      <c r="AM456" s="935"/>
      <c r="AN456" s="935"/>
      <c r="AO456" s="312"/>
      <c r="AP456" s="32"/>
      <c r="AQ456" s="32"/>
      <c r="AR456" s="32"/>
      <c r="AS456" s="32"/>
      <c r="AT456" s="32"/>
      <c r="AU456" s="32"/>
      <c r="AV456" s="32"/>
      <c r="AW456" s="32"/>
      <c r="AX456" s="32"/>
      <c r="AY456" s="32"/>
      <c r="BB456" s="32"/>
      <c r="BE456" s="32"/>
      <c r="BJ456" s="32"/>
    </row>
    <row r="457" spans="17:62" x14ac:dyDescent="0.25">
      <c r="Q457" s="32"/>
      <c r="T457" s="199"/>
      <c r="U457" s="200"/>
      <c r="V457" s="200"/>
      <c r="W457" s="200"/>
      <c r="X457" s="199"/>
      <c r="Y457" s="200"/>
      <c r="Z457" s="200"/>
      <c r="AA457" s="199"/>
      <c r="AB457" s="200"/>
      <c r="AC457" s="199"/>
      <c r="AD457" s="200"/>
      <c r="AE457" s="200"/>
      <c r="AG457" s="37"/>
      <c r="AH457" s="312"/>
      <c r="AI457" s="935"/>
      <c r="AJ457" s="935"/>
      <c r="AK457" s="935"/>
      <c r="AL457" s="935"/>
      <c r="AM457" s="935"/>
      <c r="AN457" s="935"/>
      <c r="AO457" s="312"/>
      <c r="AP457" s="32"/>
      <c r="AQ457" s="32"/>
      <c r="AR457" s="32"/>
      <c r="AS457" s="32"/>
      <c r="AT457" s="32"/>
      <c r="AU457" s="32"/>
      <c r="AV457" s="32"/>
      <c r="AW457" s="32"/>
      <c r="AX457" s="32"/>
      <c r="AY457" s="32"/>
      <c r="BB457" s="32"/>
      <c r="BE457" s="32"/>
      <c r="BJ457" s="32"/>
    </row>
    <row r="458" spans="17:62" x14ac:dyDescent="0.25">
      <c r="Q458" s="32"/>
      <c r="T458" s="199"/>
      <c r="U458" s="200"/>
      <c r="V458" s="200"/>
      <c r="W458" s="200"/>
      <c r="X458" s="199"/>
      <c r="Y458" s="200"/>
      <c r="Z458" s="200"/>
      <c r="AA458" s="199"/>
      <c r="AB458" s="200"/>
      <c r="AC458" s="199"/>
      <c r="AD458" s="200"/>
      <c r="AE458" s="200"/>
      <c r="AG458" s="37"/>
      <c r="AH458" s="312"/>
      <c r="AI458" s="935"/>
      <c r="AJ458" s="935"/>
      <c r="AK458" s="935"/>
      <c r="AL458" s="935"/>
      <c r="AM458" s="935"/>
      <c r="AN458" s="935"/>
      <c r="AO458" s="312"/>
      <c r="AP458" s="32"/>
      <c r="AQ458" s="32"/>
      <c r="AR458" s="32"/>
      <c r="AS458" s="32"/>
      <c r="AT458" s="32"/>
      <c r="AU458" s="32"/>
      <c r="AV458" s="32"/>
      <c r="AW458" s="32"/>
      <c r="AX458" s="32"/>
      <c r="AY458" s="32"/>
      <c r="BB458" s="32"/>
      <c r="BE458" s="32"/>
      <c r="BJ458" s="32"/>
    </row>
    <row r="459" spans="17:62" x14ac:dyDescent="0.25">
      <c r="Q459" s="32"/>
      <c r="T459" s="199"/>
      <c r="U459" s="200"/>
      <c r="V459" s="200"/>
      <c r="W459" s="200"/>
      <c r="X459" s="199"/>
      <c r="Y459" s="200"/>
      <c r="Z459" s="200"/>
      <c r="AA459" s="199"/>
      <c r="AB459" s="200"/>
      <c r="AC459" s="199"/>
      <c r="AD459" s="200"/>
      <c r="AE459" s="200"/>
      <c r="AG459" s="37"/>
      <c r="AH459" s="312"/>
      <c r="AI459" s="935"/>
      <c r="AJ459" s="935"/>
      <c r="AK459" s="935"/>
      <c r="AL459" s="935"/>
      <c r="AM459" s="935"/>
      <c r="AN459" s="935"/>
      <c r="AO459" s="312"/>
      <c r="AP459" s="32"/>
      <c r="AQ459" s="32"/>
      <c r="AR459" s="32"/>
      <c r="AS459" s="32"/>
      <c r="AT459" s="32"/>
      <c r="AU459" s="32"/>
      <c r="AV459" s="32"/>
      <c r="AW459" s="32"/>
      <c r="AX459" s="32"/>
      <c r="AY459" s="32"/>
      <c r="BB459" s="32"/>
      <c r="BE459" s="32"/>
      <c r="BJ459" s="32"/>
    </row>
    <row r="460" spans="17:62" x14ac:dyDescent="0.25">
      <c r="Q460" s="32"/>
      <c r="T460" s="199"/>
      <c r="U460" s="200"/>
      <c r="V460" s="200"/>
      <c r="W460" s="200"/>
      <c r="X460" s="199"/>
      <c r="Y460" s="200"/>
      <c r="Z460" s="200"/>
      <c r="AA460" s="199"/>
      <c r="AB460" s="200"/>
      <c r="AC460" s="199"/>
      <c r="AD460" s="200"/>
      <c r="AE460" s="200"/>
      <c r="AG460" s="37"/>
      <c r="AH460" s="312"/>
      <c r="AI460" s="935"/>
      <c r="AJ460" s="935"/>
      <c r="AK460" s="935"/>
      <c r="AL460" s="935"/>
      <c r="AM460" s="935"/>
      <c r="AN460" s="935"/>
      <c r="AO460" s="312"/>
      <c r="AP460" s="32"/>
      <c r="AQ460" s="32"/>
      <c r="AR460" s="32"/>
      <c r="AS460" s="32"/>
      <c r="AT460" s="32"/>
      <c r="AU460" s="32"/>
      <c r="AV460" s="32"/>
      <c r="AW460" s="32"/>
      <c r="AX460" s="32"/>
      <c r="AY460" s="32"/>
      <c r="BB460" s="32"/>
      <c r="BE460" s="32"/>
      <c r="BJ460" s="32"/>
    </row>
    <row r="461" spans="17:62" x14ac:dyDescent="0.25">
      <c r="Q461" s="32"/>
      <c r="T461" s="199"/>
      <c r="U461" s="200"/>
      <c r="V461" s="200"/>
      <c r="W461" s="200"/>
      <c r="X461" s="199"/>
      <c r="Y461" s="200"/>
      <c r="Z461" s="200"/>
      <c r="AA461" s="199"/>
      <c r="AB461" s="200"/>
      <c r="AC461" s="199"/>
      <c r="AD461" s="200"/>
      <c r="AE461" s="200"/>
      <c r="AG461" s="37"/>
      <c r="AH461" s="312"/>
      <c r="AI461" s="935"/>
      <c r="AJ461" s="935"/>
      <c r="AK461" s="935"/>
      <c r="AL461" s="935"/>
      <c r="AM461" s="935"/>
      <c r="AN461" s="935"/>
      <c r="AO461" s="312"/>
      <c r="AP461" s="32"/>
      <c r="AQ461" s="32"/>
      <c r="AR461" s="32"/>
      <c r="AS461" s="32"/>
      <c r="AT461" s="32"/>
      <c r="AU461" s="32"/>
      <c r="AV461" s="32"/>
      <c r="AW461" s="32"/>
      <c r="AX461" s="32"/>
      <c r="AY461" s="32"/>
      <c r="BB461" s="32"/>
      <c r="BE461" s="32"/>
      <c r="BJ461" s="32"/>
    </row>
    <row r="462" spans="17:62" x14ac:dyDescent="0.25">
      <c r="Q462" s="32"/>
      <c r="T462" s="199"/>
      <c r="U462" s="200"/>
      <c r="V462" s="200"/>
      <c r="W462" s="200"/>
      <c r="X462" s="199"/>
      <c r="Y462" s="200"/>
      <c r="Z462" s="200"/>
      <c r="AA462" s="199"/>
      <c r="AB462" s="200"/>
      <c r="AC462" s="199"/>
      <c r="AD462" s="200"/>
      <c r="AE462" s="200"/>
      <c r="AG462" s="37"/>
      <c r="AH462" s="312"/>
      <c r="AI462" s="935"/>
      <c r="AJ462" s="935"/>
      <c r="AK462" s="935"/>
      <c r="AL462" s="935"/>
      <c r="AM462" s="935"/>
      <c r="AN462" s="935"/>
      <c r="AO462" s="312"/>
      <c r="AP462" s="32"/>
      <c r="AQ462" s="32"/>
      <c r="AR462" s="32"/>
      <c r="AS462" s="32"/>
      <c r="AT462" s="32"/>
      <c r="AU462" s="32"/>
      <c r="AV462" s="32"/>
      <c r="AW462" s="32"/>
      <c r="AX462" s="32"/>
      <c r="AY462" s="32"/>
      <c r="BB462" s="32"/>
      <c r="BE462" s="32"/>
      <c r="BJ462" s="32"/>
    </row>
    <row r="463" spans="17:62" x14ac:dyDescent="0.25">
      <c r="Q463" s="32"/>
      <c r="T463" s="199"/>
      <c r="U463" s="200"/>
      <c r="V463" s="200"/>
      <c r="W463" s="200"/>
      <c r="X463" s="199"/>
      <c r="Y463" s="200"/>
      <c r="Z463" s="200"/>
      <c r="AA463" s="199"/>
      <c r="AB463" s="200"/>
      <c r="AC463" s="199"/>
      <c r="AD463" s="200"/>
      <c r="AE463" s="200"/>
      <c r="AG463" s="37"/>
      <c r="AH463" s="312"/>
      <c r="AI463" s="935"/>
      <c r="AJ463" s="935"/>
      <c r="AK463" s="935"/>
      <c r="AL463" s="935"/>
      <c r="AM463" s="935"/>
      <c r="AN463" s="935"/>
      <c r="AO463" s="312"/>
      <c r="AP463" s="32"/>
      <c r="AQ463" s="32"/>
      <c r="AR463" s="32"/>
      <c r="AS463" s="32"/>
      <c r="AT463" s="32"/>
      <c r="AU463" s="32"/>
      <c r="AV463" s="32"/>
      <c r="AW463" s="32"/>
      <c r="AX463" s="32"/>
      <c r="AY463" s="32"/>
      <c r="BB463" s="32"/>
      <c r="BE463" s="32"/>
      <c r="BJ463" s="32"/>
    </row>
    <row r="464" spans="17:62" x14ac:dyDescent="0.25">
      <c r="Q464" s="32"/>
      <c r="T464" s="199"/>
      <c r="U464" s="200"/>
      <c r="V464" s="200"/>
      <c r="W464" s="200"/>
      <c r="X464" s="199"/>
      <c r="Y464" s="200"/>
      <c r="Z464" s="200"/>
      <c r="AA464" s="199"/>
      <c r="AB464" s="200"/>
      <c r="AC464" s="199"/>
      <c r="AD464" s="200"/>
      <c r="AE464" s="200"/>
      <c r="AG464" s="37"/>
      <c r="AH464" s="312"/>
      <c r="AI464" s="935"/>
      <c r="AJ464" s="935"/>
      <c r="AK464" s="935"/>
      <c r="AL464" s="935"/>
      <c r="AM464" s="935"/>
      <c r="AN464" s="935"/>
      <c r="AO464" s="312"/>
      <c r="AP464" s="32"/>
      <c r="AQ464" s="32"/>
      <c r="AR464" s="32"/>
      <c r="AS464" s="32"/>
      <c r="AT464" s="32"/>
      <c r="AU464" s="32"/>
      <c r="AV464" s="32"/>
      <c r="AW464" s="32"/>
      <c r="AX464" s="32"/>
      <c r="AY464" s="32"/>
      <c r="BB464" s="32"/>
      <c r="BE464" s="32"/>
      <c r="BJ464" s="32"/>
    </row>
    <row r="465" spans="17:62" x14ac:dyDescent="0.25">
      <c r="Q465" s="32"/>
      <c r="T465" s="199"/>
      <c r="U465" s="200"/>
      <c r="V465" s="200"/>
      <c r="W465" s="200"/>
      <c r="X465" s="199"/>
      <c r="Y465" s="200"/>
      <c r="Z465" s="200"/>
      <c r="AA465" s="199"/>
      <c r="AB465" s="200"/>
      <c r="AC465" s="199"/>
      <c r="AD465" s="200"/>
      <c r="AE465" s="200"/>
      <c r="AG465" s="37"/>
      <c r="AH465" s="312"/>
      <c r="AI465" s="935"/>
      <c r="AJ465" s="935"/>
      <c r="AK465" s="935"/>
      <c r="AL465" s="935"/>
      <c r="AM465" s="935"/>
      <c r="AN465" s="935"/>
      <c r="AO465" s="312"/>
      <c r="AP465" s="32"/>
      <c r="AQ465" s="32"/>
      <c r="AR465" s="32"/>
      <c r="AS465" s="32"/>
      <c r="AT465" s="32"/>
      <c r="AU465" s="32"/>
      <c r="AV465" s="32"/>
      <c r="AW465" s="32"/>
      <c r="AX465" s="32"/>
      <c r="AY465" s="32"/>
      <c r="BB465" s="32"/>
      <c r="BE465" s="32"/>
      <c r="BJ465" s="32"/>
    </row>
    <row r="466" spans="17:62" x14ac:dyDescent="0.25">
      <c r="Q466" s="32"/>
      <c r="T466" s="199"/>
      <c r="U466" s="200"/>
      <c r="V466" s="200"/>
      <c r="W466" s="200"/>
      <c r="X466" s="199"/>
      <c r="Y466" s="200"/>
      <c r="Z466" s="200"/>
      <c r="AA466" s="199"/>
      <c r="AB466" s="200"/>
      <c r="AC466" s="199"/>
      <c r="AD466" s="200"/>
      <c r="AE466" s="200"/>
      <c r="AG466" s="37"/>
      <c r="AH466" s="312"/>
      <c r="AI466" s="935"/>
      <c r="AJ466" s="935"/>
      <c r="AK466" s="935"/>
      <c r="AL466" s="935"/>
      <c r="AM466" s="935"/>
      <c r="AN466" s="935"/>
      <c r="AO466" s="312"/>
      <c r="AP466" s="32"/>
      <c r="AQ466" s="32"/>
      <c r="AR466" s="32"/>
      <c r="AS466" s="32"/>
      <c r="AT466" s="32"/>
      <c r="AU466" s="32"/>
      <c r="AV466" s="32"/>
      <c r="AW466" s="32"/>
      <c r="AX466" s="32"/>
      <c r="AY466" s="32"/>
      <c r="BB466" s="32"/>
      <c r="BE466" s="32"/>
      <c r="BJ466" s="32"/>
    </row>
    <row r="467" spans="17:62" x14ac:dyDescent="0.25">
      <c r="Q467" s="32"/>
      <c r="T467" s="199"/>
      <c r="U467" s="200"/>
      <c r="V467" s="200"/>
      <c r="W467" s="200"/>
      <c r="X467" s="199"/>
      <c r="Y467" s="200"/>
      <c r="Z467" s="200"/>
      <c r="AA467" s="199"/>
      <c r="AB467" s="200"/>
      <c r="AC467" s="199"/>
      <c r="AD467" s="200"/>
      <c r="AE467" s="200"/>
      <c r="AG467" s="37"/>
      <c r="AH467" s="312"/>
      <c r="AI467" s="935"/>
      <c r="AJ467" s="935"/>
      <c r="AK467" s="935"/>
      <c r="AL467" s="935"/>
      <c r="AM467" s="935"/>
      <c r="AN467" s="935"/>
      <c r="AO467" s="312"/>
      <c r="AP467" s="32"/>
      <c r="AQ467" s="32"/>
      <c r="AR467" s="32"/>
      <c r="AS467" s="32"/>
      <c r="AT467" s="32"/>
      <c r="AU467" s="32"/>
      <c r="AV467" s="32"/>
      <c r="AW467" s="32"/>
      <c r="AX467" s="32"/>
      <c r="AY467" s="32"/>
      <c r="BB467" s="32"/>
      <c r="BE467" s="32"/>
      <c r="BJ467" s="32"/>
    </row>
    <row r="468" spans="17:62" x14ac:dyDescent="0.25">
      <c r="Q468" s="32"/>
      <c r="T468" s="199"/>
      <c r="U468" s="200"/>
      <c r="V468" s="200"/>
      <c r="W468" s="200"/>
      <c r="X468" s="199"/>
      <c r="Y468" s="200"/>
      <c r="Z468" s="200"/>
      <c r="AA468" s="199"/>
      <c r="AB468" s="200"/>
      <c r="AC468" s="199"/>
      <c r="AD468" s="200"/>
      <c r="AE468" s="200"/>
      <c r="AG468" s="37"/>
      <c r="AH468" s="312"/>
      <c r="AI468" s="935"/>
      <c r="AJ468" s="935"/>
      <c r="AK468" s="935"/>
      <c r="AL468" s="935"/>
      <c r="AM468" s="935"/>
      <c r="AN468" s="935"/>
      <c r="AO468" s="312"/>
      <c r="AP468" s="32"/>
      <c r="AQ468" s="32"/>
      <c r="AR468" s="32"/>
      <c r="AS468" s="32"/>
      <c r="AT468" s="32"/>
      <c r="AU468" s="32"/>
      <c r="AV468" s="32"/>
      <c r="AW468" s="32"/>
      <c r="AX468" s="32"/>
      <c r="AY468" s="32"/>
      <c r="BB468" s="32"/>
      <c r="BE468" s="32"/>
      <c r="BJ468" s="32"/>
    </row>
    <row r="469" spans="17:62" x14ac:dyDescent="0.25">
      <c r="Q469" s="32"/>
      <c r="T469" s="199"/>
      <c r="U469" s="200"/>
      <c r="V469" s="200"/>
      <c r="W469" s="200"/>
      <c r="X469" s="199"/>
      <c r="Y469" s="200"/>
      <c r="Z469" s="200"/>
      <c r="AA469" s="199"/>
      <c r="AB469" s="200"/>
      <c r="AC469" s="199"/>
      <c r="AD469" s="200"/>
      <c r="AE469" s="200"/>
      <c r="AG469" s="37"/>
      <c r="AH469" s="312"/>
      <c r="AI469" s="935"/>
      <c r="AJ469" s="935"/>
      <c r="AK469" s="935"/>
      <c r="AL469" s="935"/>
      <c r="AM469" s="935"/>
      <c r="AN469" s="935"/>
      <c r="AO469" s="312"/>
      <c r="AP469" s="32"/>
      <c r="AQ469" s="32"/>
      <c r="AR469" s="32"/>
      <c r="AS469" s="32"/>
      <c r="AT469" s="32"/>
      <c r="AU469" s="32"/>
      <c r="AV469" s="32"/>
      <c r="AW469" s="32"/>
      <c r="AX469" s="32"/>
      <c r="AY469" s="32"/>
      <c r="BB469" s="32"/>
      <c r="BE469" s="32"/>
      <c r="BJ469" s="32"/>
    </row>
    <row r="470" spans="17:62" x14ac:dyDescent="0.25">
      <c r="Q470" s="32"/>
      <c r="T470" s="199"/>
      <c r="U470" s="200"/>
      <c r="V470" s="200"/>
      <c r="W470" s="200"/>
      <c r="X470" s="199"/>
      <c r="Y470" s="200"/>
      <c r="Z470" s="200"/>
      <c r="AA470" s="199"/>
      <c r="AB470" s="200"/>
      <c r="AC470" s="199"/>
      <c r="AD470" s="200"/>
      <c r="AE470" s="200"/>
      <c r="AG470" s="37"/>
      <c r="AH470" s="312"/>
      <c r="AI470" s="935"/>
      <c r="AJ470" s="935"/>
      <c r="AK470" s="935"/>
      <c r="AL470" s="935"/>
      <c r="AM470" s="935"/>
      <c r="AN470" s="935"/>
      <c r="AO470" s="312"/>
      <c r="AP470" s="32"/>
      <c r="AQ470" s="32"/>
      <c r="AR470" s="32"/>
      <c r="AS470" s="32"/>
      <c r="AT470" s="32"/>
      <c r="AU470" s="32"/>
      <c r="AV470" s="32"/>
      <c r="AW470" s="32"/>
      <c r="AX470" s="32"/>
      <c r="AY470" s="32"/>
      <c r="BB470" s="32"/>
      <c r="BE470" s="32"/>
      <c r="BJ470" s="32"/>
    </row>
    <row r="471" spans="17:62" x14ac:dyDescent="0.25">
      <c r="Q471" s="32"/>
      <c r="T471" s="199"/>
      <c r="U471" s="200"/>
      <c r="V471" s="200"/>
      <c r="W471" s="200"/>
      <c r="X471" s="199"/>
      <c r="Y471" s="200"/>
      <c r="Z471" s="200"/>
      <c r="AA471" s="199"/>
      <c r="AB471" s="200"/>
      <c r="AC471" s="199"/>
      <c r="AD471" s="200"/>
      <c r="AE471" s="200"/>
      <c r="AG471" s="37"/>
      <c r="AH471" s="312"/>
      <c r="AI471" s="935"/>
      <c r="AJ471" s="935"/>
      <c r="AK471" s="935"/>
      <c r="AL471" s="935"/>
      <c r="AM471" s="935"/>
      <c r="AN471" s="935"/>
      <c r="AO471" s="312"/>
      <c r="AP471" s="32"/>
      <c r="AQ471" s="32"/>
      <c r="AR471" s="32"/>
      <c r="AS471" s="32"/>
      <c r="AT471" s="32"/>
      <c r="AU471" s="32"/>
      <c r="AV471" s="32"/>
      <c r="AW471" s="32"/>
      <c r="AX471" s="32"/>
      <c r="AY471" s="32"/>
      <c r="BB471" s="32"/>
      <c r="BE471" s="32"/>
      <c r="BJ471" s="32"/>
    </row>
    <row r="472" spans="17:62" x14ac:dyDescent="0.25">
      <c r="Q472" s="32"/>
      <c r="T472" s="199"/>
      <c r="U472" s="200"/>
      <c r="V472" s="200"/>
      <c r="W472" s="200"/>
      <c r="X472" s="199"/>
      <c r="Y472" s="200"/>
      <c r="Z472" s="200"/>
      <c r="AA472" s="199"/>
      <c r="AB472" s="200"/>
      <c r="AC472" s="199"/>
      <c r="AD472" s="200"/>
      <c r="AE472" s="200"/>
      <c r="AG472" s="37"/>
      <c r="AH472" s="312"/>
      <c r="AI472" s="935"/>
      <c r="AJ472" s="935"/>
      <c r="AK472" s="935"/>
      <c r="AL472" s="935"/>
      <c r="AM472" s="935"/>
      <c r="AN472" s="935"/>
      <c r="AO472" s="312"/>
      <c r="AP472" s="32"/>
      <c r="AQ472" s="32"/>
      <c r="AR472" s="32"/>
      <c r="AS472" s="32"/>
      <c r="AT472" s="32"/>
      <c r="AU472" s="32"/>
      <c r="AV472" s="32"/>
      <c r="AW472" s="32"/>
      <c r="AX472" s="32"/>
      <c r="AY472" s="32"/>
      <c r="BB472" s="32"/>
      <c r="BE472" s="32"/>
      <c r="BJ472" s="32"/>
    </row>
    <row r="473" spans="17:62" x14ac:dyDescent="0.25">
      <c r="Q473" s="32"/>
      <c r="T473" s="199"/>
      <c r="U473" s="200"/>
      <c r="V473" s="200"/>
      <c r="W473" s="200"/>
      <c r="X473" s="199"/>
      <c r="Y473" s="200"/>
      <c r="Z473" s="200"/>
      <c r="AA473" s="199"/>
      <c r="AB473" s="200"/>
      <c r="AC473" s="199"/>
      <c r="AD473" s="200"/>
      <c r="AE473" s="200"/>
      <c r="AG473" s="37"/>
      <c r="AH473" s="312"/>
      <c r="AI473" s="935"/>
      <c r="AJ473" s="935"/>
      <c r="AK473" s="935"/>
      <c r="AL473" s="935"/>
      <c r="AM473" s="935"/>
      <c r="AN473" s="935"/>
      <c r="AO473" s="312"/>
      <c r="AP473" s="32"/>
      <c r="AQ473" s="32"/>
      <c r="AR473" s="32"/>
      <c r="AS473" s="32"/>
      <c r="AT473" s="32"/>
      <c r="AU473" s="32"/>
      <c r="AV473" s="32"/>
      <c r="AW473" s="32"/>
      <c r="AX473" s="32"/>
      <c r="AY473" s="32"/>
      <c r="BB473" s="32"/>
      <c r="BE473" s="32"/>
      <c r="BJ473" s="32"/>
    </row>
    <row r="474" spans="17:62" x14ac:dyDescent="0.25">
      <c r="Q474" s="32"/>
      <c r="T474" s="199"/>
      <c r="U474" s="200"/>
      <c r="V474" s="200"/>
      <c r="W474" s="200"/>
      <c r="X474" s="199"/>
      <c r="Y474" s="200"/>
      <c r="Z474" s="200"/>
      <c r="AA474" s="199"/>
      <c r="AB474" s="200"/>
      <c r="AC474" s="199"/>
      <c r="AD474" s="200"/>
      <c r="AE474" s="200"/>
      <c r="AG474" s="37"/>
      <c r="AH474" s="312"/>
      <c r="AI474" s="935"/>
      <c r="AJ474" s="935"/>
      <c r="AK474" s="935"/>
      <c r="AL474" s="935"/>
      <c r="AM474" s="935"/>
      <c r="AN474" s="935"/>
      <c r="AO474" s="312"/>
      <c r="AP474" s="32"/>
      <c r="AQ474" s="32"/>
      <c r="AR474" s="32"/>
      <c r="AS474" s="32"/>
      <c r="AT474" s="32"/>
      <c r="AU474" s="32"/>
      <c r="AV474" s="32"/>
      <c r="AW474" s="32"/>
      <c r="AX474" s="32"/>
      <c r="AY474" s="32"/>
      <c r="BB474" s="32"/>
      <c r="BE474" s="32"/>
      <c r="BJ474" s="32"/>
    </row>
    <row r="475" spans="17:62" x14ac:dyDescent="0.25">
      <c r="Q475" s="32"/>
      <c r="T475" s="199"/>
      <c r="U475" s="200"/>
      <c r="V475" s="200"/>
      <c r="W475" s="200"/>
      <c r="X475" s="199"/>
      <c r="Y475" s="200"/>
      <c r="Z475" s="200"/>
      <c r="AA475" s="199"/>
      <c r="AB475" s="200"/>
      <c r="AC475" s="199"/>
      <c r="AD475" s="200"/>
      <c r="AE475" s="200"/>
      <c r="AG475" s="37"/>
      <c r="AH475" s="312"/>
      <c r="AI475" s="935"/>
      <c r="AJ475" s="935"/>
      <c r="AK475" s="935"/>
      <c r="AL475" s="935"/>
      <c r="AM475" s="935"/>
      <c r="AN475" s="935"/>
      <c r="AO475" s="312"/>
      <c r="AP475" s="32"/>
      <c r="AQ475" s="32"/>
      <c r="AR475" s="32"/>
      <c r="AS475" s="32"/>
      <c r="AT475" s="32"/>
      <c r="AU475" s="32"/>
      <c r="AV475" s="32"/>
      <c r="AW475" s="32"/>
      <c r="AX475" s="32"/>
      <c r="AY475" s="32"/>
      <c r="BB475" s="32"/>
      <c r="BE475" s="32"/>
      <c r="BJ475" s="32"/>
    </row>
    <row r="476" spans="17:62" x14ac:dyDescent="0.25">
      <c r="Q476" s="32"/>
      <c r="T476" s="199"/>
      <c r="U476" s="200"/>
      <c r="V476" s="200"/>
      <c r="W476" s="200"/>
      <c r="X476" s="199"/>
      <c r="Y476" s="200"/>
      <c r="Z476" s="200"/>
      <c r="AA476" s="199"/>
      <c r="AB476" s="200"/>
      <c r="AC476" s="199"/>
      <c r="AD476" s="200"/>
      <c r="AE476" s="200"/>
      <c r="AG476" s="37"/>
      <c r="AH476" s="312"/>
      <c r="AI476" s="935"/>
      <c r="AJ476" s="935"/>
      <c r="AK476" s="935"/>
      <c r="AL476" s="935"/>
      <c r="AM476" s="935"/>
      <c r="AN476" s="935"/>
      <c r="AO476" s="312"/>
      <c r="AP476" s="32"/>
      <c r="AQ476" s="32"/>
      <c r="AR476" s="32"/>
      <c r="AS476" s="32"/>
      <c r="AT476" s="32"/>
      <c r="AU476" s="32"/>
      <c r="AV476" s="32"/>
      <c r="AW476" s="32"/>
      <c r="AX476" s="32"/>
      <c r="AY476" s="32"/>
      <c r="BB476" s="32"/>
      <c r="BE476" s="32"/>
      <c r="BJ476" s="32"/>
    </row>
    <row r="477" spans="17:62" x14ac:dyDescent="0.25">
      <c r="Q477" s="32"/>
      <c r="T477" s="199"/>
      <c r="U477" s="200"/>
      <c r="V477" s="200"/>
      <c r="W477" s="200"/>
      <c r="X477" s="199"/>
      <c r="Y477" s="200"/>
      <c r="Z477" s="200"/>
      <c r="AA477" s="199"/>
      <c r="AB477" s="200"/>
      <c r="AC477" s="199"/>
      <c r="AD477" s="200"/>
      <c r="AE477" s="200"/>
      <c r="AG477" s="37"/>
      <c r="AH477" s="312"/>
      <c r="AI477" s="935"/>
      <c r="AJ477" s="935"/>
      <c r="AK477" s="935"/>
      <c r="AL477" s="935"/>
      <c r="AM477" s="935"/>
      <c r="AN477" s="935"/>
      <c r="AO477" s="312"/>
      <c r="AP477" s="32"/>
      <c r="AQ477" s="32"/>
      <c r="AR477" s="32"/>
      <c r="AS477" s="32"/>
      <c r="AT477" s="32"/>
      <c r="AU477" s="32"/>
      <c r="AV477" s="32"/>
      <c r="AW477" s="32"/>
      <c r="AX477" s="32"/>
      <c r="AY477" s="32"/>
      <c r="BB477" s="32"/>
      <c r="BE477" s="32"/>
      <c r="BJ477" s="32"/>
    </row>
    <row r="478" spans="17:62" x14ac:dyDescent="0.25">
      <c r="Q478" s="32"/>
      <c r="T478" s="199"/>
      <c r="U478" s="200"/>
      <c r="V478" s="200"/>
      <c r="W478" s="200"/>
      <c r="X478" s="199"/>
      <c r="Y478" s="200"/>
      <c r="Z478" s="200"/>
      <c r="AA478" s="199"/>
      <c r="AB478" s="200"/>
      <c r="AC478" s="199"/>
      <c r="AD478" s="200"/>
      <c r="AE478" s="200"/>
      <c r="AG478" s="37"/>
      <c r="AH478" s="312"/>
      <c r="AI478" s="935"/>
      <c r="AJ478" s="935"/>
      <c r="AK478" s="935"/>
      <c r="AL478" s="935"/>
      <c r="AM478" s="935"/>
      <c r="AN478" s="935"/>
      <c r="AO478" s="312"/>
      <c r="AP478" s="32"/>
      <c r="AQ478" s="32"/>
      <c r="AR478" s="32"/>
      <c r="AS478" s="32"/>
      <c r="AT478" s="32"/>
      <c r="AU478" s="32"/>
      <c r="AV478" s="32"/>
      <c r="AW478" s="32"/>
      <c r="AX478" s="32"/>
      <c r="AY478" s="32"/>
      <c r="BB478" s="32"/>
      <c r="BE478" s="32"/>
      <c r="BJ478" s="32"/>
    </row>
    <row r="479" spans="17:62" x14ac:dyDescent="0.25">
      <c r="Q479" s="32"/>
      <c r="T479" s="199"/>
      <c r="U479" s="200"/>
      <c r="V479" s="200"/>
      <c r="W479" s="200"/>
      <c r="X479" s="199"/>
      <c r="Y479" s="200"/>
      <c r="Z479" s="200"/>
      <c r="AA479" s="199"/>
      <c r="AB479" s="200"/>
      <c r="AC479" s="199"/>
      <c r="AD479" s="200"/>
      <c r="AE479" s="200"/>
      <c r="AG479" s="37"/>
      <c r="AH479" s="312"/>
      <c r="AI479" s="935"/>
      <c r="AJ479" s="935"/>
      <c r="AK479" s="935"/>
      <c r="AL479" s="935"/>
      <c r="AM479" s="935"/>
      <c r="AN479" s="935"/>
      <c r="AO479" s="312"/>
      <c r="AP479" s="32"/>
      <c r="AQ479" s="32"/>
      <c r="AR479" s="32"/>
      <c r="AS479" s="32"/>
      <c r="AT479" s="32"/>
      <c r="AU479" s="32"/>
      <c r="AV479" s="32"/>
      <c r="AW479" s="32"/>
      <c r="AX479" s="32"/>
      <c r="AY479" s="32"/>
      <c r="BB479" s="32"/>
      <c r="BE479" s="32"/>
      <c r="BJ479" s="32"/>
    </row>
    <row r="480" spans="17:62" x14ac:dyDescent="0.25">
      <c r="Q480" s="32"/>
      <c r="T480" s="199"/>
      <c r="U480" s="200"/>
      <c r="V480" s="200"/>
      <c r="W480" s="200"/>
      <c r="X480" s="199"/>
      <c r="Y480" s="200"/>
      <c r="Z480" s="200"/>
      <c r="AA480" s="199"/>
      <c r="AB480" s="200"/>
      <c r="AC480" s="199"/>
      <c r="AD480" s="200"/>
      <c r="AE480" s="200"/>
      <c r="AG480" s="37"/>
      <c r="AH480" s="312"/>
      <c r="AI480" s="935"/>
      <c r="AJ480" s="935"/>
      <c r="AK480" s="935"/>
      <c r="AL480" s="935"/>
      <c r="AM480" s="935"/>
      <c r="AN480" s="935"/>
      <c r="AO480" s="312"/>
      <c r="AP480" s="32"/>
      <c r="AQ480" s="32"/>
      <c r="AR480" s="32"/>
      <c r="AS480" s="32"/>
      <c r="AT480" s="32"/>
      <c r="AU480" s="32"/>
      <c r="AV480" s="32"/>
      <c r="AW480" s="32"/>
      <c r="AX480" s="32"/>
      <c r="AY480" s="32"/>
      <c r="BB480" s="32"/>
      <c r="BE480" s="32"/>
      <c r="BJ480" s="32"/>
    </row>
    <row r="481" spans="17:62" x14ac:dyDescent="0.25">
      <c r="Q481" s="32"/>
      <c r="T481" s="199"/>
      <c r="U481" s="200"/>
      <c r="V481" s="200"/>
      <c r="W481" s="200"/>
      <c r="X481" s="199"/>
      <c r="Y481" s="200"/>
      <c r="Z481" s="200"/>
      <c r="AA481" s="199"/>
      <c r="AB481" s="200"/>
      <c r="AC481" s="199"/>
      <c r="AD481" s="200"/>
      <c r="AE481" s="200"/>
      <c r="AG481" s="37"/>
      <c r="AH481" s="312"/>
      <c r="AI481" s="935"/>
      <c r="AJ481" s="935"/>
      <c r="AK481" s="935"/>
      <c r="AL481" s="935"/>
      <c r="AM481" s="935"/>
      <c r="AN481" s="935"/>
      <c r="AO481" s="312"/>
      <c r="AP481" s="32"/>
      <c r="AQ481" s="32"/>
      <c r="AR481" s="32"/>
      <c r="AS481" s="32"/>
      <c r="AT481" s="32"/>
      <c r="AU481" s="32"/>
      <c r="AV481" s="32"/>
      <c r="AW481" s="32"/>
      <c r="AX481" s="32"/>
      <c r="AY481" s="32"/>
      <c r="BB481" s="32"/>
      <c r="BE481" s="32"/>
      <c r="BJ481" s="32"/>
    </row>
    <row r="482" spans="17:62" x14ac:dyDescent="0.25">
      <c r="Q482" s="32"/>
      <c r="T482" s="199"/>
      <c r="U482" s="200"/>
      <c r="V482" s="200"/>
      <c r="W482" s="200"/>
      <c r="X482" s="199"/>
      <c r="Y482" s="200"/>
      <c r="Z482" s="200"/>
      <c r="AA482" s="199"/>
      <c r="AB482" s="200"/>
      <c r="AC482" s="199"/>
      <c r="AD482" s="200"/>
      <c r="AE482" s="200"/>
      <c r="AG482" s="37"/>
      <c r="AH482" s="312"/>
      <c r="AI482" s="935"/>
      <c r="AJ482" s="935"/>
      <c r="AK482" s="935"/>
      <c r="AL482" s="935"/>
      <c r="AM482" s="935"/>
      <c r="AN482" s="935"/>
      <c r="AO482" s="312"/>
      <c r="AP482" s="32"/>
      <c r="AQ482" s="32"/>
      <c r="AR482" s="32"/>
      <c r="AS482" s="32"/>
      <c r="AT482" s="32"/>
      <c r="AU482" s="32"/>
      <c r="AV482" s="32"/>
      <c r="AW482" s="32"/>
      <c r="AX482" s="32"/>
      <c r="AY482" s="32"/>
      <c r="BB482" s="32"/>
      <c r="BE482" s="32"/>
      <c r="BJ482" s="32"/>
    </row>
    <row r="483" spans="17:62" x14ac:dyDescent="0.25">
      <c r="Q483" s="32"/>
      <c r="T483" s="199"/>
      <c r="U483" s="200"/>
      <c r="V483" s="200"/>
      <c r="W483" s="200"/>
      <c r="X483" s="199"/>
      <c r="Y483" s="200"/>
      <c r="Z483" s="200"/>
      <c r="AA483" s="199"/>
      <c r="AB483" s="200"/>
      <c r="AC483" s="199"/>
      <c r="AD483" s="200"/>
      <c r="AE483" s="200"/>
      <c r="AG483" s="37"/>
      <c r="AH483" s="312"/>
      <c r="AI483" s="935"/>
      <c r="AJ483" s="935"/>
      <c r="AK483" s="935"/>
      <c r="AL483" s="935"/>
      <c r="AM483" s="935"/>
      <c r="AN483" s="935"/>
      <c r="AO483" s="312"/>
      <c r="AP483" s="32"/>
      <c r="AQ483" s="32"/>
      <c r="AR483" s="32"/>
      <c r="AS483" s="32"/>
      <c r="AT483" s="32"/>
      <c r="AU483" s="32"/>
      <c r="AV483" s="32"/>
      <c r="AW483" s="32"/>
      <c r="AX483" s="32"/>
      <c r="AY483" s="32"/>
      <c r="BB483" s="32"/>
      <c r="BE483" s="32"/>
      <c r="BJ483" s="32"/>
    </row>
    <row r="484" spans="17:62" x14ac:dyDescent="0.25">
      <c r="Q484" s="32"/>
      <c r="T484" s="199"/>
      <c r="U484" s="200"/>
      <c r="V484" s="200"/>
      <c r="W484" s="200"/>
      <c r="X484" s="199"/>
      <c r="Y484" s="200"/>
      <c r="Z484" s="200"/>
      <c r="AA484" s="199"/>
      <c r="AB484" s="200"/>
      <c r="AC484" s="199"/>
      <c r="AD484" s="200"/>
      <c r="AE484" s="200"/>
      <c r="AG484" s="37"/>
      <c r="AH484" s="312"/>
      <c r="AI484" s="935"/>
      <c r="AJ484" s="935"/>
      <c r="AK484" s="935"/>
      <c r="AL484" s="935"/>
      <c r="AM484" s="935"/>
      <c r="AN484" s="935"/>
      <c r="AO484" s="312"/>
      <c r="AP484" s="32"/>
      <c r="AQ484" s="32"/>
      <c r="AR484" s="32"/>
      <c r="AS484" s="32"/>
      <c r="AT484" s="32"/>
      <c r="AU484" s="32"/>
      <c r="AV484" s="32"/>
      <c r="AW484" s="32"/>
      <c r="AX484" s="32"/>
      <c r="AY484" s="32"/>
      <c r="BB484" s="32"/>
      <c r="BE484" s="32"/>
      <c r="BJ484" s="32"/>
    </row>
    <row r="485" spans="17:62" x14ac:dyDescent="0.25">
      <c r="Q485" s="32"/>
      <c r="T485" s="199"/>
      <c r="U485" s="200"/>
      <c r="V485" s="200"/>
      <c r="W485" s="200"/>
      <c r="X485" s="199"/>
      <c r="Y485" s="200"/>
      <c r="Z485" s="200"/>
      <c r="AA485" s="199"/>
      <c r="AB485" s="200"/>
      <c r="AC485" s="199"/>
      <c r="AD485" s="200"/>
      <c r="AE485" s="200"/>
      <c r="AG485" s="37"/>
      <c r="AH485" s="312"/>
      <c r="AI485" s="935"/>
      <c r="AJ485" s="935"/>
      <c r="AK485" s="935"/>
      <c r="AL485" s="935"/>
      <c r="AM485" s="935"/>
      <c r="AN485" s="935"/>
      <c r="AO485" s="312"/>
      <c r="AP485" s="32"/>
      <c r="AQ485" s="32"/>
      <c r="AR485" s="32"/>
      <c r="AS485" s="32"/>
      <c r="AT485" s="32"/>
      <c r="AU485" s="32"/>
      <c r="AV485" s="32"/>
      <c r="AW485" s="32"/>
      <c r="AX485" s="32"/>
      <c r="AY485" s="32"/>
      <c r="BB485" s="32"/>
      <c r="BE485" s="32"/>
      <c r="BJ485" s="32"/>
    </row>
    <row r="486" spans="17:62" x14ac:dyDescent="0.25">
      <c r="Q486" s="32"/>
      <c r="T486" s="199"/>
      <c r="U486" s="200"/>
      <c r="V486" s="200"/>
      <c r="W486" s="200"/>
      <c r="X486" s="199"/>
      <c r="Y486" s="200"/>
      <c r="Z486" s="200"/>
      <c r="AA486" s="199"/>
      <c r="AB486" s="200"/>
      <c r="AC486" s="199"/>
      <c r="AD486" s="200"/>
      <c r="AE486" s="200"/>
      <c r="AG486" s="37"/>
      <c r="AH486" s="312"/>
      <c r="AI486" s="935"/>
      <c r="AJ486" s="935"/>
      <c r="AK486" s="935"/>
      <c r="AL486" s="935"/>
      <c r="AM486" s="935"/>
      <c r="AN486" s="935"/>
      <c r="AO486" s="312"/>
      <c r="AP486" s="32"/>
      <c r="AQ486" s="32"/>
      <c r="AR486" s="32"/>
      <c r="AS486" s="32"/>
      <c r="AT486" s="32"/>
      <c r="AU486" s="32"/>
      <c r="AV486" s="32"/>
      <c r="AW486" s="32"/>
      <c r="AX486" s="32"/>
      <c r="AY486" s="32"/>
      <c r="BB486" s="32"/>
      <c r="BE486" s="32"/>
      <c r="BJ486" s="32"/>
    </row>
    <row r="487" spans="17:62" x14ac:dyDescent="0.25">
      <c r="Q487" s="32"/>
      <c r="T487" s="199"/>
      <c r="U487" s="200"/>
      <c r="V487" s="200"/>
      <c r="W487" s="200"/>
      <c r="X487" s="199"/>
      <c r="Y487" s="200"/>
      <c r="Z487" s="200"/>
      <c r="AA487" s="199"/>
      <c r="AB487" s="200"/>
      <c r="AC487" s="199"/>
      <c r="AD487" s="200"/>
      <c r="AE487" s="200"/>
      <c r="AG487" s="37"/>
      <c r="AH487" s="312"/>
      <c r="AI487" s="935"/>
      <c r="AJ487" s="935"/>
      <c r="AK487" s="935"/>
      <c r="AL487" s="935"/>
      <c r="AM487" s="935"/>
      <c r="AN487" s="935"/>
      <c r="AO487" s="312"/>
      <c r="AP487" s="32"/>
      <c r="AQ487" s="32"/>
      <c r="AR487" s="32"/>
      <c r="AS487" s="32"/>
      <c r="AT487" s="32"/>
      <c r="AU487" s="32"/>
      <c r="AV487" s="32"/>
      <c r="AW487" s="32"/>
      <c r="AX487" s="32"/>
      <c r="AY487" s="32"/>
      <c r="BB487" s="32"/>
      <c r="BE487" s="32"/>
      <c r="BJ487" s="32"/>
    </row>
    <row r="488" spans="17:62" x14ac:dyDescent="0.25">
      <c r="Q488" s="32"/>
      <c r="T488" s="199"/>
      <c r="U488" s="200"/>
      <c r="V488" s="200"/>
      <c r="W488" s="200"/>
      <c r="X488" s="199"/>
      <c r="Y488" s="200"/>
      <c r="Z488" s="200"/>
      <c r="AA488" s="199"/>
      <c r="AB488" s="200"/>
      <c r="AC488" s="199"/>
      <c r="AD488" s="200"/>
      <c r="AE488" s="200"/>
      <c r="AG488" s="37"/>
      <c r="AH488" s="312"/>
      <c r="AI488" s="935"/>
      <c r="AJ488" s="935"/>
      <c r="AK488" s="935"/>
      <c r="AL488" s="935"/>
      <c r="AM488" s="935"/>
      <c r="AN488" s="935"/>
      <c r="AO488" s="312"/>
      <c r="AP488" s="32"/>
      <c r="AQ488" s="32"/>
      <c r="AR488" s="32"/>
      <c r="AS488" s="32"/>
      <c r="AT488" s="32"/>
      <c r="AU488" s="32"/>
      <c r="AV488" s="32"/>
      <c r="AW488" s="32"/>
      <c r="AX488" s="32"/>
      <c r="AY488" s="32"/>
      <c r="BB488" s="32"/>
      <c r="BE488" s="32"/>
      <c r="BJ488" s="32"/>
    </row>
    <row r="489" spans="17:62" x14ac:dyDescent="0.25">
      <c r="Q489" s="32"/>
      <c r="T489" s="199"/>
      <c r="U489" s="200"/>
      <c r="V489" s="200"/>
      <c r="W489" s="200"/>
      <c r="X489" s="199"/>
      <c r="Y489" s="200"/>
      <c r="Z489" s="200"/>
      <c r="AA489" s="199"/>
      <c r="AB489" s="200"/>
      <c r="AC489" s="199"/>
      <c r="AD489" s="200"/>
      <c r="AE489" s="200"/>
      <c r="AG489" s="37"/>
      <c r="AH489" s="312"/>
      <c r="AI489" s="935"/>
      <c r="AJ489" s="935"/>
      <c r="AK489" s="935"/>
      <c r="AL489" s="935"/>
      <c r="AM489" s="935"/>
      <c r="AN489" s="935"/>
      <c r="AO489" s="312"/>
      <c r="AP489" s="32"/>
      <c r="AQ489" s="32"/>
      <c r="AR489" s="32"/>
      <c r="AS489" s="32"/>
      <c r="AT489" s="32"/>
      <c r="AU489" s="32"/>
      <c r="AV489" s="32"/>
      <c r="AW489" s="32"/>
      <c r="AX489" s="32"/>
      <c r="AY489" s="32"/>
      <c r="BB489" s="32"/>
      <c r="BE489" s="32"/>
      <c r="BJ489" s="32"/>
    </row>
    <row r="490" spans="17:62" x14ac:dyDescent="0.25">
      <c r="Q490" s="32"/>
      <c r="T490" s="199"/>
      <c r="U490" s="200"/>
      <c r="V490" s="200"/>
      <c r="W490" s="200"/>
      <c r="X490" s="199"/>
      <c r="Y490" s="200"/>
      <c r="Z490" s="200"/>
      <c r="AA490" s="199"/>
      <c r="AB490" s="200"/>
      <c r="AC490" s="199"/>
      <c r="AD490" s="200"/>
      <c r="AE490" s="200"/>
      <c r="AG490" s="37"/>
      <c r="AH490" s="312"/>
      <c r="AI490" s="935"/>
      <c r="AJ490" s="935"/>
      <c r="AK490" s="935"/>
      <c r="AL490" s="935"/>
      <c r="AM490" s="935"/>
      <c r="AN490" s="935"/>
      <c r="AO490" s="312"/>
      <c r="AP490" s="32"/>
      <c r="AQ490" s="32"/>
      <c r="AR490" s="32"/>
      <c r="AS490" s="32"/>
      <c r="AT490" s="32"/>
      <c r="AU490" s="32"/>
      <c r="AV490" s="32"/>
      <c r="AW490" s="32"/>
      <c r="AX490" s="32"/>
      <c r="AY490" s="32"/>
      <c r="BB490" s="32"/>
      <c r="BE490" s="32"/>
      <c r="BJ490" s="32"/>
    </row>
    <row r="491" spans="17:62" x14ac:dyDescent="0.25">
      <c r="Q491" s="32"/>
      <c r="T491" s="199"/>
      <c r="U491" s="200"/>
      <c r="V491" s="200"/>
      <c r="W491" s="200"/>
      <c r="X491" s="199"/>
      <c r="Y491" s="200"/>
      <c r="Z491" s="200"/>
      <c r="AA491" s="199"/>
      <c r="AB491" s="200"/>
      <c r="AC491" s="199"/>
      <c r="AD491" s="200"/>
      <c r="AE491" s="200"/>
      <c r="AG491" s="37"/>
      <c r="AH491" s="312"/>
      <c r="AI491" s="935"/>
      <c r="AJ491" s="935"/>
      <c r="AK491" s="935"/>
      <c r="AL491" s="935"/>
      <c r="AM491" s="935"/>
      <c r="AN491" s="935"/>
      <c r="AO491" s="312"/>
      <c r="AP491" s="32"/>
      <c r="AQ491" s="32"/>
      <c r="AR491" s="32"/>
      <c r="AS491" s="32"/>
      <c r="AT491" s="32"/>
      <c r="AU491" s="32"/>
      <c r="AV491" s="32"/>
      <c r="AW491" s="32"/>
      <c r="AX491" s="32"/>
      <c r="AY491" s="32"/>
      <c r="BB491" s="32"/>
      <c r="BE491" s="32"/>
      <c r="BJ491" s="32"/>
    </row>
    <row r="492" spans="17:62" x14ac:dyDescent="0.25">
      <c r="Q492" s="32"/>
      <c r="T492" s="199"/>
      <c r="U492" s="200"/>
      <c r="V492" s="200"/>
      <c r="W492" s="200"/>
      <c r="X492" s="199"/>
      <c r="Y492" s="200"/>
      <c r="Z492" s="200"/>
      <c r="AA492" s="199"/>
      <c r="AB492" s="200"/>
      <c r="AC492" s="199"/>
      <c r="AD492" s="200"/>
      <c r="AE492" s="200"/>
      <c r="AG492" s="37"/>
      <c r="AH492" s="312"/>
      <c r="AI492" s="935"/>
      <c r="AJ492" s="935"/>
      <c r="AK492" s="935"/>
      <c r="AL492" s="935"/>
      <c r="AM492" s="935"/>
      <c r="AN492" s="935"/>
      <c r="AO492" s="312"/>
      <c r="AP492" s="32"/>
      <c r="AQ492" s="32"/>
      <c r="AR492" s="32"/>
      <c r="AS492" s="32"/>
      <c r="AT492" s="32"/>
      <c r="AU492" s="32"/>
      <c r="AV492" s="32"/>
      <c r="AW492" s="32"/>
      <c r="AX492" s="32"/>
      <c r="AY492" s="32"/>
      <c r="BB492" s="32"/>
      <c r="BE492" s="32"/>
      <c r="BJ492" s="32"/>
    </row>
    <row r="493" spans="17:62" x14ac:dyDescent="0.25">
      <c r="Q493" s="32"/>
      <c r="T493" s="199"/>
      <c r="U493" s="200"/>
      <c r="V493" s="200"/>
      <c r="W493" s="200"/>
      <c r="X493" s="199"/>
      <c r="Y493" s="200"/>
      <c r="Z493" s="200"/>
      <c r="AA493" s="199"/>
      <c r="AB493" s="200"/>
      <c r="AC493" s="199"/>
      <c r="AD493" s="200"/>
      <c r="AE493" s="200"/>
      <c r="AG493" s="37"/>
      <c r="AH493" s="312"/>
      <c r="AI493" s="935"/>
      <c r="AJ493" s="935"/>
      <c r="AK493" s="935"/>
      <c r="AL493" s="935"/>
      <c r="AM493" s="935"/>
      <c r="AN493" s="935"/>
      <c r="AO493" s="312"/>
      <c r="AP493" s="32"/>
      <c r="AQ493" s="32"/>
      <c r="AR493" s="32"/>
      <c r="AS493" s="32"/>
      <c r="AT493" s="32"/>
      <c r="AU493" s="32"/>
      <c r="AV493" s="32"/>
      <c r="AW493" s="32"/>
      <c r="AX493" s="32"/>
      <c r="AY493" s="32"/>
      <c r="BB493" s="32"/>
      <c r="BE493" s="32"/>
      <c r="BJ493" s="32"/>
    </row>
    <row r="494" spans="17:62" x14ac:dyDescent="0.25">
      <c r="Q494" s="32"/>
      <c r="T494" s="199"/>
      <c r="U494" s="200"/>
      <c r="V494" s="200"/>
      <c r="W494" s="200"/>
      <c r="X494" s="199"/>
      <c r="Y494" s="200"/>
      <c r="Z494" s="200"/>
      <c r="AA494" s="199"/>
      <c r="AB494" s="200"/>
      <c r="AC494" s="199"/>
      <c r="AD494" s="200"/>
      <c r="AE494" s="200"/>
      <c r="AG494" s="37"/>
      <c r="AH494" s="312"/>
      <c r="AI494" s="935"/>
      <c r="AJ494" s="935"/>
      <c r="AK494" s="935"/>
      <c r="AL494" s="935"/>
      <c r="AM494" s="935"/>
      <c r="AN494" s="935"/>
      <c r="AO494" s="312"/>
      <c r="AP494" s="32"/>
      <c r="AQ494" s="32"/>
      <c r="AR494" s="32"/>
      <c r="AS494" s="32"/>
      <c r="AT494" s="32"/>
      <c r="AU494" s="32"/>
      <c r="AV494" s="32"/>
      <c r="AW494" s="32"/>
      <c r="AX494" s="32"/>
      <c r="AY494" s="32"/>
      <c r="BB494" s="32"/>
      <c r="BE494" s="32"/>
      <c r="BJ494" s="32"/>
    </row>
    <row r="495" spans="17:62" x14ac:dyDescent="0.25">
      <c r="Q495" s="32"/>
      <c r="T495" s="199"/>
      <c r="U495" s="200"/>
      <c r="V495" s="200"/>
      <c r="W495" s="200"/>
      <c r="X495" s="199"/>
      <c r="Y495" s="200"/>
      <c r="Z495" s="200"/>
      <c r="AA495" s="199"/>
      <c r="AB495" s="200"/>
      <c r="AC495" s="199"/>
      <c r="AD495" s="200"/>
      <c r="AE495" s="200"/>
      <c r="AG495" s="37"/>
      <c r="AH495" s="312"/>
      <c r="AI495" s="935"/>
      <c r="AJ495" s="935"/>
      <c r="AK495" s="935"/>
      <c r="AL495" s="935"/>
      <c r="AM495" s="935"/>
      <c r="AN495" s="935"/>
      <c r="AO495" s="312"/>
      <c r="AP495" s="32"/>
      <c r="AQ495" s="32"/>
      <c r="AR495" s="32"/>
      <c r="AS495" s="32"/>
      <c r="AT495" s="32"/>
      <c r="AU495" s="32"/>
      <c r="AV495" s="32"/>
      <c r="AW495" s="32"/>
      <c r="AX495" s="32"/>
      <c r="AY495" s="32"/>
      <c r="BB495" s="32"/>
      <c r="BE495" s="32"/>
      <c r="BJ495" s="32"/>
    </row>
    <row r="496" spans="17:62" x14ac:dyDescent="0.25">
      <c r="Q496" s="32"/>
      <c r="T496" s="199"/>
      <c r="U496" s="200"/>
      <c r="V496" s="200"/>
      <c r="W496" s="200"/>
      <c r="X496" s="199"/>
      <c r="Y496" s="200"/>
      <c r="Z496" s="200"/>
      <c r="AA496" s="199"/>
      <c r="AB496" s="200"/>
      <c r="AC496" s="199"/>
      <c r="AD496" s="200"/>
      <c r="AE496" s="200"/>
      <c r="AG496" s="37"/>
      <c r="AH496" s="312"/>
      <c r="AI496" s="935"/>
      <c r="AJ496" s="935"/>
      <c r="AK496" s="935"/>
      <c r="AL496" s="935"/>
      <c r="AM496" s="935"/>
      <c r="AN496" s="935"/>
      <c r="AO496" s="312"/>
      <c r="AP496" s="32"/>
      <c r="AQ496" s="32"/>
      <c r="AR496" s="32"/>
      <c r="AS496" s="32"/>
      <c r="AT496" s="32"/>
      <c r="AU496" s="32"/>
      <c r="AV496" s="32"/>
      <c r="AW496" s="32"/>
      <c r="AX496" s="32"/>
      <c r="AY496" s="32"/>
      <c r="BB496" s="32"/>
      <c r="BE496" s="32"/>
      <c r="BJ496" s="32"/>
    </row>
    <row r="497" spans="17:62" x14ac:dyDescent="0.25">
      <c r="Q497" s="32"/>
      <c r="T497" s="199"/>
      <c r="U497" s="200"/>
      <c r="V497" s="200"/>
      <c r="W497" s="200"/>
      <c r="X497" s="199"/>
      <c r="Y497" s="200"/>
      <c r="Z497" s="200"/>
      <c r="AA497" s="199"/>
      <c r="AB497" s="200"/>
      <c r="AC497" s="199"/>
      <c r="AD497" s="200"/>
      <c r="AE497" s="200"/>
      <c r="AG497" s="37"/>
      <c r="AH497" s="312"/>
      <c r="AI497" s="935"/>
      <c r="AJ497" s="935"/>
      <c r="AK497" s="935"/>
      <c r="AL497" s="935"/>
      <c r="AM497" s="935"/>
      <c r="AN497" s="935"/>
      <c r="AO497" s="312"/>
      <c r="AP497" s="32"/>
      <c r="AQ497" s="32"/>
      <c r="AR497" s="32"/>
      <c r="AS497" s="32"/>
      <c r="AT497" s="32"/>
      <c r="AU497" s="32"/>
      <c r="AV497" s="32"/>
      <c r="AW497" s="32"/>
      <c r="AX497" s="32"/>
      <c r="AY497" s="32"/>
      <c r="BB497" s="32"/>
      <c r="BE497" s="32"/>
      <c r="BJ497" s="32"/>
    </row>
    <row r="498" spans="17:62" x14ac:dyDescent="0.25">
      <c r="Q498" s="32"/>
      <c r="T498" s="199"/>
      <c r="U498" s="200"/>
      <c r="V498" s="200"/>
      <c r="W498" s="200"/>
      <c r="X498" s="199"/>
      <c r="Y498" s="200"/>
      <c r="Z498" s="200"/>
      <c r="AA498" s="199"/>
      <c r="AB498" s="200"/>
      <c r="AC498" s="199"/>
      <c r="AD498" s="200"/>
      <c r="AE498" s="200"/>
      <c r="AG498" s="37"/>
      <c r="AH498" s="312"/>
      <c r="AI498" s="935"/>
      <c r="AJ498" s="935"/>
      <c r="AK498" s="935"/>
      <c r="AL498" s="935"/>
      <c r="AM498" s="935"/>
      <c r="AN498" s="935"/>
      <c r="AO498" s="312"/>
      <c r="AP498" s="32"/>
      <c r="AQ498" s="32"/>
      <c r="AR498" s="32"/>
      <c r="AS498" s="32"/>
      <c r="AT498" s="32"/>
      <c r="AU498" s="32"/>
      <c r="AV498" s="32"/>
      <c r="AW498" s="32"/>
      <c r="AX498" s="32"/>
      <c r="AY498" s="32"/>
      <c r="BB498" s="32"/>
      <c r="BE498" s="32"/>
      <c r="BJ498" s="32"/>
    </row>
    <row r="499" spans="17:62" x14ac:dyDescent="0.25">
      <c r="Q499" s="32"/>
      <c r="T499" s="199"/>
      <c r="U499" s="200"/>
      <c r="V499" s="200"/>
      <c r="W499" s="200"/>
      <c r="X499" s="199"/>
      <c r="Y499" s="200"/>
      <c r="Z499" s="200"/>
      <c r="AA499" s="199"/>
      <c r="AB499" s="200"/>
      <c r="AC499" s="199"/>
      <c r="AD499" s="200"/>
      <c r="AE499" s="200"/>
      <c r="AG499" s="37"/>
      <c r="AH499" s="312"/>
      <c r="AI499" s="935"/>
      <c r="AJ499" s="935"/>
      <c r="AK499" s="935"/>
      <c r="AL499" s="935"/>
      <c r="AM499" s="935"/>
      <c r="AN499" s="935"/>
      <c r="AO499" s="312"/>
      <c r="AP499" s="32"/>
      <c r="AQ499" s="32"/>
      <c r="AR499" s="32"/>
      <c r="AS499" s="32"/>
      <c r="AT499" s="32"/>
      <c r="AU499" s="32"/>
      <c r="AV499" s="32"/>
      <c r="AW499" s="32"/>
      <c r="AX499" s="32"/>
      <c r="AY499" s="32"/>
      <c r="BB499" s="32"/>
      <c r="BE499" s="32"/>
      <c r="BJ499" s="32"/>
    </row>
    <row r="500" spans="17:62" x14ac:dyDescent="0.25">
      <c r="Q500" s="32"/>
      <c r="T500" s="199"/>
      <c r="U500" s="200"/>
      <c r="V500" s="200"/>
      <c r="W500" s="200"/>
      <c r="X500" s="199"/>
      <c r="Y500" s="200"/>
      <c r="Z500" s="200"/>
      <c r="AA500" s="199"/>
      <c r="AB500" s="200"/>
      <c r="AC500" s="199"/>
      <c r="AD500" s="200"/>
      <c r="AE500" s="200"/>
      <c r="AG500" s="37"/>
      <c r="AH500" s="312"/>
      <c r="AI500" s="935"/>
      <c r="AJ500" s="935"/>
      <c r="AK500" s="935"/>
      <c r="AL500" s="935"/>
      <c r="AM500" s="935"/>
      <c r="AN500" s="935"/>
      <c r="AO500" s="312"/>
      <c r="AP500" s="32"/>
      <c r="AQ500" s="32"/>
      <c r="AR500" s="32"/>
      <c r="AS500" s="32"/>
      <c r="AT500" s="32"/>
      <c r="AU500" s="32"/>
      <c r="AV500" s="32"/>
      <c r="AW500" s="32"/>
      <c r="AX500" s="32"/>
      <c r="AY500" s="32"/>
      <c r="BB500" s="32"/>
      <c r="BE500" s="32"/>
      <c r="BJ500" s="32"/>
    </row>
    <row r="501" spans="17:62" x14ac:dyDescent="0.25">
      <c r="Q501" s="32"/>
      <c r="T501" s="199"/>
      <c r="U501" s="200"/>
      <c r="V501" s="200"/>
      <c r="W501" s="200"/>
      <c r="X501" s="199"/>
      <c r="Y501" s="200"/>
      <c r="Z501" s="200"/>
      <c r="AA501" s="199"/>
      <c r="AB501" s="200"/>
      <c r="AC501" s="199"/>
      <c r="AD501" s="200"/>
      <c r="AE501" s="200"/>
      <c r="AG501" s="37"/>
      <c r="AH501" s="312"/>
      <c r="AI501" s="935"/>
      <c r="AJ501" s="935"/>
      <c r="AK501" s="935"/>
      <c r="AL501" s="935"/>
      <c r="AM501" s="935"/>
      <c r="AN501" s="935"/>
      <c r="AO501" s="312"/>
      <c r="AP501" s="32"/>
      <c r="AQ501" s="32"/>
      <c r="AR501" s="32"/>
      <c r="AS501" s="32"/>
      <c r="AT501" s="32"/>
      <c r="AU501" s="32"/>
      <c r="AV501" s="32"/>
      <c r="AW501" s="32"/>
      <c r="AX501" s="32"/>
      <c r="AY501" s="32"/>
      <c r="BB501" s="32"/>
      <c r="BE501" s="32"/>
      <c r="BJ501" s="32"/>
    </row>
    <row r="502" spans="17:62" x14ac:dyDescent="0.25">
      <c r="Q502" s="32"/>
      <c r="T502" s="199"/>
      <c r="U502" s="200"/>
      <c r="V502" s="200"/>
      <c r="W502" s="200"/>
      <c r="X502" s="199"/>
      <c r="Y502" s="200"/>
      <c r="Z502" s="200"/>
      <c r="AA502" s="199"/>
      <c r="AB502" s="200"/>
      <c r="AC502" s="199"/>
      <c r="AD502" s="200"/>
      <c r="AE502" s="200"/>
      <c r="AG502" s="37"/>
      <c r="AH502" s="312"/>
      <c r="AI502" s="935"/>
      <c r="AJ502" s="935"/>
      <c r="AK502" s="935"/>
      <c r="AL502" s="935"/>
      <c r="AM502" s="935"/>
      <c r="AN502" s="935"/>
      <c r="AO502" s="312"/>
      <c r="AP502" s="32"/>
      <c r="AQ502" s="32"/>
      <c r="AR502" s="32"/>
      <c r="AS502" s="32"/>
      <c r="AT502" s="32"/>
      <c r="AU502" s="32"/>
      <c r="AV502" s="32"/>
      <c r="AW502" s="32"/>
      <c r="AX502" s="32"/>
      <c r="AY502" s="32"/>
      <c r="BB502" s="32"/>
      <c r="BE502" s="32"/>
      <c r="BJ502" s="32"/>
    </row>
    <row r="503" spans="17:62" x14ac:dyDescent="0.25">
      <c r="Q503" s="32"/>
      <c r="T503" s="199"/>
      <c r="U503" s="200"/>
      <c r="V503" s="200"/>
      <c r="W503" s="200"/>
      <c r="X503" s="199"/>
      <c r="Y503" s="200"/>
      <c r="Z503" s="200"/>
      <c r="AA503" s="199"/>
      <c r="AB503" s="200"/>
      <c r="AC503" s="199"/>
      <c r="AD503" s="200"/>
      <c r="AE503" s="200"/>
      <c r="AG503" s="37"/>
      <c r="AH503" s="312"/>
      <c r="AI503" s="935"/>
      <c r="AJ503" s="935"/>
      <c r="AK503" s="935"/>
      <c r="AL503" s="935"/>
      <c r="AM503" s="935"/>
      <c r="AN503" s="935"/>
      <c r="AO503" s="312"/>
      <c r="AP503" s="32"/>
      <c r="AQ503" s="32"/>
      <c r="AR503" s="32"/>
      <c r="AS503" s="32"/>
      <c r="AT503" s="32"/>
      <c r="AU503" s="32"/>
      <c r="AV503" s="32"/>
      <c r="AW503" s="32"/>
      <c r="AX503" s="32"/>
      <c r="AY503" s="32"/>
      <c r="BB503" s="32"/>
      <c r="BE503" s="32"/>
      <c r="BJ503" s="32"/>
    </row>
    <row r="504" spans="17:62" x14ac:dyDescent="0.25">
      <c r="Q504" s="32"/>
      <c r="T504" s="199"/>
      <c r="U504" s="200"/>
      <c r="V504" s="200"/>
      <c r="W504" s="200"/>
      <c r="X504" s="199"/>
      <c r="Y504" s="200"/>
      <c r="Z504" s="200"/>
      <c r="AA504" s="199"/>
      <c r="AB504" s="200"/>
      <c r="AC504" s="199"/>
      <c r="AD504" s="200"/>
      <c r="AE504" s="200"/>
      <c r="AG504" s="37"/>
      <c r="AH504" s="312"/>
      <c r="AI504" s="935"/>
      <c r="AJ504" s="935"/>
      <c r="AK504" s="935"/>
      <c r="AL504" s="935"/>
      <c r="AM504" s="935"/>
      <c r="AN504" s="935"/>
      <c r="AO504" s="312"/>
      <c r="AP504" s="32"/>
      <c r="AQ504" s="32"/>
      <c r="AR504" s="32"/>
      <c r="AS504" s="32"/>
      <c r="AT504" s="32"/>
      <c r="AU504" s="32"/>
      <c r="AV504" s="32"/>
      <c r="AW504" s="32"/>
      <c r="AX504" s="32"/>
      <c r="AY504" s="32"/>
      <c r="BB504" s="32"/>
      <c r="BE504" s="32"/>
      <c r="BJ504" s="32"/>
    </row>
    <row r="505" spans="17:62" x14ac:dyDescent="0.25">
      <c r="Q505" s="32"/>
      <c r="T505" s="199"/>
      <c r="U505" s="200"/>
      <c r="V505" s="200"/>
      <c r="W505" s="200"/>
      <c r="X505" s="199"/>
      <c r="Y505" s="200"/>
      <c r="Z505" s="200"/>
      <c r="AA505" s="199"/>
      <c r="AB505" s="200"/>
      <c r="AC505" s="199"/>
      <c r="AD505" s="200"/>
      <c r="AE505" s="200"/>
      <c r="AG505" s="37"/>
      <c r="AH505" s="312"/>
      <c r="AI505" s="935"/>
      <c r="AJ505" s="935"/>
      <c r="AK505" s="935"/>
      <c r="AL505" s="935"/>
      <c r="AM505" s="935"/>
      <c r="AN505" s="935"/>
      <c r="AO505" s="312"/>
      <c r="AP505" s="32"/>
      <c r="AQ505" s="32"/>
      <c r="AR505" s="32"/>
      <c r="AS505" s="32"/>
      <c r="AT505" s="32"/>
      <c r="AU505" s="32"/>
      <c r="AV505" s="32"/>
      <c r="AW505" s="32"/>
      <c r="AX505" s="32"/>
      <c r="AY505" s="32"/>
      <c r="BB505" s="32"/>
      <c r="BE505" s="32"/>
      <c r="BJ505" s="32"/>
    </row>
    <row r="506" spans="17:62" x14ac:dyDescent="0.25">
      <c r="Q506" s="32"/>
      <c r="T506" s="199"/>
      <c r="U506" s="200"/>
      <c r="V506" s="200"/>
      <c r="W506" s="200"/>
      <c r="X506" s="199"/>
      <c r="Y506" s="200"/>
      <c r="Z506" s="200"/>
      <c r="AA506" s="199"/>
      <c r="AB506" s="200"/>
      <c r="AC506" s="199"/>
      <c r="AD506" s="200"/>
      <c r="AE506" s="200"/>
      <c r="AG506" s="37"/>
      <c r="AH506" s="312"/>
      <c r="AI506" s="935"/>
      <c r="AJ506" s="935"/>
      <c r="AK506" s="935"/>
      <c r="AL506" s="935"/>
      <c r="AM506" s="935"/>
      <c r="AN506" s="935"/>
      <c r="AO506" s="312"/>
      <c r="AP506" s="32"/>
      <c r="AQ506" s="32"/>
      <c r="AR506" s="32"/>
      <c r="AS506" s="32"/>
      <c r="AT506" s="32"/>
      <c r="AU506" s="32"/>
      <c r="AV506" s="32"/>
      <c r="AW506" s="32"/>
      <c r="AX506" s="32"/>
      <c r="AY506" s="32"/>
      <c r="BB506" s="32"/>
      <c r="BE506" s="32"/>
      <c r="BJ506" s="32"/>
    </row>
    <row r="507" spans="17:62" x14ac:dyDescent="0.25">
      <c r="Q507" s="32"/>
      <c r="T507" s="199"/>
      <c r="U507" s="200"/>
      <c r="V507" s="200"/>
      <c r="W507" s="200"/>
      <c r="X507" s="199"/>
      <c r="Y507" s="200"/>
      <c r="Z507" s="200"/>
      <c r="AA507" s="199"/>
      <c r="AB507" s="200"/>
      <c r="AC507" s="199"/>
      <c r="AD507" s="200"/>
      <c r="AE507" s="200"/>
      <c r="AG507" s="37"/>
      <c r="AH507" s="312"/>
      <c r="AI507" s="935"/>
      <c r="AJ507" s="935"/>
      <c r="AK507" s="935"/>
      <c r="AL507" s="935"/>
      <c r="AM507" s="935"/>
      <c r="AN507" s="935"/>
      <c r="AO507" s="312"/>
      <c r="AP507" s="32"/>
      <c r="AQ507" s="32"/>
      <c r="AR507" s="32"/>
      <c r="AS507" s="32"/>
      <c r="AT507" s="32"/>
      <c r="AU507" s="32"/>
      <c r="AV507" s="32"/>
      <c r="AW507" s="32"/>
      <c r="AX507" s="32"/>
      <c r="AY507" s="32"/>
      <c r="BB507" s="32"/>
      <c r="BE507" s="32"/>
      <c r="BJ507" s="32"/>
    </row>
    <row r="508" spans="17:62" x14ac:dyDescent="0.25">
      <c r="Q508" s="32"/>
      <c r="T508" s="199"/>
      <c r="U508" s="200"/>
      <c r="V508" s="200"/>
      <c r="W508" s="200"/>
      <c r="X508" s="199"/>
      <c r="Y508" s="200"/>
      <c r="Z508" s="200"/>
      <c r="AA508" s="199"/>
      <c r="AB508" s="200"/>
      <c r="AC508" s="199"/>
      <c r="AD508" s="200"/>
      <c r="AE508" s="200"/>
      <c r="AG508" s="37"/>
      <c r="AH508" s="312"/>
      <c r="AI508" s="935"/>
      <c r="AJ508" s="935"/>
      <c r="AK508" s="935"/>
      <c r="AL508" s="935"/>
      <c r="AM508" s="935"/>
      <c r="AN508" s="935"/>
      <c r="AO508" s="312"/>
      <c r="AP508" s="32"/>
      <c r="AQ508" s="32"/>
      <c r="AR508" s="32"/>
      <c r="AS508" s="32"/>
      <c r="AT508" s="32"/>
      <c r="AU508" s="32"/>
      <c r="AV508" s="32"/>
      <c r="AW508" s="32"/>
      <c r="AX508" s="32"/>
      <c r="AY508" s="32"/>
      <c r="BB508" s="32"/>
      <c r="BE508" s="32"/>
      <c r="BJ508" s="32"/>
    </row>
    <row r="509" spans="17:62" x14ac:dyDescent="0.25">
      <c r="Q509" s="32"/>
      <c r="T509" s="199"/>
      <c r="U509" s="200"/>
      <c r="V509" s="200"/>
      <c r="W509" s="200"/>
      <c r="X509" s="199"/>
      <c r="Y509" s="200"/>
      <c r="Z509" s="200"/>
      <c r="AA509" s="199"/>
      <c r="AB509" s="200"/>
      <c r="AC509" s="199"/>
      <c r="AD509" s="200"/>
      <c r="AE509" s="200"/>
      <c r="AG509" s="37"/>
      <c r="AH509" s="312"/>
      <c r="AI509" s="935"/>
      <c r="AJ509" s="935"/>
      <c r="AK509" s="935"/>
      <c r="AL509" s="935"/>
      <c r="AM509" s="935"/>
      <c r="AN509" s="935"/>
      <c r="AO509" s="312"/>
      <c r="AP509" s="32"/>
      <c r="AQ509" s="32"/>
      <c r="AR509" s="32"/>
      <c r="AS509" s="32"/>
      <c r="AT509" s="32"/>
      <c r="AU509" s="32"/>
      <c r="AV509" s="32"/>
      <c r="AW509" s="32"/>
      <c r="AX509" s="32"/>
      <c r="AY509" s="32"/>
      <c r="BB509" s="32"/>
      <c r="BE509" s="32"/>
      <c r="BJ509" s="32"/>
    </row>
    <row r="510" spans="17:62" x14ac:dyDescent="0.25">
      <c r="Q510" s="32"/>
      <c r="T510" s="199"/>
      <c r="U510" s="200"/>
      <c r="V510" s="200"/>
      <c r="W510" s="200"/>
      <c r="X510" s="199"/>
      <c r="Y510" s="200"/>
      <c r="Z510" s="200"/>
      <c r="AA510" s="199"/>
      <c r="AB510" s="200"/>
      <c r="AC510" s="199"/>
      <c r="AD510" s="200"/>
      <c r="AE510" s="200"/>
      <c r="AG510" s="37"/>
      <c r="AH510" s="312"/>
      <c r="AI510" s="935"/>
      <c r="AJ510" s="935"/>
      <c r="AK510" s="935"/>
      <c r="AL510" s="935"/>
      <c r="AM510" s="935"/>
      <c r="AN510" s="935"/>
      <c r="AO510" s="312"/>
      <c r="AP510" s="32"/>
      <c r="AQ510" s="32"/>
      <c r="AR510" s="32"/>
      <c r="AS510" s="32"/>
      <c r="AT510" s="32"/>
      <c r="AU510" s="32"/>
      <c r="AV510" s="32"/>
      <c r="AW510" s="32"/>
      <c r="AX510" s="32"/>
      <c r="AY510" s="32"/>
      <c r="BB510" s="32"/>
      <c r="BE510" s="32"/>
      <c r="BJ510" s="32"/>
    </row>
    <row r="511" spans="17:62" x14ac:dyDescent="0.25">
      <c r="Q511" s="32"/>
      <c r="T511" s="199"/>
      <c r="U511" s="200"/>
      <c r="V511" s="200"/>
      <c r="W511" s="200"/>
      <c r="X511" s="199"/>
      <c r="Y511" s="200"/>
      <c r="Z511" s="200"/>
      <c r="AA511" s="199"/>
      <c r="AB511" s="200"/>
      <c r="AC511" s="199"/>
      <c r="AD511" s="200"/>
      <c r="AE511" s="200"/>
      <c r="AG511" s="37"/>
      <c r="AH511" s="312"/>
      <c r="AI511" s="935"/>
      <c r="AJ511" s="935"/>
      <c r="AK511" s="935"/>
      <c r="AL511" s="935"/>
      <c r="AM511" s="935"/>
      <c r="AN511" s="935"/>
      <c r="AO511" s="312"/>
      <c r="AP511" s="32"/>
      <c r="AQ511" s="32"/>
      <c r="AR511" s="32"/>
      <c r="AS511" s="32"/>
      <c r="AT511" s="32"/>
      <c r="AU511" s="32"/>
      <c r="AV511" s="32"/>
      <c r="AW511" s="32"/>
      <c r="AX511" s="32"/>
      <c r="AY511" s="32"/>
      <c r="BB511" s="32"/>
      <c r="BE511" s="32"/>
      <c r="BJ511" s="32"/>
    </row>
    <row r="512" spans="17:62" x14ac:dyDescent="0.25">
      <c r="Q512" s="32"/>
      <c r="T512" s="199"/>
      <c r="U512" s="200"/>
      <c r="V512" s="200"/>
      <c r="W512" s="200"/>
      <c r="X512" s="199"/>
      <c r="Y512" s="200"/>
      <c r="Z512" s="200"/>
      <c r="AA512" s="199"/>
      <c r="AB512" s="200"/>
      <c r="AC512" s="199"/>
      <c r="AD512" s="200"/>
      <c r="AE512" s="200"/>
      <c r="AG512" s="37"/>
      <c r="AH512" s="312"/>
      <c r="AI512" s="935"/>
      <c r="AJ512" s="935"/>
      <c r="AK512" s="935"/>
      <c r="AL512" s="935"/>
      <c r="AM512" s="935"/>
      <c r="AN512" s="935"/>
      <c r="AO512" s="312"/>
      <c r="AP512" s="32"/>
      <c r="AQ512" s="32"/>
      <c r="AR512" s="32"/>
      <c r="AS512" s="32"/>
      <c r="AT512" s="32"/>
      <c r="AU512" s="32"/>
      <c r="AV512" s="32"/>
      <c r="AW512" s="32"/>
      <c r="AX512" s="32"/>
      <c r="AY512" s="32"/>
      <c r="BB512" s="32"/>
      <c r="BE512" s="32"/>
      <c r="BJ512" s="32"/>
    </row>
    <row r="513" spans="17:62" x14ac:dyDescent="0.25">
      <c r="Q513" s="32"/>
      <c r="T513" s="199"/>
      <c r="U513" s="200"/>
      <c r="V513" s="200"/>
      <c r="W513" s="200"/>
      <c r="X513" s="199"/>
      <c r="Y513" s="200"/>
      <c r="Z513" s="200"/>
      <c r="AA513" s="199"/>
      <c r="AB513" s="200"/>
      <c r="AC513" s="199"/>
      <c r="AD513" s="200"/>
      <c r="AE513" s="200"/>
      <c r="AG513" s="37"/>
      <c r="AH513" s="312"/>
      <c r="AI513" s="935"/>
      <c r="AJ513" s="935"/>
      <c r="AK513" s="935"/>
      <c r="AL513" s="935"/>
      <c r="AM513" s="935"/>
      <c r="AN513" s="935"/>
      <c r="AO513" s="312"/>
      <c r="AP513" s="32"/>
      <c r="AQ513" s="32"/>
      <c r="AR513" s="32"/>
      <c r="AS513" s="32"/>
      <c r="AT513" s="32"/>
      <c r="AU513" s="32"/>
      <c r="AV513" s="32"/>
      <c r="AW513" s="32"/>
      <c r="AX513" s="32"/>
      <c r="AY513" s="32"/>
      <c r="BB513" s="32"/>
      <c r="BE513" s="32"/>
      <c r="BJ513" s="32"/>
    </row>
    <row r="514" spans="17:62" x14ac:dyDescent="0.25">
      <c r="Q514" s="32"/>
      <c r="T514" s="199"/>
      <c r="U514" s="200"/>
      <c r="V514" s="200"/>
      <c r="W514" s="200"/>
      <c r="X514" s="199"/>
      <c r="Y514" s="200"/>
      <c r="Z514" s="200"/>
      <c r="AA514" s="199"/>
      <c r="AB514" s="200"/>
      <c r="AC514" s="199"/>
      <c r="AD514" s="200"/>
      <c r="AE514" s="200"/>
      <c r="AG514" s="37"/>
      <c r="AH514" s="312"/>
      <c r="AI514" s="935"/>
      <c r="AJ514" s="935"/>
      <c r="AK514" s="935"/>
      <c r="AL514" s="935"/>
      <c r="AM514" s="935"/>
      <c r="AN514" s="935"/>
      <c r="AO514" s="312"/>
      <c r="AP514" s="32"/>
      <c r="AQ514" s="32"/>
      <c r="AR514" s="32"/>
      <c r="AS514" s="32"/>
      <c r="AT514" s="32"/>
      <c r="AU514" s="32"/>
      <c r="AV514" s="32"/>
      <c r="AW514" s="32"/>
      <c r="AX514" s="32"/>
      <c r="AY514" s="32"/>
      <c r="BB514" s="32"/>
      <c r="BE514" s="32"/>
      <c r="BJ514" s="32"/>
    </row>
    <row r="515" spans="17:62" x14ac:dyDescent="0.25">
      <c r="Q515" s="32"/>
      <c r="T515" s="199"/>
      <c r="U515" s="200"/>
      <c r="V515" s="200"/>
      <c r="W515" s="200"/>
      <c r="X515" s="199"/>
      <c r="Y515" s="200"/>
      <c r="Z515" s="200"/>
      <c r="AA515" s="199"/>
      <c r="AB515" s="200"/>
      <c r="AC515" s="199"/>
      <c r="AD515" s="200"/>
      <c r="AE515" s="200"/>
      <c r="AG515" s="37"/>
      <c r="AH515" s="312"/>
      <c r="AI515" s="935"/>
      <c r="AJ515" s="935"/>
      <c r="AK515" s="935"/>
      <c r="AL515" s="935"/>
      <c r="AM515" s="935"/>
      <c r="AN515" s="935"/>
      <c r="AO515" s="312"/>
      <c r="AP515" s="32"/>
      <c r="AQ515" s="32"/>
      <c r="AR515" s="32"/>
      <c r="AS515" s="32"/>
      <c r="AT515" s="32"/>
      <c r="AU515" s="32"/>
      <c r="AV515" s="32"/>
      <c r="AW515" s="32"/>
      <c r="AX515" s="32"/>
      <c r="AY515" s="32"/>
      <c r="BB515" s="32"/>
      <c r="BE515" s="32"/>
      <c r="BJ515" s="32"/>
    </row>
    <row r="516" spans="17:62" x14ac:dyDescent="0.25">
      <c r="Q516" s="32"/>
      <c r="T516" s="199"/>
      <c r="U516" s="200"/>
      <c r="V516" s="200"/>
      <c r="W516" s="200"/>
      <c r="X516" s="199"/>
      <c r="Y516" s="200"/>
      <c r="Z516" s="200"/>
      <c r="AA516" s="199"/>
      <c r="AB516" s="200"/>
      <c r="AC516" s="199"/>
      <c r="AD516" s="200"/>
      <c r="AE516" s="200"/>
      <c r="AG516" s="37"/>
      <c r="AH516" s="312"/>
      <c r="AI516" s="935"/>
      <c r="AJ516" s="935"/>
      <c r="AK516" s="935"/>
      <c r="AL516" s="935"/>
      <c r="AM516" s="935"/>
      <c r="AN516" s="935"/>
      <c r="AO516" s="312"/>
      <c r="AP516" s="32"/>
      <c r="AQ516" s="32"/>
      <c r="AR516" s="32"/>
      <c r="AS516" s="32"/>
      <c r="AT516" s="32"/>
      <c r="AU516" s="32"/>
      <c r="AV516" s="32"/>
      <c r="AW516" s="32"/>
      <c r="AX516" s="32"/>
      <c r="AY516" s="32"/>
      <c r="BB516" s="32"/>
      <c r="BE516" s="32"/>
      <c r="BJ516" s="32"/>
    </row>
    <row r="517" spans="17:62" x14ac:dyDescent="0.25">
      <c r="Q517" s="32"/>
      <c r="T517" s="199"/>
      <c r="U517" s="200"/>
      <c r="V517" s="200"/>
      <c r="W517" s="200"/>
      <c r="X517" s="199"/>
      <c r="Y517" s="200"/>
      <c r="Z517" s="200"/>
      <c r="AA517" s="199"/>
      <c r="AB517" s="200"/>
      <c r="AC517" s="199"/>
      <c r="AD517" s="200"/>
      <c r="AE517" s="200"/>
      <c r="AG517" s="37"/>
      <c r="AH517" s="312"/>
      <c r="AI517" s="935"/>
      <c r="AJ517" s="935"/>
      <c r="AK517" s="935"/>
      <c r="AL517" s="935"/>
      <c r="AM517" s="935"/>
      <c r="AN517" s="935"/>
      <c r="AO517" s="312"/>
      <c r="AP517" s="32"/>
      <c r="AQ517" s="32"/>
      <c r="AR517" s="32"/>
      <c r="AS517" s="32"/>
      <c r="AT517" s="32"/>
      <c r="AU517" s="32"/>
      <c r="AV517" s="32"/>
      <c r="AW517" s="32"/>
      <c r="AX517" s="32"/>
      <c r="AY517" s="32"/>
      <c r="BB517" s="32"/>
      <c r="BE517" s="32"/>
      <c r="BJ517" s="32"/>
    </row>
    <row r="518" spans="17:62" x14ac:dyDescent="0.25">
      <c r="Q518" s="32"/>
      <c r="T518" s="199"/>
      <c r="U518" s="200"/>
      <c r="V518" s="200"/>
      <c r="W518" s="200"/>
      <c r="X518" s="199"/>
      <c r="Y518" s="200"/>
      <c r="Z518" s="200"/>
      <c r="AA518" s="199"/>
      <c r="AB518" s="200"/>
      <c r="AC518" s="199"/>
      <c r="AD518" s="200"/>
      <c r="AE518" s="200"/>
      <c r="AG518" s="37"/>
      <c r="AH518" s="312"/>
      <c r="AI518" s="935"/>
      <c r="AJ518" s="935"/>
      <c r="AK518" s="935"/>
      <c r="AL518" s="935"/>
      <c r="AM518" s="935"/>
      <c r="AN518" s="935"/>
      <c r="AO518" s="312"/>
      <c r="AP518" s="32"/>
      <c r="AQ518" s="32"/>
      <c r="AR518" s="32"/>
      <c r="AS518" s="32"/>
      <c r="AT518" s="32"/>
      <c r="AU518" s="32"/>
      <c r="AV518" s="32"/>
      <c r="AW518" s="32"/>
      <c r="AX518" s="32"/>
      <c r="AY518" s="32"/>
      <c r="BB518" s="32"/>
      <c r="BE518" s="32"/>
      <c r="BJ518" s="32"/>
    </row>
    <row r="519" spans="17:62" x14ac:dyDescent="0.25">
      <c r="Q519" s="32"/>
      <c r="T519" s="199"/>
      <c r="U519" s="200"/>
      <c r="V519" s="200"/>
      <c r="W519" s="200"/>
      <c r="X519" s="199"/>
      <c r="Y519" s="200"/>
      <c r="Z519" s="200"/>
      <c r="AA519" s="199"/>
      <c r="AB519" s="200"/>
      <c r="AC519" s="199"/>
      <c r="AD519" s="200"/>
      <c r="AE519" s="200"/>
      <c r="AG519" s="37"/>
      <c r="AH519" s="312"/>
      <c r="AI519" s="935"/>
      <c r="AJ519" s="935"/>
      <c r="AK519" s="935"/>
      <c r="AL519" s="935"/>
      <c r="AM519" s="935"/>
      <c r="AN519" s="935"/>
      <c r="AO519" s="312"/>
      <c r="AP519" s="32"/>
      <c r="AQ519" s="32"/>
      <c r="AR519" s="32"/>
      <c r="AS519" s="32"/>
      <c r="AT519" s="32"/>
      <c r="AU519" s="32"/>
      <c r="AV519" s="32"/>
      <c r="AW519" s="32"/>
      <c r="AX519" s="32"/>
      <c r="AY519" s="32"/>
      <c r="BB519" s="32"/>
      <c r="BE519" s="32"/>
      <c r="BJ519" s="32"/>
    </row>
    <row r="520" spans="17:62" x14ac:dyDescent="0.25">
      <c r="Q520" s="32"/>
      <c r="T520" s="199"/>
      <c r="U520" s="200"/>
      <c r="V520" s="200"/>
      <c r="W520" s="200"/>
      <c r="X520" s="199"/>
      <c r="Y520" s="200"/>
      <c r="Z520" s="200"/>
      <c r="AA520" s="199"/>
      <c r="AB520" s="200"/>
      <c r="AC520" s="199"/>
      <c r="AD520" s="200"/>
      <c r="AE520" s="200"/>
      <c r="AG520" s="37"/>
      <c r="AH520" s="312"/>
      <c r="AI520" s="935"/>
      <c r="AJ520" s="935"/>
      <c r="AK520" s="935"/>
      <c r="AL520" s="935"/>
      <c r="AM520" s="935"/>
      <c r="AN520" s="935"/>
      <c r="AO520" s="312"/>
      <c r="AP520" s="32"/>
      <c r="AQ520" s="32"/>
      <c r="AR520" s="32"/>
      <c r="AS520" s="32"/>
      <c r="AT520" s="32"/>
      <c r="AU520" s="32"/>
      <c r="AV520" s="32"/>
      <c r="AW520" s="32"/>
      <c r="AX520" s="32"/>
      <c r="AY520" s="32"/>
      <c r="BB520" s="32"/>
      <c r="BE520" s="32"/>
      <c r="BJ520" s="32"/>
    </row>
    <row r="521" spans="17:62" x14ac:dyDescent="0.25">
      <c r="Q521" s="32"/>
      <c r="T521" s="199"/>
      <c r="U521" s="200"/>
      <c r="V521" s="200"/>
      <c r="W521" s="200"/>
      <c r="X521" s="199"/>
      <c r="Y521" s="200"/>
      <c r="Z521" s="200"/>
      <c r="AA521" s="199"/>
      <c r="AB521" s="200"/>
      <c r="AC521" s="199"/>
      <c r="AD521" s="200"/>
      <c r="AE521" s="200"/>
      <c r="AG521" s="37"/>
      <c r="AH521" s="312"/>
      <c r="AI521" s="935"/>
      <c r="AJ521" s="935"/>
      <c r="AK521" s="935"/>
      <c r="AL521" s="935"/>
      <c r="AM521" s="935"/>
      <c r="AN521" s="935"/>
      <c r="AO521" s="312"/>
      <c r="AP521" s="32"/>
      <c r="AQ521" s="32"/>
      <c r="AR521" s="32"/>
      <c r="AS521" s="32"/>
      <c r="AT521" s="32"/>
      <c r="AU521" s="32"/>
      <c r="AV521" s="32"/>
      <c r="AW521" s="32"/>
      <c r="AX521" s="32"/>
      <c r="AY521" s="32"/>
      <c r="BB521" s="32"/>
      <c r="BE521" s="32"/>
      <c r="BJ521" s="32"/>
    </row>
    <row r="522" spans="17:62" x14ac:dyDescent="0.25">
      <c r="Q522" s="32"/>
      <c r="T522" s="199"/>
      <c r="U522" s="200"/>
      <c r="V522" s="200"/>
      <c r="W522" s="200"/>
      <c r="X522" s="199"/>
      <c r="Y522" s="200"/>
      <c r="Z522" s="200"/>
      <c r="AA522" s="199"/>
      <c r="AB522" s="200"/>
      <c r="AC522" s="199"/>
      <c r="AD522" s="200"/>
      <c r="AE522" s="200"/>
      <c r="AG522" s="37"/>
      <c r="AH522" s="312"/>
      <c r="AI522" s="935"/>
      <c r="AJ522" s="935"/>
      <c r="AK522" s="935"/>
      <c r="AL522" s="935"/>
      <c r="AM522" s="935"/>
      <c r="AN522" s="935"/>
      <c r="AO522" s="312"/>
      <c r="AP522" s="32"/>
      <c r="AQ522" s="32"/>
      <c r="AR522" s="32"/>
      <c r="AS522" s="32"/>
      <c r="AT522" s="32"/>
      <c r="AU522" s="32"/>
      <c r="AV522" s="32"/>
      <c r="AW522" s="32"/>
      <c r="AX522" s="32"/>
      <c r="AY522" s="32"/>
      <c r="BB522" s="32"/>
      <c r="BE522" s="32"/>
      <c r="BJ522" s="32"/>
    </row>
    <row r="523" spans="17:62" x14ac:dyDescent="0.25">
      <c r="Q523" s="32"/>
      <c r="T523" s="199"/>
      <c r="U523" s="200"/>
      <c r="V523" s="200"/>
      <c r="W523" s="200"/>
      <c r="X523" s="199"/>
      <c r="Y523" s="200"/>
      <c r="Z523" s="200"/>
      <c r="AA523" s="199"/>
      <c r="AB523" s="200"/>
      <c r="AC523" s="199"/>
      <c r="AD523" s="200"/>
      <c r="AE523" s="200"/>
      <c r="AG523" s="37"/>
      <c r="AH523" s="312"/>
      <c r="AI523" s="935"/>
      <c r="AJ523" s="935"/>
      <c r="AK523" s="935"/>
      <c r="AL523" s="935"/>
      <c r="AM523" s="935"/>
      <c r="AN523" s="935"/>
      <c r="AO523" s="312"/>
      <c r="AP523" s="32"/>
      <c r="AQ523" s="32"/>
      <c r="AR523" s="32"/>
      <c r="AS523" s="32"/>
      <c r="AT523" s="32"/>
      <c r="AU523" s="32"/>
      <c r="AV523" s="32"/>
      <c r="AW523" s="32"/>
      <c r="AX523" s="32"/>
      <c r="AY523" s="32"/>
      <c r="BB523" s="32"/>
      <c r="BE523" s="32"/>
      <c r="BJ523" s="32"/>
    </row>
    <row r="524" spans="17:62" x14ac:dyDescent="0.25">
      <c r="Q524" s="32"/>
      <c r="T524" s="199"/>
      <c r="U524" s="200"/>
      <c r="V524" s="200"/>
      <c r="W524" s="200"/>
      <c r="X524" s="199"/>
      <c r="Y524" s="200"/>
      <c r="Z524" s="200"/>
      <c r="AA524" s="199"/>
      <c r="AB524" s="200"/>
      <c r="AC524" s="199"/>
      <c r="AD524" s="200"/>
      <c r="AE524" s="200"/>
      <c r="AG524" s="37"/>
      <c r="AH524" s="312"/>
      <c r="AI524" s="935"/>
      <c r="AJ524" s="935"/>
      <c r="AK524" s="935"/>
      <c r="AL524" s="935"/>
      <c r="AM524" s="935"/>
      <c r="AN524" s="935"/>
      <c r="AO524" s="312"/>
      <c r="AP524" s="32"/>
      <c r="AQ524" s="32"/>
      <c r="AR524" s="32"/>
      <c r="AS524" s="32"/>
      <c r="AT524" s="32"/>
      <c r="AU524" s="32"/>
      <c r="AV524" s="32"/>
      <c r="AW524" s="32"/>
      <c r="AX524" s="32"/>
      <c r="AY524" s="32"/>
      <c r="BB524" s="32"/>
      <c r="BE524" s="32"/>
      <c r="BJ524" s="32"/>
    </row>
    <row r="525" spans="17:62" x14ac:dyDescent="0.25">
      <c r="Q525" s="32"/>
      <c r="T525" s="199"/>
      <c r="U525" s="200"/>
      <c r="V525" s="200"/>
      <c r="W525" s="200"/>
      <c r="X525" s="199"/>
      <c r="Y525" s="200"/>
      <c r="Z525" s="200"/>
      <c r="AA525" s="199"/>
      <c r="AB525" s="200"/>
      <c r="AC525" s="199"/>
      <c r="AD525" s="200"/>
      <c r="AE525" s="200"/>
      <c r="AG525" s="37"/>
      <c r="AH525" s="312"/>
      <c r="AI525" s="935"/>
      <c r="AJ525" s="935"/>
      <c r="AK525" s="935"/>
      <c r="AL525" s="935"/>
      <c r="AM525" s="935"/>
      <c r="AN525" s="935"/>
      <c r="AO525" s="312"/>
      <c r="AP525" s="32"/>
      <c r="AQ525" s="32"/>
      <c r="AR525" s="32"/>
      <c r="AS525" s="32"/>
      <c r="AT525" s="32"/>
      <c r="AU525" s="32"/>
      <c r="AV525" s="32"/>
      <c r="AW525" s="32"/>
      <c r="AX525" s="32"/>
      <c r="AY525" s="32"/>
      <c r="BB525" s="32"/>
      <c r="BE525" s="32"/>
      <c r="BJ525" s="32"/>
    </row>
    <row r="526" spans="17:62" x14ac:dyDescent="0.25">
      <c r="Q526" s="32"/>
      <c r="T526" s="199"/>
      <c r="U526" s="200"/>
      <c r="V526" s="200"/>
      <c r="W526" s="200"/>
      <c r="X526" s="199"/>
      <c r="Y526" s="200"/>
      <c r="Z526" s="200"/>
      <c r="AA526" s="199"/>
      <c r="AB526" s="200"/>
      <c r="AC526" s="199"/>
      <c r="AD526" s="200"/>
      <c r="AE526" s="200"/>
      <c r="AG526" s="37"/>
      <c r="AH526" s="312"/>
      <c r="AI526" s="935"/>
      <c r="AJ526" s="935"/>
      <c r="AK526" s="935"/>
      <c r="AL526" s="935"/>
      <c r="AM526" s="935"/>
      <c r="AN526" s="935"/>
      <c r="AO526" s="312"/>
      <c r="AP526" s="32"/>
      <c r="AQ526" s="32"/>
      <c r="AR526" s="32"/>
      <c r="AS526" s="32"/>
      <c r="AT526" s="32"/>
      <c r="AU526" s="32"/>
      <c r="AV526" s="32"/>
      <c r="AW526" s="32"/>
      <c r="AX526" s="32"/>
      <c r="AY526" s="32"/>
      <c r="BB526" s="32"/>
      <c r="BE526" s="32"/>
      <c r="BJ526" s="32"/>
    </row>
    <row r="527" spans="17:62" x14ac:dyDescent="0.25">
      <c r="Q527" s="32"/>
      <c r="T527" s="199"/>
      <c r="U527" s="200"/>
      <c r="V527" s="200"/>
      <c r="W527" s="200"/>
      <c r="X527" s="199"/>
      <c r="Y527" s="200"/>
      <c r="Z527" s="200"/>
      <c r="AA527" s="199"/>
      <c r="AB527" s="200"/>
      <c r="AC527" s="199"/>
      <c r="AD527" s="200"/>
      <c r="AE527" s="200"/>
      <c r="AG527" s="37"/>
      <c r="AH527" s="312"/>
      <c r="AI527" s="935"/>
      <c r="AJ527" s="935"/>
      <c r="AK527" s="935"/>
      <c r="AL527" s="935"/>
      <c r="AM527" s="935"/>
      <c r="AN527" s="935"/>
      <c r="AO527" s="312"/>
      <c r="AP527" s="32"/>
      <c r="AQ527" s="32"/>
      <c r="AR527" s="32"/>
      <c r="AS527" s="32"/>
      <c r="AT527" s="32"/>
      <c r="AU527" s="32"/>
      <c r="AV527" s="32"/>
      <c r="AW527" s="32"/>
      <c r="AX527" s="32"/>
      <c r="AY527" s="32"/>
      <c r="BB527" s="32"/>
      <c r="BE527" s="32"/>
      <c r="BJ527" s="32"/>
    </row>
    <row r="528" spans="17:62" x14ac:dyDescent="0.25">
      <c r="Q528" s="32"/>
      <c r="T528" s="199"/>
      <c r="U528" s="200"/>
      <c r="V528" s="200"/>
      <c r="W528" s="200"/>
      <c r="X528" s="199"/>
      <c r="Y528" s="200"/>
      <c r="Z528" s="200"/>
      <c r="AA528" s="199"/>
      <c r="AB528" s="200"/>
      <c r="AC528" s="199"/>
      <c r="AD528" s="200"/>
      <c r="AE528" s="200"/>
      <c r="AG528" s="37"/>
      <c r="AH528" s="312"/>
      <c r="AI528" s="935"/>
      <c r="AJ528" s="935"/>
      <c r="AK528" s="935"/>
      <c r="AL528" s="935"/>
      <c r="AM528" s="935"/>
      <c r="AN528" s="935"/>
      <c r="AO528" s="312"/>
      <c r="AP528" s="32"/>
      <c r="AQ528" s="32"/>
      <c r="AR528" s="32"/>
      <c r="AS528" s="32"/>
      <c r="AT528" s="32"/>
      <c r="AU528" s="32"/>
      <c r="AV528" s="32"/>
      <c r="AW528" s="32"/>
      <c r="AX528" s="32"/>
      <c r="AY528" s="32"/>
      <c r="BB528" s="32"/>
      <c r="BE528" s="32"/>
      <c r="BJ528" s="32"/>
    </row>
    <row r="529" spans="17:62" x14ac:dyDescent="0.25">
      <c r="Q529" s="32"/>
      <c r="T529" s="199"/>
      <c r="U529" s="200"/>
      <c r="V529" s="200"/>
      <c r="W529" s="200"/>
      <c r="X529" s="199"/>
      <c r="Y529" s="200"/>
      <c r="Z529" s="200"/>
      <c r="AA529" s="199"/>
      <c r="AB529" s="200"/>
      <c r="AC529" s="199"/>
      <c r="AD529" s="200"/>
      <c r="AE529" s="200"/>
      <c r="AG529" s="37"/>
      <c r="AH529" s="312"/>
      <c r="AI529" s="935"/>
      <c r="AJ529" s="935"/>
      <c r="AK529" s="935"/>
      <c r="AL529" s="935"/>
      <c r="AM529" s="935"/>
      <c r="AN529" s="935"/>
      <c r="AO529" s="312"/>
      <c r="AP529" s="32"/>
      <c r="AQ529" s="32"/>
      <c r="AR529" s="32"/>
      <c r="AS529" s="32"/>
      <c r="AT529" s="32"/>
      <c r="AU529" s="32"/>
      <c r="AV529" s="32"/>
      <c r="AW529" s="32"/>
      <c r="AX529" s="32"/>
      <c r="AY529" s="32"/>
      <c r="BB529" s="32"/>
      <c r="BE529" s="32"/>
      <c r="BJ529" s="32"/>
    </row>
    <row r="530" spans="17:62" x14ac:dyDescent="0.25">
      <c r="Q530" s="32"/>
      <c r="T530" s="199"/>
      <c r="U530" s="200"/>
      <c r="V530" s="200"/>
      <c r="W530" s="200"/>
      <c r="X530" s="199"/>
      <c r="Y530" s="200"/>
      <c r="Z530" s="200"/>
      <c r="AA530" s="199"/>
      <c r="AB530" s="200"/>
      <c r="AC530" s="199"/>
      <c r="AD530" s="200"/>
      <c r="AE530" s="200"/>
      <c r="AG530" s="37"/>
      <c r="AH530" s="312"/>
      <c r="AI530" s="935"/>
      <c r="AJ530" s="935"/>
      <c r="AK530" s="935"/>
      <c r="AL530" s="935"/>
      <c r="AM530" s="935"/>
      <c r="AN530" s="935"/>
      <c r="AO530" s="312"/>
      <c r="AP530" s="32"/>
      <c r="AQ530" s="32"/>
      <c r="AR530" s="32"/>
      <c r="AS530" s="32"/>
      <c r="AT530" s="32"/>
      <c r="AU530" s="32"/>
      <c r="AV530" s="32"/>
      <c r="AW530" s="32"/>
      <c r="AX530" s="32"/>
      <c r="AY530" s="32"/>
      <c r="BB530" s="32"/>
      <c r="BE530" s="32"/>
      <c r="BJ530" s="32"/>
    </row>
    <row r="531" spans="17:62" x14ac:dyDescent="0.25">
      <c r="Q531" s="32"/>
      <c r="T531" s="199"/>
      <c r="U531" s="200"/>
      <c r="V531" s="200"/>
      <c r="W531" s="200"/>
      <c r="X531" s="199"/>
      <c r="Y531" s="200"/>
      <c r="Z531" s="200"/>
      <c r="AA531" s="199"/>
      <c r="AB531" s="200"/>
      <c r="AC531" s="199"/>
      <c r="AD531" s="200"/>
      <c r="AE531" s="200"/>
      <c r="AG531" s="37"/>
      <c r="AH531" s="312"/>
      <c r="AI531" s="935"/>
      <c r="AJ531" s="935"/>
      <c r="AK531" s="935"/>
      <c r="AL531" s="935"/>
      <c r="AM531" s="935"/>
      <c r="AN531" s="935"/>
      <c r="AO531" s="312"/>
      <c r="AP531" s="32"/>
      <c r="AQ531" s="32"/>
      <c r="AR531" s="32"/>
      <c r="AS531" s="32"/>
      <c r="AT531" s="32"/>
      <c r="AU531" s="32"/>
      <c r="AV531" s="32"/>
      <c r="AW531" s="32"/>
      <c r="AX531" s="32"/>
      <c r="AY531" s="32"/>
      <c r="BB531" s="32"/>
      <c r="BE531" s="32"/>
      <c r="BJ531" s="32"/>
    </row>
    <row r="532" spans="17:62" x14ac:dyDescent="0.25">
      <c r="Q532" s="32"/>
      <c r="T532" s="199"/>
      <c r="U532" s="200"/>
      <c r="V532" s="200"/>
      <c r="W532" s="200"/>
      <c r="X532" s="199"/>
      <c r="Y532" s="200"/>
      <c r="Z532" s="200"/>
      <c r="AA532" s="199"/>
      <c r="AB532" s="200"/>
      <c r="AC532" s="199"/>
      <c r="AD532" s="200"/>
      <c r="AE532" s="200"/>
      <c r="AG532" s="37"/>
      <c r="AH532" s="312"/>
      <c r="AI532" s="935"/>
      <c r="AJ532" s="935"/>
      <c r="AK532" s="935"/>
      <c r="AL532" s="935"/>
      <c r="AM532" s="935"/>
      <c r="AN532" s="935"/>
      <c r="AO532" s="312"/>
      <c r="AP532" s="32"/>
      <c r="AQ532" s="32"/>
      <c r="AR532" s="32"/>
      <c r="AS532" s="32"/>
      <c r="AT532" s="32"/>
      <c r="AU532" s="32"/>
      <c r="AV532" s="32"/>
      <c r="AW532" s="32"/>
      <c r="AX532" s="32"/>
      <c r="AY532" s="32"/>
      <c r="BB532" s="32"/>
      <c r="BE532" s="32"/>
      <c r="BJ532" s="32"/>
    </row>
    <row r="533" spans="17:62" x14ac:dyDescent="0.25">
      <c r="Q533" s="32"/>
      <c r="T533" s="199"/>
      <c r="U533" s="200"/>
      <c r="V533" s="200"/>
      <c r="W533" s="200"/>
      <c r="X533" s="199"/>
      <c r="Y533" s="200"/>
      <c r="Z533" s="200"/>
      <c r="AA533" s="199"/>
      <c r="AB533" s="200"/>
      <c r="AC533" s="199"/>
      <c r="AD533" s="200"/>
      <c r="AE533" s="200"/>
      <c r="AG533" s="37"/>
      <c r="AH533" s="312"/>
      <c r="AI533" s="935"/>
      <c r="AJ533" s="935"/>
      <c r="AK533" s="935"/>
      <c r="AL533" s="935"/>
      <c r="AM533" s="935"/>
      <c r="AN533" s="935"/>
      <c r="AO533" s="312"/>
      <c r="AP533" s="32"/>
      <c r="AQ533" s="32"/>
      <c r="AR533" s="32"/>
      <c r="AS533" s="32"/>
      <c r="AT533" s="32"/>
      <c r="AU533" s="32"/>
      <c r="AV533" s="32"/>
      <c r="AW533" s="32"/>
      <c r="AX533" s="32"/>
      <c r="AY533" s="32"/>
      <c r="BB533" s="32"/>
      <c r="BE533" s="32"/>
      <c r="BJ533" s="32"/>
    </row>
    <row r="534" spans="17:62" x14ac:dyDescent="0.25">
      <c r="Q534" s="32"/>
      <c r="T534" s="199"/>
      <c r="U534" s="200"/>
      <c r="V534" s="200"/>
      <c r="W534" s="200"/>
      <c r="X534" s="199"/>
      <c r="Y534" s="200"/>
      <c r="Z534" s="200"/>
      <c r="AA534" s="199"/>
      <c r="AB534" s="200"/>
      <c r="AC534" s="199"/>
      <c r="AD534" s="200"/>
      <c r="AE534" s="200"/>
      <c r="AG534" s="37"/>
      <c r="AH534" s="312"/>
      <c r="AI534" s="935"/>
      <c r="AJ534" s="935"/>
      <c r="AK534" s="935"/>
      <c r="AL534" s="935"/>
      <c r="AM534" s="935"/>
      <c r="AN534" s="935"/>
      <c r="AO534" s="312"/>
      <c r="AP534" s="32"/>
      <c r="AQ534" s="32"/>
      <c r="AR534" s="32"/>
      <c r="AS534" s="32"/>
      <c r="AT534" s="32"/>
      <c r="AU534" s="32"/>
      <c r="AV534" s="32"/>
      <c r="AW534" s="32"/>
      <c r="AX534" s="32"/>
      <c r="AY534" s="32"/>
      <c r="BB534" s="32"/>
      <c r="BE534" s="32"/>
      <c r="BJ534" s="32"/>
    </row>
    <row r="535" spans="17:62" x14ac:dyDescent="0.25">
      <c r="Q535" s="32"/>
      <c r="T535" s="199"/>
      <c r="U535" s="200"/>
      <c r="V535" s="200"/>
      <c r="W535" s="200"/>
      <c r="X535" s="199"/>
      <c r="Y535" s="200"/>
      <c r="Z535" s="200"/>
      <c r="AA535" s="199"/>
      <c r="AB535" s="200"/>
      <c r="AC535" s="199"/>
      <c r="AD535" s="200"/>
      <c r="AE535" s="200"/>
      <c r="AG535" s="37"/>
      <c r="AH535" s="312"/>
      <c r="AI535" s="935"/>
      <c r="AJ535" s="935"/>
      <c r="AK535" s="935"/>
      <c r="AL535" s="935"/>
      <c r="AM535" s="935"/>
      <c r="AN535" s="935"/>
      <c r="AO535" s="312"/>
      <c r="AP535" s="32"/>
      <c r="AQ535" s="32"/>
      <c r="AR535" s="32"/>
      <c r="AS535" s="32"/>
      <c r="AT535" s="32"/>
      <c r="AU535" s="32"/>
      <c r="AV535" s="32"/>
      <c r="AW535" s="32"/>
      <c r="AX535" s="32"/>
      <c r="AY535" s="32"/>
      <c r="BB535" s="32"/>
      <c r="BE535" s="32"/>
      <c r="BJ535" s="32"/>
    </row>
    <row r="536" spans="17:62" x14ac:dyDescent="0.25">
      <c r="Q536" s="32"/>
      <c r="T536" s="199"/>
      <c r="U536" s="200"/>
      <c r="V536" s="200"/>
      <c r="W536" s="200"/>
      <c r="X536" s="199"/>
      <c r="Y536" s="200"/>
      <c r="Z536" s="200"/>
      <c r="AA536" s="199"/>
      <c r="AB536" s="200"/>
      <c r="AC536" s="199"/>
      <c r="AD536" s="200"/>
      <c r="AE536" s="200"/>
      <c r="AG536" s="37"/>
      <c r="AH536" s="312"/>
      <c r="AI536" s="935"/>
      <c r="AJ536" s="935"/>
      <c r="AK536" s="935"/>
      <c r="AL536" s="935"/>
      <c r="AM536" s="935"/>
      <c r="AN536" s="935"/>
      <c r="AO536" s="312"/>
      <c r="AP536" s="32"/>
      <c r="AQ536" s="32"/>
      <c r="AR536" s="32"/>
      <c r="AS536" s="32"/>
      <c r="AT536" s="32"/>
      <c r="AU536" s="32"/>
      <c r="AV536" s="32"/>
      <c r="AW536" s="32"/>
      <c r="AX536" s="32"/>
      <c r="AY536" s="32"/>
      <c r="BB536" s="32"/>
      <c r="BE536" s="32"/>
      <c r="BJ536" s="32"/>
    </row>
    <row r="537" spans="17:62" x14ac:dyDescent="0.25">
      <c r="Q537" s="32"/>
      <c r="T537" s="199"/>
      <c r="U537" s="200"/>
      <c r="V537" s="200"/>
      <c r="W537" s="200"/>
      <c r="X537" s="199"/>
      <c r="Y537" s="200"/>
      <c r="Z537" s="200"/>
      <c r="AA537" s="199"/>
      <c r="AB537" s="200"/>
      <c r="AC537" s="199"/>
      <c r="AD537" s="200"/>
      <c r="AE537" s="200"/>
      <c r="AG537" s="37"/>
      <c r="AH537" s="312"/>
      <c r="AI537" s="935"/>
      <c r="AJ537" s="935"/>
      <c r="AK537" s="935"/>
      <c r="AL537" s="935"/>
      <c r="AM537" s="935"/>
      <c r="AN537" s="935"/>
      <c r="AO537" s="312"/>
      <c r="AP537" s="32"/>
      <c r="AQ537" s="32"/>
      <c r="AR537" s="32"/>
      <c r="AS537" s="32"/>
      <c r="AT537" s="32"/>
      <c r="AU537" s="32"/>
      <c r="AV537" s="32"/>
      <c r="AW537" s="32"/>
      <c r="AX537" s="32"/>
      <c r="AY537" s="32"/>
      <c r="BB537" s="32"/>
      <c r="BE537" s="32"/>
      <c r="BJ537" s="32"/>
    </row>
    <row r="538" spans="17:62" x14ac:dyDescent="0.25">
      <c r="Q538" s="32"/>
      <c r="T538" s="199"/>
      <c r="U538" s="200"/>
      <c r="V538" s="200"/>
      <c r="W538" s="200"/>
      <c r="X538" s="199"/>
      <c r="Y538" s="200"/>
      <c r="Z538" s="200"/>
      <c r="AA538" s="199"/>
      <c r="AB538" s="200"/>
      <c r="AC538" s="199"/>
      <c r="AD538" s="200"/>
      <c r="AE538" s="200"/>
      <c r="AG538" s="37"/>
      <c r="AH538" s="312"/>
      <c r="AI538" s="935"/>
      <c r="AJ538" s="935"/>
      <c r="AK538" s="935"/>
      <c r="AL538" s="935"/>
      <c r="AM538" s="935"/>
      <c r="AN538" s="935"/>
      <c r="AO538" s="312"/>
      <c r="AP538" s="32"/>
      <c r="AQ538" s="32"/>
      <c r="AR538" s="32"/>
      <c r="AS538" s="32"/>
      <c r="AT538" s="32"/>
      <c r="AU538" s="32"/>
      <c r="AV538" s="32"/>
      <c r="AW538" s="32"/>
      <c r="AX538" s="32"/>
      <c r="AY538" s="32"/>
      <c r="BB538" s="32"/>
      <c r="BE538" s="32"/>
      <c r="BJ538" s="32"/>
    </row>
    <row r="539" spans="17:62" x14ac:dyDescent="0.25">
      <c r="Q539" s="32"/>
      <c r="T539" s="199"/>
      <c r="U539" s="200"/>
      <c r="V539" s="200"/>
      <c r="W539" s="200"/>
      <c r="X539" s="199"/>
      <c r="Y539" s="200"/>
      <c r="Z539" s="200"/>
      <c r="AA539" s="199"/>
      <c r="AB539" s="200"/>
      <c r="AC539" s="199"/>
      <c r="AD539" s="200"/>
      <c r="AE539" s="200"/>
      <c r="AG539" s="37"/>
      <c r="AH539" s="312"/>
      <c r="AI539" s="935"/>
      <c r="AJ539" s="935"/>
      <c r="AK539" s="935"/>
      <c r="AL539" s="935"/>
      <c r="AM539" s="935"/>
      <c r="AN539" s="935"/>
      <c r="AO539" s="312"/>
      <c r="AP539" s="32"/>
      <c r="AQ539" s="32"/>
      <c r="AR539" s="32"/>
      <c r="AS539" s="32"/>
      <c r="AT539" s="32"/>
      <c r="AU539" s="32"/>
      <c r="AV539" s="32"/>
      <c r="AW539" s="32"/>
      <c r="AX539" s="32"/>
      <c r="AY539" s="32"/>
      <c r="BB539" s="32"/>
      <c r="BE539" s="32"/>
      <c r="BJ539" s="32"/>
    </row>
    <row r="540" spans="17:62" x14ac:dyDescent="0.25">
      <c r="Q540" s="32"/>
      <c r="T540" s="199"/>
      <c r="U540" s="200"/>
      <c r="V540" s="200"/>
      <c r="W540" s="200"/>
      <c r="X540" s="199"/>
      <c r="Y540" s="200"/>
      <c r="Z540" s="200"/>
      <c r="AA540" s="199"/>
      <c r="AB540" s="200"/>
      <c r="AC540" s="199"/>
      <c r="AD540" s="200"/>
      <c r="AE540" s="200"/>
      <c r="AG540" s="37"/>
      <c r="AH540" s="312"/>
      <c r="AI540" s="935"/>
      <c r="AJ540" s="935"/>
      <c r="AK540" s="935"/>
      <c r="AL540" s="935"/>
      <c r="AM540" s="935"/>
      <c r="AN540" s="935"/>
      <c r="AO540" s="312"/>
      <c r="AP540" s="32"/>
      <c r="AQ540" s="32"/>
      <c r="AR540" s="32"/>
      <c r="AS540" s="32"/>
      <c r="AT540" s="32"/>
      <c r="AU540" s="32"/>
      <c r="AV540" s="32"/>
      <c r="AW540" s="32"/>
      <c r="AX540" s="32"/>
      <c r="AY540" s="32"/>
      <c r="BB540" s="32"/>
      <c r="BE540" s="32"/>
      <c r="BJ540" s="32"/>
    </row>
    <row r="541" spans="17:62" x14ac:dyDescent="0.25">
      <c r="Q541" s="32"/>
      <c r="T541" s="199"/>
      <c r="U541" s="200"/>
      <c r="V541" s="200"/>
      <c r="W541" s="200"/>
      <c r="X541" s="199"/>
      <c r="Y541" s="200"/>
      <c r="Z541" s="200"/>
      <c r="AA541" s="199"/>
      <c r="AB541" s="200"/>
      <c r="AC541" s="199"/>
      <c r="AD541" s="200"/>
      <c r="AE541" s="200"/>
      <c r="AG541" s="37"/>
      <c r="AH541" s="312"/>
      <c r="AI541" s="935"/>
      <c r="AJ541" s="935"/>
      <c r="AK541" s="935"/>
      <c r="AL541" s="935"/>
      <c r="AM541" s="935"/>
      <c r="AN541" s="935"/>
      <c r="AO541" s="312"/>
      <c r="AP541" s="32"/>
      <c r="AQ541" s="32"/>
      <c r="AR541" s="32"/>
      <c r="AS541" s="32"/>
      <c r="AT541" s="32"/>
      <c r="AU541" s="32"/>
      <c r="AV541" s="32"/>
      <c r="AW541" s="32"/>
      <c r="AX541" s="32"/>
      <c r="AY541" s="32"/>
      <c r="BB541" s="32"/>
      <c r="BE541" s="32"/>
      <c r="BJ541" s="32"/>
    </row>
    <row r="542" spans="17:62" x14ac:dyDescent="0.25">
      <c r="Q542" s="32"/>
      <c r="T542" s="199"/>
      <c r="U542" s="200"/>
      <c r="V542" s="200"/>
      <c r="W542" s="200"/>
      <c r="X542" s="199"/>
      <c r="Y542" s="200"/>
      <c r="Z542" s="200"/>
      <c r="AA542" s="199"/>
      <c r="AB542" s="200"/>
      <c r="AC542" s="199"/>
      <c r="AD542" s="200"/>
      <c r="AE542" s="200"/>
      <c r="AG542" s="37"/>
      <c r="AH542" s="312"/>
      <c r="AI542" s="935"/>
      <c r="AJ542" s="935"/>
      <c r="AK542" s="935"/>
      <c r="AL542" s="935"/>
      <c r="AM542" s="935"/>
      <c r="AN542" s="935"/>
      <c r="AO542" s="312"/>
      <c r="AP542" s="32"/>
      <c r="AQ542" s="32"/>
      <c r="AR542" s="32"/>
      <c r="AS542" s="32"/>
      <c r="AT542" s="32"/>
      <c r="AU542" s="32"/>
      <c r="AV542" s="32"/>
      <c r="AW542" s="32"/>
      <c r="AX542" s="32"/>
      <c r="AY542" s="32"/>
      <c r="BB542" s="32"/>
      <c r="BE542" s="32"/>
      <c r="BJ542" s="32"/>
    </row>
    <row r="543" spans="17:62" x14ac:dyDescent="0.25">
      <c r="Q543" s="32"/>
      <c r="T543" s="199"/>
      <c r="U543" s="200"/>
      <c r="V543" s="200"/>
      <c r="W543" s="200"/>
      <c r="X543" s="199"/>
      <c r="Y543" s="200"/>
      <c r="Z543" s="200"/>
      <c r="AA543" s="199"/>
      <c r="AB543" s="200"/>
      <c r="AC543" s="199"/>
      <c r="AD543" s="200"/>
      <c r="AE543" s="200"/>
      <c r="AG543" s="37"/>
      <c r="AH543" s="312"/>
      <c r="AI543" s="935"/>
      <c r="AJ543" s="935"/>
      <c r="AK543" s="935"/>
      <c r="AL543" s="935"/>
      <c r="AM543" s="935"/>
      <c r="AN543" s="935"/>
      <c r="AO543" s="312"/>
      <c r="AP543" s="32"/>
      <c r="AQ543" s="32"/>
      <c r="AR543" s="32"/>
      <c r="AS543" s="32"/>
      <c r="AT543" s="32"/>
      <c r="AU543" s="32"/>
      <c r="AV543" s="32"/>
      <c r="AW543" s="32"/>
      <c r="AX543" s="32"/>
      <c r="AY543" s="32"/>
      <c r="BB543" s="32"/>
      <c r="BE543" s="32"/>
      <c r="BJ543" s="32"/>
    </row>
    <row r="544" spans="17:62" x14ac:dyDescent="0.25">
      <c r="Q544" s="32"/>
      <c r="T544" s="199"/>
      <c r="U544" s="200"/>
      <c r="V544" s="200"/>
      <c r="W544" s="200"/>
      <c r="X544" s="199"/>
      <c r="Y544" s="200"/>
      <c r="Z544" s="200"/>
      <c r="AA544" s="199"/>
      <c r="AB544" s="200"/>
      <c r="AC544" s="199"/>
      <c r="AD544" s="200"/>
      <c r="AE544" s="200"/>
      <c r="AG544" s="37"/>
      <c r="AH544" s="312"/>
      <c r="AI544" s="935"/>
      <c r="AJ544" s="935"/>
      <c r="AK544" s="935"/>
      <c r="AL544" s="935"/>
      <c r="AM544" s="935"/>
      <c r="AN544" s="935"/>
      <c r="AO544" s="312"/>
      <c r="AP544" s="32"/>
      <c r="AQ544" s="32"/>
      <c r="AR544" s="32"/>
      <c r="AS544" s="32"/>
      <c r="AT544" s="32"/>
      <c r="AU544" s="32"/>
      <c r="AV544" s="32"/>
      <c r="AW544" s="32"/>
      <c r="AX544" s="32"/>
      <c r="AY544" s="32"/>
      <c r="BB544" s="32"/>
      <c r="BE544" s="32"/>
      <c r="BJ544" s="32"/>
    </row>
    <row r="545" spans="17:62" x14ac:dyDescent="0.25">
      <c r="Q545" s="32"/>
      <c r="T545" s="199"/>
      <c r="U545" s="200"/>
      <c r="V545" s="200"/>
      <c r="W545" s="200"/>
      <c r="X545" s="199"/>
      <c r="Y545" s="200"/>
      <c r="Z545" s="200"/>
      <c r="AA545" s="199"/>
      <c r="AB545" s="200"/>
      <c r="AC545" s="199"/>
      <c r="AD545" s="200"/>
      <c r="AE545" s="200"/>
      <c r="AG545" s="37"/>
      <c r="AH545" s="312"/>
      <c r="AI545" s="935"/>
      <c r="AJ545" s="935"/>
      <c r="AK545" s="935"/>
      <c r="AL545" s="935"/>
      <c r="AM545" s="935"/>
      <c r="AN545" s="935"/>
      <c r="AO545" s="312"/>
      <c r="AP545" s="32"/>
      <c r="AQ545" s="32"/>
      <c r="AR545" s="32"/>
      <c r="AS545" s="32"/>
      <c r="AT545" s="32"/>
      <c r="AU545" s="32"/>
      <c r="AV545" s="32"/>
      <c r="AW545" s="32"/>
      <c r="AX545" s="32"/>
      <c r="AY545" s="32"/>
      <c r="BB545" s="32"/>
      <c r="BE545" s="32"/>
      <c r="BJ545" s="32"/>
    </row>
    <row r="546" spans="17:62" x14ac:dyDescent="0.25">
      <c r="Q546" s="32"/>
      <c r="T546" s="199"/>
      <c r="U546" s="200"/>
      <c r="V546" s="200"/>
      <c r="W546" s="200"/>
      <c r="X546" s="199"/>
      <c r="Y546" s="200"/>
      <c r="Z546" s="200"/>
      <c r="AA546" s="199"/>
      <c r="AB546" s="200"/>
      <c r="AC546" s="199"/>
      <c r="AD546" s="200"/>
      <c r="AE546" s="200"/>
      <c r="AG546" s="37"/>
      <c r="AH546" s="312"/>
      <c r="AI546" s="935"/>
      <c r="AJ546" s="935"/>
      <c r="AK546" s="935"/>
      <c r="AL546" s="935"/>
      <c r="AM546" s="935"/>
      <c r="AN546" s="935"/>
      <c r="AO546" s="312"/>
      <c r="AP546" s="32"/>
      <c r="AQ546" s="32"/>
      <c r="AR546" s="32"/>
      <c r="AS546" s="32"/>
      <c r="AT546" s="32"/>
      <c r="AU546" s="32"/>
      <c r="AV546" s="32"/>
      <c r="AW546" s="32"/>
      <c r="AX546" s="32"/>
      <c r="AY546" s="32"/>
      <c r="BB546" s="32"/>
      <c r="BE546" s="32"/>
      <c r="BJ546" s="32"/>
    </row>
    <row r="547" spans="17:62" x14ac:dyDescent="0.25">
      <c r="Q547" s="32"/>
      <c r="T547" s="199"/>
      <c r="U547" s="200"/>
      <c r="V547" s="200"/>
      <c r="W547" s="200"/>
      <c r="X547" s="199"/>
      <c r="Y547" s="200"/>
      <c r="Z547" s="200"/>
      <c r="AA547" s="199"/>
      <c r="AB547" s="200"/>
      <c r="AC547" s="199"/>
      <c r="AD547" s="200"/>
      <c r="AE547" s="200"/>
      <c r="AG547" s="37"/>
      <c r="AH547" s="312"/>
      <c r="AI547" s="935"/>
      <c r="AJ547" s="935"/>
      <c r="AK547" s="935"/>
      <c r="AL547" s="935"/>
      <c r="AM547" s="935"/>
      <c r="AN547" s="935"/>
      <c r="AO547" s="312"/>
      <c r="AP547" s="32"/>
      <c r="AQ547" s="32"/>
      <c r="AR547" s="32"/>
      <c r="AS547" s="32"/>
      <c r="AT547" s="32"/>
      <c r="AU547" s="32"/>
      <c r="AV547" s="32"/>
      <c r="AW547" s="32"/>
      <c r="AX547" s="32"/>
      <c r="AY547" s="32"/>
      <c r="BB547" s="32"/>
      <c r="BE547" s="32"/>
      <c r="BJ547" s="32"/>
    </row>
    <row r="548" spans="17:62" x14ac:dyDescent="0.25">
      <c r="Q548" s="32"/>
      <c r="T548" s="199"/>
      <c r="U548" s="200"/>
      <c r="V548" s="200"/>
      <c r="W548" s="200"/>
      <c r="X548" s="199"/>
      <c r="Y548" s="200"/>
      <c r="Z548" s="200"/>
      <c r="AA548" s="199"/>
      <c r="AB548" s="200"/>
      <c r="AC548" s="199"/>
      <c r="AD548" s="200"/>
      <c r="AE548" s="200"/>
      <c r="AG548" s="37"/>
      <c r="AH548" s="312"/>
      <c r="AI548" s="935"/>
      <c r="AJ548" s="935"/>
      <c r="AK548" s="935"/>
      <c r="AL548" s="935"/>
      <c r="AM548" s="935"/>
      <c r="AN548" s="935"/>
      <c r="AO548" s="312"/>
      <c r="AP548" s="32"/>
      <c r="AQ548" s="32"/>
      <c r="AR548" s="32"/>
      <c r="AS548" s="32"/>
      <c r="AT548" s="32"/>
      <c r="AU548" s="32"/>
      <c r="AV548" s="32"/>
      <c r="AW548" s="32"/>
      <c r="AX548" s="32"/>
      <c r="AY548" s="32"/>
      <c r="BB548" s="32"/>
      <c r="BE548" s="32"/>
      <c r="BJ548" s="32"/>
    </row>
    <row r="549" spans="17:62" x14ac:dyDescent="0.25">
      <c r="Q549" s="32"/>
      <c r="T549" s="199"/>
      <c r="U549" s="200"/>
      <c r="V549" s="200"/>
      <c r="W549" s="200"/>
      <c r="X549" s="199"/>
      <c r="Y549" s="200"/>
      <c r="Z549" s="200"/>
      <c r="AA549" s="199"/>
      <c r="AB549" s="200"/>
      <c r="AC549" s="199"/>
      <c r="AD549" s="200"/>
      <c r="AE549" s="200"/>
      <c r="AG549" s="37"/>
      <c r="AH549" s="312"/>
      <c r="AI549" s="935"/>
      <c r="AJ549" s="935"/>
      <c r="AK549" s="935"/>
      <c r="AL549" s="935"/>
      <c r="AM549" s="935"/>
      <c r="AN549" s="935"/>
      <c r="AO549" s="312"/>
      <c r="AP549" s="32"/>
      <c r="AQ549" s="32"/>
      <c r="AR549" s="32"/>
      <c r="AS549" s="32"/>
      <c r="AT549" s="32"/>
      <c r="AU549" s="32"/>
      <c r="AV549" s="32"/>
      <c r="AW549" s="32"/>
      <c r="AX549" s="32"/>
      <c r="AY549" s="32"/>
      <c r="BB549" s="32"/>
      <c r="BE549" s="32"/>
      <c r="BJ549" s="32"/>
    </row>
    <row r="550" spans="17:62" x14ac:dyDescent="0.25">
      <c r="Q550" s="32"/>
      <c r="T550" s="199"/>
      <c r="U550" s="200"/>
      <c r="V550" s="200"/>
      <c r="W550" s="200"/>
      <c r="X550" s="199"/>
      <c r="Y550" s="200"/>
      <c r="Z550" s="200"/>
      <c r="AA550" s="199"/>
      <c r="AB550" s="200"/>
      <c r="AC550" s="199"/>
      <c r="AD550" s="200"/>
      <c r="AE550" s="200"/>
      <c r="AG550" s="37"/>
      <c r="AH550" s="312"/>
      <c r="AI550" s="935"/>
      <c r="AJ550" s="935"/>
      <c r="AK550" s="935"/>
      <c r="AL550" s="935"/>
      <c r="AM550" s="935"/>
      <c r="AN550" s="935"/>
      <c r="AO550" s="312"/>
      <c r="AP550" s="32"/>
      <c r="AQ550" s="32"/>
      <c r="AR550" s="32"/>
      <c r="AS550" s="32"/>
      <c r="AT550" s="32"/>
      <c r="AU550" s="32"/>
      <c r="AV550" s="32"/>
      <c r="AW550" s="32"/>
      <c r="AX550" s="32"/>
      <c r="AY550" s="32"/>
      <c r="BB550" s="32"/>
      <c r="BE550" s="32"/>
      <c r="BJ550" s="32"/>
    </row>
    <row r="551" spans="17:62" x14ac:dyDescent="0.25">
      <c r="Q551" s="32"/>
      <c r="T551" s="199"/>
      <c r="U551" s="200"/>
      <c r="V551" s="200"/>
      <c r="W551" s="200"/>
      <c r="X551" s="199"/>
      <c r="Y551" s="200"/>
      <c r="Z551" s="200"/>
      <c r="AA551" s="199"/>
      <c r="AB551" s="200"/>
      <c r="AC551" s="199"/>
      <c r="AD551" s="200"/>
      <c r="AE551" s="200"/>
      <c r="AG551" s="37"/>
      <c r="AH551" s="312"/>
      <c r="AI551" s="935"/>
      <c r="AJ551" s="935"/>
      <c r="AK551" s="935"/>
      <c r="AL551" s="935"/>
      <c r="AM551" s="935"/>
      <c r="AN551" s="935"/>
      <c r="AO551" s="312"/>
      <c r="AP551" s="32"/>
      <c r="AQ551" s="32"/>
      <c r="AR551" s="32"/>
      <c r="AS551" s="32"/>
      <c r="AT551" s="32"/>
      <c r="AU551" s="32"/>
      <c r="AV551" s="32"/>
      <c r="AW551" s="32"/>
      <c r="AX551" s="32"/>
      <c r="AY551" s="32"/>
      <c r="BB551" s="32"/>
      <c r="BE551" s="32"/>
      <c r="BJ551" s="32"/>
    </row>
    <row r="552" spans="17:62" x14ac:dyDescent="0.25">
      <c r="Q552" s="32"/>
      <c r="T552" s="199"/>
      <c r="U552" s="200"/>
      <c r="V552" s="200"/>
      <c r="W552" s="200"/>
      <c r="X552" s="199"/>
      <c r="Y552" s="200"/>
      <c r="Z552" s="200"/>
      <c r="AA552" s="199"/>
      <c r="AB552" s="200"/>
      <c r="AC552" s="199"/>
      <c r="AD552" s="200"/>
      <c r="AE552" s="200"/>
      <c r="AG552" s="37"/>
      <c r="AH552" s="312"/>
      <c r="AI552" s="935"/>
      <c r="AJ552" s="935"/>
      <c r="AK552" s="935"/>
      <c r="AL552" s="935"/>
      <c r="AM552" s="935"/>
      <c r="AN552" s="935"/>
      <c r="AO552" s="312"/>
      <c r="AP552" s="32"/>
      <c r="AQ552" s="32"/>
      <c r="AR552" s="32"/>
      <c r="AS552" s="32"/>
      <c r="AT552" s="32"/>
      <c r="AU552" s="32"/>
      <c r="AV552" s="32"/>
      <c r="AW552" s="32"/>
      <c r="AX552" s="32"/>
      <c r="AY552" s="32"/>
      <c r="BB552" s="32"/>
      <c r="BE552" s="32"/>
      <c r="BJ552" s="32"/>
    </row>
    <row r="553" spans="17:62" x14ac:dyDescent="0.25">
      <c r="Q553" s="32"/>
      <c r="T553" s="199"/>
      <c r="U553" s="200"/>
      <c r="V553" s="200"/>
      <c r="W553" s="200"/>
      <c r="X553" s="199"/>
      <c r="Y553" s="200"/>
      <c r="Z553" s="200"/>
      <c r="AA553" s="199"/>
      <c r="AB553" s="200"/>
      <c r="AC553" s="199"/>
      <c r="AD553" s="200"/>
      <c r="AE553" s="200"/>
      <c r="AG553" s="37"/>
      <c r="AH553" s="312"/>
      <c r="AI553" s="935"/>
      <c r="AJ553" s="935"/>
      <c r="AK553" s="935"/>
      <c r="AL553" s="935"/>
      <c r="AM553" s="935"/>
      <c r="AN553" s="935"/>
      <c r="AO553" s="312"/>
      <c r="AP553" s="32"/>
      <c r="AQ553" s="32"/>
      <c r="AR553" s="32"/>
      <c r="AS553" s="32"/>
      <c r="AT553" s="32"/>
      <c r="AU553" s="32"/>
      <c r="AV553" s="32"/>
      <c r="AW553" s="32"/>
      <c r="AX553" s="32"/>
      <c r="AY553" s="32"/>
      <c r="BB553" s="32"/>
      <c r="BE553" s="32"/>
      <c r="BJ553" s="32"/>
    </row>
    <row r="554" spans="17:62" x14ac:dyDescent="0.25">
      <c r="Q554" s="32"/>
      <c r="T554" s="199"/>
      <c r="U554" s="200"/>
      <c r="V554" s="200"/>
      <c r="W554" s="200"/>
      <c r="X554" s="199"/>
      <c r="Y554" s="200"/>
      <c r="Z554" s="200"/>
      <c r="AA554" s="199"/>
      <c r="AB554" s="200"/>
      <c r="AC554" s="199"/>
      <c r="AD554" s="200"/>
      <c r="AE554" s="200"/>
      <c r="AG554" s="37"/>
      <c r="AH554" s="312"/>
      <c r="AI554" s="935"/>
      <c r="AJ554" s="935"/>
      <c r="AK554" s="935"/>
      <c r="AL554" s="935"/>
      <c r="AM554" s="935"/>
      <c r="AN554" s="935"/>
      <c r="AO554" s="312"/>
      <c r="AP554" s="32"/>
      <c r="AQ554" s="32"/>
      <c r="AR554" s="32"/>
      <c r="AS554" s="32"/>
      <c r="AT554" s="32"/>
      <c r="AU554" s="32"/>
      <c r="AV554" s="32"/>
      <c r="AW554" s="32"/>
      <c r="AX554" s="32"/>
      <c r="AY554" s="32"/>
      <c r="BB554" s="32"/>
      <c r="BE554" s="32"/>
      <c r="BJ554" s="32"/>
    </row>
    <row r="555" spans="17:62" x14ac:dyDescent="0.25">
      <c r="Q555" s="32"/>
      <c r="T555" s="199"/>
      <c r="U555" s="200"/>
      <c r="V555" s="200"/>
      <c r="W555" s="200"/>
      <c r="X555" s="199"/>
      <c r="Y555" s="200"/>
      <c r="Z555" s="200"/>
      <c r="AA555" s="199"/>
      <c r="AB555" s="200"/>
      <c r="AC555" s="199"/>
      <c r="AD555" s="200"/>
      <c r="AE555" s="200"/>
      <c r="AG555" s="37"/>
      <c r="AH555" s="312"/>
      <c r="AI555" s="935"/>
      <c r="AJ555" s="935"/>
      <c r="AK555" s="935"/>
      <c r="AL555" s="935"/>
      <c r="AM555" s="935"/>
      <c r="AN555" s="935"/>
      <c r="AO555" s="312"/>
      <c r="AP555" s="32"/>
      <c r="AQ555" s="32"/>
      <c r="AR555" s="32"/>
      <c r="AS555" s="32"/>
      <c r="AT555" s="32"/>
      <c r="AU555" s="32"/>
      <c r="AV555" s="32"/>
      <c r="AW555" s="32"/>
      <c r="AX555" s="32"/>
      <c r="AY555" s="32"/>
      <c r="BB555" s="32"/>
      <c r="BE555" s="32"/>
      <c r="BJ555" s="32"/>
    </row>
    <row r="556" spans="17:62" x14ac:dyDescent="0.25">
      <c r="Q556" s="32"/>
      <c r="T556" s="199"/>
      <c r="U556" s="200"/>
      <c r="V556" s="200"/>
      <c r="W556" s="200"/>
      <c r="X556" s="199"/>
      <c r="Y556" s="200"/>
      <c r="Z556" s="200"/>
      <c r="AA556" s="199"/>
      <c r="AB556" s="200"/>
      <c r="AC556" s="199"/>
      <c r="AD556" s="200"/>
      <c r="AE556" s="200"/>
      <c r="AG556" s="37"/>
      <c r="AH556" s="312"/>
      <c r="AI556" s="935"/>
      <c r="AJ556" s="935"/>
      <c r="AK556" s="935"/>
      <c r="AL556" s="935"/>
      <c r="AM556" s="935"/>
      <c r="AN556" s="935"/>
      <c r="AO556" s="312"/>
      <c r="AP556" s="32"/>
      <c r="AQ556" s="32"/>
      <c r="AR556" s="32"/>
      <c r="AS556" s="32"/>
      <c r="AT556" s="32"/>
      <c r="AU556" s="32"/>
      <c r="AV556" s="32"/>
      <c r="AW556" s="32"/>
      <c r="AX556" s="32"/>
      <c r="AY556" s="32"/>
      <c r="BB556" s="32"/>
      <c r="BE556" s="32"/>
      <c r="BJ556" s="32"/>
    </row>
    <row r="557" spans="17:62" x14ac:dyDescent="0.25">
      <c r="Q557" s="32"/>
      <c r="T557" s="199"/>
      <c r="U557" s="200"/>
      <c r="V557" s="200"/>
      <c r="W557" s="200"/>
      <c r="X557" s="199"/>
      <c r="Y557" s="200"/>
      <c r="Z557" s="200"/>
      <c r="AA557" s="199"/>
      <c r="AB557" s="200"/>
      <c r="AC557" s="199"/>
      <c r="AD557" s="200"/>
      <c r="AE557" s="200"/>
      <c r="AG557" s="37"/>
      <c r="AH557" s="312"/>
      <c r="AI557" s="935"/>
      <c r="AJ557" s="935"/>
      <c r="AK557" s="935"/>
      <c r="AL557" s="935"/>
      <c r="AM557" s="935"/>
      <c r="AN557" s="935"/>
      <c r="AO557" s="312"/>
      <c r="AP557" s="32"/>
      <c r="AQ557" s="32"/>
      <c r="AR557" s="32"/>
      <c r="AS557" s="32"/>
      <c r="AT557" s="32"/>
      <c r="AU557" s="32"/>
      <c r="AV557" s="32"/>
      <c r="AW557" s="32"/>
      <c r="AX557" s="32"/>
      <c r="AY557" s="32"/>
      <c r="BB557" s="32"/>
      <c r="BE557" s="32"/>
      <c r="BJ557" s="32"/>
    </row>
    <row r="558" spans="17:62" x14ac:dyDescent="0.25">
      <c r="Q558" s="32"/>
      <c r="T558" s="199"/>
      <c r="U558" s="200"/>
      <c r="V558" s="200"/>
      <c r="W558" s="200"/>
      <c r="X558" s="199"/>
      <c r="Y558" s="200"/>
      <c r="Z558" s="200"/>
      <c r="AA558" s="199"/>
      <c r="AB558" s="200"/>
      <c r="AC558" s="199"/>
      <c r="AD558" s="200"/>
      <c r="AE558" s="200"/>
      <c r="AG558" s="37"/>
      <c r="AH558" s="312"/>
      <c r="AI558" s="935"/>
      <c r="AJ558" s="935"/>
      <c r="AK558" s="935"/>
      <c r="AL558" s="935"/>
      <c r="AM558" s="935"/>
      <c r="AN558" s="935"/>
      <c r="AO558" s="312"/>
      <c r="AP558" s="32"/>
      <c r="AQ558" s="32"/>
      <c r="AR558" s="32"/>
      <c r="AS558" s="32"/>
      <c r="AT558" s="32"/>
      <c r="AU558" s="32"/>
      <c r="AV558" s="32"/>
      <c r="AW558" s="32"/>
      <c r="AX558" s="32"/>
      <c r="AY558" s="32"/>
      <c r="BB558" s="32"/>
      <c r="BE558" s="32"/>
      <c r="BJ558" s="32"/>
    </row>
    <row r="559" spans="17:62" x14ac:dyDescent="0.25">
      <c r="Q559" s="32"/>
      <c r="T559" s="199"/>
      <c r="U559" s="200"/>
      <c r="V559" s="200"/>
      <c r="W559" s="200"/>
      <c r="X559" s="199"/>
      <c r="Y559" s="200"/>
      <c r="Z559" s="200"/>
      <c r="AA559" s="199"/>
      <c r="AB559" s="200"/>
      <c r="AC559" s="199"/>
      <c r="AD559" s="200"/>
      <c r="AE559" s="200"/>
      <c r="AG559" s="37"/>
      <c r="AH559" s="312"/>
      <c r="AI559" s="935"/>
      <c r="AJ559" s="935"/>
      <c r="AK559" s="935"/>
      <c r="AL559" s="935"/>
      <c r="AM559" s="935"/>
      <c r="AN559" s="935"/>
      <c r="AO559" s="312"/>
      <c r="AP559" s="32"/>
      <c r="AQ559" s="32"/>
      <c r="AR559" s="32"/>
      <c r="AS559" s="32"/>
      <c r="AT559" s="32"/>
      <c r="AU559" s="32"/>
      <c r="AV559" s="32"/>
      <c r="AW559" s="32"/>
      <c r="AX559" s="32"/>
      <c r="AY559" s="32"/>
      <c r="BB559" s="32"/>
      <c r="BE559" s="32"/>
      <c r="BJ559" s="32"/>
    </row>
    <row r="560" spans="17:62" x14ac:dyDescent="0.25">
      <c r="Q560" s="32"/>
      <c r="T560" s="199"/>
      <c r="U560" s="200"/>
      <c r="V560" s="200"/>
      <c r="W560" s="200"/>
      <c r="X560" s="199"/>
      <c r="Y560" s="200"/>
      <c r="Z560" s="200"/>
      <c r="AA560" s="199"/>
      <c r="AB560" s="200"/>
      <c r="AC560" s="199"/>
      <c r="AD560" s="200"/>
      <c r="AE560" s="200"/>
      <c r="AG560" s="37"/>
      <c r="AH560" s="312"/>
      <c r="AI560" s="935"/>
      <c r="AJ560" s="935"/>
      <c r="AK560" s="935"/>
      <c r="AL560" s="935"/>
      <c r="AM560" s="935"/>
      <c r="AN560" s="935"/>
      <c r="AO560" s="312"/>
      <c r="AP560" s="32"/>
      <c r="AQ560" s="32"/>
      <c r="AR560" s="32"/>
      <c r="AS560" s="32"/>
      <c r="AT560" s="32"/>
      <c r="AU560" s="32"/>
      <c r="AV560" s="32"/>
      <c r="AW560" s="32"/>
      <c r="AX560" s="32"/>
      <c r="AY560" s="32"/>
      <c r="BB560" s="32"/>
      <c r="BE560" s="32"/>
      <c r="BJ560" s="32"/>
    </row>
    <row r="561" spans="17:62" x14ac:dyDescent="0.25">
      <c r="Q561" s="32"/>
      <c r="T561" s="199"/>
      <c r="U561" s="200"/>
      <c r="V561" s="200"/>
      <c r="W561" s="200"/>
      <c r="X561" s="199"/>
      <c r="Y561" s="200"/>
      <c r="Z561" s="200"/>
      <c r="AA561" s="199"/>
      <c r="AB561" s="200"/>
      <c r="AC561" s="199"/>
      <c r="AD561" s="200"/>
      <c r="AE561" s="200"/>
      <c r="AG561" s="37"/>
      <c r="AH561" s="312"/>
      <c r="AI561" s="935"/>
      <c r="AJ561" s="935"/>
      <c r="AK561" s="935"/>
      <c r="AL561" s="935"/>
      <c r="AM561" s="935"/>
      <c r="AN561" s="935"/>
      <c r="AO561" s="312"/>
      <c r="AP561" s="32"/>
      <c r="AQ561" s="32"/>
      <c r="AR561" s="32"/>
      <c r="AS561" s="32"/>
      <c r="AT561" s="32"/>
      <c r="AU561" s="32"/>
      <c r="AV561" s="32"/>
      <c r="AW561" s="32"/>
      <c r="AX561" s="32"/>
      <c r="AY561" s="32"/>
      <c r="BB561" s="32"/>
      <c r="BE561" s="32"/>
      <c r="BJ561" s="32"/>
    </row>
    <row r="562" spans="17:62" x14ac:dyDescent="0.25">
      <c r="Q562" s="32"/>
      <c r="T562" s="199"/>
      <c r="U562" s="200"/>
      <c r="V562" s="200"/>
      <c r="W562" s="200"/>
      <c r="X562" s="199"/>
      <c r="Y562" s="200"/>
      <c r="Z562" s="200"/>
      <c r="AA562" s="199"/>
      <c r="AB562" s="200"/>
      <c r="AC562" s="199"/>
      <c r="AD562" s="200"/>
      <c r="AE562" s="200"/>
      <c r="AG562" s="37"/>
      <c r="AH562" s="312"/>
      <c r="AI562" s="935"/>
      <c r="AJ562" s="935"/>
      <c r="AK562" s="935"/>
      <c r="AL562" s="935"/>
      <c r="AM562" s="935"/>
      <c r="AN562" s="935"/>
      <c r="AO562" s="312"/>
      <c r="AP562" s="32"/>
      <c r="AQ562" s="32"/>
      <c r="AR562" s="32"/>
      <c r="AS562" s="32"/>
      <c r="AT562" s="32"/>
      <c r="AU562" s="32"/>
      <c r="AV562" s="32"/>
      <c r="AW562" s="32"/>
      <c r="AX562" s="32"/>
      <c r="AY562" s="32"/>
      <c r="BB562" s="32"/>
      <c r="BE562" s="32"/>
      <c r="BJ562" s="32"/>
    </row>
    <row r="563" spans="17:62" x14ac:dyDescent="0.25">
      <c r="Q563" s="32"/>
      <c r="T563" s="199"/>
      <c r="U563" s="200"/>
      <c r="V563" s="200"/>
      <c r="W563" s="200"/>
      <c r="X563" s="199"/>
      <c r="Y563" s="200"/>
      <c r="Z563" s="200"/>
      <c r="AA563" s="199"/>
      <c r="AB563" s="200"/>
      <c r="AC563" s="199"/>
      <c r="AD563" s="200"/>
      <c r="AE563" s="200"/>
      <c r="AG563" s="37"/>
      <c r="AH563" s="312"/>
      <c r="AI563" s="935"/>
      <c r="AJ563" s="935"/>
      <c r="AK563" s="935"/>
      <c r="AL563" s="935"/>
      <c r="AM563" s="935"/>
      <c r="AN563" s="935"/>
      <c r="AO563" s="312"/>
      <c r="AP563" s="32"/>
      <c r="AQ563" s="32"/>
      <c r="AR563" s="32"/>
      <c r="AS563" s="32"/>
      <c r="AT563" s="32"/>
      <c r="AU563" s="32"/>
      <c r="AV563" s="32"/>
      <c r="AW563" s="32"/>
      <c r="AX563" s="32"/>
      <c r="AY563" s="32"/>
      <c r="BB563" s="32"/>
      <c r="BE563" s="32"/>
      <c r="BJ563" s="32"/>
    </row>
    <row r="564" spans="17:62" x14ac:dyDescent="0.25">
      <c r="Q564" s="32"/>
      <c r="T564" s="199"/>
      <c r="U564" s="200"/>
      <c r="V564" s="200"/>
      <c r="W564" s="200"/>
      <c r="X564" s="199"/>
      <c r="Y564" s="200"/>
      <c r="Z564" s="200"/>
      <c r="AA564" s="199"/>
      <c r="AB564" s="200"/>
      <c r="AC564" s="199"/>
      <c r="AD564" s="200"/>
      <c r="AE564" s="200"/>
      <c r="AG564" s="37"/>
      <c r="AH564" s="312"/>
      <c r="AI564" s="935"/>
      <c r="AJ564" s="935"/>
      <c r="AK564" s="935"/>
      <c r="AL564" s="935"/>
      <c r="AM564" s="935"/>
      <c r="AN564" s="935"/>
      <c r="AO564" s="312"/>
      <c r="AP564" s="32"/>
      <c r="AQ564" s="32"/>
      <c r="AR564" s="32"/>
      <c r="AS564" s="32"/>
      <c r="AT564" s="32"/>
      <c r="AU564" s="32"/>
      <c r="AV564" s="32"/>
      <c r="AW564" s="32"/>
      <c r="AX564" s="32"/>
      <c r="AY564" s="32"/>
      <c r="BB564" s="32"/>
      <c r="BE564" s="32"/>
      <c r="BJ564" s="32"/>
    </row>
    <row r="565" spans="17:62" x14ac:dyDescent="0.25">
      <c r="Q565" s="32"/>
      <c r="T565" s="199"/>
      <c r="U565" s="200"/>
      <c r="V565" s="200"/>
      <c r="W565" s="200"/>
      <c r="X565" s="199"/>
      <c r="Y565" s="200"/>
      <c r="Z565" s="200"/>
      <c r="AA565" s="199"/>
      <c r="AB565" s="200"/>
      <c r="AC565" s="199"/>
      <c r="AD565" s="200"/>
      <c r="AE565" s="200"/>
      <c r="AG565" s="37"/>
      <c r="AH565" s="312"/>
      <c r="AI565" s="935"/>
      <c r="AJ565" s="935"/>
      <c r="AK565" s="935"/>
      <c r="AL565" s="935"/>
      <c r="AM565" s="935"/>
      <c r="AN565" s="935"/>
      <c r="AO565" s="312"/>
      <c r="AP565" s="32"/>
      <c r="AQ565" s="32"/>
      <c r="AR565" s="32"/>
      <c r="AS565" s="32"/>
      <c r="AT565" s="32"/>
      <c r="AU565" s="32"/>
      <c r="AV565" s="32"/>
      <c r="AW565" s="32"/>
      <c r="AX565" s="32"/>
      <c r="AY565" s="32"/>
      <c r="BB565" s="32"/>
      <c r="BE565" s="32"/>
      <c r="BJ565" s="32"/>
    </row>
    <row r="566" spans="17:62" x14ac:dyDescent="0.25">
      <c r="Q566" s="32"/>
      <c r="T566" s="199"/>
      <c r="U566" s="200"/>
      <c r="V566" s="200"/>
      <c r="W566" s="200"/>
      <c r="X566" s="199"/>
      <c r="Y566" s="200"/>
      <c r="Z566" s="200"/>
      <c r="AA566" s="199"/>
      <c r="AB566" s="200"/>
      <c r="AC566" s="199"/>
      <c r="AD566" s="200"/>
      <c r="AE566" s="200"/>
      <c r="AG566" s="37"/>
      <c r="AH566" s="312"/>
      <c r="AI566" s="935"/>
      <c r="AJ566" s="935"/>
      <c r="AK566" s="935"/>
      <c r="AL566" s="935"/>
      <c r="AM566" s="935"/>
      <c r="AN566" s="935"/>
      <c r="AO566" s="312"/>
      <c r="AP566" s="32"/>
      <c r="AQ566" s="32"/>
      <c r="AR566" s="32"/>
      <c r="AS566" s="32"/>
      <c r="AT566" s="32"/>
      <c r="AU566" s="32"/>
      <c r="AV566" s="32"/>
      <c r="AW566" s="32"/>
      <c r="AX566" s="32"/>
      <c r="AY566" s="32"/>
      <c r="BB566" s="32"/>
      <c r="BE566" s="32"/>
      <c r="BJ566" s="32"/>
    </row>
    <row r="567" spans="17:62" x14ac:dyDescent="0.25">
      <c r="Q567" s="32"/>
      <c r="T567" s="199"/>
      <c r="U567" s="200"/>
      <c r="V567" s="200"/>
      <c r="W567" s="200"/>
      <c r="X567" s="199"/>
      <c r="Y567" s="200"/>
      <c r="Z567" s="200"/>
      <c r="AA567" s="199"/>
      <c r="AB567" s="200"/>
      <c r="AC567" s="199"/>
      <c r="AD567" s="200"/>
      <c r="AE567" s="200"/>
      <c r="AG567" s="37"/>
      <c r="AH567" s="312"/>
      <c r="AI567" s="935"/>
      <c r="AJ567" s="935"/>
      <c r="AK567" s="935"/>
      <c r="AL567" s="935"/>
      <c r="AM567" s="935"/>
      <c r="AN567" s="935"/>
      <c r="AO567" s="312"/>
      <c r="AP567" s="32"/>
      <c r="AQ567" s="32"/>
      <c r="AR567" s="32"/>
      <c r="AS567" s="32"/>
      <c r="AT567" s="32"/>
      <c r="AU567" s="32"/>
      <c r="AV567" s="32"/>
      <c r="AW567" s="32"/>
      <c r="AX567" s="32"/>
      <c r="AY567" s="32"/>
      <c r="BB567" s="32"/>
      <c r="BE567" s="32"/>
      <c r="BJ567" s="32"/>
    </row>
    <row r="568" spans="17:62" x14ac:dyDescent="0.25">
      <c r="Q568" s="32"/>
      <c r="T568" s="199"/>
      <c r="U568" s="200"/>
      <c r="V568" s="200"/>
      <c r="W568" s="200"/>
      <c r="X568" s="199"/>
      <c r="Y568" s="200"/>
      <c r="Z568" s="200"/>
      <c r="AA568" s="199"/>
      <c r="AB568" s="200"/>
      <c r="AC568" s="199"/>
      <c r="AD568" s="200"/>
      <c r="AE568" s="200"/>
      <c r="AG568" s="37"/>
      <c r="AH568" s="312"/>
      <c r="AI568" s="935"/>
      <c r="AJ568" s="935"/>
      <c r="AK568" s="935"/>
      <c r="AL568" s="935"/>
      <c r="AM568" s="935"/>
      <c r="AN568" s="935"/>
      <c r="AO568" s="312"/>
      <c r="AP568" s="32"/>
      <c r="AQ568" s="32"/>
      <c r="AR568" s="32"/>
      <c r="AS568" s="32"/>
      <c r="AT568" s="32"/>
      <c r="AU568" s="32"/>
      <c r="AV568" s="32"/>
      <c r="AW568" s="32"/>
      <c r="AX568" s="32"/>
      <c r="AY568" s="32"/>
      <c r="BB568" s="32"/>
      <c r="BE568" s="32"/>
      <c r="BJ568" s="32"/>
    </row>
    <row r="569" spans="17:62" x14ac:dyDescent="0.25">
      <c r="Q569" s="32"/>
      <c r="T569" s="199"/>
      <c r="U569" s="200"/>
      <c r="V569" s="200"/>
      <c r="W569" s="200"/>
      <c r="X569" s="199"/>
      <c r="Y569" s="200"/>
      <c r="Z569" s="200"/>
      <c r="AA569" s="199"/>
      <c r="AB569" s="200"/>
      <c r="AC569" s="199"/>
      <c r="AD569" s="200"/>
      <c r="AE569" s="200"/>
      <c r="AG569" s="37"/>
      <c r="AH569" s="312"/>
      <c r="AI569" s="935"/>
      <c r="AJ569" s="935"/>
      <c r="AK569" s="935"/>
      <c r="AL569" s="935"/>
      <c r="AM569" s="935"/>
      <c r="AN569" s="935"/>
      <c r="AO569" s="312"/>
      <c r="AP569" s="32"/>
      <c r="AQ569" s="32"/>
      <c r="AR569" s="32"/>
      <c r="AS569" s="32"/>
      <c r="AT569" s="32"/>
      <c r="AU569" s="32"/>
      <c r="AV569" s="32"/>
      <c r="AW569" s="32"/>
      <c r="AX569" s="32"/>
      <c r="AY569" s="32"/>
      <c r="BB569" s="32"/>
      <c r="BE569" s="32"/>
      <c r="BJ569" s="32"/>
    </row>
    <row r="570" spans="17:62" x14ac:dyDescent="0.25">
      <c r="Q570" s="32"/>
      <c r="T570" s="199"/>
      <c r="U570" s="200"/>
      <c r="V570" s="200"/>
      <c r="W570" s="200"/>
      <c r="X570" s="199"/>
      <c r="Y570" s="200"/>
      <c r="Z570" s="200"/>
      <c r="AA570" s="199"/>
      <c r="AB570" s="200"/>
      <c r="AC570" s="199"/>
      <c r="AD570" s="200"/>
      <c r="AE570" s="200"/>
      <c r="AG570" s="37"/>
      <c r="AH570" s="312"/>
      <c r="AI570" s="935"/>
      <c r="AJ570" s="935"/>
      <c r="AK570" s="935"/>
      <c r="AL570" s="935"/>
      <c r="AM570" s="935"/>
      <c r="AN570" s="935"/>
      <c r="AO570" s="312"/>
      <c r="AP570" s="32"/>
      <c r="AQ570" s="32"/>
      <c r="AR570" s="32"/>
      <c r="AS570" s="32"/>
      <c r="AT570" s="32"/>
      <c r="AU570" s="32"/>
      <c r="AV570" s="32"/>
      <c r="AW570" s="32"/>
      <c r="AX570" s="32"/>
      <c r="AY570" s="32"/>
      <c r="BB570" s="32"/>
      <c r="BE570" s="32"/>
      <c r="BJ570" s="32"/>
    </row>
    <row r="571" spans="17:62" x14ac:dyDescent="0.25">
      <c r="Q571" s="32"/>
      <c r="T571" s="199"/>
      <c r="U571" s="200"/>
      <c r="V571" s="200"/>
      <c r="W571" s="200"/>
      <c r="X571" s="199"/>
      <c r="Y571" s="200"/>
      <c r="Z571" s="200"/>
      <c r="AA571" s="199"/>
      <c r="AB571" s="200"/>
      <c r="AC571" s="199"/>
      <c r="AD571" s="200"/>
      <c r="AE571" s="200"/>
      <c r="AG571" s="37"/>
      <c r="AH571" s="312"/>
      <c r="AI571" s="935"/>
      <c r="AJ571" s="935"/>
      <c r="AK571" s="935"/>
      <c r="AL571" s="935"/>
      <c r="AM571" s="935"/>
      <c r="AN571" s="935"/>
      <c r="AO571" s="312"/>
      <c r="AP571" s="32"/>
      <c r="AQ571" s="32"/>
      <c r="AR571" s="32"/>
      <c r="AS571" s="32"/>
      <c r="AT571" s="32"/>
      <c r="AU571" s="32"/>
      <c r="AV571" s="32"/>
      <c r="AW571" s="32"/>
      <c r="AX571" s="32"/>
      <c r="AY571" s="32"/>
      <c r="BB571" s="32"/>
      <c r="BE571" s="32"/>
      <c r="BJ571" s="32"/>
    </row>
    <row r="572" spans="17:62" x14ac:dyDescent="0.25">
      <c r="Q572" s="32"/>
      <c r="T572" s="199"/>
      <c r="U572" s="200"/>
      <c r="V572" s="200"/>
      <c r="W572" s="200"/>
      <c r="X572" s="199"/>
      <c r="Y572" s="200"/>
      <c r="Z572" s="200"/>
      <c r="AA572" s="199"/>
      <c r="AB572" s="200"/>
      <c r="AC572" s="199"/>
      <c r="AD572" s="200"/>
      <c r="AE572" s="200"/>
      <c r="AG572" s="37"/>
      <c r="AH572" s="312"/>
      <c r="AI572" s="935"/>
      <c r="AJ572" s="935"/>
      <c r="AK572" s="935"/>
      <c r="AL572" s="935"/>
      <c r="AM572" s="935"/>
      <c r="AN572" s="935"/>
      <c r="AO572" s="312"/>
      <c r="AP572" s="32"/>
      <c r="AQ572" s="32"/>
      <c r="AR572" s="32"/>
      <c r="AS572" s="32"/>
      <c r="AT572" s="32"/>
      <c r="AU572" s="32"/>
      <c r="AV572" s="32"/>
      <c r="AW572" s="32"/>
      <c r="AX572" s="32"/>
      <c r="AY572" s="32"/>
      <c r="BB572" s="32"/>
      <c r="BE572" s="32"/>
      <c r="BJ572" s="32"/>
    </row>
    <row r="573" spans="17:62" x14ac:dyDescent="0.25">
      <c r="Q573" s="32"/>
      <c r="T573" s="199"/>
      <c r="U573" s="200"/>
      <c r="V573" s="200"/>
      <c r="W573" s="200"/>
      <c r="X573" s="199"/>
      <c r="Y573" s="200"/>
      <c r="Z573" s="200"/>
      <c r="AA573" s="199"/>
      <c r="AB573" s="200"/>
      <c r="AC573" s="199"/>
      <c r="AD573" s="200"/>
      <c r="AE573" s="200"/>
      <c r="AG573" s="37"/>
      <c r="AH573" s="312"/>
      <c r="AI573" s="935"/>
      <c r="AJ573" s="935"/>
      <c r="AK573" s="935"/>
      <c r="AL573" s="935"/>
      <c r="AM573" s="935"/>
      <c r="AN573" s="935"/>
      <c r="AO573" s="312"/>
      <c r="AP573" s="32"/>
      <c r="AQ573" s="32"/>
      <c r="AR573" s="32"/>
      <c r="AS573" s="32"/>
      <c r="AT573" s="32"/>
      <c r="AU573" s="32"/>
      <c r="AV573" s="32"/>
      <c r="AW573" s="32"/>
      <c r="AX573" s="32"/>
      <c r="AY573" s="32"/>
      <c r="BB573" s="32"/>
      <c r="BE573" s="32"/>
      <c r="BJ573" s="32"/>
    </row>
    <row r="574" spans="17:62" x14ac:dyDescent="0.25">
      <c r="Q574" s="32"/>
      <c r="T574" s="199"/>
      <c r="U574" s="200"/>
      <c r="V574" s="200"/>
      <c r="W574" s="200"/>
      <c r="X574" s="199"/>
      <c r="Y574" s="200"/>
      <c r="Z574" s="200"/>
      <c r="AA574" s="199"/>
      <c r="AB574" s="200"/>
      <c r="AC574" s="199"/>
      <c r="AD574" s="200"/>
      <c r="AE574" s="200"/>
      <c r="AG574" s="37"/>
      <c r="AH574" s="312"/>
      <c r="AI574" s="935"/>
      <c r="AJ574" s="935"/>
      <c r="AK574" s="935"/>
      <c r="AL574" s="935"/>
      <c r="AM574" s="935"/>
      <c r="AN574" s="935"/>
      <c r="AO574" s="312"/>
      <c r="AP574" s="32"/>
      <c r="AQ574" s="32"/>
      <c r="AR574" s="32"/>
      <c r="AS574" s="32"/>
      <c r="AT574" s="32"/>
      <c r="AU574" s="32"/>
      <c r="AV574" s="32"/>
      <c r="AW574" s="32"/>
      <c r="AX574" s="32"/>
      <c r="AY574" s="32"/>
      <c r="BB574" s="32"/>
      <c r="BE574" s="32"/>
      <c r="BJ574" s="32"/>
    </row>
    <row r="575" spans="17:62" x14ac:dyDescent="0.25">
      <c r="Q575" s="32"/>
      <c r="T575" s="199"/>
      <c r="U575" s="200"/>
      <c r="V575" s="200"/>
      <c r="W575" s="200"/>
      <c r="X575" s="199"/>
      <c r="Y575" s="200"/>
      <c r="Z575" s="200"/>
      <c r="AA575" s="199"/>
      <c r="AB575" s="200"/>
      <c r="AC575" s="199"/>
      <c r="AD575" s="200"/>
      <c r="AE575" s="200"/>
      <c r="AG575" s="37"/>
      <c r="AH575" s="312"/>
      <c r="AI575" s="935"/>
      <c r="AJ575" s="935"/>
      <c r="AK575" s="935"/>
      <c r="AL575" s="935"/>
      <c r="AM575" s="935"/>
      <c r="AN575" s="935"/>
      <c r="AO575" s="312"/>
      <c r="AP575" s="32"/>
      <c r="AQ575" s="32"/>
      <c r="AR575" s="32"/>
      <c r="AS575" s="32"/>
      <c r="AT575" s="32"/>
      <c r="AU575" s="32"/>
      <c r="AV575" s="32"/>
      <c r="AW575" s="32"/>
      <c r="AX575" s="32"/>
      <c r="AY575" s="32"/>
      <c r="BB575" s="32"/>
      <c r="BE575" s="32"/>
      <c r="BJ575" s="32"/>
    </row>
    <row r="576" spans="17:62" x14ac:dyDescent="0.25">
      <c r="Q576" s="32"/>
      <c r="T576" s="199"/>
      <c r="U576" s="200"/>
      <c r="V576" s="200"/>
      <c r="W576" s="200"/>
      <c r="X576" s="199"/>
      <c r="Y576" s="200"/>
      <c r="Z576" s="200"/>
      <c r="AA576" s="199"/>
      <c r="AB576" s="200"/>
      <c r="AC576" s="199"/>
      <c r="AD576" s="200"/>
      <c r="AE576" s="200"/>
      <c r="AG576" s="37"/>
      <c r="AH576" s="312"/>
      <c r="AI576" s="935"/>
      <c r="AJ576" s="935"/>
      <c r="AK576" s="935"/>
      <c r="AL576" s="935"/>
      <c r="AM576" s="935"/>
      <c r="AN576" s="935"/>
      <c r="AO576" s="312"/>
      <c r="AP576" s="32"/>
      <c r="AQ576" s="32"/>
      <c r="AR576" s="32"/>
      <c r="AS576" s="32"/>
      <c r="AT576" s="32"/>
      <c r="AU576" s="32"/>
      <c r="AV576" s="32"/>
      <c r="AW576" s="32"/>
      <c r="AX576" s="32"/>
      <c r="AY576" s="32"/>
      <c r="BB576" s="32"/>
      <c r="BE576" s="32"/>
      <c r="BJ576" s="32"/>
    </row>
    <row r="577" spans="17:62" x14ac:dyDescent="0.25">
      <c r="Q577" s="32"/>
      <c r="T577" s="199"/>
      <c r="U577" s="200"/>
      <c r="V577" s="200"/>
      <c r="W577" s="200"/>
      <c r="X577" s="199"/>
      <c r="Y577" s="200"/>
      <c r="Z577" s="200"/>
      <c r="AA577" s="199"/>
      <c r="AB577" s="200"/>
      <c r="AC577" s="199"/>
      <c r="AD577" s="200"/>
      <c r="AE577" s="200"/>
      <c r="AG577" s="37"/>
      <c r="AH577" s="312"/>
      <c r="AI577" s="935"/>
      <c r="AJ577" s="935"/>
      <c r="AK577" s="935"/>
      <c r="AL577" s="935"/>
      <c r="AM577" s="935"/>
      <c r="AN577" s="935"/>
      <c r="AO577" s="312"/>
      <c r="AP577" s="32"/>
      <c r="AQ577" s="32"/>
      <c r="AR577" s="32"/>
      <c r="AS577" s="32"/>
      <c r="AT577" s="32"/>
      <c r="AU577" s="32"/>
      <c r="AV577" s="32"/>
      <c r="AW577" s="32"/>
      <c r="AX577" s="32"/>
      <c r="AY577" s="32"/>
      <c r="BB577" s="32"/>
      <c r="BE577" s="32"/>
      <c r="BJ577" s="32"/>
    </row>
    <row r="578" spans="17:62" x14ac:dyDescent="0.25">
      <c r="Q578" s="32"/>
      <c r="T578" s="199"/>
      <c r="U578" s="200"/>
      <c r="V578" s="200"/>
      <c r="W578" s="200"/>
      <c r="X578" s="199"/>
      <c r="Y578" s="200"/>
      <c r="Z578" s="200"/>
      <c r="AA578" s="199"/>
      <c r="AB578" s="200"/>
      <c r="AC578" s="199"/>
      <c r="AD578" s="200"/>
      <c r="AE578" s="200"/>
      <c r="AG578" s="37"/>
      <c r="AH578" s="312"/>
      <c r="AI578" s="935"/>
      <c r="AJ578" s="935"/>
      <c r="AK578" s="935"/>
      <c r="AL578" s="935"/>
      <c r="AM578" s="935"/>
      <c r="AN578" s="935"/>
      <c r="AO578" s="312"/>
      <c r="AP578" s="32"/>
      <c r="AQ578" s="32"/>
      <c r="AR578" s="32"/>
      <c r="AS578" s="32"/>
      <c r="AT578" s="32"/>
      <c r="AU578" s="32"/>
      <c r="AV578" s="32"/>
      <c r="AW578" s="32"/>
      <c r="AX578" s="32"/>
      <c r="AY578" s="32"/>
      <c r="BB578" s="32"/>
      <c r="BE578" s="32"/>
      <c r="BJ578" s="32"/>
    </row>
    <row r="579" spans="17:62" x14ac:dyDescent="0.25">
      <c r="Q579" s="32"/>
      <c r="T579" s="199"/>
      <c r="U579" s="200"/>
      <c r="V579" s="200"/>
      <c r="W579" s="200"/>
      <c r="X579" s="199"/>
      <c r="Y579" s="200"/>
      <c r="Z579" s="200"/>
      <c r="AA579" s="199"/>
      <c r="AB579" s="200"/>
      <c r="AC579" s="199"/>
      <c r="AD579" s="200"/>
      <c r="AE579" s="200"/>
      <c r="AG579" s="37"/>
      <c r="AH579" s="312"/>
      <c r="AI579" s="935"/>
      <c r="AJ579" s="935"/>
      <c r="AK579" s="935"/>
      <c r="AL579" s="935"/>
      <c r="AM579" s="935"/>
      <c r="AN579" s="935"/>
      <c r="AO579" s="312"/>
      <c r="AP579" s="32"/>
      <c r="AQ579" s="32"/>
      <c r="AR579" s="32"/>
      <c r="AS579" s="32"/>
      <c r="AT579" s="32"/>
      <c r="AU579" s="32"/>
      <c r="AV579" s="32"/>
      <c r="AW579" s="32"/>
      <c r="AX579" s="32"/>
      <c r="AY579" s="32"/>
      <c r="BB579" s="32"/>
      <c r="BE579" s="32"/>
      <c r="BJ579" s="32"/>
    </row>
    <row r="580" spans="17:62" x14ac:dyDescent="0.25">
      <c r="Q580" s="32"/>
      <c r="T580" s="199"/>
      <c r="U580" s="200"/>
      <c r="V580" s="200"/>
      <c r="W580" s="200"/>
      <c r="X580" s="199"/>
      <c r="Y580" s="200"/>
      <c r="Z580" s="200"/>
      <c r="AA580" s="199"/>
      <c r="AB580" s="200"/>
      <c r="AC580" s="199"/>
      <c r="AD580" s="200"/>
      <c r="AE580" s="200"/>
      <c r="AG580" s="37"/>
      <c r="AH580" s="312"/>
      <c r="AI580" s="935"/>
      <c r="AJ580" s="935"/>
      <c r="AK580" s="935"/>
      <c r="AL580" s="935"/>
      <c r="AM580" s="935"/>
      <c r="AN580" s="935"/>
      <c r="AO580" s="312"/>
      <c r="AP580" s="32"/>
      <c r="AQ580" s="32"/>
      <c r="AR580" s="32"/>
      <c r="AS580" s="32"/>
      <c r="AT580" s="32"/>
      <c r="AU580" s="32"/>
      <c r="AV580" s="32"/>
      <c r="AW580" s="32"/>
      <c r="AX580" s="32"/>
      <c r="AY580" s="32"/>
      <c r="BB580" s="32"/>
      <c r="BE580" s="32"/>
      <c r="BJ580" s="32"/>
    </row>
    <row r="581" spans="17:62" x14ac:dyDescent="0.25">
      <c r="Q581" s="32"/>
      <c r="T581" s="199"/>
      <c r="U581" s="200"/>
      <c r="V581" s="200"/>
      <c r="W581" s="200"/>
      <c r="X581" s="199"/>
      <c r="Y581" s="200"/>
      <c r="Z581" s="200"/>
      <c r="AA581" s="199"/>
      <c r="AB581" s="200"/>
      <c r="AC581" s="199"/>
      <c r="AD581" s="200"/>
      <c r="AE581" s="200"/>
      <c r="AG581" s="37"/>
      <c r="AH581" s="312"/>
      <c r="AI581" s="935"/>
      <c r="AJ581" s="935"/>
      <c r="AK581" s="935"/>
      <c r="AL581" s="935"/>
      <c r="AM581" s="935"/>
      <c r="AN581" s="935"/>
      <c r="AO581" s="312"/>
      <c r="AP581" s="32"/>
      <c r="AQ581" s="32"/>
      <c r="AR581" s="32"/>
      <c r="AS581" s="32"/>
      <c r="AT581" s="32"/>
      <c r="AU581" s="32"/>
      <c r="AV581" s="32"/>
      <c r="AW581" s="32"/>
      <c r="AX581" s="32"/>
      <c r="AY581" s="32"/>
      <c r="BB581" s="32"/>
      <c r="BE581" s="32"/>
      <c r="BJ581" s="32"/>
    </row>
    <row r="582" spans="17:62" x14ac:dyDescent="0.25">
      <c r="Q582" s="32"/>
      <c r="T582" s="199"/>
      <c r="U582" s="200"/>
      <c r="V582" s="200"/>
      <c r="W582" s="200"/>
      <c r="X582" s="199"/>
      <c r="Y582" s="200"/>
      <c r="Z582" s="200"/>
      <c r="AA582" s="199"/>
      <c r="AB582" s="200"/>
      <c r="AC582" s="199"/>
      <c r="AD582" s="200"/>
      <c r="AE582" s="200"/>
      <c r="AG582" s="37"/>
      <c r="AH582" s="312"/>
      <c r="AI582" s="935"/>
      <c r="AJ582" s="935"/>
      <c r="AK582" s="935"/>
      <c r="AL582" s="935"/>
      <c r="AM582" s="935"/>
      <c r="AN582" s="935"/>
      <c r="AO582" s="312"/>
      <c r="AP582" s="32"/>
      <c r="AQ582" s="32"/>
      <c r="AR582" s="32"/>
      <c r="AS582" s="32"/>
      <c r="AT582" s="32"/>
      <c r="AU582" s="32"/>
      <c r="AV582" s="32"/>
      <c r="AW582" s="32"/>
      <c r="AX582" s="32"/>
      <c r="AY582" s="32"/>
      <c r="BB582" s="32"/>
      <c r="BE582" s="32"/>
      <c r="BJ582" s="32"/>
    </row>
    <row r="583" spans="17:62" x14ac:dyDescent="0.25">
      <c r="Q583" s="32"/>
      <c r="T583" s="199"/>
      <c r="U583" s="200"/>
      <c r="V583" s="200"/>
      <c r="W583" s="200"/>
      <c r="X583" s="199"/>
      <c r="Y583" s="200"/>
      <c r="Z583" s="200"/>
      <c r="AA583" s="199"/>
      <c r="AB583" s="200"/>
      <c r="AC583" s="199"/>
      <c r="AD583" s="200"/>
      <c r="AE583" s="200"/>
      <c r="AG583" s="37"/>
      <c r="AH583" s="312"/>
      <c r="AI583" s="935"/>
      <c r="AJ583" s="935"/>
      <c r="AK583" s="935"/>
      <c r="AL583" s="935"/>
      <c r="AM583" s="935"/>
      <c r="AN583" s="935"/>
      <c r="AO583" s="312"/>
      <c r="AP583" s="32"/>
      <c r="AQ583" s="32"/>
      <c r="AR583" s="32"/>
      <c r="AS583" s="32"/>
      <c r="AT583" s="32"/>
      <c r="AU583" s="32"/>
      <c r="AV583" s="32"/>
      <c r="AW583" s="32"/>
      <c r="AX583" s="32"/>
      <c r="AY583" s="32"/>
      <c r="BB583" s="32"/>
      <c r="BE583" s="32"/>
      <c r="BJ583" s="32"/>
    </row>
    <row r="584" spans="17:62" x14ac:dyDescent="0.25">
      <c r="Q584" s="32"/>
      <c r="T584" s="199"/>
      <c r="U584" s="200"/>
      <c r="V584" s="200"/>
      <c r="W584" s="200"/>
      <c r="X584" s="199"/>
      <c r="Y584" s="200"/>
      <c r="Z584" s="200"/>
      <c r="AA584" s="199"/>
      <c r="AB584" s="200"/>
      <c r="AC584" s="199"/>
      <c r="AD584" s="200"/>
      <c r="AE584" s="200"/>
      <c r="AG584" s="37"/>
      <c r="AH584" s="312"/>
      <c r="AI584" s="935"/>
      <c r="AJ584" s="935"/>
      <c r="AK584" s="935"/>
      <c r="AL584" s="935"/>
      <c r="AM584" s="935"/>
      <c r="AN584" s="935"/>
      <c r="AO584" s="312"/>
      <c r="AP584" s="32"/>
      <c r="AQ584" s="32"/>
      <c r="AR584" s="32"/>
      <c r="AS584" s="32"/>
      <c r="AT584" s="32"/>
      <c r="AU584" s="32"/>
      <c r="AV584" s="32"/>
      <c r="AW584" s="32"/>
      <c r="AX584" s="32"/>
      <c r="AY584" s="32"/>
      <c r="BB584" s="32"/>
      <c r="BE584" s="32"/>
      <c r="BJ584" s="32"/>
    </row>
    <row r="585" spans="17:62" x14ac:dyDescent="0.25">
      <c r="Q585" s="32"/>
      <c r="T585" s="199"/>
      <c r="U585" s="200"/>
      <c r="V585" s="200"/>
      <c r="W585" s="200"/>
      <c r="X585" s="199"/>
      <c r="Y585" s="200"/>
      <c r="Z585" s="200"/>
      <c r="AA585" s="199"/>
      <c r="AB585" s="200"/>
      <c r="AC585" s="199"/>
      <c r="AD585" s="200"/>
      <c r="AE585" s="200"/>
      <c r="AG585" s="37"/>
      <c r="AH585" s="312"/>
      <c r="AI585" s="935"/>
      <c r="AJ585" s="935"/>
      <c r="AK585" s="935"/>
      <c r="AL585" s="935"/>
      <c r="AM585" s="935"/>
      <c r="AN585" s="935"/>
      <c r="AO585" s="312"/>
      <c r="AP585" s="32"/>
      <c r="AQ585" s="32"/>
      <c r="AR585" s="32"/>
      <c r="AS585" s="32"/>
      <c r="AT585" s="32"/>
      <c r="AU585" s="32"/>
      <c r="AV585" s="32"/>
      <c r="AW585" s="32"/>
      <c r="AX585" s="32"/>
      <c r="AY585" s="32"/>
      <c r="BB585" s="32"/>
      <c r="BE585" s="32"/>
      <c r="BJ585" s="32"/>
    </row>
    <row r="586" spans="17:62" x14ac:dyDescent="0.25">
      <c r="Q586" s="32"/>
      <c r="T586" s="199"/>
      <c r="U586" s="200"/>
      <c r="V586" s="200"/>
      <c r="W586" s="200"/>
      <c r="X586" s="199"/>
      <c r="Y586" s="200"/>
      <c r="Z586" s="200"/>
      <c r="AA586" s="199"/>
      <c r="AB586" s="200"/>
      <c r="AC586" s="199"/>
      <c r="AD586" s="200"/>
      <c r="AE586" s="200"/>
      <c r="AG586" s="37"/>
      <c r="AH586" s="312"/>
      <c r="AI586" s="935"/>
      <c r="AJ586" s="935"/>
      <c r="AK586" s="935"/>
      <c r="AL586" s="935"/>
      <c r="AM586" s="935"/>
      <c r="AN586" s="935"/>
      <c r="AO586" s="312"/>
      <c r="AP586" s="32"/>
      <c r="AQ586" s="32"/>
      <c r="AR586" s="32"/>
      <c r="AS586" s="32"/>
      <c r="AT586" s="32"/>
      <c r="AU586" s="32"/>
      <c r="AV586" s="32"/>
      <c r="AW586" s="32"/>
      <c r="AX586" s="32"/>
      <c r="AY586" s="32"/>
      <c r="BB586" s="32"/>
      <c r="BE586" s="32"/>
      <c r="BJ586" s="32"/>
    </row>
    <row r="587" spans="17:62" x14ac:dyDescent="0.25">
      <c r="Q587" s="32"/>
      <c r="T587" s="199"/>
      <c r="U587" s="200"/>
      <c r="V587" s="200"/>
      <c r="W587" s="200"/>
      <c r="X587" s="199"/>
      <c r="Y587" s="200"/>
      <c r="Z587" s="200"/>
      <c r="AA587" s="199"/>
      <c r="AB587" s="200"/>
      <c r="AC587" s="199"/>
      <c r="AD587" s="200"/>
      <c r="AE587" s="200"/>
      <c r="AG587" s="37"/>
      <c r="AH587" s="312"/>
      <c r="AI587" s="935"/>
      <c r="AJ587" s="935"/>
      <c r="AK587" s="935"/>
      <c r="AL587" s="935"/>
      <c r="AM587" s="935"/>
      <c r="AN587" s="935"/>
      <c r="AO587" s="312"/>
      <c r="AP587" s="32"/>
      <c r="AQ587" s="32"/>
      <c r="AR587" s="32"/>
      <c r="AS587" s="32"/>
      <c r="AT587" s="32"/>
      <c r="AU587" s="32"/>
      <c r="AV587" s="32"/>
      <c r="AW587" s="32"/>
      <c r="AX587" s="32"/>
      <c r="AY587" s="32"/>
      <c r="BB587" s="32"/>
      <c r="BE587" s="32"/>
      <c r="BJ587" s="32"/>
    </row>
    <row r="588" spans="17:62" x14ac:dyDescent="0.25">
      <c r="Q588" s="32"/>
      <c r="T588" s="199"/>
      <c r="U588" s="200"/>
      <c r="V588" s="200"/>
      <c r="W588" s="200"/>
      <c r="X588" s="199"/>
      <c r="Y588" s="200"/>
      <c r="Z588" s="200"/>
      <c r="AA588" s="199"/>
      <c r="AB588" s="200"/>
      <c r="AC588" s="199"/>
      <c r="AD588" s="200"/>
      <c r="AE588" s="200"/>
      <c r="AG588" s="37"/>
      <c r="AH588" s="312"/>
      <c r="AI588" s="935"/>
      <c r="AJ588" s="935"/>
      <c r="AK588" s="935"/>
      <c r="AL588" s="935"/>
      <c r="AM588" s="935"/>
      <c r="AN588" s="935"/>
      <c r="AO588" s="312"/>
      <c r="AP588" s="32"/>
      <c r="AQ588" s="32"/>
      <c r="AR588" s="32"/>
      <c r="AS588" s="32"/>
      <c r="AT588" s="32"/>
      <c r="AU588" s="32"/>
      <c r="AV588" s="32"/>
      <c r="AW588" s="32"/>
      <c r="AX588" s="32"/>
      <c r="AY588" s="32"/>
      <c r="BB588" s="32"/>
      <c r="BE588" s="32"/>
      <c r="BJ588" s="32"/>
    </row>
    <row r="589" spans="17:62" x14ac:dyDescent="0.25">
      <c r="Q589" s="32"/>
      <c r="T589" s="199"/>
      <c r="U589" s="200"/>
      <c r="V589" s="200"/>
      <c r="W589" s="200"/>
      <c r="X589" s="199"/>
      <c r="Y589" s="200"/>
      <c r="Z589" s="200"/>
      <c r="AA589" s="199"/>
      <c r="AB589" s="200"/>
      <c r="AC589" s="199"/>
      <c r="AD589" s="200"/>
      <c r="AE589" s="200"/>
      <c r="AG589" s="37"/>
      <c r="AH589" s="312"/>
      <c r="AI589" s="935"/>
      <c r="AJ589" s="935"/>
      <c r="AK589" s="935"/>
      <c r="AL589" s="935"/>
      <c r="AM589" s="935"/>
      <c r="AN589" s="935"/>
      <c r="AO589" s="312"/>
      <c r="AP589" s="32"/>
      <c r="AQ589" s="32"/>
      <c r="AR589" s="32"/>
      <c r="AS589" s="32"/>
      <c r="AT589" s="32"/>
      <c r="AU589" s="32"/>
      <c r="AV589" s="32"/>
      <c r="AW589" s="32"/>
      <c r="AX589" s="32"/>
      <c r="AY589" s="32"/>
      <c r="BB589" s="32"/>
      <c r="BE589" s="32"/>
      <c r="BJ589" s="32"/>
    </row>
    <row r="590" spans="17:62" x14ac:dyDescent="0.25">
      <c r="Q590" s="32"/>
      <c r="T590" s="199"/>
      <c r="U590" s="200"/>
      <c r="V590" s="200"/>
      <c r="W590" s="200"/>
      <c r="X590" s="199"/>
      <c r="Y590" s="200"/>
      <c r="Z590" s="200"/>
      <c r="AA590" s="199"/>
      <c r="AB590" s="200"/>
      <c r="AC590" s="199"/>
      <c r="AD590" s="200"/>
      <c r="AE590" s="200"/>
      <c r="AG590" s="37"/>
      <c r="AH590" s="312"/>
      <c r="AI590" s="935"/>
      <c r="AJ590" s="935"/>
      <c r="AK590" s="935"/>
      <c r="AL590" s="935"/>
      <c r="AM590" s="935"/>
      <c r="AN590" s="935"/>
      <c r="AO590" s="312"/>
      <c r="AP590" s="32"/>
      <c r="AQ590" s="32"/>
      <c r="AR590" s="32"/>
      <c r="AS590" s="32"/>
      <c r="AT590" s="32"/>
      <c r="AU590" s="32"/>
      <c r="AV590" s="32"/>
      <c r="AW590" s="32"/>
      <c r="AX590" s="32"/>
      <c r="AY590" s="32"/>
      <c r="BB590" s="32"/>
      <c r="BE590" s="32"/>
      <c r="BJ590" s="32"/>
    </row>
    <row r="591" spans="17:62" x14ac:dyDescent="0.25">
      <c r="Q591" s="32"/>
      <c r="T591" s="199"/>
      <c r="U591" s="200"/>
      <c r="V591" s="200"/>
      <c r="W591" s="200"/>
      <c r="X591" s="199"/>
      <c r="Y591" s="200"/>
      <c r="Z591" s="200"/>
      <c r="AA591" s="199"/>
      <c r="AB591" s="200"/>
      <c r="AC591" s="199"/>
      <c r="AD591" s="200"/>
      <c r="AE591" s="200"/>
      <c r="AG591" s="37"/>
      <c r="AH591" s="312"/>
      <c r="AI591" s="935"/>
      <c r="AJ591" s="935"/>
      <c r="AK591" s="935"/>
      <c r="AL591" s="935"/>
      <c r="AM591" s="935"/>
      <c r="AN591" s="935"/>
      <c r="AO591" s="312"/>
      <c r="AP591" s="32"/>
      <c r="AQ591" s="32"/>
      <c r="AR591" s="32"/>
      <c r="AS591" s="32"/>
      <c r="AT591" s="32"/>
      <c r="AU591" s="32"/>
      <c r="AV591" s="32"/>
      <c r="AW591" s="32"/>
      <c r="AX591" s="32"/>
      <c r="AY591" s="32"/>
      <c r="BB591" s="32"/>
      <c r="BE591" s="32"/>
      <c r="BJ591" s="32"/>
    </row>
    <row r="592" spans="17:62" x14ac:dyDescent="0.25">
      <c r="Q592" s="32"/>
      <c r="T592" s="199"/>
      <c r="U592" s="200"/>
      <c r="V592" s="200"/>
      <c r="W592" s="200"/>
      <c r="X592" s="199"/>
      <c r="Y592" s="200"/>
      <c r="Z592" s="200"/>
      <c r="AA592" s="199"/>
      <c r="AB592" s="200"/>
      <c r="AC592" s="199"/>
      <c r="AD592" s="200"/>
      <c r="AE592" s="200"/>
      <c r="AG592" s="37"/>
      <c r="AH592" s="312"/>
      <c r="AI592" s="935"/>
      <c r="AJ592" s="935"/>
      <c r="AK592" s="935"/>
      <c r="AL592" s="935"/>
      <c r="AM592" s="935"/>
      <c r="AN592" s="935"/>
      <c r="AO592" s="312"/>
      <c r="AP592" s="32"/>
      <c r="AQ592" s="32"/>
      <c r="AR592" s="32"/>
      <c r="AS592" s="32"/>
      <c r="AT592" s="32"/>
      <c r="AU592" s="32"/>
      <c r="AV592" s="32"/>
      <c r="AW592" s="32"/>
      <c r="AX592" s="32"/>
      <c r="AY592" s="32"/>
      <c r="BB592" s="32"/>
      <c r="BE592" s="32"/>
      <c r="BJ592" s="32"/>
    </row>
    <row r="593" spans="17:62" x14ac:dyDescent="0.25">
      <c r="Q593" s="32"/>
      <c r="T593" s="199"/>
      <c r="U593" s="200"/>
      <c r="V593" s="200"/>
      <c r="W593" s="200"/>
      <c r="X593" s="199"/>
      <c r="Y593" s="200"/>
      <c r="Z593" s="200"/>
      <c r="AA593" s="199"/>
      <c r="AB593" s="200"/>
      <c r="AC593" s="199"/>
      <c r="AD593" s="200"/>
      <c r="AE593" s="200"/>
      <c r="AG593" s="37"/>
      <c r="AH593" s="312"/>
      <c r="AI593" s="935"/>
      <c r="AJ593" s="935"/>
      <c r="AK593" s="935"/>
      <c r="AL593" s="935"/>
      <c r="AM593" s="935"/>
      <c r="AN593" s="935"/>
      <c r="AO593" s="312"/>
      <c r="AP593" s="32"/>
      <c r="AQ593" s="32"/>
      <c r="AR593" s="32"/>
      <c r="AS593" s="32"/>
      <c r="AT593" s="32"/>
      <c r="AU593" s="32"/>
      <c r="AV593" s="32"/>
      <c r="AW593" s="32"/>
      <c r="AX593" s="32"/>
      <c r="AY593" s="32"/>
      <c r="BB593" s="32"/>
      <c r="BE593" s="32"/>
      <c r="BJ593" s="32"/>
    </row>
    <row r="594" spans="17:62" x14ac:dyDescent="0.25">
      <c r="Q594" s="32"/>
      <c r="T594" s="199"/>
      <c r="U594" s="200"/>
      <c r="V594" s="200"/>
      <c r="W594" s="200"/>
      <c r="X594" s="199"/>
      <c r="Y594" s="200"/>
      <c r="Z594" s="200"/>
      <c r="AA594" s="199"/>
      <c r="AB594" s="200"/>
      <c r="AC594" s="199"/>
      <c r="AD594" s="200"/>
      <c r="AE594" s="200"/>
      <c r="AG594" s="37"/>
      <c r="AH594" s="312"/>
      <c r="AI594" s="935"/>
      <c r="AJ594" s="935"/>
      <c r="AK594" s="935"/>
      <c r="AL594" s="935"/>
      <c r="AM594" s="935"/>
      <c r="AN594" s="935"/>
      <c r="AO594" s="312"/>
      <c r="AP594" s="32"/>
      <c r="AQ594" s="32"/>
      <c r="AR594" s="32"/>
      <c r="AS594" s="32"/>
      <c r="AT594" s="32"/>
      <c r="AU594" s="32"/>
      <c r="AV594" s="32"/>
      <c r="AW594" s="32"/>
      <c r="AX594" s="32"/>
      <c r="AY594" s="32"/>
      <c r="BB594" s="32"/>
      <c r="BE594" s="32"/>
      <c r="BJ594" s="32"/>
    </row>
    <row r="595" spans="17:62" x14ac:dyDescent="0.25">
      <c r="Q595" s="32"/>
      <c r="T595" s="199"/>
      <c r="U595" s="200"/>
      <c r="V595" s="200"/>
      <c r="W595" s="200"/>
      <c r="X595" s="199"/>
      <c r="Y595" s="200"/>
      <c r="Z595" s="200"/>
      <c r="AA595" s="199"/>
      <c r="AB595" s="200"/>
      <c r="AC595" s="199"/>
      <c r="AD595" s="200"/>
      <c r="AE595" s="200"/>
      <c r="AG595" s="37"/>
      <c r="AH595" s="312"/>
      <c r="AI595" s="935"/>
      <c r="AJ595" s="935"/>
      <c r="AK595" s="935"/>
      <c r="AL595" s="935"/>
      <c r="AM595" s="935"/>
      <c r="AN595" s="935"/>
      <c r="AO595" s="312"/>
      <c r="AP595" s="32"/>
      <c r="AQ595" s="32"/>
      <c r="AR595" s="32"/>
      <c r="AS595" s="32"/>
      <c r="AT595" s="32"/>
      <c r="AU595" s="32"/>
      <c r="AV595" s="32"/>
      <c r="AW595" s="32"/>
      <c r="AX595" s="32"/>
      <c r="AY595" s="32"/>
      <c r="BB595" s="32"/>
      <c r="BE595" s="32"/>
      <c r="BJ595" s="32"/>
    </row>
    <row r="596" spans="17:62" x14ac:dyDescent="0.25">
      <c r="Q596" s="32"/>
      <c r="T596" s="199"/>
      <c r="U596" s="200"/>
      <c r="V596" s="200"/>
      <c r="W596" s="200"/>
      <c r="X596" s="199"/>
      <c r="Y596" s="200"/>
      <c r="Z596" s="200"/>
      <c r="AA596" s="199"/>
      <c r="AB596" s="200"/>
      <c r="AC596" s="199"/>
      <c r="AD596" s="200"/>
      <c r="AE596" s="200"/>
      <c r="AG596" s="37"/>
      <c r="AH596" s="312"/>
      <c r="AI596" s="935"/>
      <c r="AJ596" s="935"/>
      <c r="AK596" s="935"/>
      <c r="AL596" s="935"/>
      <c r="AM596" s="935"/>
      <c r="AN596" s="935"/>
      <c r="AO596" s="312"/>
      <c r="AP596" s="32"/>
      <c r="AQ596" s="32"/>
      <c r="AR596" s="32"/>
      <c r="AS596" s="32"/>
      <c r="AT596" s="32"/>
      <c r="AU596" s="32"/>
      <c r="AV596" s="32"/>
      <c r="AW596" s="32"/>
      <c r="AX596" s="32"/>
      <c r="AY596" s="32"/>
      <c r="BB596" s="32"/>
      <c r="BE596" s="32"/>
      <c r="BJ596" s="32"/>
    </row>
    <row r="597" spans="17:62" x14ac:dyDescent="0.25">
      <c r="Q597" s="32"/>
      <c r="T597" s="199"/>
      <c r="U597" s="200"/>
      <c r="V597" s="200"/>
      <c r="W597" s="200"/>
      <c r="X597" s="199"/>
      <c r="Y597" s="200"/>
      <c r="Z597" s="200"/>
      <c r="AA597" s="199"/>
      <c r="AB597" s="200"/>
      <c r="AC597" s="199"/>
      <c r="AD597" s="200"/>
      <c r="AE597" s="200"/>
      <c r="AG597" s="37"/>
      <c r="AH597" s="312"/>
      <c r="AI597" s="935"/>
      <c r="AJ597" s="935"/>
      <c r="AK597" s="935"/>
      <c r="AL597" s="935"/>
      <c r="AM597" s="935"/>
      <c r="AN597" s="935"/>
      <c r="AO597" s="312"/>
      <c r="AP597" s="32"/>
      <c r="AQ597" s="32"/>
      <c r="AR597" s="32"/>
      <c r="AS597" s="32"/>
      <c r="AT597" s="32"/>
      <c r="AU597" s="32"/>
      <c r="AV597" s="32"/>
      <c r="AW597" s="32"/>
      <c r="AX597" s="32"/>
      <c r="AY597" s="32"/>
      <c r="BB597" s="32"/>
      <c r="BE597" s="32"/>
      <c r="BJ597" s="32"/>
    </row>
    <row r="598" spans="17:62" x14ac:dyDescent="0.25">
      <c r="Q598" s="32"/>
      <c r="T598" s="199"/>
      <c r="U598" s="200"/>
      <c r="V598" s="200"/>
      <c r="W598" s="200"/>
      <c r="X598" s="199"/>
      <c r="Y598" s="200"/>
      <c r="Z598" s="200"/>
      <c r="AA598" s="199"/>
      <c r="AB598" s="200"/>
      <c r="AC598" s="199"/>
      <c r="AD598" s="200"/>
      <c r="AE598" s="200"/>
      <c r="AG598" s="37"/>
      <c r="AH598" s="312"/>
      <c r="AI598" s="935"/>
      <c r="AJ598" s="935"/>
      <c r="AK598" s="935"/>
      <c r="AL598" s="935"/>
      <c r="AM598" s="935"/>
      <c r="AN598" s="935"/>
      <c r="AO598" s="312"/>
      <c r="AP598" s="32"/>
      <c r="AQ598" s="32"/>
      <c r="AR598" s="32"/>
      <c r="AS598" s="32"/>
      <c r="AT598" s="32"/>
      <c r="AU598" s="32"/>
      <c r="AV598" s="32"/>
      <c r="AW598" s="32"/>
      <c r="AX598" s="32"/>
      <c r="AY598" s="32"/>
      <c r="BB598" s="32"/>
      <c r="BE598" s="32"/>
      <c r="BJ598" s="32"/>
    </row>
    <row r="599" spans="17:62" x14ac:dyDescent="0.25">
      <c r="Q599" s="32"/>
      <c r="T599" s="199"/>
      <c r="U599" s="200"/>
      <c r="V599" s="200"/>
      <c r="W599" s="200"/>
      <c r="X599" s="199"/>
      <c r="Y599" s="200"/>
      <c r="Z599" s="200"/>
      <c r="AA599" s="199"/>
      <c r="AB599" s="200"/>
      <c r="AC599" s="199"/>
      <c r="AD599" s="200"/>
      <c r="AE599" s="200"/>
      <c r="AG599" s="37"/>
      <c r="AH599" s="312"/>
      <c r="AI599" s="935"/>
      <c r="AJ599" s="935"/>
      <c r="AK599" s="935"/>
      <c r="AL599" s="935"/>
      <c r="AM599" s="935"/>
      <c r="AN599" s="935"/>
      <c r="AO599" s="312"/>
      <c r="AP599" s="32"/>
      <c r="AQ599" s="32"/>
      <c r="AR599" s="32"/>
      <c r="AS599" s="32"/>
      <c r="AT599" s="32"/>
      <c r="AU599" s="32"/>
      <c r="AV599" s="32"/>
      <c r="AW599" s="32"/>
      <c r="AX599" s="32"/>
      <c r="AY599" s="32"/>
      <c r="BB599" s="32"/>
      <c r="BE599" s="32"/>
      <c r="BJ599" s="32"/>
    </row>
    <row r="600" spans="17:62" x14ac:dyDescent="0.25">
      <c r="Q600" s="32"/>
      <c r="T600" s="199"/>
      <c r="U600" s="200"/>
      <c r="V600" s="200"/>
      <c r="W600" s="200"/>
      <c r="X600" s="199"/>
      <c r="Y600" s="200"/>
      <c r="Z600" s="200"/>
      <c r="AA600" s="199"/>
      <c r="AB600" s="200"/>
      <c r="AC600" s="199"/>
      <c r="AD600" s="200"/>
      <c r="AE600" s="200"/>
      <c r="AG600" s="37"/>
      <c r="AH600" s="312"/>
      <c r="AI600" s="935"/>
      <c r="AJ600" s="935"/>
      <c r="AK600" s="935"/>
      <c r="AL600" s="935"/>
      <c r="AM600" s="935"/>
      <c r="AN600" s="935"/>
      <c r="AO600" s="312"/>
      <c r="AP600" s="32"/>
      <c r="AQ600" s="32"/>
      <c r="AR600" s="32"/>
      <c r="AS600" s="32"/>
      <c r="AT600" s="32"/>
      <c r="AU600" s="32"/>
      <c r="AV600" s="32"/>
      <c r="AW600" s="32"/>
      <c r="AX600" s="32"/>
      <c r="AY600" s="32"/>
      <c r="BB600" s="32"/>
      <c r="BE600" s="32"/>
      <c r="BJ600" s="32"/>
    </row>
    <row r="601" spans="17:62" x14ac:dyDescent="0.25">
      <c r="Q601" s="32"/>
      <c r="T601" s="199"/>
      <c r="U601" s="200"/>
      <c r="V601" s="200"/>
      <c r="W601" s="200"/>
      <c r="X601" s="199"/>
      <c r="Y601" s="200"/>
      <c r="Z601" s="200"/>
      <c r="AA601" s="199"/>
      <c r="AB601" s="200"/>
      <c r="AC601" s="199"/>
      <c r="AD601" s="200"/>
      <c r="AE601" s="200"/>
      <c r="AG601" s="37"/>
      <c r="AH601" s="312"/>
      <c r="AI601" s="935"/>
      <c r="AJ601" s="935"/>
      <c r="AK601" s="935"/>
      <c r="AL601" s="935"/>
      <c r="AM601" s="935"/>
      <c r="AN601" s="935"/>
      <c r="AO601" s="312"/>
      <c r="AP601" s="32"/>
      <c r="AQ601" s="32"/>
      <c r="AR601" s="32"/>
      <c r="AS601" s="32"/>
      <c r="AT601" s="32"/>
      <c r="AU601" s="32"/>
      <c r="AV601" s="32"/>
      <c r="AW601" s="32"/>
      <c r="AX601" s="32"/>
      <c r="AY601" s="32"/>
      <c r="BB601" s="32"/>
      <c r="BE601" s="32"/>
      <c r="BJ601" s="32"/>
    </row>
    <row r="602" spans="17:62" x14ac:dyDescent="0.25">
      <c r="Q602" s="32"/>
      <c r="T602" s="199"/>
      <c r="U602" s="200"/>
      <c r="V602" s="200"/>
      <c r="W602" s="200"/>
      <c r="X602" s="199"/>
      <c r="Y602" s="200"/>
      <c r="Z602" s="200"/>
      <c r="AA602" s="199"/>
      <c r="AB602" s="200"/>
      <c r="AC602" s="199"/>
      <c r="AD602" s="200"/>
      <c r="AE602" s="200"/>
      <c r="AG602" s="37"/>
      <c r="AH602" s="312"/>
      <c r="AI602" s="935"/>
      <c r="AJ602" s="935"/>
      <c r="AK602" s="935"/>
      <c r="AL602" s="935"/>
      <c r="AM602" s="935"/>
      <c r="AN602" s="935"/>
      <c r="AO602" s="312"/>
      <c r="AP602" s="32"/>
      <c r="AQ602" s="32"/>
      <c r="AR602" s="32"/>
      <c r="AS602" s="32"/>
      <c r="AT602" s="32"/>
      <c r="AU602" s="32"/>
      <c r="AV602" s="32"/>
      <c r="AW602" s="32"/>
      <c r="AX602" s="32"/>
      <c r="AY602" s="32"/>
      <c r="BB602" s="32"/>
      <c r="BE602" s="32"/>
      <c r="BJ602" s="32"/>
    </row>
    <row r="603" spans="17:62" x14ac:dyDescent="0.25">
      <c r="Q603" s="32"/>
      <c r="T603" s="199"/>
      <c r="U603" s="200"/>
      <c r="V603" s="200"/>
      <c r="W603" s="200"/>
      <c r="X603" s="199"/>
      <c r="Y603" s="200"/>
      <c r="Z603" s="200"/>
      <c r="AA603" s="199"/>
      <c r="AB603" s="200"/>
      <c r="AC603" s="199"/>
      <c r="AD603" s="200"/>
      <c r="AE603" s="200"/>
      <c r="AG603" s="37"/>
      <c r="AH603" s="312"/>
      <c r="AI603" s="935"/>
      <c r="AJ603" s="935"/>
      <c r="AK603" s="935"/>
      <c r="AL603" s="935"/>
      <c r="AM603" s="935"/>
      <c r="AN603" s="935"/>
      <c r="AO603" s="312"/>
      <c r="AP603" s="32"/>
      <c r="AQ603" s="32"/>
      <c r="AR603" s="32"/>
      <c r="AS603" s="32"/>
      <c r="AT603" s="32"/>
      <c r="AU603" s="32"/>
      <c r="AV603" s="32"/>
      <c r="AW603" s="32"/>
      <c r="AX603" s="32"/>
      <c r="AY603" s="32"/>
      <c r="BB603" s="32"/>
      <c r="BE603" s="32"/>
      <c r="BJ603" s="32"/>
    </row>
    <row r="604" spans="17:62" x14ac:dyDescent="0.25">
      <c r="Q604" s="32"/>
      <c r="T604" s="199"/>
      <c r="U604" s="200"/>
      <c r="V604" s="200"/>
      <c r="W604" s="200"/>
      <c r="X604" s="199"/>
      <c r="Y604" s="200"/>
      <c r="Z604" s="200"/>
      <c r="AA604" s="199"/>
      <c r="AB604" s="200"/>
      <c r="AC604" s="199"/>
      <c r="AD604" s="200"/>
      <c r="AE604" s="200"/>
      <c r="AG604" s="37"/>
      <c r="AH604" s="312"/>
      <c r="AI604" s="935"/>
      <c r="AJ604" s="935"/>
      <c r="AK604" s="935"/>
      <c r="AL604" s="935"/>
      <c r="AM604" s="935"/>
      <c r="AN604" s="935"/>
      <c r="AO604" s="312"/>
      <c r="AP604" s="32"/>
      <c r="AQ604" s="32"/>
      <c r="AR604" s="32"/>
      <c r="AS604" s="32"/>
      <c r="AT604" s="32"/>
      <c r="AU604" s="32"/>
      <c r="AV604" s="32"/>
      <c r="AW604" s="32"/>
      <c r="AX604" s="32"/>
      <c r="AY604" s="32"/>
      <c r="BB604" s="32"/>
      <c r="BE604" s="32"/>
      <c r="BJ604" s="32"/>
    </row>
    <row r="605" spans="17:62" x14ac:dyDescent="0.25">
      <c r="Q605" s="32"/>
      <c r="T605" s="199"/>
      <c r="U605" s="200"/>
      <c r="V605" s="200"/>
      <c r="W605" s="200"/>
      <c r="X605" s="199"/>
      <c r="Y605" s="200"/>
      <c r="Z605" s="200"/>
      <c r="AA605" s="199"/>
      <c r="AB605" s="200"/>
      <c r="AC605" s="199"/>
      <c r="AD605" s="200"/>
      <c r="AE605" s="200"/>
      <c r="AG605" s="37"/>
      <c r="AH605" s="312"/>
      <c r="AI605" s="935"/>
      <c r="AJ605" s="935"/>
      <c r="AK605" s="935"/>
      <c r="AL605" s="935"/>
      <c r="AM605" s="935"/>
      <c r="AN605" s="935"/>
      <c r="AO605" s="312"/>
      <c r="AP605" s="32"/>
      <c r="AQ605" s="32"/>
      <c r="AR605" s="32"/>
      <c r="AS605" s="32"/>
      <c r="AT605" s="32"/>
      <c r="AU605" s="32"/>
      <c r="AV605" s="32"/>
      <c r="AW605" s="32"/>
      <c r="AX605" s="32"/>
      <c r="AY605" s="32"/>
      <c r="BB605" s="32"/>
      <c r="BE605" s="32"/>
      <c r="BJ605" s="32"/>
    </row>
    <row r="606" spans="17:62" x14ac:dyDescent="0.25">
      <c r="Q606" s="32"/>
      <c r="AG606" s="37"/>
      <c r="AH606" s="312"/>
      <c r="AI606" s="935"/>
      <c r="AJ606" s="935"/>
      <c r="AK606" s="935"/>
      <c r="AL606" s="935"/>
      <c r="AM606" s="935"/>
      <c r="AN606" s="935"/>
      <c r="AO606" s="312"/>
      <c r="AP606" s="32"/>
      <c r="AQ606" s="32"/>
      <c r="AR606" s="32"/>
      <c r="AS606" s="32"/>
      <c r="AT606" s="32"/>
      <c r="AU606" s="32"/>
      <c r="AV606" s="32"/>
      <c r="AW606" s="32"/>
      <c r="AX606" s="32"/>
      <c r="AY606" s="32"/>
      <c r="BB606" s="32"/>
      <c r="BE606" s="32"/>
      <c r="BJ606" s="32"/>
    </row>
    <row r="607" spans="17:62" x14ac:dyDescent="0.25">
      <c r="Q607" s="32"/>
      <c r="AG607" s="37"/>
      <c r="AH607" s="312"/>
      <c r="AI607" s="935"/>
      <c r="AJ607" s="935"/>
      <c r="AK607" s="935"/>
      <c r="AL607" s="935"/>
      <c r="AM607" s="935"/>
      <c r="AN607" s="935"/>
      <c r="AO607" s="312"/>
      <c r="AP607" s="32"/>
      <c r="AQ607" s="32"/>
      <c r="AR607" s="32"/>
      <c r="AS607" s="32"/>
      <c r="AT607" s="32"/>
      <c r="AU607" s="32"/>
      <c r="AV607" s="32"/>
      <c r="AW607" s="32"/>
      <c r="AX607" s="32"/>
      <c r="AY607" s="32"/>
      <c r="BB607" s="32"/>
      <c r="BE607" s="32"/>
      <c r="BJ607" s="32"/>
    </row>
    <row r="608" spans="17:62" x14ac:dyDescent="0.25">
      <c r="Q608" s="32"/>
      <c r="AG608" s="37"/>
      <c r="AH608" s="312"/>
      <c r="AI608" s="935"/>
      <c r="AJ608" s="935"/>
      <c r="AK608" s="935"/>
      <c r="AL608" s="935"/>
      <c r="AM608" s="935"/>
      <c r="AN608" s="935"/>
      <c r="AO608" s="312"/>
      <c r="AP608" s="32"/>
      <c r="AQ608" s="32"/>
      <c r="AR608" s="32"/>
      <c r="AS608" s="32"/>
      <c r="AT608" s="32"/>
      <c r="AU608" s="32"/>
      <c r="AV608" s="32"/>
      <c r="AW608" s="32"/>
      <c r="AX608" s="32"/>
      <c r="AY608" s="32"/>
      <c r="BB608" s="32"/>
      <c r="BE608" s="32"/>
      <c r="BJ608" s="32"/>
    </row>
    <row r="609" spans="17:62" x14ac:dyDescent="0.25">
      <c r="Q609" s="32"/>
      <c r="AG609" s="37"/>
      <c r="AH609" s="312"/>
      <c r="AI609" s="935"/>
      <c r="AJ609" s="935"/>
      <c r="AK609" s="935"/>
      <c r="AL609" s="935"/>
      <c r="AM609" s="935"/>
      <c r="AN609" s="935"/>
      <c r="AO609" s="312"/>
      <c r="AP609" s="32"/>
      <c r="AQ609" s="32"/>
      <c r="AR609" s="32"/>
      <c r="AS609" s="32"/>
      <c r="AT609" s="32"/>
      <c r="AU609" s="32"/>
      <c r="AV609" s="32"/>
      <c r="AW609" s="32"/>
      <c r="AX609" s="32"/>
      <c r="AY609" s="32"/>
      <c r="BB609" s="32"/>
      <c r="BE609" s="32"/>
      <c r="BJ609" s="32"/>
    </row>
    <row r="610" spans="17:62" x14ac:dyDescent="0.25">
      <c r="Q610" s="32"/>
      <c r="AG610" s="37"/>
      <c r="AH610" s="312"/>
      <c r="AI610" s="935"/>
      <c r="AJ610" s="935"/>
      <c r="AK610" s="935"/>
      <c r="AL610" s="935"/>
      <c r="AM610" s="935"/>
      <c r="AN610" s="935"/>
      <c r="AO610" s="312"/>
      <c r="AP610" s="32"/>
      <c r="AQ610" s="32"/>
      <c r="AR610" s="32"/>
      <c r="AS610" s="32"/>
      <c r="AT610" s="32"/>
      <c r="AU610" s="32"/>
      <c r="AV610" s="32"/>
      <c r="AW610" s="32"/>
      <c r="AX610" s="32"/>
      <c r="AY610" s="32"/>
      <c r="BB610" s="32"/>
      <c r="BE610" s="32"/>
      <c r="BJ610" s="32"/>
    </row>
    <row r="611" spans="17:62" x14ac:dyDescent="0.25">
      <c r="Q611" s="32"/>
      <c r="AG611" s="37"/>
      <c r="AH611" s="312"/>
      <c r="AI611" s="935"/>
      <c r="AJ611" s="935"/>
      <c r="AK611" s="935"/>
      <c r="AL611" s="935"/>
      <c r="AM611" s="935"/>
      <c r="AN611" s="935"/>
      <c r="AO611" s="312"/>
      <c r="AP611" s="32"/>
      <c r="AQ611" s="32"/>
      <c r="AR611" s="32"/>
      <c r="AS611" s="32"/>
      <c r="AT611" s="32"/>
      <c r="AU611" s="32"/>
      <c r="AV611" s="32"/>
      <c r="AW611" s="32"/>
      <c r="AX611" s="32"/>
      <c r="AY611" s="32"/>
      <c r="BB611" s="32"/>
      <c r="BE611" s="32"/>
      <c r="BJ611" s="32"/>
    </row>
    <row r="612" spans="17:62" x14ac:dyDescent="0.25">
      <c r="Q612" s="32"/>
      <c r="AG612" s="37"/>
      <c r="AH612" s="312"/>
      <c r="AI612" s="935"/>
      <c r="AJ612" s="935"/>
      <c r="AK612" s="935"/>
      <c r="AL612" s="935"/>
      <c r="AM612" s="935"/>
      <c r="AN612" s="935"/>
      <c r="AO612" s="312"/>
      <c r="AP612" s="32"/>
      <c r="AQ612" s="32"/>
      <c r="AR612" s="32"/>
      <c r="AS612" s="32"/>
      <c r="AT612" s="32"/>
      <c r="AU612" s="32"/>
      <c r="AV612" s="32"/>
      <c r="AW612" s="32"/>
      <c r="AX612" s="32"/>
      <c r="AY612" s="32"/>
      <c r="BB612" s="32"/>
      <c r="BE612" s="32"/>
      <c r="BJ612" s="32"/>
    </row>
    <row r="613" spans="17:62" x14ac:dyDescent="0.25">
      <c r="Q613" s="32"/>
      <c r="AG613" s="37"/>
      <c r="AH613" s="312"/>
      <c r="AI613" s="935"/>
      <c r="AJ613" s="935"/>
      <c r="AK613" s="935"/>
      <c r="AL613" s="935"/>
      <c r="AM613" s="935"/>
      <c r="AN613" s="935"/>
      <c r="AO613" s="312"/>
      <c r="AP613" s="32"/>
      <c r="AQ613" s="32"/>
      <c r="AR613" s="32"/>
      <c r="AS613" s="32"/>
      <c r="AT613" s="32"/>
      <c r="AU613" s="32"/>
      <c r="AV613" s="32"/>
      <c r="AW613" s="32"/>
      <c r="AX613" s="32"/>
      <c r="AY613" s="32"/>
      <c r="BB613" s="32"/>
      <c r="BE613" s="32"/>
      <c r="BJ613" s="32"/>
    </row>
    <row r="614" spans="17:62" x14ac:dyDescent="0.25">
      <c r="Q614" s="32"/>
      <c r="AG614" s="37"/>
      <c r="AH614" s="312"/>
      <c r="AI614" s="935"/>
      <c r="AJ614" s="935"/>
      <c r="AK614" s="935"/>
      <c r="AL614" s="935"/>
      <c r="AM614" s="935"/>
      <c r="AN614" s="935"/>
      <c r="AO614" s="312"/>
      <c r="AP614" s="32"/>
      <c r="AQ614" s="32"/>
      <c r="AR614" s="32"/>
      <c r="AS614" s="32"/>
      <c r="AT614" s="32"/>
      <c r="AU614" s="32"/>
      <c r="AV614" s="32"/>
      <c r="AW614" s="32"/>
      <c r="AX614" s="32"/>
      <c r="AY614" s="32"/>
      <c r="BB614" s="32"/>
      <c r="BE614" s="32"/>
      <c r="BJ614" s="32"/>
    </row>
    <row r="615" spans="17:62" x14ac:dyDescent="0.25">
      <c r="Q615" s="32"/>
      <c r="AG615" s="37"/>
      <c r="AH615" s="312"/>
      <c r="AI615" s="935"/>
      <c r="AJ615" s="935"/>
      <c r="AK615" s="935"/>
      <c r="AL615" s="935"/>
      <c r="AM615" s="935"/>
      <c r="AN615" s="935"/>
      <c r="AO615" s="312"/>
      <c r="AP615" s="32"/>
      <c r="AQ615" s="32"/>
      <c r="AR615" s="32"/>
      <c r="AS615" s="32"/>
      <c r="AT615" s="32"/>
      <c r="AU615" s="32"/>
      <c r="AV615" s="32"/>
      <c r="AW615" s="32"/>
      <c r="AX615" s="32"/>
      <c r="AY615" s="32"/>
      <c r="BB615" s="32"/>
      <c r="BE615" s="32"/>
      <c r="BJ615" s="32"/>
    </row>
    <row r="616" spans="17:62" x14ac:dyDescent="0.25">
      <c r="Q616" s="32"/>
      <c r="AG616" s="37"/>
      <c r="AH616" s="312"/>
      <c r="AI616" s="935"/>
      <c r="AJ616" s="935"/>
      <c r="AK616" s="935"/>
      <c r="AL616" s="935"/>
      <c r="AM616" s="935"/>
      <c r="AN616" s="935"/>
      <c r="AO616" s="312"/>
      <c r="AP616" s="32"/>
      <c r="AQ616" s="32"/>
      <c r="AR616" s="32"/>
      <c r="AS616" s="32"/>
      <c r="AT616" s="32"/>
      <c r="AU616" s="32"/>
      <c r="AV616" s="32"/>
      <c r="AW616" s="32"/>
      <c r="AX616" s="32"/>
      <c r="AY616" s="32"/>
      <c r="BB616" s="32"/>
      <c r="BE616" s="32"/>
      <c r="BJ616" s="32"/>
    </row>
    <row r="617" spans="17:62" x14ac:dyDescent="0.25">
      <c r="Q617" s="32"/>
      <c r="AG617" s="37"/>
      <c r="AH617" s="312"/>
      <c r="AI617" s="935"/>
      <c r="AJ617" s="935"/>
      <c r="AK617" s="935"/>
      <c r="AL617" s="935"/>
      <c r="AM617" s="935"/>
      <c r="AN617" s="935"/>
      <c r="AO617" s="312"/>
      <c r="AP617" s="32"/>
      <c r="AQ617" s="32"/>
      <c r="AR617" s="32"/>
      <c r="AS617" s="32"/>
      <c r="AT617" s="32"/>
      <c r="AU617" s="32"/>
      <c r="AV617" s="32"/>
      <c r="AW617" s="32"/>
      <c r="AX617" s="32"/>
      <c r="AY617" s="32"/>
      <c r="BB617" s="32"/>
      <c r="BE617" s="32"/>
      <c r="BJ617" s="32"/>
    </row>
    <row r="618" spans="17:62" x14ac:dyDescent="0.25">
      <c r="Q618" s="32"/>
      <c r="AG618" s="37"/>
      <c r="AH618" s="312"/>
      <c r="AI618" s="935"/>
      <c r="AJ618" s="935"/>
      <c r="AK618" s="935"/>
      <c r="AL618" s="935"/>
      <c r="AM618" s="935"/>
      <c r="AN618" s="935"/>
      <c r="AO618" s="312"/>
      <c r="AP618" s="32"/>
      <c r="AQ618" s="32"/>
      <c r="AR618" s="32"/>
      <c r="AS618" s="32"/>
      <c r="AT618" s="32"/>
      <c r="AU618" s="32"/>
      <c r="AV618" s="32"/>
      <c r="AW618" s="32"/>
      <c r="AX618" s="32"/>
      <c r="AY618" s="32"/>
      <c r="BB618" s="32"/>
      <c r="BE618" s="32"/>
      <c r="BJ618" s="32"/>
    </row>
    <row r="619" spans="17:62" x14ac:dyDescent="0.25">
      <c r="Q619" s="32"/>
      <c r="AG619" s="37"/>
      <c r="AH619" s="312"/>
      <c r="AI619" s="935"/>
      <c r="AJ619" s="935"/>
      <c r="AK619" s="935"/>
      <c r="AL619" s="935"/>
      <c r="AM619" s="935"/>
      <c r="AN619" s="935"/>
      <c r="AO619" s="312"/>
      <c r="AP619" s="32"/>
      <c r="AQ619" s="32"/>
      <c r="AR619" s="32"/>
      <c r="AS619" s="32"/>
      <c r="AT619" s="32"/>
      <c r="AU619" s="32"/>
      <c r="AV619" s="32"/>
      <c r="AW619" s="32"/>
      <c r="AX619" s="32"/>
      <c r="AY619" s="32"/>
      <c r="BB619" s="32"/>
      <c r="BE619" s="32"/>
      <c r="BJ619" s="32"/>
    </row>
    <row r="620" spans="17:62" x14ac:dyDescent="0.25">
      <c r="Q620" s="32"/>
      <c r="AG620" s="37"/>
      <c r="AH620" s="312"/>
      <c r="AI620" s="935"/>
      <c r="AJ620" s="935"/>
      <c r="AK620" s="935"/>
      <c r="AL620" s="935"/>
      <c r="AM620" s="935"/>
      <c r="AN620" s="935"/>
      <c r="AO620" s="312"/>
      <c r="AP620" s="32"/>
      <c r="AQ620" s="32"/>
      <c r="AR620" s="32"/>
      <c r="AS620" s="32"/>
      <c r="AT620" s="32"/>
      <c r="AU620" s="32"/>
      <c r="AV620" s="32"/>
      <c r="AW620" s="32"/>
      <c r="AX620" s="32"/>
      <c r="AY620" s="32"/>
      <c r="BB620" s="32"/>
      <c r="BE620" s="32"/>
      <c r="BJ620" s="32"/>
    </row>
    <row r="621" spans="17:62" x14ac:dyDescent="0.25">
      <c r="Q621" s="32"/>
      <c r="AG621" s="37"/>
      <c r="AH621" s="312"/>
      <c r="AI621" s="935"/>
      <c r="AJ621" s="935"/>
      <c r="AK621" s="935"/>
      <c r="AL621" s="935"/>
      <c r="AM621" s="935"/>
      <c r="AN621" s="935"/>
      <c r="AO621" s="312"/>
      <c r="AP621" s="32"/>
      <c r="AQ621" s="32"/>
      <c r="AR621" s="32"/>
      <c r="AS621" s="32"/>
      <c r="AT621" s="32"/>
      <c r="AU621" s="32"/>
      <c r="AV621" s="32"/>
      <c r="AW621" s="32"/>
      <c r="AX621" s="32"/>
      <c r="AY621" s="32"/>
      <c r="BB621" s="32"/>
      <c r="BE621" s="32"/>
      <c r="BJ621" s="32"/>
    </row>
    <row r="622" spans="17:62" x14ac:dyDescent="0.25">
      <c r="Q622" s="32"/>
      <c r="AG622" s="37"/>
      <c r="AH622" s="312"/>
      <c r="AI622" s="935"/>
      <c r="AJ622" s="935"/>
      <c r="AK622" s="935"/>
      <c r="AL622" s="935"/>
      <c r="AM622" s="935"/>
      <c r="AN622" s="935"/>
      <c r="AO622" s="312"/>
      <c r="AP622" s="32"/>
      <c r="AQ622" s="32"/>
      <c r="AR622" s="32"/>
      <c r="AS622" s="32"/>
      <c r="AT622" s="32"/>
      <c r="AU622" s="32"/>
      <c r="AV622" s="32"/>
      <c r="AW622" s="32"/>
      <c r="AX622" s="32"/>
      <c r="AY622" s="32"/>
      <c r="BB622" s="32"/>
      <c r="BE622" s="32"/>
      <c r="BJ622" s="32"/>
    </row>
    <row r="623" spans="17:62" x14ac:dyDescent="0.25">
      <c r="Q623" s="32"/>
      <c r="AG623" s="37"/>
      <c r="AH623" s="312"/>
      <c r="AI623" s="935"/>
      <c r="AJ623" s="935"/>
      <c r="AK623" s="935"/>
      <c r="AL623" s="935"/>
      <c r="AM623" s="935"/>
      <c r="AN623" s="935"/>
      <c r="AO623" s="312"/>
      <c r="AP623" s="32"/>
      <c r="AQ623" s="32"/>
      <c r="AR623" s="32"/>
      <c r="AS623" s="32"/>
      <c r="AT623" s="32"/>
      <c r="AU623" s="32"/>
      <c r="AV623" s="32"/>
      <c r="AW623" s="32"/>
      <c r="AX623" s="32"/>
      <c r="AY623" s="32"/>
      <c r="BB623" s="32"/>
      <c r="BE623" s="32"/>
      <c r="BJ623" s="32"/>
    </row>
    <row r="624" spans="17:62" x14ac:dyDescent="0.25">
      <c r="Q624" s="32"/>
      <c r="AG624" s="37"/>
      <c r="AH624" s="312"/>
      <c r="AI624" s="935"/>
      <c r="AJ624" s="935"/>
      <c r="AK624" s="935"/>
      <c r="AL624" s="935"/>
      <c r="AM624" s="935"/>
      <c r="AN624" s="935"/>
      <c r="AO624" s="312"/>
      <c r="AP624" s="32"/>
      <c r="AQ624" s="32"/>
      <c r="AR624" s="32"/>
      <c r="AS624" s="32"/>
      <c r="AT624" s="32"/>
      <c r="AU624" s="32"/>
      <c r="AV624" s="32"/>
      <c r="AW624" s="32"/>
      <c r="AX624" s="32"/>
      <c r="AY624" s="32"/>
      <c r="BB624" s="32"/>
      <c r="BE624" s="32"/>
      <c r="BJ624" s="32"/>
    </row>
    <row r="625" spans="17:62" x14ac:dyDescent="0.25">
      <c r="Q625" s="32"/>
      <c r="AG625" s="37"/>
      <c r="AH625" s="312"/>
      <c r="AI625" s="935"/>
      <c r="AJ625" s="935"/>
      <c r="AK625" s="935"/>
      <c r="AL625" s="935"/>
      <c r="AM625" s="935"/>
      <c r="AN625" s="935"/>
      <c r="AO625" s="312"/>
      <c r="AP625" s="32"/>
      <c r="AQ625" s="32"/>
      <c r="AR625" s="32"/>
      <c r="AS625" s="32"/>
      <c r="AT625" s="32"/>
      <c r="AU625" s="32"/>
      <c r="AV625" s="32"/>
      <c r="AW625" s="32"/>
      <c r="AX625" s="32"/>
      <c r="AY625" s="32"/>
      <c r="BB625" s="32"/>
      <c r="BE625" s="32"/>
      <c r="BJ625" s="32"/>
    </row>
    <row r="626" spans="17:62" x14ac:dyDescent="0.25">
      <c r="Q626" s="32"/>
      <c r="AG626" s="37"/>
      <c r="AH626" s="312"/>
      <c r="AI626" s="935"/>
      <c r="AJ626" s="935"/>
      <c r="AK626" s="935"/>
      <c r="AL626" s="935"/>
      <c r="AM626" s="935"/>
      <c r="AN626" s="935"/>
      <c r="AO626" s="312"/>
      <c r="AP626" s="32"/>
      <c r="AQ626" s="32"/>
      <c r="AR626" s="32"/>
      <c r="AS626" s="32"/>
      <c r="AT626" s="32"/>
      <c r="AU626" s="32"/>
      <c r="AV626" s="32"/>
      <c r="AW626" s="32"/>
      <c r="AX626" s="32"/>
      <c r="AY626" s="32"/>
      <c r="BB626" s="32"/>
      <c r="BE626" s="32"/>
      <c r="BJ626" s="32"/>
    </row>
    <row r="627" spans="17:62" x14ac:dyDescent="0.25">
      <c r="Q627" s="32"/>
      <c r="AG627" s="37"/>
      <c r="AH627" s="312"/>
      <c r="AI627" s="935"/>
      <c r="AJ627" s="935"/>
      <c r="AK627" s="935"/>
      <c r="AL627" s="935"/>
      <c r="AM627" s="935"/>
      <c r="AN627" s="935"/>
      <c r="AO627" s="312"/>
      <c r="AP627" s="32"/>
      <c r="AQ627" s="32"/>
      <c r="AR627" s="32"/>
      <c r="AS627" s="32"/>
      <c r="AT627" s="32"/>
      <c r="AU627" s="32"/>
      <c r="AV627" s="32"/>
      <c r="AW627" s="32"/>
      <c r="AX627" s="32"/>
      <c r="AY627" s="32"/>
      <c r="BB627" s="32"/>
      <c r="BE627" s="32"/>
      <c r="BJ627" s="32"/>
    </row>
    <row r="628" spans="17:62" x14ac:dyDescent="0.25">
      <c r="Q628" s="32"/>
      <c r="AG628" s="37"/>
      <c r="AH628" s="312"/>
      <c r="AI628" s="935"/>
      <c r="AJ628" s="935"/>
      <c r="AK628" s="935"/>
      <c r="AL628" s="935"/>
      <c r="AM628" s="935"/>
      <c r="AN628" s="935"/>
      <c r="AO628" s="312"/>
      <c r="AP628" s="32"/>
      <c r="AQ628" s="32"/>
      <c r="AR628" s="32"/>
      <c r="AS628" s="32"/>
      <c r="AT628" s="32"/>
      <c r="AU628" s="32"/>
      <c r="AV628" s="32"/>
      <c r="AW628" s="32"/>
      <c r="AX628" s="32"/>
      <c r="AY628" s="32"/>
      <c r="BB628" s="32"/>
      <c r="BE628" s="32"/>
      <c r="BJ628" s="32"/>
    </row>
    <row r="629" spans="17:62" x14ac:dyDescent="0.25">
      <c r="Q629" s="32"/>
      <c r="AG629" s="37"/>
      <c r="AH629" s="312"/>
      <c r="AI629" s="935"/>
      <c r="AJ629" s="935"/>
      <c r="AK629" s="935"/>
      <c r="AL629" s="935"/>
      <c r="AM629" s="935"/>
      <c r="AN629" s="935"/>
      <c r="AO629" s="312"/>
      <c r="AP629" s="32"/>
      <c r="AQ629" s="32"/>
      <c r="AR629" s="32"/>
      <c r="AS629" s="32"/>
      <c r="AT629" s="32"/>
      <c r="AU629" s="32"/>
      <c r="AV629" s="32"/>
      <c r="AW629" s="32"/>
      <c r="AX629" s="32"/>
      <c r="AY629" s="32"/>
      <c r="BB629" s="32"/>
      <c r="BE629" s="32"/>
      <c r="BJ629" s="32"/>
    </row>
    <row r="630" spans="17:62" x14ac:dyDescent="0.25">
      <c r="Q630" s="32"/>
      <c r="AG630" s="37"/>
      <c r="AH630" s="312"/>
      <c r="AI630" s="935"/>
      <c r="AJ630" s="935"/>
      <c r="AK630" s="935"/>
      <c r="AL630" s="935"/>
      <c r="AM630" s="935"/>
      <c r="AN630" s="935"/>
      <c r="AO630" s="312"/>
      <c r="AP630" s="32"/>
      <c r="AQ630" s="32"/>
      <c r="AR630" s="32"/>
      <c r="AS630" s="32"/>
      <c r="AT630" s="32"/>
      <c r="AU630" s="32"/>
      <c r="AV630" s="32"/>
      <c r="AW630" s="32"/>
      <c r="AX630" s="32"/>
      <c r="AY630" s="32"/>
      <c r="BB630" s="32"/>
      <c r="BE630" s="32"/>
      <c r="BJ630" s="32"/>
    </row>
    <row r="631" spans="17:62" x14ac:dyDescent="0.25">
      <c r="Q631" s="32"/>
      <c r="AG631" s="37"/>
      <c r="AH631" s="312"/>
      <c r="AI631" s="935"/>
      <c r="AJ631" s="935"/>
      <c r="AK631" s="935"/>
      <c r="AL631" s="935"/>
      <c r="AM631" s="935"/>
      <c r="AN631" s="935"/>
      <c r="AO631" s="312"/>
      <c r="AP631" s="32"/>
      <c r="AQ631" s="32"/>
      <c r="AR631" s="32"/>
      <c r="AS631" s="32"/>
      <c r="AT631" s="32"/>
      <c r="AU631" s="32"/>
      <c r="AV631" s="32"/>
      <c r="AW631" s="32"/>
      <c r="AX631" s="32"/>
      <c r="AY631" s="32"/>
      <c r="BB631" s="32"/>
      <c r="BE631" s="32"/>
      <c r="BJ631" s="32"/>
    </row>
    <row r="632" spans="17:62" x14ac:dyDescent="0.25">
      <c r="Q632" s="32"/>
      <c r="AG632" s="37"/>
      <c r="AH632" s="312"/>
      <c r="AI632" s="935"/>
      <c r="AJ632" s="935"/>
      <c r="AK632" s="935"/>
      <c r="AL632" s="935"/>
      <c r="AM632" s="935"/>
      <c r="AN632" s="935"/>
      <c r="AO632" s="312"/>
      <c r="AP632" s="32"/>
      <c r="AQ632" s="32"/>
      <c r="AR632" s="32"/>
      <c r="AS632" s="32"/>
      <c r="AT632" s="32"/>
      <c r="AU632" s="32"/>
      <c r="AV632" s="32"/>
      <c r="AW632" s="32"/>
      <c r="AX632" s="32"/>
      <c r="AY632" s="32"/>
      <c r="BB632" s="32"/>
      <c r="BE632" s="32"/>
      <c r="BJ632" s="32"/>
    </row>
    <row r="633" spans="17:62" x14ac:dyDescent="0.25">
      <c r="Q633" s="32"/>
      <c r="AG633" s="37"/>
      <c r="AH633" s="312"/>
      <c r="AI633" s="935"/>
      <c r="AJ633" s="935"/>
      <c r="AK633" s="935"/>
      <c r="AL633" s="935"/>
      <c r="AM633" s="935"/>
      <c r="AN633" s="935"/>
      <c r="AO633" s="312"/>
      <c r="AP633" s="32"/>
      <c r="AQ633" s="32"/>
      <c r="AR633" s="32"/>
      <c r="AS633" s="32"/>
      <c r="AT633" s="32"/>
      <c r="AU633" s="32"/>
      <c r="AV633" s="32"/>
      <c r="AW633" s="32"/>
      <c r="AX633" s="32"/>
      <c r="AY633" s="32"/>
      <c r="BB633" s="32"/>
      <c r="BE633" s="32"/>
      <c r="BJ633" s="32"/>
    </row>
    <row r="634" spans="17:62" x14ac:dyDescent="0.25">
      <c r="Q634" s="32"/>
      <c r="AG634" s="37"/>
      <c r="AH634" s="312"/>
      <c r="AI634" s="935"/>
      <c r="AJ634" s="935"/>
      <c r="AK634" s="935"/>
      <c r="AL634" s="935"/>
      <c r="AM634" s="935"/>
      <c r="AN634" s="935"/>
      <c r="AO634" s="312"/>
      <c r="AP634" s="32"/>
      <c r="AQ634" s="32"/>
      <c r="AR634" s="32"/>
      <c r="AS634" s="32"/>
      <c r="AT634" s="32"/>
      <c r="AU634" s="32"/>
      <c r="AV634" s="32"/>
      <c r="AW634" s="32"/>
      <c r="AX634" s="32"/>
      <c r="AY634" s="32"/>
      <c r="BB634" s="32"/>
      <c r="BE634" s="32"/>
      <c r="BJ634" s="32"/>
    </row>
    <row r="635" spans="17:62" x14ac:dyDescent="0.25">
      <c r="Q635" s="32"/>
      <c r="AG635" s="37"/>
      <c r="AH635" s="312"/>
      <c r="AI635" s="935"/>
      <c r="AJ635" s="935"/>
      <c r="AK635" s="935"/>
      <c r="AL635" s="935"/>
      <c r="AM635" s="935"/>
      <c r="AN635" s="935"/>
      <c r="AO635" s="312"/>
      <c r="AP635" s="32"/>
      <c r="AQ635" s="32"/>
      <c r="AR635" s="32"/>
      <c r="AS635" s="32"/>
      <c r="AT635" s="32"/>
      <c r="AU635" s="32"/>
      <c r="AV635" s="32"/>
      <c r="AW635" s="32"/>
      <c r="AX635" s="32"/>
      <c r="AY635" s="32"/>
      <c r="BB635" s="32"/>
      <c r="BE635" s="32"/>
      <c r="BJ635" s="32"/>
    </row>
    <row r="636" spans="17:62" x14ac:dyDescent="0.25">
      <c r="Q636" s="32"/>
      <c r="AG636" s="37"/>
      <c r="AH636" s="312"/>
      <c r="AI636" s="935"/>
      <c r="AJ636" s="935"/>
      <c r="AK636" s="935"/>
      <c r="AL636" s="935"/>
      <c r="AM636" s="935"/>
      <c r="AN636" s="935"/>
      <c r="AO636" s="312"/>
      <c r="AP636" s="32"/>
      <c r="AQ636" s="32"/>
      <c r="AR636" s="32"/>
      <c r="AS636" s="32"/>
      <c r="AT636" s="32"/>
      <c r="AU636" s="32"/>
      <c r="AV636" s="32"/>
      <c r="AW636" s="32"/>
      <c r="AX636" s="32"/>
      <c r="AY636" s="32"/>
      <c r="BB636" s="32"/>
      <c r="BE636" s="32"/>
      <c r="BJ636" s="32"/>
    </row>
    <row r="637" spans="17:62" x14ac:dyDescent="0.25">
      <c r="Q637" s="32"/>
      <c r="AG637" s="37"/>
      <c r="AH637" s="312"/>
      <c r="AI637" s="935"/>
      <c r="AJ637" s="935"/>
      <c r="AK637" s="935"/>
      <c r="AL637" s="935"/>
      <c r="AM637" s="935"/>
      <c r="AN637" s="935"/>
      <c r="AO637" s="312"/>
      <c r="AP637" s="32"/>
      <c r="AQ637" s="32"/>
      <c r="AR637" s="32"/>
      <c r="AS637" s="32"/>
      <c r="AT637" s="32"/>
      <c r="AU637" s="32"/>
      <c r="AV637" s="32"/>
      <c r="AW637" s="32"/>
      <c r="AX637" s="32"/>
      <c r="AY637" s="32"/>
      <c r="BB637" s="32"/>
      <c r="BE637" s="32"/>
      <c r="BJ637" s="32"/>
    </row>
    <row r="638" spans="17:62" x14ac:dyDescent="0.25">
      <c r="Q638" s="32"/>
      <c r="AG638" s="37"/>
      <c r="AH638" s="312"/>
      <c r="AI638" s="935"/>
      <c r="AJ638" s="935"/>
      <c r="AK638" s="935"/>
      <c r="AL638" s="935"/>
      <c r="AM638" s="935"/>
      <c r="AN638" s="935"/>
      <c r="AO638" s="312"/>
      <c r="AP638" s="32"/>
      <c r="AQ638" s="32"/>
      <c r="AR638" s="32"/>
      <c r="AS638" s="32"/>
      <c r="AT638" s="32"/>
      <c r="AU638" s="32"/>
      <c r="AV638" s="32"/>
      <c r="AW638" s="32"/>
      <c r="AX638" s="32"/>
      <c r="AY638" s="32"/>
      <c r="BB638" s="32"/>
      <c r="BE638" s="32"/>
      <c r="BJ638" s="32"/>
    </row>
    <row r="639" spans="17:62" x14ac:dyDescent="0.25">
      <c r="Q639" s="32"/>
      <c r="AG639" s="37"/>
      <c r="AH639" s="312"/>
      <c r="AI639" s="935"/>
      <c r="AJ639" s="935"/>
      <c r="AK639" s="935"/>
      <c r="AL639" s="935"/>
      <c r="AM639" s="935"/>
      <c r="AN639" s="935"/>
      <c r="AO639" s="312"/>
      <c r="AP639" s="32"/>
      <c r="AQ639" s="32"/>
      <c r="AR639" s="32"/>
      <c r="AS639" s="32"/>
      <c r="AT639" s="32"/>
      <c r="AU639" s="32"/>
      <c r="AV639" s="32"/>
      <c r="AW639" s="32"/>
      <c r="AX639" s="32"/>
      <c r="AY639" s="32"/>
      <c r="BB639" s="32"/>
      <c r="BE639" s="32"/>
      <c r="BJ639" s="32"/>
    </row>
    <row r="640" spans="17:62" x14ac:dyDescent="0.25">
      <c r="Q640" s="32"/>
      <c r="AG640" s="37"/>
      <c r="AH640" s="312"/>
      <c r="AI640" s="935"/>
      <c r="AJ640" s="935"/>
      <c r="AK640" s="935"/>
      <c r="AL640" s="935"/>
      <c r="AM640" s="935"/>
      <c r="AN640" s="935"/>
      <c r="AO640" s="312"/>
      <c r="AP640" s="32"/>
      <c r="AQ640" s="32"/>
      <c r="AR640" s="32"/>
      <c r="AS640" s="32"/>
      <c r="AT640" s="32"/>
      <c r="AU640" s="32"/>
      <c r="AV640" s="32"/>
      <c r="AW640" s="32"/>
      <c r="AX640" s="32"/>
      <c r="AY640" s="32"/>
      <c r="BB640" s="32"/>
      <c r="BE640" s="32"/>
      <c r="BJ640" s="32"/>
    </row>
    <row r="641" spans="17:62" x14ac:dyDescent="0.25">
      <c r="Q641" s="32"/>
      <c r="AG641" s="37"/>
      <c r="AH641" s="312"/>
      <c r="AI641" s="935"/>
      <c r="AJ641" s="935"/>
      <c r="AK641" s="935"/>
      <c r="AL641" s="935"/>
      <c r="AM641" s="935"/>
      <c r="AN641" s="935"/>
      <c r="AO641" s="312"/>
      <c r="AP641" s="32"/>
      <c r="AQ641" s="32"/>
      <c r="AR641" s="32"/>
      <c r="AS641" s="32"/>
      <c r="AT641" s="32"/>
      <c r="AU641" s="32"/>
      <c r="AV641" s="32"/>
      <c r="AW641" s="32"/>
      <c r="AX641" s="32"/>
      <c r="AY641" s="32"/>
      <c r="BB641" s="32"/>
      <c r="BE641" s="32"/>
      <c r="BJ641" s="32"/>
    </row>
    <row r="642" spans="17:62" x14ac:dyDescent="0.25">
      <c r="Q642" s="32"/>
      <c r="AG642" s="37"/>
      <c r="AH642" s="312"/>
      <c r="AI642" s="935"/>
      <c r="AJ642" s="935"/>
      <c r="AK642" s="935"/>
      <c r="AL642" s="935"/>
      <c r="AM642" s="935"/>
      <c r="AN642" s="935"/>
      <c r="AO642" s="312"/>
      <c r="AP642" s="32"/>
      <c r="AQ642" s="32"/>
      <c r="AR642" s="32"/>
      <c r="AS642" s="32"/>
      <c r="AT642" s="32"/>
      <c r="AU642" s="32"/>
      <c r="AV642" s="32"/>
      <c r="AW642" s="32"/>
      <c r="AX642" s="32"/>
      <c r="AY642" s="32"/>
      <c r="BB642" s="32"/>
      <c r="BE642" s="32"/>
      <c r="BJ642" s="32"/>
    </row>
    <row r="643" spans="17:62" x14ac:dyDescent="0.25">
      <c r="Q643" s="32"/>
      <c r="AG643" s="37"/>
      <c r="AH643" s="312"/>
      <c r="AI643" s="935"/>
      <c r="AJ643" s="935"/>
      <c r="AK643" s="935"/>
      <c r="AL643" s="935"/>
      <c r="AM643" s="935"/>
      <c r="AN643" s="935"/>
      <c r="AO643" s="312"/>
      <c r="AP643" s="32"/>
      <c r="AQ643" s="32"/>
      <c r="AR643" s="32"/>
      <c r="AS643" s="32"/>
      <c r="AT643" s="32"/>
      <c r="AU643" s="32"/>
      <c r="AV643" s="32"/>
      <c r="AW643" s="32"/>
      <c r="AX643" s="32"/>
      <c r="AY643" s="32"/>
      <c r="BB643" s="32"/>
      <c r="BE643" s="32"/>
      <c r="BJ643" s="32"/>
    </row>
    <row r="644" spans="17:62" x14ac:dyDescent="0.25">
      <c r="Q644" s="32"/>
      <c r="AG644" s="37"/>
      <c r="AH644" s="312"/>
      <c r="AI644" s="935"/>
      <c r="AJ644" s="935"/>
      <c r="AK644" s="935"/>
      <c r="AL644" s="935"/>
      <c r="AM644" s="935"/>
      <c r="AN644" s="935"/>
      <c r="AO644" s="312"/>
      <c r="AP644" s="32"/>
      <c r="AQ644" s="32"/>
      <c r="AR644" s="32"/>
      <c r="AS644" s="32"/>
      <c r="AT644" s="32"/>
      <c r="AU644" s="32"/>
      <c r="AV644" s="32"/>
      <c r="AW644" s="32"/>
      <c r="AX644" s="32"/>
      <c r="AY644" s="32"/>
      <c r="BB644" s="32"/>
      <c r="BE644" s="32"/>
      <c r="BJ644" s="32"/>
    </row>
    <row r="645" spans="17:62" x14ac:dyDescent="0.25">
      <c r="Q645" s="32"/>
      <c r="AG645" s="37"/>
      <c r="AH645" s="312"/>
      <c r="AI645" s="935"/>
      <c r="AJ645" s="935"/>
      <c r="AK645" s="935"/>
      <c r="AL645" s="935"/>
      <c r="AM645" s="935"/>
      <c r="AN645" s="935"/>
      <c r="AO645" s="312"/>
      <c r="AP645" s="32"/>
      <c r="AQ645" s="32"/>
      <c r="AR645" s="32"/>
      <c r="AS645" s="32"/>
      <c r="AT645" s="32"/>
      <c r="AU645" s="32"/>
      <c r="AV645" s="32"/>
      <c r="AW645" s="32"/>
      <c r="AX645" s="32"/>
      <c r="AY645" s="32"/>
      <c r="BB645" s="32"/>
      <c r="BE645" s="32"/>
      <c r="BJ645" s="32"/>
    </row>
    <row r="646" spans="17:62" x14ac:dyDescent="0.25">
      <c r="Q646" s="32"/>
      <c r="AG646" s="37"/>
      <c r="AH646" s="312"/>
      <c r="AI646" s="935"/>
      <c r="AJ646" s="935"/>
      <c r="AK646" s="935"/>
      <c r="AL646" s="935"/>
      <c r="AM646" s="935"/>
      <c r="AN646" s="935"/>
      <c r="AO646" s="312"/>
      <c r="AP646" s="32"/>
      <c r="AQ646" s="32"/>
      <c r="AR646" s="32"/>
      <c r="AS646" s="32"/>
      <c r="AT646" s="32"/>
      <c r="AU646" s="32"/>
      <c r="AV646" s="32"/>
      <c r="AW646" s="32"/>
      <c r="AX646" s="32"/>
      <c r="AY646" s="32"/>
      <c r="BB646" s="32"/>
      <c r="BE646" s="32"/>
      <c r="BJ646" s="32"/>
    </row>
    <row r="647" spans="17:62" x14ac:dyDescent="0.25">
      <c r="Q647" s="32"/>
      <c r="AG647" s="37"/>
      <c r="AH647" s="312"/>
      <c r="AI647" s="935"/>
      <c r="AJ647" s="935"/>
      <c r="AK647" s="935"/>
      <c r="AL647" s="935"/>
      <c r="AM647" s="935"/>
      <c r="AN647" s="935"/>
      <c r="AO647" s="312"/>
      <c r="AP647" s="32"/>
      <c r="AQ647" s="32"/>
      <c r="AR647" s="32"/>
      <c r="AS647" s="32"/>
      <c r="AT647" s="32"/>
      <c r="AU647" s="32"/>
      <c r="AV647" s="32"/>
      <c r="AW647" s="32"/>
      <c r="AX647" s="32"/>
      <c r="AY647" s="32"/>
      <c r="BB647" s="32"/>
      <c r="BE647" s="32"/>
      <c r="BJ647" s="32"/>
    </row>
    <row r="648" spans="17:62" x14ac:dyDescent="0.25">
      <c r="Q648" s="32"/>
      <c r="AG648" s="37"/>
      <c r="AH648" s="312"/>
      <c r="AI648" s="935"/>
      <c r="AJ648" s="935"/>
      <c r="AK648" s="935"/>
      <c r="AL648" s="935"/>
      <c r="AM648" s="935"/>
      <c r="AN648" s="935"/>
      <c r="AO648" s="312"/>
      <c r="AP648" s="32"/>
      <c r="AQ648" s="32"/>
      <c r="AR648" s="32"/>
      <c r="AS648" s="32"/>
      <c r="AT648" s="32"/>
      <c r="AU648" s="32"/>
      <c r="AV648" s="32"/>
      <c r="AW648" s="32"/>
      <c r="AX648" s="32"/>
      <c r="AY648" s="32"/>
      <c r="BB648" s="32"/>
      <c r="BE648" s="32"/>
      <c r="BJ648" s="32"/>
    </row>
    <row r="649" spans="17:62" x14ac:dyDescent="0.25">
      <c r="Q649" s="32"/>
      <c r="AG649" s="37"/>
      <c r="AH649" s="312"/>
      <c r="AI649" s="935"/>
      <c r="AJ649" s="935"/>
      <c r="AK649" s="935"/>
      <c r="AL649" s="935"/>
      <c r="AM649" s="935"/>
      <c r="AN649" s="935"/>
      <c r="AO649" s="312"/>
      <c r="AP649" s="32"/>
      <c r="AQ649" s="32"/>
      <c r="AR649" s="32"/>
      <c r="AS649" s="32"/>
      <c r="AT649" s="32"/>
      <c r="AU649" s="32"/>
      <c r="AV649" s="32"/>
      <c r="AW649" s="32"/>
      <c r="AX649" s="32"/>
      <c r="AY649" s="32"/>
      <c r="BB649" s="32"/>
      <c r="BE649" s="32"/>
      <c r="BJ649" s="32"/>
    </row>
    <row r="650" spans="17:62" x14ac:dyDescent="0.25">
      <c r="Q650" s="32"/>
      <c r="AG650" s="37"/>
      <c r="AH650" s="312"/>
      <c r="AI650" s="935"/>
      <c r="AJ650" s="935"/>
      <c r="AK650" s="935"/>
      <c r="AL650" s="935"/>
      <c r="AM650" s="935"/>
      <c r="AN650" s="935"/>
      <c r="AO650" s="312"/>
      <c r="AP650" s="32"/>
      <c r="AQ650" s="32"/>
      <c r="AR650" s="32"/>
      <c r="AS650" s="32"/>
      <c r="AT650" s="32"/>
      <c r="AU650" s="32"/>
      <c r="AV650" s="32"/>
      <c r="AW650" s="32"/>
      <c r="AX650" s="32"/>
      <c r="AY650" s="32"/>
      <c r="BB650" s="32"/>
      <c r="BE650" s="32"/>
      <c r="BJ650" s="32"/>
    </row>
    <row r="651" spans="17:62" x14ac:dyDescent="0.25">
      <c r="Q651" s="32"/>
      <c r="AG651" s="37"/>
      <c r="AH651" s="312"/>
      <c r="AI651" s="935"/>
      <c r="AJ651" s="935"/>
      <c r="AK651" s="935"/>
      <c r="AL651" s="935"/>
      <c r="AM651" s="935"/>
      <c r="AN651" s="935"/>
      <c r="AO651" s="312"/>
      <c r="AP651" s="32"/>
      <c r="AQ651" s="32"/>
      <c r="AR651" s="32"/>
      <c r="AS651" s="32"/>
      <c r="AT651" s="32"/>
      <c r="AU651" s="32"/>
      <c r="AV651" s="32"/>
      <c r="AW651" s="32"/>
      <c r="AX651" s="32"/>
      <c r="AY651" s="32"/>
      <c r="BB651" s="32"/>
      <c r="BE651" s="32"/>
      <c r="BJ651" s="32"/>
    </row>
    <row r="652" spans="17:62" x14ac:dyDescent="0.25">
      <c r="Q652" s="32"/>
      <c r="AG652" s="37"/>
      <c r="AH652" s="312"/>
      <c r="AI652" s="935"/>
      <c r="AJ652" s="935"/>
      <c r="AK652" s="935"/>
      <c r="AL652" s="935"/>
      <c r="AM652" s="935"/>
      <c r="AN652" s="935"/>
      <c r="AO652" s="312"/>
      <c r="AP652" s="32"/>
      <c r="AQ652" s="32"/>
      <c r="AR652" s="32"/>
      <c r="AS652" s="32"/>
      <c r="AT652" s="32"/>
      <c r="AU652" s="32"/>
      <c r="AV652" s="32"/>
      <c r="AW652" s="32"/>
      <c r="AX652" s="32"/>
      <c r="AY652" s="32"/>
      <c r="BB652" s="32"/>
      <c r="BE652" s="32"/>
      <c r="BJ652" s="32"/>
    </row>
    <row r="653" spans="17:62" x14ac:dyDescent="0.25">
      <c r="Q653" s="32"/>
      <c r="AG653" s="37"/>
      <c r="AH653" s="312"/>
      <c r="AI653" s="935"/>
      <c r="AJ653" s="935"/>
      <c r="AK653" s="935"/>
      <c r="AL653" s="935"/>
      <c r="AM653" s="935"/>
      <c r="AN653" s="935"/>
      <c r="AO653" s="312"/>
      <c r="AP653" s="32"/>
      <c r="AQ653" s="32"/>
      <c r="AR653" s="32"/>
      <c r="AS653" s="32"/>
      <c r="AT653" s="32"/>
      <c r="AU653" s="32"/>
      <c r="AV653" s="32"/>
      <c r="AW653" s="32"/>
      <c r="AX653" s="32"/>
      <c r="AY653" s="32"/>
      <c r="BB653" s="32"/>
      <c r="BE653" s="32"/>
      <c r="BJ653" s="32"/>
    </row>
    <row r="654" spans="17:62" x14ac:dyDescent="0.25">
      <c r="Q654" s="32"/>
      <c r="AG654" s="37"/>
      <c r="AH654" s="312"/>
      <c r="AI654" s="935"/>
      <c r="AJ654" s="935"/>
      <c r="AK654" s="935"/>
      <c r="AL654" s="935"/>
      <c r="AM654" s="935"/>
      <c r="AN654" s="935"/>
      <c r="AO654" s="312"/>
      <c r="AP654" s="32"/>
      <c r="AQ654" s="32"/>
      <c r="AR654" s="32"/>
      <c r="AS654" s="32"/>
      <c r="AT654" s="32"/>
      <c r="AU654" s="32"/>
      <c r="AV654" s="32"/>
      <c r="AW654" s="32"/>
      <c r="AX654" s="32"/>
      <c r="AY654" s="32"/>
      <c r="BB654" s="32"/>
      <c r="BE654" s="32"/>
      <c r="BJ654" s="32"/>
    </row>
    <row r="655" spans="17:62" x14ac:dyDescent="0.25">
      <c r="Q655" s="32"/>
      <c r="AG655" s="37"/>
      <c r="AH655" s="312"/>
      <c r="AI655" s="935"/>
      <c r="AJ655" s="935"/>
      <c r="AK655" s="935"/>
      <c r="AL655" s="935"/>
      <c r="AM655" s="935"/>
      <c r="AN655" s="935"/>
      <c r="AO655" s="312"/>
      <c r="AP655" s="32"/>
      <c r="AQ655" s="32"/>
      <c r="AR655" s="32"/>
      <c r="AS655" s="32"/>
      <c r="AT655" s="32"/>
      <c r="AU655" s="32"/>
      <c r="AV655" s="32"/>
      <c r="AW655" s="32"/>
      <c r="AX655" s="32"/>
      <c r="AY655" s="32"/>
      <c r="BB655" s="32"/>
      <c r="BE655" s="32"/>
      <c r="BJ655" s="32"/>
    </row>
    <row r="656" spans="17:62" x14ac:dyDescent="0.25">
      <c r="Q656" s="32"/>
      <c r="AG656" s="37"/>
      <c r="AH656" s="312"/>
      <c r="AI656" s="935"/>
      <c r="AJ656" s="935"/>
      <c r="AK656" s="935"/>
      <c r="AL656" s="935"/>
      <c r="AM656" s="935"/>
      <c r="AN656" s="935"/>
      <c r="AO656" s="312"/>
      <c r="AP656" s="32"/>
      <c r="AQ656" s="32"/>
      <c r="AR656" s="32"/>
      <c r="AS656" s="32"/>
      <c r="AT656" s="32"/>
      <c r="AU656" s="32"/>
      <c r="AV656" s="32"/>
      <c r="AW656" s="32"/>
      <c r="AX656" s="32"/>
      <c r="AY656" s="32"/>
      <c r="BB656" s="32"/>
      <c r="BE656" s="32"/>
      <c r="BJ656" s="32"/>
    </row>
    <row r="657" spans="17:62" x14ac:dyDescent="0.25">
      <c r="Q657" s="32"/>
      <c r="AG657" s="37"/>
      <c r="AH657" s="312"/>
      <c r="AI657" s="935"/>
      <c r="AJ657" s="935"/>
      <c r="AK657" s="935"/>
      <c r="AL657" s="935"/>
      <c r="AM657" s="935"/>
      <c r="AN657" s="935"/>
      <c r="AO657" s="312"/>
      <c r="AP657" s="32"/>
      <c r="AQ657" s="32"/>
      <c r="AR657" s="32"/>
      <c r="AS657" s="32"/>
      <c r="AT657" s="32"/>
      <c r="AU657" s="32"/>
      <c r="AV657" s="32"/>
      <c r="AW657" s="32"/>
      <c r="AX657" s="32"/>
      <c r="AY657" s="32"/>
      <c r="BB657" s="32"/>
      <c r="BE657" s="32"/>
      <c r="BJ657" s="32"/>
    </row>
    <row r="658" spans="17:62" x14ac:dyDescent="0.25">
      <c r="Q658" s="32"/>
      <c r="AG658" s="37"/>
      <c r="AH658" s="312"/>
      <c r="AI658" s="935"/>
      <c r="AJ658" s="935"/>
      <c r="AK658" s="935"/>
      <c r="AL658" s="935"/>
      <c r="AM658" s="935"/>
      <c r="AN658" s="935"/>
      <c r="AO658" s="312"/>
      <c r="AP658" s="32"/>
      <c r="AQ658" s="32"/>
      <c r="AR658" s="32"/>
      <c r="AS658" s="32"/>
      <c r="AT658" s="32"/>
      <c r="AU658" s="32"/>
      <c r="AV658" s="32"/>
      <c r="AW658" s="32"/>
      <c r="AX658" s="32"/>
      <c r="AY658" s="32"/>
      <c r="BB658" s="32"/>
      <c r="BE658" s="32"/>
      <c r="BJ658" s="32"/>
    </row>
    <row r="659" spans="17:62" x14ac:dyDescent="0.25">
      <c r="Q659" s="32"/>
      <c r="AG659" s="37"/>
      <c r="AH659" s="312"/>
      <c r="AI659" s="935"/>
      <c r="AJ659" s="935"/>
      <c r="AK659" s="935"/>
      <c r="AL659" s="935"/>
      <c r="AM659" s="935"/>
      <c r="AN659" s="935"/>
      <c r="AO659" s="312"/>
      <c r="AP659" s="32"/>
      <c r="AQ659" s="32"/>
      <c r="AR659" s="32"/>
      <c r="AS659" s="32"/>
      <c r="AT659" s="32"/>
      <c r="AU659" s="32"/>
      <c r="AV659" s="32"/>
      <c r="AW659" s="32"/>
      <c r="AX659" s="32"/>
      <c r="AY659" s="32"/>
      <c r="BB659" s="32"/>
      <c r="BE659" s="32"/>
      <c r="BJ659" s="32"/>
    </row>
    <row r="660" spans="17:62" x14ac:dyDescent="0.25">
      <c r="Q660" s="32"/>
      <c r="AG660" s="37"/>
      <c r="AH660" s="312"/>
      <c r="AI660" s="935"/>
      <c r="AJ660" s="935"/>
      <c r="AK660" s="935"/>
      <c r="AL660" s="935"/>
      <c r="AM660" s="935"/>
      <c r="AN660" s="935"/>
      <c r="AO660" s="312"/>
      <c r="AP660" s="32"/>
      <c r="AQ660" s="32"/>
      <c r="AR660" s="32"/>
      <c r="AS660" s="32"/>
      <c r="AT660" s="32"/>
      <c r="AU660" s="32"/>
      <c r="AV660" s="32"/>
      <c r="AW660" s="32"/>
      <c r="AX660" s="32"/>
      <c r="AY660" s="32"/>
      <c r="BB660" s="32"/>
      <c r="BE660" s="32"/>
      <c r="BJ660" s="32"/>
    </row>
    <row r="661" spans="17:62" x14ac:dyDescent="0.25">
      <c r="Q661" s="32"/>
      <c r="AG661" s="37"/>
      <c r="AH661" s="312"/>
      <c r="AI661" s="935"/>
      <c r="AJ661" s="935"/>
      <c r="AK661" s="935"/>
      <c r="AL661" s="935"/>
      <c r="AM661" s="935"/>
      <c r="AN661" s="935"/>
      <c r="AO661" s="312"/>
      <c r="AP661" s="32"/>
      <c r="AQ661" s="32"/>
      <c r="AR661" s="32"/>
      <c r="AS661" s="32"/>
      <c r="AT661" s="32"/>
      <c r="AU661" s="32"/>
      <c r="AV661" s="32"/>
      <c r="AW661" s="32"/>
      <c r="AX661" s="32"/>
      <c r="AY661" s="32"/>
      <c r="BB661" s="32"/>
      <c r="BE661" s="32"/>
      <c r="BJ661" s="32"/>
    </row>
    <row r="662" spans="17:62" x14ac:dyDescent="0.25">
      <c r="Q662" s="32"/>
      <c r="AG662" s="37"/>
      <c r="AH662" s="312"/>
      <c r="AI662" s="935"/>
      <c r="AJ662" s="935"/>
      <c r="AK662" s="935"/>
      <c r="AL662" s="935"/>
      <c r="AM662" s="935"/>
      <c r="AN662" s="935"/>
      <c r="AO662" s="312"/>
      <c r="AP662" s="32"/>
      <c r="AQ662" s="32"/>
      <c r="AR662" s="32"/>
      <c r="AS662" s="32"/>
      <c r="AT662" s="32"/>
      <c r="AU662" s="32"/>
      <c r="AV662" s="32"/>
      <c r="AW662" s="32"/>
      <c r="AX662" s="32"/>
      <c r="AY662" s="32"/>
      <c r="BB662" s="32"/>
      <c r="BE662" s="32"/>
      <c r="BJ662" s="32"/>
    </row>
    <row r="663" spans="17:62" x14ac:dyDescent="0.25">
      <c r="Q663" s="32"/>
      <c r="AG663" s="37"/>
      <c r="AH663" s="312"/>
      <c r="AI663" s="935"/>
      <c r="AJ663" s="935"/>
      <c r="AK663" s="935"/>
      <c r="AL663" s="935"/>
      <c r="AM663" s="935"/>
      <c r="AN663" s="935"/>
      <c r="AO663" s="312"/>
      <c r="AP663" s="32"/>
      <c r="AQ663" s="32"/>
      <c r="AR663" s="32"/>
      <c r="AS663" s="32"/>
      <c r="AT663" s="32"/>
      <c r="AU663" s="32"/>
      <c r="AV663" s="32"/>
      <c r="AW663" s="32"/>
      <c r="AX663" s="32"/>
      <c r="AY663" s="32"/>
      <c r="BB663" s="32"/>
      <c r="BE663" s="32"/>
      <c r="BJ663" s="32"/>
    </row>
    <row r="664" spans="17:62" x14ac:dyDescent="0.25">
      <c r="Q664" s="32"/>
      <c r="AG664" s="37"/>
      <c r="AH664" s="312"/>
      <c r="AI664" s="935"/>
      <c r="AJ664" s="935"/>
      <c r="AK664" s="935"/>
      <c r="AL664" s="935"/>
      <c r="AM664" s="935"/>
      <c r="AN664" s="935"/>
      <c r="AO664" s="312"/>
      <c r="AP664" s="32"/>
      <c r="AQ664" s="32"/>
      <c r="AR664" s="32"/>
      <c r="AS664" s="32"/>
      <c r="AT664" s="32"/>
      <c r="AU664" s="32"/>
      <c r="AV664" s="32"/>
      <c r="AW664" s="32"/>
      <c r="AX664" s="32"/>
      <c r="AY664" s="32"/>
      <c r="BB664" s="32"/>
      <c r="BE664" s="32"/>
      <c r="BJ664" s="32"/>
    </row>
    <row r="665" spans="17:62" x14ac:dyDescent="0.25">
      <c r="Q665" s="32"/>
      <c r="AG665" s="37"/>
      <c r="AH665" s="312"/>
      <c r="AI665" s="935"/>
      <c r="AJ665" s="935"/>
      <c r="AK665" s="935"/>
      <c r="AL665" s="935"/>
      <c r="AM665" s="935"/>
      <c r="AN665" s="935"/>
      <c r="AO665" s="312"/>
      <c r="AP665" s="32"/>
      <c r="AQ665" s="32"/>
      <c r="AR665" s="32"/>
      <c r="AS665" s="32"/>
      <c r="AT665" s="32"/>
      <c r="AU665" s="32"/>
      <c r="AV665" s="32"/>
      <c r="AW665" s="32"/>
      <c r="AX665" s="32"/>
      <c r="AY665" s="32"/>
      <c r="BB665" s="32"/>
      <c r="BE665" s="32"/>
      <c r="BJ665" s="32"/>
    </row>
    <row r="666" spans="17:62" x14ac:dyDescent="0.25">
      <c r="Q666" s="32"/>
      <c r="AG666" s="37"/>
      <c r="AH666" s="312"/>
      <c r="AI666" s="935"/>
      <c r="AJ666" s="935"/>
      <c r="AK666" s="935"/>
      <c r="AL666" s="935"/>
      <c r="AM666" s="935"/>
      <c r="AN666" s="935"/>
      <c r="AO666" s="312"/>
      <c r="AP666" s="32"/>
      <c r="AQ666" s="32"/>
      <c r="AR666" s="32"/>
      <c r="AS666" s="32"/>
      <c r="AT666" s="32"/>
      <c r="AU666" s="32"/>
      <c r="AV666" s="32"/>
      <c r="AW666" s="32"/>
      <c r="AX666" s="32"/>
      <c r="AY666" s="32"/>
      <c r="BB666" s="32"/>
      <c r="BE666" s="32"/>
      <c r="BJ666" s="32"/>
    </row>
    <row r="667" spans="17:62" x14ac:dyDescent="0.25">
      <c r="Q667" s="32"/>
      <c r="AG667" s="37"/>
      <c r="AH667" s="312"/>
      <c r="AI667" s="935"/>
      <c r="AJ667" s="935"/>
      <c r="AK667" s="935"/>
      <c r="AL667" s="935"/>
      <c r="AM667" s="935"/>
      <c r="AN667" s="935"/>
      <c r="AO667" s="312"/>
      <c r="AP667" s="32"/>
      <c r="AQ667" s="32"/>
      <c r="AR667" s="32"/>
      <c r="AS667" s="32"/>
      <c r="AT667" s="32"/>
      <c r="AU667" s="32"/>
      <c r="AV667" s="32"/>
      <c r="AW667" s="32"/>
      <c r="AX667" s="32"/>
      <c r="AY667" s="32"/>
      <c r="BB667" s="32"/>
      <c r="BE667" s="32"/>
      <c r="BJ667" s="32"/>
    </row>
    <row r="668" spans="17:62" x14ac:dyDescent="0.25">
      <c r="Q668" s="32"/>
      <c r="AG668" s="37"/>
      <c r="AH668" s="312"/>
      <c r="AI668" s="935"/>
      <c r="AJ668" s="935"/>
      <c r="AK668" s="935"/>
      <c r="AL668" s="935"/>
      <c r="AM668" s="935"/>
      <c r="AN668" s="935"/>
      <c r="AO668" s="312"/>
      <c r="AP668" s="32"/>
      <c r="AQ668" s="32"/>
      <c r="AR668" s="32"/>
      <c r="AS668" s="32"/>
      <c r="AT668" s="32"/>
      <c r="AU668" s="32"/>
      <c r="AV668" s="32"/>
      <c r="AW668" s="32"/>
      <c r="AX668" s="32"/>
      <c r="AY668" s="32"/>
      <c r="BB668" s="32"/>
      <c r="BE668" s="32"/>
      <c r="BJ668" s="32"/>
    </row>
    <row r="669" spans="17:62" x14ac:dyDescent="0.25">
      <c r="Q669" s="32"/>
      <c r="AG669" s="37"/>
      <c r="AH669" s="312"/>
      <c r="AI669" s="935"/>
      <c r="AJ669" s="935"/>
      <c r="AK669" s="935"/>
      <c r="AL669" s="935"/>
      <c r="AM669" s="935"/>
      <c r="AN669" s="935"/>
      <c r="AO669" s="312"/>
      <c r="AP669" s="32"/>
      <c r="AQ669" s="32"/>
      <c r="AR669" s="32"/>
      <c r="AS669" s="32"/>
      <c r="AT669" s="32"/>
      <c r="AU669" s="32"/>
      <c r="AV669" s="32"/>
      <c r="AW669" s="32"/>
      <c r="AX669" s="32"/>
      <c r="AY669" s="32"/>
      <c r="BB669" s="32"/>
      <c r="BE669" s="32"/>
      <c r="BJ669" s="32"/>
    </row>
    <row r="670" spans="17:62" x14ac:dyDescent="0.25">
      <c r="Q670" s="32"/>
      <c r="AG670" s="37"/>
      <c r="AH670" s="312"/>
      <c r="AI670" s="935"/>
      <c r="AJ670" s="935"/>
      <c r="AK670" s="935"/>
      <c r="AL670" s="935"/>
      <c r="AM670" s="935"/>
      <c r="AN670" s="935"/>
      <c r="AO670" s="312"/>
      <c r="AP670" s="32"/>
      <c r="AQ670" s="32"/>
      <c r="AR670" s="32"/>
      <c r="AS670" s="32"/>
      <c r="AT670" s="32"/>
      <c r="AU670" s="32"/>
      <c r="AV670" s="32"/>
      <c r="AW670" s="32"/>
      <c r="AX670" s="32"/>
      <c r="AY670" s="32"/>
      <c r="BB670" s="32"/>
      <c r="BE670" s="32"/>
      <c r="BJ670" s="32"/>
    </row>
    <row r="671" spans="17:62" x14ac:dyDescent="0.25">
      <c r="Q671" s="32"/>
      <c r="AG671" s="37"/>
      <c r="AH671" s="312"/>
      <c r="AI671" s="935"/>
      <c r="AJ671" s="935"/>
      <c r="AK671" s="935"/>
      <c r="AL671" s="935"/>
      <c r="AM671" s="935"/>
      <c r="AN671" s="935"/>
      <c r="AO671" s="312"/>
      <c r="AP671" s="32"/>
      <c r="AQ671" s="32"/>
      <c r="AR671" s="32"/>
      <c r="AS671" s="32"/>
      <c r="AT671" s="32"/>
      <c r="AU671" s="32"/>
      <c r="AV671" s="32"/>
      <c r="AW671" s="32"/>
      <c r="AX671" s="32"/>
      <c r="AY671" s="32"/>
      <c r="BB671" s="32"/>
      <c r="BE671" s="32"/>
      <c r="BJ671" s="32"/>
    </row>
    <row r="672" spans="17:62" x14ac:dyDescent="0.25">
      <c r="Q672" s="32"/>
      <c r="AG672" s="37"/>
      <c r="AH672" s="312"/>
      <c r="AI672" s="935"/>
      <c r="AJ672" s="935"/>
      <c r="AK672" s="935"/>
      <c r="AL672" s="935"/>
      <c r="AM672" s="935"/>
      <c r="AN672" s="935"/>
      <c r="AO672" s="312"/>
      <c r="AP672" s="32"/>
      <c r="AQ672" s="32"/>
      <c r="AR672" s="32"/>
      <c r="AS672" s="32"/>
      <c r="AT672" s="32"/>
      <c r="AU672" s="32"/>
      <c r="AV672" s="32"/>
      <c r="AW672" s="32"/>
      <c r="AX672" s="32"/>
      <c r="AY672" s="32"/>
      <c r="BB672" s="32"/>
      <c r="BE672" s="32"/>
      <c r="BJ672" s="32"/>
    </row>
    <row r="673" spans="17:62" x14ac:dyDescent="0.25">
      <c r="Q673" s="32"/>
      <c r="AG673" s="37"/>
      <c r="AH673" s="312"/>
      <c r="AI673" s="935"/>
      <c r="AJ673" s="935"/>
      <c r="AK673" s="935"/>
      <c r="AL673" s="935"/>
      <c r="AM673" s="935"/>
      <c r="AN673" s="935"/>
      <c r="AO673" s="312"/>
      <c r="AP673" s="32"/>
      <c r="AQ673" s="32"/>
      <c r="AR673" s="32"/>
      <c r="AS673" s="32"/>
      <c r="AT673" s="32"/>
      <c r="AU673" s="32"/>
      <c r="AV673" s="32"/>
      <c r="AW673" s="32"/>
      <c r="AX673" s="32"/>
      <c r="AY673" s="32"/>
      <c r="BB673" s="32"/>
      <c r="BE673" s="32"/>
      <c r="BJ673" s="32"/>
    </row>
    <row r="674" spans="17:62" x14ac:dyDescent="0.25">
      <c r="Q674" s="32"/>
      <c r="AG674" s="37"/>
      <c r="AH674" s="312"/>
      <c r="AI674" s="935"/>
      <c r="AJ674" s="935"/>
      <c r="AK674" s="935"/>
      <c r="AL674" s="935"/>
      <c r="AM674" s="935"/>
      <c r="AN674" s="935"/>
      <c r="AO674" s="312"/>
      <c r="AP674" s="32"/>
      <c r="AQ674" s="32"/>
      <c r="AR674" s="32"/>
      <c r="AS674" s="32"/>
      <c r="AT674" s="32"/>
      <c r="AU674" s="32"/>
      <c r="AV674" s="32"/>
      <c r="AW674" s="32"/>
      <c r="AX674" s="32"/>
      <c r="AY674" s="32"/>
      <c r="BB674" s="32"/>
      <c r="BE674" s="32"/>
      <c r="BJ674" s="32"/>
    </row>
    <row r="675" spans="17:62" x14ac:dyDescent="0.25">
      <c r="Q675" s="32"/>
      <c r="AG675" s="37"/>
      <c r="AH675" s="312"/>
      <c r="AI675" s="935"/>
      <c r="AJ675" s="935"/>
      <c r="AK675" s="935"/>
      <c r="AL675" s="935"/>
      <c r="AM675" s="935"/>
      <c r="AN675" s="935"/>
      <c r="AO675" s="312"/>
      <c r="AP675" s="32"/>
      <c r="AQ675" s="32"/>
      <c r="AR675" s="32"/>
      <c r="AS675" s="32"/>
      <c r="AT675" s="32"/>
      <c r="AU675" s="32"/>
      <c r="AV675" s="32"/>
      <c r="AW675" s="32"/>
      <c r="AX675" s="32"/>
      <c r="AY675" s="32"/>
      <c r="BB675" s="32"/>
      <c r="BE675" s="32"/>
      <c r="BJ675" s="32"/>
    </row>
    <row r="676" spans="17:62" x14ac:dyDescent="0.25">
      <c r="Q676" s="32"/>
      <c r="AG676" s="37"/>
      <c r="AH676" s="312"/>
      <c r="AI676" s="935"/>
      <c r="AJ676" s="935"/>
      <c r="AK676" s="935"/>
      <c r="AL676" s="935"/>
      <c r="AM676" s="935"/>
      <c r="AN676" s="935"/>
      <c r="AO676" s="312"/>
      <c r="AP676" s="32"/>
      <c r="AQ676" s="32"/>
      <c r="AR676" s="32"/>
      <c r="AS676" s="32"/>
      <c r="AT676" s="32"/>
      <c r="AU676" s="32"/>
      <c r="AV676" s="32"/>
      <c r="AW676" s="32"/>
      <c r="AX676" s="32"/>
      <c r="AY676" s="32"/>
      <c r="BB676" s="32"/>
      <c r="BE676" s="32"/>
      <c r="BJ676" s="32"/>
    </row>
    <row r="677" spans="17:62" x14ac:dyDescent="0.25">
      <c r="Q677" s="32"/>
      <c r="AG677" s="37"/>
      <c r="AH677" s="312"/>
      <c r="AI677" s="935"/>
      <c r="AJ677" s="935"/>
      <c r="AK677" s="935"/>
      <c r="AL677" s="935"/>
      <c r="AM677" s="935"/>
      <c r="AN677" s="935"/>
      <c r="AO677" s="312"/>
      <c r="AP677" s="32"/>
      <c r="AQ677" s="32"/>
      <c r="AR677" s="32"/>
      <c r="AS677" s="32"/>
      <c r="AT677" s="32"/>
      <c r="AU677" s="32"/>
      <c r="AV677" s="32"/>
      <c r="AW677" s="32"/>
      <c r="AX677" s="32"/>
      <c r="AY677" s="32"/>
      <c r="BB677" s="32"/>
      <c r="BE677" s="32"/>
      <c r="BJ677" s="32"/>
    </row>
    <row r="678" spans="17:62" x14ac:dyDescent="0.25">
      <c r="Q678" s="32"/>
      <c r="AG678" s="37"/>
      <c r="AH678" s="312"/>
      <c r="AI678" s="935"/>
      <c r="AJ678" s="935"/>
      <c r="AK678" s="935"/>
      <c r="AL678" s="935"/>
      <c r="AM678" s="935"/>
      <c r="AN678" s="935"/>
      <c r="AO678" s="312"/>
      <c r="AP678" s="32"/>
      <c r="AQ678" s="32"/>
      <c r="AR678" s="32"/>
      <c r="AS678" s="32"/>
      <c r="AT678" s="32"/>
      <c r="AU678" s="32"/>
      <c r="AV678" s="32"/>
      <c r="AW678" s="32"/>
      <c r="AX678" s="32"/>
      <c r="AY678" s="32"/>
      <c r="BB678" s="32"/>
      <c r="BE678" s="32"/>
      <c r="BJ678" s="32"/>
    </row>
    <row r="679" spans="17:62" x14ac:dyDescent="0.25">
      <c r="Q679" s="32"/>
      <c r="AG679" s="37"/>
      <c r="AH679" s="312"/>
      <c r="AI679" s="935"/>
      <c r="AJ679" s="935"/>
      <c r="AK679" s="935"/>
      <c r="AL679" s="935"/>
      <c r="AM679" s="935"/>
      <c r="AN679" s="935"/>
      <c r="AO679" s="312"/>
      <c r="AP679" s="32"/>
      <c r="AQ679" s="32"/>
      <c r="AR679" s="32"/>
      <c r="AS679" s="32"/>
      <c r="AT679" s="32"/>
      <c r="AU679" s="32"/>
      <c r="AV679" s="32"/>
      <c r="AW679" s="32"/>
      <c r="AX679" s="32"/>
      <c r="AY679" s="32"/>
      <c r="BB679" s="32"/>
      <c r="BE679" s="32"/>
      <c r="BJ679" s="32"/>
    </row>
    <row r="680" spans="17:62" x14ac:dyDescent="0.25">
      <c r="Q680" s="32"/>
      <c r="AG680" s="37"/>
      <c r="AH680" s="312"/>
      <c r="AI680" s="935"/>
      <c r="AJ680" s="935"/>
      <c r="AK680" s="935"/>
      <c r="AL680" s="935"/>
      <c r="AM680" s="935"/>
      <c r="AN680" s="935"/>
      <c r="AO680" s="312"/>
      <c r="AP680" s="32"/>
      <c r="AQ680" s="32"/>
      <c r="AR680" s="32"/>
      <c r="AS680" s="32"/>
      <c r="AT680" s="32"/>
      <c r="AU680" s="32"/>
      <c r="AV680" s="32"/>
      <c r="AW680" s="32"/>
      <c r="AX680" s="32"/>
      <c r="AY680" s="32"/>
      <c r="BB680" s="32"/>
      <c r="BE680" s="32"/>
      <c r="BJ680" s="32"/>
    </row>
    <row r="681" spans="17:62" x14ac:dyDescent="0.25">
      <c r="Q681" s="32"/>
      <c r="AG681" s="37"/>
      <c r="AH681" s="312"/>
      <c r="AI681" s="935"/>
      <c r="AJ681" s="935"/>
      <c r="AK681" s="935"/>
      <c r="AL681" s="935"/>
      <c r="AM681" s="935"/>
      <c r="AN681" s="935"/>
      <c r="AO681" s="312"/>
      <c r="AP681" s="32"/>
      <c r="AQ681" s="32"/>
      <c r="AR681" s="32"/>
      <c r="AS681" s="32"/>
      <c r="AT681" s="32"/>
      <c r="AU681" s="32"/>
      <c r="AV681" s="32"/>
      <c r="AW681" s="32"/>
      <c r="AX681" s="32"/>
      <c r="AY681" s="32"/>
      <c r="BB681" s="32"/>
      <c r="BE681" s="32"/>
      <c r="BJ681" s="32"/>
    </row>
    <row r="682" spans="17:62" x14ac:dyDescent="0.25">
      <c r="Q682" s="32"/>
      <c r="AG682" s="37"/>
      <c r="AH682" s="312"/>
      <c r="AI682" s="935"/>
      <c r="AJ682" s="935"/>
      <c r="AK682" s="935"/>
      <c r="AL682" s="935"/>
      <c r="AM682" s="935"/>
      <c r="AN682" s="935"/>
      <c r="AO682" s="312"/>
      <c r="AP682" s="32"/>
      <c r="AQ682" s="32"/>
      <c r="AR682" s="32"/>
      <c r="AS682" s="32"/>
      <c r="AT682" s="32"/>
      <c r="AU682" s="32"/>
      <c r="AV682" s="32"/>
      <c r="AW682" s="32"/>
      <c r="AX682" s="32"/>
      <c r="AY682" s="32"/>
      <c r="BB682" s="32"/>
      <c r="BE682" s="32"/>
      <c r="BJ682" s="32"/>
    </row>
    <row r="683" spans="17:62" x14ac:dyDescent="0.25">
      <c r="Q683" s="32"/>
      <c r="AG683" s="37"/>
      <c r="AH683" s="312"/>
      <c r="AI683" s="935"/>
      <c r="AJ683" s="935"/>
      <c r="AK683" s="935"/>
      <c r="AL683" s="935"/>
      <c r="AM683" s="935"/>
      <c r="AN683" s="935"/>
      <c r="AO683" s="312"/>
      <c r="AP683" s="32"/>
      <c r="AQ683" s="32"/>
      <c r="AR683" s="32"/>
      <c r="AS683" s="32"/>
      <c r="AT683" s="32"/>
      <c r="AU683" s="32"/>
      <c r="AV683" s="32"/>
      <c r="AW683" s="32"/>
      <c r="AX683" s="32"/>
      <c r="AY683" s="32"/>
      <c r="BB683" s="32"/>
      <c r="BE683" s="32"/>
      <c r="BJ683" s="32"/>
    </row>
    <row r="684" spans="17:62" x14ac:dyDescent="0.25">
      <c r="Q684" s="32"/>
      <c r="AG684" s="37"/>
      <c r="AH684" s="312"/>
      <c r="AI684" s="935"/>
      <c r="AJ684" s="935"/>
      <c r="AK684" s="935"/>
      <c r="AL684" s="935"/>
      <c r="AM684" s="935"/>
      <c r="AN684" s="935"/>
      <c r="AO684" s="312"/>
      <c r="AP684" s="32"/>
      <c r="AQ684" s="32"/>
      <c r="AR684" s="32"/>
      <c r="AS684" s="32"/>
      <c r="AT684" s="32"/>
      <c r="AU684" s="32"/>
      <c r="AV684" s="32"/>
      <c r="AW684" s="32"/>
      <c r="AX684" s="32"/>
      <c r="AY684" s="32"/>
      <c r="BB684" s="32"/>
      <c r="BE684" s="32"/>
      <c r="BJ684" s="32"/>
    </row>
    <row r="685" spans="17:62" x14ac:dyDescent="0.25">
      <c r="Q685" s="32"/>
      <c r="AG685" s="37"/>
      <c r="AH685" s="312"/>
      <c r="AI685" s="935"/>
      <c r="AJ685" s="935"/>
      <c r="AK685" s="935"/>
      <c r="AL685" s="935"/>
      <c r="AM685" s="935"/>
      <c r="AN685" s="935"/>
      <c r="AO685" s="312"/>
      <c r="AP685" s="32"/>
      <c r="AQ685" s="32"/>
      <c r="AR685" s="32"/>
      <c r="AS685" s="32"/>
      <c r="AT685" s="32"/>
      <c r="AU685" s="32"/>
      <c r="AV685" s="32"/>
      <c r="AW685" s="32"/>
      <c r="AX685" s="32"/>
      <c r="AY685" s="32"/>
      <c r="BB685" s="32"/>
      <c r="BE685" s="32"/>
      <c r="BJ685" s="32"/>
    </row>
    <row r="686" spans="17:62" x14ac:dyDescent="0.25">
      <c r="Q686" s="32"/>
      <c r="AG686" s="37"/>
      <c r="AH686" s="312"/>
      <c r="AI686" s="935"/>
      <c r="AJ686" s="935"/>
      <c r="AK686" s="935"/>
      <c r="AL686" s="935"/>
      <c r="AM686" s="935"/>
      <c r="AN686" s="935"/>
      <c r="AO686" s="312"/>
      <c r="AP686" s="32"/>
      <c r="AQ686" s="32"/>
      <c r="AR686" s="32"/>
      <c r="AS686" s="32"/>
      <c r="AT686" s="32"/>
      <c r="AU686" s="32"/>
      <c r="AV686" s="32"/>
      <c r="AW686" s="32"/>
      <c r="AX686" s="32"/>
      <c r="AY686" s="32"/>
      <c r="BB686" s="32"/>
      <c r="BE686" s="32"/>
      <c r="BJ686" s="32"/>
    </row>
    <row r="687" spans="17:62" x14ac:dyDescent="0.25">
      <c r="Q687" s="32"/>
      <c r="AG687" s="37"/>
      <c r="AH687" s="312"/>
      <c r="AI687" s="935"/>
      <c r="AJ687" s="935"/>
      <c r="AK687" s="935"/>
      <c r="AL687" s="935"/>
      <c r="AM687" s="935"/>
      <c r="AN687" s="935"/>
      <c r="AO687" s="312"/>
      <c r="AP687" s="32"/>
      <c r="AQ687" s="32"/>
      <c r="AR687" s="32"/>
      <c r="AS687" s="32"/>
      <c r="AT687" s="32"/>
      <c r="AU687" s="32"/>
      <c r="AV687" s="32"/>
      <c r="AW687" s="32"/>
      <c r="AX687" s="32"/>
      <c r="AY687" s="32"/>
      <c r="BB687" s="32"/>
      <c r="BE687" s="32"/>
      <c r="BJ687" s="32"/>
    </row>
    <row r="688" spans="17:62" x14ac:dyDescent="0.25">
      <c r="Q688" s="32"/>
      <c r="AG688" s="37"/>
      <c r="AH688" s="312"/>
      <c r="AI688" s="935"/>
      <c r="AJ688" s="935"/>
      <c r="AK688" s="935"/>
      <c r="AL688" s="935"/>
      <c r="AM688" s="935"/>
      <c r="AN688" s="935"/>
      <c r="AO688" s="312"/>
      <c r="AP688" s="32"/>
      <c r="AQ688" s="32"/>
      <c r="AR688" s="32"/>
      <c r="AS688" s="32"/>
      <c r="AT688" s="32"/>
      <c r="AU688" s="32"/>
      <c r="AV688" s="32"/>
      <c r="AW688" s="32"/>
      <c r="AX688" s="32"/>
      <c r="AY688" s="32"/>
      <c r="BB688" s="32"/>
      <c r="BE688" s="32"/>
      <c r="BJ688" s="32"/>
    </row>
    <row r="689" spans="17:62" x14ac:dyDescent="0.25">
      <c r="Q689" s="32"/>
      <c r="AG689" s="37"/>
      <c r="AH689" s="312"/>
      <c r="AI689" s="935"/>
      <c r="AJ689" s="935"/>
      <c r="AK689" s="935"/>
      <c r="AL689" s="935"/>
      <c r="AM689" s="935"/>
      <c r="AN689" s="935"/>
      <c r="AO689" s="312"/>
      <c r="AP689" s="32"/>
      <c r="AQ689" s="32"/>
      <c r="AR689" s="32"/>
      <c r="AS689" s="32"/>
      <c r="AT689" s="32"/>
      <c r="AU689" s="32"/>
      <c r="AV689" s="32"/>
      <c r="AW689" s="32"/>
      <c r="AX689" s="32"/>
      <c r="AY689" s="32"/>
      <c r="BB689" s="32"/>
      <c r="BE689" s="32"/>
      <c r="BJ689" s="32"/>
    </row>
    <row r="690" spans="17:62" x14ac:dyDescent="0.25">
      <c r="Q690" s="32"/>
      <c r="AG690" s="37"/>
      <c r="AH690" s="312"/>
      <c r="AI690" s="935"/>
      <c r="AJ690" s="935"/>
      <c r="AK690" s="935"/>
      <c r="AL690" s="935"/>
      <c r="AM690" s="935"/>
      <c r="AN690" s="935"/>
      <c r="AO690" s="312"/>
      <c r="AP690" s="32"/>
      <c r="AQ690" s="32"/>
      <c r="AR690" s="32"/>
      <c r="AS690" s="32"/>
      <c r="AT690" s="32"/>
      <c r="AU690" s="32"/>
      <c r="AV690" s="32"/>
      <c r="AW690" s="32"/>
      <c r="AX690" s="32"/>
      <c r="AY690" s="32"/>
      <c r="BB690" s="32"/>
      <c r="BE690" s="32"/>
      <c r="BJ690" s="32"/>
    </row>
    <row r="691" spans="17:62" x14ac:dyDescent="0.25">
      <c r="Q691" s="32"/>
      <c r="AG691" s="37"/>
      <c r="AH691" s="312"/>
      <c r="AI691" s="935"/>
      <c r="AJ691" s="935"/>
      <c r="AK691" s="935"/>
      <c r="AL691" s="935"/>
      <c r="AM691" s="935"/>
      <c r="AN691" s="935"/>
      <c r="AO691" s="312"/>
      <c r="AP691" s="32"/>
      <c r="AQ691" s="32"/>
      <c r="AR691" s="32"/>
      <c r="AS691" s="32"/>
      <c r="AT691" s="32"/>
      <c r="AU691" s="32"/>
      <c r="AV691" s="32"/>
      <c r="AW691" s="32"/>
      <c r="AX691" s="32"/>
      <c r="AY691" s="32"/>
      <c r="BB691" s="32"/>
      <c r="BE691" s="32"/>
      <c r="BJ691" s="32"/>
    </row>
    <row r="692" spans="17:62" x14ac:dyDescent="0.25">
      <c r="Q692" s="32"/>
      <c r="AG692" s="37"/>
      <c r="AH692" s="312"/>
      <c r="AI692" s="935"/>
      <c r="AJ692" s="935"/>
      <c r="AK692" s="935"/>
      <c r="AL692" s="935"/>
      <c r="AM692" s="935"/>
      <c r="AN692" s="935"/>
      <c r="AO692" s="312"/>
      <c r="AP692" s="32"/>
      <c r="AQ692" s="32"/>
      <c r="AR692" s="32"/>
      <c r="AS692" s="32"/>
      <c r="AT692" s="32"/>
      <c r="AU692" s="32"/>
      <c r="AV692" s="32"/>
      <c r="AW692" s="32"/>
      <c r="AX692" s="32"/>
      <c r="AY692" s="32"/>
      <c r="BB692" s="32"/>
      <c r="BE692" s="32"/>
      <c r="BJ692" s="32"/>
    </row>
    <row r="693" spans="17:62" x14ac:dyDescent="0.25">
      <c r="Q693" s="32"/>
      <c r="AG693" s="37"/>
      <c r="AH693" s="312"/>
      <c r="AI693" s="935"/>
      <c r="AJ693" s="935"/>
      <c r="AK693" s="935"/>
      <c r="AL693" s="935"/>
      <c r="AM693" s="935"/>
      <c r="AN693" s="935"/>
      <c r="AO693" s="312"/>
      <c r="AP693" s="32"/>
      <c r="AQ693" s="32"/>
      <c r="AR693" s="32"/>
      <c r="AS693" s="32"/>
      <c r="AT693" s="32"/>
      <c r="AU693" s="32"/>
      <c r="AV693" s="32"/>
      <c r="AW693" s="32"/>
      <c r="AX693" s="32"/>
      <c r="AY693" s="32"/>
      <c r="BB693" s="32"/>
      <c r="BE693" s="32"/>
      <c r="BJ693" s="32"/>
    </row>
    <row r="694" spans="17:62" x14ac:dyDescent="0.25">
      <c r="Q694" s="32"/>
      <c r="AG694" s="37"/>
      <c r="AH694" s="312"/>
      <c r="AI694" s="935"/>
      <c r="AJ694" s="935"/>
      <c r="AK694" s="935"/>
      <c r="AL694" s="935"/>
      <c r="AM694" s="935"/>
      <c r="AN694" s="935"/>
      <c r="AO694" s="312"/>
      <c r="AP694" s="32"/>
      <c r="AQ694" s="32"/>
      <c r="AR694" s="32"/>
      <c r="AS694" s="32"/>
      <c r="AT694" s="32"/>
      <c r="AU694" s="32"/>
      <c r="AV694" s="32"/>
      <c r="AW694" s="32"/>
      <c r="AX694" s="32"/>
      <c r="AY694" s="32"/>
      <c r="BB694" s="32"/>
      <c r="BE694" s="32"/>
      <c r="BJ694" s="32"/>
    </row>
    <row r="695" spans="17:62" x14ac:dyDescent="0.25">
      <c r="Q695" s="32"/>
      <c r="AG695" s="37"/>
      <c r="AH695" s="312"/>
      <c r="AI695" s="935"/>
      <c r="AJ695" s="935"/>
      <c r="AK695" s="935"/>
      <c r="AL695" s="935"/>
      <c r="AM695" s="935"/>
      <c r="AN695" s="935"/>
      <c r="AO695" s="312"/>
      <c r="AP695" s="32"/>
      <c r="AQ695" s="32"/>
      <c r="AR695" s="32"/>
      <c r="AS695" s="32"/>
      <c r="AT695" s="32"/>
      <c r="AU695" s="32"/>
      <c r="AV695" s="32"/>
      <c r="AW695" s="32"/>
      <c r="AX695" s="32"/>
      <c r="AY695" s="32"/>
      <c r="BB695" s="32"/>
      <c r="BE695" s="32"/>
      <c r="BJ695" s="32"/>
    </row>
    <row r="696" spans="17:62" x14ac:dyDescent="0.25">
      <c r="Q696" s="32"/>
      <c r="AG696" s="37"/>
      <c r="AH696" s="312"/>
      <c r="AI696" s="935"/>
      <c r="AJ696" s="935"/>
      <c r="AK696" s="935"/>
      <c r="AL696" s="935"/>
      <c r="AM696" s="935"/>
      <c r="AN696" s="935"/>
      <c r="AO696" s="312"/>
      <c r="AP696" s="32"/>
      <c r="AQ696" s="32"/>
      <c r="AR696" s="32"/>
      <c r="AS696" s="32"/>
      <c r="AT696" s="32"/>
      <c r="AU696" s="32"/>
      <c r="AV696" s="32"/>
      <c r="AW696" s="32"/>
      <c r="AX696" s="32"/>
      <c r="AY696" s="32"/>
      <c r="BB696" s="32"/>
      <c r="BE696" s="32"/>
      <c r="BJ696" s="32"/>
    </row>
    <row r="697" spans="17:62" x14ac:dyDescent="0.25">
      <c r="Q697" s="32"/>
      <c r="AG697" s="37"/>
      <c r="AH697" s="312"/>
      <c r="AI697" s="935"/>
      <c r="AJ697" s="935"/>
      <c r="AK697" s="935"/>
      <c r="AL697" s="935"/>
      <c r="AM697" s="935"/>
      <c r="AN697" s="935"/>
      <c r="AO697" s="312"/>
      <c r="AP697" s="32"/>
      <c r="AQ697" s="32"/>
      <c r="AR697" s="32"/>
      <c r="AS697" s="32"/>
      <c r="AT697" s="32"/>
      <c r="AU697" s="32"/>
      <c r="AV697" s="32"/>
      <c r="AW697" s="32"/>
      <c r="AX697" s="32"/>
      <c r="AY697" s="32"/>
      <c r="BB697" s="32"/>
      <c r="BE697" s="32"/>
      <c r="BJ697" s="32"/>
    </row>
    <row r="698" spans="17:62" x14ac:dyDescent="0.25">
      <c r="Q698" s="32"/>
      <c r="AG698" s="37"/>
      <c r="AH698" s="312"/>
      <c r="AI698" s="935"/>
      <c r="AJ698" s="935"/>
      <c r="AK698" s="935"/>
      <c r="AL698" s="935"/>
      <c r="AM698" s="935"/>
      <c r="AN698" s="935"/>
      <c r="AO698" s="312"/>
      <c r="AP698" s="32"/>
      <c r="AQ698" s="32"/>
      <c r="AR698" s="32"/>
      <c r="AS698" s="32"/>
      <c r="AT698" s="32"/>
      <c r="AU698" s="32"/>
      <c r="AV698" s="32"/>
      <c r="AW698" s="32"/>
      <c r="AX698" s="32"/>
      <c r="AY698" s="32"/>
      <c r="BB698" s="32"/>
      <c r="BE698" s="32"/>
      <c r="BJ698" s="32"/>
    </row>
    <row r="699" spans="17:62" x14ac:dyDescent="0.25">
      <c r="Q699" s="32"/>
      <c r="AG699" s="37"/>
      <c r="AH699" s="312"/>
      <c r="AI699" s="935"/>
      <c r="AJ699" s="935"/>
      <c r="AK699" s="935"/>
      <c r="AL699" s="935"/>
      <c r="AM699" s="935"/>
      <c r="AN699" s="935"/>
      <c r="AO699" s="312"/>
      <c r="AP699" s="32"/>
      <c r="AQ699" s="32"/>
      <c r="AR699" s="32"/>
      <c r="AS699" s="32"/>
      <c r="AT699" s="32"/>
      <c r="AU699" s="32"/>
      <c r="AV699" s="32"/>
      <c r="AW699" s="32"/>
      <c r="AX699" s="32"/>
      <c r="AY699" s="32"/>
      <c r="BB699" s="32"/>
      <c r="BE699" s="32"/>
      <c r="BJ699" s="32"/>
    </row>
    <row r="700" spans="17:62" x14ac:dyDescent="0.25">
      <c r="Q700" s="32"/>
      <c r="AG700" s="37"/>
      <c r="AH700" s="312"/>
      <c r="AI700" s="935"/>
      <c r="AJ700" s="935"/>
      <c r="AK700" s="935"/>
      <c r="AL700" s="935"/>
      <c r="AM700" s="935"/>
      <c r="AN700" s="935"/>
      <c r="AO700" s="312"/>
      <c r="AP700" s="32"/>
      <c r="AQ700" s="32"/>
      <c r="AR700" s="32"/>
      <c r="AS700" s="32"/>
      <c r="AT700" s="32"/>
      <c r="AU700" s="32"/>
      <c r="AV700" s="32"/>
      <c r="AW700" s="32"/>
      <c r="AX700" s="32"/>
      <c r="AY700" s="32"/>
      <c r="BB700" s="32"/>
      <c r="BE700" s="32"/>
      <c r="BJ700" s="32"/>
    </row>
    <row r="701" spans="17:62" x14ac:dyDescent="0.25">
      <c r="Q701" s="32"/>
      <c r="AG701" s="37"/>
      <c r="AH701" s="312"/>
      <c r="AI701" s="935"/>
      <c r="AJ701" s="935"/>
      <c r="AK701" s="935"/>
      <c r="AL701" s="935"/>
      <c r="AM701" s="935"/>
      <c r="AN701" s="935"/>
      <c r="AO701" s="312"/>
      <c r="AP701" s="32"/>
      <c r="AQ701" s="32"/>
      <c r="AR701" s="32"/>
      <c r="AS701" s="32"/>
      <c r="AT701" s="32"/>
      <c r="AU701" s="32"/>
      <c r="AV701" s="32"/>
      <c r="AW701" s="32"/>
      <c r="AX701" s="32"/>
      <c r="AY701" s="32"/>
      <c r="BB701" s="32"/>
      <c r="BE701" s="32"/>
      <c r="BJ701" s="32"/>
    </row>
    <row r="702" spans="17:62" x14ac:dyDescent="0.25">
      <c r="Q702" s="32"/>
      <c r="AG702" s="37"/>
      <c r="AH702" s="312"/>
      <c r="AI702" s="935"/>
      <c r="AJ702" s="935"/>
      <c r="AK702" s="935"/>
      <c r="AL702" s="935"/>
      <c r="AM702" s="935"/>
      <c r="AN702" s="935"/>
      <c r="AO702" s="312"/>
      <c r="AP702" s="32"/>
      <c r="AQ702" s="32"/>
      <c r="AR702" s="32"/>
      <c r="AS702" s="32"/>
      <c r="AT702" s="32"/>
      <c r="AU702" s="32"/>
      <c r="AV702" s="32"/>
      <c r="AW702" s="32"/>
      <c r="AX702" s="32"/>
      <c r="AY702" s="32"/>
      <c r="BB702" s="32"/>
      <c r="BE702" s="32"/>
      <c r="BJ702" s="32"/>
    </row>
    <row r="703" spans="17:62" x14ac:dyDescent="0.25">
      <c r="Q703" s="32"/>
      <c r="AG703" s="37"/>
      <c r="AH703" s="312"/>
      <c r="AI703" s="935"/>
      <c r="AJ703" s="935"/>
      <c r="AK703" s="935"/>
      <c r="AL703" s="935"/>
      <c r="AM703" s="935"/>
      <c r="AN703" s="935"/>
      <c r="AO703" s="312"/>
      <c r="AP703" s="32"/>
      <c r="AQ703" s="32"/>
      <c r="AR703" s="32"/>
      <c r="AS703" s="32"/>
      <c r="AT703" s="32"/>
      <c r="AU703" s="32"/>
      <c r="AV703" s="32"/>
      <c r="AW703" s="32"/>
      <c r="AX703" s="32"/>
      <c r="AY703" s="32"/>
      <c r="BB703" s="32"/>
      <c r="BE703" s="32"/>
      <c r="BJ703" s="32"/>
    </row>
    <row r="704" spans="17:62" x14ac:dyDescent="0.25">
      <c r="Q704" s="32"/>
      <c r="AG704" s="37"/>
      <c r="AH704" s="312"/>
      <c r="AI704" s="935"/>
      <c r="AJ704" s="935"/>
      <c r="AK704" s="935"/>
      <c r="AL704" s="935"/>
      <c r="AM704" s="935"/>
      <c r="AN704" s="935"/>
      <c r="AO704" s="312"/>
      <c r="AP704" s="32"/>
      <c r="AQ704" s="32"/>
      <c r="AR704" s="32"/>
      <c r="AS704" s="32"/>
      <c r="AT704" s="32"/>
      <c r="AU704" s="32"/>
      <c r="AV704" s="32"/>
      <c r="AW704" s="32"/>
      <c r="AX704" s="32"/>
      <c r="AY704" s="32"/>
      <c r="BB704" s="32"/>
      <c r="BE704" s="32"/>
      <c r="BJ704" s="32"/>
    </row>
    <row r="705" spans="17:62" x14ac:dyDescent="0.25">
      <c r="Q705" s="32"/>
      <c r="AG705" s="37"/>
      <c r="AH705" s="312"/>
      <c r="AI705" s="935"/>
      <c r="AJ705" s="935"/>
      <c r="AK705" s="935"/>
      <c r="AL705" s="935"/>
      <c r="AM705" s="935"/>
      <c r="AN705" s="935"/>
      <c r="AO705" s="312"/>
      <c r="AP705" s="32"/>
      <c r="AQ705" s="32"/>
      <c r="AR705" s="32"/>
      <c r="AS705" s="32"/>
      <c r="AT705" s="32"/>
      <c r="AU705" s="32"/>
      <c r="AV705" s="32"/>
      <c r="AW705" s="32"/>
      <c r="AX705" s="32"/>
      <c r="AY705" s="32"/>
      <c r="BB705" s="32"/>
      <c r="BE705" s="32"/>
      <c r="BJ705" s="32"/>
    </row>
    <row r="706" spans="17:62" x14ac:dyDescent="0.25">
      <c r="Q706" s="32"/>
      <c r="AG706" s="37"/>
      <c r="AH706" s="312"/>
      <c r="AI706" s="935"/>
      <c r="AJ706" s="935"/>
      <c r="AK706" s="935"/>
      <c r="AL706" s="935"/>
      <c r="AM706" s="935"/>
      <c r="AN706" s="935"/>
      <c r="AO706" s="312"/>
      <c r="AP706" s="32"/>
      <c r="AQ706" s="32"/>
      <c r="AR706" s="32"/>
      <c r="AS706" s="32"/>
      <c r="AT706" s="32"/>
      <c r="AU706" s="32"/>
      <c r="AV706" s="32"/>
      <c r="AW706" s="32"/>
      <c r="AX706" s="32"/>
      <c r="AY706" s="32"/>
      <c r="BB706" s="32"/>
      <c r="BE706" s="32"/>
      <c r="BJ706" s="32"/>
    </row>
    <row r="707" spans="17:62" x14ac:dyDescent="0.25">
      <c r="Q707" s="32"/>
      <c r="AG707" s="37"/>
      <c r="AH707" s="312"/>
      <c r="AI707" s="935"/>
      <c r="AJ707" s="935"/>
      <c r="AK707" s="935"/>
      <c r="AL707" s="935"/>
      <c r="AM707" s="935"/>
      <c r="AN707" s="935"/>
      <c r="AO707" s="312"/>
      <c r="AP707" s="32"/>
      <c r="AQ707" s="32"/>
      <c r="AR707" s="32"/>
      <c r="AS707" s="32"/>
      <c r="AT707" s="32"/>
      <c r="AU707" s="32"/>
      <c r="AV707" s="32"/>
      <c r="AW707" s="32"/>
      <c r="AX707" s="32"/>
      <c r="AY707" s="32"/>
      <c r="BB707" s="32"/>
      <c r="BE707" s="32"/>
      <c r="BJ707" s="32"/>
    </row>
    <row r="708" spans="17:62" x14ac:dyDescent="0.25">
      <c r="Q708" s="32"/>
      <c r="AG708" s="37"/>
      <c r="AH708" s="312"/>
      <c r="AI708" s="935"/>
      <c r="AJ708" s="935"/>
      <c r="AK708" s="935"/>
      <c r="AL708" s="935"/>
      <c r="AM708" s="935"/>
      <c r="AN708" s="935"/>
      <c r="AO708" s="312"/>
      <c r="AP708" s="32"/>
      <c r="AQ708" s="32"/>
      <c r="AR708" s="32"/>
      <c r="AS708" s="32"/>
      <c r="AT708" s="32"/>
      <c r="AU708" s="32"/>
      <c r="AV708" s="32"/>
      <c r="AW708" s="32"/>
      <c r="AX708" s="32"/>
      <c r="AY708" s="32"/>
      <c r="BB708" s="32"/>
      <c r="BE708" s="32"/>
      <c r="BJ708" s="32"/>
    </row>
    <row r="709" spans="17:62" x14ac:dyDescent="0.25">
      <c r="Q709" s="32"/>
      <c r="AG709" s="37"/>
      <c r="AH709" s="312"/>
      <c r="AI709" s="935"/>
      <c r="AJ709" s="935"/>
      <c r="AK709" s="935"/>
      <c r="AL709" s="935"/>
      <c r="AM709" s="935"/>
      <c r="AN709" s="935"/>
      <c r="AO709" s="312"/>
      <c r="AP709" s="32"/>
      <c r="AQ709" s="32"/>
      <c r="AR709" s="32"/>
      <c r="AS709" s="32"/>
      <c r="AT709" s="32"/>
      <c r="AU709" s="32"/>
      <c r="AV709" s="32"/>
      <c r="AW709" s="32"/>
      <c r="AX709" s="32"/>
      <c r="AY709" s="32"/>
      <c r="BB709" s="32"/>
      <c r="BE709" s="32"/>
      <c r="BJ709" s="32"/>
    </row>
    <row r="710" spans="17:62" x14ac:dyDescent="0.25">
      <c r="Q710" s="32"/>
      <c r="AG710" s="37"/>
      <c r="AH710" s="312"/>
      <c r="AI710" s="935"/>
      <c r="AJ710" s="935"/>
      <c r="AK710" s="935"/>
      <c r="AL710" s="935"/>
      <c r="AM710" s="935"/>
      <c r="AN710" s="935"/>
      <c r="AO710" s="312"/>
      <c r="AP710" s="32"/>
      <c r="AQ710" s="32"/>
      <c r="AR710" s="32"/>
      <c r="AS710" s="32"/>
      <c r="AT710" s="32"/>
      <c r="AU710" s="32"/>
      <c r="AV710" s="32"/>
      <c r="AW710" s="32"/>
      <c r="AX710" s="32"/>
      <c r="AY710" s="32"/>
      <c r="BB710" s="32"/>
      <c r="BE710" s="32"/>
      <c r="BJ710" s="32"/>
    </row>
    <row r="711" spans="17:62" x14ac:dyDescent="0.25">
      <c r="Q711" s="32"/>
      <c r="AG711" s="37"/>
      <c r="AH711" s="312"/>
      <c r="AI711" s="935"/>
      <c r="AJ711" s="935"/>
      <c r="AK711" s="935"/>
      <c r="AL711" s="935"/>
      <c r="AM711" s="935"/>
      <c r="AN711" s="935"/>
      <c r="AO711" s="312"/>
      <c r="AP711" s="32"/>
      <c r="AQ711" s="32"/>
      <c r="AR711" s="32"/>
      <c r="AS711" s="32"/>
      <c r="AT711" s="32"/>
      <c r="AU711" s="32"/>
      <c r="AV711" s="32"/>
      <c r="AW711" s="32"/>
      <c r="AX711" s="32"/>
      <c r="AY711" s="32"/>
      <c r="BB711" s="32"/>
      <c r="BE711" s="32"/>
      <c r="BJ711" s="32"/>
    </row>
    <row r="712" spans="17:62" x14ac:dyDescent="0.25">
      <c r="Q712" s="32"/>
      <c r="AG712" s="37"/>
      <c r="AH712" s="312"/>
      <c r="AI712" s="935"/>
      <c r="AJ712" s="935"/>
      <c r="AK712" s="935"/>
      <c r="AL712" s="935"/>
      <c r="AM712" s="935"/>
      <c r="AN712" s="935"/>
      <c r="AO712" s="312"/>
      <c r="AP712" s="32"/>
      <c r="AQ712" s="32"/>
      <c r="AR712" s="32"/>
      <c r="AS712" s="32"/>
      <c r="AT712" s="32"/>
      <c r="AU712" s="32"/>
      <c r="AV712" s="32"/>
      <c r="AW712" s="32"/>
      <c r="AX712" s="32"/>
      <c r="AY712" s="32"/>
      <c r="BB712" s="32"/>
      <c r="BE712" s="32"/>
      <c r="BJ712" s="32"/>
    </row>
    <row r="713" spans="17:62" x14ac:dyDescent="0.25">
      <c r="Q713" s="32"/>
      <c r="AG713" s="37"/>
      <c r="AH713" s="312"/>
      <c r="AI713" s="935"/>
      <c r="AJ713" s="935"/>
      <c r="AK713" s="935"/>
      <c r="AL713" s="935"/>
      <c r="AM713" s="935"/>
      <c r="AN713" s="935"/>
      <c r="AO713" s="312"/>
      <c r="AP713" s="32"/>
      <c r="AQ713" s="32"/>
      <c r="AR713" s="32"/>
      <c r="AS713" s="32"/>
      <c r="AT713" s="32"/>
      <c r="AU713" s="32"/>
      <c r="AV713" s="32"/>
      <c r="AW713" s="32"/>
      <c r="AX713" s="32"/>
      <c r="AY713" s="32"/>
      <c r="BB713" s="32"/>
      <c r="BE713" s="32"/>
      <c r="BJ713" s="32"/>
    </row>
    <row r="714" spans="17:62" x14ac:dyDescent="0.25">
      <c r="Q714" s="32"/>
      <c r="AG714" s="37"/>
      <c r="AH714" s="312"/>
      <c r="AI714" s="935"/>
      <c r="AJ714" s="935"/>
      <c r="AK714" s="935"/>
      <c r="AL714" s="935"/>
      <c r="AM714" s="935"/>
      <c r="AN714" s="935"/>
      <c r="AO714" s="312"/>
      <c r="AP714" s="32"/>
      <c r="AQ714" s="32"/>
      <c r="AR714" s="32"/>
      <c r="AS714" s="32"/>
      <c r="AT714" s="32"/>
      <c r="AU714" s="32"/>
      <c r="AV714" s="32"/>
      <c r="AW714" s="32"/>
      <c r="AX714" s="32"/>
      <c r="AY714" s="32"/>
      <c r="BB714" s="32"/>
      <c r="BE714" s="32"/>
      <c r="BJ714" s="32"/>
    </row>
    <row r="715" spans="17:62" x14ac:dyDescent="0.25">
      <c r="Q715" s="32"/>
      <c r="AG715" s="37"/>
      <c r="AH715" s="312"/>
      <c r="AI715" s="935"/>
      <c r="AJ715" s="935"/>
      <c r="AK715" s="935"/>
      <c r="AL715" s="935"/>
      <c r="AM715" s="935"/>
      <c r="AN715" s="935"/>
      <c r="AO715" s="312"/>
      <c r="AP715" s="32"/>
      <c r="AQ715" s="32"/>
      <c r="AR715" s="32"/>
      <c r="AS715" s="32"/>
      <c r="AT715" s="32"/>
      <c r="AU715" s="32"/>
      <c r="AV715" s="32"/>
      <c r="AW715" s="32"/>
      <c r="AX715" s="32"/>
      <c r="AY715" s="32"/>
      <c r="BB715" s="32"/>
      <c r="BE715" s="32"/>
      <c r="BJ715" s="32"/>
    </row>
    <row r="716" spans="17:62" x14ac:dyDescent="0.25">
      <c r="Q716" s="32"/>
      <c r="AG716" s="37"/>
      <c r="AH716" s="312"/>
      <c r="AI716" s="935"/>
      <c r="AJ716" s="935"/>
      <c r="AK716" s="935"/>
      <c r="AL716" s="935"/>
      <c r="AM716" s="935"/>
      <c r="AN716" s="935"/>
      <c r="AO716" s="312"/>
      <c r="AP716" s="32"/>
      <c r="AQ716" s="32"/>
      <c r="AR716" s="32"/>
      <c r="AS716" s="32"/>
      <c r="AT716" s="32"/>
      <c r="AU716" s="32"/>
      <c r="AV716" s="32"/>
      <c r="AW716" s="32"/>
      <c r="AX716" s="32"/>
      <c r="AY716" s="32"/>
      <c r="BB716" s="32"/>
      <c r="BE716" s="32"/>
      <c r="BJ716" s="32"/>
    </row>
    <row r="717" spans="17:62" x14ac:dyDescent="0.25">
      <c r="Q717" s="32"/>
      <c r="AG717" s="37"/>
      <c r="AH717" s="312"/>
      <c r="AI717" s="935"/>
      <c r="AJ717" s="935"/>
      <c r="AK717" s="935"/>
      <c r="AL717" s="935"/>
      <c r="AM717" s="935"/>
      <c r="AN717" s="935"/>
      <c r="AO717" s="312"/>
      <c r="AP717" s="32"/>
      <c r="AQ717" s="32"/>
      <c r="AR717" s="32"/>
      <c r="AS717" s="32"/>
      <c r="AT717" s="32"/>
      <c r="AU717" s="32"/>
      <c r="AV717" s="32"/>
      <c r="AW717" s="32"/>
      <c r="AX717" s="32"/>
      <c r="AY717" s="32"/>
      <c r="BB717" s="32"/>
      <c r="BE717" s="32"/>
      <c r="BJ717" s="32"/>
    </row>
    <row r="718" spans="17:62" x14ac:dyDescent="0.25">
      <c r="Q718" s="32"/>
      <c r="AG718" s="37"/>
      <c r="AH718" s="312"/>
      <c r="AI718" s="935"/>
      <c r="AJ718" s="935"/>
      <c r="AK718" s="935"/>
      <c r="AL718" s="935"/>
      <c r="AM718" s="935"/>
      <c r="AN718" s="935"/>
      <c r="AO718" s="312"/>
      <c r="AP718" s="32"/>
      <c r="AQ718" s="32"/>
      <c r="AR718" s="32"/>
      <c r="AS718" s="32"/>
      <c r="AT718" s="32"/>
      <c r="AU718" s="32"/>
      <c r="AV718" s="32"/>
      <c r="AW718" s="32"/>
      <c r="AX718" s="32"/>
      <c r="AY718" s="32"/>
      <c r="BB718" s="32"/>
      <c r="BE718" s="32"/>
      <c r="BJ718" s="32"/>
    </row>
    <row r="719" spans="17:62" x14ac:dyDescent="0.25">
      <c r="Q719" s="32"/>
      <c r="AG719" s="37"/>
      <c r="AH719" s="312"/>
      <c r="AI719" s="935"/>
      <c r="AJ719" s="935"/>
      <c r="AK719" s="935"/>
      <c r="AL719" s="935"/>
      <c r="AM719" s="935"/>
      <c r="AN719" s="935"/>
      <c r="AO719" s="312"/>
      <c r="AP719" s="32"/>
      <c r="AQ719" s="32"/>
      <c r="AR719" s="32"/>
      <c r="AS719" s="32"/>
      <c r="AT719" s="32"/>
      <c r="AU719" s="32"/>
      <c r="AV719" s="32"/>
      <c r="AW719" s="32"/>
      <c r="AX719" s="32"/>
      <c r="AY719" s="32"/>
      <c r="BB719" s="32"/>
      <c r="BE719" s="32"/>
      <c r="BJ719" s="32"/>
    </row>
    <row r="720" spans="17:62" x14ac:dyDescent="0.25">
      <c r="Q720" s="32"/>
      <c r="AG720" s="37"/>
      <c r="AH720" s="312"/>
      <c r="AI720" s="935"/>
      <c r="AJ720" s="935"/>
      <c r="AK720" s="935"/>
      <c r="AL720" s="935"/>
      <c r="AM720" s="935"/>
      <c r="AN720" s="935"/>
      <c r="AO720" s="312"/>
      <c r="AP720" s="32"/>
      <c r="AQ720" s="32"/>
      <c r="AR720" s="32"/>
      <c r="AS720" s="32"/>
      <c r="AT720" s="32"/>
      <c r="AU720" s="32"/>
      <c r="AV720" s="32"/>
      <c r="AW720" s="32"/>
      <c r="AX720" s="32"/>
      <c r="AY720" s="32"/>
      <c r="BB720" s="32"/>
      <c r="BE720" s="32"/>
      <c r="BJ720" s="32"/>
    </row>
    <row r="721" spans="17:62" x14ac:dyDescent="0.25">
      <c r="Q721" s="32"/>
      <c r="AG721" s="37"/>
      <c r="AH721" s="312"/>
      <c r="AI721" s="935"/>
      <c r="AJ721" s="935"/>
      <c r="AK721" s="935"/>
      <c r="AL721" s="935"/>
      <c r="AM721" s="935"/>
      <c r="AN721" s="935"/>
      <c r="AO721" s="312"/>
      <c r="AP721" s="32"/>
      <c r="AQ721" s="32"/>
      <c r="AR721" s="32"/>
      <c r="AS721" s="32"/>
      <c r="AT721" s="32"/>
      <c r="AU721" s="32"/>
      <c r="AV721" s="32"/>
      <c r="AW721" s="32"/>
      <c r="AX721" s="32"/>
      <c r="AY721" s="32"/>
      <c r="BB721" s="32"/>
      <c r="BE721" s="32"/>
      <c r="BJ721" s="32"/>
    </row>
    <row r="722" spans="17:62" x14ac:dyDescent="0.25">
      <c r="Q722" s="32"/>
      <c r="AG722" s="37"/>
      <c r="AH722" s="312"/>
      <c r="AI722" s="935"/>
      <c r="AJ722" s="935"/>
      <c r="AK722" s="935"/>
      <c r="AL722" s="935"/>
      <c r="AM722" s="935"/>
      <c r="AN722" s="935"/>
      <c r="AO722" s="312"/>
      <c r="AP722" s="32"/>
      <c r="AQ722" s="32"/>
      <c r="AR722" s="32"/>
      <c r="AS722" s="32"/>
      <c r="AT722" s="32"/>
      <c r="AU722" s="32"/>
      <c r="AV722" s="32"/>
      <c r="AW722" s="32"/>
      <c r="AX722" s="32"/>
      <c r="AY722" s="32"/>
      <c r="BB722" s="32"/>
      <c r="BE722" s="32"/>
      <c r="BJ722" s="32"/>
    </row>
    <row r="723" spans="17:62" x14ac:dyDescent="0.25">
      <c r="Q723" s="32"/>
      <c r="AG723" s="37"/>
      <c r="AH723" s="312"/>
      <c r="AI723" s="935"/>
      <c r="AJ723" s="935"/>
      <c r="AK723" s="935"/>
      <c r="AL723" s="935"/>
      <c r="AM723" s="935"/>
      <c r="AN723" s="935"/>
      <c r="AO723" s="312"/>
      <c r="AP723" s="32"/>
      <c r="AQ723" s="32"/>
      <c r="AR723" s="32"/>
      <c r="AS723" s="32"/>
      <c r="AT723" s="32"/>
      <c r="AU723" s="32"/>
      <c r="AV723" s="32"/>
      <c r="AW723" s="32"/>
      <c r="AX723" s="32"/>
      <c r="AY723" s="32"/>
      <c r="BB723" s="32"/>
      <c r="BE723" s="32"/>
      <c r="BJ723" s="32"/>
    </row>
    <row r="724" spans="17:62" x14ac:dyDescent="0.25">
      <c r="Q724" s="32"/>
      <c r="AG724" s="37"/>
      <c r="AH724" s="312"/>
      <c r="AI724" s="935"/>
      <c r="AJ724" s="935"/>
      <c r="AK724" s="935"/>
      <c r="AL724" s="935"/>
      <c r="AM724" s="935"/>
      <c r="AN724" s="935"/>
      <c r="AO724" s="312"/>
      <c r="AP724" s="32"/>
      <c r="AQ724" s="32"/>
      <c r="AR724" s="32"/>
      <c r="AS724" s="32"/>
      <c r="AT724" s="32"/>
      <c r="AU724" s="32"/>
      <c r="AV724" s="32"/>
      <c r="AW724" s="32"/>
      <c r="AX724" s="32"/>
      <c r="AY724" s="32"/>
      <c r="BB724" s="32"/>
      <c r="BE724" s="32"/>
      <c r="BJ724" s="32"/>
    </row>
    <row r="725" spans="17:62" x14ac:dyDescent="0.25">
      <c r="Q725" s="32"/>
      <c r="AG725" s="37"/>
      <c r="AH725" s="312"/>
      <c r="AI725" s="935"/>
      <c r="AJ725" s="935"/>
      <c r="AK725" s="935"/>
      <c r="AL725" s="935"/>
      <c r="AM725" s="935"/>
      <c r="AN725" s="935"/>
      <c r="AO725" s="312"/>
      <c r="AP725" s="32"/>
      <c r="AQ725" s="32"/>
      <c r="AR725" s="32"/>
      <c r="AS725" s="32"/>
      <c r="AT725" s="32"/>
      <c r="AU725" s="32"/>
      <c r="AV725" s="32"/>
      <c r="AW725" s="32"/>
      <c r="AX725" s="32"/>
      <c r="AY725" s="32"/>
      <c r="BB725" s="32"/>
      <c r="BE725" s="32"/>
      <c r="BJ725" s="32"/>
    </row>
    <row r="726" spans="17:62" x14ac:dyDescent="0.25">
      <c r="Q726" s="32"/>
      <c r="AG726" s="37"/>
      <c r="AH726" s="312"/>
      <c r="AI726" s="935"/>
      <c r="AJ726" s="935"/>
      <c r="AK726" s="935"/>
      <c r="AL726" s="935"/>
      <c r="AM726" s="935"/>
      <c r="AN726" s="935"/>
      <c r="AO726" s="312"/>
      <c r="AP726" s="32"/>
      <c r="AQ726" s="32"/>
      <c r="AR726" s="32"/>
      <c r="AS726" s="32"/>
      <c r="AT726" s="32"/>
      <c r="AU726" s="32"/>
      <c r="AV726" s="32"/>
      <c r="AW726" s="32"/>
      <c r="AX726" s="32"/>
      <c r="AY726" s="32"/>
      <c r="BB726" s="32"/>
      <c r="BE726" s="32"/>
      <c r="BJ726" s="32"/>
    </row>
    <row r="727" spans="17:62" x14ac:dyDescent="0.25">
      <c r="Q727" s="32"/>
      <c r="AG727" s="37"/>
      <c r="AH727" s="312"/>
      <c r="AI727" s="935"/>
      <c r="AJ727" s="935"/>
      <c r="AK727" s="935"/>
      <c r="AL727" s="935"/>
      <c r="AM727" s="935"/>
      <c r="AN727" s="935"/>
      <c r="AO727" s="312"/>
      <c r="AP727" s="32"/>
      <c r="AQ727" s="32"/>
      <c r="AR727" s="32"/>
      <c r="AS727" s="32"/>
      <c r="AT727" s="32"/>
      <c r="AU727" s="32"/>
      <c r="AV727" s="32"/>
      <c r="AW727" s="32"/>
      <c r="AX727" s="32"/>
      <c r="AY727" s="32"/>
      <c r="BB727" s="32"/>
      <c r="BE727" s="32"/>
      <c r="BJ727" s="32"/>
    </row>
    <row r="728" spans="17:62" x14ac:dyDescent="0.25">
      <c r="Q728" s="32"/>
      <c r="AG728" s="37"/>
      <c r="AH728" s="312"/>
      <c r="AI728" s="935"/>
      <c r="AJ728" s="935"/>
      <c r="AK728" s="935"/>
      <c r="AL728" s="935"/>
      <c r="AM728" s="935"/>
      <c r="AN728" s="935"/>
      <c r="AO728" s="312"/>
      <c r="AP728" s="32"/>
      <c r="AQ728" s="32"/>
      <c r="AR728" s="32"/>
      <c r="AS728" s="32"/>
      <c r="AT728" s="32"/>
      <c r="AU728" s="32"/>
      <c r="AV728" s="32"/>
      <c r="AW728" s="32"/>
      <c r="AX728" s="32"/>
      <c r="AY728" s="32"/>
      <c r="BB728" s="32"/>
      <c r="BE728" s="32"/>
      <c r="BJ728" s="32"/>
    </row>
    <row r="729" spans="17:62" x14ac:dyDescent="0.25">
      <c r="Q729" s="32"/>
      <c r="AG729" s="37"/>
      <c r="AH729" s="312"/>
      <c r="AI729" s="935"/>
      <c r="AJ729" s="935"/>
      <c r="AK729" s="935"/>
      <c r="AL729" s="935"/>
      <c r="AM729" s="935"/>
      <c r="AN729" s="935"/>
      <c r="AO729" s="312"/>
      <c r="AP729" s="32"/>
      <c r="AQ729" s="32"/>
      <c r="AR729" s="32"/>
      <c r="AS729" s="32"/>
      <c r="AT729" s="32"/>
      <c r="AU729" s="32"/>
      <c r="AV729" s="32"/>
      <c r="AW729" s="32"/>
      <c r="AX729" s="32"/>
      <c r="AY729" s="32"/>
      <c r="BB729" s="32"/>
      <c r="BE729" s="32"/>
      <c r="BJ729" s="32"/>
    </row>
    <row r="730" spans="17:62" x14ac:dyDescent="0.25">
      <c r="Q730" s="32"/>
      <c r="AG730" s="37"/>
      <c r="AH730" s="312"/>
      <c r="AI730" s="935"/>
      <c r="AJ730" s="935"/>
      <c r="AK730" s="935"/>
      <c r="AL730" s="935"/>
      <c r="AM730" s="935"/>
      <c r="AN730" s="935"/>
      <c r="AO730" s="312"/>
      <c r="AP730" s="32"/>
      <c r="AQ730" s="32"/>
      <c r="AR730" s="32"/>
      <c r="AS730" s="32"/>
      <c r="AT730" s="32"/>
      <c r="AU730" s="32"/>
      <c r="AV730" s="32"/>
      <c r="AW730" s="32"/>
      <c r="AX730" s="32"/>
      <c r="AY730" s="32"/>
      <c r="BB730" s="32"/>
      <c r="BE730" s="32"/>
      <c r="BJ730" s="32"/>
    </row>
    <row r="731" spans="17:62" x14ac:dyDescent="0.25">
      <c r="Q731" s="32"/>
      <c r="AG731" s="37"/>
      <c r="AH731" s="312"/>
      <c r="AI731" s="935"/>
      <c r="AJ731" s="935"/>
      <c r="AK731" s="935"/>
      <c r="AL731" s="935"/>
      <c r="AM731" s="935"/>
      <c r="AN731" s="935"/>
      <c r="AO731" s="312"/>
      <c r="AP731" s="32"/>
      <c r="AQ731" s="32"/>
      <c r="AR731" s="32"/>
      <c r="AS731" s="32"/>
      <c r="AT731" s="32"/>
      <c r="AU731" s="32"/>
      <c r="AV731" s="32"/>
      <c r="AW731" s="32"/>
      <c r="AX731" s="32"/>
      <c r="AY731" s="32"/>
      <c r="BB731" s="32"/>
      <c r="BE731" s="32"/>
      <c r="BJ731" s="32"/>
    </row>
    <row r="732" spans="17:62" x14ac:dyDescent="0.25">
      <c r="Q732" s="32"/>
      <c r="AG732" s="37"/>
      <c r="AH732" s="312"/>
      <c r="AI732" s="935"/>
      <c r="AJ732" s="935"/>
      <c r="AK732" s="935"/>
      <c r="AL732" s="935"/>
      <c r="AM732" s="935"/>
      <c r="AN732" s="935"/>
      <c r="AO732" s="312"/>
      <c r="AP732" s="32"/>
      <c r="AQ732" s="32"/>
      <c r="AR732" s="32"/>
      <c r="AS732" s="32"/>
      <c r="AT732" s="32"/>
      <c r="AU732" s="32"/>
      <c r="AV732" s="32"/>
      <c r="AW732" s="32"/>
      <c r="AX732" s="32"/>
      <c r="AY732" s="32"/>
      <c r="BB732" s="32"/>
      <c r="BE732" s="32"/>
      <c r="BJ732" s="32"/>
    </row>
    <row r="733" spans="17:62" x14ac:dyDescent="0.25">
      <c r="Q733" s="32"/>
      <c r="AG733" s="37"/>
      <c r="AH733" s="312"/>
      <c r="AI733" s="935"/>
      <c r="AJ733" s="935"/>
      <c r="AK733" s="935"/>
      <c r="AL733" s="935"/>
      <c r="AM733" s="935"/>
      <c r="AN733" s="935"/>
      <c r="AO733" s="312"/>
      <c r="AP733" s="32"/>
      <c r="AQ733" s="32"/>
      <c r="AR733" s="32"/>
      <c r="AS733" s="32"/>
      <c r="AT733" s="32"/>
      <c r="AU733" s="32"/>
      <c r="AV733" s="32"/>
      <c r="AW733" s="32"/>
      <c r="AX733" s="32"/>
      <c r="AY733" s="32"/>
      <c r="BB733" s="32"/>
      <c r="BE733" s="32"/>
      <c r="BJ733" s="32"/>
    </row>
    <row r="734" spans="17:62" x14ac:dyDescent="0.25">
      <c r="Q734" s="32"/>
      <c r="AG734" s="37"/>
      <c r="AH734" s="312"/>
      <c r="AI734" s="935"/>
      <c r="AJ734" s="935"/>
      <c r="AK734" s="935"/>
      <c r="AL734" s="935"/>
      <c r="AM734" s="935"/>
      <c r="AN734" s="935"/>
      <c r="AO734" s="312"/>
      <c r="AP734" s="32"/>
      <c r="AQ734" s="32"/>
      <c r="AR734" s="32"/>
      <c r="AS734" s="32"/>
      <c r="AT734" s="32"/>
      <c r="AU734" s="32"/>
      <c r="AV734" s="32"/>
      <c r="AW734" s="32"/>
      <c r="AX734" s="32"/>
      <c r="AY734" s="32"/>
      <c r="BB734" s="32"/>
      <c r="BE734" s="32"/>
      <c r="BJ734" s="32"/>
    </row>
    <row r="735" spans="17:62" x14ac:dyDescent="0.25">
      <c r="Q735" s="32"/>
      <c r="AG735" s="37"/>
      <c r="AH735" s="312"/>
      <c r="AI735" s="935"/>
      <c r="AJ735" s="935"/>
      <c r="AK735" s="935"/>
      <c r="AL735" s="935"/>
      <c r="AM735" s="935"/>
      <c r="AN735" s="935"/>
      <c r="AO735" s="312"/>
      <c r="AP735" s="32"/>
      <c r="AQ735" s="32"/>
      <c r="AR735" s="32"/>
      <c r="AS735" s="32"/>
      <c r="AT735" s="32"/>
      <c r="AU735" s="32"/>
      <c r="AV735" s="32"/>
      <c r="AW735" s="32"/>
      <c r="AX735" s="32"/>
      <c r="AY735" s="32"/>
      <c r="BB735" s="32"/>
      <c r="BE735" s="32"/>
      <c r="BJ735" s="32"/>
    </row>
    <row r="736" spans="17:62" x14ac:dyDescent="0.25">
      <c r="Q736" s="32"/>
      <c r="AG736" s="37"/>
      <c r="AH736" s="312"/>
      <c r="AI736" s="935"/>
      <c r="AJ736" s="935"/>
      <c r="AK736" s="935"/>
      <c r="AL736" s="935"/>
      <c r="AM736" s="935"/>
      <c r="AN736" s="935"/>
      <c r="AO736" s="312"/>
      <c r="AP736" s="32"/>
      <c r="AQ736" s="32"/>
      <c r="AR736" s="32"/>
      <c r="AS736" s="32"/>
      <c r="AT736" s="32"/>
      <c r="AU736" s="32"/>
      <c r="AV736" s="32"/>
      <c r="AW736" s="32"/>
      <c r="AX736" s="32"/>
      <c r="AY736" s="32"/>
      <c r="BB736" s="32"/>
      <c r="BE736" s="32"/>
      <c r="BJ736" s="32"/>
    </row>
    <row r="737" spans="17:62" x14ac:dyDescent="0.25">
      <c r="Q737" s="32"/>
      <c r="AG737" s="37"/>
      <c r="AH737" s="312"/>
      <c r="AI737" s="935"/>
      <c r="AJ737" s="935"/>
      <c r="AK737" s="935"/>
      <c r="AL737" s="935"/>
      <c r="AM737" s="935"/>
      <c r="AN737" s="935"/>
      <c r="AO737" s="312"/>
      <c r="AP737" s="32"/>
      <c r="AQ737" s="32"/>
      <c r="AR737" s="32"/>
      <c r="AS737" s="32"/>
      <c r="AT737" s="32"/>
      <c r="AU737" s="32"/>
      <c r="AV737" s="32"/>
      <c r="AW737" s="32"/>
      <c r="AX737" s="32"/>
      <c r="AY737" s="32"/>
      <c r="BB737" s="32"/>
      <c r="BE737" s="32"/>
      <c r="BJ737" s="32"/>
    </row>
    <row r="738" spans="17:62" x14ac:dyDescent="0.25">
      <c r="Q738" s="32"/>
      <c r="AG738" s="37"/>
      <c r="AH738" s="312"/>
      <c r="AI738" s="935"/>
      <c r="AJ738" s="935"/>
      <c r="AK738" s="935"/>
      <c r="AL738" s="935"/>
      <c r="AM738" s="935"/>
      <c r="AN738" s="935"/>
      <c r="AO738" s="312"/>
      <c r="AP738" s="32"/>
      <c r="AQ738" s="32"/>
      <c r="AR738" s="32"/>
      <c r="AS738" s="32"/>
      <c r="AT738" s="32"/>
      <c r="AU738" s="32"/>
      <c r="AV738" s="32"/>
      <c r="AW738" s="32"/>
      <c r="AX738" s="32"/>
      <c r="AY738" s="32"/>
      <c r="BB738" s="32"/>
      <c r="BE738" s="32"/>
      <c r="BJ738" s="32"/>
    </row>
    <row r="739" spans="17:62" x14ac:dyDescent="0.25">
      <c r="Q739" s="32"/>
      <c r="AG739" s="37"/>
      <c r="AH739" s="312"/>
      <c r="AI739" s="935"/>
      <c r="AJ739" s="935"/>
      <c r="AK739" s="935"/>
      <c r="AL739" s="935"/>
      <c r="AM739" s="935"/>
      <c r="AN739" s="935"/>
      <c r="AO739" s="312"/>
      <c r="AP739" s="32"/>
      <c r="AQ739" s="32"/>
      <c r="AR739" s="32"/>
      <c r="AS739" s="32"/>
      <c r="AT739" s="32"/>
      <c r="AU739" s="32"/>
      <c r="AV739" s="32"/>
      <c r="AW739" s="32"/>
      <c r="AX739" s="32"/>
      <c r="AY739" s="32"/>
      <c r="BB739" s="32"/>
      <c r="BE739" s="32"/>
      <c r="BJ739" s="32"/>
    </row>
    <row r="740" spans="17:62" x14ac:dyDescent="0.25">
      <c r="Q740" s="32"/>
      <c r="AG740" s="37"/>
      <c r="AH740" s="312"/>
      <c r="AI740" s="935"/>
      <c r="AJ740" s="935"/>
      <c r="AK740" s="935"/>
      <c r="AL740" s="935"/>
      <c r="AM740" s="935"/>
      <c r="AN740" s="935"/>
      <c r="AO740" s="312"/>
      <c r="AP740" s="32"/>
      <c r="AQ740" s="32"/>
      <c r="AR740" s="32"/>
      <c r="AS740" s="32"/>
      <c r="AT740" s="32"/>
      <c r="AU740" s="32"/>
      <c r="AV740" s="32"/>
      <c r="AW740" s="32"/>
      <c r="AX740" s="32"/>
      <c r="AY740" s="32"/>
      <c r="BB740" s="32"/>
      <c r="BE740" s="32"/>
      <c r="BJ740" s="32"/>
    </row>
    <row r="741" spans="17:62" x14ac:dyDescent="0.25">
      <c r="Q741" s="32"/>
      <c r="AG741" s="37"/>
      <c r="AH741" s="312"/>
      <c r="AI741" s="935"/>
      <c r="AJ741" s="935"/>
      <c r="AK741" s="935"/>
      <c r="AL741" s="935"/>
      <c r="AM741" s="935"/>
      <c r="AN741" s="935"/>
      <c r="AO741" s="312"/>
      <c r="AP741" s="32"/>
      <c r="AQ741" s="32"/>
      <c r="AR741" s="32"/>
      <c r="AS741" s="32"/>
      <c r="AT741" s="32"/>
      <c r="AU741" s="32"/>
      <c r="AV741" s="32"/>
      <c r="AW741" s="32"/>
      <c r="AX741" s="32"/>
      <c r="AY741" s="32"/>
      <c r="BB741" s="32"/>
      <c r="BE741" s="32"/>
      <c r="BJ741" s="32"/>
    </row>
    <row r="742" spans="17:62" x14ac:dyDescent="0.25">
      <c r="Q742" s="32"/>
      <c r="AG742" s="37"/>
      <c r="AH742" s="312"/>
      <c r="AI742" s="935"/>
      <c r="AJ742" s="935"/>
      <c r="AK742" s="935"/>
      <c r="AL742" s="935"/>
      <c r="AM742" s="935"/>
      <c r="AN742" s="935"/>
      <c r="AO742" s="312"/>
      <c r="AP742" s="32"/>
      <c r="AQ742" s="32"/>
      <c r="AR742" s="32"/>
      <c r="AS742" s="32"/>
      <c r="AT742" s="32"/>
      <c r="AU742" s="32"/>
      <c r="AV742" s="32"/>
      <c r="AW742" s="32"/>
      <c r="AX742" s="32"/>
      <c r="AY742" s="32"/>
      <c r="BB742" s="32"/>
      <c r="BE742" s="32"/>
      <c r="BJ742" s="32"/>
    </row>
    <row r="743" spans="17:62" x14ac:dyDescent="0.25">
      <c r="Q743" s="32"/>
      <c r="AG743" s="37"/>
      <c r="AH743" s="312"/>
      <c r="AI743" s="935"/>
      <c r="AJ743" s="935"/>
      <c r="AK743" s="935"/>
      <c r="AL743" s="935"/>
      <c r="AM743" s="935"/>
      <c r="AN743" s="935"/>
      <c r="AO743" s="312"/>
      <c r="AP743" s="32"/>
      <c r="AQ743" s="32"/>
      <c r="AR743" s="32"/>
      <c r="AS743" s="32"/>
      <c r="AT743" s="32"/>
      <c r="AU743" s="32"/>
      <c r="AV743" s="32"/>
      <c r="AW743" s="32"/>
      <c r="AX743" s="32"/>
      <c r="AY743" s="32"/>
      <c r="BB743" s="32"/>
      <c r="BE743" s="32"/>
      <c r="BJ743" s="32"/>
    </row>
    <row r="744" spans="17:62" x14ac:dyDescent="0.25">
      <c r="Q744" s="32"/>
      <c r="AG744" s="37"/>
      <c r="AH744" s="312"/>
      <c r="AI744" s="935"/>
      <c r="AJ744" s="935"/>
      <c r="AK744" s="935"/>
      <c r="AL744" s="935"/>
      <c r="AM744" s="935"/>
      <c r="AN744" s="935"/>
      <c r="AO744" s="312"/>
      <c r="AP744" s="32"/>
      <c r="AQ744" s="32"/>
      <c r="AR744" s="32"/>
      <c r="AS744" s="32"/>
      <c r="AT744" s="32"/>
      <c r="AU744" s="32"/>
      <c r="AV744" s="32"/>
      <c r="AW744" s="32"/>
      <c r="AX744" s="32"/>
      <c r="AY744" s="32"/>
      <c r="BB744" s="32"/>
      <c r="BE744" s="32"/>
      <c r="BJ744" s="32"/>
    </row>
    <row r="745" spans="17:62" x14ac:dyDescent="0.25">
      <c r="Q745" s="32"/>
      <c r="AG745" s="37"/>
      <c r="AH745" s="312"/>
      <c r="AI745" s="935"/>
      <c r="AJ745" s="935"/>
      <c r="AK745" s="935"/>
      <c r="AL745" s="935"/>
      <c r="AM745" s="935"/>
      <c r="AN745" s="935"/>
      <c r="AO745" s="312"/>
      <c r="AP745" s="32"/>
      <c r="AQ745" s="32"/>
      <c r="AR745" s="32"/>
      <c r="AS745" s="32"/>
      <c r="AT745" s="32"/>
      <c r="AU745" s="32"/>
      <c r="AV745" s="32"/>
      <c r="AW745" s="32"/>
      <c r="AX745" s="32"/>
      <c r="AY745" s="32"/>
      <c r="BB745" s="32"/>
      <c r="BE745" s="32"/>
      <c r="BJ745" s="32"/>
    </row>
    <row r="746" spans="17:62" x14ac:dyDescent="0.25">
      <c r="Q746" s="32"/>
      <c r="AG746" s="37"/>
      <c r="AH746" s="312"/>
      <c r="AI746" s="935"/>
      <c r="AJ746" s="935"/>
      <c r="AK746" s="935"/>
      <c r="AL746" s="935"/>
      <c r="AM746" s="935"/>
      <c r="AN746" s="935"/>
      <c r="AO746" s="312"/>
      <c r="AP746" s="32"/>
      <c r="AQ746" s="32"/>
      <c r="AR746" s="32"/>
      <c r="AS746" s="32"/>
      <c r="AT746" s="32"/>
      <c r="AU746" s="32"/>
      <c r="AV746" s="32"/>
      <c r="AW746" s="32"/>
      <c r="AX746" s="32"/>
      <c r="AY746" s="32"/>
      <c r="BB746" s="32"/>
      <c r="BE746" s="32"/>
      <c r="BJ746" s="32"/>
    </row>
    <row r="747" spans="17:62" x14ac:dyDescent="0.25">
      <c r="Q747" s="32"/>
      <c r="AG747" s="37"/>
      <c r="AH747" s="312"/>
      <c r="AI747" s="935"/>
      <c r="AJ747" s="935"/>
      <c r="AK747" s="935"/>
      <c r="AL747" s="935"/>
      <c r="AM747" s="935"/>
      <c r="AN747" s="935"/>
      <c r="AO747" s="312"/>
      <c r="AP747" s="32"/>
      <c r="AQ747" s="32"/>
      <c r="AR747" s="32"/>
      <c r="AS747" s="32"/>
      <c r="AT747" s="32"/>
      <c r="AU747" s="32"/>
      <c r="AV747" s="32"/>
      <c r="AW747" s="32"/>
      <c r="AX747" s="32"/>
      <c r="AY747" s="32"/>
      <c r="BB747" s="32"/>
      <c r="BE747" s="32"/>
      <c r="BJ747" s="32"/>
    </row>
    <row r="748" spans="17:62" x14ac:dyDescent="0.25">
      <c r="Q748" s="32"/>
      <c r="AG748" s="37"/>
      <c r="AH748" s="312"/>
      <c r="AI748" s="935"/>
      <c r="AJ748" s="935"/>
      <c r="AK748" s="935"/>
      <c r="AL748" s="935"/>
      <c r="AM748" s="935"/>
      <c r="AN748" s="935"/>
      <c r="AO748" s="312"/>
      <c r="AP748" s="32"/>
      <c r="AQ748" s="32"/>
      <c r="AR748" s="32"/>
      <c r="AS748" s="32"/>
      <c r="AT748" s="32"/>
      <c r="AU748" s="32"/>
      <c r="AV748" s="32"/>
      <c r="AW748" s="32"/>
      <c r="AX748" s="32"/>
      <c r="AY748" s="32"/>
      <c r="BB748" s="32"/>
      <c r="BE748" s="32"/>
      <c r="BJ748" s="32"/>
    </row>
    <row r="749" spans="17:62" x14ac:dyDescent="0.25">
      <c r="Q749" s="32"/>
      <c r="AG749" s="37"/>
      <c r="AH749" s="312"/>
      <c r="AI749" s="935"/>
      <c r="AJ749" s="935"/>
      <c r="AK749" s="935"/>
      <c r="AL749" s="935"/>
      <c r="AM749" s="935"/>
      <c r="AN749" s="935"/>
      <c r="AO749" s="312"/>
      <c r="AP749" s="32"/>
      <c r="AQ749" s="32"/>
      <c r="AR749" s="32"/>
      <c r="AS749" s="32"/>
      <c r="AT749" s="32"/>
      <c r="AU749" s="32"/>
      <c r="AV749" s="32"/>
      <c r="AW749" s="32"/>
      <c r="AX749" s="32"/>
      <c r="AY749" s="32"/>
      <c r="BB749" s="32"/>
      <c r="BE749" s="32"/>
      <c r="BJ749" s="32"/>
    </row>
    <row r="750" spans="17:62" x14ac:dyDescent="0.25">
      <c r="Q750" s="32"/>
      <c r="AG750" s="37"/>
      <c r="AH750" s="312"/>
      <c r="AI750" s="935"/>
      <c r="AJ750" s="935"/>
      <c r="AK750" s="935"/>
      <c r="AL750" s="935"/>
      <c r="AM750" s="935"/>
      <c r="AN750" s="935"/>
      <c r="AO750" s="312"/>
      <c r="AP750" s="32"/>
      <c r="AQ750" s="32"/>
      <c r="AR750" s="32"/>
      <c r="AS750" s="32"/>
      <c r="AT750" s="32"/>
      <c r="AU750" s="32"/>
      <c r="AV750" s="32"/>
      <c r="AW750" s="32"/>
      <c r="AX750" s="32"/>
      <c r="AY750" s="32"/>
      <c r="BB750" s="32"/>
      <c r="BE750" s="32"/>
      <c r="BJ750" s="32"/>
    </row>
    <row r="751" spans="17:62" x14ac:dyDescent="0.25">
      <c r="Q751" s="32"/>
      <c r="AG751" s="37"/>
      <c r="AH751" s="312"/>
      <c r="AI751" s="935"/>
      <c r="AJ751" s="935"/>
      <c r="AK751" s="935"/>
      <c r="AL751" s="935"/>
      <c r="AM751" s="935"/>
      <c r="AN751" s="935"/>
      <c r="AO751" s="312"/>
      <c r="AP751" s="32"/>
      <c r="AQ751" s="32"/>
      <c r="AR751" s="32"/>
      <c r="AS751" s="32"/>
      <c r="AT751" s="32"/>
      <c r="AU751" s="32"/>
      <c r="AV751" s="32"/>
      <c r="AW751" s="32"/>
      <c r="AX751" s="32"/>
      <c r="AY751" s="32"/>
      <c r="BB751" s="32"/>
      <c r="BE751" s="32"/>
      <c r="BJ751" s="32"/>
    </row>
    <row r="752" spans="17:62" x14ac:dyDescent="0.25">
      <c r="Q752" s="32"/>
      <c r="AG752" s="37"/>
      <c r="AH752" s="312"/>
      <c r="AI752" s="935"/>
      <c r="AJ752" s="935"/>
      <c r="AK752" s="935"/>
      <c r="AL752" s="935"/>
      <c r="AM752" s="935"/>
      <c r="AN752" s="935"/>
      <c r="AO752" s="312"/>
      <c r="AP752" s="32"/>
      <c r="AQ752" s="32"/>
      <c r="AR752" s="32"/>
      <c r="AS752" s="32"/>
      <c r="AT752" s="32"/>
      <c r="AU752" s="32"/>
      <c r="AV752" s="32"/>
      <c r="AW752" s="32"/>
      <c r="AX752" s="32"/>
      <c r="AY752" s="32"/>
      <c r="BB752" s="32"/>
      <c r="BE752" s="32"/>
      <c r="BJ752" s="32"/>
    </row>
    <row r="753" spans="17:62" x14ac:dyDescent="0.25">
      <c r="Q753" s="32"/>
      <c r="AG753" s="37"/>
      <c r="AH753" s="312"/>
      <c r="AI753" s="935"/>
      <c r="AJ753" s="935"/>
      <c r="AK753" s="935"/>
      <c r="AL753" s="935"/>
      <c r="AM753" s="935"/>
      <c r="AN753" s="935"/>
      <c r="AO753" s="312"/>
      <c r="AP753" s="32"/>
      <c r="AQ753" s="32"/>
      <c r="AR753" s="32"/>
      <c r="AS753" s="32"/>
      <c r="AT753" s="32"/>
      <c r="AU753" s="32"/>
      <c r="AV753" s="32"/>
      <c r="AW753" s="32"/>
      <c r="AX753" s="32"/>
      <c r="AY753" s="32"/>
      <c r="BB753" s="32"/>
      <c r="BE753" s="32"/>
      <c r="BJ753" s="32"/>
    </row>
    <row r="754" spans="17:62" x14ac:dyDescent="0.25">
      <c r="Q754" s="32"/>
      <c r="AG754" s="37"/>
      <c r="AH754" s="312"/>
      <c r="AI754" s="935"/>
      <c r="AJ754" s="935"/>
      <c r="AK754" s="935"/>
      <c r="AL754" s="935"/>
      <c r="AM754" s="935"/>
      <c r="AN754" s="935"/>
      <c r="AO754" s="312"/>
      <c r="AP754" s="32"/>
      <c r="AQ754" s="32"/>
      <c r="AR754" s="32"/>
      <c r="AS754" s="32"/>
      <c r="AT754" s="32"/>
      <c r="AU754" s="32"/>
      <c r="AV754" s="32"/>
      <c r="AW754" s="32"/>
      <c r="AX754" s="32"/>
      <c r="AY754" s="32"/>
      <c r="BB754" s="32"/>
      <c r="BE754" s="32"/>
      <c r="BJ754" s="32"/>
    </row>
    <row r="755" spans="17:62" x14ac:dyDescent="0.25">
      <c r="Q755" s="32"/>
      <c r="AG755" s="37"/>
      <c r="AH755" s="312"/>
      <c r="AI755" s="935"/>
      <c r="AJ755" s="935"/>
      <c r="AK755" s="935"/>
      <c r="AL755" s="935"/>
      <c r="AM755" s="935"/>
      <c r="AN755" s="935"/>
      <c r="AO755" s="312"/>
      <c r="AP755" s="32"/>
      <c r="AQ755" s="32"/>
      <c r="AR755" s="32"/>
      <c r="AS755" s="32"/>
      <c r="AT755" s="32"/>
      <c r="AU755" s="32"/>
      <c r="AV755" s="32"/>
      <c r="AW755" s="32"/>
      <c r="AX755" s="32"/>
      <c r="AY755" s="32"/>
      <c r="BB755" s="32"/>
      <c r="BE755" s="32"/>
      <c r="BJ755" s="32"/>
    </row>
    <row r="756" spans="17:62" x14ac:dyDescent="0.25">
      <c r="Q756" s="32"/>
      <c r="AG756" s="37"/>
      <c r="AH756" s="312"/>
      <c r="AI756" s="935"/>
      <c r="AJ756" s="935"/>
      <c r="AK756" s="935"/>
      <c r="AL756" s="935"/>
      <c r="AM756" s="935"/>
      <c r="AN756" s="935"/>
      <c r="AO756" s="312"/>
      <c r="AP756" s="32"/>
      <c r="AQ756" s="32"/>
      <c r="AR756" s="32"/>
      <c r="AS756" s="32"/>
      <c r="AT756" s="32"/>
      <c r="AU756" s="32"/>
      <c r="AV756" s="32"/>
      <c r="AW756" s="32"/>
      <c r="AX756" s="32"/>
      <c r="AY756" s="32"/>
      <c r="BB756" s="32"/>
      <c r="BE756" s="32"/>
      <c r="BJ756" s="32"/>
    </row>
    <row r="757" spans="17:62" x14ac:dyDescent="0.25">
      <c r="Q757" s="32"/>
      <c r="AG757" s="37"/>
      <c r="AH757" s="312"/>
      <c r="AI757" s="935"/>
      <c r="AJ757" s="935"/>
      <c r="AK757" s="935"/>
      <c r="AL757" s="935"/>
      <c r="AM757" s="935"/>
      <c r="AN757" s="935"/>
      <c r="AO757" s="312"/>
      <c r="AP757" s="32"/>
      <c r="AQ757" s="32"/>
      <c r="AR757" s="32"/>
      <c r="AS757" s="32"/>
      <c r="AT757" s="32"/>
      <c r="AU757" s="32"/>
      <c r="AV757" s="32"/>
      <c r="AW757" s="32"/>
      <c r="AX757" s="32"/>
      <c r="AY757" s="32"/>
      <c r="BB757" s="32"/>
      <c r="BE757" s="32"/>
      <c r="BJ757" s="32"/>
    </row>
    <row r="758" spans="17:62" x14ac:dyDescent="0.25">
      <c r="Q758" s="32"/>
      <c r="AG758" s="37"/>
      <c r="AH758" s="312"/>
      <c r="AI758" s="935"/>
      <c r="AJ758" s="935"/>
      <c r="AK758" s="935"/>
      <c r="AL758" s="935"/>
      <c r="AM758" s="935"/>
      <c r="AN758" s="935"/>
      <c r="AO758" s="312"/>
      <c r="AP758" s="32"/>
      <c r="AQ758" s="32"/>
      <c r="AR758" s="32"/>
      <c r="AS758" s="32"/>
      <c r="AT758" s="32"/>
      <c r="AU758" s="32"/>
      <c r="AV758" s="32"/>
      <c r="AW758" s="32"/>
      <c r="AX758" s="32"/>
      <c r="AY758" s="32"/>
      <c r="BB758" s="32"/>
      <c r="BE758" s="32"/>
      <c r="BJ758" s="32"/>
    </row>
    <row r="759" spans="17:62" x14ac:dyDescent="0.25">
      <c r="Q759" s="32"/>
      <c r="AG759" s="37"/>
      <c r="AH759" s="312"/>
      <c r="AI759" s="935"/>
      <c r="AJ759" s="935"/>
      <c r="AK759" s="935"/>
      <c r="AL759" s="935"/>
      <c r="AM759" s="935"/>
      <c r="AN759" s="935"/>
      <c r="AO759" s="312"/>
      <c r="AP759" s="32"/>
      <c r="AQ759" s="32"/>
      <c r="AR759" s="32"/>
      <c r="AS759" s="32"/>
      <c r="AT759" s="32"/>
      <c r="AU759" s="32"/>
      <c r="AV759" s="32"/>
      <c r="AW759" s="32"/>
      <c r="AX759" s="32"/>
      <c r="AY759" s="32"/>
      <c r="BB759" s="32"/>
      <c r="BE759" s="32"/>
      <c r="BJ759" s="32"/>
    </row>
    <row r="760" spans="17:62" x14ac:dyDescent="0.25">
      <c r="Q760" s="32"/>
      <c r="AG760" s="37"/>
      <c r="AH760" s="312"/>
      <c r="AI760" s="935"/>
      <c r="AJ760" s="935"/>
      <c r="AK760" s="935"/>
      <c r="AL760" s="935"/>
      <c r="AM760" s="935"/>
      <c r="AN760" s="935"/>
      <c r="AO760" s="312"/>
      <c r="AP760" s="32"/>
      <c r="AQ760" s="32"/>
      <c r="AR760" s="32"/>
      <c r="AS760" s="32"/>
      <c r="AT760" s="32"/>
      <c r="AU760" s="32"/>
      <c r="AV760" s="32"/>
      <c r="AW760" s="32"/>
      <c r="AX760" s="32"/>
      <c r="AY760" s="32"/>
      <c r="BB760" s="32"/>
      <c r="BE760" s="32"/>
      <c r="BJ760" s="32"/>
    </row>
    <row r="761" spans="17:62" x14ac:dyDescent="0.25">
      <c r="Q761" s="32"/>
      <c r="AG761" s="37"/>
      <c r="AH761" s="312"/>
      <c r="AI761" s="935"/>
      <c r="AJ761" s="935"/>
      <c r="AK761" s="935"/>
      <c r="AL761" s="935"/>
      <c r="AM761" s="935"/>
      <c r="AN761" s="935"/>
      <c r="AO761" s="312"/>
      <c r="AP761" s="32"/>
      <c r="AQ761" s="32"/>
      <c r="AR761" s="32"/>
      <c r="AS761" s="32"/>
      <c r="AT761" s="32"/>
      <c r="AU761" s="32"/>
      <c r="AV761" s="32"/>
      <c r="AW761" s="32"/>
      <c r="AX761" s="32"/>
      <c r="AY761" s="32"/>
      <c r="BB761" s="32"/>
      <c r="BE761" s="32"/>
      <c r="BJ761" s="32"/>
    </row>
    <row r="762" spans="17:62" x14ac:dyDescent="0.25">
      <c r="Q762" s="32"/>
      <c r="AG762" s="37"/>
      <c r="AH762" s="312"/>
      <c r="AI762" s="935"/>
      <c r="AJ762" s="935"/>
      <c r="AK762" s="935"/>
      <c r="AL762" s="935"/>
      <c r="AM762" s="935"/>
      <c r="AN762" s="935"/>
      <c r="AO762" s="312"/>
      <c r="AP762" s="32"/>
      <c r="AQ762" s="32"/>
      <c r="AR762" s="32"/>
      <c r="AS762" s="32"/>
      <c r="AT762" s="32"/>
      <c r="AU762" s="32"/>
      <c r="AV762" s="32"/>
      <c r="AW762" s="32"/>
      <c r="AX762" s="32"/>
      <c r="AY762" s="32"/>
      <c r="BB762" s="32"/>
      <c r="BE762" s="32"/>
      <c r="BJ762" s="32"/>
    </row>
    <row r="763" spans="17:62" x14ac:dyDescent="0.25">
      <c r="Q763" s="32"/>
      <c r="AG763" s="37"/>
      <c r="AH763" s="312"/>
      <c r="AI763" s="935"/>
      <c r="AJ763" s="935"/>
      <c r="AK763" s="935"/>
      <c r="AL763" s="935"/>
      <c r="AM763" s="935"/>
      <c r="AN763" s="935"/>
      <c r="AO763" s="312"/>
      <c r="AP763" s="32"/>
      <c r="AQ763" s="32"/>
      <c r="AR763" s="32"/>
      <c r="AS763" s="32"/>
      <c r="AT763" s="32"/>
      <c r="AU763" s="32"/>
      <c r="AV763" s="32"/>
      <c r="AW763" s="32"/>
      <c r="AX763" s="32"/>
      <c r="AY763" s="32"/>
      <c r="BB763" s="32"/>
      <c r="BE763" s="32"/>
      <c r="BJ763" s="32"/>
    </row>
    <row r="764" spans="17:62" x14ac:dyDescent="0.25">
      <c r="Q764" s="32"/>
      <c r="AG764" s="37"/>
      <c r="AH764" s="312"/>
      <c r="AI764" s="935"/>
      <c r="AJ764" s="935"/>
      <c r="AK764" s="935"/>
      <c r="AL764" s="935"/>
      <c r="AM764" s="935"/>
      <c r="AN764" s="935"/>
      <c r="AO764" s="312"/>
      <c r="AP764" s="32"/>
      <c r="AQ764" s="32"/>
      <c r="AR764" s="32"/>
      <c r="AS764" s="32"/>
      <c r="AT764" s="32"/>
      <c r="AU764" s="32"/>
      <c r="AV764" s="32"/>
      <c r="AW764" s="32"/>
      <c r="AX764" s="32"/>
      <c r="AY764" s="32"/>
      <c r="BB764" s="32"/>
      <c r="BE764" s="32"/>
      <c r="BJ764" s="32"/>
    </row>
    <row r="765" spans="17:62" x14ac:dyDescent="0.25">
      <c r="Q765" s="32"/>
      <c r="AG765" s="37"/>
      <c r="AH765" s="312"/>
      <c r="AI765" s="935"/>
      <c r="AJ765" s="935"/>
      <c r="AK765" s="935"/>
      <c r="AL765" s="935"/>
      <c r="AM765" s="935"/>
      <c r="AN765" s="935"/>
      <c r="AO765" s="312"/>
      <c r="AP765" s="32"/>
      <c r="AQ765" s="32"/>
      <c r="AR765" s="32"/>
      <c r="AS765" s="32"/>
      <c r="AT765" s="32"/>
      <c r="AU765" s="32"/>
      <c r="AV765" s="32"/>
      <c r="AW765" s="32"/>
      <c r="AX765" s="32"/>
      <c r="AY765" s="32"/>
      <c r="BB765" s="32"/>
      <c r="BE765" s="32"/>
      <c r="BJ765" s="32"/>
    </row>
    <row r="766" spans="17:62" x14ac:dyDescent="0.25">
      <c r="Q766" s="32"/>
      <c r="AG766" s="37"/>
      <c r="AH766" s="312"/>
      <c r="AI766" s="935"/>
      <c r="AJ766" s="935"/>
      <c r="AK766" s="935"/>
      <c r="AL766" s="935"/>
      <c r="AM766" s="935"/>
      <c r="AN766" s="935"/>
      <c r="AO766" s="312"/>
      <c r="AP766" s="32"/>
      <c r="AQ766" s="32"/>
      <c r="AR766" s="32"/>
      <c r="AS766" s="32"/>
      <c r="AT766" s="32"/>
      <c r="AU766" s="32"/>
      <c r="AV766" s="32"/>
      <c r="AW766" s="32"/>
      <c r="AX766" s="32"/>
      <c r="AY766" s="32"/>
      <c r="BB766" s="32"/>
      <c r="BE766" s="32"/>
      <c r="BJ766" s="32"/>
    </row>
    <row r="767" spans="17:62" x14ac:dyDescent="0.25">
      <c r="Q767" s="32"/>
      <c r="AG767" s="37"/>
      <c r="AH767" s="312"/>
      <c r="AI767" s="935"/>
      <c r="AJ767" s="935"/>
      <c r="AK767" s="935"/>
      <c r="AL767" s="935"/>
      <c r="AM767" s="935"/>
      <c r="AN767" s="935"/>
      <c r="AO767" s="312"/>
      <c r="AP767" s="32"/>
      <c r="AQ767" s="32"/>
      <c r="AR767" s="32"/>
      <c r="AS767" s="32"/>
      <c r="AT767" s="32"/>
      <c r="AU767" s="32"/>
      <c r="AV767" s="32"/>
      <c r="AW767" s="32"/>
      <c r="AX767" s="32"/>
      <c r="AY767" s="32"/>
      <c r="BB767" s="32"/>
      <c r="BE767" s="32"/>
      <c r="BJ767" s="32"/>
    </row>
    <row r="768" spans="17:62" x14ac:dyDescent="0.25">
      <c r="Q768" s="32"/>
      <c r="AG768" s="37"/>
      <c r="AH768" s="312"/>
      <c r="AI768" s="935"/>
      <c r="AJ768" s="935"/>
      <c r="AK768" s="935"/>
      <c r="AL768" s="935"/>
      <c r="AM768" s="935"/>
      <c r="AN768" s="935"/>
      <c r="AO768" s="312"/>
      <c r="AP768" s="32"/>
      <c r="AQ768" s="32"/>
      <c r="AR768" s="32"/>
      <c r="AS768" s="32"/>
      <c r="AT768" s="32"/>
      <c r="AU768" s="32"/>
      <c r="AV768" s="32"/>
      <c r="AW768" s="32"/>
      <c r="AX768" s="32"/>
      <c r="AY768" s="32"/>
      <c r="BB768" s="32"/>
      <c r="BE768" s="32"/>
      <c r="BJ768" s="32"/>
    </row>
    <row r="769" spans="17:62" x14ac:dyDescent="0.25">
      <c r="Q769" s="32"/>
      <c r="AG769" s="37"/>
      <c r="AH769" s="312"/>
      <c r="AI769" s="935"/>
      <c r="AJ769" s="935"/>
      <c r="AK769" s="935"/>
      <c r="AL769" s="935"/>
      <c r="AM769" s="935"/>
      <c r="AN769" s="935"/>
      <c r="AO769" s="312"/>
      <c r="AP769" s="32"/>
      <c r="AQ769" s="32"/>
      <c r="AR769" s="32"/>
      <c r="AS769" s="32"/>
      <c r="AT769" s="32"/>
      <c r="AU769" s="32"/>
      <c r="AV769" s="32"/>
      <c r="AW769" s="32"/>
      <c r="AX769" s="32"/>
      <c r="AY769" s="32"/>
      <c r="BB769" s="32"/>
      <c r="BE769" s="32"/>
      <c r="BJ769" s="32"/>
    </row>
    <row r="770" spans="17:62" x14ac:dyDescent="0.25">
      <c r="Q770" s="32"/>
      <c r="AG770" s="37"/>
      <c r="AH770" s="312"/>
      <c r="AI770" s="935"/>
      <c r="AJ770" s="935"/>
      <c r="AK770" s="935"/>
      <c r="AL770" s="935"/>
      <c r="AM770" s="935"/>
      <c r="AN770" s="935"/>
      <c r="AO770" s="312"/>
      <c r="AP770" s="32"/>
      <c r="AQ770" s="32"/>
      <c r="AR770" s="32"/>
      <c r="AS770" s="32"/>
      <c r="AT770" s="32"/>
      <c r="AU770" s="32"/>
      <c r="AV770" s="32"/>
      <c r="AW770" s="32"/>
      <c r="AX770" s="32"/>
      <c r="AY770" s="32"/>
      <c r="BB770" s="32"/>
      <c r="BE770" s="32"/>
      <c r="BJ770" s="32"/>
    </row>
    <row r="771" spans="17:62" x14ac:dyDescent="0.25">
      <c r="Q771" s="32"/>
      <c r="AG771" s="37"/>
      <c r="AH771" s="312"/>
      <c r="AI771" s="935"/>
      <c r="AJ771" s="935"/>
      <c r="AK771" s="935"/>
      <c r="AL771" s="935"/>
      <c r="AM771" s="935"/>
      <c r="AN771" s="935"/>
      <c r="AO771" s="312"/>
      <c r="AP771" s="32"/>
      <c r="AQ771" s="32"/>
      <c r="AR771" s="32"/>
      <c r="AS771" s="32"/>
      <c r="AT771" s="32"/>
      <c r="AU771" s="32"/>
      <c r="AV771" s="32"/>
      <c r="AW771" s="32"/>
      <c r="AX771" s="32"/>
      <c r="AY771" s="32"/>
      <c r="BB771" s="32"/>
      <c r="BE771" s="32"/>
      <c r="BJ771" s="32"/>
    </row>
    <row r="772" spans="17:62" x14ac:dyDescent="0.25">
      <c r="Q772" s="32"/>
      <c r="AG772" s="37"/>
      <c r="AH772" s="312"/>
      <c r="AI772" s="935"/>
      <c r="AJ772" s="935"/>
      <c r="AK772" s="935"/>
      <c r="AL772" s="935"/>
      <c r="AM772" s="935"/>
      <c r="AN772" s="935"/>
      <c r="AO772" s="312"/>
      <c r="AP772" s="32"/>
      <c r="AQ772" s="32"/>
      <c r="AR772" s="32"/>
      <c r="AS772" s="32"/>
      <c r="AT772" s="32"/>
      <c r="AU772" s="32"/>
      <c r="AV772" s="32"/>
      <c r="AW772" s="32"/>
      <c r="AX772" s="32"/>
      <c r="AY772" s="32"/>
      <c r="BB772" s="32"/>
      <c r="BE772" s="32"/>
      <c r="BJ772" s="32"/>
    </row>
    <row r="773" spans="17:62" x14ac:dyDescent="0.25">
      <c r="Q773" s="32"/>
      <c r="AG773" s="37"/>
      <c r="AH773" s="312"/>
      <c r="AI773" s="935"/>
      <c r="AJ773" s="935"/>
      <c r="AK773" s="935"/>
      <c r="AL773" s="935"/>
      <c r="AM773" s="935"/>
      <c r="AN773" s="935"/>
      <c r="AO773" s="312"/>
      <c r="AP773" s="32"/>
      <c r="AQ773" s="32"/>
      <c r="AR773" s="32"/>
      <c r="AS773" s="32"/>
      <c r="AT773" s="32"/>
      <c r="AU773" s="32"/>
      <c r="AV773" s="32"/>
      <c r="AW773" s="32"/>
      <c r="AX773" s="32"/>
      <c r="AY773" s="32"/>
      <c r="BB773" s="32"/>
      <c r="BE773" s="32"/>
      <c r="BJ773" s="32"/>
    </row>
    <row r="774" spans="17:62" x14ac:dyDescent="0.25">
      <c r="Q774" s="32"/>
      <c r="AG774" s="37"/>
      <c r="AH774" s="312"/>
      <c r="AI774" s="935"/>
      <c r="AJ774" s="935"/>
      <c r="AK774" s="935"/>
      <c r="AL774" s="935"/>
      <c r="AM774" s="935"/>
      <c r="AN774" s="935"/>
      <c r="AO774" s="312"/>
      <c r="AP774" s="32"/>
      <c r="AQ774" s="32"/>
      <c r="AR774" s="32"/>
      <c r="AS774" s="32"/>
      <c r="AT774" s="32"/>
      <c r="AU774" s="32"/>
      <c r="AV774" s="32"/>
      <c r="AW774" s="32"/>
      <c r="AX774" s="32"/>
      <c r="AY774" s="32"/>
      <c r="BB774" s="32"/>
      <c r="BE774" s="32"/>
      <c r="BJ774" s="32"/>
    </row>
    <row r="775" spans="17:62" x14ac:dyDescent="0.25">
      <c r="Q775" s="32"/>
      <c r="AG775" s="37"/>
      <c r="AH775" s="312"/>
      <c r="AI775" s="935"/>
      <c r="AJ775" s="935"/>
      <c r="AK775" s="935"/>
      <c r="AL775" s="935"/>
      <c r="AM775" s="935"/>
      <c r="AN775" s="935"/>
      <c r="AO775" s="312"/>
      <c r="AP775" s="32"/>
      <c r="AQ775" s="32"/>
      <c r="AR775" s="32"/>
      <c r="AS775" s="32"/>
      <c r="AT775" s="32"/>
      <c r="AU775" s="32"/>
      <c r="AV775" s="32"/>
      <c r="AW775" s="32"/>
      <c r="AX775" s="32"/>
      <c r="AY775" s="32"/>
      <c r="BB775" s="32"/>
      <c r="BE775" s="32"/>
      <c r="BJ775" s="32"/>
    </row>
    <row r="776" spans="17:62" x14ac:dyDescent="0.25">
      <c r="Q776" s="32"/>
      <c r="AG776" s="37"/>
      <c r="AH776" s="312"/>
      <c r="AI776" s="935"/>
      <c r="AJ776" s="935"/>
      <c r="AK776" s="935"/>
      <c r="AL776" s="935"/>
      <c r="AM776" s="935"/>
      <c r="AN776" s="935"/>
      <c r="AO776" s="312"/>
      <c r="AP776" s="32"/>
      <c r="AQ776" s="32"/>
      <c r="AR776" s="32"/>
      <c r="AS776" s="32"/>
      <c r="AT776" s="32"/>
      <c r="AU776" s="32"/>
      <c r="AV776" s="32"/>
      <c r="AW776" s="32"/>
      <c r="AX776" s="32"/>
      <c r="AY776" s="32"/>
      <c r="BB776" s="32"/>
      <c r="BE776" s="32"/>
      <c r="BJ776" s="32"/>
    </row>
    <row r="777" spans="17:62" x14ac:dyDescent="0.25">
      <c r="Q777" s="32"/>
      <c r="AG777" s="37"/>
      <c r="AH777" s="312"/>
      <c r="AI777" s="935"/>
      <c r="AJ777" s="935"/>
      <c r="AK777" s="935"/>
      <c r="AL777" s="935"/>
      <c r="AM777" s="935"/>
      <c r="AN777" s="935"/>
      <c r="AO777" s="312"/>
      <c r="AP777" s="32"/>
      <c r="AQ777" s="32"/>
      <c r="AR777" s="32"/>
      <c r="AS777" s="32"/>
      <c r="AT777" s="32"/>
      <c r="AU777" s="32"/>
      <c r="AV777" s="32"/>
      <c r="AW777" s="32"/>
      <c r="AX777" s="32"/>
      <c r="AY777" s="32"/>
      <c r="BB777" s="32"/>
      <c r="BE777" s="32"/>
      <c r="BJ777" s="32"/>
    </row>
    <row r="778" spans="17:62" x14ac:dyDescent="0.25">
      <c r="Q778" s="32"/>
      <c r="AG778" s="37"/>
      <c r="AH778" s="312"/>
      <c r="AI778" s="935"/>
      <c r="AJ778" s="935"/>
      <c r="AK778" s="935"/>
      <c r="AL778" s="935"/>
      <c r="AM778" s="935"/>
      <c r="AN778" s="935"/>
      <c r="AO778" s="312"/>
      <c r="AP778" s="32"/>
      <c r="AQ778" s="32"/>
      <c r="AR778" s="32"/>
      <c r="AS778" s="32"/>
      <c r="AT778" s="32"/>
      <c r="AU778" s="32"/>
      <c r="AV778" s="32"/>
      <c r="AW778" s="32"/>
      <c r="AX778" s="32"/>
      <c r="AY778" s="32"/>
      <c r="BB778" s="32"/>
      <c r="BE778" s="32"/>
      <c r="BJ778" s="32"/>
    </row>
    <row r="779" spans="17:62" x14ac:dyDescent="0.25">
      <c r="Q779" s="32"/>
      <c r="AG779" s="37"/>
      <c r="AH779" s="312"/>
      <c r="AI779" s="935"/>
      <c r="AJ779" s="935"/>
      <c r="AK779" s="935"/>
      <c r="AL779" s="935"/>
      <c r="AM779" s="935"/>
      <c r="AN779" s="935"/>
      <c r="AO779" s="312"/>
      <c r="AP779" s="32"/>
      <c r="AQ779" s="32"/>
      <c r="AR779" s="32"/>
      <c r="AS779" s="32"/>
      <c r="AT779" s="32"/>
      <c r="AU779" s="32"/>
      <c r="AV779" s="32"/>
      <c r="AW779" s="32"/>
      <c r="AX779" s="32"/>
      <c r="AY779" s="32"/>
      <c r="BB779" s="32"/>
      <c r="BE779" s="32"/>
      <c r="BJ779" s="32"/>
    </row>
    <row r="780" spans="17:62" x14ac:dyDescent="0.25">
      <c r="Q780" s="32"/>
      <c r="AG780" s="37"/>
      <c r="AH780" s="312"/>
      <c r="AI780" s="935"/>
      <c r="AJ780" s="935"/>
      <c r="AK780" s="935"/>
      <c r="AL780" s="935"/>
      <c r="AM780" s="935"/>
      <c r="AN780" s="935"/>
      <c r="AO780" s="312"/>
      <c r="AP780" s="32"/>
      <c r="AQ780" s="32"/>
      <c r="AR780" s="32"/>
      <c r="AS780" s="32"/>
      <c r="AT780" s="32"/>
      <c r="AU780" s="32"/>
      <c r="AV780" s="32"/>
      <c r="AW780" s="32"/>
      <c r="AX780" s="32"/>
      <c r="AY780" s="32"/>
      <c r="BB780" s="32"/>
      <c r="BE780" s="32"/>
      <c r="BJ780" s="32"/>
    </row>
    <row r="781" spans="17:62" x14ac:dyDescent="0.25">
      <c r="Q781" s="32"/>
      <c r="AG781" s="37"/>
      <c r="AH781" s="312"/>
      <c r="AI781" s="935"/>
      <c r="AJ781" s="935"/>
      <c r="AK781" s="935"/>
      <c r="AL781" s="935"/>
      <c r="AM781" s="935"/>
      <c r="AN781" s="935"/>
      <c r="AO781" s="312"/>
      <c r="AP781" s="32"/>
      <c r="AQ781" s="32"/>
      <c r="AR781" s="32"/>
      <c r="AS781" s="32"/>
      <c r="AT781" s="32"/>
      <c r="AU781" s="32"/>
      <c r="AV781" s="32"/>
      <c r="AW781" s="32"/>
      <c r="AX781" s="32"/>
      <c r="AY781" s="32"/>
      <c r="BB781" s="32"/>
      <c r="BE781" s="32"/>
      <c r="BJ781" s="32"/>
    </row>
    <row r="782" spans="17:62" x14ac:dyDescent="0.25">
      <c r="Q782" s="32"/>
      <c r="AG782" s="37"/>
      <c r="AH782" s="312"/>
      <c r="AI782" s="935"/>
      <c r="AJ782" s="935"/>
      <c r="AK782" s="935"/>
      <c r="AL782" s="935"/>
      <c r="AM782" s="935"/>
      <c r="AN782" s="935"/>
      <c r="AO782" s="312"/>
      <c r="AP782" s="32"/>
      <c r="AQ782" s="32"/>
      <c r="AR782" s="32"/>
      <c r="AS782" s="32"/>
      <c r="AT782" s="32"/>
      <c r="AU782" s="32"/>
      <c r="AV782" s="32"/>
      <c r="AW782" s="32"/>
      <c r="AX782" s="32"/>
      <c r="AY782" s="32"/>
      <c r="BB782" s="32"/>
      <c r="BE782" s="32"/>
      <c r="BJ782" s="32"/>
    </row>
    <row r="783" spans="17:62" x14ac:dyDescent="0.25">
      <c r="Q783" s="32"/>
      <c r="AG783" s="37"/>
      <c r="AH783" s="312"/>
      <c r="AI783" s="935"/>
      <c r="AJ783" s="935"/>
      <c r="AK783" s="935"/>
      <c r="AL783" s="935"/>
      <c r="AM783" s="935"/>
      <c r="AN783" s="935"/>
      <c r="AO783" s="312"/>
      <c r="AP783" s="32"/>
      <c r="AQ783" s="32"/>
      <c r="AR783" s="32"/>
      <c r="AS783" s="32"/>
      <c r="AT783" s="32"/>
      <c r="AU783" s="32"/>
      <c r="AV783" s="32"/>
      <c r="AW783" s="32"/>
      <c r="AX783" s="32"/>
      <c r="AY783" s="32"/>
      <c r="BB783" s="32"/>
      <c r="BE783" s="32"/>
      <c r="BJ783" s="32"/>
    </row>
    <row r="784" spans="17:62" x14ac:dyDescent="0.25">
      <c r="Q784" s="32"/>
      <c r="AG784" s="37"/>
      <c r="AH784" s="312"/>
      <c r="AI784" s="935"/>
      <c r="AJ784" s="935"/>
      <c r="AK784" s="935"/>
      <c r="AL784" s="935"/>
      <c r="AM784" s="935"/>
      <c r="AN784" s="935"/>
      <c r="AO784" s="312"/>
      <c r="AP784" s="32"/>
      <c r="AQ784" s="32"/>
      <c r="AR784" s="32"/>
      <c r="AS784" s="32"/>
      <c r="AT784" s="32"/>
      <c r="AU784" s="32"/>
      <c r="AV784" s="32"/>
      <c r="AW784" s="32"/>
      <c r="AX784" s="32"/>
      <c r="AY784" s="32"/>
      <c r="BB784" s="32"/>
      <c r="BE784" s="32"/>
      <c r="BJ784" s="32"/>
    </row>
    <row r="785" spans="17:62" x14ac:dyDescent="0.25">
      <c r="Q785" s="32"/>
      <c r="AG785" s="37"/>
      <c r="AH785" s="312"/>
      <c r="AI785" s="935"/>
      <c r="AJ785" s="935"/>
      <c r="AK785" s="935"/>
      <c r="AL785" s="935"/>
      <c r="AM785" s="935"/>
      <c r="AN785" s="935"/>
      <c r="AO785" s="312"/>
      <c r="AP785" s="32"/>
      <c r="AQ785" s="32"/>
      <c r="AR785" s="32"/>
      <c r="AS785" s="32"/>
      <c r="AT785" s="32"/>
      <c r="AU785" s="32"/>
      <c r="AV785" s="32"/>
      <c r="AW785" s="32"/>
      <c r="AX785" s="32"/>
      <c r="AY785" s="32"/>
      <c r="BB785" s="32"/>
      <c r="BE785" s="32"/>
      <c r="BJ785" s="32"/>
    </row>
    <row r="786" spans="17:62" x14ac:dyDescent="0.25">
      <c r="Q786" s="32"/>
      <c r="AG786" s="37"/>
      <c r="AH786" s="312"/>
      <c r="AI786" s="935"/>
      <c r="AJ786" s="935"/>
      <c r="AK786" s="935"/>
      <c r="AL786" s="935"/>
      <c r="AM786" s="935"/>
      <c r="AN786" s="935"/>
      <c r="AO786" s="312"/>
      <c r="AP786" s="32"/>
      <c r="AQ786" s="32"/>
      <c r="AR786" s="32"/>
      <c r="AS786" s="32"/>
      <c r="AT786" s="32"/>
      <c r="AU786" s="32"/>
      <c r="AV786" s="32"/>
      <c r="AW786" s="32"/>
      <c r="AX786" s="32"/>
      <c r="AY786" s="32"/>
      <c r="BB786" s="32"/>
      <c r="BE786" s="32"/>
      <c r="BJ786" s="32"/>
    </row>
    <row r="787" spans="17:62" x14ac:dyDescent="0.25">
      <c r="Q787" s="32"/>
      <c r="AG787" s="37"/>
      <c r="AH787" s="312"/>
      <c r="AI787" s="935"/>
      <c r="AJ787" s="935"/>
      <c r="AK787" s="935"/>
      <c r="AL787" s="935"/>
      <c r="AM787" s="935"/>
      <c r="AN787" s="935"/>
      <c r="AO787" s="312"/>
      <c r="AP787" s="32"/>
      <c r="AQ787" s="32"/>
      <c r="AR787" s="32"/>
      <c r="AS787" s="32"/>
      <c r="AT787" s="32"/>
      <c r="AU787" s="32"/>
      <c r="AV787" s="32"/>
      <c r="AW787" s="32"/>
      <c r="AX787" s="32"/>
      <c r="AY787" s="32"/>
      <c r="BB787" s="32"/>
      <c r="BE787" s="32"/>
      <c r="BJ787" s="32"/>
    </row>
    <row r="788" spans="17:62" x14ac:dyDescent="0.25">
      <c r="Q788" s="32"/>
      <c r="AG788" s="37"/>
      <c r="AH788" s="312"/>
      <c r="AI788" s="935"/>
      <c r="AJ788" s="935"/>
      <c r="AK788" s="935"/>
      <c r="AL788" s="935"/>
      <c r="AM788" s="935"/>
      <c r="AN788" s="935"/>
      <c r="AO788" s="312"/>
      <c r="AP788" s="32"/>
      <c r="AQ788" s="32"/>
      <c r="AR788" s="32"/>
      <c r="AS788" s="32"/>
      <c r="AT788" s="32"/>
      <c r="AU788" s="32"/>
      <c r="AV788" s="32"/>
      <c r="AW788" s="32"/>
      <c r="AX788" s="32"/>
      <c r="AY788" s="32"/>
      <c r="BB788" s="32"/>
      <c r="BE788" s="32"/>
      <c r="BJ788" s="32"/>
    </row>
    <row r="789" spans="17:62" x14ac:dyDescent="0.25">
      <c r="Q789" s="32"/>
      <c r="AG789" s="37"/>
      <c r="AH789" s="312"/>
      <c r="AI789" s="935"/>
      <c r="AJ789" s="935"/>
      <c r="AK789" s="935"/>
      <c r="AL789" s="935"/>
      <c r="AM789" s="935"/>
      <c r="AN789" s="935"/>
      <c r="AO789" s="312"/>
      <c r="AP789" s="32"/>
      <c r="AQ789" s="32"/>
      <c r="AR789" s="32"/>
      <c r="AS789" s="32"/>
      <c r="AT789" s="32"/>
      <c r="AU789" s="32"/>
      <c r="AV789" s="32"/>
      <c r="AW789" s="32"/>
      <c r="AX789" s="32"/>
      <c r="AY789" s="32"/>
      <c r="BB789" s="32"/>
      <c r="BE789" s="32"/>
      <c r="BJ789" s="32"/>
    </row>
    <row r="790" spans="17:62" x14ac:dyDescent="0.25">
      <c r="Q790" s="32"/>
      <c r="AG790" s="37"/>
      <c r="AH790" s="312"/>
      <c r="AI790" s="935"/>
      <c r="AJ790" s="935"/>
      <c r="AK790" s="935"/>
      <c r="AL790" s="935"/>
      <c r="AM790" s="935"/>
      <c r="AN790" s="935"/>
      <c r="AO790" s="312"/>
      <c r="AP790" s="32"/>
      <c r="AQ790" s="32"/>
      <c r="AR790" s="32"/>
      <c r="AS790" s="32"/>
      <c r="AT790" s="32"/>
      <c r="AU790" s="32"/>
      <c r="AV790" s="32"/>
      <c r="AW790" s="32"/>
      <c r="AX790" s="32"/>
      <c r="AY790" s="32"/>
      <c r="BB790" s="32"/>
      <c r="BE790" s="32"/>
      <c r="BJ790" s="32"/>
    </row>
    <row r="791" spans="17:62" x14ac:dyDescent="0.25">
      <c r="Q791" s="32"/>
      <c r="AG791" s="37"/>
      <c r="AH791" s="312"/>
      <c r="AI791" s="935"/>
      <c r="AJ791" s="935"/>
      <c r="AK791" s="935"/>
      <c r="AL791" s="935"/>
      <c r="AM791" s="935"/>
      <c r="AN791" s="935"/>
      <c r="AO791" s="312"/>
      <c r="AP791" s="32"/>
      <c r="AQ791" s="32"/>
      <c r="AR791" s="32"/>
      <c r="AS791" s="32"/>
      <c r="AT791" s="32"/>
      <c r="AU791" s="32"/>
      <c r="AV791" s="32"/>
      <c r="AW791" s="32"/>
      <c r="AX791" s="32"/>
      <c r="AY791" s="32"/>
      <c r="BB791" s="32"/>
      <c r="BE791" s="32"/>
      <c r="BJ791" s="32"/>
    </row>
    <row r="792" spans="17:62" x14ac:dyDescent="0.25">
      <c r="Q792" s="32"/>
      <c r="AG792" s="37"/>
      <c r="AH792" s="312"/>
      <c r="AI792" s="935"/>
      <c r="AJ792" s="935"/>
      <c r="AK792" s="935"/>
      <c r="AL792" s="935"/>
      <c r="AM792" s="935"/>
      <c r="AN792" s="935"/>
      <c r="AO792" s="312"/>
      <c r="AP792" s="32"/>
      <c r="AQ792" s="32"/>
      <c r="AR792" s="32"/>
      <c r="AS792" s="32"/>
      <c r="AT792" s="32"/>
      <c r="AU792" s="32"/>
      <c r="AV792" s="32"/>
      <c r="AW792" s="32"/>
      <c r="AX792" s="32"/>
      <c r="AY792" s="32"/>
      <c r="BB792" s="32"/>
      <c r="BE792" s="32"/>
      <c r="BJ792" s="32"/>
    </row>
    <row r="793" spans="17:62" x14ac:dyDescent="0.25">
      <c r="Q793" s="32"/>
      <c r="AG793" s="37"/>
      <c r="AH793" s="312"/>
      <c r="AI793" s="935"/>
      <c r="AJ793" s="935"/>
      <c r="AK793" s="935"/>
      <c r="AL793" s="935"/>
      <c r="AM793" s="935"/>
      <c r="AN793" s="935"/>
      <c r="AO793" s="312"/>
      <c r="AP793" s="32"/>
      <c r="AQ793" s="32"/>
      <c r="AR793" s="32"/>
      <c r="AS793" s="32"/>
      <c r="AT793" s="32"/>
      <c r="AU793" s="32"/>
      <c r="AV793" s="32"/>
      <c r="AW793" s="32"/>
      <c r="AX793" s="32"/>
      <c r="AY793" s="32"/>
      <c r="BB793" s="32"/>
      <c r="BE793" s="32"/>
      <c r="BJ793" s="32"/>
    </row>
    <row r="794" spans="17:62" x14ac:dyDescent="0.25">
      <c r="Q794" s="32"/>
      <c r="AG794" s="37"/>
      <c r="AH794" s="312"/>
      <c r="AI794" s="935"/>
      <c r="AJ794" s="935"/>
      <c r="AK794" s="935"/>
      <c r="AL794" s="935"/>
      <c r="AM794" s="935"/>
      <c r="AN794" s="935"/>
      <c r="AO794" s="312"/>
      <c r="AP794" s="32"/>
      <c r="AQ794" s="32"/>
      <c r="AR794" s="32"/>
      <c r="AS794" s="32"/>
      <c r="AT794" s="32"/>
      <c r="AU794" s="32"/>
      <c r="AV794" s="32"/>
      <c r="AW794" s="32"/>
      <c r="AX794" s="32"/>
      <c r="AY794" s="32"/>
      <c r="BB794" s="32"/>
      <c r="BE794" s="32"/>
      <c r="BJ794" s="32"/>
    </row>
    <row r="795" spans="17:62" x14ac:dyDescent="0.25">
      <c r="Q795" s="32"/>
      <c r="AG795" s="37"/>
      <c r="AH795" s="312"/>
      <c r="AI795" s="935"/>
      <c r="AJ795" s="935"/>
      <c r="AK795" s="935"/>
      <c r="AL795" s="935"/>
      <c r="AM795" s="935"/>
      <c r="AN795" s="935"/>
      <c r="AO795" s="312"/>
      <c r="AP795" s="32"/>
      <c r="AQ795" s="32"/>
      <c r="AR795" s="32"/>
      <c r="AS795" s="32"/>
      <c r="AT795" s="32"/>
      <c r="AU795" s="32"/>
      <c r="AV795" s="32"/>
      <c r="AW795" s="32"/>
      <c r="AX795" s="32"/>
      <c r="AY795" s="32"/>
      <c r="BB795" s="32"/>
      <c r="BE795" s="32"/>
      <c r="BJ795" s="32"/>
    </row>
    <row r="796" spans="17:62" x14ac:dyDescent="0.25">
      <c r="Q796" s="32"/>
      <c r="AG796" s="37"/>
      <c r="AH796" s="312"/>
      <c r="AI796" s="935"/>
      <c r="AJ796" s="935"/>
      <c r="AK796" s="935"/>
      <c r="AL796" s="935"/>
      <c r="AM796" s="935"/>
      <c r="AN796" s="935"/>
      <c r="AO796" s="312"/>
      <c r="AP796" s="32"/>
      <c r="AQ796" s="32"/>
      <c r="AR796" s="32"/>
      <c r="AS796" s="32"/>
      <c r="AT796" s="32"/>
      <c r="AU796" s="32"/>
      <c r="AV796" s="32"/>
      <c r="AW796" s="32"/>
      <c r="AX796" s="32"/>
      <c r="AY796" s="32"/>
      <c r="BB796" s="32"/>
      <c r="BE796" s="32"/>
      <c r="BJ796" s="32"/>
    </row>
    <row r="797" spans="17:62" x14ac:dyDescent="0.25">
      <c r="Q797" s="32"/>
      <c r="AG797" s="37"/>
      <c r="AH797" s="312"/>
      <c r="AI797" s="935"/>
      <c r="AJ797" s="935"/>
      <c r="AK797" s="935"/>
      <c r="AL797" s="935"/>
      <c r="AM797" s="935"/>
      <c r="AN797" s="935"/>
      <c r="AO797" s="312"/>
      <c r="AP797" s="32"/>
      <c r="AQ797" s="32"/>
      <c r="AR797" s="32"/>
      <c r="AS797" s="32"/>
      <c r="AT797" s="32"/>
      <c r="AU797" s="32"/>
      <c r="AV797" s="32"/>
      <c r="AW797" s="32"/>
      <c r="AX797" s="32"/>
      <c r="AY797" s="32"/>
      <c r="BB797" s="32"/>
      <c r="BE797" s="32"/>
      <c r="BJ797" s="32"/>
    </row>
    <row r="798" spans="17:62" x14ac:dyDescent="0.25">
      <c r="Q798" s="32"/>
      <c r="AG798" s="37"/>
      <c r="AH798" s="312"/>
      <c r="AI798" s="935"/>
      <c r="AJ798" s="935"/>
      <c r="AK798" s="935"/>
      <c r="AL798" s="935"/>
      <c r="AM798" s="935"/>
      <c r="AN798" s="935"/>
      <c r="AO798" s="312"/>
      <c r="AP798" s="32"/>
      <c r="AQ798" s="32"/>
      <c r="AR798" s="32"/>
      <c r="AS798" s="32"/>
      <c r="AT798" s="32"/>
      <c r="AU798" s="32"/>
      <c r="AV798" s="32"/>
      <c r="AW798" s="32"/>
      <c r="AX798" s="32"/>
      <c r="AY798" s="32"/>
      <c r="BB798" s="32"/>
      <c r="BE798" s="32"/>
      <c r="BJ798" s="32"/>
    </row>
    <row r="799" spans="17:62" x14ac:dyDescent="0.25">
      <c r="Q799" s="32"/>
      <c r="AG799" s="37"/>
      <c r="AH799" s="312"/>
      <c r="AI799" s="935"/>
      <c r="AJ799" s="935"/>
      <c r="AK799" s="935"/>
      <c r="AL799" s="935"/>
      <c r="AM799" s="935"/>
      <c r="AN799" s="935"/>
      <c r="AO799" s="312"/>
      <c r="AP799" s="32"/>
      <c r="AQ799" s="32"/>
      <c r="AR799" s="32"/>
      <c r="AS799" s="32"/>
      <c r="AT799" s="32"/>
      <c r="AU799" s="32"/>
      <c r="AV799" s="32"/>
      <c r="AW799" s="32"/>
      <c r="AX799" s="32"/>
      <c r="AY799" s="32"/>
      <c r="BB799" s="32"/>
      <c r="BE799" s="32"/>
      <c r="BJ799" s="32"/>
    </row>
    <row r="800" spans="17:62" x14ac:dyDescent="0.25">
      <c r="Q800" s="32"/>
      <c r="AG800" s="37"/>
      <c r="AH800" s="312"/>
      <c r="AI800" s="935"/>
      <c r="AJ800" s="935"/>
      <c r="AK800" s="935"/>
      <c r="AL800" s="935"/>
      <c r="AM800" s="935"/>
      <c r="AN800" s="935"/>
      <c r="AO800" s="312"/>
      <c r="AP800" s="32"/>
      <c r="AQ800" s="32"/>
      <c r="AR800" s="32"/>
      <c r="AS800" s="32"/>
      <c r="AT800" s="32"/>
      <c r="AU800" s="32"/>
      <c r="AV800" s="32"/>
      <c r="AW800" s="32"/>
      <c r="AX800" s="32"/>
      <c r="AY800" s="32"/>
      <c r="BB800" s="32"/>
      <c r="BE800" s="32"/>
      <c r="BJ800" s="32"/>
    </row>
    <row r="801" spans="17:62" x14ac:dyDescent="0.25">
      <c r="Q801" s="32"/>
      <c r="AG801" s="37"/>
      <c r="AH801" s="312"/>
      <c r="AI801" s="935"/>
      <c r="AJ801" s="935"/>
      <c r="AK801" s="935"/>
      <c r="AL801" s="935"/>
      <c r="AM801" s="935"/>
      <c r="AN801" s="935"/>
      <c r="AO801" s="312"/>
      <c r="AP801" s="32"/>
      <c r="AQ801" s="32"/>
      <c r="AR801" s="32"/>
      <c r="AS801" s="32"/>
      <c r="AT801" s="32"/>
      <c r="AU801" s="32"/>
      <c r="AV801" s="32"/>
      <c r="AW801" s="32"/>
      <c r="AX801" s="32"/>
      <c r="AY801" s="32"/>
      <c r="BB801" s="32"/>
      <c r="BE801" s="32"/>
      <c r="BJ801" s="32"/>
    </row>
    <row r="802" spans="17:62" x14ac:dyDescent="0.25">
      <c r="Q802" s="32"/>
      <c r="AG802" s="37"/>
      <c r="AH802" s="312"/>
      <c r="AI802" s="935"/>
      <c r="AJ802" s="935"/>
      <c r="AK802" s="935"/>
      <c r="AL802" s="935"/>
      <c r="AM802" s="935"/>
      <c r="AN802" s="935"/>
      <c r="AO802" s="312"/>
      <c r="AP802" s="32"/>
      <c r="AQ802" s="32"/>
      <c r="AR802" s="32"/>
      <c r="AS802" s="32"/>
      <c r="AT802" s="32"/>
      <c r="AU802" s="32"/>
      <c r="AV802" s="32"/>
      <c r="AW802" s="32"/>
      <c r="AX802" s="32"/>
      <c r="AY802" s="32"/>
      <c r="BB802" s="32"/>
      <c r="BE802" s="32"/>
      <c r="BJ802" s="32"/>
    </row>
    <row r="803" spans="17:62" x14ac:dyDescent="0.25">
      <c r="Q803" s="32"/>
      <c r="AG803" s="37"/>
      <c r="AH803" s="312"/>
      <c r="AI803" s="935"/>
      <c r="AJ803" s="935"/>
      <c r="AK803" s="935"/>
      <c r="AL803" s="935"/>
      <c r="AM803" s="935"/>
      <c r="AN803" s="935"/>
      <c r="AO803" s="312"/>
      <c r="AP803" s="32"/>
      <c r="AQ803" s="32"/>
      <c r="AR803" s="32"/>
      <c r="AS803" s="32"/>
      <c r="AT803" s="32"/>
      <c r="AU803" s="32"/>
      <c r="AV803" s="32"/>
      <c r="AW803" s="32"/>
      <c r="AX803" s="32"/>
      <c r="AY803" s="32"/>
      <c r="BB803" s="32"/>
      <c r="BE803" s="32"/>
      <c r="BJ803" s="32"/>
    </row>
    <row r="804" spans="17:62" x14ac:dyDescent="0.25">
      <c r="Q804" s="32"/>
      <c r="AG804" s="37"/>
      <c r="AH804" s="312"/>
      <c r="AI804" s="935"/>
      <c r="AJ804" s="935"/>
      <c r="AK804" s="935"/>
      <c r="AL804" s="935"/>
      <c r="AM804" s="935"/>
      <c r="AN804" s="935"/>
      <c r="AO804" s="312"/>
      <c r="AP804" s="32"/>
      <c r="AQ804" s="32"/>
      <c r="AR804" s="32"/>
      <c r="AS804" s="32"/>
      <c r="AT804" s="32"/>
      <c r="AU804" s="32"/>
      <c r="AV804" s="32"/>
      <c r="AW804" s="32"/>
      <c r="AX804" s="32"/>
      <c r="AY804" s="32"/>
      <c r="BB804" s="32"/>
      <c r="BE804" s="32"/>
      <c r="BJ804" s="32"/>
    </row>
    <row r="805" spans="17:62" x14ac:dyDescent="0.25">
      <c r="Q805" s="32"/>
      <c r="AG805" s="37"/>
      <c r="AH805" s="312"/>
      <c r="AI805" s="935"/>
      <c r="AJ805" s="935"/>
      <c r="AK805" s="935"/>
      <c r="AL805" s="935"/>
      <c r="AM805" s="935"/>
      <c r="AN805" s="935"/>
      <c r="AO805" s="312"/>
      <c r="AP805" s="32"/>
      <c r="AQ805" s="32"/>
      <c r="AR805" s="32"/>
      <c r="AS805" s="32"/>
      <c r="AT805" s="32"/>
      <c r="AU805" s="32"/>
      <c r="AV805" s="32"/>
      <c r="AW805" s="32"/>
      <c r="AX805" s="32"/>
      <c r="AY805" s="32"/>
      <c r="BB805" s="32"/>
      <c r="BE805" s="32"/>
      <c r="BJ805" s="32"/>
    </row>
    <row r="806" spans="17:62" x14ac:dyDescent="0.25">
      <c r="Q806" s="32"/>
      <c r="AG806" s="37"/>
      <c r="AH806" s="312"/>
      <c r="AI806" s="935"/>
      <c r="AJ806" s="935"/>
      <c r="AK806" s="935"/>
      <c r="AL806" s="935"/>
      <c r="AM806" s="935"/>
      <c r="AN806" s="935"/>
      <c r="AO806" s="312"/>
      <c r="AP806" s="32"/>
      <c r="AQ806" s="32"/>
      <c r="AR806" s="32"/>
      <c r="AS806" s="32"/>
      <c r="AT806" s="32"/>
      <c r="AU806" s="32"/>
      <c r="AV806" s="32"/>
      <c r="AW806" s="32"/>
      <c r="AX806" s="32"/>
      <c r="AY806" s="32"/>
      <c r="BB806" s="32"/>
      <c r="BE806" s="32"/>
      <c r="BJ806" s="32"/>
    </row>
    <row r="807" spans="17:62" x14ac:dyDescent="0.25">
      <c r="Q807" s="32"/>
      <c r="AG807" s="37"/>
      <c r="AH807" s="312"/>
      <c r="AI807" s="935"/>
      <c r="AJ807" s="935"/>
      <c r="AK807" s="935"/>
      <c r="AL807" s="935"/>
      <c r="AM807" s="935"/>
      <c r="AN807" s="935"/>
      <c r="AO807" s="312"/>
      <c r="AP807" s="32"/>
      <c r="AQ807" s="32"/>
      <c r="AR807" s="32"/>
      <c r="AS807" s="32"/>
      <c r="AT807" s="32"/>
      <c r="AU807" s="32"/>
      <c r="AV807" s="32"/>
      <c r="AW807" s="32"/>
      <c r="AX807" s="32"/>
      <c r="AY807" s="32"/>
      <c r="BB807" s="32"/>
      <c r="BE807" s="32"/>
      <c r="BJ807" s="32"/>
    </row>
    <row r="808" spans="17:62" x14ac:dyDescent="0.25">
      <c r="Q808" s="32"/>
      <c r="AG808" s="37"/>
      <c r="AH808" s="312"/>
      <c r="AI808" s="935"/>
      <c r="AJ808" s="935"/>
      <c r="AK808" s="935"/>
      <c r="AL808" s="935"/>
      <c r="AM808" s="935"/>
      <c r="AN808" s="935"/>
      <c r="AO808" s="312"/>
      <c r="AP808" s="32"/>
      <c r="AQ808" s="32"/>
      <c r="AR808" s="32"/>
      <c r="AS808" s="32"/>
      <c r="AT808" s="32"/>
      <c r="AU808" s="32"/>
      <c r="AV808" s="32"/>
      <c r="AW808" s="32"/>
      <c r="AX808" s="32"/>
      <c r="AY808" s="32"/>
      <c r="BB808" s="32"/>
      <c r="BE808" s="32"/>
      <c r="BJ808" s="32"/>
    </row>
    <row r="809" spans="17:62" x14ac:dyDescent="0.25">
      <c r="Q809" s="32"/>
      <c r="AG809" s="37"/>
      <c r="AH809" s="312"/>
      <c r="AI809" s="935"/>
      <c r="AJ809" s="935"/>
      <c r="AK809" s="935"/>
      <c r="AL809" s="935"/>
      <c r="AM809" s="935"/>
      <c r="AN809" s="935"/>
      <c r="AO809" s="312"/>
      <c r="AP809" s="32"/>
      <c r="AQ809" s="32"/>
      <c r="AR809" s="32"/>
      <c r="AS809" s="32"/>
      <c r="AT809" s="32"/>
      <c r="AU809" s="32"/>
      <c r="AV809" s="32"/>
      <c r="AW809" s="32"/>
      <c r="AX809" s="32"/>
      <c r="AY809" s="32"/>
      <c r="BB809" s="32"/>
      <c r="BE809" s="32"/>
      <c r="BJ809" s="32"/>
    </row>
    <row r="810" spans="17:62" x14ac:dyDescent="0.25">
      <c r="Q810" s="32"/>
      <c r="AG810" s="37"/>
      <c r="AH810" s="312"/>
      <c r="AI810" s="935"/>
      <c r="AJ810" s="935"/>
      <c r="AK810" s="935"/>
      <c r="AL810" s="935"/>
      <c r="AM810" s="935"/>
      <c r="AN810" s="935"/>
      <c r="AO810" s="312"/>
      <c r="AP810" s="32"/>
      <c r="AQ810" s="32"/>
      <c r="AR810" s="32"/>
      <c r="AS810" s="32"/>
      <c r="AT810" s="32"/>
      <c r="AU810" s="32"/>
      <c r="AV810" s="32"/>
      <c r="AW810" s="32"/>
      <c r="AX810" s="32"/>
      <c r="AY810" s="32"/>
      <c r="BB810" s="32"/>
      <c r="BE810" s="32"/>
      <c r="BJ810" s="32"/>
    </row>
    <row r="811" spans="17:62" x14ac:dyDescent="0.25">
      <c r="Q811" s="32"/>
      <c r="AG811" s="37"/>
      <c r="AH811" s="312"/>
      <c r="AI811" s="935"/>
      <c r="AJ811" s="935"/>
      <c r="AK811" s="935"/>
      <c r="AL811" s="935"/>
      <c r="AM811" s="935"/>
      <c r="AN811" s="935"/>
      <c r="AO811" s="312"/>
      <c r="AP811" s="32"/>
      <c r="AQ811" s="32"/>
      <c r="AR811" s="32"/>
      <c r="AS811" s="32"/>
      <c r="AT811" s="32"/>
      <c r="AU811" s="32"/>
      <c r="AV811" s="32"/>
      <c r="AW811" s="32"/>
      <c r="AX811" s="32"/>
      <c r="AY811" s="32"/>
      <c r="BB811" s="32"/>
      <c r="BE811" s="32"/>
      <c r="BJ811" s="32"/>
    </row>
    <row r="812" spans="17:62" x14ac:dyDescent="0.25">
      <c r="Q812" s="32"/>
      <c r="AG812" s="37"/>
      <c r="AH812" s="312"/>
      <c r="AI812" s="935"/>
      <c r="AJ812" s="935"/>
      <c r="AK812" s="935"/>
      <c r="AL812" s="935"/>
      <c r="AM812" s="935"/>
      <c r="AN812" s="935"/>
      <c r="AO812" s="312"/>
      <c r="AP812" s="32"/>
      <c r="AQ812" s="32"/>
      <c r="AR812" s="32"/>
      <c r="AS812" s="32"/>
      <c r="AT812" s="32"/>
      <c r="AU812" s="32"/>
      <c r="AV812" s="32"/>
      <c r="AW812" s="32"/>
      <c r="AX812" s="32"/>
      <c r="AY812" s="32"/>
      <c r="BB812" s="32"/>
      <c r="BE812" s="32"/>
      <c r="BJ812" s="32"/>
    </row>
    <row r="813" spans="17:62" x14ac:dyDescent="0.25">
      <c r="Q813" s="32"/>
      <c r="AG813" s="37"/>
      <c r="AH813" s="312"/>
      <c r="AI813" s="935"/>
      <c r="AJ813" s="935"/>
      <c r="AK813" s="935"/>
      <c r="AL813" s="935"/>
      <c r="AM813" s="935"/>
      <c r="AN813" s="935"/>
      <c r="AO813" s="312"/>
      <c r="AP813" s="32"/>
      <c r="AQ813" s="32"/>
      <c r="AR813" s="32"/>
      <c r="AS813" s="32"/>
      <c r="AT813" s="32"/>
      <c r="AU813" s="32"/>
      <c r="AV813" s="32"/>
      <c r="AW813" s="32"/>
      <c r="AX813" s="32"/>
      <c r="AY813" s="32"/>
      <c r="BB813" s="32"/>
      <c r="BE813" s="32"/>
      <c r="BJ813" s="32"/>
    </row>
    <row r="814" spans="17:62" x14ac:dyDescent="0.25">
      <c r="Q814" s="32"/>
      <c r="AG814" s="37"/>
      <c r="AH814" s="312"/>
      <c r="AI814" s="935"/>
      <c r="AJ814" s="935"/>
      <c r="AK814" s="935"/>
      <c r="AL814" s="935"/>
      <c r="AM814" s="935"/>
      <c r="AN814" s="935"/>
      <c r="AO814" s="312"/>
      <c r="AP814" s="32"/>
      <c r="AQ814" s="32"/>
      <c r="AR814" s="32"/>
      <c r="AS814" s="32"/>
      <c r="AT814" s="32"/>
      <c r="AU814" s="32"/>
      <c r="AV814" s="32"/>
      <c r="AW814" s="32"/>
      <c r="AX814" s="32"/>
      <c r="AY814" s="32"/>
      <c r="BB814" s="32"/>
      <c r="BE814" s="32"/>
      <c r="BJ814" s="32"/>
    </row>
    <row r="815" spans="17:62" x14ac:dyDescent="0.25">
      <c r="Q815" s="32"/>
      <c r="AG815" s="37"/>
      <c r="AH815" s="312"/>
      <c r="AI815" s="935"/>
      <c r="AJ815" s="935"/>
      <c r="AK815" s="935"/>
      <c r="AL815" s="935"/>
      <c r="AM815" s="935"/>
      <c r="AN815" s="935"/>
      <c r="AO815" s="312"/>
      <c r="AP815" s="32"/>
      <c r="AQ815" s="32"/>
      <c r="AR815" s="32"/>
      <c r="AS815" s="32"/>
      <c r="AT815" s="32"/>
      <c r="AU815" s="32"/>
      <c r="AV815" s="32"/>
      <c r="AW815" s="32"/>
      <c r="AX815" s="32"/>
      <c r="AY815" s="32"/>
      <c r="BB815" s="32"/>
      <c r="BE815" s="32"/>
      <c r="BJ815" s="32"/>
    </row>
    <row r="816" spans="17:62" x14ac:dyDescent="0.25">
      <c r="Q816" s="32"/>
      <c r="AG816" s="37"/>
      <c r="AH816" s="312"/>
      <c r="AI816" s="935"/>
      <c r="AJ816" s="935"/>
      <c r="AK816" s="935"/>
      <c r="AL816" s="935"/>
      <c r="AM816" s="935"/>
      <c r="AN816" s="935"/>
      <c r="AO816" s="312"/>
      <c r="AP816" s="32"/>
      <c r="AQ816" s="32"/>
      <c r="AR816" s="32"/>
      <c r="AS816" s="32"/>
      <c r="AT816" s="32"/>
      <c r="AU816" s="32"/>
      <c r="AV816" s="32"/>
      <c r="AW816" s="32"/>
      <c r="AX816" s="32"/>
      <c r="AY816" s="32"/>
      <c r="BB816" s="32"/>
      <c r="BE816" s="32"/>
      <c r="BJ816" s="32"/>
    </row>
    <row r="817" spans="17:62" x14ac:dyDescent="0.25">
      <c r="Q817" s="32"/>
      <c r="AG817" s="37"/>
      <c r="AH817" s="312"/>
      <c r="AI817" s="935"/>
      <c r="AJ817" s="935"/>
      <c r="AK817" s="935"/>
      <c r="AL817" s="935"/>
      <c r="AM817" s="935"/>
      <c r="AN817" s="935"/>
      <c r="AO817" s="312"/>
      <c r="AP817" s="32"/>
      <c r="AQ817" s="32"/>
      <c r="AR817" s="32"/>
      <c r="AS817" s="32"/>
      <c r="AT817" s="32"/>
      <c r="AU817" s="32"/>
      <c r="AV817" s="32"/>
      <c r="AW817" s="32"/>
      <c r="AX817" s="32"/>
      <c r="AY817" s="32"/>
      <c r="BB817" s="32"/>
      <c r="BE817" s="32"/>
      <c r="BJ817" s="32"/>
    </row>
    <row r="818" spans="17:62" x14ac:dyDescent="0.25">
      <c r="Q818" s="32"/>
      <c r="AG818" s="37"/>
      <c r="AH818" s="312"/>
      <c r="AI818" s="935"/>
      <c r="AJ818" s="935"/>
      <c r="AK818" s="935"/>
      <c r="AL818" s="935"/>
      <c r="AM818" s="935"/>
      <c r="AN818" s="935"/>
      <c r="AO818" s="312"/>
      <c r="AP818" s="32"/>
      <c r="AQ818" s="32"/>
      <c r="AR818" s="32"/>
      <c r="AS818" s="32"/>
      <c r="AT818" s="32"/>
      <c r="AU818" s="32"/>
      <c r="AV818" s="32"/>
      <c r="AW818" s="32"/>
      <c r="AX818" s="32"/>
      <c r="AY818" s="32"/>
      <c r="BB818" s="32"/>
      <c r="BE818" s="32"/>
      <c r="BJ818" s="32"/>
    </row>
    <row r="819" spans="17:62" x14ac:dyDescent="0.25">
      <c r="Q819" s="32"/>
      <c r="AG819" s="37"/>
      <c r="AH819" s="312"/>
      <c r="AI819" s="935"/>
      <c r="AJ819" s="935"/>
      <c r="AK819" s="935"/>
      <c r="AL819" s="935"/>
      <c r="AM819" s="935"/>
      <c r="AN819" s="935"/>
      <c r="AO819" s="312"/>
      <c r="AP819" s="32"/>
      <c r="AQ819" s="32"/>
      <c r="AR819" s="32"/>
      <c r="AS819" s="32"/>
      <c r="AT819" s="32"/>
      <c r="AU819" s="32"/>
      <c r="AV819" s="32"/>
      <c r="AW819" s="32"/>
      <c r="AX819" s="32"/>
      <c r="AY819" s="32"/>
      <c r="BB819" s="32"/>
      <c r="BE819" s="32"/>
      <c r="BJ819" s="32"/>
    </row>
    <row r="820" spans="17:62" x14ac:dyDescent="0.25">
      <c r="Q820" s="32"/>
      <c r="AG820" s="37"/>
      <c r="AH820" s="312"/>
      <c r="AI820" s="935"/>
      <c r="AJ820" s="935"/>
      <c r="AK820" s="935"/>
      <c r="AL820" s="935"/>
      <c r="AM820" s="935"/>
      <c r="AN820" s="935"/>
      <c r="AO820" s="312"/>
      <c r="AP820" s="32"/>
      <c r="AQ820" s="32"/>
      <c r="AR820" s="32"/>
      <c r="AS820" s="32"/>
      <c r="AT820" s="32"/>
      <c r="AU820" s="32"/>
      <c r="AV820" s="32"/>
      <c r="AW820" s="32"/>
      <c r="AX820" s="32"/>
      <c r="AY820" s="32"/>
      <c r="BB820" s="32"/>
      <c r="BE820" s="32"/>
      <c r="BJ820" s="32"/>
    </row>
    <row r="821" spans="17:62" x14ac:dyDescent="0.25">
      <c r="Q821" s="32"/>
      <c r="AG821" s="37"/>
      <c r="AH821" s="312"/>
      <c r="AI821" s="935"/>
      <c r="AJ821" s="935"/>
      <c r="AK821" s="935"/>
      <c r="AL821" s="935"/>
      <c r="AM821" s="935"/>
      <c r="AN821" s="935"/>
      <c r="AO821" s="312"/>
      <c r="AP821" s="32"/>
      <c r="AQ821" s="32"/>
      <c r="AR821" s="32"/>
      <c r="AS821" s="32"/>
      <c r="AT821" s="32"/>
      <c r="AU821" s="32"/>
      <c r="AV821" s="32"/>
      <c r="AW821" s="32"/>
      <c r="AX821" s="32"/>
      <c r="AY821" s="32"/>
      <c r="BB821" s="32"/>
      <c r="BE821" s="32"/>
      <c r="BJ821" s="32"/>
    </row>
    <row r="822" spans="17:62" x14ac:dyDescent="0.25">
      <c r="Q822" s="32"/>
      <c r="AG822" s="37"/>
      <c r="AH822" s="312"/>
      <c r="AI822" s="935"/>
      <c r="AJ822" s="935"/>
      <c r="AK822" s="935"/>
      <c r="AL822" s="935"/>
      <c r="AM822" s="935"/>
      <c r="AN822" s="935"/>
      <c r="AO822" s="312"/>
      <c r="AP822" s="32"/>
      <c r="AQ822" s="32"/>
      <c r="AR822" s="32"/>
      <c r="AS822" s="32"/>
      <c r="AT822" s="32"/>
      <c r="AU822" s="32"/>
      <c r="AV822" s="32"/>
      <c r="AW822" s="32"/>
      <c r="AX822" s="32"/>
      <c r="AY822" s="32"/>
      <c r="BB822" s="32"/>
      <c r="BE822" s="32"/>
      <c r="BJ822" s="32"/>
    </row>
    <row r="823" spans="17:62" x14ac:dyDescent="0.25">
      <c r="Q823" s="32"/>
      <c r="AG823" s="37"/>
      <c r="AH823" s="312"/>
      <c r="AI823" s="935"/>
      <c r="AJ823" s="935"/>
      <c r="AK823" s="935"/>
      <c r="AL823" s="935"/>
      <c r="AM823" s="935"/>
      <c r="AN823" s="935"/>
      <c r="AO823" s="312"/>
      <c r="AP823" s="32"/>
      <c r="AQ823" s="32"/>
      <c r="AR823" s="32"/>
      <c r="AS823" s="32"/>
      <c r="AT823" s="32"/>
      <c r="AU823" s="32"/>
      <c r="AV823" s="32"/>
      <c r="AW823" s="32"/>
      <c r="AX823" s="32"/>
      <c r="AY823" s="32"/>
      <c r="BB823" s="32"/>
      <c r="BE823" s="32"/>
      <c r="BJ823" s="32"/>
    </row>
    <row r="824" spans="17:62" x14ac:dyDescent="0.25">
      <c r="Q824" s="32"/>
      <c r="AG824" s="37"/>
      <c r="AH824" s="312"/>
      <c r="AI824" s="935"/>
      <c r="AJ824" s="935"/>
      <c r="AK824" s="935"/>
      <c r="AL824" s="935"/>
      <c r="AM824" s="935"/>
      <c r="AN824" s="935"/>
      <c r="AO824" s="312"/>
      <c r="AP824" s="32"/>
      <c r="AQ824" s="32"/>
      <c r="AR824" s="32"/>
      <c r="AS824" s="32"/>
      <c r="AT824" s="32"/>
      <c r="AU824" s="32"/>
      <c r="AV824" s="32"/>
      <c r="AW824" s="32"/>
      <c r="AX824" s="32"/>
      <c r="AY824" s="32"/>
      <c r="BB824" s="32"/>
      <c r="BE824" s="32"/>
      <c r="BJ824" s="32"/>
    </row>
    <row r="825" spans="17:62" x14ac:dyDescent="0.25">
      <c r="Q825" s="32"/>
      <c r="AG825" s="37"/>
      <c r="AH825" s="312"/>
      <c r="AI825" s="935"/>
      <c r="AJ825" s="935"/>
      <c r="AK825" s="935"/>
      <c r="AL825" s="935"/>
      <c r="AM825" s="935"/>
      <c r="AN825" s="935"/>
      <c r="AO825" s="312"/>
      <c r="AP825" s="32"/>
      <c r="AQ825" s="32"/>
      <c r="AR825" s="32"/>
      <c r="AS825" s="32"/>
      <c r="AT825" s="32"/>
      <c r="AU825" s="32"/>
      <c r="AV825" s="32"/>
      <c r="AW825" s="32"/>
      <c r="AX825" s="32"/>
      <c r="AY825" s="32"/>
      <c r="BB825" s="32"/>
      <c r="BE825" s="32"/>
      <c r="BJ825" s="32"/>
    </row>
    <row r="826" spans="17:62" x14ac:dyDescent="0.25">
      <c r="Q826" s="32"/>
      <c r="AG826" s="37"/>
      <c r="AH826" s="312"/>
      <c r="AI826" s="935"/>
      <c r="AJ826" s="935"/>
      <c r="AK826" s="935"/>
      <c r="AL826" s="935"/>
      <c r="AM826" s="935"/>
      <c r="AN826" s="935"/>
      <c r="AO826" s="312"/>
      <c r="AP826" s="32"/>
      <c r="AQ826" s="32"/>
      <c r="AR826" s="32"/>
      <c r="AS826" s="32"/>
      <c r="AT826" s="32"/>
      <c r="AU826" s="32"/>
      <c r="AV826" s="32"/>
      <c r="AW826" s="32"/>
      <c r="AX826" s="32"/>
      <c r="AY826" s="32"/>
      <c r="BB826" s="32"/>
      <c r="BE826" s="32"/>
      <c r="BJ826" s="32"/>
    </row>
    <row r="827" spans="17:62" x14ac:dyDescent="0.25">
      <c r="Q827" s="32"/>
      <c r="AG827" s="37"/>
      <c r="AH827" s="312"/>
      <c r="AI827" s="935"/>
      <c r="AJ827" s="935"/>
      <c r="AK827" s="935"/>
      <c r="AL827" s="935"/>
      <c r="AM827" s="935"/>
      <c r="AN827" s="935"/>
      <c r="AO827" s="312"/>
      <c r="AP827" s="32"/>
      <c r="AQ827" s="32"/>
      <c r="AR827" s="32"/>
      <c r="AS827" s="32"/>
      <c r="AT827" s="32"/>
      <c r="AU827" s="32"/>
      <c r="AV827" s="32"/>
      <c r="AW827" s="32"/>
      <c r="AX827" s="32"/>
      <c r="AY827" s="32"/>
      <c r="BB827" s="32"/>
      <c r="BE827" s="32"/>
      <c r="BJ827" s="32"/>
    </row>
    <row r="828" spans="17:62" x14ac:dyDescent="0.25">
      <c r="Q828" s="32"/>
      <c r="AG828" s="37"/>
      <c r="AH828" s="312"/>
      <c r="AI828" s="935"/>
      <c r="AJ828" s="935"/>
      <c r="AK828" s="935"/>
      <c r="AL828" s="935"/>
      <c r="AM828" s="935"/>
      <c r="AN828" s="935"/>
      <c r="AO828" s="312"/>
      <c r="AP828" s="32"/>
      <c r="AQ828" s="32"/>
      <c r="AR828" s="32"/>
      <c r="AS828" s="32"/>
      <c r="AT828" s="32"/>
      <c r="AU828" s="32"/>
      <c r="AV828" s="32"/>
      <c r="AW828" s="32"/>
      <c r="AX828" s="32"/>
      <c r="AY828" s="32"/>
      <c r="BB828" s="32"/>
      <c r="BE828" s="32"/>
      <c r="BJ828" s="32"/>
    </row>
    <row r="829" spans="17:62" x14ac:dyDescent="0.25">
      <c r="Q829" s="32"/>
      <c r="AG829" s="37"/>
      <c r="AH829" s="312"/>
      <c r="AI829" s="935"/>
      <c r="AJ829" s="935"/>
      <c r="AK829" s="935"/>
      <c r="AL829" s="935"/>
      <c r="AM829" s="935"/>
      <c r="AN829" s="935"/>
      <c r="AO829" s="312"/>
      <c r="AP829" s="32"/>
      <c r="AQ829" s="32"/>
      <c r="AR829" s="32"/>
      <c r="AS829" s="32"/>
      <c r="AT829" s="32"/>
      <c r="AU829" s="32"/>
      <c r="AV829" s="32"/>
      <c r="AW829" s="32"/>
      <c r="AX829" s="32"/>
      <c r="AY829" s="32"/>
      <c r="BB829" s="32"/>
      <c r="BE829" s="32"/>
      <c r="BJ829" s="32"/>
    </row>
    <row r="830" spans="17:62" x14ac:dyDescent="0.25">
      <c r="Q830" s="32"/>
      <c r="AG830" s="37"/>
      <c r="AH830" s="312"/>
      <c r="AI830" s="935"/>
      <c r="AJ830" s="935"/>
      <c r="AK830" s="935"/>
      <c r="AL830" s="935"/>
      <c r="AM830" s="935"/>
      <c r="AN830" s="935"/>
      <c r="AO830" s="312"/>
      <c r="AP830" s="32"/>
      <c r="AQ830" s="32"/>
      <c r="AR830" s="32"/>
      <c r="AS830" s="32"/>
      <c r="AT830" s="32"/>
      <c r="AU830" s="32"/>
      <c r="AV830" s="32"/>
      <c r="AW830" s="32"/>
      <c r="AX830" s="32"/>
      <c r="AY830" s="32"/>
      <c r="BB830" s="32"/>
      <c r="BE830" s="32"/>
      <c r="BJ830" s="32"/>
    </row>
    <row r="831" spans="17:62" x14ac:dyDescent="0.25">
      <c r="Q831" s="32"/>
      <c r="AG831" s="37"/>
      <c r="AH831" s="312"/>
      <c r="AI831" s="935"/>
      <c r="AJ831" s="935"/>
      <c r="AK831" s="935"/>
      <c r="AL831" s="935"/>
      <c r="AM831" s="935"/>
      <c r="AN831" s="935"/>
      <c r="AO831" s="312"/>
      <c r="AP831" s="32"/>
      <c r="AQ831" s="32"/>
      <c r="AR831" s="32"/>
      <c r="AS831" s="32"/>
      <c r="AT831" s="32"/>
      <c r="AU831" s="32"/>
      <c r="AV831" s="32"/>
      <c r="AW831" s="32"/>
      <c r="AX831" s="32"/>
      <c r="AY831" s="32"/>
      <c r="BB831" s="32"/>
      <c r="BE831" s="32"/>
      <c r="BJ831" s="32"/>
    </row>
    <row r="832" spans="17:62" x14ac:dyDescent="0.25">
      <c r="Q832" s="32"/>
      <c r="AG832" s="37"/>
      <c r="AH832" s="312"/>
      <c r="AI832" s="935"/>
      <c r="AJ832" s="935"/>
      <c r="AK832" s="935"/>
      <c r="AL832" s="935"/>
      <c r="AM832" s="935"/>
      <c r="AN832" s="935"/>
      <c r="AO832" s="312"/>
      <c r="AP832" s="32"/>
      <c r="AQ832" s="32"/>
      <c r="AR832" s="32"/>
      <c r="AS832" s="32"/>
      <c r="AT832" s="32"/>
      <c r="AU832" s="32"/>
      <c r="AV832" s="32"/>
      <c r="AW832" s="32"/>
      <c r="AX832" s="32"/>
      <c r="AY832" s="32"/>
      <c r="BB832" s="32"/>
      <c r="BE832" s="32"/>
      <c r="BJ832" s="32"/>
    </row>
    <row r="833" spans="17:62" x14ac:dyDescent="0.25">
      <c r="Q833" s="32"/>
      <c r="AG833" s="37"/>
      <c r="AH833" s="312"/>
      <c r="AI833" s="935"/>
      <c r="AJ833" s="935"/>
      <c r="AK833" s="935"/>
      <c r="AL833" s="935"/>
      <c r="AM833" s="935"/>
      <c r="AN833" s="935"/>
      <c r="AO833" s="312"/>
      <c r="AP833" s="32"/>
      <c r="AQ833" s="32"/>
      <c r="AR833" s="32"/>
      <c r="AS833" s="32"/>
      <c r="AT833" s="32"/>
      <c r="AU833" s="32"/>
      <c r="AV833" s="32"/>
      <c r="AW833" s="32"/>
      <c r="AX833" s="32"/>
      <c r="AY833" s="32"/>
      <c r="BB833" s="32"/>
      <c r="BE833" s="32"/>
      <c r="BJ833" s="32"/>
    </row>
    <row r="834" spans="17:62" x14ac:dyDescent="0.25">
      <c r="Q834" s="32"/>
      <c r="AG834" s="37"/>
      <c r="AH834" s="312"/>
      <c r="AI834" s="935"/>
      <c r="AJ834" s="935"/>
      <c r="AK834" s="935"/>
      <c r="AL834" s="935"/>
      <c r="AM834" s="935"/>
      <c r="AN834" s="935"/>
      <c r="AO834" s="312"/>
      <c r="AP834" s="32"/>
      <c r="AQ834" s="32"/>
      <c r="AR834" s="32"/>
      <c r="AS834" s="32"/>
      <c r="AT834" s="32"/>
      <c r="AU834" s="32"/>
      <c r="AV834" s="32"/>
      <c r="AW834" s="32"/>
      <c r="AX834" s="32"/>
      <c r="AY834" s="32"/>
      <c r="BB834" s="32"/>
      <c r="BE834" s="32"/>
      <c r="BJ834" s="32"/>
    </row>
    <row r="835" spans="17:62" x14ac:dyDescent="0.25">
      <c r="Q835" s="32"/>
      <c r="AG835" s="37"/>
      <c r="AH835" s="312"/>
      <c r="AI835" s="935"/>
      <c r="AJ835" s="935"/>
      <c r="AK835" s="935"/>
      <c r="AL835" s="935"/>
      <c r="AM835" s="935"/>
      <c r="AN835" s="935"/>
      <c r="AO835" s="312"/>
      <c r="AP835" s="32"/>
      <c r="AQ835" s="32"/>
      <c r="AR835" s="32"/>
      <c r="AS835" s="32"/>
      <c r="AT835" s="32"/>
      <c r="AU835" s="32"/>
      <c r="AV835" s="32"/>
      <c r="AW835" s="32"/>
      <c r="AX835" s="32"/>
      <c r="AY835" s="32"/>
      <c r="BB835" s="32"/>
      <c r="BE835" s="32"/>
      <c r="BJ835" s="32"/>
    </row>
    <row r="836" spans="17:62" x14ac:dyDescent="0.25">
      <c r="Q836" s="32"/>
      <c r="AG836" s="37"/>
      <c r="AH836" s="312"/>
      <c r="AI836" s="935"/>
      <c r="AJ836" s="935"/>
      <c r="AK836" s="935"/>
      <c r="AL836" s="935"/>
      <c r="AM836" s="935"/>
      <c r="AN836" s="935"/>
      <c r="AO836" s="312"/>
      <c r="AP836" s="32"/>
      <c r="AQ836" s="32"/>
      <c r="AR836" s="32"/>
      <c r="AS836" s="32"/>
      <c r="AT836" s="32"/>
      <c r="AU836" s="32"/>
      <c r="AV836" s="32"/>
      <c r="AW836" s="32"/>
      <c r="AX836" s="32"/>
      <c r="AY836" s="32"/>
      <c r="BB836" s="32"/>
      <c r="BE836" s="32"/>
      <c r="BJ836" s="32"/>
    </row>
    <row r="837" spans="17:62" x14ac:dyDescent="0.25">
      <c r="Q837" s="32"/>
      <c r="AG837" s="37"/>
      <c r="AH837" s="312"/>
      <c r="AI837" s="935"/>
      <c r="AJ837" s="935"/>
      <c r="AK837" s="935"/>
      <c r="AL837" s="935"/>
      <c r="AM837" s="935"/>
      <c r="AN837" s="935"/>
      <c r="AO837" s="312"/>
      <c r="AP837" s="32"/>
      <c r="AQ837" s="32"/>
      <c r="AR837" s="32"/>
      <c r="AS837" s="32"/>
      <c r="AT837" s="32"/>
      <c r="AU837" s="32"/>
      <c r="AV837" s="32"/>
      <c r="AW837" s="32"/>
      <c r="AX837" s="32"/>
      <c r="AY837" s="32"/>
      <c r="BB837" s="32"/>
      <c r="BE837" s="32"/>
      <c r="BJ837" s="32"/>
    </row>
    <row r="838" spans="17:62" x14ac:dyDescent="0.25">
      <c r="Q838" s="32"/>
      <c r="AG838" s="37"/>
      <c r="AH838" s="312"/>
      <c r="AI838" s="935"/>
      <c r="AJ838" s="935"/>
      <c r="AK838" s="935"/>
      <c r="AL838" s="935"/>
      <c r="AM838" s="935"/>
      <c r="AN838" s="935"/>
      <c r="AO838" s="312"/>
      <c r="AP838" s="32"/>
      <c r="AQ838" s="32"/>
      <c r="AR838" s="32"/>
      <c r="AS838" s="32"/>
      <c r="AT838" s="32"/>
      <c r="AU838" s="32"/>
      <c r="AV838" s="32"/>
      <c r="AW838" s="32"/>
      <c r="AX838" s="32"/>
      <c r="AY838" s="32"/>
      <c r="BB838" s="32"/>
      <c r="BE838" s="32"/>
      <c r="BJ838" s="32"/>
    </row>
    <row r="839" spans="17:62" x14ac:dyDescent="0.25">
      <c r="Q839" s="32"/>
      <c r="AG839" s="37"/>
      <c r="AH839" s="312"/>
      <c r="AI839" s="935"/>
      <c r="AJ839" s="935"/>
      <c r="AK839" s="935"/>
      <c r="AL839" s="935"/>
      <c r="AM839" s="935"/>
      <c r="AN839" s="935"/>
      <c r="AO839" s="312"/>
      <c r="AP839" s="32"/>
      <c r="AQ839" s="32"/>
      <c r="AR839" s="32"/>
      <c r="AS839" s="32"/>
      <c r="AT839" s="32"/>
      <c r="AU839" s="32"/>
      <c r="AV839" s="32"/>
      <c r="AW839" s="32"/>
      <c r="AX839" s="32"/>
      <c r="AY839" s="32"/>
      <c r="BB839" s="32"/>
      <c r="BE839" s="32"/>
      <c r="BJ839" s="32"/>
    </row>
    <row r="840" spans="17:62" x14ac:dyDescent="0.25">
      <c r="Q840" s="32"/>
      <c r="AG840" s="37"/>
      <c r="AH840" s="312"/>
      <c r="AI840" s="935"/>
      <c r="AJ840" s="935"/>
      <c r="AK840" s="935"/>
      <c r="AL840" s="935"/>
      <c r="AM840" s="935"/>
      <c r="AN840" s="935"/>
      <c r="AO840" s="312"/>
      <c r="AP840" s="32"/>
      <c r="AQ840" s="32"/>
      <c r="AR840" s="32"/>
      <c r="AS840" s="32"/>
      <c r="AT840" s="32"/>
      <c r="AU840" s="32"/>
      <c r="AV840" s="32"/>
      <c r="AW840" s="32"/>
      <c r="AX840" s="32"/>
      <c r="AY840" s="32"/>
      <c r="BB840" s="32"/>
      <c r="BE840" s="32"/>
      <c r="BJ840" s="32"/>
    </row>
    <row r="841" spans="17:62" x14ac:dyDescent="0.25">
      <c r="Q841" s="32"/>
      <c r="AG841" s="37"/>
      <c r="AH841" s="312"/>
      <c r="AI841" s="935"/>
      <c r="AJ841" s="935"/>
      <c r="AK841" s="935"/>
      <c r="AL841" s="935"/>
      <c r="AM841" s="935"/>
      <c r="AN841" s="935"/>
      <c r="AO841" s="312"/>
      <c r="AP841" s="32"/>
      <c r="AQ841" s="32"/>
      <c r="AR841" s="32"/>
      <c r="AS841" s="32"/>
      <c r="AT841" s="32"/>
      <c r="AU841" s="32"/>
      <c r="AV841" s="32"/>
      <c r="AW841" s="32"/>
      <c r="AX841" s="32"/>
      <c r="AY841" s="32"/>
      <c r="BB841" s="32"/>
      <c r="BE841" s="32"/>
      <c r="BJ841" s="32"/>
    </row>
    <row r="842" spans="17:62" x14ac:dyDescent="0.25">
      <c r="Q842" s="32"/>
      <c r="AG842" s="37"/>
      <c r="AH842" s="312"/>
      <c r="AI842" s="935"/>
      <c r="AJ842" s="935"/>
      <c r="AK842" s="935"/>
      <c r="AL842" s="935"/>
      <c r="AM842" s="935"/>
      <c r="AN842" s="935"/>
      <c r="AO842" s="312"/>
      <c r="AP842" s="32"/>
      <c r="AQ842" s="32"/>
      <c r="AR842" s="32"/>
      <c r="AS842" s="32"/>
      <c r="AT842" s="32"/>
      <c r="AU842" s="32"/>
      <c r="AV842" s="32"/>
      <c r="AW842" s="32"/>
      <c r="AX842" s="32"/>
      <c r="AY842" s="32"/>
      <c r="BB842" s="32"/>
      <c r="BE842" s="32"/>
      <c r="BJ842" s="32"/>
    </row>
    <row r="843" spans="17:62" x14ac:dyDescent="0.25">
      <c r="Q843" s="32"/>
      <c r="AG843" s="37"/>
      <c r="AH843" s="312"/>
      <c r="AI843" s="935"/>
      <c r="AJ843" s="935"/>
      <c r="AK843" s="935"/>
      <c r="AL843" s="935"/>
      <c r="AM843" s="935"/>
      <c r="AN843" s="935"/>
      <c r="AO843" s="312"/>
      <c r="AP843" s="32"/>
      <c r="AQ843" s="32"/>
      <c r="AR843" s="32"/>
      <c r="AS843" s="32"/>
      <c r="AT843" s="32"/>
      <c r="AU843" s="32"/>
      <c r="AV843" s="32"/>
      <c r="AW843" s="32"/>
      <c r="AX843" s="32"/>
      <c r="AY843" s="32"/>
      <c r="BB843" s="32"/>
      <c r="BE843" s="32"/>
      <c r="BJ843" s="32"/>
    </row>
    <row r="844" spans="17:62" x14ac:dyDescent="0.25">
      <c r="Q844" s="32"/>
      <c r="AG844" s="37"/>
      <c r="AH844" s="312"/>
      <c r="AI844" s="935"/>
      <c r="AJ844" s="935"/>
      <c r="AK844" s="935"/>
      <c r="AL844" s="935"/>
      <c r="AM844" s="935"/>
      <c r="AN844" s="935"/>
      <c r="AO844" s="312"/>
      <c r="AP844" s="32"/>
      <c r="AQ844" s="32"/>
      <c r="AR844" s="32"/>
      <c r="AS844" s="32"/>
      <c r="AT844" s="32"/>
      <c r="AU844" s="32"/>
      <c r="AV844" s="32"/>
      <c r="AW844" s="32"/>
      <c r="AX844" s="32"/>
      <c r="AY844" s="32"/>
      <c r="BB844" s="32"/>
      <c r="BE844" s="32"/>
      <c r="BJ844" s="32"/>
    </row>
    <row r="845" spans="17:62" x14ac:dyDescent="0.25">
      <c r="Q845" s="32"/>
      <c r="AG845" s="37"/>
      <c r="AH845" s="312"/>
      <c r="AI845" s="935"/>
      <c r="AJ845" s="935"/>
      <c r="AK845" s="935"/>
      <c r="AL845" s="935"/>
      <c r="AM845" s="935"/>
      <c r="AN845" s="935"/>
      <c r="AO845" s="312"/>
      <c r="AP845" s="32"/>
      <c r="AQ845" s="32"/>
      <c r="AR845" s="32"/>
      <c r="AS845" s="32"/>
      <c r="AT845" s="32"/>
      <c r="AU845" s="32"/>
      <c r="AV845" s="32"/>
      <c r="AW845" s="32"/>
      <c r="AX845" s="32"/>
      <c r="AY845" s="32"/>
      <c r="BB845" s="32"/>
      <c r="BE845" s="32"/>
      <c r="BJ845" s="32"/>
    </row>
    <row r="846" spans="17:62" x14ac:dyDescent="0.25">
      <c r="Q846" s="32"/>
      <c r="AG846" s="37"/>
      <c r="AH846" s="312"/>
      <c r="AI846" s="935"/>
      <c r="AJ846" s="935"/>
      <c r="AK846" s="935"/>
      <c r="AL846" s="935"/>
      <c r="AM846" s="935"/>
      <c r="AN846" s="935"/>
      <c r="AO846" s="312"/>
      <c r="AP846" s="32"/>
      <c r="AQ846" s="32"/>
      <c r="AR846" s="32"/>
      <c r="AS846" s="32"/>
      <c r="AT846" s="32"/>
      <c r="AU846" s="32"/>
      <c r="AV846" s="32"/>
      <c r="AW846" s="32"/>
      <c r="AX846" s="32"/>
      <c r="AY846" s="32"/>
      <c r="BB846" s="32"/>
      <c r="BE846" s="32"/>
      <c r="BJ846" s="32"/>
    </row>
    <row r="847" spans="17:62" x14ac:dyDescent="0.25">
      <c r="Q847" s="32"/>
      <c r="AG847" s="37"/>
      <c r="AH847" s="312"/>
      <c r="AI847" s="935"/>
      <c r="AJ847" s="935"/>
      <c r="AK847" s="935"/>
      <c r="AL847" s="935"/>
      <c r="AM847" s="935"/>
      <c r="AN847" s="935"/>
      <c r="AO847" s="312"/>
      <c r="AP847" s="32"/>
      <c r="AQ847" s="32"/>
      <c r="AR847" s="32"/>
      <c r="AS847" s="32"/>
      <c r="AT847" s="32"/>
      <c r="AU847" s="32"/>
      <c r="AV847" s="32"/>
      <c r="AW847" s="32"/>
      <c r="AX847" s="32"/>
      <c r="AY847" s="32"/>
      <c r="BB847" s="32"/>
      <c r="BE847" s="32"/>
      <c r="BJ847" s="32"/>
    </row>
    <row r="848" spans="17:62" x14ac:dyDescent="0.25">
      <c r="Q848" s="32"/>
      <c r="AG848" s="37"/>
      <c r="AH848" s="312"/>
      <c r="AI848" s="935"/>
      <c r="AJ848" s="935"/>
      <c r="AK848" s="935"/>
      <c r="AL848" s="935"/>
      <c r="AM848" s="935"/>
      <c r="AN848" s="935"/>
      <c r="AO848" s="312"/>
      <c r="AP848" s="32"/>
      <c r="AQ848" s="32"/>
      <c r="AR848" s="32"/>
      <c r="AS848" s="32"/>
      <c r="AT848" s="32"/>
      <c r="AU848" s="32"/>
      <c r="AV848" s="32"/>
      <c r="AW848" s="32"/>
      <c r="AX848" s="32"/>
      <c r="AY848" s="32"/>
      <c r="BB848" s="32"/>
      <c r="BE848" s="32"/>
      <c r="BJ848" s="32"/>
    </row>
    <row r="849" spans="17:62" x14ac:dyDescent="0.25">
      <c r="Q849" s="32"/>
      <c r="AG849" s="37"/>
      <c r="AH849" s="312"/>
      <c r="AI849" s="935"/>
      <c r="AJ849" s="935"/>
      <c r="AK849" s="935"/>
      <c r="AL849" s="935"/>
      <c r="AM849" s="935"/>
      <c r="AN849" s="935"/>
      <c r="AO849" s="312"/>
      <c r="AP849" s="32"/>
      <c r="AQ849" s="32"/>
      <c r="AR849" s="32"/>
      <c r="AS849" s="32"/>
      <c r="AT849" s="32"/>
      <c r="AU849" s="32"/>
      <c r="AV849" s="32"/>
      <c r="AW849" s="32"/>
      <c r="AX849" s="32"/>
      <c r="AY849" s="32"/>
      <c r="BB849" s="32"/>
      <c r="BE849" s="32"/>
      <c r="BJ849" s="32"/>
    </row>
    <row r="850" spans="17:62" x14ac:dyDescent="0.25">
      <c r="Q850" s="32"/>
      <c r="AG850" s="37"/>
      <c r="AH850" s="312"/>
      <c r="AI850" s="935"/>
      <c r="AJ850" s="935"/>
      <c r="AK850" s="935"/>
      <c r="AL850" s="935"/>
      <c r="AM850" s="935"/>
      <c r="AN850" s="935"/>
      <c r="AO850" s="312"/>
      <c r="AP850" s="32"/>
      <c r="AQ850" s="32"/>
      <c r="AR850" s="32"/>
      <c r="AS850" s="32"/>
      <c r="AT850" s="32"/>
      <c r="AU850" s="32"/>
      <c r="AV850" s="32"/>
      <c r="AW850" s="32"/>
      <c r="AX850" s="32"/>
      <c r="AY850" s="32"/>
      <c r="BB850" s="32"/>
      <c r="BE850" s="32"/>
      <c r="BJ850" s="32"/>
    </row>
    <row r="851" spans="17:62" x14ac:dyDescent="0.25">
      <c r="Q851" s="32"/>
      <c r="AG851" s="37"/>
      <c r="AH851" s="312"/>
      <c r="AI851" s="935"/>
      <c r="AJ851" s="935"/>
      <c r="AK851" s="935"/>
      <c r="AL851" s="935"/>
      <c r="AM851" s="935"/>
      <c r="AN851" s="935"/>
      <c r="AO851" s="312"/>
      <c r="AP851" s="32"/>
      <c r="AQ851" s="32"/>
      <c r="AR851" s="32"/>
      <c r="AS851" s="32"/>
      <c r="AT851" s="32"/>
      <c r="AU851" s="32"/>
      <c r="AV851" s="32"/>
      <c r="AW851" s="32"/>
      <c r="AX851" s="32"/>
      <c r="AY851" s="32"/>
      <c r="BB851" s="32"/>
      <c r="BE851" s="32"/>
      <c r="BJ851" s="32"/>
    </row>
    <row r="852" spans="17:62" x14ac:dyDescent="0.25">
      <c r="Q852" s="32"/>
      <c r="AG852" s="37"/>
      <c r="AH852" s="312"/>
      <c r="AI852" s="935"/>
      <c r="AJ852" s="935"/>
      <c r="AK852" s="935"/>
      <c r="AL852" s="935"/>
      <c r="AM852" s="935"/>
      <c r="AN852" s="935"/>
      <c r="AO852" s="312"/>
      <c r="AP852" s="32"/>
      <c r="AQ852" s="32"/>
      <c r="AR852" s="32"/>
      <c r="AS852" s="32"/>
      <c r="AT852" s="32"/>
      <c r="AU852" s="32"/>
      <c r="AV852" s="32"/>
      <c r="AW852" s="32"/>
      <c r="AX852" s="32"/>
      <c r="AY852" s="32"/>
      <c r="BB852" s="32"/>
      <c r="BE852" s="32"/>
      <c r="BJ852" s="32"/>
    </row>
    <row r="853" spans="17:62" x14ac:dyDescent="0.25">
      <c r="Q853" s="32"/>
      <c r="AG853" s="37"/>
      <c r="AH853" s="312"/>
      <c r="AI853" s="935"/>
      <c r="AJ853" s="935"/>
      <c r="AK853" s="935"/>
      <c r="AL853" s="935"/>
      <c r="AM853" s="935"/>
      <c r="AN853" s="935"/>
      <c r="AO853" s="312"/>
      <c r="AP853" s="32"/>
      <c r="AQ853" s="32"/>
      <c r="AR853" s="32"/>
      <c r="AS853" s="32"/>
      <c r="AT853" s="32"/>
      <c r="AU853" s="32"/>
      <c r="AV853" s="32"/>
      <c r="AW853" s="32"/>
      <c r="AX853" s="32"/>
      <c r="AY853" s="32"/>
      <c r="BB853" s="32"/>
      <c r="BE853" s="32"/>
      <c r="BJ853" s="32"/>
    </row>
    <row r="854" spans="17:62" x14ac:dyDescent="0.25">
      <c r="Q854" s="32"/>
      <c r="AG854" s="37"/>
      <c r="AH854" s="312"/>
      <c r="AI854" s="935"/>
      <c r="AJ854" s="935"/>
      <c r="AK854" s="935"/>
      <c r="AL854" s="935"/>
      <c r="AM854" s="935"/>
      <c r="AN854" s="935"/>
      <c r="AO854" s="312"/>
      <c r="AP854" s="32"/>
      <c r="AQ854" s="32"/>
      <c r="AR854" s="32"/>
      <c r="AS854" s="32"/>
      <c r="AT854" s="32"/>
      <c r="AU854" s="32"/>
      <c r="AV854" s="32"/>
      <c r="AW854" s="32"/>
      <c r="AX854" s="32"/>
      <c r="AY854" s="32"/>
      <c r="BB854" s="32"/>
      <c r="BE854" s="32"/>
      <c r="BJ854" s="32"/>
    </row>
    <row r="855" spans="17:62" x14ac:dyDescent="0.25">
      <c r="Q855" s="32"/>
      <c r="AG855" s="37"/>
      <c r="AH855" s="312"/>
      <c r="AI855" s="935"/>
      <c r="AJ855" s="935"/>
      <c r="AK855" s="935"/>
      <c r="AL855" s="935"/>
      <c r="AM855" s="935"/>
      <c r="AN855" s="935"/>
      <c r="AO855" s="312"/>
      <c r="AP855" s="32"/>
      <c r="AQ855" s="32"/>
      <c r="AR855" s="32"/>
      <c r="AS855" s="32"/>
      <c r="AT855" s="32"/>
      <c r="AU855" s="32"/>
      <c r="AV855" s="32"/>
      <c r="AW855" s="32"/>
      <c r="AX855" s="32"/>
      <c r="AY855" s="32"/>
      <c r="BB855" s="32"/>
      <c r="BE855" s="32"/>
      <c r="BJ855" s="32"/>
    </row>
    <row r="856" spans="17:62" x14ac:dyDescent="0.25">
      <c r="Q856" s="32"/>
      <c r="AG856" s="37"/>
      <c r="AH856" s="312"/>
      <c r="AI856" s="935"/>
      <c r="AJ856" s="935"/>
      <c r="AK856" s="935"/>
      <c r="AL856" s="935"/>
      <c r="AM856" s="935"/>
      <c r="AN856" s="935"/>
      <c r="AO856" s="312"/>
      <c r="AP856" s="32"/>
      <c r="AQ856" s="32"/>
      <c r="AR856" s="32"/>
      <c r="AS856" s="32"/>
      <c r="AT856" s="32"/>
      <c r="AU856" s="32"/>
      <c r="AV856" s="32"/>
      <c r="AW856" s="32"/>
      <c r="AX856" s="32"/>
      <c r="AY856" s="32"/>
      <c r="BB856" s="32"/>
      <c r="BE856" s="32"/>
      <c r="BJ856" s="32"/>
    </row>
    <row r="857" spans="17:62" x14ac:dyDescent="0.25">
      <c r="Q857" s="32"/>
      <c r="AG857" s="37"/>
      <c r="AH857" s="312"/>
      <c r="AI857" s="935"/>
      <c r="AJ857" s="935"/>
      <c r="AK857" s="935"/>
      <c r="AL857" s="935"/>
      <c r="AM857" s="935"/>
      <c r="AN857" s="935"/>
      <c r="AO857" s="312"/>
      <c r="AP857" s="32"/>
      <c r="AQ857" s="32"/>
      <c r="AR857" s="32"/>
      <c r="AS857" s="32"/>
      <c r="AT857" s="32"/>
      <c r="AU857" s="32"/>
      <c r="AV857" s="32"/>
      <c r="AW857" s="32"/>
      <c r="AX857" s="32"/>
      <c r="AY857" s="32"/>
      <c r="BB857" s="32"/>
      <c r="BE857" s="32"/>
      <c r="BJ857" s="32"/>
    </row>
    <row r="858" spans="17:62" x14ac:dyDescent="0.25">
      <c r="Q858" s="32"/>
      <c r="AG858" s="37"/>
      <c r="AH858" s="312"/>
      <c r="AI858" s="935"/>
      <c r="AJ858" s="935"/>
      <c r="AK858" s="935"/>
      <c r="AL858" s="935"/>
      <c r="AM858" s="935"/>
      <c r="AN858" s="935"/>
      <c r="AO858" s="312"/>
      <c r="AP858" s="32"/>
      <c r="AQ858" s="32"/>
      <c r="AR858" s="32"/>
      <c r="AS858" s="32"/>
      <c r="AT858" s="32"/>
      <c r="AU858" s="32"/>
      <c r="AV858" s="32"/>
      <c r="AW858" s="32"/>
      <c r="AX858" s="32"/>
      <c r="AY858" s="32"/>
      <c r="BB858" s="32"/>
      <c r="BE858" s="32"/>
      <c r="BJ858" s="32"/>
    </row>
    <row r="859" spans="17:62" x14ac:dyDescent="0.25">
      <c r="Q859" s="32"/>
      <c r="AG859" s="37"/>
      <c r="AH859" s="312"/>
      <c r="AI859" s="935"/>
      <c r="AJ859" s="935"/>
      <c r="AK859" s="935"/>
      <c r="AL859" s="935"/>
      <c r="AM859" s="935"/>
      <c r="AN859" s="935"/>
      <c r="AO859" s="312"/>
      <c r="AP859" s="32"/>
      <c r="AQ859" s="32"/>
      <c r="AR859" s="32"/>
      <c r="AS859" s="32"/>
      <c r="AT859" s="32"/>
      <c r="AU859" s="32"/>
      <c r="AV859" s="32"/>
      <c r="AW859" s="32"/>
      <c r="AX859" s="32"/>
      <c r="AY859" s="32"/>
      <c r="BB859" s="32"/>
      <c r="BE859" s="32"/>
      <c r="BJ859" s="32"/>
    </row>
    <row r="860" spans="17:62" x14ac:dyDescent="0.25">
      <c r="Q860" s="32"/>
      <c r="AG860" s="37"/>
      <c r="AH860" s="312"/>
      <c r="AI860" s="935"/>
      <c r="AJ860" s="935"/>
      <c r="AK860" s="935"/>
      <c r="AL860" s="935"/>
      <c r="AM860" s="935"/>
      <c r="AN860" s="935"/>
      <c r="AO860" s="312"/>
      <c r="AP860" s="32"/>
      <c r="AQ860" s="32"/>
      <c r="AR860" s="32"/>
      <c r="AS860" s="32"/>
      <c r="AT860" s="32"/>
      <c r="AU860" s="32"/>
      <c r="AV860" s="32"/>
      <c r="AW860" s="32"/>
      <c r="AX860" s="32"/>
      <c r="AY860" s="32"/>
      <c r="BB860" s="32"/>
      <c r="BE860" s="32"/>
      <c r="BJ860" s="32"/>
    </row>
    <row r="861" spans="17:62" x14ac:dyDescent="0.25">
      <c r="Q861" s="32"/>
      <c r="AG861" s="37"/>
      <c r="AH861" s="312"/>
      <c r="AI861" s="935"/>
      <c r="AJ861" s="935"/>
      <c r="AK861" s="935"/>
      <c r="AL861" s="935"/>
      <c r="AM861" s="935"/>
      <c r="AN861" s="935"/>
      <c r="AO861" s="312"/>
      <c r="AP861" s="32"/>
      <c r="AQ861" s="32"/>
      <c r="AR861" s="32"/>
      <c r="AS861" s="32"/>
      <c r="AT861" s="32"/>
      <c r="AU861" s="32"/>
      <c r="AV861" s="32"/>
      <c r="AW861" s="32"/>
      <c r="AX861" s="32"/>
      <c r="AY861" s="32"/>
      <c r="BB861" s="32"/>
      <c r="BE861" s="32"/>
      <c r="BJ861" s="32"/>
    </row>
    <row r="862" spans="17:62" x14ac:dyDescent="0.25">
      <c r="Q862" s="32"/>
      <c r="AG862" s="37"/>
      <c r="AH862" s="312"/>
      <c r="AI862" s="935"/>
      <c r="AJ862" s="935"/>
      <c r="AK862" s="935"/>
      <c r="AL862" s="935"/>
      <c r="AM862" s="935"/>
      <c r="AN862" s="935"/>
      <c r="AO862" s="312"/>
      <c r="AP862" s="32"/>
      <c r="AQ862" s="32"/>
      <c r="AR862" s="32"/>
      <c r="AS862" s="32"/>
      <c r="AT862" s="32"/>
      <c r="AU862" s="32"/>
      <c r="AV862" s="32"/>
      <c r="AW862" s="32"/>
      <c r="AX862" s="32"/>
      <c r="AY862" s="32"/>
      <c r="BB862" s="32"/>
      <c r="BE862" s="32"/>
      <c r="BJ862" s="32"/>
    </row>
    <row r="863" spans="17:62" x14ac:dyDescent="0.25">
      <c r="Q863" s="32"/>
      <c r="AG863" s="37"/>
      <c r="AH863" s="312"/>
      <c r="AI863" s="935"/>
      <c r="AJ863" s="935"/>
      <c r="AK863" s="935"/>
      <c r="AL863" s="935"/>
      <c r="AM863" s="935"/>
      <c r="AN863" s="935"/>
      <c r="AO863" s="312"/>
      <c r="AP863" s="32"/>
      <c r="AQ863" s="32"/>
      <c r="AR863" s="32"/>
      <c r="AS863" s="32"/>
      <c r="AT863" s="32"/>
      <c r="AU863" s="32"/>
      <c r="AV863" s="32"/>
      <c r="AW863" s="32"/>
      <c r="AX863" s="32"/>
      <c r="AY863" s="32"/>
      <c r="BB863" s="32"/>
      <c r="BE863" s="32"/>
      <c r="BJ863" s="32"/>
    </row>
    <row r="864" spans="17:62" x14ac:dyDescent="0.25">
      <c r="Q864" s="32"/>
      <c r="AG864" s="37"/>
      <c r="AH864" s="312"/>
      <c r="AI864" s="935"/>
      <c r="AJ864" s="935"/>
      <c r="AK864" s="935"/>
      <c r="AL864" s="935"/>
      <c r="AM864" s="935"/>
      <c r="AN864" s="935"/>
      <c r="AO864" s="312"/>
      <c r="AP864" s="32"/>
      <c r="AQ864" s="32"/>
      <c r="AR864" s="32"/>
      <c r="AS864" s="32"/>
      <c r="AT864" s="32"/>
      <c r="AU864" s="32"/>
      <c r="AV864" s="32"/>
      <c r="AW864" s="32"/>
      <c r="AX864" s="32"/>
      <c r="AY864" s="32"/>
      <c r="BB864" s="32"/>
      <c r="BE864" s="32"/>
      <c r="BJ864" s="32"/>
    </row>
    <row r="865" spans="17:62" x14ac:dyDescent="0.25">
      <c r="Q865" s="32"/>
      <c r="AG865" s="37"/>
      <c r="AH865" s="312"/>
      <c r="AI865" s="935"/>
      <c r="AJ865" s="935"/>
      <c r="AK865" s="935"/>
      <c r="AL865" s="935"/>
      <c r="AM865" s="935"/>
      <c r="AN865" s="935"/>
      <c r="AO865" s="312"/>
      <c r="AP865" s="32"/>
      <c r="AQ865" s="32"/>
      <c r="AR865" s="32"/>
      <c r="AS865" s="32"/>
      <c r="AT865" s="32"/>
      <c r="AU865" s="32"/>
      <c r="AV865" s="32"/>
      <c r="AW865" s="32"/>
      <c r="AX865" s="32"/>
      <c r="AY865" s="32"/>
      <c r="BB865" s="32"/>
      <c r="BE865" s="32"/>
      <c r="BJ865" s="32"/>
    </row>
    <row r="866" spans="17:62" x14ac:dyDescent="0.25">
      <c r="Q866" s="32"/>
      <c r="AG866" s="37"/>
      <c r="AH866" s="312"/>
      <c r="AI866" s="935"/>
      <c r="AJ866" s="935"/>
      <c r="AK866" s="935"/>
      <c r="AL866" s="935"/>
      <c r="AM866" s="935"/>
      <c r="AN866" s="935"/>
      <c r="AO866" s="312"/>
      <c r="AP866" s="32"/>
      <c r="AQ866" s="32"/>
      <c r="AR866" s="32"/>
      <c r="AS866" s="32"/>
      <c r="AT866" s="32"/>
      <c r="AU866" s="32"/>
      <c r="AV866" s="32"/>
      <c r="AW866" s="32"/>
      <c r="AX866" s="32"/>
      <c r="AY866" s="32"/>
      <c r="BB866" s="32"/>
      <c r="BE866" s="32"/>
      <c r="BJ866" s="32"/>
    </row>
    <row r="867" spans="17:62" x14ac:dyDescent="0.25">
      <c r="Q867" s="32"/>
      <c r="AG867" s="37"/>
      <c r="AH867" s="312"/>
      <c r="AI867" s="935"/>
      <c r="AJ867" s="935"/>
      <c r="AK867" s="935"/>
      <c r="AL867" s="935"/>
      <c r="AM867" s="935"/>
      <c r="AN867" s="935"/>
      <c r="AO867" s="312"/>
      <c r="AP867" s="32"/>
      <c r="AQ867" s="32"/>
      <c r="AR867" s="32"/>
      <c r="AS867" s="32"/>
      <c r="AT867" s="32"/>
      <c r="AU867" s="32"/>
      <c r="AV867" s="32"/>
      <c r="AW867" s="32"/>
      <c r="AX867" s="32"/>
      <c r="AY867" s="32"/>
      <c r="BB867" s="32"/>
      <c r="BE867" s="32"/>
      <c r="BJ867" s="32"/>
    </row>
    <row r="868" spans="17:62" x14ac:dyDescent="0.25">
      <c r="Q868" s="32"/>
      <c r="AG868" s="37"/>
      <c r="AH868" s="312"/>
      <c r="AI868" s="935"/>
      <c r="AJ868" s="935"/>
      <c r="AK868" s="935"/>
      <c r="AL868" s="935"/>
      <c r="AM868" s="935"/>
      <c r="AN868" s="935"/>
      <c r="AO868" s="312"/>
      <c r="AP868" s="32"/>
      <c r="AQ868" s="32"/>
      <c r="AR868" s="32"/>
      <c r="AS868" s="32"/>
      <c r="AT868" s="32"/>
      <c r="AU868" s="32"/>
      <c r="AV868" s="32"/>
      <c r="AW868" s="32"/>
      <c r="AX868" s="32"/>
      <c r="AY868" s="32"/>
      <c r="BB868" s="32"/>
      <c r="BE868" s="32"/>
      <c r="BJ868" s="32"/>
    </row>
    <row r="869" spans="17:62" x14ac:dyDescent="0.25">
      <c r="Q869" s="32"/>
      <c r="AG869" s="37"/>
      <c r="AH869" s="312"/>
      <c r="AI869" s="935"/>
      <c r="AJ869" s="935"/>
      <c r="AK869" s="935"/>
      <c r="AL869" s="935"/>
      <c r="AM869" s="935"/>
      <c r="AN869" s="935"/>
      <c r="AO869" s="312"/>
      <c r="AP869" s="32"/>
      <c r="AQ869" s="32"/>
      <c r="AR869" s="32"/>
      <c r="AS869" s="32"/>
      <c r="AT869" s="32"/>
      <c r="AU869" s="32"/>
      <c r="AV869" s="32"/>
      <c r="AW869" s="32"/>
      <c r="AX869" s="32"/>
      <c r="AY869" s="32"/>
      <c r="BB869" s="32"/>
      <c r="BE869" s="32"/>
      <c r="BJ869" s="32"/>
    </row>
    <row r="870" spans="17:62" x14ac:dyDescent="0.25">
      <c r="Q870" s="32"/>
      <c r="AG870" s="37"/>
      <c r="AH870" s="312"/>
      <c r="AI870" s="935"/>
      <c r="AJ870" s="935"/>
      <c r="AK870" s="935"/>
      <c r="AL870" s="935"/>
      <c r="AM870" s="935"/>
      <c r="AN870" s="935"/>
      <c r="AO870" s="312"/>
      <c r="AP870" s="32"/>
      <c r="AQ870" s="32"/>
      <c r="AR870" s="32"/>
      <c r="AS870" s="32"/>
      <c r="AT870" s="32"/>
      <c r="AU870" s="32"/>
      <c r="AV870" s="32"/>
      <c r="AW870" s="32"/>
      <c r="AX870" s="32"/>
      <c r="AY870" s="32"/>
      <c r="BB870" s="32"/>
      <c r="BE870" s="32"/>
      <c r="BJ870" s="32"/>
    </row>
    <row r="871" spans="17:62" x14ac:dyDescent="0.25">
      <c r="Q871" s="32"/>
      <c r="AG871" s="37"/>
      <c r="AH871" s="312"/>
      <c r="AI871" s="935"/>
      <c r="AJ871" s="935"/>
      <c r="AK871" s="935"/>
      <c r="AL871" s="935"/>
      <c r="AM871" s="935"/>
      <c r="AN871" s="935"/>
      <c r="AO871" s="312"/>
      <c r="AP871" s="32"/>
      <c r="AQ871" s="32"/>
      <c r="AR871" s="32"/>
      <c r="AS871" s="32"/>
      <c r="AT871" s="32"/>
      <c r="AU871" s="32"/>
      <c r="AV871" s="32"/>
      <c r="AW871" s="32"/>
      <c r="AX871" s="32"/>
      <c r="AY871" s="32"/>
      <c r="BB871" s="32"/>
      <c r="BE871" s="32"/>
      <c r="BJ871" s="32"/>
    </row>
    <row r="872" spans="17:62" x14ac:dyDescent="0.25">
      <c r="Q872" s="32"/>
      <c r="AG872" s="37"/>
      <c r="AH872" s="312"/>
      <c r="AI872" s="935"/>
      <c r="AJ872" s="935"/>
      <c r="AK872" s="935"/>
      <c r="AL872" s="935"/>
      <c r="AM872" s="935"/>
      <c r="AN872" s="935"/>
      <c r="AO872" s="312"/>
      <c r="AP872" s="32"/>
      <c r="AQ872" s="32"/>
      <c r="AR872" s="32"/>
      <c r="AS872" s="32"/>
      <c r="AT872" s="32"/>
      <c r="AU872" s="32"/>
      <c r="AV872" s="32"/>
      <c r="AW872" s="32"/>
      <c r="AX872" s="32"/>
      <c r="AY872" s="32"/>
      <c r="BB872" s="32"/>
      <c r="BE872" s="32"/>
      <c r="BJ872" s="32"/>
    </row>
    <row r="873" spans="17:62" x14ac:dyDescent="0.25">
      <c r="Q873" s="32"/>
      <c r="AG873" s="37"/>
      <c r="AH873" s="312"/>
      <c r="AI873" s="935"/>
      <c r="AJ873" s="935"/>
      <c r="AK873" s="935"/>
      <c r="AL873" s="935"/>
      <c r="AM873" s="935"/>
      <c r="AN873" s="935"/>
      <c r="AO873" s="312"/>
      <c r="AP873" s="32"/>
      <c r="AQ873" s="32"/>
      <c r="AR873" s="32"/>
      <c r="AS873" s="32"/>
      <c r="AT873" s="32"/>
      <c r="AU873" s="32"/>
      <c r="AV873" s="32"/>
      <c r="AW873" s="32"/>
      <c r="AX873" s="32"/>
      <c r="AY873" s="32"/>
      <c r="BB873" s="32"/>
      <c r="BE873" s="32"/>
      <c r="BJ873" s="32"/>
    </row>
    <row r="874" spans="17:62" x14ac:dyDescent="0.25">
      <c r="Q874" s="32"/>
      <c r="AG874" s="37"/>
      <c r="AH874" s="312"/>
      <c r="AI874" s="935"/>
      <c r="AJ874" s="935"/>
      <c r="AK874" s="935"/>
      <c r="AL874" s="935"/>
      <c r="AM874" s="935"/>
      <c r="AN874" s="935"/>
      <c r="AO874" s="312"/>
      <c r="AP874" s="32"/>
      <c r="AQ874" s="32"/>
      <c r="AR874" s="32"/>
      <c r="AS874" s="32"/>
      <c r="AT874" s="32"/>
      <c r="AU874" s="32"/>
      <c r="AV874" s="32"/>
      <c r="AW874" s="32"/>
      <c r="AX874" s="32"/>
      <c r="AY874" s="32"/>
      <c r="BB874" s="32"/>
      <c r="BE874" s="32"/>
      <c r="BJ874" s="32"/>
    </row>
    <row r="875" spans="17:62" x14ac:dyDescent="0.25">
      <c r="Q875" s="32"/>
      <c r="AG875" s="37"/>
      <c r="AH875" s="312"/>
      <c r="AI875" s="935"/>
      <c r="AJ875" s="935"/>
      <c r="AK875" s="935"/>
      <c r="AL875" s="935"/>
      <c r="AM875" s="935"/>
      <c r="AN875" s="935"/>
      <c r="AO875" s="312"/>
      <c r="AP875" s="32"/>
      <c r="AQ875" s="32"/>
      <c r="AR875" s="32"/>
      <c r="AS875" s="32"/>
      <c r="AT875" s="32"/>
      <c r="AU875" s="32"/>
      <c r="AV875" s="32"/>
      <c r="AW875" s="32"/>
      <c r="AX875" s="32"/>
      <c r="AY875" s="32"/>
      <c r="BB875" s="32"/>
      <c r="BE875" s="32"/>
      <c r="BJ875" s="32"/>
    </row>
    <row r="876" spans="17:62" x14ac:dyDescent="0.25">
      <c r="Q876" s="32"/>
      <c r="AG876" s="37"/>
      <c r="AH876" s="312"/>
      <c r="AI876" s="935"/>
      <c r="AJ876" s="935"/>
      <c r="AK876" s="935"/>
      <c r="AL876" s="935"/>
      <c r="AM876" s="935"/>
      <c r="AN876" s="935"/>
      <c r="AO876" s="312"/>
      <c r="AP876" s="32"/>
      <c r="AQ876" s="32"/>
      <c r="AR876" s="32"/>
      <c r="AS876" s="32"/>
      <c r="AT876" s="32"/>
      <c r="AU876" s="32"/>
      <c r="AV876" s="32"/>
      <c r="AW876" s="32"/>
      <c r="AX876" s="32"/>
      <c r="AY876" s="32"/>
      <c r="BB876" s="32"/>
      <c r="BE876" s="32"/>
      <c r="BJ876" s="32"/>
    </row>
    <row r="877" spans="17:62" x14ac:dyDescent="0.25">
      <c r="Q877" s="32"/>
      <c r="AG877" s="37"/>
      <c r="AH877" s="312"/>
      <c r="AI877" s="935"/>
      <c r="AJ877" s="935"/>
      <c r="AK877" s="935"/>
      <c r="AL877" s="935"/>
      <c r="AM877" s="935"/>
      <c r="AN877" s="935"/>
      <c r="AO877" s="312"/>
      <c r="AP877" s="32"/>
      <c r="AQ877" s="32"/>
      <c r="AR877" s="32"/>
      <c r="AS877" s="32"/>
      <c r="AT877" s="32"/>
      <c r="AU877" s="32"/>
      <c r="AV877" s="32"/>
      <c r="AW877" s="32"/>
      <c r="AX877" s="32"/>
      <c r="AY877" s="32"/>
      <c r="BB877" s="32"/>
      <c r="BE877" s="32"/>
      <c r="BJ877" s="32"/>
    </row>
    <row r="878" spans="17:62" x14ac:dyDescent="0.25">
      <c r="Q878" s="32"/>
      <c r="AG878" s="37"/>
      <c r="AH878" s="312"/>
      <c r="AI878" s="935"/>
      <c r="AJ878" s="935"/>
      <c r="AK878" s="935"/>
      <c r="AL878" s="935"/>
      <c r="AM878" s="935"/>
      <c r="AN878" s="935"/>
      <c r="AO878" s="312"/>
      <c r="AP878" s="32"/>
      <c r="AQ878" s="32"/>
      <c r="AR878" s="32"/>
      <c r="AS878" s="32"/>
      <c r="AT878" s="32"/>
      <c r="AU878" s="32"/>
      <c r="AV878" s="32"/>
      <c r="AW878" s="32"/>
      <c r="AX878" s="32"/>
      <c r="AY878" s="32"/>
      <c r="BB878" s="32"/>
      <c r="BE878" s="32"/>
      <c r="BJ878" s="32"/>
    </row>
    <row r="879" spans="17:62" x14ac:dyDescent="0.25">
      <c r="Q879" s="32"/>
      <c r="AG879" s="37"/>
      <c r="AH879" s="312"/>
      <c r="AI879" s="935"/>
      <c r="AJ879" s="935"/>
      <c r="AK879" s="935"/>
      <c r="AL879" s="935"/>
      <c r="AM879" s="935"/>
      <c r="AN879" s="935"/>
      <c r="AO879" s="312"/>
      <c r="AP879" s="32"/>
      <c r="AQ879" s="32"/>
      <c r="AR879" s="32"/>
      <c r="AS879" s="32"/>
      <c r="AT879" s="32"/>
      <c r="AU879" s="32"/>
      <c r="AV879" s="32"/>
      <c r="AW879" s="32"/>
      <c r="AX879" s="32"/>
      <c r="AY879" s="32"/>
      <c r="BB879" s="32"/>
      <c r="BE879" s="32"/>
      <c r="BJ879" s="32"/>
    </row>
    <row r="880" spans="17:62" x14ac:dyDescent="0.25">
      <c r="Q880" s="32"/>
      <c r="AG880" s="37"/>
      <c r="AH880" s="312"/>
      <c r="AI880" s="935"/>
      <c r="AJ880" s="935"/>
      <c r="AK880" s="935"/>
      <c r="AL880" s="935"/>
      <c r="AM880" s="935"/>
      <c r="AN880" s="935"/>
      <c r="AO880" s="312"/>
      <c r="AP880" s="32"/>
      <c r="AQ880" s="32"/>
      <c r="AR880" s="32"/>
      <c r="AS880" s="32"/>
      <c r="AT880" s="32"/>
      <c r="AU880" s="32"/>
      <c r="AV880" s="32"/>
      <c r="AW880" s="32"/>
      <c r="AX880" s="32"/>
      <c r="AY880" s="32"/>
      <c r="BB880" s="32"/>
      <c r="BE880" s="32"/>
      <c r="BJ880" s="32"/>
    </row>
    <row r="881" spans="17:62" x14ac:dyDescent="0.25">
      <c r="Q881" s="32"/>
      <c r="AG881" s="37"/>
      <c r="AH881" s="312"/>
      <c r="AI881" s="935"/>
      <c r="AJ881" s="935"/>
      <c r="AK881" s="935"/>
      <c r="AL881" s="935"/>
      <c r="AM881" s="935"/>
      <c r="AN881" s="935"/>
      <c r="AO881" s="312"/>
      <c r="AP881" s="32"/>
      <c r="AQ881" s="32"/>
      <c r="AR881" s="32"/>
      <c r="AS881" s="32"/>
      <c r="AT881" s="32"/>
      <c r="AU881" s="32"/>
      <c r="AV881" s="32"/>
      <c r="AW881" s="32"/>
      <c r="AX881" s="32"/>
      <c r="AY881" s="32"/>
      <c r="BB881" s="32"/>
      <c r="BE881" s="32"/>
      <c r="BJ881" s="32"/>
    </row>
    <row r="882" spans="17:62" x14ac:dyDescent="0.25">
      <c r="Q882" s="32"/>
      <c r="AG882" s="37"/>
      <c r="AH882" s="312"/>
      <c r="AI882" s="935"/>
      <c r="AJ882" s="935"/>
      <c r="AK882" s="935"/>
      <c r="AL882" s="935"/>
      <c r="AM882" s="935"/>
      <c r="AN882" s="935"/>
      <c r="AO882" s="312"/>
      <c r="AP882" s="32"/>
      <c r="AQ882" s="32"/>
      <c r="AR882" s="32"/>
      <c r="AS882" s="32"/>
      <c r="AT882" s="32"/>
      <c r="AU882" s="32"/>
      <c r="AV882" s="32"/>
      <c r="AW882" s="32"/>
      <c r="AX882" s="32"/>
      <c r="AY882" s="32"/>
      <c r="BB882" s="32"/>
      <c r="BE882" s="32"/>
      <c r="BJ882" s="32"/>
    </row>
    <row r="883" spans="17:62" x14ac:dyDescent="0.25">
      <c r="Q883" s="32"/>
      <c r="AG883" s="37"/>
      <c r="AH883" s="312"/>
      <c r="AI883" s="935"/>
      <c r="AJ883" s="935"/>
      <c r="AK883" s="935"/>
      <c r="AL883" s="935"/>
      <c r="AM883" s="935"/>
      <c r="AN883" s="935"/>
      <c r="AO883" s="312"/>
      <c r="AP883" s="32"/>
      <c r="AQ883" s="32"/>
      <c r="AR883" s="32"/>
      <c r="AS883" s="32"/>
      <c r="AT883" s="32"/>
      <c r="AU883" s="32"/>
      <c r="AV883" s="32"/>
      <c r="AW883" s="32"/>
      <c r="AX883" s="32"/>
      <c r="AY883" s="32"/>
      <c r="BB883" s="32"/>
      <c r="BE883" s="32"/>
      <c r="BJ883" s="32"/>
    </row>
    <row r="884" spans="17:62" x14ac:dyDescent="0.25">
      <c r="Q884" s="32"/>
      <c r="AG884" s="37"/>
      <c r="AH884" s="312"/>
      <c r="AI884" s="935"/>
      <c r="AJ884" s="935"/>
      <c r="AK884" s="935"/>
      <c r="AL884" s="935"/>
      <c r="AM884" s="935"/>
      <c r="AN884" s="935"/>
      <c r="AO884" s="312"/>
      <c r="AP884" s="32"/>
      <c r="AQ884" s="32"/>
      <c r="AR884" s="32"/>
      <c r="AS884" s="32"/>
      <c r="AT884" s="32"/>
      <c r="AU884" s="32"/>
      <c r="AV884" s="32"/>
      <c r="AW884" s="32"/>
      <c r="AX884" s="32"/>
      <c r="AY884" s="32"/>
      <c r="BB884" s="32"/>
      <c r="BE884" s="32"/>
      <c r="BJ884" s="32"/>
    </row>
    <row r="885" spans="17:62" x14ac:dyDescent="0.25">
      <c r="Q885" s="32"/>
      <c r="AG885" s="37"/>
      <c r="AH885" s="312"/>
      <c r="AI885" s="935"/>
      <c r="AJ885" s="935"/>
      <c r="AK885" s="935"/>
      <c r="AL885" s="935"/>
      <c r="AM885" s="935"/>
      <c r="AN885" s="935"/>
      <c r="AO885" s="312"/>
      <c r="AP885" s="32"/>
      <c r="AQ885" s="32"/>
      <c r="AR885" s="32"/>
      <c r="AS885" s="32"/>
      <c r="AT885" s="32"/>
      <c r="AU885" s="32"/>
      <c r="AV885" s="32"/>
      <c r="AW885" s="32"/>
      <c r="AX885" s="32"/>
      <c r="AY885" s="32"/>
      <c r="BB885" s="32"/>
      <c r="BE885" s="32"/>
      <c r="BJ885" s="32"/>
    </row>
    <row r="886" spans="17:62" x14ac:dyDescent="0.25">
      <c r="Q886" s="32"/>
      <c r="AG886" s="37"/>
      <c r="AH886" s="312"/>
      <c r="AI886" s="935"/>
      <c r="AJ886" s="935"/>
      <c r="AK886" s="935"/>
      <c r="AL886" s="935"/>
      <c r="AM886" s="935"/>
      <c r="AN886" s="935"/>
      <c r="AO886" s="312"/>
      <c r="AP886" s="32"/>
      <c r="AQ886" s="32"/>
      <c r="AR886" s="32"/>
      <c r="AS886" s="32"/>
      <c r="AT886" s="32"/>
      <c r="AU886" s="32"/>
      <c r="AV886" s="32"/>
      <c r="AW886" s="32"/>
      <c r="AX886" s="32"/>
      <c r="AY886" s="32"/>
      <c r="BB886" s="32"/>
      <c r="BE886" s="32"/>
      <c r="BJ886" s="32"/>
    </row>
    <row r="887" spans="17:62" x14ac:dyDescent="0.25">
      <c r="Q887" s="32"/>
      <c r="AG887" s="37"/>
      <c r="AH887" s="312"/>
      <c r="AI887" s="935"/>
      <c r="AJ887" s="935"/>
      <c r="AK887" s="935"/>
      <c r="AL887" s="935"/>
      <c r="AM887" s="935"/>
      <c r="AN887" s="935"/>
      <c r="AO887" s="312"/>
      <c r="AP887" s="32"/>
      <c r="AQ887" s="32"/>
      <c r="AR887" s="32"/>
      <c r="AS887" s="32"/>
      <c r="AT887" s="32"/>
      <c r="AU887" s="32"/>
      <c r="AV887" s="32"/>
      <c r="AW887" s="32"/>
      <c r="AX887" s="32"/>
      <c r="AY887" s="32"/>
      <c r="BB887" s="32"/>
      <c r="BE887" s="32"/>
      <c r="BJ887" s="32"/>
    </row>
    <row r="888" spans="17:62" x14ac:dyDescent="0.25">
      <c r="Q888" s="32"/>
      <c r="AG888" s="37"/>
      <c r="AH888" s="312"/>
      <c r="AI888" s="935"/>
      <c r="AJ888" s="935"/>
      <c r="AK888" s="935"/>
      <c r="AL888" s="935"/>
      <c r="AM888" s="935"/>
      <c r="AN888" s="935"/>
      <c r="AO888" s="312"/>
      <c r="AP888" s="32"/>
      <c r="AQ888" s="32"/>
      <c r="AR888" s="32"/>
      <c r="AS888" s="32"/>
      <c r="AT888" s="32"/>
      <c r="AU888" s="32"/>
      <c r="AV888" s="32"/>
      <c r="AW888" s="32"/>
      <c r="AX888" s="32"/>
      <c r="AY888" s="32"/>
      <c r="BB888" s="32"/>
      <c r="BE888" s="32"/>
      <c r="BJ888" s="32"/>
    </row>
    <row r="889" spans="17:62" x14ac:dyDescent="0.25">
      <c r="Q889" s="32"/>
      <c r="AG889" s="37"/>
      <c r="AH889" s="312"/>
      <c r="AI889" s="935"/>
      <c r="AJ889" s="935"/>
      <c r="AK889" s="935"/>
      <c r="AL889" s="935"/>
      <c r="AM889" s="935"/>
      <c r="AN889" s="935"/>
      <c r="AO889" s="312"/>
      <c r="AP889" s="32"/>
      <c r="AQ889" s="32"/>
      <c r="AR889" s="32"/>
      <c r="AS889" s="32"/>
      <c r="AT889" s="32"/>
      <c r="AU889" s="32"/>
      <c r="AV889" s="32"/>
      <c r="AW889" s="32"/>
      <c r="AX889" s="32"/>
      <c r="AY889" s="32"/>
      <c r="BB889" s="32"/>
      <c r="BE889" s="32"/>
      <c r="BJ889" s="32"/>
    </row>
    <row r="890" spans="17:62" x14ac:dyDescent="0.25">
      <c r="Q890" s="32"/>
      <c r="AG890" s="37"/>
      <c r="AH890" s="312"/>
      <c r="AI890" s="935"/>
      <c r="AJ890" s="935"/>
      <c r="AK890" s="935"/>
      <c r="AL890" s="935"/>
      <c r="AM890" s="935"/>
      <c r="AN890" s="935"/>
      <c r="AO890" s="312"/>
      <c r="AP890" s="32"/>
      <c r="AQ890" s="32"/>
      <c r="AR890" s="32"/>
      <c r="AS890" s="32"/>
      <c r="AT890" s="32"/>
      <c r="AU890" s="32"/>
      <c r="AV890" s="32"/>
      <c r="AW890" s="32"/>
      <c r="AX890" s="32"/>
      <c r="AY890" s="32"/>
      <c r="BB890" s="32"/>
      <c r="BE890" s="32"/>
      <c r="BJ890" s="32"/>
    </row>
    <row r="891" spans="17:62" x14ac:dyDescent="0.25">
      <c r="Q891" s="32"/>
      <c r="AG891" s="37"/>
      <c r="AH891" s="312"/>
      <c r="AI891" s="935"/>
      <c r="AJ891" s="935"/>
      <c r="AK891" s="935"/>
      <c r="AL891" s="935"/>
      <c r="AM891" s="935"/>
      <c r="AN891" s="935"/>
      <c r="AO891" s="312"/>
      <c r="AP891" s="32"/>
      <c r="AQ891" s="32"/>
      <c r="AR891" s="32"/>
      <c r="AS891" s="32"/>
      <c r="AT891" s="32"/>
      <c r="AU891" s="32"/>
      <c r="AV891" s="32"/>
      <c r="AW891" s="32"/>
      <c r="AX891" s="32"/>
      <c r="AY891" s="32"/>
      <c r="BB891" s="32"/>
      <c r="BE891" s="32"/>
      <c r="BJ891" s="32"/>
    </row>
    <row r="892" spans="17:62" x14ac:dyDescent="0.25">
      <c r="Q892" s="32"/>
      <c r="AG892" s="37"/>
      <c r="AH892" s="312"/>
      <c r="AI892" s="935"/>
      <c r="AJ892" s="935"/>
      <c r="AK892" s="935"/>
      <c r="AL892" s="935"/>
      <c r="AM892" s="935"/>
      <c r="AN892" s="935"/>
      <c r="AO892" s="312"/>
      <c r="AP892" s="32"/>
      <c r="AQ892" s="32"/>
      <c r="AR892" s="32"/>
      <c r="AS892" s="32"/>
      <c r="AT892" s="32"/>
      <c r="AU892" s="32"/>
      <c r="AV892" s="32"/>
      <c r="AW892" s="32"/>
      <c r="AX892" s="32"/>
      <c r="AY892" s="32"/>
      <c r="BB892" s="32"/>
      <c r="BE892" s="32"/>
      <c r="BJ892" s="32"/>
    </row>
    <row r="893" spans="17:62" x14ac:dyDescent="0.25">
      <c r="Q893" s="32"/>
      <c r="AG893" s="37"/>
      <c r="AH893" s="312"/>
      <c r="AI893" s="935"/>
      <c r="AJ893" s="935"/>
      <c r="AK893" s="935"/>
      <c r="AL893" s="935"/>
      <c r="AM893" s="935"/>
      <c r="AN893" s="935"/>
      <c r="AO893" s="312"/>
      <c r="AP893" s="32"/>
      <c r="AQ893" s="32"/>
      <c r="AR893" s="32"/>
      <c r="AS893" s="32"/>
      <c r="AT893" s="32"/>
      <c r="AU893" s="32"/>
      <c r="AV893" s="32"/>
      <c r="AW893" s="32"/>
      <c r="AX893" s="32"/>
      <c r="AY893" s="32"/>
      <c r="BB893" s="32"/>
      <c r="BE893" s="32"/>
      <c r="BJ893" s="32"/>
    </row>
    <row r="894" spans="17:62" x14ac:dyDescent="0.25">
      <c r="Q894" s="32"/>
      <c r="AG894" s="37"/>
      <c r="AH894" s="312"/>
      <c r="AI894" s="935"/>
      <c r="AJ894" s="935"/>
      <c r="AK894" s="935"/>
      <c r="AL894" s="935"/>
      <c r="AM894" s="935"/>
      <c r="AN894" s="935"/>
      <c r="AO894" s="312"/>
      <c r="AP894" s="32"/>
      <c r="AQ894" s="32"/>
      <c r="AR894" s="32"/>
      <c r="AS894" s="32"/>
      <c r="AT894" s="32"/>
      <c r="AU894" s="32"/>
      <c r="AV894" s="32"/>
      <c r="AW894" s="32"/>
      <c r="AX894" s="32"/>
      <c r="AY894" s="32"/>
      <c r="BB894" s="32"/>
      <c r="BE894" s="32"/>
      <c r="BJ894" s="32"/>
    </row>
    <row r="895" spans="17:62" x14ac:dyDescent="0.25">
      <c r="Q895" s="32"/>
      <c r="AG895" s="37"/>
      <c r="AH895" s="312"/>
      <c r="AI895" s="935"/>
      <c r="AJ895" s="935"/>
      <c r="AK895" s="935"/>
      <c r="AL895" s="935"/>
      <c r="AM895" s="935"/>
      <c r="AN895" s="935"/>
      <c r="AO895" s="312"/>
      <c r="AP895" s="32"/>
      <c r="AQ895" s="32"/>
      <c r="AR895" s="32"/>
      <c r="AS895" s="32"/>
      <c r="AT895" s="32"/>
      <c r="AU895" s="32"/>
      <c r="AV895" s="32"/>
      <c r="AW895" s="32"/>
      <c r="AX895" s="32"/>
      <c r="AY895" s="32"/>
      <c r="BB895" s="32"/>
      <c r="BE895" s="32"/>
      <c r="BJ895" s="32"/>
    </row>
    <row r="896" spans="17:62" x14ac:dyDescent="0.25">
      <c r="Q896" s="32"/>
      <c r="AG896" s="37"/>
      <c r="AH896" s="312"/>
      <c r="AI896" s="935"/>
      <c r="AJ896" s="935"/>
      <c r="AK896" s="935"/>
      <c r="AL896" s="935"/>
      <c r="AM896" s="935"/>
      <c r="AN896" s="935"/>
      <c r="AO896" s="312"/>
      <c r="AP896" s="32"/>
      <c r="AQ896" s="32"/>
      <c r="AR896" s="32"/>
      <c r="AS896" s="32"/>
      <c r="AT896" s="32"/>
      <c r="AU896" s="32"/>
      <c r="AV896" s="32"/>
      <c r="AW896" s="32"/>
      <c r="AX896" s="32"/>
      <c r="AY896" s="32"/>
      <c r="BB896" s="32"/>
      <c r="BE896" s="32"/>
      <c r="BJ896" s="32"/>
    </row>
    <row r="897" spans="17:62" x14ac:dyDescent="0.25">
      <c r="Q897" s="32"/>
      <c r="AG897" s="37"/>
      <c r="AH897" s="312"/>
      <c r="AI897" s="935"/>
      <c r="AJ897" s="935"/>
      <c r="AK897" s="935"/>
      <c r="AL897" s="935"/>
      <c r="AM897" s="935"/>
      <c r="AN897" s="935"/>
      <c r="AO897" s="312"/>
      <c r="AP897" s="32"/>
      <c r="AQ897" s="32"/>
      <c r="AR897" s="32"/>
      <c r="AS897" s="32"/>
      <c r="AT897" s="32"/>
      <c r="AU897" s="32"/>
      <c r="AV897" s="32"/>
      <c r="AW897" s="32"/>
      <c r="AX897" s="32"/>
      <c r="AY897" s="32"/>
      <c r="BB897" s="32"/>
      <c r="BE897" s="32"/>
      <c r="BJ897" s="32"/>
    </row>
    <row r="898" spans="17:62" x14ac:dyDescent="0.25">
      <c r="Q898" s="32"/>
      <c r="AG898" s="37"/>
      <c r="AH898" s="312"/>
      <c r="AI898" s="935"/>
      <c r="AJ898" s="935"/>
      <c r="AK898" s="935"/>
      <c r="AL898" s="935"/>
      <c r="AM898" s="935"/>
      <c r="AN898" s="935"/>
      <c r="AO898" s="312"/>
      <c r="AP898" s="32"/>
      <c r="AQ898" s="32"/>
      <c r="AR898" s="32"/>
      <c r="AS898" s="32"/>
      <c r="AT898" s="32"/>
      <c r="AU898" s="32"/>
      <c r="AV898" s="32"/>
      <c r="AW898" s="32"/>
      <c r="AX898" s="32"/>
      <c r="AY898" s="32"/>
      <c r="BB898" s="32"/>
      <c r="BE898" s="32"/>
      <c r="BJ898" s="32"/>
    </row>
    <row r="899" spans="17:62" x14ac:dyDescent="0.25">
      <c r="Q899" s="32"/>
      <c r="AG899" s="37"/>
      <c r="AH899" s="312"/>
      <c r="AI899" s="935"/>
      <c r="AJ899" s="935"/>
      <c r="AK899" s="935"/>
      <c r="AL899" s="935"/>
      <c r="AM899" s="935"/>
      <c r="AN899" s="935"/>
      <c r="AO899" s="312"/>
      <c r="AP899" s="32"/>
      <c r="AQ899" s="32"/>
      <c r="AR899" s="32"/>
      <c r="AS899" s="32"/>
      <c r="AT899" s="32"/>
      <c r="AU899" s="32"/>
      <c r="AV899" s="32"/>
      <c r="AW899" s="32"/>
      <c r="AX899" s="32"/>
      <c r="AY899" s="32"/>
      <c r="BB899" s="32"/>
      <c r="BE899" s="32"/>
      <c r="BJ899" s="32"/>
    </row>
    <row r="900" spans="17:62" x14ac:dyDescent="0.25">
      <c r="Q900" s="32"/>
      <c r="AG900" s="37"/>
      <c r="AH900" s="312"/>
      <c r="AI900" s="935"/>
      <c r="AJ900" s="935"/>
      <c r="AK900" s="935"/>
      <c r="AL900" s="935"/>
      <c r="AM900" s="935"/>
      <c r="AN900" s="935"/>
      <c r="AO900" s="312"/>
      <c r="AP900" s="32"/>
      <c r="AQ900" s="32"/>
      <c r="AR900" s="32"/>
      <c r="AS900" s="32"/>
      <c r="AT900" s="32"/>
      <c r="AU900" s="32"/>
      <c r="AV900" s="32"/>
      <c r="AW900" s="32"/>
      <c r="AX900" s="32"/>
      <c r="AY900" s="32"/>
      <c r="BB900" s="32"/>
      <c r="BE900" s="32"/>
      <c r="BJ900" s="32"/>
    </row>
    <row r="901" spans="17:62" x14ac:dyDescent="0.25">
      <c r="Q901" s="32"/>
      <c r="AG901" s="37"/>
      <c r="AH901" s="312"/>
      <c r="AI901" s="935"/>
      <c r="AJ901" s="935"/>
      <c r="AK901" s="935"/>
      <c r="AL901" s="935"/>
      <c r="AM901" s="935"/>
      <c r="AN901" s="935"/>
      <c r="AO901" s="312"/>
      <c r="AP901" s="32"/>
      <c r="AQ901" s="32"/>
      <c r="AR901" s="32"/>
      <c r="AS901" s="32"/>
      <c r="AT901" s="32"/>
      <c r="AU901" s="32"/>
      <c r="AV901" s="32"/>
      <c r="AW901" s="32"/>
      <c r="AX901" s="32"/>
      <c r="AY901" s="32"/>
      <c r="BB901" s="32"/>
      <c r="BE901" s="32"/>
      <c r="BJ901" s="32"/>
    </row>
    <row r="902" spans="17:62" x14ac:dyDescent="0.25">
      <c r="Q902" s="32"/>
      <c r="AG902" s="37"/>
      <c r="AH902" s="312"/>
      <c r="AI902" s="935"/>
      <c r="AJ902" s="935"/>
      <c r="AK902" s="935"/>
      <c r="AL902" s="935"/>
      <c r="AM902" s="935"/>
      <c r="AN902" s="935"/>
      <c r="AO902" s="312"/>
      <c r="AP902" s="32"/>
      <c r="AQ902" s="32"/>
      <c r="AR902" s="32"/>
      <c r="AS902" s="32"/>
      <c r="AT902" s="32"/>
      <c r="AU902" s="32"/>
      <c r="AV902" s="32"/>
      <c r="AW902" s="32"/>
      <c r="AX902" s="32"/>
      <c r="AY902" s="32"/>
      <c r="BB902" s="32"/>
      <c r="BE902" s="32"/>
      <c r="BJ902" s="32"/>
    </row>
    <row r="903" spans="17:62" x14ac:dyDescent="0.25">
      <c r="Q903" s="32"/>
      <c r="AG903" s="37"/>
      <c r="AH903" s="312"/>
      <c r="AI903" s="935"/>
      <c r="AJ903" s="935"/>
      <c r="AK903" s="935"/>
      <c r="AL903" s="935"/>
      <c r="AM903" s="935"/>
      <c r="AN903" s="935"/>
      <c r="AO903" s="312"/>
      <c r="AP903" s="32"/>
      <c r="AQ903" s="32"/>
      <c r="AR903" s="32"/>
      <c r="AS903" s="32"/>
      <c r="AT903" s="32"/>
      <c r="AU903" s="32"/>
      <c r="AV903" s="32"/>
      <c r="AW903" s="32"/>
      <c r="AX903" s="32"/>
      <c r="AY903" s="32"/>
      <c r="BB903" s="32"/>
      <c r="BE903" s="32"/>
      <c r="BJ903" s="32"/>
    </row>
    <row r="904" spans="17:62" x14ac:dyDescent="0.25">
      <c r="Q904" s="32"/>
      <c r="AG904" s="37"/>
      <c r="AH904" s="312"/>
      <c r="AI904" s="935"/>
      <c r="AJ904" s="935"/>
      <c r="AK904" s="935"/>
      <c r="AL904" s="935"/>
      <c r="AM904" s="935"/>
      <c r="AN904" s="935"/>
      <c r="AO904" s="312"/>
      <c r="AP904" s="32"/>
      <c r="AQ904" s="32"/>
      <c r="AR904" s="32"/>
      <c r="AS904" s="32"/>
      <c r="AT904" s="32"/>
      <c r="AU904" s="32"/>
      <c r="AV904" s="32"/>
      <c r="AW904" s="32"/>
      <c r="AX904" s="32"/>
      <c r="AY904" s="32"/>
      <c r="BB904" s="32"/>
      <c r="BE904" s="32"/>
      <c r="BJ904" s="32"/>
    </row>
    <row r="905" spans="17:62" x14ac:dyDescent="0.25">
      <c r="Q905" s="32"/>
      <c r="AG905" s="37"/>
      <c r="AH905" s="312"/>
      <c r="AI905" s="935"/>
      <c r="AJ905" s="935"/>
      <c r="AK905" s="935"/>
      <c r="AL905" s="935"/>
      <c r="AM905" s="935"/>
      <c r="AN905" s="935"/>
      <c r="AO905" s="312"/>
      <c r="AP905" s="32"/>
      <c r="AQ905" s="32"/>
      <c r="AR905" s="32"/>
      <c r="AS905" s="32"/>
      <c r="AT905" s="32"/>
      <c r="AU905" s="32"/>
      <c r="AV905" s="32"/>
      <c r="AW905" s="32"/>
      <c r="AX905" s="32"/>
      <c r="AY905" s="32"/>
      <c r="BB905" s="32"/>
      <c r="BE905" s="32"/>
      <c r="BJ905" s="32"/>
    </row>
    <row r="906" spans="17:62" x14ac:dyDescent="0.25">
      <c r="Q906" s="32"/>
      <c r="AG906" s="37"/>
      <c r="AH906" s="312"/>
      <c r="AI906" s="935"/>
      <c r="AJ906" s="935"/>
      <c r="AK906" s="935"/>
      <c r="AL906" s="935"/>
      <c r="AM906" s="935"/>
      <c r="AN906" s="935"/>
      <c r="AO906" s="312"/>
      <c r="AP906" s="32"/>
      <c r="AQ906" s="32"/>
      <c r="AR906" s="32"/>
      <c r="AS906" s="32"/>
      <c r="AT906" s="32"/>
      <c r="AU906" s="32"/>
      <c r="AV906" s="32"/>
      <c r="AW906" s="32"/>
      <c r="AX906" s="32"/>
      <c r="AY906" s="32"/>
      <c r="BB906" s="32"/>
      <c r="BE906" s="32"/>
      <c r="BJ906" s="32"/>
    </row>
    <row r="907" spans="17:62" x14ac:dyDescent="0.25">
      <c r="Q907" s="32"/>
      <c r="AG907" s="37"/>
      <c r="AH907" s="312"/>
      <c r="AI907" s="935"/>
      <c r="AJ907" s="935"/>
      <c r="AK907" s="935"/>
      <c r="AL907" s="935"/>
      <c r="AM907" s="935"/>
      <c r="AN907" s="935"/>
      <c r="AO907" s="312"/>
      <c r="AP907" s="32"/>
      <c r="AQ907" s="32"/>
      <c r="AR907" s="32"/>
      <c r="AS907" s="32"/>
      <c r="AT907" s="32"/>
      <c r="AU907" s="32"/>
      <c r="AV907" s="32"/>
      <c r="AW907" s="32"/>
      <c r="AX907" s="32"/>
      <c r="AY907" s="32"/>
      <c r="BB907" s="32"/>
      <c r="BE907" s="32"/>
      <c r="BJ907" s="32"/>
    </row>
    <row r="908" spans="17:62" x14ac:dyDescent="0.25">
      <c r="Q908" s="32"/>
      <c r="AG908" s="37"/>
      <c r="AH908" s="312"/>
      <c r="AI908" s="935"/>
      <c r="AJ908" s="935"/>
      <c r="AK908" s="935"/>
      <c r="AL908" s="935"/>
      <c r="AM908" s="935"/>
      <c r="AN908" s="935"/>
      <c r="AO908" s="312"/>
      <c r="AP908" s="32"/>
      <c r="AQ908" s="32"/>
      <c r="AR908" s="32"/>
      <c r="AS908" s="32"/>
      <c r="AT908" s="32"/>
      <c r="AU908" s="32"/>
      <c r="AV908" s="32"/>
      <c r="AW908" s="32"/>
      <c r="AX908" s="32"/>
      <c r="AY908" s="32"/>
      <c r="BB908" s="32"/>
      <c r="BE908" s="32"/>
      <c r="BJ908" s="32"/>
    </row>
    <row r="909" spans="17:62" x14ac:dyDescent="0.25">
      <c r="Q909" s="32"/>
      <c r="AG909" s="37"/>
      <c r="AH909" s="312"/>
      <c r="AI909" s="935"/>
      <c r="AJ909" s="935"/>
      <c r="AK909" s="935"/>
      <c r="AL909" s="935"/>
      <c r="AM909" s="935"/>
      <c r="AN909" s="935"/>
      <c r="AO909" s="312"/>
      <c r="AP909" s="32"/>
      <c r="AQ909" s="32"/>
      <c r="AR909" s="32"/>
      <c r="AS909" s="32"/>
      <c r="AT909" s="32"/>
      <c r="AU909" s="32"/>
      <c r="AV909" s="32"/>
      <c r="AW909" s="32"/>
      <c r="AX909" s="32"/>
      <c r="AY909" s="32"/>
      <c r="BB909" s="32"/>
      <c r="BE909" s="32"/>
      <c r="BJ909" s="32"/>
    </row>
    <row r="910" spans="17:62" x14ac:dyDescent="0.25">
      <c r="Q910" s="32"/>
      <c r="AG910" s="37"/>
      <c r="AH910" s="312"/>
      <c r="AI910" s="935"/>
      <c r="AJ910" s="935"/>
      <c r="AK910" s="935"/>
      <c r="AL910" s="935"/>
      <c r="AM910" s="935"/>
      <c r="AN910" s="935"/>
      <c r="AO910" s="312"/>
      <c r="AP910" s="32"/>
      <c r="AQ910" s="32"/>
      <c r="AR910" s="32"/>
      <c r="AS910" s="32"/>
      <c r="AT910" s="32"/>
      <c r="AU910" s="32"/>
      <c r="AV910" s="32"/>
      <c r="AW910" s="32"/>
      <c r="AX910" s="32"/>
      <c r="AY910" s="32"/>
      <c r="BB910" s="32"/>
      <c r="BE910" s="32"/>
      <c r="BJ910" s="32"/>
    </row>
    <row r="911" spans="17:62" x14ac:dyDescent="0.25">
      <c r="Q911" s="32"/>
      <c r="AG911" s="37"/>
      <c r="AH911" s="312"/>
      <c r="AI911" s="935"/>
      <c r="AJ911" s="935"/>
      <c r="AK911" s="935"/>
      <c r="AL911" s="935"/>
      <c r="AM911" s="935"/>
      <c r="AN911" s="935"/>
      <c r="AO911" s="312"/>
      <c r="AP911" s="32"/>
      <c r="AQ911" s="32"/>
      <c r="AR911" s="32"/>
      <c r="AS911" s="32"/>
      <c r="AT911" s="32"/>
      <c r="AU911" s="32"/>
      <c r="AV911" s="32"/>
      <c r="AW911" s="32"/>
      <c r="AX911" s="32"/>
      <c r="AY911" s="32"/>
      <c r="BB911" s="32"/>
      <c r="BE911" s="32"/>
      <c r="BJ911" s="32"/>
    </row>
    <row r="912" spans="17:62" x14ac:dyDescent="0.25">
      <c r="Q912" s="32"/>
      <c r="AG912" s="37"/>
      <c r="AH912" s="312"/>
      <c r="AI912" s="935"/>
      <c r="AJ912" s="935"/>
      <c r="AK912" s="935"/>
      <c r="AL912" s="935"/>
      <c r="AM912" s="935"/>
      <c r="AN912" s="935"/>
      <c r="AO912" s="312"/>
      <c r="AP912" s="32"/>
      <c r="AQ912" s="32"/>
      <c r="AR912" s="32"/>
      <c r="AS912" s="32"/>
      <c r="AT912" s="32"/>
      <c r="AU912" s="32"/>
      <c r="AV912" s="32"/>
      <c r="AW912" s="32"/>
      <c r="AX912" s="32"/>
      <c r="AY912" s="32"/>
      <c r="BB912" s="32"/>
      <c r="BE912" s="32"/>
      <c r="BJ912" s="32"/>
    </row>
    <row r="913" spans="17:62" x14ac:dyDescent="0.25">
      <c r="Q913" s="32"/>
      <c r="AG913" s="37"/>
      <c r="AH913" s="312"/>
      <c r="AI913" s="935"/>
      <c r="AJ913" s="935"/>
      <c r="AK913" s="935"/>
      <c r="AL913" s="935"/>
      <c r="AM913" s="935"/>
      <c r="AN913" s="935"/>
      <c r="AO913" s="312"/>
      <c r="AP913" s="32"/>
      <c r="AQ913" s="32"/>
      <c r="AR913" s="32"/>
      <c r="AS913" s="32"/>
      <c r="AT913" s="32"/>
      <c r="AU913" s="32"/>
      <c r="AV913" s="32"/>
      <c r="AW913" s="32"/>
      <c r="AX913" s="32"/>
      <c r="AY913" s="32"/>
      <c r="BB913" s="32"/>
      <c r="BE913" s="32"/>
      <c r="BJ913" s="32"/>
    </row>
    <row r="914" spans="17:62" x14ac:dyDescent="0.25">
      <c r="Q914" s="32"/>
      <c r="AG914" s="37"/>
      <c r="AH914" s="312"/>
      <c r="AI914" s="935"/>
      <c r="AJ914" s="935"/>
      <c r="AK914" s="935"/>
      <c r="AL914" s="935"/>
      <c r="AM914" s="935"/>
      <c r="AN914" s="935"/>
      <c r="AO914" s="312"/>
      <c r="AP914" s="32"/>
      <c r="AQ914" s="32"/>
      <c r="AR914" s="32"/>
      <c r="AS914" s="32"/>
      <c r="AT914" s="32"/>
      <c r="AU914" s="32"/>
      <c r="AV914" s="32"/>
      <c r="AW914" s="32"/>
      <c r="AX914" s="32"/>
      <c r="AY914" s="32"/>
      <c r="BB914" s="32"/>
      <c r="BE914" s="32"/>
      <c r="BJ914" s="32"/>
    </row>
    <row r="915" spans="17:62" x14ac:dyDescent="0.25">
      <c r="Q915" s="32"/>
      <c r="AG915" s="37"/>
      <c r="AH915" s="312"/>
      <c r="AI915" s="935"/>
      <c r="AJ915" s="935"/>
      <c r="AK915" s="935"/>
      <c r="AL915" s="935"/>
      <c r="AM915" s="935"/>
      <c r="AN915" s="935"/>
      <c r="AO915" s="312"/>
      <c r="AP915" s="32"/>
      <c r="AQ915" s="32"/>
      <c r="AR915" s="32"/>
      <c r="AS915" s="32"/>
      <c r="AT915" s="32"/>
      <c r="AU915" s="32"/>
      <c r="AV915" s="32"/>
      <c r="AW915" s="32"/>
      <c r="AX915" s="32"/>
      <c r="AY915" s="32"/>
      <c r="BB915" s="32"/>
      <c r="BE915" s="32"/>
      <c r="BJ915" s="32"/>
    </row>
    <row r="916" spans="17:62" x14ac:dyDescent="0.25">
      <c r="Q916" s="32"/>
      <c r="AG916" s="37"/>
      <c r="AH916" s="312"/>
      <c r="AI916" s="935"/>
      <c r="AJ916" s="935"/>
      <c r="AK916" s="935"/>
      <c r="AL916" s="935"/>
      <c r="AM916" s="935"/>
      <c r="AN916" s="935"/>
      <c r="AO916" s="312"/>
      <c r="AP916" s="32"/>
      <c r="AQ916" s="32"/>
      <c r="AR916" s="32"/>
      <c r="AS916" s="32"/>
      <c r="AT916" s="32"/>
      <c r="AU916" s="32"/>
      <c r="AV916" s="32"/>
      <c r="AW916" s="32"/>
      <c r="AX916" s="32"/>
      <c r="AY916" s="32"/>
      <c r="BB916" s="32"/>
      <c r="BE916" s="32"/>
      <c r="BJ916" s="32"/>
    </row>
    <row r="917" spans="17:62" x14ac:dyDescent="0.25">
      <c r="Q917" s="32"/>
      <c r="AG917" s="37"/>
      <c r="AH917" s="312"/>
      <c r="AI917" s="935"/>
      <c r="AJ917" s="935"/>
      <c r="AK917" s="935"/>
      <c r="AL917" s="935"/>
      <c r="AM917" s="935"/>
      <c r="AN917" s="935"/>
      <c r="AO917" s="312"/>
      <c r="AP917" s="32"/>
      <c r="AQ917" s="32"/>
      <c r="AR917" s="32"/>
      <c r="AS917" s="32"/>
      <c r="AT917" s="32"/>
      <c r="AU917" s="32"/>
      <c r="AV917" s="32"/>
      <c r="AW917" s="32"/>
      <c r="AX917" s="32"/>
      <c r="AY917" s="32"/>
      <c r="BB917" s="32"/>
      <c r="BE917" s="32"/>
      <c r="BJ917" s="32"/>
    </row>
    <row r="918" spans="17:62" x14ac:dyDescent="0.25">
      <c r="Q918" s="32"/>
      <c r="AG918" s="37"/>
      <c r="AH918" s="312"/>
      <c r="AI918" s="935"/>
      <c r="AJ918" s="935"/>
      <c r="AK918" s="935"/>
      <c r="AL918" s="935"/>
      <c r="AM918" s="935"/>
      <c r="AN918" s="935"/>
      <c r="AO918" s="312"/>
      <c r="AP918" s="32"/>
      <c r="AQ918" s="32"/>
      <c r="AR918" s="32"/>
      <c r="AS918" s="32"/>
      <c r="AT918" s="32"/>
      <c r="AU918" s="32"/>
      <c r="AV918" s="32"/>
      <c r="AW918" s="32"/>
      <c r="AX918" s="32"/>
      <c r="AY918" s="32"/>
      <c r="BB918" s="32"/>
      <c r="BE918" s="32"/>
      <c r="BJ918" s="32"/>
    </row>
    <row r="919" spans="17:62" x14ac:dyDescent="0.25">
      <c r="Q919" s="32"/>
      <c r="AG919" s="37"/>
      <c r="AH919" s="312"/>
      <c r="AI919" s="935"/>
      <c r="AJ919" s="935"/>
      <c r="AK919" s="935"/>
      <c r="AL919" s="935"/>
      <c r="AM919" s="935"/>
      <c r="AN919" s="935"/>
      <c r="AO919" s="312"/>
      <c r="AP919" s="32"/>
      <c r="AQ919" s="32"/>
      <c r="AR919" s="32"/>
      <c r="AS919" s="32"/>
      <c r="AT919" s="32"/>
      <c r="AU919" s="32"/>
      <c r="AV919" s="32"/>
      <c r="AW919" s="32"/>
      <c r="AX919" s="32"/>
      <c r="AY919" s="32"/>
      <c r="BB919" s="32"/>
      <c r="BE919" s="32"/>
      <c r="BJ919" s="32"/>
    </row>
    <row r="920" spans="17:62" x14ac:dyDescent="0.25">
      <c r="Q920" s="32"/>
      <c r="AG920" s="37"/>
      <c r="AH920" s="312"/>
      <c r="AI920" s="935"/>
      <c r="AJ920" s="935"/>
      <c r="AK920" s="935"/>
      <c r="AL920" s="935"/>
      <c r="AM920" s="935"/>
      <c r="AN920" s="935"/>
      <c r="AO920" s="312"/>
      <c r="AP920" s="32"/>
      <c r="AQ920" s="32"/>
      <c r="AR920" s="32"/>
      <c r="AS920" s="32"/>
      <c r="AT920" s="32"/>
      <c r="AU920" s="32"/>
      <c r="AV920" s="32"/>
      <c r="AW920" s="32"/>
      <c r="AX920" s="32"/>
      <c r="AY920" s="32"/>
      <c r="BB920" s="32"/>
      <c r="BE920" s="32"/>
      <c r="BJ920" s="32"/>
    </row>
    <row r="921" spans="17:62" x14ac:dyDescent="0.25">
      <c r="Q921" s="32"/>
      <c r="AG921" s="37"/>
      <c r="AH921" s="312"/>
      <c r="AI921" s="935"/>
      <c r="AJ921" s="935"/>
      <c r="AK921" s="935"/>
      <c r="AL921" s="935"/>
      <c r="AM921" s="935"/>
      <c r="AN921" s="935"/>
      <c r="AO921" s="312"/>
      <c r="AP921" s="32"/>
      <c r="AQ921" s="32"/>
      <c r="AR921" s="32"/>
      <c r="AS921" s="32"/>
      <c r="AT921" s="32"/>
      <c r="AU921" s="32"/>
      <c r="AV921" s="32"/>
      <c r="AW921" s="32"/>
      <c r="AX921" s="32"/>
      <c r="AY921" s="32"/>
      <c r="BB921" s="32"/>
      <c r="BE921" s="32"/>
      <c r="BJ921" s="32"/>
    </row>
    <row r="922" spans="17:62" x14ac:dyDescent="0.25">
      <c r="Q922" s="32"/>
      <c r="AG922" s="37"/>
      <c r="AH922" s="312"/>
      <c r="AI922" s="935"/>
      <c r="AJ922" s="935"/>
      <c r="AK922" s="935"/>
      <c r="AL922" s="935"/>
      <c r="AM922" s="935"/>
      <c r="AN922" s="935"/>
      <c r="AO922" s="312"/>
      <c r="AP922" s="32"/>
      <c r="AQ922" s="32"/>
      <c r="AR922" s="32"/>
      <c r="AS922" s="32"/>
      <c r="AT922" s="32"/>
      <c r="AU922" s="32"/>
      <c r="AV922" s="32"/>
      <c r="AW922" s="32"/>
      <c r="AX922" s="32"/>
      <c r="AY922" s="32"/>
      <c r="BB922" s="32"/>
      <c r="BE922" s="32"/>
      <c r="BJ922" s="32"/>
    </row>
    <row r="923" spans="17:62" x14ac:dyDescent="0.25">
      <c r="Q923" s="32"/>
      <c r="AG923" s="37"/>
      <c r="AH923" s="312"/>
      <c r="AI923" s="935"/>
      <c r="AJ923" s="935"/>
      <c r="AK923" s="935"/>
      <c r="AL923" s="935"/>
      <c r="AM923" s="935"/>
      <c r="AN923" s="935"/>
      <c r="AO923" s="312"/>
      <c r="AP923" s="32"/>
      <c r="AQ923" s="32"/>
      <c r="AR923" s="32"/>
      <c r="AS923" s="32"/>
      <c r="AT923" s="32"/>
      <c r="AU923" s="32"/>
      <c r="AV923" s="32"/>
      <c r="AW923" s="32"/>
      <c r="AX923" s="32"/>
      <c r="AY923" s="32"/>
      <c r="BB923" s="32"/>
      <c r="BE923" s="32"/>
      <c r="BJ923" s="32"/>
    </row>
    <row r="924" spans="17:62" x14ac:dyDescent="0.25">
      <c r="Q924" s="32"/>
      <c r="AG924" s="37"/>
      <c r="AH924" s="312"/>
      <c r="AI924" s="935"/>
      <c r="AJ924" s="935"/>
      <c r="AK924" s="935"/>
      <c r="AL924" s="935"/>
      <c r="AM924" s="935"/>
      <c r="AN924" s="935"/>
      <c r="AO924" s="312"/>
      <c r="AP924" s="32"/>
      <c r="AQ924" s="32"/>
      <c r="AR924" s="32"/>
      <c r="AS924" s="32"/>
      <c r="AT924" s="32"/>
      <c r="AU924" s="32"/>
      <c r="AV924" s="32"/>
      <c r="AW924" s="32"/>
      <c r="AX924" s="32"/>
      <c r="AY924" s="32"/>
      <c r="BB924" s="32"/>
      <c r="BE924" s="32"/>
      <c r="BJ924" s="32"/>
    </row>
    <row r="925" spans="17:62" x14ac:dyDescent="0.25">
      <c r="Q925" s="32"/>
      <c r="AG925" s="37"/>
      <c r="AH925" s="312"/>
      <c r="AI925" s="935"/>
      <c r="AJ925" s="935"/>
      <c r="AK925" s="935"/>
      <c r="AL925" s="935"/>
      <c r="AM925" s="935"/>
      <c r="AN925" s="935"/>
      <c r="AO925" s="312"/>
      <c r="AP925" s="32"/>
      <c r="AQ925" s="32"/>
      <c r="AR925" s="32"/>
      <c r="AS925" s="32"/>
      <c r="AT925" s="32"/>
      <c r="AU925" s="32"/>
      <c r="AV925" s="32"/>
      <c r="AW925" s="32"/>
      <c r="AX925" s="32"/>
      <c r="AY925" s="32"/>
      <c r="BB925" s="32"/>
      <c r="BE925" s="32"/>
      <c r="BJ925" s="32"/>
    </row>
    <row r="926" spans="17:62" x14ac:dyDescent="0.25">
      <c r="Q926" s="32"/>
      <c r="AG926" s="37"/>
      <c r="AH926" s="312"/>
      <c r="AI926" s="935"/>
      <c r="AJ926" s="935"/>
      <c r="AK926" s="935"/>
      <c r="AL926" s="935"/>
      <c r="AM926" s="935"/>
      <c r="AN926" s="935"/>
      <c r="AO926" s="312"/>
      <c r="AP926" s="32"/>
      <c r="AQ926" s="32"/>
      <c r="AR926" s="32"/>
      <c r="AS926" s="32"/>
      <c r="AT926" s="32"/>
      <c r="AU926" s="32"/>
      <c r="AV926" s="32"/>
      <c r="AW926" s="32"/>
      <c r="AX926" s="32"/>
      <c r="AY926" s="32"/>
      <c r="BB926" s="32"/>
      <c r="BE926" s="32"/>
      <c r="BJ926" s="32"/>
    </row>
    <row r="927" spans="17:62" x14ac:dyDescent="0.25">
      <c r="Q927" s="32"/>
      <c r="AG927" s="37"/>
      <c r="AH927" s="312"/>
      <c r="AI927" s="935"/>
      <c r="AJ927" s="935"/>
      <c r="AK927" s="935"/>
      <c r="AL927" s="935"/>
      <c r="AM927" s="935"/>
      <c r="AN927" s="935"/>
      <c r="AO927" s="312"/>
      <c r="AP927" s="32"/>
      <c r="AQ927" s="32"/>
      <c r="AR927" s="32"/>
      <c r="AS927" s="32"/>
      <c r="AT927" s="32"/>
      <c r="AU927" s="32"/>
      <c r="AV927" s="32"/>
      <c r="AW927" s="32"/>
      <c r="AX927" s="32"/>
      <c r="AY927" s="32"/>
      <c r="BB927" s="32"/>
      <c r="BE927" s="32"/>
      <c r="BJ927" s="32"/>
    </row>
    <row r="928" spans="17:62" x14ac:dyDescent="0.25">
      <c r="Q928" s="32"/>
      <c r="AG928" s="37"/>
      <c r="AH928" s="312"/>
      <c r="AI928" s="935"/>
      <c r="AJ928" s="935"/>
      <c r="AK928" s="935"/>
      <c r="AL928" s="935"/>
      <c r="AM928" s="935"/>
      <c r="AN928" s="935"/>
      <c r="AO928" s="312"/>
      <c r="AP928" s="32"/>
      <c r="AQ928" s="32"/>
      <c r="AR928" s="32"/>
      <c r="AS928" s="32"/>
      <c r="AT928" s="32"/>
      <c r="AU928" s="32"/>
      <c r="AV928" s="32"/>
      <c r="AW928" s="32"/>
      <c r="AX928" s="32"/>
      <c r="AY928" s="32"/>
      <c r="BB928" s="32"/>
      <c r="BE928" s="32"/>
      <c r="BJ928" s="32"/>
    </row>
    <row r="929" spans="17:62" x14ac:dyDescent="0.25">
      <c r="Q929" s="32"/>
      <c r="AG929" s="37"/>
      <c r="AH929" s="312"/>
      <c r="AI929" s="935"/>
      <c r="AJ929" s="935"/>
      <c r="AK929" s="935"/>
      <c r="AL929" s="935"/>
      <c r="AM929" s="935"/>
      <c r="AN929" s="935"/>
      <c r="AO929" s="312"/>
      <c r="AP929" s="32"/>
      <c r="AQ929" s="32"/>
      <c r="AR929" s="32"/>
      <c r="AS929" s="32"/>
      <c r="AT929" s="32"/>
      <c r="AU929" s="32"/>
      <c r="AV929" s="32"/>
      <c r="AW929" s="32"/>
      <c r="AX929" s="32"/>
      <c r="AY929" s="32"/>
      <c r="BB929" s="32"/>
      <c r="BE929" s="32"/>
      <c r="BJ929" s="32"/>
    </row>
    <row r="930" spans="17:62" x14ac:dyDescent="0.25">
      <c r="Q930" s="32"/>
      <c r="AG930" s="37"/>
      <c r="AH930" s="312"/>
      <c r="AI930" s="935"/>
      <c r="AJ930" s="935"/>
      <c r="AK930" s="935"/>
      <c r="AL930" s="935"/>
      <c r="AM930" s="935"/>
      <c r="AN930" s="935"/>
      <c r="AO930" s="312"/>
      <c r="AP930" s="32"/>
      <c r="AQ930" s="32"/>
      <c r="AR930" s="32"/>
      <c r="AS930" s="32"/>
      <c r="AT930" s="32"/>
      <c r="AU930" s="32"/>
      <c r="AV930" s="32"/>
      <c r="AW930" s="32"/>
      <c r="AX930" s="32"/>
      <c r="AY930" s="32"/>
      <c r="BB930" s="32"/>
      <c r="BE930" s="32"/>
      <c r="BJ930" s="32"/>
    </row>
    <row r="931" spans="17:62" x14ac:dyDescent="0.25">
      <c r="Q931" s="32"/>
      <c r="AG931" s="37"/>
      <c r="AH931" s="312"/>
      <c r="AI931" s="935"/>
      <c r="AJ931" s="935"/>
      <c r="AK931" s="935"/>
      <c r="AL931" s="935"/>
      <c r="AM931" s="935"/>
      <c r="AN931" s="935"/>
      <c r="AO931" s="312"/>
      <c r="AP931" s="32"/>
      <c r="AQ931" s="32"/>
      <c r="AR931" s="32"/>
      <c r="AS931" s="32"/>
      <c r="AT931" s="32"/>
      <c r="AU931" s="32"/>
      <c r="AV931" s="32"/>
      <c r="AW931" s="32"/>
      <c r="AX931" s="32"/>
      <c r="AY931" s="32"/>
      <c r="BB931" s="32"/>
      <c r="BE931" s="32"/>
      <c r="BJ931" s="32"/>
    </row>
    <row r="932" spans="17:62" x14ac:dyDescent="0.25">
      <c r="Q932" s="32"/>
      <c r="AG932" s="37"/>
      <c r="AH932" s="312"/>
      <c r="AI932" s="935"/>
      <c r="AJ932" s="935"/>
      <c r="AK932" s="935"/>
      <c r="AL932" s="935"/>
      <c r="AM932" s="935"/>
      <c r="AN932" s="935"/>
      <c r="AO932" s="312"/>
      <c r="AP932" s="32"/>
      <c r="AQ932" s="32"/>
      <c r="AR932" s="32"/>
      <c r="AS932" s="32"/>
      <c r="AT932" s="32"/>
      <c r="AU932" s="32"/>
      <c r="AV932" s="32"/>
      <c r="AW932" s="32"/>
      <c r="AX932" s="32"/>
      <c r="AY932" s="32"/>
      <c r="BB932" s="32"/>
      <c r="BE932" s="32"/>
      <c r="BJ932" s="32"/>
    </row>
    <row r="933" spans="17:62" x14ac:dyDescent="0.25">
      <c r="Q933" s="32"/>
      <c r="AG933" s="37"/>
      <c r="AH933" s="312"/>
      <c r="AI933" s="935"/>
      <c r="AJ933" s="935"/>
      <c r="AK933" s="935"/>
      <c r="AL933" s="935"/>
      <c r="AM933" s="935"/>
      <c r="AN933" s="935"/>
      <c r="AO933" s="312"/>
      <c r="AP933" s="32"/>
      <c r="AQ933" s="32"/>
      <c r="AR933" s="32"/>
      <c r="AS933" s="32"/>
      <c r="AT933" s="32"/>
      <c r="AU933" s="32"/>
      <c r="AV933" s="32"/>
      <c r="AW933" s="32"/>
      <c r="AX933" s="32"/>
      <c r="AY933" s="32"/>
      <c r="BB933" s="32"/>
      <c r="BE933" s="32"/>
      <c r="BJ933" s="32"/>
    </row>
    <row r="934" spans="17:62" x14ac:dyDescent="0.25">
      <c r="Q934" s="32"/>
      <c r="AG934" s="37"/>
      <c r="AH934" s="312"/>
      <c r="AI934" s="935"/>
      <c r="AJ934" s="935"/>
      <c r="AK934" s="935"/>
      <c r="AL934" s="935"/>
      <c r="AM934" s="935"/>
      <c r="AN934" s="935"/>
      <c r="AO934" s="312"/>
      <c r="AP934" s="32"/>
      <c r="AQ934" s="32"/>
      <c r="AR934" s="32"/>
      <c r="AS934" s="32"/>
      <c r="AT934" s="32"/>
      <c r="AU934" s="32"/>
      <c r="AV934" s="32"/>
      <c r="AW934" s="32"/>
      <c r="AX934" s="32"/>
      <c r="AY934" s="32"/>
      <c r="BB934" s="32"/>
      <c r="BE934" s="32"/>
      <c r="BJ934" s="32"/>
    </row>
    <row r="935" spans="17:62" x14ac:dyDescent="0.25">
      <c r="Q935" s="32"/>
      <c r="AG935" s="37"/>
      <c r="AH935" s="312"/>
      <c r="AI935" s="935"/>
      <c r="AJ935" s="935"/>
      <c r="AK935" s="935"/>
      <c r="AL935" s="935"/>
      <c r="AM935" s="935"/>
      <c r="AN935" s="935"/>
      <c r="AO935" s="312"/>
      <c r="AP935" s="32"/>
      <c r="AQ935" s="32"/>
      <c r="AR935" s="32"/>
      <c r="AS935" s="32"/>
      <c r="AT935" s="32"/>
      <c r="AU935" s="32"/>
      <c r="AV935" s="32"/>
      <c r="AW935" s="32"/>
      <c r="AX935" s="32"/>
      <c r="AY935" s="32"/>
      <c r="BB935" s="32"/>
      <c r="BE935" s="32"/>
      <c r="BJ935" s="32"/>
    </row>
    <row r="936" spans="17:62" x14ac:dyDescent="0.25">
      <c r="Q936" s="32"/>
      <c r="AG936" s="37"/>
      <c r="AH936" s="312"/>
      <c r="AI936" s="935"/>
      <c r="AJ936" s="935"/>
      <c r="AK936" s="935"/>
      <c r="AL936" s="935"/>
      <c r="AM936" s="935"/>
      <c r="AN936" s="935"/>
      <c r="AO936" s="312"/>
      <c r="AP936" s="32"/>
      <c r="AQ936" s="32"/>
      <c r="AR936" s="32"/>
      <c r="AS936" s="32"/>
      <c r="AT936" s="32"/>
      <c r="AU936" s="32"/>
      <c r="AV936" s="32"/>
      <c r="AW936" s="32"/>
      <c r="AX936" s="32"/>
      <c r="AY936" s="32"/>
      <c r="BB936" s="32"/>
      <c r="BE936" s="32"/>
      <c r="BJ936" s="32"/>
    </row>
    <row r="937" spans="17:62" x14ac:dyDescent="0.25">
      <c r="Q937" s="32"/>
      <c r="AG937" s="37"/>
      <c r="AH937" s="312"/>
      <c r="AI937" s="935"/>
      <c r="AJ937" s="935"/>
      <c r="AK937" s="935"/>
      <c r="AL937" s="935"/>
      <c r="AM937" s="935"/>
      <c r="AN937" s="935"/>
      <c r="AO937" s="312"/>
      <c r="AP937" s="32"/>
      <c r="AQ937" s="32"/>
      <c r="AR937" s="32"/>
      <c r="AS937" s="32"/>
      <c r="AT937" s="32"/>
      <c r="AU937" s="32"/>
      <c r="AV937" s="32"/>
      <c r="AW937" s="32"/>
      <c r="AX937" s="32"/>
      <c r="AY937" s="32"/>
      <c r="BB937" s="32"/>
      <c r="BE937" s="32"/>
      <c r="BJ937" s="32"/>
    </row>
    <row r="938" spans="17:62" x14ac:dyDescent="0.25">
      <c r="Q938" s="32"/>
      <c r="AG938" s="37"/>
      <c r="AH938" s="312"/>
      <c r="AI938" s="935"/>
      <c r="AJ938" s="935"/>
      <c r="AK938" s="935"/>
      <c r="AL938" s="935"/>
      <c r="AM938" s="935"/>
      <c r="AN938" s="935"/>
      <c r="AO938" s="312"/>
      <c r="AP938" s="32"/>
      <c r="AQ938" s="32"/>
      <c r="AR938" s="32"/>
      <c r="AS938" s="32"/>
      <c r="AT938" s="32"/>
      <c r="AU938" s="32"/>
      <c r="AV938" s="32"/>
      <c r="AW938" s="32"/>
      <c r="AX938" s="32"/>
      <c r="AY938" s="32"/>
      <c r="BB938" s="32"/>
      <c r="BE938" s="32"/>
      <c r="BJ938" s="32"/>
    </row>
    <row r="939" spans="17:62" x14ac:dyDescent="0.25">
      <c r="Q939" s="32"/>
      <c r="AG939" s="37"/>
      <c r="AH939" s="312"/>
      <c r="AI939" s="935"/>
      <c r="AJ939" s="935"/>
      <c r="AK939" s="935"/>
      <c r="AL939" s="935"/>
      <c r="AM939" s="935"/>
      <c r="AN939" s="935"/>
      <c r="AO939" s="312"/>
      <c r="AP939" s="32"/>
      <c r="AQ939" s="32"/>
      <c r="AR939" s="32"/>
      <c r="AS939" s="32"/>
      <c r="AT939" s="32"/>
      <c r="AU939" s="32"/>
      <c r="AV939" s="32"/>
      <c r="AW939" s="32"/>
      <c r="AX939" s="32"/>
      <c r="AY939" s="32"/>
      <c r="BB939" s="32"/>
      <c r="BE939" s="32"/>
      <c r="BJ939" s="32"/>
    </row>
    <row r="940" spans="17:62" x14ac:dyDescent="0.25">
      <c r="Q940" s="32"/>
      <c r="AG940" s="37"/>
      <c r="AH940" s="312"/>
      <c r="AI940" s="935"/>
      <c r="AJ940" s="935"/>
      <c r="AK940" s="935"/>
      <c r="AL940" s="935"/>
      <c r="AM940" s="935"/>
      <c r="AN940" s="935"/>
      <c r="AO940" s="312"/>
      <c r="AP940" s="32"/>
      <c r="AQ940" s="32"/>
      <c r="AR940" s="32"/>
      <c r="AS940" s="32"/>
      <c r="AT940" s="32"/>
      <c r="AU940" s="32"/>
      <c r="AV940" s="32"/>
      <c r="AW940" s="32"/>
      <c r="AX940" s="32"/>
      <c r="AY940" s="32"/>
      <c r="BB940" s="32"/>
      <c r="BE940" s="32"/>
      <c r="BJ940" s="32"/>
    </row>
    <row r="941" spans="17:62" x14ac:dyDescent="0.25">
      <c r="Q941" s="32"/>
      <c r="AG941" s="37"/>
      <c r="AH941" s="312"/>
      <c r="AI941" s="935"/>
      <c r="AJ941" s="935"/>
      <c r="AK941" s="935"/>
      <c r="AL941" s="935"/>
      <c r="AM941" s="935"/>
      <c r="AN941" s="935"/>
      <c r="AO941" s="312"/>
      <c r="AP941" s="32"/>
      <c r="AQ941" s="32"/>
      <c r="AR941" s="32"/>
      <c r="AS941" s="32"/>
      <c r="AT941" s="32"/>
      <c r="AU941" s="32"/>
      <c r="AV941" s="32"/>
      <c r="AW941" s="32"/>
      <c r="AX941" s="32"/>
      <c r="AY941" s="32"/>
      <c r="BB941" s="32"/>
      <c r="BE941" s="32"/>
      <c r="BJ941" s="32"/>
    </row>
    <row r="942" spans="17:62" x14ac:dyDescent="0.25">
      <c r="Q942" s="32"/>
      <c r="AG942" s="37"/>
      <c r="AH942" s="312"/>
      <c r="AI942" s="935"/>
      <c r="AJ942" s="935"/>
      <c r="AK942" s="935"/>
      <c r="AL942" s="935"/>
      <c r="AM942" s="935"/>
      <c r="AN942" s="935"/>
      <c r="AO942" s="312"/>
      <c r="AP942" s="32"/>
      <c r="AQ942" s="32"/>
      <c r="AR942" s="32"/>
      <c r="AS942" s="32"/>
      <c r="AT942" s="32"/>
      <c r="AU942" s="32"/>
      <c r="AV942" s="32"/>
      <c r="AW942" s="32"/>
      <c r="AX942" s="32"/>
      <c r="AY942" s="32"/>
      <c r="BB942" s="32"/>
      <c r="BE942" s="32"/>
      <c r="BJ942" s="32"/>
    </row>
    <row r="943" spans="17:62" x14ac:dyDescent="0.25">
      <c r="Q943" s="32"/>
      <c r="AG943" s="37"/>
      <c r="AH943" s="312"/>
      <c r="AI943" s="935"/>
      <c r="AJ943" s="935"/>
      <c r="AK943" s="935"/>
      <c r="AL943" s="935"/>
      <c r="AM943" s="935"/>
      <c r="AN943" s="935"/>
      <c r="AO943" s="312"/>
      <c r="AP943" s="32"/>
      <c r="AQ943" s="32"/>
      <c r="AR943" s="32"/>
      <c r="AS943" s="32"/>
      <c r="AT943" s="32"/>
      <c r="AU943" s="32"/>
      <c r="AV943" s="32"/>
      <c r="AW943" s="32"/>
      <c r="AX943" s="32"/>
      <c r="AY943" s="32"/>
      <c r="BB943" s="32"/>
      <c r="BE943" s="32"/>
      <c r="BJ943" s="32"/>
    </row>
    <row r="944" spans="17:62" x14ac:dyDescent="0.25">
      <c r="Q944" s="32"/>
      <c r="AG944" s="37"/>
      <c r="AH944" s="312"/>
      <c r="AI944" s="935"/>
      <c r="AJ944" s="935"/>
      <c r="AK944" s="935"/>
      <c r="AL944" s="935"/>
      <c r="AM944" s="935"/>
      <c r="AN944" s="935"/>
      <c r="AO944" s="312"/>
      <c r="AP944" s="32"/>
      <c r="AQ944" s="32"/>
      <c r="AR944" s="32"/>
      <c r="AS944" s="32"/>
      <c r="AT944" s="32"/>
      <c r="AU944" s="32"/>
      <c r="AV944" s="32"/>
      <c r="AW944" s="32"/>
      <c r="AX944" s="32"/>
      <c r="AY944" s="32"/>
      <c r="BB944" s="32"/>
      <c r="BE944" s="32"/>
      <c r="BJ944" s="32"/>
    </row>
    <row r="945" spans="17:62" x14ac:dyDescent="0.25">
      <c r="Q945" s="32"/>
      <c r="AG945" s="37"/>
      <c r="AH945" s="312"/>
      <c r="AI945" s="935"/>
      <c r="AJ945" s="935"/>
      <c r="AK945" s="935"/>
      <c r="AL945" s="935"/>
      <c r="AM945" s="935"/>
      <c r="AN945" s="935"/>
      <c r="AO945" s="312"/>
      <c r="AP945" s="32"/>
      <c r="AQ945" s="32"/>
      <c r="AR945" s="32"/>
      <c r="AS945" s="32"/>
      <c r="AT945" s="32"/>
      <c r="AU945" s="32"/>
      <c r="AV945" s="32"/>
      <c r="AW945" s="32"/>
      <c r="AX945" s="32"/>
      <c r="AY945" s="32"/>
      <c r="BB945" s="32"/>
      <c r="BE945" s="32"/>
      <c r="BJ945" s="32"/>
    </row>
  </sheetData>
  <hyperlinks>
    <hyperlink ref="K4" r:id="rId1"/>
    <hyperlink ref="A3" r:id="rId2"/>
    <hyperlink ref="O4" r:id="rId3"/>
    <hyperlink ref="A4" r:id="rId4"/>
    <hyperlink ref="G4" r:id="rId5"/>
    <hyperlink ref="E4" r:id="rId6"/>
    <hyperlink ref="I4" r:id="rId7"/>
    <hyperlink ref="M4" r:id="rId8"/>
  </hyperlinks>
  <pageMargins left="0.7" right="0.7" top="0.75" bottom="0.75" header="0.3" footer="0.3"/>
  <pageSetup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activeCell="I9" sqref="I9"/>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7" x14ac:dyDescent="0.25">
      <c r="A1" s="974" t="s">
        <v>261</v>
      </c>
    </row>
    <row r="2" spans="1:7" ht="17.25" x14ac:dyDescent="0.25">
      <c r="A2" s="972" t="s">
        <v>260</v>
      </c>
      <c r="B2" s="967">
        <f xml:space="preserve"> 104.9+7.12*10.7</f>
        <v>181.084</v>
      </c>
      <c r="C2" s="970"/>
      <c r="D2" s="970"/>
      <c r="E2" s="970"/>
      <c r="F2" s="970" t="s">
        <v>348</v>
      </c>
      <c r="G2" s="970">
        <f>H22</f>
        <v>14</v>
      </c>
    </row>
    <row r="3" spans="1:7" ht="17.25" x14ac:dyDescent="0.25">
      <c r="A3" s="972" t="s">
        <v>259</v>
      </c>
      <c r="B3" s="967">
        <f xml:space="preserve"> 9.8 *10.7</f>
        <v>104.86</v>
      </c>
      <c r="C3" s="970"/>
      <c r="D3" s="970"/>
      <c r="E3" s="970"/>
      <c r="F3" s="970" t="s">
        <v>349</v>
      </c>
      <c r="G3" s="970">
        <f>H25</f>
        <v>4.3</v>
      </c>
    </row>
    <row r="4" spans="1:7" x14ac:dyDescent="0.25">
      <c r="A4" s="972" t="s">
        <v>258</v>
      </c>
      <c r="B4" s="967">
        <f xml:space="preserve"> 2</f>
        <v>2</v>
      </c>
      <c r="C4" s="970"/>
      <c r="D4" s="970"/>
      <c r="E4" s="970"/>
      <c r="F4" s="970" t="s">
        <v>350</v>
      </c>
      <c r="G4" s="970">
        <f>H21</f>
        <v>129.21406907627619</v>
      </c>
    </row>
    <row r="5" spans="1:7" ht="17.25" x14ac:dyDescent="0.25">
      <c r="A5" s="972" t="s">
        <v>257</v>
      </c>
      <c r="B5" s="967">
        <f xml:space="preserve"> 3.2</f>
        <v>3.2</v>
      </c>
      <c r="C5" s="970"/>
      <c r="D5" s="970"/>
      <c r="E5" s="970"/>
      <c r="F5" s="970" t="s">
        <v>351</v>
      </c>
      <c r="G5" s="970">
        <f>H23</f>
        <v>104.854</v>
      </c>
    </row>
    <row r="6" spans="1:7" ht="17.25" x14ac:dyDescent="0.25">
      <c r="A6" s="972" t="s">
        <v>256</v>
      </c>
      <c r="B6" s="967">
        <f xml:space="preserve"> 0.55 + 2.15</f>
        <v>2.7</v>
      </c>
      <c r="C6" s="970"/>
      <c r="D6" s="970"/>
      <c r="E6" s="970"/>
      <c r="F6" s="970" t="s">
        <v>352</v>
      </c>
      <c r="G6" s="970">
        <f>B3</f>
        <v>104.86</v>
      </c>
    </row>
    <row r="7" spans="1:7" ht="17.25" x14ac:dyDescent="0.25">
      <c r="A7" s="972" t="s">
        <v>255</v>
      </c>
      <c r="B7" s="967">
        <v>0</v>
      </c>
      <c r="C7" s="970"/>
      <c r="D7" s="970"/>
      <c r="E7" s="970"/>
      <c r="F7" s="970" t="s">
        <v>353</v>
      </c>
      <c r="G7" s="970">
        <v>0</v>
      </c>
    </row>
    <row r="8" spans="1:7" ht="17.25" x14ac:dyDescent="0.25">
      <c r="A8" s="972" t="s">
        <v>254</v>
      </c>
      <c r="B8" s="967">
        <v>0</v>
      </c>
      <c r="C8" s="970"/>
      <c r="D8" s="970"/>
      <c r="E8" s="970"/>
      <c r="F8" s="970" t="s">
        <v>354</v>
      </c>
      <c r="G8" s="970">
        <v>0</v>
      </c>
    </row>
    <row r="9" spans="1:7" x14ac:dyDescent="0.25">
      <c r="A9" s="970"/>
      <c r="B9" s="970"/>
      <c r="C9" s="970"/>
      <c r="D9" s="970"/>
      <c r="E9" s="970"/>
      <c r="F9" s="970" t="s">
        <v>355</v>
      </c>
      <c r="G9" s="970">
        <v>0</v>
      </c>
    </row>
    <row r="10" spans="1:7" x14ac:dyDescent="0.25">
      <c r="A10" s="971" t="s">
        <v>253</v>
      </c>
      <c r="B10" s="970"/>
      <c r="C10" s="970"/>
      <c r="D10" s="970"/>
      <c r="E10" s="970"/>
      <c r="F10" s="970"/>
      <c r="G10" s="970"/>
    </row>
    <row r="11" spans="1:7" ht="16.5" x14ac:dyDescent="0.25">
      <c r="A11" s="973"/>
      <c r="B11" s="972" t="s">
        <v>252</v>
      </c>
      <c r="C11" s="972" t="s">
        <v>251</v>
      </c>
      <c r="D11" s="970"/>
      <c r="E11" s="970"/>
      <c r="F11" s="970"/>
      <c r="G11" s="970"/>
    </row>
    <row r="12" spans="1:7" ht="17.25" x14ac:dyDescent="0.25">
      <c r="A12" s="972" t="s">
        <v>250</v>
      </c>
      <c r="B12" s="967">
        <f>(2.68*7.5)+(4.3*7.12)</f>
        <v>50.716000000000001</v>
      </c>
      <c r="C12" s="967">
        <f>50.7*B5</f>
        <v>162.24</v>
      </c>
      <c r="D12" s="970"/>
      <c r="E12" s="970"/>
      <c r="F12" s="970"/>
      <c r="G12" s="970"/>
    </row>
    <row r="13" spans="1:7" ht="17.25" x14ac:dyDescent="0.25">
      <c r="A13" s="972" t="s">
        <v>249</v>
      </c>
      <c r="B13" s="967">
        <f>(3.8+3.32)*3.2</f>
        <v>22.783999999999999</v>
      </c>
      <c r="C13" s="967">
        <f>22.7* B5</f>
        <v>72.64</v>
      </c>
      <c r="D13" s="970"/>
      <c r="E13" s="970"/>
      <c r="F13" s="970"/>
      <c r="G13" s="970"/>
    </row>
    <row r="14" spans="1:7" ht="17.25" x14ac:dyDescent="0.25">
      <c r="A14" s="972" t="s">
        <v>248</v>
      </c>
      <c r="B14" s="967">
        <f>2.68*3.2</f>
        <v>8.5760000000000005</v>
      </c>
      <c r="C14" s="967">
        <f>8.5* B5</f>
        <v>27.200000000000003</v>
      </c>
      <c r="D14" s="970"/>
      <c r="E14" s="970"/>
      <c r="F14" s="970"/>
      <c r="G14" s="970"/>
    </row>
    <row r="15" spans="1:7" ht="17.25" x14ac:dyDescent="0.25">
      <c r="A15" s="972" t="s">
        <v>247</v>
      </c>
      <c r="B15" s="967">
        <f>2.81*2.2</f>
        <v>6.1820000000000004</v>
      </c>
      <c r="C15" s="967">
        <f>5.5* B5</f>
        <v>17.600000000000001</v>
      </c>
      <c r="D15" s="970"/>
      <c r="E15" s="970"/>
      <c r="F15" s="970"/>
      <c r="G15" s="970"/>
    </row>
    <row r="16" spans="1:7" ht="17.25" x14ac:dyDescent="0.25">
      <c r="A16" s="972" t="s">
        <v>246</v>
      </c>
      <c r="B16" s="967">
        <f>(4.31*2.2)+(10.7*7.12)</f>
        <v>85.665999999999997</v>
      </c>
      <c r="C16" s="967">
        <f>9.48 *B5 + 76.1*0.55+ 10.7*(7.12*2.15)/2</f>
        <v>154.08879999999999</v>
      </c>
      <c r="D16" s="970"/>
      <c r="E16" s="970"/>
      <c r="F16" s="970"/>
      <c r="G16" s="970"/>
    </row>
    <row r="17" spans="1:10" ht="17.25" x14ac:dyDescent="0.25">
      <c r="A17" s="972" t="s">
        <v>245</v>
      </c>
      <c r="B17" s="967">
        <f>7.12*1</f>
        <v>7.12</v>
      </c>
      <c r="C17" s="967">
        <f>7.12* B5</f>
        <v>22.784000000000002</v>
      </c>
      <c r="D17" s="970">
        <f>C12+C13+C14+C15+C16+C17</f>
        <v>456.55279999999999</v>
      </c>
      <c r="E17" s="970"/>
      <c r="F17" s="970"/>
      <c r="G17" s="970"/>
    </row>
    <row r="18" spans="1:10" x14ac:dyDescent="0.25">
      <c r="A18" s="970"/>
      <c r="B18" s="970">
        <f>SUM(B12:B17)</f>
        <v>181.04399999999998</v>
      </c>
      <c r="C18" s="970"/>
      <c r="D18" s="970"/>
      <c r="E18" s="970"/>
      <c r="F18" s="970"/>
      <c r="G18" s="970"/>
    </row>
    <row r="19" spans="1:10" x14ac:dyDescent="0.25">
      <c r="A19" s="971" t="s">
        <v>244</v>
      </c>
      <c r="B19" s="970">
        <f>SUM(B12:B15)</f>
        <v>88.257999999999996</v>
      </c>
      <c r="C19" s="970"/>
      <c r="D19" s="970"/>
      <c r="E19" s="970"/>
      <c r="F19" s="970"/>
      <c r="G19" s="970"/>
    </row>
    <row r="20" spans="1:10" ht="28.5" x14ac:dyDescent="0.25">
      <c r="A20" s="969"/>
      <c r="B20" s="968" t="s">
        <v>243</v>
      </c>
      <c r="C20" s="968" t="s">
        <v>242</v>
      </c>
      <c r="D20" s="968" t="s">
        <v>241</v>
      </c>
      <c r="E20" s="968" t="s">
        <v>240</v>
      </c>
      <c r="F20" s="968" t="s">
        <v>239</v>
      </c>
      <c r="G20" s="968" t="s">
        <v>238</v>
      </c>
      <c r="H20" s="983" t="s">
        <v>188</v>
      </c>
      <c r="J20" s="1000" t="s">
        <v>289</v>
      </c>
    </row>
    <row r="21" spans="1:10" ht="17.25" x14ac:dyDescent="0.25">
      <c r="A21" s="966" t="s">
        <v>237</v>
      </c>
      <c r="B21" s="965">
        <f>(2.68+4.3+3.2)*B5-B22-B25</f>
        <v>23.176000000000002</v>
      </c>
      <c r="C21" s="965">
        <f>(3.32+3.8+3.2)*B5-C22</f>
        <v>29.524000000000001</v>
      </c>
      <c r="D21" s="965">
        <f>(3.2+2.68)* B5-C23</f>
        <v>18.816000000000003</v>
      </c>
      <c r="E21" s="965">
        <f>(2.81+2.2)*B5</f>
        <v>16.032</v>
      </c>
      <c r="F21" s="967">
        <f>(7.12+10.7*0.55 +2*(7.12/2)*SQRT(2.15^2 + (7.12/2)^2))-F22</f>
        <v>40.61606907627619</v>
      </c>
      <c r="G21" s="967">
        <f>1*B5-G25</f>
        <v>1.0500000000000003</v>
      </c>
      <c r="H21" s="975">
        <f>B21+C21+D21+E21+F21+G21</f>
        <v>129.21406907627619</v>
      </c>
      <c r="J21" s="924">
        <f>SUM(B21:E21)</f>
        <v>87.548000000000002</v>
      </c>
    </row>
    <row r="22" spans="1:10" ht="17.25" x14ac:dyDescent="0.25">
      <c r="A22" s="966" t="s">
        <v>236</v>
      </c>
      <c r="B22" s="967">
        <f>2.5+1.25+3.5</f>
        <v>7.25</v>
      </c>
      <c r="C22" s="967">
        <f>7/2</f>
        <v>3.5</v>
      </c>
      <c r="D22" s="967">
        <v>1.25</v>
      </c>
      <c r="E22" s="965">
        <v>0</v>
      </c>
      <c r="F22" s="965">
        <v>2</v>
      </c>
      <c r="G22" s="965">
        <v>0</v>
      </c>
      <c r="H22" s="975">
        <f t="shared" ref="H22:H27" si="0">B22+C22+D22+E22+F22+G22</f>
        <v>14</v>
      </c>
      <c r="J22" s="924">
        <f t="shared" ref="J22:J27" si="1">SUM(B22:E22)</f>
        <v>12</v>
      </c>
    </row>
    <row r="23" spans="1:10" ht="17.25" x14ac:dyDescent="0.25">
      <c r="A23" s="966" t="s">
        <v>235</v>
      </c>
      <c r="B23" s="965">
        <f>2.68*(4.3+3.2)</f>
        <v>20.100000000000001</v>
      </c>
      <c r="C23" s="965">
        <v>0</v>
      </c>
      <c r="D23" s="965">
        <v>8.57</v>
      </c>
      <c r="E23" s="965">
        <v>0</v>
      </c>
      <c r="F23" s="965">
        <f>2*(10.7*SQRT(B64^2 + (7.12/2)^2))</f>
        <v>76.183999999999997</v>
      </c>
      <c r="G23" s="965">
        <v>0</v>
      </c>
      <c r="H23" s="975">
        <f t="shared" si="0"/>
        <v>104.854</v>
      </c>
      <c r="J23" s="924">
        <f t="shared" si="1"/>
        <v>28.67</v>
      </c>
    </row>
    <row r="24" spans="1:10" ht="17.25" x14ac:dyDescent="0.25">
      <c r="A24" s="966" t="s">
        <v>234</v>
      </c>
      <c r="B24" s="965">
        <v>50.7</v>
      </c>
      <c r="C24" s="965">
        <v>22.7</v>
      </c>
      <c r="D24" s="965">
        <v>8.57</v>
      </c>
      <c r="E24" s="965">
        <v>6.18</v>
      </c>
      <c r="F24" s="967">
        <f>(4.31*2.2)</f>
        <v>9.4819999999999993</v>
      </c>
      <c r="G24" s="967">
        <v>7.12</v>
      </c>
      <c r="H24" s="975">
        <f t="shared" si="0"/>
        <v>104.75200000000001</v>
      </c>
      <c r="I24" s="924">
        <f>H21+H22+H23+H24</f>
        <v>352.82006907627618</v>
      </c>
      <c r="J24" s="924">
        <f t="shared" si="1"/>
        <v>88.15</v>
      </c>
    </row>
    <row r="25" spans="1:10" ht="17.25" x14ac:dyDescent="0.25">
      <c r="A25" s="966" t="s">
        <v>233</v>
      </c>
      <c r="B25" s="965">
        <v>2.15</v>
      </c>
      <c r="C25" s="965">
        <v>0</v>
      </c>
      <c r="D25" s="965">
        <v>0</v>
      </c>
      <c r="E25" s="965">
        <v>0</v>
      </c>
      <c r="F25" s="965">
        <v>0</v>
      </c>
      <c r="G25" s="965">
        <v>2.15</v>
      </c>
      <c r="H25" s="975">
        <f t="shared" si="0"/>
        <v>4.3</v>
      </c>
      <c r="J25" s="924">
        <f t="shared" si="1"/>
        <v>2.15</v>
      </c>
    </row>
    <row r="26" spans="1:10" ht="17.25" x14ac:dyDescent="0.25">
      <c r="A26" s="966" t="s">
        <v>232</v>
      </c>
      <c r="B26" s="965">
        <v>0</v>
      </c>
      <c r="C26" s="965">
        <v>0</v>
      </c>
      <c r="D26" s="965">
        <v>0</v>
      </c>
      <c r="E26" s="965">
        <v>0</v>
      </c>
      <c r="F26" s="965">
        <v>0</v>
      </c>
      <c r="G26" s="965">
        <v>0</v>
      </c>
      <c r="H26" s="975">
        <f t="shared" si="0"/>
        <v>0</v>
      </c>
      <c r="J26" s="924">
        <f t="shared" si="1"/>
        <v>0</v>
      </c>
    </row>
    <row r="27" spans="1:10" ht="30" customHeight="1" x14ac:dyDescent="0.25">
      <c r="A27" s="966" t="s">
        <v>231</v>
      </c>
      <c r="B27" s="965">
        <f>(2.68+4.3+3.2)*B5</f>
        <v>32.576000000000001</v>
      </c>
      <c r="C27" s="965">
        <f>(3.32+3.8+3.2)* B5</f>
        <v>33.024000000000001</v>
      </c>
      <c r="D27" s="965">
        <f>(2.68+3.2)*B5</f>
        <v>18.816000000000003</v>
      </c>
      <c r="E27" s="965">
        <f>(2.2+2.81)*B5</f>
        <v>16.032</v>
      </c>
      <c r="F27" s="965">
        <f>2*2.2+4.31</f>
        <v>8.7100000000000009</v>
      </c>
      <c r="G27" s="965">
        <f>(2*7.12+1)*B5</f>
        <v>48.768000000000001</v>
      </c>
      <c r="H27" s="975">
        <f t="shared" si="0"/>
        <v>157.92599999999999</v>
      </c>
      <c r="J27" s="924">
        <f t="shared" si="1"/>
        <v>100.44799999999999</v>
      </c>
    </row>
    <row r="28" spans="1:10" x14ac:dyDescent="0.25">
      <c r="B28" s="964"/>
      <c r="C28" s="964"/>
      <c r="D28" s="964"/>
      <c r="E28" s="964"/>
      <c r="F28" s="964"/>
      <c r="G28" s="964"/>
    </row>
    <row r="29" spans="1:10" x14ac:dyDescent="0.25">
      <c r="B29" s="931"/>
      <c r="C29" s="931"/>
      <c r="D29" s="931"/>
      <c r="E29" s="931"/>
      <c r="F29" s="931"/>
      <c r="G29" s="931"/>
    </row>
    <row r="35" spans="8:9" x14ac:dyDescent="0.25">
      <c r="H35" s="924">
        <f>104/4</f>
        <v>26</v>
      </c>
      <c r="I35" s="924">
        <f>H35*0.75</f>
        <v>19.5</v>
      </c>
    </row>
    <row r="36" spans="8:9" x14ac:dyDescent="0.25">
      <c r="H36" s="924">
        <f>34*0.75</f>
        <v>25.5</v>
      </c>
      <c r="I36" s="924">
        <f>34*0.25</f>
        <v>8.5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G13" sqref="G13"/>
    </sheetView>
  </sheetViews>
  <sheetFormatPr defaultColWidth="11.42578125" defaultRowHeight="15" x14ac:dyDescent="0.25"/>
  <cols>
    <col min="1" max="1" width="22.42578125" style="924" customWidth="1"/>
    <col min="2" max="2" width="15.28515625" style="924" customWidth="1"/>
    <col min="3" max="3" width="12.7109375" style="924" customWidth="1"/>
    <col min="4" max="4" width="12.28515625" style="924" customWidth="1"/>
    <col min="5" max="5" width="11.7109375" style="924" customWidth="1"/>
    <col min="6" max="16384" width="11.42578125" style="924"/>
  </cols>
  <sheetData>
    <row r="1" spans="1:7" x14ac:dyDescent="0.25">
      <c r="A1" s="974" t="s">
        <v>261</v>
      </c>
    </row>
    <row r="2" spans="1:7" ht="17.25" x14ac:dyDescent="0.25">
      <c r="A2" s="972" t="s">
        <v>260</v>
      </c>
      <c r="B2" s="967">
        <f xml:space="preserve"> 2 * (8.1*7.5)</f>
        <v>121.5</v>
      </c>
      <c r="C2" s="970"/>
      <c r="D2" s="970"/>
      <c r="E2" s="970"/>
      <c r="F2" s="970" t="s">
        <v>348</v>
      </c>
      <c r="G2" s="970">
        <f>H22</f>
        <v>18</v>
      </c>
    </row>
    <row r="3" spans="1:7" ht="17.25" x14ac:dyDescent="0.25">
      <c r="A3" s="972" t="s">
        <v>259</v>
      </c>
      <c r="B3" s="967">
        <f xml:space="preserve"> 60.75</f>
        <v>60.75</v>
      </c>
      <c r="C3" s="970"/>
      <c r="D3" s="970"/>
      <c r="E3" s="970"/>
      <c r="F3" s="970" t="s">
        <v>349</v>
      </c>
      <c r="G3" s="970">
        <f>H25</f>
        <v>2.15</v>
      </c>
    </row>
    <row r="4" spans="1:7" x14ac:dyDescent="0.25">
      <c r="A4" s="972" t="s">
        <v>258</v>
      </c>
      <c r="B4" s="967">
        <f xml:space="preserve"> 2</f>
        <v>2</v>
      </c>
      <c r="C4" s="970"/>
      <c r="D4" s="970"/>
      <c r="E4" s="970"/>
      <c r="F4" s="970" t="s">
        <v>350</v>
      </c>
      <c r="G4" s="970">
        <f>H21</f>
        <v>110.2144959090909</v>
      </c>
    </row>
    <row r="5" spans="1:7" ht="17.25" x14ac:dyDescent="0.25">
      <c r="A5" s="972" t="s">
        <v>257</v>
      </c>
      <c r="B5" s="967">
        <f xml:space="preserve"> 3.07</f>
        <v>3.07</v>
      </c>
      <c r="C5" s="970"/>
      <c r="D5" s="970"/>
      <c r="E5" s="970"/>
      <c r="F5" s="970" t="s">
        <v>351</v>
      </c>
      <c r="G5" s="970">
        <f>H23</f>
        <v>88.2</v>
      </c>
    </row>
    <row r="6" spans="1:7" ht="17.25" x14ac:dyDescent="0.25">
      <c r="A6" s="972" t="s">
        <v>256</v>
      </c>
      <c r="B6" s="967">
        <f xml:space="preserve"> 3.83</f>
        <v>3.83</v>
      </c>
      <c r="C6" s="970"/>
      <c r="D6" s="970"/>
      <c r="E6" s="970"/>
      <c r="F6" s="970" t="s">
        <v>352</v>
      </c>
      <c r="G6" s="970">
        <f>B3</f>
        <v>60.75</v>
      </c>
    </row>
    <row r="7" spans="1:7" ht="17.25" x14ac:dyDescent="0.25">
      <c r="A7" s="972" t="s">
        <v>262</v>
      </c>
      <c r="B7" s="967">
        <v>0</v>
      </c>
      <c r="C7" s="970"/>
      <c r="D7" s="970"/>
      <c r="E7" s="970"/>
      <c r="F7" s="970" t="s">
        <v>353</v>
      </c>
      <c r="G7" s="970">
        <v>0</v>
      </c>
    </row>
    <row r="8" spans="1:7" ht="17.25" x14ac:dyDescent="0.25">
      <c r="A8" s="972" t="s">
        <v>254</v>
      </c>
      <c r="B8" s="967">
        <v>0</v>
      </c>
      <c r="C8" s="970"/>
      <c r="D8" s="970"/>
      <c r="E8" s="970"/>
      <c r="F8" s="970" t="s">
        <v>354</v>
      </c>
      <c r="G8" s="970">
        <v>0</v>
      </c>
    </row>
    <row r="9" spans="1:7" x14ac:dyDescent="0.25">
      <c r="A9" s="970"/>
      <c r="B9" s="970"/>
      <c r="C9" s="970"/>
      <c r="D9" s="970"/>
      <c r="E9" s="970"/>
      <c r="F9" s="970" t="s">
        <v>355</v>
      </c>
      <c r="G9" s="970">
        <v>0</v>
      </c>
    </row>
    <row r="10" spans="1:7" x14ac:dyDescent="0.25">
      <c r="A10" s="971" t="s">
        <v>253</v>
      </c>
      <c r="B10" s="970"/>
      <c r="C10" s="970"/>
      <c r="D10" s="970"/>
      <c r="E10" s="970"/>
      <c r="F10" s="970"/>
      <c r="G10" s="970"/>
    </row>
    <row r="11" spans="1:7" ht="16.5" x14ac:dyDescent="0.25">
      <c r="A11" s="973"/>
      <c r="B11" s="972" t="s">
        <v>252</v>
      </c>
      <c r="C11" s="972" t="s">
        <v>251</v>
      </c>
      <c r="D11" s="970"/>
      <c r="E11" s="970"/>
      <c r="F11" s="970"/>
      <c r="G11" s="970"/>
    </row>
    <row r="12" spans="1:7" ht="17.25" x14ac:dyDescent="0.25">
      <c r="A12" s="972" t="s">
        <v>250</v>
      </c>
      <c r="B12" s="967">
        <f xml:space="preserve"> 11.56 + 19.98</f>
        <v>31.54</v>
      </c>
      <c r="C12" s="967">
        <f>B12*B5</f>
        <v>96.827799999999996</v>
      </c>
      <c r="D12" s="970"/>
      <c r="E12" s="970"/>
      <c r="F12" s="970"/>
      <c r="G12" s="970"/>
    </row>
    <row r="13" spans="1:7" ht="17.25" x14ac:dyDescent="0.25">
      <c r="A13" s="972" t="s">
        <v>249</v>
      </c>
      <c r="B13" s="967">
        <f xml:space="preserve"> (4.95*7.5)-2.82*(2.2+1.9)</f>
        <v>25.563000000000002</v>
      </c>
      <c r="C13" s="975">
        <f>7.5*4.4*B6-C15-1.9*(2.82*B6-2.82*(B6-(1.58/4.4*B6))/2)</f>
        <v>96.298055590909087</v>
      </c>
      <c r="D13" s="970"/>
      <c r="E13" s="970"/>
      <c r="F13" s="970"/>
      <c r="G13" s="970"/>
    </row>
    <row r="14" spans="1:7" ht="17.25" x14ac:dyDescent="0.25">
      <c r="A14" s="972" t="s">
        <v>248</v>
      </c>
      <c r="B14" s="967">
        <f xml:space="preserve"> 3.7*3.05</f>
        <v>11.285</v>
      </c>
      <c r="C14" s="967">
        <f>B14*B5</f>
        <v>34.644950000000001</v>
      </c>
      <c r="D14" s="970"/>
      <c r="E14" s="970"/>
      <c r="F14" s="970"/>
      <c r="G14" s="970"/>
    </row>
    <row r="15" spans="1:7" ht="17.25" x14ac:dyDescent="0.25">
      <c r="A15" s="972" t="s">
        <v>247</v>
      </c>
      <c r="B15" s="967">
        <f xml:space="preserve"> 2.82 *2.2</f>
        <v>6.2039999999999997</v>
      </c>
      <c r="C15" s="975">
        <f>2.2*(2.82*B6-2.82*(B6-(1.58/4.4*B6))/2)</f>
        <v>16.146897000000003</v>
      </c>
      <c r="D15" s="970"/>
      <c r="E15" s="970"/>
      <c r="F15" s="970"/>
      <c r="G15" s="970"/>
    </row>
    <row r="16" spans="1:7" ht="17.25" x14ac:dyDescent="0.25">
      <c r="A16" s="972" t="s">
        <v>246</v>
      </c>
      <c r="B16" s="967">
        <f>B2-B12-B13-B14-B15-B17</f>
        <v>32.040000000000006</v>
      </c>
      <c r="C16" s="967">
        <f xml:space="preserve"> (2.2*3.4)* B6 + 7.5*(1.58/4.4*B6)/2*2</f>
        <v>38.963286363636364</v>
      </c>
      <c r="D16" s="970"/>
      <c r="E16" s="970"/>
      <c r="F16" s="970"/>
      <c r="G16" s="970"/>
    </row>
    <row r="17" spans="1:10" ht="17.25" x14ac:dyDescent="0.25">
      <c r="A17" s="972" t="s">
        <v>245</v>
      </c>
      <c r="B17" s="967">
        <f xml:space="preserve"> 1.9*3.4 + 1*3.05 + 1.9*2.82</f>
        <v>14.867999999999999</v>
      </c>
      <c r="C17" s="975">
        <f xml:space="preserve"> 9.51 *B5 + 1.9* (2.82* B6 -2.82 *(B6 -(1.58/4.4*B6))/2)</f>
        <v>43.140747409090906</v>
      </c>
      <c r="D17" s="970">
        <f>C12+C13+C14+C15+C16+C17</f>
        <v>326.02173636363636</v>
      </c>
      <c r="E17" s="970"/>
      <c r="F17" s="970"/>
      <c r="G17" s="970"/>
    </row>
    <row r="18" spans="1:10" x14ac:dyDescent="0.25">
      <c r="A18" s="970"/>
      <c r="B18" s="970">
        <f>SUM(B12:B17)</f>
        <v>121.5</v>
      </c>
      <c r="C18" s="970"/>
      <c r="D18" s="970"/>
      <c r="E18" s="970"/>
      <c r="F18" s="970"/>
      <c r="G18" s="970"/>
    </row>
    <row r="19" spans="1:10" x14ac:dyDescent="0.25">
      <c r="A19" s="971" t="s">
        <v>244</v>
      </c>
      <c r="B19" s="970"/>
      <c r="C19" s="970"/>
      <c r="D19" s="970"/>
      <c r="E19" s="970"/>
      <c r="F19" s="970"/>
      <c r="G19" s="970"/>
    </row>
    <row r="20" spans="1:10" ht="28.5" x14ac:dyDescent="0.25">
      <c r="A20" s="969"/>
      <c r="B20" s="968" t="s">
        <v>243</v>
      </c>
      <c r="C20" s="968" t="s">
        <v>242</v>
      </c>
      <c r="D20" s="968" t="s">
        <v>241</v>
      </c>
      <c r="E20" s="968" t="s">
        <v>240</v>
      </c>
      <c r="F20" s="968" t="s">
        <v>239</v>
      </c>
      <c r="G20" s="968" t="s">
        <v>238</v>
      </c>
      <c r="H20" s="983" t="s">
        <v>188</v>
      </c>
      <c r="J20" s="1000" t="s">
        <v>289</v>
      </c>
    </row>
    <row r="21" spans="1:10" ht="17.25" x14ac:dyDescent="0.25">
      <c r="A21" s="966" t="s">
        <v>237</v>
      </c>
      <c r="B21" s="967">
        <f>(8.1+3.4+4.25)* B5-B22</f>
        <v>42.852499999999999</v>
      </c>
      <c r="C21" s="967">
        <f>3*(2.82* B6 - 2.82 *(B6 -(1.58/4.4*B6))/2) -C22</f>
        <v>17.768495909090909</v>
      </c>
      <c r="D21" s="967">
        <f>(3.7+3.05) * B5  -D22</f>
        <v>18.4725</v>
      </c>
      <c r="E21" s="967">
        <f>2.82* B6 -2.82*(B6 -(1.58/4.4*B6))/2- E22</f>
        <v>6.0894986363636363</v>
      </c>
      <c r="F21" s="967">
        <f>(3.4+2.2)*B5 +1.58 *(1.58/4.4*B6)/2</f>
        <v>18.278501363636359</v>
      </c>
      <c r="G21" s="967">
        <f>1*B5+1.9* B5 -G25</f>
        <v>6.7529999999999983</v>
      </c>
      <c r="H21" s="975">
        <f>B21+C21+D21+E21+F21+G21</f>
        <v>110.2144959090909</v>
      </c>
      <c r="J21" s="924">
        <f>SUM(B21:E21)</f>
        <v>85.182994545454534</v>
      </c>
    </row>
    <row r="22" spans="1:10" ht="17.25" x14ac:dyDescent="0.25">
      <c r="A22" s="966" t="s">
        <v>236</v>
      </c>
      <c r="B22" s="965">
        <v>5.5</v>
      </c>
      <c r="C22" s="965">
        <v>4.25</v>
      </c>
      <c r="D22" s="965">
        <v>2.25</v>
      </c>
      <c r="E22" s="965">
        <v>1.25</v>
      </c>
      <c r="F22" s="965">
        <v>4.75</v>
      </c>
      <c r="G22" s="965">
        <v>0</v>
      </c>
      <c r="H22" s="975">
        <f t="shared" ref="H22:H27" si="0">B22+C22+D22+E22+F22+G22</f>
        <v>18</v>
      </c>
      <c r="J22" s="924">
        <f t="shared" ref="J22:J27" si="1">SUM(B22:E22)</f>
        <v>13.25</v>
      </c>
    </row>
    <row r="23" spans="1:10" ht="17.25" x14ac:dyDescent="0.25">
      <c r="A23" s="966" t="s">
        <v>235</v>
      </c>
      <c r="B23" s="965">
        <v>0</v>
      </c>
      <c r="C23" s="965">
        <f>2*7.5*5.88- B23-D23-E23-F23-G23</f>
        <v>23.01485454545454</v>
      </c>
      <c r="D23" s="965">
        <f>0</f>
        <v>0</v>
      </c>
      <c r="E23" s="965">
        <f>2.2*(5.88-(5.88* 2.82/4.4))</f>
        <v>4.6452000000000018</v>
      </c>
      <c r="F23" s="965">
        <f>7.5*(5.88-(5.88* 1.58/4.4))*2</f>
        <v>56.528181818181821</v>
      </c>
      <c r="G23" s="965">
        <f>1.9*(5.88-(5.88* 2.82/4.4))</f>
        <v>4.0117636363636375</v>
      </c>
      <c r="H23" s="975">
        <f t="shared" si="0"/>
        <v>88.2</v>
      </c>
      <c r="J23" s="924">
        <f t="shared" si="1"/>
        <v>27.660054545454543</v>
      </c>
    </row>
    <row r="24" spans="1:10" ht="17.25" x14ac:dyDescent="0.25">
      <c r="A24" s="966" t="s">
        <v>234</v>
      </c>
      <c r="B24" s="965">
        <v>31.54</v>
      </c>
      <c r="C24" s="965">
        <v>0</v>
      </c>
      <c r="D24" s="965">
        <v>11.29</v>
      </c>
      <c r="E24" s="965">
        <v>0</v>
      </c>
      <c r="F24" s="967">
        <f>2.2*3.4</f>
        <v>7.48</v>
      </c>
      <c r="G24" s="967">
        <f>6.46 + 3.05</f>
        <v>9.51</v>
      </c>
      <c r="H24" s="975">
        <f t="shared" si="0"/>
        <v>59.82</v>
      </c>
      <c r="I24" s="924">
        <f>H21+H22+H23+H24</f>
        <v>276.23449590909087</v>
      </c>
      <c r="J24" s="924">
        <f t="shared" si="1"/>
        <v>42.83</v>
      </c>
    </row>
    <row r="25" spans="1:10" ht="17.25" x14ac:dyDescent="0.25">
      <c r="A25" s="966" t="s">
        <v>233</v>
      </c>
      <c r="B25" s="965">
        <v>0</v>
      </c>
      <c r="C25" s="965">
        <v>0</v>
      </c>
      <c r="D25" s="965">
        <v>0</v>
      </c>
      <c r="E25" s="965">
        <v>0</v>
      </c>
      <c r="F25" s="965">
        <v>0</v>
      </c>
      <c r="G25" s="965">
        <v>2.15</v>
      </c>
      <c r="H25" s="975">
        <f t="shared" si="0"/>
        <v>2.15</v>
      </c>
      <c r="J25" s="924">
        <f t="shared" si="1"/>
        <v>0</v>
      </c>
    </row>
    <row r="26" spans="1:10" ht="17.25" x14ac:dyDescent="0.25">
      <c r="A26" s="966" t="s">
        <v>232</v>
      </c>
      <c r="B26" s="965">
        <v>0</v>
      </c>
      <c r="C26" s="965">
        <v>0</v>
      </c>
      <c r="D26" s="965">
        <v>0</v>
      </c>
      <c r="E26" s="965">
        <v>0</v>
      </c>
      <c r="F26" s="965">
        <v>0</v>
      </c>
      <c r="G26" s="965">
        <v>0</v>
      </c>
      <c r="H26" s="975">
        <f t="shared" si="0"/>
        <v>0</v>
      </c>
      <c r="J26" s="924">
        <f t="shared" si="1"/>
        <v>0</v>
      </c>
    </row>
    <row r="27" spans="1:10" ht="17.25" customHeight="1" x14ac:dyDescent="0.25">
      <c r="A27" s="966" t="s">
        <v>231</v>
      </c>
      <c r="B27" s="967">
        <f>(8.1 + 0.85) *B5</f>
        <v>27.476499999999998</v>
      </c>
      <c r="C27" s="967">
        <f>(2.2+1.9)* B6 +(2.82* B6 -2.82 *(B6 -(1.58/4.4*B6))/2)</f>
        <v>23.042498636363636</v>
      </c>
      <c r="D27" s="967">
        <f>(3.7+3.05) * B5</f>
        <v>20.7225</v>
      </c>
      <c r="E27" s="967">
        <f>(2.2)* B6 +(2.82* B6 -2.82*(B6 -(1.58/4.4*B6))/2)</f>
        <v>15.765498636363636</v>
      </c>
      <c r="F27" s="967">
        <f>(3.4+2.2)*B5+2*7.5*(1.58/4.4*B6)</f>
        <v>37.821772727272723</v>
      </c>
      <c r="G27" s="967">
        <f>(2*3.05+2*3.4+1.9+1)* B5+ 1.9* B6 + (2.82* B6 - 2.82 *(B6 -(1.58/4.4*B6))/2)*2</f>
        <v>70.461997272727274</v>
      </c>
      <c r="H27" s="975">
        <f t="shared" si="0"/>
        <v>195.29076727272727</v>
      </c>
      <c r="J27" s="924">
        <f t="shared" si="1"/>
        <v>87.006997272727261</v>
      </c>
    </row>
    <row r="28" spans="1:10" x14ac:dyDescent="0.25">
      <c r="B28" s="964"/>
      <c r="D28" s="964"/>
      <c r="E28" s="964"/>
      <c r="F28" s="964"/>
      <c r="G28" s="964"/>
    </row>
    <row r="29" spans="1:10" x14ac:dyDescent="0.25">
      <c r="B29" s="931"/>
      <c r="C29" s="931"/>
      <c r="D29" s="931"/>
      <c r="E29" s="931"/>
      <c r="F29" s="931"/>
      <c r="G29" s="93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Home</vt:lpstr>
      <vt:lpstr>User_sheet</vt:lpstr>
      <vt:lpstr>Calculation_sheet</vt:lpstr>
      <vt:lpstr>Freestanding </vt:lpstr>
      <vt:lpstr>Semi-detached</vt:lpstr>
      <vt:lpstr>Terraced </vt:lpstr>
      <vt:lpstr>Apartment</vt:lpstr>
      <vt:lpstr>101</vt:lpstr>
      <vt:lpstr>102</vt:lpstr>
      <vt:lpstr>103</vt:lpstr>
      <vt:lpstr>104</vt:lpstr>
      <vt:lpstr>201</vt:lpstr>
      <vt:lpstr>202</vt:lpstr>
      <vt:lpstr>203</vt:lpstr>
      <vt:lpstr>204</vt:lpstr>
      <vt:lpstr>301</vt:lpstr>
      <vt:lpstr>302</vt:lpstr>
      <vt:lpstr>303</vt:lpstr>
      <vt:lpstr>304</vt:lpstr>
      <vt:lpstr>401</vt:lpstr>
      <vt:lpstr>402</vt:lpstr>
      <vt:lpstr>403</vt:lpstr>
      <vt:lpstr>404</vt:lpstr>
      <vt:lpstr>Mean 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Samsouko</dc:creator>
  <cp:lastModifiedBy>Samuel</cp:lastModifiedBy>
  <dcterms:created xsi:type="dcterms:W3CDTF">2011-04-19T12:14:01Z</dcterms:created>
  <dcterms:modified xsi:type="dcterms:W3CDTF">2015-03-31T08:10:39Z</dcterms:modified>
</cp:coreProperties>
</file>